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in_amazon_cn_to_translate_20" sheetId="1" r:id="rId3"/>
  </sheets>
  <definedNames/>
  <calcPr/>
</workbook>
</file>

<file path=xl/sharedStrings.xml><?xml version="1.0" encoding="utf-8"?>
<sst xmlns="http://schemas.openxmlformats.org/spreadsheetml/2006/main" count="20002" uniqueCount="19738">
  <si>
    <t>labels</t>
  </si>
  <si>
    <t>text</t>
  </si>
  <si>
    <t>translation</t>
  </si>
  <si>
    <t>希望不是二手 开封打开了一个，另一个很脏，这个型号无法连接蓝牙，查看不了是不是被用过，机子试用了一次，不知道之后好不好用</t>
  </si>
  <si>
    <t>紧身款，适合高瘦型 本人173，66kg，s码紧身，只能打底穿了。做工一般，线头多，初洗会掉色，要多泡几次。</t>
  </si>
  <si>
    <t>容量中英文标的不一样 不喜欢，中文显示容量是8t，买回来才知道是6t，再也不在amazon买东西了</t>
  </si>
  <si>
    <t>腰部会下卷 腰部会下卷，夏天穿很热</t>
  </si>
  <si>
    <t>满意 尺寸和国内差不多，172m77公斤，32很合适，这款是宽松型，裤腿比较宽。</t>
  </si>
  <si>
    <t>海外的东西物美价廉 是好东西，就是运的时间有点久。但也值了。用起来响应速度快，读取快，手感好。</t>
  </si>
  <si>
    <t>很好的一件防寒外套 我已经购买了一件其他品牌的衬衫款式的外套，十分温暖，所以再次购买这款颜色的。 首先，这是一款衬衫花色和款式的外套，不是传统意义上的衬衫（也可以当衬衫穿），尺码自然就是外套尺码。 其次，这件外套里面肯定是还要穿内衣的。这英文中的羊羔绒，就是我们常说的抓绒。 第三，这外套不会起静电，但最好内衣穿纯棉的。适合5-15度气温穿着这件外套，里面只需要穿一件短袖体恤就够了。 孟加拉国制造，质量还可以。</t>
  </si>
  <si>
    <t>物美价廉，穿着舒适 物美价廉，穿着舒适，还会再次购买</t>
  </si>
  <si>
    <t>🐘印品质优 已经试用了，效果不错</t>
  </si>
  <si>
    <t>还行吧 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</si>
  <si>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感觉不错啊！ 可能我要求低，感觉蛮好的。175，78选的M，也蛮合适的。美国本土的衣服比较适合长的壮的人！</t>
  </si>
  <si>
    <t>衣服还行 175 75kg M号刚刚好了衣服有点厚</t>
  </si>
  <si>
    <t>很满意 标题写8只装，实际收到是12只的，大家放心 很实惠的价格，确认是正品，可以购买</t>
  </si>
  <si>
    <t>打八十五分 不错！小缺点是左脚刚好右脚反而紧，而且我是左撇子，真绝了</t>
  </si>
  <si>
    <t>衣服品质 拿到手的时候，新衣服上就粘上了许多毛，非常莫名其妙，不推荐购买</t>
  </si>
  <si>
    <t>有型 帽子有型，戴着舒服。</t>
  </si>
  <si>
    <t>做工精细，用料好 舒适合身，非常喜欢。</t>
  </si>
  <si>
    <t>很棒 235mm，uk4很合适，不怎么磨脚。买的樱桃红，产自越南，有黄色鞋带。400+入手。亚马逊的客服也很棒。</t>
  </si>
  <si>
    <t>神器神器 朋友推荐的神器，双胞胎儿子一人一套，早起就练起来，能自己吃上几口，我们刚一岁</t>
  </si>
  <si>
    <t>书写好用 一块钱一支，珠心比晨光的好一万倍</t>
  </si>
  <si>
    <t>还行 里面穿一件短袖或长袖T恤刚刚好修身，再大一码估计就稍微宽松一点了！就是不知道是不是正品</t>
  </si>
  <si>
    <t>搭配运动休闲裤。 收到鞋子尺码可以，就是偏窄了点</t>
  </si>
  <si>
    <t>百搭 秋冬深色衣服的百搭款</t>
  </si>
  <si>
    <t>好 裤子很合适，尺码标注准确。</t>
  </si>
  <si>
    <t>质量不错 就是价格有点贵，烫热菜或者冷却稀饭都很快速，还有一个带盖饭盒方便外出使用，橙色很漂亮。</t>
  </si>
  <si>
    <t>值得拥有 不错的跑鞋，很满意。</t>
  </si>
  <si>
    <t>合适 这个牌子三角裤我买大码有点小，四角的买大码就合适，材料夏天穿很舒服，173高71公斤</t>
  </si>
  <si>
    <t>包边不好 手帕柔软，但包边做工比较粗糙</t>
  </si>
  <si>
    <t>假 感觉是假的 我买的勺子和叉子长短都不一样，颜色也不一样拆封了 没法退</t>
  </si>
  <si>
    <t>还可以 两根肩带，细的那根肩带的缝线做的太差，还好也没打算用！皮子没什么大味道</t>
  </si>
  <si>
    <t>还行 1，还是有些夹头，入耳式还是最舒服的 2，音质比较均衡，每个声部都比较清晰 3，价格还是略高，为了音质不建议购买</t>
  </si>
  <si>
    <t>舒适性 鞋底偏硬，其他ok。号码小一码到一码半。</t>
  </si>
  <si>
    <t>声音太大 很一般，声音太大了</t>
  </si>
  <si>
    <t>还不错 布料不错，裁剪也合适，就是不大修身</t>
  </si>
  <si>
    <t>不错 美亚发货太慢了，足足等了四五个工作日，但是物流很不错，美亚发货后7天到货，比各种转运速度快多了，中亚的客服态度也不错。 收到的香蕉看包装标示应该是美国产的，打开没什么气味，比较容易粘毛，不过硅胶制品总是难免的，孩子头一回玩很喜欢，不知道能持续多久</t>
  </si>
  <si>
    <t>比想像好 好</t>
  </si>
  <si>
    <t>碧然德 过滤效果不错。</t>
  </si>
  <si>
    <t>性价比超高！ 性价比高！对于我的耳朵来说！足够了！</t>
  </si>
  <si>
    <t>不偏大 别买小了 鞋子挺好的 没有明显瑕疵 多米尼加产 偏瘦且不偏大 之前买过脚踝里衬是碎花的那款黄靴 比这个10361小半码 但无论是穿起来 还是我拿在手里比对 感觉是碎花的大一点 肥一点 37.5的脚 买的7.5w us/  5.5uk 不能再小了</t>
  </si>
  <si>
    <t>还不错 今天收到了，查了下型号，4T，WD的蓝盘，5400转。简单试了试，各方面还行。</t>
  </si>
  <si>
    <t>会一直回购的好物 这个超级好穿，到货后又马上下了一单，购买同款另一色。</t>
  </si>
  <si>
    <t>红色很Nice 已收到 ，英国直邮仅五天就到了。很棒 很Nice 。运输过程中一直让我很期待 ，带了几天越看越喜欢 非常的百搭，走在街上感觉自己是这条街最靓的仔。</t>
  </si>
  <si>
    <t>喜欢 挺好用的，收到当天就用了！</t>
  </si>
  <si>
    <t>很不错！是原装！ 用起来非常好。就是运的速度超慢！</t>
  </si>
  <si>
    <t>保温效果好，颜值高 给爸爸买的，他就喜欢各种保温杯，对于这款很满意，觉得颜值很高，保温效果也很好</t>
  </si>
  <si>
    <t>正版 一直信赖亚马逊，保温壶是日版的。保温时间长，心仪很久了，终于下手了。宝宝也很喜欢</t>
  </si>
  <si>
    <t>舒适 比较薄白色的透不能外穿，面料舒适。172  75穿着合适</t>
  </si>
  <si>
    <t>很棒 蓝色是骚了点，买大了一号，不过加个鞋垫还是合脚的。压脚背跟磨脚的现象没法避免，穿一阵子就好了</t>
  </si>
  <si>
    <t>Perfect boots! 第一次海外购直邮，体验很好，总共十天就到了。鞋子非常合脚，平时穿运动鞋40或者41这个买的7.5EE加个鞋垫刚好，包裹性和舒适度是我穿过的最好的鞋了。到手价加上税费一共1600，还是很划算了～期待过了磨合期的脚感～</t>
  </si>
  <si>
    <t>好质量 173cm，70kg，m穿起有点大，喜欢宽松的话很合适，我喜欢紧凑的s应该更好</t>
  </si>
  <si>
    <t>re系列，录音最对的选择 买来录音用的 在台里用的是re20，在家录音本来也想买20，买的时候没货，就买了320了。 怎么说呢，肯定是比普通话筒好的多，包括一些电容麦，录出来高音很漂亮，很有质感，很立体 低音的话，没有20那种加持的快感，但是也能很真实的反应出人声音色，总之也是很棒的 颜值真的高，黑色太好看了，比20好看的多 说下物流，因为付款人和收件人不一致，清关的时候延迟来着，在北京卡了整整5天 然后顺风送货，第二天就到了，一共花了15天的时间，快递包装袋很高科技，是絮了棉花的牛皮纸之类材质的纸袋儿，还不错 最重要的是，一共才花了2500+，比别的平台包括供货商都便宜多了，20也才3000，台里8000买的…可怕 我的声卡是雅马哈ur22ll，内置话放很棒，能把声音推上来，听人说别的声卡，推不动动圈，需要外置话放，这点真得注意…… 最后，这个系列的话筒录人声真的棒，毕竟央广标配来着</t>
  </si>
  <si>
    <t>纯棉 质量很好，稍微大一点点并不影响</t>
  </si>
  <si>
    <t>性价比极高的海外购 使用了4个月了，发现尚未评论。一切安好，尚未发现不良瑕疵。</t>
  </si>
  <si>
    <t>很不错的衣服 舒适柔软，尺码合适。</t>
  </si>
  <si>
    <t>满意 尺码合适穿着很舒服，满意</t>
  </si>
  <si>
    <t>装开水有味 中国制造，装开水有味。</t>
  </si>
  <si>
    <t>做工有些粗糙 鞋子收到了 中国产的...做工有些粗糙 不太敢确定是否正品 买之前真的很相信亚马逊自营 看来以后得注意一点了……</t>
  </si>
  <si>
    <t>差得令人惊讶 看这字印得，在国内山寨产品里都算最差的那个档次。1星都高了。</t>
  </si>
  <si>
    <t>性价比高 很有质感 价格实惠 就是实际颜色和页面介绍偏差较大 东西质量和舒适度可以</t>
  </si>
  <si>
    <t>还不错，没手柄和搅拌球 不错，但是没有带手柄，这点不好，孩子大点了想自己扶但是不会扶啊</t>
  </si>
  <si>
    <t>颜色 实物与图片颜色不太相符</t>
  </si>
  <si>
    <t>鞋面有伤痕咋办？ 鞋子来了，稍微有些大，垫了鞋垫正好，不过鞋面上有伤痕不知如何处理？</t>
  </si>
  <si>
    <t>衬衣尺寸与实际有出入 不太理想，尺寸大了</t>
  </si>
  <si>
    <t>是正品 鞋子很轻，很舒适！</t>
  </si>
  <si>
    <t>喜欢 小腿胳膊还有腋下都使用了两次了，效果真的惊艳，两个星期用一次，有一些没长出来，长出来的也很慢了看着不明显，毛星人的救星</t>
  </si>
  <si>
    <t>AKG Y500(绿色) 音质很好，日亚的商品，耳罩稍微有些热</t>
  </si>
  <si>
    <t>合适 大小合适，186，82公斤，远l</t>
  </si>
  <si>
    <t>蛮好的  ~~~ 穿起来很舒服 ~~~~非常划算 ~~~</t>
  </si>
  <si>
    <t>裤子稍小 卖家的表述与中国人的习惯不同，又没有一个直接与卖家沟通的平台。所以，对于在海南岛穿来说，稍嫌厚了点，穿上身稍紧⋯东西的面料、做工不错。</t>
  </si>
  <si>
    <t>全棉的 日本的尺码与国内还是很一致的，购买方便。</t>
  </si>
  <si>
    <t>尺码合适，但是外形架不起来 尺码挺合适，外形适合身材比较魁梧一点的人，普通和偏瘦的其实还是买亚洲版更好</t>
  </si>
  <si>
    <t>就是领口小了一点 173cm、78Kg国内买41的衬衫，这次买M的大小合适可领口小了，居然扣子都扣不上。不过穿上不扣领扣没问题</t>
  </si>
  <si>
    <t>漂亮秀气时尚 非常漂亮，召开羡慕的眼光</t>
  </si>
  <si>
    <t>颜色 色差自己感受下。喜欢就好</t>
  </si>
  <si>
    <t>帽子整体还行，商标的位置有点做工问题，懒得折腾了，留下 帽子整体还行，商标的位置有点做工问题，懒得折腾了，留下</t>
  </si>
  <si>
    <t>价格不错，声音比较大 价格不错，声音比较大，性价比高。</t>
  </si>
  <si>
    <t>很好的衣服 好好好，喜欢，有弹性</t>
  </si>
  <si>
    <t>【比较牛逼的移动硬】 很好用，用1年了没任何问题~</t>
  </si>
  <si>
    <t>不错 有点小 质量很好 很舒服</t>
  </si>
  <si>
    <t>有点大 很酷，喜欢。就是稍微有点大，穿了袜子也大</t>
  </si>
  <si>
    <t>两头实用 宝宝还没加辅食，买回来备用。拿来喂药也特别方面。</t>
  </si>
  <si>
    <t>好用 虽然要用变压器，但确实好用，保温效果超级好</t>
  </si>
  <si>
    <t>轻薄保暖 老公怕热不怕冷，冬天穿这个正合适</t>
  </si>
  <si>
    <t>金色复古手表 带着好显眼呀 超级喜欢〜 还有夜光的功能 好怀念呀 呵呵 发货速度 包装很精致</t>
  </si>
  <si>
    <t>第一次用 很不错，声音定位准，越听越有味，清淡，脱俗的气质。</t>
  </si>
  <si>
    <t>日本购买的中国制造 本来以为是日本货，结果是中国制造</t>
  </si>
  <si>
    <t>一般吧 感觉不是很值得,没想象的好</t>
  </si>
  <si>
    <t>用过几次  一年没有  就读写不出来了 没有质保 只有三十天的退换期限</t>
  </si>
  <si>
    <t>假货 此商品明显是假货。   1鞋盒中无合格证，各类印章全无。   2鞋底的狮子与正品完全不符。   3要购买的朋友请注意，一旦购买，退货运费将不会退还（100多运费）。</t>
  </si>
  <si>
    <t>太短了 30腰围，买30的居然五个孔的最紧一个孔都扣不上！！还没地方打孔了，直接作废！那有这种尺码的？</t>
  </si>
  <si>
    <t>便宜 图便宜买了两件，料子较厚，感觉还行。</t>
  </si>
  <si>
    <t>满意 在家穿穿挺好，当睡衣。</t>
  </si>
  <si>
    <t>粘毛，起球，触感粗糙 本人174cm，75kg，第一次买champion的裤子，M码我穿大小挺合适的 说说这个裤子的缺点： 1、要粘毛，最好是跟其他颜色衣物分开写； 2、要起球，摸着触感粗糙。  但，毕竟价格在这里，不考虑品牌，建议再贴一点点钱买安踏、李宁的。</t>
  </si>
  <si>
    <t>颜色过旧 颜色有点旧，前面还有一个口袋。国内码170穿这个有点小。袖子瘦长。</t>
  </si>
  <si>
    <t>需要把手更便携 有把手会更好 ，便于携带。</t>
  </si>
  <si>
    <t>喜欢 喜欢这款式，面料很好</t>
  </si>
  <si>
    <t>好 好 宽松肥大 舒服</t>
  </si>
  <si>
    <t>可以 还可以，大小合适。舒适</t>
  </si>
  <si>
    <t>很好的裤子 很好很满意！不错的！</t>
  </si>
  <si>
    <t>有点小 有点小，其余都好</t>
  </si>
  <si>
    <t>黑色短体桖 东西还不错，性价比很好，大小适合，还会继续选购！！</t>
  </si>
  <si>
    <t>很舒服，质量不错，的啊 不错的面料，很舒服，触感好好</t>
  </si>
  <si>
    <t>牛奶系统，一键式菜单 1.6种一键式菜单很便捷 2.牛奶系统很方便，味道不错 3.开机时用灯的闪烁进行提示不是很直观便</t>
  </si>
  <si>
    <t>物美价廉 二百五十三含税买下，稍微比正常码大一点，脚尖处比较宽W版，适合脚肥的人，这双上一次买的偏紧这次买的同样码偏松一点。</t>
  </si>
  <si>
    <t>几好！！不过个人可能手比较大，所以觉得手表比较小！！手表很精致！！ 几好！！不过个人可能手比较大，所以觉得手表比较小！！手表很精致！！</t>
  </si>
  <si>
    <t>长期服用 每天一次，效果估计得长期服用</t>
  </si>
  <si>
    <t>好 价格很优惠！损耗品可多买备用</t>
  </si>
  <si>
    <t>挺好用 挺好的。拿来工作用再合适不过~</t>
  </si>
  <si>
    <t>性价比很高的耳机 性价比没得说，三音均衡，解析和结像都很棒。就是稍微有点夹头。</t>
  </si>
  <si>
    <t>买大了…转手有需求的吗… 脑抽平常鬼冢虎42.5应该8.5差不多，选成了9.5…终于到货…还是挺好看的…就是大了T T 现在想出了他…感觉平常运动鞋44的差不多…有想要的朋友可以联系我下…</t>
  </si>
  <si>
    <t>满意 &lt;div id="video-block-RNAGZRYXUWMC1" class="a-section a-spacing-small a-spacing-top-mini video-block"&gt;&lt;/div&gt;&lt;input type="hidden" name="" value="https://images-cn.ssl-images-amazon.com/images/I/91W5fF2PgsS.mp4" class="video-url"&gt;&lt;input type="hidden" name="" value="https://images-cn.ssl-images-amazon.com/images/I/71aOhLkTvpS.png" class="video-slate-img-url"&gt;&amp;nbsp;自己动手安装挺方便，只用到大阪手，就跟换了之前用了近20年的混水器（也是日产）</t>
  </si>
  <si>
    <t>质量不错，价格OK 宝贝质量不错，价格OK，就是颜色样式不太符。退货要自去邮寄，麻烦，算了。</t>
  </si>
  <si>
    <t>喜欢 160。 90斤。穿xs刚刚好。有点oversize感觉就是袖子挺长的。不错很喜欢。百分之十正品</t>
  </si>
  <si>
    <t>大小合适方便背挎 很好很好很好</t>
  </si>
  <si>
    <t>买过最贵的电吹风 这段时间空气比较湿润，所以测试不了水离子的功效。相比198元的负离子松下旧电吹风，这款风大噪音低，很喜欢按住瞬间变凉风的功能。</t>
  </si>
  <si>
    <t>产品质量尚可 产品质量还行，大小合适，价格适中，比较推荐。我179CM 75KG买的M，正好。给各位做一个参考。</t>
  </si>
  <si>
    <t>挺好的 买大了，衣服质量不错</t>
  </si>
  <si>
    <t>质量不行 收到货时手表已经在走了，买来用了一两个月就不走了</t>
  </si>
  <si>
    <t>凉快就是特别大大大大 173cm 90kg 穿 XXL 不仅肥了两个码，而且太短，离膝盖还有一定距离。 舒服是舒服，比较凉快。</t>
  </si>
  <si>
    <t>包装不好 正品，但是包装回来，有好多都破壳而出</t>
  </si>
  <si>
    <t>不行 杯子味道特别大没法用，已经拆了退不了</t>
  </si>
  <si>
    <t>鸡肋产品。 不好用 一点都不好用，到头来还不如自己切。</t>
  </si>
  <si>
    <t>很好看 皮很软 38码买了us7.5合适，确实有点内增高啊哈哈是新款箭头金标。收到鞋两只都有穿过的痕迹，还是选择了退货，重新下单了，希望这次没问题。</t>
  </si>
  <si>
    <t>品质 质感其实不好，很单薄，不挺。线头特别多，纽扣的缝制做工很差。同价位与国内品牌比也没什么优势</t>
  </si>
  <si>
    <t>衣服很不错，物流体验不好 衣服本身很不错。有一定厚度，内有绒。穿上非常暖和（十几度的天气）。两侧都有口袋，一侧的口袋里还有一个类似零钱袋的网格小袋。还有耳机线孔。衣服稍显长，但我175,75穿M号还是比较合身。做工上质地比一般的如champion的要好很多。左胸前的logo虽然是烫印上去的，但是那种有凸起的，有一定厚度的，而不是那种类似油漆印的感觉。有些许线头，但不多。 谈到物流，体验很不好。理解双十一物流慢，我11月11日下的单26日到的。但这家快递公司人员的态度让人不快。本来海外购加双十一也没什么问题。但有趣的是看物流追踪信息，23日货品就到了上海，显示在配送。但后来就是显示配送高峰包裹延误。本来想打个电话给配送员问一下大概会延误到什么时候。配送员的电话始终处于关机状态。接下来连续2天都是同样情况。看信息，早上配送员就开始配送，但到晚上就显示延误，电话是白天晚上都关机。终于到26日。接到某配送员电话，说在你家楼下了，家里怎么没人（口气生硬且不耐烦）。我回答，不好意思上班时分家里确实没人，避免他再跑一次，可以有两个选择，一进得了楼大门可以将货品放在楼梯间的水表箱，或者是小区门口的丰巢。然后他又不耐烦的回应丰巢说不定满了。我说已经过了高峰时间了，应该没有问题的。没等我说完，他又不耐烦的说晓得了挂断了电话。亚马逊这次我就买了3样东西，有2样是这家快递送的都延误了。而第三件是圆通送的，没问题。所以亚马逊在这次双十一的物流表现上至少是比淘宝和京东什么的逊色</t>
  </si>
  <si>
    <t>水质会改变吗 感觉还不错，就是水没检测。</t>
  </si>
  <si>
    <t>还没开始用 囤货，一直没用上，都是买的成品辅食</t>
  </si>
  <si>
    <t>性价比高 鞋码很准，宽松款式，小半号可以。穿着轻便舒适。性价比高。</t>
  </si>
  <si>
    <t>冠军T恤 日本冠军，质量还可以，修身版，适合亚洲人体型，内有一层薄内衬。满意！</t>
  </si>
  <si>
    <t>质量赞 这次发货很快，包装完善而且很用心。小配件装好一套，不用看图纸也能上手。国内家装标准一致可以直接更换，就是适配偏心螺纹管对动手能力差的来说有点难度。控温很好，温度指示仅作参考。花洒很小巧，但出水量很大，手握能感觉到反作用力。软管有点硬，防止偏向冷水浇头。</t>
  </si>
  <si>
    <t>在亚马逊上购买安德玛水杯物超所值 水杯颜色亮丽大方，制作非常精美，容量适中，是健身和旅游必备之品，值得购买。</t>
  </si>
  <si>
    <t>牛仔裤 裤子大小合适，就是偏短了一点。但是再长一点的尺码又没货</t>
  </si>
  <si>
    <t>合适 一百十几买的，收到包包跟图片完全一致，不过后面降价了才七十几，亚马逊的价格是门学问</t>
  </si>
  <si>
    <t>172 60kg 172 60 kg 29w32l 腰刚好合适裤腿长了一点点。</t>
  </si>
  <si>
    <t>非常划算的海淘 帮朋友海淘的，价格非常划算！朋友说很喜欢，实物比照片还好看</t>
  </si>
  <si>
    <t>有效果 海外购太划算了，东西挺好的收到后每天都用，觉得还是有效果的，产后恢复必备</t>
  </si>
  <si>
    <t>合脚，但是偏大 鞋子很软，平时穿42的，结果这个42大了半码</t>
  </si>
  <si>
    <t>175  65kg买的S非常贴身，面料摸着舒服。 175  65kg买的S非常贴身，面料摸着舒服。</t>
  </si>
  <si>
    <t>非常不错。 包装有些简陋，不过实物收到很漂亮。</t>
  </si>
  <si>
    <t>三幅霹雳马卷笔刀 不愧是三福的，连卷笔刀都做得十分优秀，设计了两个规格的削笔孔，可以将彩铅削细长型的也可以是粗短型的，而且削笔很快不会浪费笔芯，容量比较大可以装多点笔削~所以虽然是四十多块钱一个，不过因为是直接海外购的也比代购的便宜，好的彩铅也要搭配好的卷笔刀，值得购买！另外，包装的话还是比较严实的，里面填满充气袋，可能由于是美国那边发出的，又在海关查验折腾了好些天，原包装有被开过的痕迹，不过易客满有用胶带再次封好，里面的东西完好无损，这次是第一次海外购刚好遇到g20峰会，所以清关比较慢，咨询了亚马逊客服，服务还是不错的，无论是电话，邮件还是短信都是有回应，有帮忙解决问题，不会怠慢，希望继续努力越做越好。</t>
  </si>
  <si>
    <t>还行 厚，让你有一种踏实的感觉……</t>
  </si>
  <si>
    <t>完美 完美！</t>
  </si>
  <si>
    <t>值得买 这个鞋子比较跟脚，包裹性强，皮质偏硬，鞋底硬度适中，没有阿迪boost那么软，整体比较舒适。</t>
  </si>
  <si>
    <t>Really nice 特别好，性价比高，很满意</t>
  </si>
  <si>
    <t>值得 172，70，尺码刚刚好，裤子质量很好，就是线头有点</t>
  </si>
  <si>
    <t>还可以 挺好的，大小合适，但鞋底有点脏，感觉像是在店里出售的展品，被试过好多次</t>
  </si>
  <si>
    <t>合适 36码的脚穿这个码正合适，里面的没有内衬布，有点掉色</t>
  </si>
  <si>
    <t>非常满意的一次购物 为750配了这个干杯，价格是国内行货的零头。一个容器，又没有电压之类的区别，保修基本也用不到，还能保证正品。除去干杯打干粉的功能外，32盎司的大小使用起来更加方便，现在经常用来打果汁，虽然果汁的细腻度不如湿杯，但清洗更方便。</t>
  </si>
  <si>
    <t>好评 摸着还可以，不知道效果怎么样</t>
  </si>
  <si>
    <t>刻度不准 刻度严重不准！！！误差能有10ml！！！</t>
  </si>
  <si>
    <t>单肩包 迷你肩包 S PM-01 还行，觉得200元以内比较合理！</t>
  </si>
  <si>
    <t>慎入 价格持续走低，装在笔记本上速度表现一般，可能是受限于笔记本平台，这样看来不如买其他品牌更便宜的</t>
  </si>
  <si>
    <t>不值得买 不值得买，导航盒电池不到一个月就耗光，售后服务差，解答疑问不耐烦</t>
  </si>
  <si>
    <t>用没几次就坏了 首先，东西用了10次不到马达就坏了，且机器打开时机身上有不少很淡的白色面粉状斑块，考虑到海外购的退货麻烦且打开包装时距离签收有好几个月了就算了，另外料理杯接口的盖子外面也有两个黄豆大的磨损(开始没注意到)，全新的商品不应该这样啊；其次，吐槽下中亚的客服服务简直就是垃圾，毫无诚信可言，体验过海外亚马逊和中亚客服服务的自然明白我说的。</t>
  </si>
  <si>
    <t>品质 确实不如华歌尔舒服</t>
  </si>
  <si>
    <t>衣服修身，胖人慎选。 衣服做工不错，样子颜色都挺好看的。长短合适，比较修身，基本上贴在身上了。身高175，体重66，S号。M号肯定又大了。</t>
  </si>
  <si>
    <t>稍大，面料较软 做工还行，面料较软。可能我头小，带着有点大了，可以当遮阳帽，潮帽就算了。。</t>
  </si>
  <si>
    <t>产品总体不错 其它都好，声音略有点儿响</t>
  </si>
  <si>
    <t>量很大 应该是真的吧，貌似有点作用，就是口味太甜</t>
  </si>
  <si>
    <t>奶嘴孔很小 这个Y型孔的奶嘴孔很小，吸起来很费劲。</t>
  </si>
  <si>
    <t>合身 没想到能买到这么合身的牛仔衣。我属于大胸，不好买衣服。这款身段合适，袖子稍长，需要挽一节。但总体显瘦。胖妹纸可以考虑</t>
  </si>
  <si>
    <t>非常好的淋浴龙头 花洒虽然很小，水流确不小，温度控制准确，比手动控制的混水阀出热水的速度快好多，而且温度稳定，可以开心的洗澡了</t>
  </si>
  <si>
    <t>合适 188/82，美版就只能选M号，约旦货的做工比洪都拉斯的好多了</t>
  </si>
  <si>
    <t>贝亲玻璃实感奶瓶 收到货虽然盒子有点烂了，但是里面的包装挺好的，瓶子是原装进口的，也没有破损，第一次在亚马逊海外购买东西，朋友推荐的，价钱优惠东西也好</t>
  </si>
  <si>
    <t>传输速度很快 实际7.2TB左右，有点遗憾，传输100多MB一秒，很快了</t>
  </si>
  <si>
    <t>舒服 给朋友买的，他说穿着舒服</t>
  </si>
  <si>
    <t>好 很舒适。松紧带窄，喜欢</t>
  </si>
  <si>
    <t>一致好评 给俩同事在日亚一人一个，不到五天就到货了，包装很精致，东西很满意。价格很实惠哦</t>
  </si>
  <si>
    <t>价格实惠 号码合适，价格实惠不少。</t>
  </si>
  <si>
    <t>使用前一定要设置好系统。 写入能到100M，需要设置好虚拟内存，硬盘属性里面打开高性能模式，否则只有20多M的写入速度。</t>
  </si>
  <si>
    <t>音质不错 音质不错，还是拜亚的经典味道，发货快</t>
  </si>
  <si>
    <t>合适 系统经典牛仔裤。老美的款式确实裤脚有一点点大，是真的直筒</t>
  </si>
  <si>
    <t>相当不错 尺码很准确，裤子质地比较厚实，腰部和整体都带弹力的，裤型也比较大方。这样的裤子国内买价格得翻倍。</t>
  </si>
  <si>
    <t>perfect shoes i bought a smaller size than normal. It's perfect fit. Looking very beautiful as well. Wearing together with jean very cool. i'm from DX state, IT'S A PRIVINCE OF SHANDONG, NOT SOUTH OF US</t>
  </si>
  <si>
    <t>不错 还不错，属于夏款，很薄</t>
  </si>
  <si>
    <t>补钙好选择 孩子一直都在用它家的东西 感觉没什么问题 孩子很喜欢</t>
  </si>
  <si>
    <t>不错料子挺厚的。。。。 不错料子挺厚。。。。。。</t>
  </si>
  <si>
    <t>不错的仔裤 挺好的，尺码合适，价格适中，比专卖店便宜不少。</t>
  </si>
  <si>
    <t>..... 很好的餐具，宝宝喜欢用</t>
  </si>
  <si>
    <t>感觉好容易就没了！ 很顺滑，感觉没什么蜡质</t>
  </si>
  <si>
    <t>挺好 体重胖的买正常尺寸就行 袖子长点</t>
  </si>
  <si>
    <t>这次真的信了！ 开始找了很多牌子，无法确定。最后看到这个，施耐德，品牌好，买家多，品论也多，所以选了这个。。但回来试了才发现，我应该相信楼上大哥们的话。。这个笔真的有点小问题。。转笔时候真的不出水。。试了之后真的信了。。不过其他还好。。。第一次在这里购买。。有点小失望。。准备去澳门时候再买一支。。这个就备用了。。。</t>
  </si>
  <si>
    <t>质量尺寸 感觉不出是纯棉，还想没大了当睡裤，这质量不行，另外我170高140重买m是偏大。</t>
  </si>
  <si>
    <t>推荐购买 160，96斤，大小合适，颜色是米白色，里面加绒，胸前是印花，袖子上是刺绣，价钱合适，可以购买。</t>
  </si>
  <si>
    <t>好大啊…… 原本以为和columbia一样买美版XL对我刚好的，哪知道Champion 的XL码如此巨大，自认肩膀很宽的我穿着像唱戏的，因为不贵，也懒得退了，直接放家里当睡衣穿了，毕竟触感和用料感觉下来还是非常不错的，就是尺寸难以把握……</t>
  </si>
  <si>
    <t>质量一般 笔基也就是握笔的地方是两片塑料拼接起来的，有明显的拼接缝</t>
  </si>
  <si>
    <t>不好 不好，发过来的钢笔明显用过，还不顺滑</t>
  </si>
  <si>
    <t>买贵了 买贵了，买贵了，相差1000块，之前买的5800</t>
  </si>
  <si>
    <t>舒适 无钢圈穿上很舒服，聚拢效果不错，夏季穿在身上不感觉热。</t>
  </si>
  <si>
    <t>穿了一天的感受 平时穿nike，adidas的运动鞋是36.5到37，这双买的uk4往前挤的话后跟那还大了一点点，但是比较喜欢穿松一点所以可以说是合适，走路的确掉脚跟但只要把鞋带绑紧一点就不会。puma的细节处理确实没有别的牌子好，只穿款不在乎质量的话入手ok</t>
  </si>
  <si>
    <t>有味道 有味道，洗了几次，还是有味道</t>
  </si>
  <si>
    <t>好看 唯一缺点是没有帽绳。。。去哪儿配啊</t>
  </si>
  <si>
    <t>返璞归真 基础功能，对于只需要简单计时和防水功能的运动和户外活动爱好者来说绝对是首选。返璞归真，跟着自己的感觉和爱好走，不让各种智能数据做自己的主！</t>
  </si>
  <si>
    <t>性价比 给妈妈买的，很划算，性价比高。</t>
  </si>
  <si>
    <t>物有所值 非常漂亮舒適的切爾西，鞋碼很準確</t>
  </si>
  <si>
    <t>很好 尺寸正合适，穿着也很舒服</t>
  </si>
  <si>
    <t>东西还是可以的 十几美元的东西。还是可以的。国内现在很难买到裆长一点的裤子。特别是高个男孩。</t>
  </si>
  <si>
    <t>可以的 速度比想象中快多了  非行家  不是太懂  能用就可以了</t>
  </si>
  <si>
    <t>美版正和身。 182cm,110kg。在国内不好买衣服，美版XL正和身。</t>
  </si>
  <si>
    <t>种草很久了！ 种草很久了~！ 但是维他密斯的东西都太贵了，这款是经典版的，属于商务简包装，简单实用，终于还是下手了。 东西不错豆浆，米糊都很细腻哦~！</t>
  </si>
  <si>
    <t>值得购买 东西不错，我相信国内也能做出来这样的产品，只是国内缺少信任，所以还是愿意在国外买一个。在电脑上拷贝发文件，平均速度65~70M，三个USB口都试了，一个非常慢20M，另外两个一样，说的380M的速度在我电脑上没看到，估计我电脑USB口的输出问题，速度非常稳定，这次买这么好的优盘，也第一次买这么贵的。</t>
  </si>
  <si>
    <t>棒棒 做工很惊艳，价格也美丽</t>
  </si>
  <si>
    <t>这款抓绒衣挺好的 做工好，剪裁完美，穿着舒适，值得买。</t>
  </si>
  <si>
    <t>好用 很好用，密封性很强..</t>
  </si>
  <si>
    <t>总体不错。 物流挺快的，确实存在秒针对不齐现象，但总体表还是不错。</t>
  </si>
  <si>
    <t>我 一级棒噢，很喜欢，很喜欢质感</t>
  </si>
  <si>
    <t>化身大只佬 厚实，穿上感觉自己大只了很多，可能修身更适合。不过穿久了就适应了。十分保暖，袖子略长，其他都很好，值得拥有</t>
  </si>
  <si>
    <t>合身 172，64公斤这样，30*30完美的一塌糊涂。第一次买LEE真是好东西</t>
  </si>
  <si>
    <t>男鞋 舒适，轻盈，适脚，继续支持😊</t>
  </si>
  <si>
    <t>适合运动的时候穿，有弹性，包裹性也不错，平时我还是喜欢穿宽松的内裤，。缺点是洗几次以后有点褪色和缩水 适合运动的时候穿，有弹性，包裹性也不错，平时我还是喜欢穿宽松的内裤，。缺点是洗几次以后有点褪色和缩水</t>
  </si>
  <si>
    <t>没有专柜的好 S就够了166 67kg  感觉没有国内专柜里的lee 做工好。产地都是孟加拉 柬埔寨。一</t>
  </si>
  <si>
    <t>颜色有点偏 颜色与派克纯黑有点区别</t>
  </si>
  <si>
    <t>舒服 很舒服的鞋，软不磨脚还有型，缺点是容易沾灰</t>
  </si>
  <si>
    <t>价格挺好，同事说很满意 松下的东西一直值得信赖。而且不用买变压器。性价比高。</t>
  </si>
  <si>
    <t>质量差 无话可说，地摊货都比它好！</t>
  </si>
  <si>
    <t>性价比不高 图片看起来还不错，实物材质和品相都不怎么样。价钱也不算低。</t>
  </si>
  <si>
    <t>大小合适. 176CM,88KG,大码都不有点大喽.</t>
  </si>
  <si>
    <t>过于懈松，编制的不紧密 编织的不紧实，质量一般</t>
  </si>
  <si>
    <t>不到一年，硬盘滴滴响，电脑无法识别 不到一年，硬盘滴滴响，电脑无法识别</t>
  </si>
  <si>
    <t>寄过来一个坏表 寄过来一个坏表，根本不走。太糟糕的网购经历了。以后再也不在亚马逊消费了。</t>
  </si>
  <si>
    <t>大小按平时买就好，舒适度不如踢不烂，不过也很不错了 还不错，不过买的当时英亚还不免运费</t>
  </si>
  <si>
    <t>偏大一码 42的有点儿大，垫了鞋垫还可以，41的就好了</t>
  </si>
  <si>
    <t>暖和宽松 裤子宽松，穿着暖和。</t>
  </si>
  <si>
    <t>总体感觉还好。 总体感觉还好一般。没有ck的舒服。物流挺快的，越南生产。</t>
  </si>
  <si>
    <t>还不错，价格有优势，下单后6日内送到 腰围94-95，LEE牌牛仔裤穿W34L32，皮带选的36的，皮带一共5个扣眼，正好系到第3个扣眼，长度完美。质量一般，不是很厚，没有想象的好。</t>
  </si>
  <si>
    <t>尺寸 商品很好</t>
  </si>
  <si>
    <t>就是这个范儿！ 本人身高184，体重86kg，长期健身，穿L正好</t>
  </si>
  <si>
    <t>赞 非常合身，100个赞，可惜我要的码只有一个颜色了</t>
  </si>
  <si>
    <t>便宜实惠正品 亚马逊的东西便宜又实惠，又正品。还会再来。</t>
  </si>
  <si>
    <t>合适 穿了很舒服，大小合适，袖子有点长，貌似欧美衣服，袖子都长。</t>
  </si>
  <si>
    <t>超级舒服 裤子整体不错，性价比高，材料舒服有弹性，182高。85KG，33*32的基本合适，腰需要发挥松紧带的功能，稍紧一点点，不知道为什么LEE没有W33/L33这个码，要是这个码，就太完美了。</t>
  </si>
  <si>
    <t>质地很好，简洁耐穿 皮子质地很好，价格也很合适。穿着起来很舒服。就是比一般的6码大一点点。不过属于瘦版鞋形，并且没有拉链，如果再小半码，可能穿厚袜子踩进去有点费劲。脚净长24吨，不到24.5。</t>
  </si>
  <si>
    <t>很好的衣服 非常合适，很满意，面料较柔软，穿着非常舒适</t>
  </si>
  <si>
    <t>中国制作 图案很鲜艳，质量也很厚实，就是不知道材料是否百分百安全。宝宝的餐具就要做到食品级的，真心的安全！！才是人道，也是品牌长盛不衰的根基！</t>
  </si>
  <si>
    <t>速度很快。 速度很快，稍微有声音</t>
  </si>
  <si>
    <t>裤子 裤子穿起来很舒服，也非常暖和</t>
  </si>
  <si>
    <t>舒服，尺码合适 我脚背高，大拇指长，40码的脚，买的就是6.5码，这是我穿过最合脚的一双其乐，虽然脚背还是有点嫌低，但鞋带可以松松，穿着包裹性很强，走路舒服，也很好搭配。竟然比之前买的一双类似款式的爱步舒服。</t>
  </si>
  <si>
    <t>完美 买了四个了，轻、严、保温效果好</t>
  </si>
  <si>
    <t>专业耳机 频响均衡，一款非常不错的耳机</t>
  </si>
  <si>
    <t>价格略高 挺好的，颜色挺不错  ，就是价格略高，是美国产的</t>
  </si>
  <si>
    <t>超可爱的餐具 超级可爱的颜色，很实用</t>
  </si>
  <si>
    <t>海外购实惠 包装非常扎实，很薄，希捷出货多，故障率不算低，希望这块用的时间久，仓盘。</t>
  </si>
  <si>
    <t>不错 正品，很完整，几乎无漏活性炭</t>
  </si>
  <si>
    <t>穿着很舒服 比想象中的软、舒服，建议比球鞋买小一码，很不错</t>
  </si>
  <si>
    <t>恒温水龙头比较小巧性价比高 5天就收到了，请了师傅安装一会儿就搞定了，用了一下控温的按钮(小黑点)好像不起作用，按和不按都能旋转，但温度控制还是蛮好的，花洒比较小，总的来说这个恒温水龙头比较小巧，性价比蛮高。花洒的塑料管子比较硬换了自己原来的管子</t>
  </si>
  <si>
    <t>推荐 这个裤子瘦人穿起来还是很不错的，就是有点儿偏硬，过水后会好很多，本人身高181CM，65公斤，腰围2尺4，穿31WX32L刚刚好。想入手的可以作为参考</t>
  </si>
  <si>
    <t>不错 直筒裤，很好很舒适，尺寸标准。</t>
  </si>
  <si>
    <t>质量不行 用了大半年后，锅底出现了一个个小坑并有增多趋势，准备坚持用下去直到漏水为止， 看看它到底能坚持多久，锅的材质不行，这应该是钢板里面的气泡吧</t>
  </si>
  <si>
    <t>不好 胸口logo的机绣跟山寨货一样</t>
  </si>
  <si>
    <t>产品很一般，不能有太高期望 不能仔细看，否则太多瑕疵。有点失望。 1，表壳是塑料的，做了金属涂层，用久了肯定会脱落。说明中有说，没看仔细。 2，表链好薄弱，特别是扣具和表壳连接处。 3，黑色表盘小，刚开始有些不习惯。 4，冲着光能来买的，希望耐用些。 5，远看还是不错的。  日亚速度真快，周日下单，周三收到。 试用两个月的Prime会员，都有些不好意思了。正式加入prime。188的确很划算，快递一份文件去巴西都要三百多。</t>
  </si>
  <si>
    <t>工业甲醛味道，洗不掉！非常差！ 衣服有工业味道，洗了2次，用盐水泡都泡不掉！</t>
  </si>
  <si>
    <t>请大家慎重购买，两个月不到秒针掉了，海外购没有保修服务的！ 请大家慎重购买！！以耐摔耐用而闻名的GSHOCK居然在两三天偶尔带一次的使用频率下秒针掉了，而且入手刚不足两个月。海外购订单在过了一个月退换货时间后亚马逊就不管了，维修没有全球保修卡，坐标上海，自己联系英国的，所以大家慎重选择亚马逊。。慎重啊！</t>
  </si>
  <si>
    <t>衣服有漂染气味 我去年买的同款衣服收到时衣带有香味，这次收到时是漂染的气味，完全不一样</t>
  </si>
  <si>
    <t>越低调，越专业。 第一时间拿到手开箱，检查，验证，全都没有问题，唯一可惜的是少了耳机包。k240s确实比较难推。电脑上还还说，到了平板上就很难了。总之煲完耳机希望能有惊喜吧。</t>
  </si>
  <si>
    <t>交货延迟了！ 商品本身OK的，交货延迟了蛮久。短信通知说是被海关扣住了。这么看来，清关手续还书蛮复杂的吧。</t>
  </si>
  <si>
    <t>推荐 非常好穿！平常穿37，这次买大一码，略有富余，但完全不会显脚大，很有型！还比预期早了一周到。</t>
  </si>
  <si>
    <t>还可以 泰国产。有点小瑕疵，整体不错。</t>
  </si>
  <si>
    <t>鞋子很好，就是尺码太大了 鞋子不错，穿上脚很舒服，轻便而且有一种没穿的感觉，但是真的是大了。我平时运动鞋穿38，这个伸一个手指进去都有余，同事39的脚，试穿刚刚好。喜欢的人一定要买小一个码。注意，我的是德国亚马逊发货。</t>
  </si>
  <si>
    <t>鞋是好鞋，号不正经 鞋是好鞋，号不正经？</t>
  </si>
  <si>
    <t>强烈推荐 保温性能好，轻便精致。</t>
  </si>
  <si>
    <t>非常舒服的一条塑身裤 我买过不止十件塑身裤了，这是最舒服的一条</t>
  </si>
  <si>
    <t>值得买 一直在穿CAT，踢不烂这双实在好穿，脚感很好，比CAT的靴子舒服很多。宽版实在是款，适合脚胖和脚面高的，一般脚建议选标准鞋楦就好！</t>
  </si>
  <si>
    <t>满意的购物 不错</t>
  </si>
  <si>
    <t>东西还好，但是用的时间并不是很长，家里小孩都是喝温水的，喝这个的话比较容易凉，毕竟小孩喝水还是超慢的 东西还好，但是用的时间并不是很长，家里小孩都是喝温水的，喝这个的话比较容易凉，毕竟小孩喝水还是超慢的</t>
  </si>
  <si>
    <t>非常不错，满意 非常不错，满意，帮我哥买的，他很喜欢，价格是国内的1/3</t>
  </si>
  <si>
    <t>Clarks是很实惠的 鞋底比较软，舒服，只是不是很耐磨。国内25.5-26的鞋，选码7.5UK，8.5US，41.5</t>
  </si>
  <si>
    <t>很好 很喜欢，比想象中的要好。有其他颜色就更好了。</t>
  </si>
  <si>
    <t>鞋底硬 但穿穿也没什么不舒服的 平时穿他家37.5号 这次依然是，这双确实有点紧，前面比较瘪，薄袜子还可以，否则磨小脚趾（我属于脚背比较高的），鞋底开始觉得硬，后来穿穿也没什么不舒服的 很自然的适应了</t>
  </si>
  <si>
    <t>帮朋友买的 帮朋友买的，反馈过来说很好。</t>
  </si>
  <si>
    <t>满意 太满意了，好看极了！</t>
  </si>
  <si>
    <t>WD My Passport Ultra 移動硬盤2TB 優點：亞馬遜黑五戰利品，超低價格；彩色紙盒包裝，全密封，全新品；外殼是兩種材質，上面是鋁合金，下面是塑料；此款移動硬盤分PC版和MAC版，只是初始格式不一樣，其他都一樣，無論購買哪個版本，都可以重新更改格式，以便適用不同系統；USB-C接口，附贈USB-A接口轉換頭；速度超級快，居然每秒230MB左右，而且速度穩定，基本能保持全程高速，可以稱得上是神盤。缺點：做工尚可，但不是特別精細，外殼上下蓋之間的縫隙稍微有點大。</t>
  </si>
  <si>
    <t>赞 包不错，很实用，是中国制造的</t>
  </si>
  <si>
    <t>合适 不错，号码很准，版型也好。</t>
  </si>
  <si>
    <t>非常好 无论包装、产品都非常好！</t>
  </si>
  <si>
    <t>挺好的 平时穿43号，这个买的43.5。长度是略有富裕。脚比较胖，感觉稍微有点挤。也许该买个44的。 很重，跑起来明显累。当负重练习了</t>
  </si>
  <si>
    <t>虎牌的保温杯不错 相信虎牌这个牌子，外观不错，杯子轻巧，保温效果也很好。</t>
  </si>
  <si>
    <t>很赞 性价比很高，值得推介。</t>
  </si>
  <si>
    <t>RIVER LIGHT 日本炒锅30cm J 1430 锅很好，热传导快，也轻</t>
  </si>
  <si>
    <t>尺码合适 172 75kg  穿m号修身 ( 平时有健身)</t>
  </si>
  <si>
    <t>物超所值 量大，实惠，好大一瓶</t>
  </si>
  <si>
    <t>料子不舒服 料子摸起来不舒服，和想象中差很多</t>
  </si>
  <si>
    <t>质量不咋滴 超级轻，连着屏幕都是塑料的，容易刮花。适合给小孩子当玩具用</t>
  </si>
  <si>
    <t>还行 太厚了！而且洗了以后内层退毛挺多的</t>
  </si>
  <si>
    <t>疑似二手货 这是一件洗过的裤子，散发出洗衣液的味道，已经是第二次了，裤子是做旧的吗？</t>
  </si>
  <si>
    <t>保修服务该何去何从？？？ 秒针不对刻度，没有发票，也没有吊牌。很担忧是否正品。保修卡上没有公章，就意味着后期保修服务没有保障</t>
  </si>
  <si>
    <t>鞋子偏小 鞋子比平时偏小两号。</t>
  </si>
  <si>
    <t>不错 一直用的此品牌，宝宝没有说不吃奶嘴的</t>
  </si>
  <si>
    <t>太长了 过长。平常买这个码子都没用这么长。裤子本身很好看。可惜我腿短</t>
  </si>
  <si>
    <t>推荐购买 比起5044底围更大，稳定效果还是比不上5044，适合一些低强度运动。胸型有点奇怪，显得有点尖。呃，不过这个玫红色上身还挺显肤色的。做做瑜伽穿还是挺不错的。夸一句海外购，下单到送达只要五天。价格低的时候入手非常合适。</t>
  </si>
  <si>
    <t>好玩 觉得腿没有那么肿了  但是真的好贵啊 秒杀买的还这么贵 会穿的久么  期待</t>
  </si>
  <si>
    <t>压耳，低音好。 低音不错，但是耳机里面的塑料支架，有点压到耳朵了，戴久了疼。降噪效果一般，这款耳机主打低音吧。这个价位值得买！</t>
  </si>
  <si>
    <t>合身 衣服穿起来很合适，小号的对于170cm和60+kg很合身，穿起来很显身材。</t>
  </si>
  <si>
    <t>小花好可爱，味道香香哒 小花好可爱，味道香香哒！</t>
  </si>
  <si>
    <t>第一次亚马逊国际上买东西。 这个颜色很喜欢。价格还是比较实惠的。</t>
  </si>
  <si>
    <t>值得购买 真的灰常喜欢，保温效果很好，每天都在使用呢。物有所值</t>
  </si>
  <si>
    <t>无感内裤 穿起来感觉不到它的存在！很舒服！</t>
  </si>
  <si>
    <t>滋润 刚用过一次，比较滋润</t>
  </si>
  <si>
    <t>华歌尔 产后腹带（长款） 感觉挺有用了，也是下了功课才来买这款，挺不错的，要坚持，一天至少八个小时吧</t>
  </si>
  <si>
    <t>好用 没有味，使用起来挺方便，很好用，只是把手处做工少有欠缺，总体来说不错</t>
  </si>
  <si>
    <t>大容量带开关 容量很大，还有单独的开关，运行的噪音和震动都很小</t>
  </si>
  <si>
    <t>送货快，口味满意 周一晚上订货，周六就收到了，没有添加剂的味道，很好</t>
  </si>
  <si>
    <t>格莫拉 非常棒的鞋子 就是价格太不稳定了</t>
  </si>
  <si>
    <t>舒服 很舒服，没有束缚感，跟没穿一样，是我想要的效果</t>
  </si>
  <si>
    <t>原装线，音质均衡，耳机复活了 和原装线一样的，包裹从日本过来，大约一周。价格和淘宝没差多少，主要买个放心。</t>
  </si>
  <si>
    <t>特别棒！ 太棒啦！手感很好！给大家个参考  身高171 体重67  选的M  大小正好！袖子长挽上去穿正好~也好看</t>
  </si>
  <si>
    <t>很好！ 非常棒！包装也很靠谱，有外箱。价格比国内便宜很多～一直在纠结买DG还是Nespresso，最终选了Nes。</t>
  </si>
  <si>
    <t>不错啊 皮质，包包比想象中的大些</t>
  </si>
  <si>
    <t>轻柔舒适 轻柔舒适，没有束缚感。自从穿了郡是，才知道内衣可以做的这么舒服。中日差价很大，亚马逊海外购真心省钱！</t>
  </si>
  <si>
    <t>OK 要买再大一号地, 68公斤 170身高</t>
  </si>
  <si>
    <t>保健食品 避光包装踏实，服用两周确实和其他鱼油效果差异明显，调解内分泌和神经健康有帮助，适合脑力工作者</t>
  </si>
  <si>
    <t>强烈推荐 很薄，很修身，料子很垂，不用熨烫。 我173CM 77kg。</t>
  </si>
  <si>
    <t>toto花洒 东西不错，看起来非常有档次，感觉买的很划算。</t>
  </si>
  <si>
    <t>舒服 除了稍微有点小，穿起来还是很舒服的。刚穿有点紧，过几天会好一些，建议比皮鞋码大1个半码。</t>
  </si>
  <si>
    <t>效果不好 没有杯垫撑不起来，弧度不好有点尖，效果不好！</t>
  </si>
  <si>
    <t>立裆短，大腿瘦，裤脚肥 立裆短，穿起来不舒服，大腿略瘦，视觉效果有点绷，裤脚肥，直筒的效果太强，在亚马逊海外购上买过几次裤子，都不合身，看来老外的版型和国内差别还是很大</t>
  </si>
  <si>
    <t>颜色老气，款式不好看 颜色老气，款式不好看</t>
  </si>
  <si>
    <t>这个已经不叫色差大了。 颜色简直就是天差地远。我感觉上当了。</t>
  </si>
  <si>
    <t>空有颜值 不好用一般 削两支都断芯呢 刀片好差呀</t>
  </si>
  <si>
    <t>这是亚马逊黑五和天猫双十一期间看得最多却又最失望的购物 11月23号黑五下单到手价674元；wangyikaola现在做双十二活动限码数才589元。（亚马逊看到评论有说500多到手的，但那个人却不是我，心里万马奔腾） 1.首先大家要有一分钱一分货的概念（因为玩不过亚马逊） 介绍里面写的好好的10061，皮内里，但是收到货后才长知识，买bid kid 5M码到货后才知道这款叫12909 2.普及知识 经典大黄靴分类： 10061（男款，鞋带孔：七孔，皮内里，抗疲劳皮鞋垫） 10361（女款，鞋带孔：六孔，皮内里，抗疲劳皮鞋垫） 12909（童装款/低配版，分big kid和little kid，成人一定要买big kid，鞋带孔：六孔，布内里，普通布鞋垫）重量：较成人款轻。 综述：亚马逊买东西，物品价格随时会变动，不同码色不同价格，介绍信息模糊，评论是国人参考的重要依据。 最后，235脚的老婆穿bid kid 5M码合适，希望对看到的此评论的人有帮助。</t>
  </si>
  <si>
    <t>比较满意 整体比较满意，尺码，厚度，颜色</t>
  </si>
  <si>
    <t>配送快，包装不错 1月8号下的单，16号收到，国内配送是顺丰，比我想象中的要快，而且包装没有之前评价的那么差，应该是改进了。滤芯还没有开始用，希望如之前买的一样好。</t>
  </si>
  <si>
    <t>没有说明书 我在其他地方买的可么多么奶瓶有说明书（各种语言的），可是在亚马逊买的里面什么都没有，味道也比原来买的大一些，不知道怎么回事……外包装倒没什么区别。</t>
  </si>
  <si>
    <t>说是日码偏小 买的正合适 买的日码M，大小至腰下，秋季薄厚正合适</t>
  </si>
  <si>
    <t>物有所值 非常轻，没发现漏水现象，杯盖基本为塑料，而且可拆卸，方便清洁。</t>
  </si>
  <si>
    <t>物有所值 性价比很高，美国直邮大概1个星期左右就到了，速度可以</t>
  </si>
  <si>
    <t>货好不贵 货好不贵。以实际行动为中美正常贸易添砖加瓦</t>
  </si>
  <si>
    <t>和牙刷一起买的 和牙刷一起买的，搭配电动牙刷，配套的，挺好的。</t>
  </si>
  <si>
    <t>不错，可推荐 鞋子是正品，大小刚好，第一双爱步鞋，挺喜欢</t>
  </si>
  <si>
    <t>很合脚 一直穿爱步的鞋，很好，和国内买的号码一样。</t>
  </si>
  <si>
    <t>不错不错 100块钱一条的裤子，抱着不好穿就认了的心态买的，结果质量超乎想象。</t>
  </si>
  <si>
    <t>大小合适 非常喜欢，陪了一个冬天了</t>
  </si>
  <si>
    <t>质量还不错 比180元3双的那种同品牌180D的更细腻一点，但总体来说，还是比不同天鹅绒。宽松不紧绷，有脚口，上身感觉很舒服。</t>
  </si>
  <si>
    <t>一天就到 狗盆到了，好不好要以后娃说了算</t>
  </si>
  <si>
    <t>价格实惠 &lt;div id="video-block-R1YNDXPVY7B0MP" class="a-section a-spacing-small a-spacing-top-mini video-block"&gt;&lt;div tabindex="0" class="airy airy-svg vmin-supported airy-skin-beacon" style="background-color: rgb(0, 0, 0); position: relative; width: 100%; height: 100%; font-size: 0px; overflow: hidden; outline: none;"&gt;&lt;div class="airy-renderer-container" style="position: relative; height: 100%; width: 100%;"&gt;&lt;video id="23" preload="auto" src="https://images-cn.ssl-images-amazon.com/images/I/914cPqyzgXS.mp4" style="position: absolute; left: 0px; top: 0px; overflow: hidden; height: 1px; width: 1px;"&gt;&lt;/video&gt;&lt;/div&gt;&lt;div id="airy-slate-preload" style="background-color: rgb(0, 0, 0); background-image: url(&amp;quot;https://images-cn.ssl-images-amazon.com/images/I/81OzS4H5A+S.png&amp;quot;);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center;"&gt;0:00&lt;/div&gt;&lt;div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value="https://images-cn.ssl-images-amazon.com/images/I/914cPqyzgXS.mp4" class="video-url"&gt;&lt;input type="hidden" name="" value="https://images-cn.ssl-images-amazon.com/images/I/81OzS4H5A+S.png" class="video-slate-img-url"&gt;&amp;nbsp;物流算正常，价格划算！不过要买变压头唷！</t>
  </si>
  <si>
    <t>多次回购 24的尺寸很适合三口之家做汤做焖肉。质量棒！</t>
  </si>
  <si>
    <t>目前最好用的辅食剪 小巧方便携带剪任何东西都好用 那个盖子是个败笔，必须按照方向盖否则很难拔掉</t>
  </si>
  <si>
    <t>穿上舒服 穿上很舒服，像把脚托住一样</t>
  </si>
  <si>
    <t>舒服 很舒服，号码合适。四百陆拾整到手，虽然不算太低价，但刚需的话价格可以接受吧。快递耗时6天，很快。</t>
  </si>
  <si>
    <t>Doubt the true and false I'm very pleased with the product. But the labels are different from what I bought in Hongkong. White clear handwriting is bought in Hongkong, gray handwriting vague is bought in Amazon japan. Do you see the difference?</t>
  </si>
  <si>
    <t>奶嘴 做了很多攻略，最后奶瓶奶嘴选择了贝亲，亚马逊开通的海外购，真的太快了</t>
  </si>
  <si>
    <t>大小合适，款型喜欢。 裤子大小合适，尺码标准，就是厚了点，适合秋冬季穿，满意。</t>
  </si>
  <si>
    <t>餐盘不错 放零食给宝宝吃，很稳很不错</t>
  </si>
  <si>
    <t>很舒服 很舒服</t>
  </si>
  <si>
    <t>终于购到！ 已购买！期待安装！期待飞雨</t>
  </si>
  <si>
    <t>一般 拉链不好用 样式一般 颜色一般</t>
  </si>
  <si>
    <t>保质期 果然是临保质期的 想知道海淘都是这种吗 20年八月就到期了 根本吃不完</t>
  </si>
  <si>
    <t>不喜欢里侧接缝 大小合适，做工也可以，但是里侧的接缝处实在硌腿啊</t>
  </si>
  <si>
    <t>极差的体验 定的2E结果发过来的是D，就是因为国内没有2E才来这边的！由于着急用也没法换了，要说法！要赔偿！</t>
  </si>
  <si>
    <t>差 第一条还好，第二条垃圾</t>
  </si>
  <si>
    <t>整体都是不错的 说一个缺点吧，鞋底厚实，结果就是，鞋子感觉有点重，不过穿几天也就习惯了</t>
  </si>
  <si>
    <t>包装 包装真的是像装垃圾的一样，</t>
  </si>
  <si>
    <t>不错 该是可以的，就是长度有点长</t>
  </si>
  <si>
    <t>有型便宜 不错，便宜实惠，布料偏硬</t>
  </si>
  <si>
    <t>同一个尺码大小有点差异 还行，性价比高，算是有个牌子的，没牌子就不值这个价</t>
  </si>
  <si>
    <t>质量很好 宝宝出生一直用的贝亲，以前都是从日本亚马逊购买，转运超级麻烦，现在有了海外购方便不少</t>
  </si>
  <si>
    <t>保温 保温效果好</t>
  </si>
  <si>
    <t>过大，仍很满意 衣服不是很厚，但比图示美，可惜买大了。 根据衣服上的图标显示（见图），美国的S码相当于亚洲的L码。本人平时穿M码，故应买美国的XS码。 亚马逊的提示买L码。</t>
  </si>
  <si>
    <t>很好 很好很软 也不勒着胃 但是感觉力度还不够</t>
  </si>
  <si>
    <t>性价比高，颜值也高 性价比高，颜值也高</t>
  </si>
  <si>
    <t>要是有中文说明书就更好了 我买的最贵的电熨斗了，效果没有让我失望，蒸汽很大，操作很简单，需水量完全可以达到6-7件，大大提高了效率。</t>
  </si>
  <si>
    <t>夏天用不上，还是有点厚 春秋天使用会更好，夏天空调房用不上，会很热</t>
  </si>
  <si>
    <t>好东东 用了很久了，推荐大家.</t>
  </si>
  <si>
    <t>挺好的粉 因为巧克力的便宜买的，香草的味道能好些。挺好的。</t>
  </si>
  <si>
    <t>味道不错 味道不错，价格实惠，小罐包装保持新鲜</t>
  </si>
  <si>
    <t>性价比首选 经典！适合手腕细的带，女士也可以带，三防手表用起来省心。</t>
  </si>
  <si>
    <t>我买了黑色的好配衣服好舒服，比什么安莉芳哪些舒服很多，还想再买，可惜再买了另外两个款式的罩杯太薄了，一个穿起来凸点，另外一偏大一点都不贴身 我买了黑色的好配衣服好舒服，比什么安莉芳哪些舒服很多，还想再买，可惜再买了另外两个款式的罩杯太薄了，一个穿起来凸点，另外一偏大一点都不贴身</t>
  </si>
  <si>
    <t>如果不是特体，建议都S码 和夏天买的短裤属于同一类型，短裤M可以，但长裤M一定因过长穿不了。萨尔瓦多制造，做工尚可，如果再厚一些就更OK了。</t>
  </si>
  <si>
    <t>很好穿 发货很快，很好穿。就适合上海这种阴冷的天气。</t>
  </si>
  <si>
    <t>满意 跟轻巧，保温效果很好，应该是正品</t>
  </si>
  <si>
    <t>开水特别快，样式大方美观 开水特别快，样式大方美观</t>
  </si>
  <si>
    <t>衣服评价 中国生产的，出口日本 的好于其它产地。面料厚实、质感好。</t>
  </si>
  <si>
    <t>杯子不错 很棒</t>
  </si>
  <si>
    <t>好穿，夏天也不热 这个轻便又舒服，比另外一个品牌的好穿。一分钱一分货</t>
  </si>
  <si>
    <t>值得购买 原装产品就是好！</t>
  </si>
  <si>
    <t>很好 174，71公斤穿着正好，质量很好。</t>
  </si>
  <si>
    <t>帆布包挺好的喜欢 做工蛮好的，一百多到手，划算</t>
  </si>
  <si>
    <t>注意：173买M码穿不上退不了！！！加一两码吧 小了至少两码，穿上去算吊👕了吧？退货运费衣服价格的一半，我只能把它收藏起来当传家宝了</t>
  </si>
  <si>
    <t>续航时间短，佩戴容易掉 不适合运动戴，耳机经常掉，耳机线也老是乱跑…音质是不错，蓝牙连接很快，但总觉得耗电很快，充电的时候等也总是突然会熄灭，以为充满电但很快又没电了。。</t>
  </si>
  <si>
    <t>平时穿XL码，这次拍的L码大小正好，只是三件衣服大小不一，灰色的偏大，黑色偏小 平时穿XL码，这次拍的L码大小正好，只是三件衣服大小不一，灰色的偏大，黑色偏小</t>
  </si>
  <si>
    <t>包装保护太差 包装保护太差！寄送过来就是坏的</t>
  </si>
  <si>
    <t>去问蝴蝶棒搅拌棒居然断了，有请问怎么配 没有菜谱没有中文说明书，完全不知道怎么用，可以炒菜吗？</t>
  </si>
  <si>
    <t>倒水设计差 不好，倒水的时候水会从盖子缝隙出来。</t>
  </si>
  <si>
    <t>lee系列产品尺寸差别太大了，怀疑产品是否正品 lee系列产品尺寸差别太大了，怀疑是不是正品，还有漏的坏的小孔</t>
  </si>
  <si>
    <t>鞋底硬 鞋底很硬，也薄，没有想象的那么保暖，大小正好，因为是高邦鞋，穿进去比较费劲，建议买大半号，再垫个暖和的鞋垫</t>
  </si>
  <si>
    <t>有划痕 腰带头有多处划痕，做工一般，价格比国内专柜有优势，但是也是国内生产，国外发货</t>
  </si>
  <si>
    <t>衣服有点短 衣服质量不错，但是袖子长，衣服短，肩宽合适，总体来说还可以，不过还没穿就降价50多块钱。</t>
  </si>
  <si>
    <t>162 110 S号合适 薄款的 春夏穿合适 162 110 S号合适 薄款的 春夏穿合适 质量很一般 但是亚马逊的售后处理很满意</t>
  </si>
  <si>
    <t>不错 等了10天，终于到手了，太阳能，电波，体验不赖</t>
  </si>
  <si>
    <t>正品 很好写！包装和质量都好，和其它地方买的比较了，这个正品！</t>
  </si>
  <si>
    <t>质量可以 质量可以，就是买多了</t>
  </si>
  <si>
    <t>穿着舒适合身 183cm74kg，尺码刚刚好</t>
  </si>
  <si>
    <t>大小合适，版型中规中矩。 大小合适，版型中规中矩，搭配起来还是不错的。</t>
  </si>
  <si>
    <t>亚马逊发货到陆地运输到易客满荷兰总部耽误了一周半，从易客满收货到国内顺丰速递实际只花了两天。洋大人干活不靠谱啊 表盘女生也能hold住，我第一感觉小了点，但是外观好看啊哈哈哈哈，非常棒。</t>
  </si>
  <si>
    <t>月嫂的强烈需求 盖子和瓶身的连接部分需要仔细确认是否关紧</t>
  </si>
  <si>
    <t>還好吧 質量是很好的，正品，只是包裝简漏了些，只有一個透明塑料袋裝來的</t>
  </si>
  <si>
    <t>挺好的 腰围合适，舒适度也不错，就是裤长太长了。买条裤子将近一个月的时间，也忒长了。当然，性价比还是不错的。</t>
  </si>
  <si>
    <t>非常满意的购物体验 太满意了，26.5的腰围32*30刚合适，国内的裤子一般都是32*32，买了还得裁短，这个完美了！</t>
  </si>
  <si>
    <t>纯棉的，打底衫 就是纯棉T恤，没毛病</t>
  </si>
  <si>
    <t>满意 是薄款的外套~有弹性，质地柔软~170~110斤s刚好</t>
  </si>
  <si>
    <t>秒杀到的，超值 对比了一下，几乎最低价入手。此前搜集过许多资料，起初还有点担心会不会不稳定，实际使用并没有这个问题。将电脑改换为大容量固态后，设计资料的制作和导出都有了大幅提升。</t>
  </si>
  <si>
    <t>裤子不错👍 大小合适（身高172/体重80公斤，腰围88买的34/30），外面25度时感觉穿出去不是很透气！裤型不错！上班替代工作裤感觉十分合适！</t>
  </si>
  <si>
    <t>买过最棒的内裤 172.5cm/75kgs，有健身，腰围80cm，正合适。 透气性和吸汗性极佳，包裹性很好，健身平时穿着两相宜。</t>
  </si>
  <si>
    <t>面料柔软 感觉有点薄</t>
  </si>
  <si>
    <t>玻璃奶瓶最爱 摔了两个了，贝亲的玻璃奶瓶摸起来手感很好，宝宝出生到现在一直是这个。。</t>
  </si>
  <si>
    <t>不错的购物体验 版型不错，很合脚</t>
  </si>
  <si>
    <t>不错的 不错。我183，70买的L基本合适的，稍显宽松。比我胖点就正好。料子也是我满意的</t>
  </si>
  <si>
    <t>very good very good</t>
  </si>
  <si>
    <t>亚马逊日本直邮很赞！ 版型贴身，面料很薄，适合春秋天穿着，价格划算！</t>
  </si>
  <si>
    <t>质量很好 用了半个月了，还没出现水垢。不知以后咋样</t>
  </si>
  <si>
    <t>比较轻薄 比较薄 保暖系数不高 不如买国内小品牌性价比更高</t>
  </si>
  <si>
    <t>品质不错，突然不响了…尴尬 买回不到一个月，右边不响了！研究了下貌似是k702通病。所以音质什么的都谈不上了…尴尬，Prime三年，第一次退货</t>
  </si>
  <si>
    <t>一般 薄软不是很有型，重点是偏大好多，平时各种运动品牌穿M或L，这个严重怀疑就算穿S也有富余。美版真的一言难尽</t>
  </si>
  <si>
    <t>提臀 ummm...纯买来塑形 提臀的 事实证明 还是健身塑形管用😩</t>
  </si>
  <si>
    <t>发错货 大哥，你发错货了，发了两个背包，帮我联系那个买背包的人</t>
  </si>
  <si>
    <t>发错码子了 码子全发错小一码，穿身上才发现，想必也没办法换货了。太粗心了吧。只能再买了。希望不要发错了！</t>
  </si>
  <si>
    <t>价格合适 太薄了，不过价格很合适</t>
  </si>
  <si>
    <t>还可以 比想象中还大</t>
  </si>
  <si>
    <t>腰带质量不错 用作牛仔裤腰带宽度窄了点。作为28的Lee牌牛仔裤显得长了点。</t>
  </si>
  <si>
    <t>性价比可以 裤脚的弹力收缩口面料柔软度不够，门禁有些翘。舒适度不错，总体来说性价比还可以。</t>
  </si>
  <si>
    <t>硬盘挺漂亮 东西收到了，还在试用，比2t的厚不少。国内合作快递公司不好，应该亚马逊网站上可以查询转运到国内的快递公司名称和单号</t>
  </si>
  <si>
    <t>质量非常好，物超所值。 质量非常好，物超所值。</t>
  </si>
  <si>
    <t>设计好，质量轻 很轻，密封很好，开盖还有一个小锁，设计还真不错。什么时候国货能做得这么用心就好了。</t>
  </si>
  <si>
    <t>比较合适 性价比很高，身高170，体重125，S号袖子长一点，其他合适</t>
  </si>
  <si>
    <t>专卖店好像标价3399，这里选打折后1200搞定 一直关注这款鞋，可惜没有高鹞的那款，本来在店了看上那款鞋，不过这款也满意。</t>
  </si>
  <si>
    <t>180/92A是小号的尺码 UA宽松版（LOOSE）GOLF POLO衫，本人购买的是小号180/92A正好。亚马逊的尺码表完全不对的。</t>
  </si>
  <si>
    <t>离完美就差一点点 衣服穿上很好看，显瘦，面料也很不错，美中不足的是领子边上的内衬用的尼龙材质，过敏啊，过敏啊</t>
  </si>
  <si>
    <t>合身 给后面的兄弟一个参考，身高168体重60，买的S码，内穿圆领短信 略宽松 袖子略长。</t>
  </si>
  <si>
    <t>比某宝还便宜，而且还能保真！赞！ 美亚直邮，比某宝还便宜...而且可以保真，很不错！</t>
  </si>
  <si>
    <t>尺码 178cm,90kg.W36L32 非常合体，面料也舒服。</t>
  </si>
  <si>
    <t>便宜，物流速度可以接受。 同款别的电商都在150以上，买来后媳妇跟朋友都感觉很大气，希望电池久用，那就比较值了。说一下，手表的表盘玻璃并不耐划，想买的朋友还需注意。</t>
  </si>
  <si>
    <t>商品质量堪忧 写着10年电池，这才两年多就没电了。</t>
  </si>
  <si>
    <t>刚入手，感觉挺不错 虽然没有大法黑科技更黑，但胜在重量轻，造型更加接受，感觉不出夹头，耳罩很柔软，三频比较均衡。注意新耳机自动配对第一台设备非常快，配对第二台设备时需要长按模式按键约4秒，降噪效果个人觉得不错了。大法主要是黑色没有现货，金色拍不耐脏，又怕更加重了几十克，据说降噪更好，相信也是不错的选择。有米的朋友可以双修，LD一台，自己听一台：）</t>
  </si>
  <si>
    <t>不错的商品 尺码合适，质量不错！</t>
  </si>
  <si>
    <t>买大一码 软皮，买大一码很舒服</t>
  </si>
  <si>
    <t>舒适 很轻便，舒适。鞋型也很好看。 我一般穿43码鞋，clarks鞋一般偏大半码，所以买了8.5，大小正合适</t>
  </si>
  <si>
    <t>❤ 喜欢，测试了音质很好。</t>
  </si>
  <si>
    <t>性价比高 是我玩过的千元以下最有性价比的一款，当然可能我接触的品牌没有足够多，看法有可能不那么对，但该耳机听音乐绝对配的上它的价格，只是售后可能没有行货好。亚马逊国内用顺丰速递，非常快和好，就是运输中包装盒有点折痕，送人就难看了。</t>
  </si>
  <si>
    <t>物有所值！ 声场很大，甚至可以感觉到有的音从背后传来的。音质也不错。</t>
  </si>
  <si>
    <t>好看 超级好，质量和实体店一样</t>
  </si>
  <si>
    <t>很轻很软很小巧，内层是动物毛，媳妇很喜欢！ 很轻很软很小巧，内层是动物毛，媳妇很喜欢！   是否防水还不知道，个人认为完全可以再厚实一点会更保暖。   有个疑问，包括 2 根鞋带；时尚丝带和实用鞋带！为何我只有一副鞋带？</t>
  </si>
  <si>
    <t>已稳定使用半年 方便实用，容量够大！</t>
  </si>
  <si>
    <t>没选多媒体箱子，买对了！ 之前没用过监听音箱，入手后感到买对了。 虽然没有多媒体箱子的多功能，但这些都可以后续配啊，声音的真实还原才是本。 我配了条3.5mm转双莲花母头转接线，再加两条双莲花公到公的延长线，平时用3.5mm接电脑听。又配了个蓝牙接收器，可以用手机蓝牙方便听歌。 线是秋叶原的，接收器是支持aptxll的奥格斯的，都是性价比很高的东西，没买太专业的，够用就好。 另外说一下，两只音箱的音量只开到中间那格就好，需要调音量调电脑或手机，不用动音箱。</t>
  </si>
  <si>
    <t>2020年8月过期 过期日 2020年8月。。。感觉用不完</t>
  </si>
  <si>
    <t>一般般 感觉这个ssd硬盘一般般，这个因为刚开始用，也不知道质量怎么样。之前用的英特尔的，用了5年。希望这个也能大概用这么久吧。</t>
  </si>
  <si>
    <t>不适合中国人 买了两件这个牌子衣服没有一件合适的 176 77买的M号长短还行袖子长 感觉必须老外那种虎背熊腰的才能穿出效果</t>
  </si>
  <si>
    <t>号码偏大 号码明显偏大，一直在美亚买裤子，这个32的裤子比其他34的腰都大，退货的费用贵的吓人，自己留着吧。</t>
  </si>
  <si>
    <t>森海最差劲的蓝牙耳机 刚开始煲机50小时，还没什么效果，不值这个价位！</t>
  </si>
  <si>
    <t>根本不能穿！！！ 这家的衣服请谨慎购买！！！这尺码不知道是做给什么人穿的，，，，，，我身高170，体重60kg，腰围76cm，买之前仔细看过尺码表，买了M码的，腰口合适、臀围腿围宽松，符合预期，但裤腿极短，穿上后裤脚的松紧口都勒在小腿中间腿肚子上了，穿上极难受，实在是不能穿，扔了吧有点糟蹋东西，想了想，把裤腿剪掉DIY成短裤随便穿穿算了，搞不懂日本的尺码，以后不会再买日码的衣服了</t>
  </si>
  <si>
    <t>机器很好用。 这次给发的顺丰，机器很好，刀架盒盖有点坏，不影响使用。客服很快给解决了。机器很好用。</t>
  </si>
  <si>
    <t>还行 质量可以，有点硬，165/52ml可以穿，l-ll可能更舒服。</t>
  </si>
  <si>
    <t>物流很不爽 看着不错，亚马逊物流部咋样，包装箱，商品包装均有破损，内部塑料包装盒裂开，真不知道物流怎么做的，而且送货态度差</t>
  </si>
  <si>
    <t>鞋底舒适 平时37-38码，买的38码，尺码合适，穿上后跟1指。原来穿过37码类似的款，前面很挤。喜欢这款（biom）的鞋底，软硬适中，弹性好，走路不累，鞋面薄厚也可，一年四季都能穿。两副鞋带，泰国产。感觉彩虹色的那款更好，皮面皮里，这款黑色的是磨砂皮面，织物里。</t>
  </si>
  <si>
    <t>ok 还不错 对得起价格，可以穿了</t>
  </si>
  <si>
    <t>值得买。 平常穿37.5或者38，码子也刚好合适。 舒适度高，快递也很快。滑也是真的滑。</t>
  </si>
  <si>
    <t>看起来还行吧 还没穿，之后追评，好再来。</t>
  </si>
  <si>
    <t>买完第二天就降价了 很喜欢马丁靴了！！！！买完第二天就便宜了50块钱！！！一直让我耿耿于怀！！！！难受....但是很好看是真的 哎亚马逊没有保价险难受</t>
  </si>
  <si>
    <t>很柔软，谁用谁知道。 很柔软，谁用谁知道。</t>
  </si>
  <si>
    <t>很满意 很好，很满意，全新。</t>
  </si>
  <si>
    <t>性价比相当高，外观比较流行 桌面多媒体监听很不错，外观偏流行。是在折扣时买的，性价比不错。相对于惠威t200c稍轻，效果相差不多，品控比惠威t200c好得多。</t>
  </si>
  <si>
    <t>价格便宜，可以转国内保修 亚马逊喜欢用很大的外包装纸箱装一个小小的硬盘，也许是厂家原包装盒已充分考虑到震动问题，所以也没有见到大家反馈硬盘在运输过程中被震坏。 8T含税价格不超过850元，近期没有这个价格了。 通电后没有状态指示灯，这一点稍显不便。 wd硬盘在网上可以转国内保修，如果真坏了，不知给保修否？</t>
  </si>
  <si>
    <t>衣服穿着舒服，版型好。 182.75kg.日版xl正好。日版的质量比美版强太多，穿着舒服，价格也合适。日版的衣服号码小，建议买比平时大一码，oversize比平时大两码。</t>
  </si>
  <si>
    <t>大 大了一点</t>
  </si>
  <si>
    <t>买大了 uk7红棕色，买大了，🐠flybearanddas</t>
  </si>
  <si>
    <t>很好很好的锅 本以为我的松下ih电饭煲做的米饭就足够好吃，这个砂锅我是看着比国内代购便宜好多买来收藏玩的，就爱买锅，结果用了一次太惊艳了，做的米饭和电饭煲完全不是一个档次，很棒！用起来也不麻烦，泡米十分钟中火有十分钟就能开，冒气两分钟，关火焖20分钟，也就40分钟，这期间炒菜做汤收拾正好时间够。</t>
  </si>
  <si>
    <t>Champion 男士 经典 Jersey Muscle T恤 质量不错，码子标准</t>
  </si>
  <si>
    <t>很实诚的一块男表 我喜欢，自动上链，100米防水，精钢的表带，端庄外观。</t>
  </si>
  <si>
    <t>刚好 到手 感觉质量不错 给老公买的 合适 M码173132斤 刚好</t>
  </si>
  <si>
    <t>粗棉手感，薄款 棉质的，比较薄，适合春夏穿，老公比较喜欢，摸着手感粗糙，就像摸水洗棉床单那种感觉，喜欢棉的人可以买，喜欢顺滑的那种感觉就不行了。</t>
  </si>
  <si>
    <t>BOSS 男士长袖衬衫 Plisy 很好的衣服，尺寸与中国的一样我168CM65KG,M号刚合适。</t>
  </si>
  <si>
    <t>很好 本来想海淘，可秒杀价格比海淘划算，好像是两三百的样子，果断入了。现在一直在使用的是浅口的碗和水杯。冬天的保暖性能不错。</t>
  </si>
  <si>
    <t>钢笔 小豆M尖书写流畅，握笔舒服。关于字迹粗细和笔的大小感觉全在个人的书写习惯，无法一言概之。蓝金岁月F尖依旧下笔顺滑，微带阻尼，写起来很是舒服。</t>
  </si>
  <si>
    <t>完美 大小刚好适合正装，外形极度美观</t>
  </si>
  <si>
    <t>草莓味🍓好喝到爆炸 封口简单了些，日期很新鲜，不出意外还会再买！</t>
  </si>
  <si>
    <t>还不错吧 衣服合身，质量不错。略薄，没有试着刺痒感。</t>
  </si>
  <si>
    <t>幼儿园室内鞋，略宽不适合太瘦的脚 宽大，码正 透气 一定要量实际脚长，加0.5正好！鞋子下面有几个小洞、透气网！</t>
  </si>
  <si>
    <t>掉档 掉档严重，不推荐。</t>
  </si>
  <si>
    <t>价格差距太大，不像正品 衣服很薄，商标也简陋，不像正品</t>
  </si>
  <si>
    <t>质量不错，但大小不好用 这东西，说实话，有点鸡肋，要么小一点要么大一点，这个大小根本不好装东西！！装一次吃的太大，装水果的或者其他又太小。可惜不是我收件，包装已经拆了，不然都想退货了。可能买四个的比较实用。</t>
  </si>
  <si>
    <t>品质一般 这个款，前不久AMAZON上列作优惠商品推送给我，次日下单，今天到手。总的来说，价格不高，但品质也不高。比起我之前买的NAUTICA要差一截。 产地越南。设计简单，做工一般。材质较差，棉50%、绦50%，穿到身上感觉很粗糙。除了有个LEE的牌子，感觉上比起我们本土产的裤子要差。拿到手，马上感到中国制造还是很靠谱的。定价的话，我觉得100块钱以下会比较合适。尺码偏大。我大约是31~32的腰，订的是31/30，但明显宽松多了。估计订29最多30的便可以了。 图片我都不想发了……</t>
  </si>
  <si>
    <t>产品质次价高，服务态度很差 很差，买了不到一个月，三条已经有两条出现了破洞，申请退换货也没有结果，以后不会再买这个品牌的产品了。</t>
  </si>
  <si>
    <t>脱线 感觉是假的，老是脱线，而且衣服也不白。</t>
  </si>
  <si>
    <t>同样是M的，比Hugo明显小，质量真心一般。差评 品质比hugo明显差，也小，很失望！退也不是穿也不是！本人同时买了CK和Hugo</t>
  </si>
  <si>
    <t>普通硬盘而已 拷了十几G文件，并不见多块，颜值也没有一堆吹水软文说的那么高。就一普通硬盘，好在价格也不贵。</t>
  </si>
  <si>
    <t>闻起来不错 问起来味道还不错，但喝起来有点酸，就跟药店买的那些液态氨基酸味道差不多</t>
  </si>
  <si>
    <t>不错，合适。 这双鞋大小与硬度合适，样子是自己选的。等到冬季外出穿时，再看看效果如何。</t>
  </si>
  <si>
    <t>很快收到 听乐器超好，但是人声一般</t>
  </si>
  <si>
    <t>好 到货空转了下没问题，是全新机。卡具有点短卡不了.会员省邮费太划算了</t>
  </si>
  <si>
    <t>尺寸 挺好穿的，百搭</t>
  </si>
  <si>
    <t>运输快，挺好用 好评，买回来用了一次还不错，好洗不沾油。btw，ups的运输太快了，下单后隔两天就送过来了，惊呆。。</t>
  </si>
  <si>
    <t>宝贝喜欢 味道很不错，孩子喜欢</t>
  </si>
  <si>
    <t>东西很好 是从日本发过来的正品，以后会继续关注亚马逊，塑身衣故意买小一个码，很难穿上去，但是穿上去了也有觉得不舒服，果然贵有贵的道理，不卷边，跟便宜的还是有差别</t>
  </si>
  <si>
    <t>舒服便捷购物 邮寄很快、鞋子很好、大小合适，非常舒服。</t>
  </si>
  <si>
    <t>合适的很 174，69公斤，穿M就跟定做的一样，很合适！不紧也不松</t>
  </si>
  <si>
    <t>超级好！ 非常美观，实用。</t>
  </si>
  <si>
    <t>好鞋，正品 一如既往的正品，价格很合适，ecco有活动还会再来</t>
  </si>
  <si>
    <t>保温效果不错 刚收到，杯子里面有点味道。保温效果不错。貌似比在国内买的TIGER 保温好些。</t>
  </si>
  <si>
    <t>大小合适，很好 大小合适，很好</t>
  </si>
  <si>
    <t>做钥匙链是否适合？ &lt;div id="video-block-R33QY1MS4SALC8" class="a-section a-spacing-small a-spacing-top-mini video-block"&gt;&lt;/div&gt;&lt;input type="hidden" name="" value="https://images-cn.ssl-images-amazon.com/images/I/71Jzl66kmsS.mp4" class="video-url"&gt;&lt;input type="hidden" name="" value="https://images-cn.ssl-images-amazon.com/images/I/919HS3cysmS.png" class="video-slate-img-url"&gt;&amp;nbsp;喜欢小翅膀的造型，不喜欢翅膀尖尖偶尔会被扎下。主要用作汽车钥匙链。</t>
  </si>
  <si>
    <t>质量很好，价格优惠 质量很好，价格优惠，174，67KG，M码合适，略长一点。</t>
  </si>
  <si>
    <t>性价比不错的耳机 250欧的阻抗的确不易驱动，用手机和国砖发挥不出真正实力，但感觉得到三段均衡，佩戴舒适，以后上耳放和台放再试</t>
  </si>
  <si>
    <t>盒子好像是旧的盒子 深海大品牌值得信赖的听了几个月了，声音突然有点闷送去客服维修，客服给换新的给大牌赞</t>
  </si>
  <si>
    <t>很好，质量不错 参考之前的评论，选购的尺码正好~</t>
  </si>
  <si>
    <t>关税 我的脚252左右，7.5m 自己觉得刚刚好，就是为啥当时关税按百分之30给我算的呢，以前都是百分之10呀</t>
  </si>
  <si>
    <t>味道不错 有点儿草莓冰淇淋的味道，，口感很甜，可以接受。粉很细，不知道效果怎么样，吃一段时间看看吧，5磅真的是好大一桶啊。</t>
  </si>
  <si>
    <t>品质很好 超级好看 价格实惠 品质一流</t>
  </si>
  <si>
    <t>为何又是卡西欧？ 85年上大学，曾在校园商店里买了一只类似的表。价格大约18～24元。那个年代，满大街都是这种电子表。闹铃为哦苏珊娜。没几天，洗脸时摘下，丢了。这类表简洁实用，大小适合。懒人戴，多年不用换电池。日期醒目，了然。喜欢此表，除了功能性项目，还有感情因素。此表科技含量高否？做工精良，样式经典简洁，值得学习借鉴啊。</t>
  </si>
  <si>
    <t>尺码准确，商品正品，非常喜欢，推荐购买 尺码准确，商品正品，非常喜欢，推荐购买</t>
  </si>
  <si>
    <t>不咋滴 老实说太low了，差不多200块的衬衫这个质量，不值啊，还有点瑕疵，抽线了。</t>
  </si>
  <si>
    <t>尺码令人费解！ 尺码令人费解！按标记33w计算应该是33x2.54公分/英寸，得到83.82公分的样子。可是一量（如图），这误差大了去！!不会是其他地方搞错了吧？国内我买的都是34的呀（这比我34的腰围还肥!）！看评论许多都说大，考虑到裤长好改，腰围不好改，故选小一号，结果还真没想到大了这么多！看来买衣服真要上身试（本人的许多购物经验表明，这尺码真没个严格标准，有些乱！这里就不详说了。），除非你再买一次相同的款式！质量?你问质量?毛里求斯生产的，和国内800元左右的货差不多吧?另，抱歉！和国内生产34码裤子比较的视频无法上传</t>
  </si>
  <si>
    <t>有危险 宝宝会咬掉塑料 要小心</t>
  </si>
  <si>
    <t>声音大 声音不是一般大，除去品牌价值，物品不值这个价</t>
  </si>
  <si>
    <t>材质不符 根本不是羊毛的，上当了</t>
  </si>
  <si>
    <t>这个真是品牌的衣服吗？ 这质量款式真是让人失望透顶，以后都不敢买了😒😒😒</t>
  </si>
  <si>
    <t>三件尺寸不一样 三个颜色，灰色最大，藏蓝色最小</t>
  </si>
  <si>
    <t>衣服质量还行 号码过小，尺寸不标准</t>
  </si>
  <si>
    <t>价格实惠，太长 平时穿33码的裤子，买的中码，裤头还好，太长，虽然收脚了，但真的好长啊，质量一般般吧，价格实惠。裤子有点薄。</t>
  </si>
  <si>
    <t>外观比国行更低调些 续航、声音都满意，只是蓝牙连接稳定性不好，半小时后很大机率出现声音不稳定。貌似这款耳机通病？</t>
  </si>
  <si>
    <t>面料比较舒服 看起来有点档次 三角还是没有四角的习惯，不过也还可以，换着穿。</t>
  </si>
  <si>
    <t>178cm87kg经常健身穿着这个尺码正好 178cm87kg经常健身穿着这个尺码正好，很舒服的薄棉夹克，有一定分量，袖子并没有像其他人评论的长那么多，腰身位置比较上提的缘故，但版型很合理，比较显得魁梧。总体这个价格跟国内代购比比较值的，而且保真的。</t>
  </si>
  <si>
    <t>不习惯的网购和评论方式 买来备用，和之前从其它渠道买的对比了，完全相同。第一次在亚马逊买东西，物流过程没有国内的细致，想实时看状态很难，也找不到在线客服，还是不太习惯这种体验。</t>
  </si>
  <si>
    <t>不错😊 &lt;div id="video-block-RRHUX3QW9SJ6T" class="a-section a-spacing-small a-spacing-top-mini video-block"&gt;&lt;div tabindex="0" class="airy airy-svg vmin-supported airy-skin-beacon" style="background-color: rgb(0, 0, 0); position: relative; width: 100%; height: 100%; font-size: 0px; overflow: hidden; outline: none;"&gt;&lt;div class="airy-renderer-container" style="position: relative; height: 100%; width: 100%;"&gt;&lt;video id="7" preload="auto" src="https://images-cn.ssl-images-amazon.com/images/I/71ef82GBBaS.mp4" style="position: absolute; left: 0px; top: 0px; overflow: hidden; height: 1px; width: 1px;"&gt;&lt;/video&gt;&lt;/div&gt;&lt;div id="airy-slate-preload" style="background-color: rgb(0, 0, 0); background-image: url(&amp;quot;https://images-cn.ssl-images-amazon.com/images/I/91iGHtMVCFS.png&amp;quot;);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center;"&gt;0:03&lt;/div&gt;&lt;div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 style="width: 71.1358%;"&gt;&lt;/div&gt;&lt;div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value="https://images-cn.ssl-images-amazon.com/images/I/71ef82GBBaS.mp4" class="video-url"&gt;&lt;input type="hidden" name="" value="https://images-cn.ssl-images-amazon.com/images/I/91iGHtMVCFS.png" class="video-slate-img-url"&gt;&amp;nbsp;价格美丽，手表很漂亮</t>
  </si>
  <si>
    <t>样式很好 样式很好，非常喜欢。德国原装。 目前刚收到耳机，尚未煲机。 试听的时候，低音还是比较浑厚，但是压制了中音和高音。 而音量大了，高音会变尖刺声，待煲开后再看。</t>
  </si>
  <si>
    <t>皮带不错 皮带不错，肯定是真品，明天下场用</t>
  </si>
  <si>
    <t>不错的购物 最开始用的飞利浦剃须刀，16年在淘宝上代购日本5040S，感觉真的没飞利浦好，胡须剃不干净，所以偶尔会用刮胡刀。这次购的英国刀头，不一样的感受，太干净了。 淘宝上代购日本剃须刀不知那里出问题了，颠覆了对博朗的感受，幸亏有这次网购。</t>
  </si>
  <si>
    <t>很好 略大一点，再小半码就更好，而且W宽版稍微有点肥啊，可是没有合适的号，还是很满意！超级好看！不过一下就穿出褶了这也太快了吧...比某宝便宜好多是最开心的！等了一个多星期才发货！不过还好到了这里就送货啦</t>
  </si>
  <si>
    <t>可以买 13号晚上下单，18号上午收到，这速度也是没谁了。还是我亚马逊威武。160，60，平常上装L码，看大家提示说小，所以买了m码，合适，不过买L码略松应该也是可以的。薄绒，还算暖和，外面穿个羽绒服在北京无压力。</t>
  </si>
  <si>
    <t>正品 喜欢，应该是正品吧，还挺好看</t>
  </si>
  <si>
    <t>还好 大小合适，效果还行。</t>
  </si>
  <si>
    <t>挺好 舒适度在线 没有什么杯型可言 全靠好胸型吧</t>
  </si>
  <si>
    <t>正品 囤货的，跟代购买的一样</t>
  </si>
  <si>
    <t>原装正品，价格全国最低了吧？ 耳包很软，戴着很舒服，戴眼镜不会夹着耳朵疼； 声音干净，毕竟定位是便携设备，阻抗低，其他方面也就这样了，这个价钱还是满公道的。</t>
  </si>
  <si>
    <t>这个价格真是买到就是赚到了 这个真的实BUG价买的了。。。200多好多时候日本都买不到，真的感觉赚了一个亿啊</t>
  </si>
  <si>
    <t>比上次买的线头少的多多多...... 上次买的是单的36×29的那个合适呀，这次买的36×30的那里都合适就有那么一点点长，要赞下这个做工真不错，现在是夏天，保暖度还不知道。</t>
  </si>
  <si>
    <t>心动不如行动 非常满意，除了物流速度稍显慢一些，鞋子本身很不错，刚开始第一天确实磨脚跟和有些压小拇指，但是穿了几天穿开后十分舒适，这就是我想买的鞋子，我nike阿迪运动鞋都穿44码这个鞋10us很合适，还有一些空隙，这次在亚马逊购物很棒，海外购的物品越来越多和越全，还记得去年想买双踢不烂的鞋，中亚货源少不说价格还贵的离谱，只有去美亚买，现在就方便多了，祝亚马逊越办越好。</t>
  </si>
  <si>
    <t>170cm75kg买的m号穿着有点紧，喜欢宽松的可以买大一码。 170cm75kg买的m号穿着有点紧，喜欢宽松的可以买大一码。</t>
  </si>
  <si>
    <t>恰恰好 身高170体重70正好，超级棒。</t>
  </si>
  <si>
    <t>超级弹性，超级便宜。 这个虽然也是海淘，但是感觉是亚洲版本，跟海淘美版levis的3130比腰围大一点点，裤长短1寸。神奇的地方在于弹性完全接近弹力运动裤，完全不是一般略带弹性面料的概念。那个裤腰就跟有松紧带一样夸张，所以穿着很舒适不紧绷。裤型感觉比一般的strait略大一点点。</t>
  </si>
  <si>
    <t>更正 手机出问题了，星级全五才是我要发布的！</t>
  </si>
  <si>
    <t>好用 虽然其貌不扬，但很好用</t>
  </si>
  <si>
    <t>含棉量80%，这条裤子我打满分 比耐克好，比耐克便宜，100分</t>
  </si>
  <si>
    <t>身形非常奇怪，身子短粗 身子短粗袖子长，在欧美身形中也属于绝对奇葩的那种 质量非常不好，不推荐购买</t>
  </si>
  <si>
    <t>尺码偏大 孟加拉国产，品质还行，就是尺码过大。38的腰围实际有101cm。</t>
  </si>
  <si>
    <t>不是很满意  穿着不舒适 鞋垫超级硬，光脚和穿袜子穿都会打滑，走路走多了，脚底超级痛。 出去玩的时候正好带了这双鞋，走路走到一半直接去另买了一双鞋，才觉得自己又活过来了。 因为已经穿过几天，所以就不退了，但是真的超级超级不满意。</t>
  </si>
  <si>
    <t>质量太差 算上运费到手价格.500不到.便宜是便宜但是这个鞋子质量太差了.穿第二个星期就脱胶了.</t>
  </si>
  <si>
    <t>尺码 质量还行，偏小</t>
  </si>
  <si>
    <t>有的小 172,75kg穿M码略小，主要是袖子太窄，这是给瘦星人准备的。</t>
  </si>
  <si>
    <t>东西不错 东西挺好的，价格也不贵，就是夏天戴有点热！</t>
  </si>
  <si>
    <t>鞋子很好 但是有点小了 uk7换uk8 有uk8但是大了的亲请联系我</t>
  </si>
  <si>
    <t>350ml和360ml款杯盖的开启方式不一样 购买时请注意350ml和360ml款杯盖的开启方式不一样，这个350ml的单手开启不方便，而且说明上有杯子不能倒放。</t>
  </si>
  <si>
    <t>值得購買 滿意。亞馬遜值得信賴。</t>
  </si>
  <si>
    <t>很好  物超所值 表很漂亮  走时还算准确  精钢表带是实心的  很赞</t>
  </si>
  <si>
    <t>多了点 质量还不错，比原装的奶嘴薄一些，其实更好，更柔软了。就是比较多，6个</t>
  </si>
  <si>
    <t>手感满分 值哭，撸了两套，就是花洒摇一摇有声音，希望安装顺利，祝好运</t>
  </si>
  <si>
    <t>舒适 大小正好，穿着舒适，很柔软</t>
  </si>
  <si>
    <t>内外码不一样吗 收到 看见外包装和内包装码不一样 如图</t>
  </si>
  <si>
    <t>耐穿，适脚。 10年前买过同款只是没有geotex，穿了6、7年，直到鞋底漏了，鞋面毫发无损，严重推荐。</t>
  </si>
  <si>
    <t>很好的皮带、价格也不贵 皮质细腻光滑，很不错！</t>
  </si>
  <si>
    <t>不错。 173，体重130，买S号正好。</t>
  </si>
  <si>
    <t>性价比不错 直筒，较适合中年。样式传统，做工上有一些线头，总体不错</t>
  </si>
  <si>
    <t>不错 本人男，182cm，64kg。32w34l有点大，但总比小了好。</t>
  </si>
  <si>
    <t>非常好 非常好，孩子吃饭用很方便</t>
  </si>
  <si>
    <t>第一次购买安德玛产品 很满意，至少我再也不会买新百伦的鞋子了，每次都很失望。</t>
  </si>
  <si>
    <t>非常满意的一次海外购 专柜要1390，网上只要一半的价格，下单到手一周时间，简直厉害，买了大半码，穿着也合适，很满意</t>
  </si>
  <si>
    <t>过滤效果好 家里一直用开这个牌子，只是国内版本，这次特意买进口的对比。原装的过滤确实比国内的效果好，给个赞！</t>
  </si>
  <si>
    <t>评论 外观造型漂亮，出水顺畅，书写流利，物超所值。</t>
  </si>
  <si>
    <t>到货较慢 但是贵在产品不错 海淘在天津清关整整清了一周多，前前后后可能等了3周多的样子。清关速度慢这个可能是外界因素，这个不苛责。 到货以后包装完好，产品也完好，这样海淘性价比高。已经用上了，使用感觉也不错。估计得用好一阵子，下次还会考虑使用这个途径购买。</t>
  </si>
  <si>
    <t>合适 比国内买小一码正好，鄙人178，78kg，供大家参考</t>
  </si>
  <si>
    <t>非常好 42码尺码正确，不大不小，入手300不到一点，比淘宝双十一还便宜一百多，款式很喜欢，后跟稍微有点磨脚，需要穿一阵适应！</t>
  </si>
  <si>
    <t>物美价廉 很卡哇伊的杯子，漆面很好，小口杯保温效果比较好</t>
  </si>
  <si>
    <t>很好用 一直用这个牌子，不错</t>
  </si>
  <si>
    <t>不错 挺不错的，味道感觉还行</t>
  </si>
  <si>
    <t>不是很必要的剪刀 比较鸡肋，现在发现没多少东西需要剪</t>
  </si>
  <si>
    <t>连接处有些活动 写字很顺滑，可是笔的连接处有些活动，我退换了好几回，还是这样，可能是设计问题，不理解🤔最后还是退了</t>
  </si>
  <si>
    <t>码数偏大 165.106斤，穿着肥。码数偏大，供参考。质量可以。</t>
  </si>
  <si>
    <t>收到很不满意 第一次在亚马逊上面购物，结果让人很失望！很薄很薄的一层，摸起来就像雨衣一样。看到那么多好评不知道怎么来的。</t>
  </si>
  <si>
    <t>😔 懒得退了。还以为是1000w，最后是700w！希望亚马逊能专业一点，冲着自营买的！没想到出这种低级错误！！！！</t>
  </si>
  <si>
    <t>售后差 亚马逊售后还是没法和京东比，用了几个月，蓝牙坏了，联系客服，只能自己和森海联系，或者给你个地址自己跑去修，售后点离我四五十公里。要是京东不说直接换新吧，至少上门取件，修好送过来。买的u盘什么的，京东都是直接换新，还是支持东哥算了，我要这prime会员有何用，要了我288,一言难尽</t>
  </si>
  <si>
    <t>舒服，不过盒子像是被打开过 东西很不错，很舒服。就是收到的时候，盒子像是被打开调换过一样，反正都要洗一遍，所以也没有好介意。</t>
  </si>
  <si>
    <t>7US/37.5码，太窄了穿不了，仅试穿现原价全新出！ 7US/37.5码，太窄了穿不了，仅试穿现原价全新出！</t>
  </si>
  <si>
    <t>发货太慢了 钢笔已经收到，EF还是有点粗，发货太慢了，下单四天后才发货，同时在德亚上买了吸墨器，5天就到手了。</t>
  </si>
  <si>
    <t>对森海的牌子有感情。 音质没有想像中好。煲煲应该会有提升。  PS：对亚马逊海外淘的服务不是太满意。第一次付款近10天。还不给我发货。 电话投诉说没法处理。然后让我退了款，重新拍。过了N久才发过来。</t>
  </si>
  <si>
    <t>性价比高，舒适。不建议用于跑步 性价比超高，穿着舒适。室内健身或室外散步都可以。不建议用于跑步。鞋底材质太软，无反弹。 Tan</t>
  </si>
  <si>
    <t>全球亚马逊最便宜的 对比所有国家亚马逊，日版最便宜，然后亚马逊中国免邮费。这款适合带出去。在外面长期居住</t>
  </si>
  <si>
    <t>保温效果好，再次购入 保温效果好，再次购入</t>
  </si>
  <si>
    <t>传图供参考 腰围二尺八 合94cm  几经反转 最后买入38的尺码 收货后试验正好 余头不多 腰带长112cm 宽4cm 以供参考</t>
  </si>
  <si>
    <t>物美价廉 价格划算，尺码如预期般合适，赞一个感谢各位的经验分享。我183 70穿m号正好</t>
  </si>
  <si>
    <t>物美价廉，进口牙膏，彩虹色带 儿子很喜欢这个牙膏，也方便挤出，价格也不贵！</t>
  </si>
  <si>
    <t>修身效果很好 身高1.72，体重160。M号刚刚好，而且很修身 显瘦。国内号码通常穿L。洗了两次后 起球，整件衣服看着毛躁的，质量不好。不推荐。</t>
  </si>
  <si>
    <t>好用 生产日期是今年的，很好用，比国产的苏菲之类的好用多了</t>
  </si>
  <si>
    <t>没标题 第一次买。量挺大，口味好。发货快。刚来还看不出效果。用后再具体说。</t>
  </si>
  <si>
    <t>简洁 非常简洁，比较小，适合青少年</t>
  </si>
  <si>
    <t>值不值得买？值！ 送妈妈的生日礼物。机器的包装作为外壳寄来的，虽然外壳有个凹陷所幸咖啡机完好。红色外壳很美丽，买了jacobs的胶囊，加热速度快，压出来味道很香。15杯星巴克咖啡的价格，你值得拥有。 （水箱的连接略松</t>
  </si>
  <si>
    <t>瑕不掩瑜 质量不错，裤头虽有系带，但时间长还是容易松动，这是冠军品牌的通病，应当改进</t>
  </si>
  <si>
    <t>适合夏天 不错，面料很舒服适合夏天</t>
  </si>
  <si>
    <t>软化水质，为养胃买的 这款东东，非常好，价格实惠，是我想要的，已经离不开海外购了！几乎总在买，大家可以考虑入手！</t>
  </si>
  <si>
    <t>非常满意！ 感觉自己帅fong了 不偏码，平时穿多大就买多大。 美国寄上海过来居然4天？？惊呆了速度</t>
  </si>
  <si>
    <t>质量好 方便，给小孩子自己做口算等作业方便记时</t>
  </si>
  <si>
    <t>氦气盘 10T的特价没有了，只能下手8T，氦气盘，读写速度很快，性价比一流。</t>
  </si>
  <si>
    <t>鞋子很棒 鞋子很棒，适合脚胖的人穿，不用买大一码了</t>
  </si>
  <si>
    <t>颜色很好看！ 色彩非常棒，笔芯太软，需要搭配硬质彩铅一起使用。发现粉红色系和红色系的色彩有点少。一般绘画的话72色就够用了，132色里有些颜色用不到。</t>
  </si>
  <si>
    <t>合适 175 65 m适合手感不错</t>
  </si>
  <si>
    <t>正宗德国产 用了挺好的，壶很漂亮，白色的，喜欢</t>
  </si>
  <si>
    <t>不错 操作连接很简单，不用识别英文都能懂。听着还有点立体声效。</t>
  </si>
  <si>
    <t>手表不错 手表很好  服务也好  全5分</t>
  </si>
  <si>
    <t>质地很一般，像劳动服 质地很一般，像劳动服，裤腿也不收身</t>
  </si>
  <si>
    <t>不是全棉 样子还行过得去好像标签是旧款试</t>
  </si>
  <si>
    <t>不推荐买这款 很薄，看起来就像是越洗越长的那种。果然，拿到的当天就用水冲洗了一下，没敢悬挂晾干，平铺晾干之后，还是悲剧了。。。</t>
  </si>
  <si>
    <t>不太舒服 可能是款式设计 ，不包臀，还下滑，超薄一层，没缝边，168，54kg，买s，合适但穿着不舒服。</t>
  </si>
  <si>
    <t>断线 鞋面断线，天木兰和CAT都是，因为是中国买家所以发次品？本来申请退货了，以为像京东那样上门收货，结果要自己寄。为条断线搭上个国际邮费好像又不值。无奈。42码买8.5的正合适。</t>
  </si>
  <si>
    <t>不认真 我订的是L，发来的是2XL。搞什么鬼?大了两号。亚马逊太马虎了。</t>
  </si>
  <si>
    <t>包装破裂，无密封。笔满是灰尘 钢笔是写的中国制造MADE IN China，其他的是法国。必须是差评！！！包装太差了，外边就一个开口的纸盒包装！！！都没密封！！是没密封，直接就能把笔盒拿出来。再说笔盒，已经坏了，一边都裂开了，满是灰尘。钢笔也是，笔头有残留物。</t>
  </si>
  <si>
    <t>Calvin Klein 卡尔文·克莱恩 男士 棉质经典短袖 V 领 T 恤 3件包装 大小合适，高180重162M码的正好，国内同价格棉质要比这好，孟加拉国制造。</t>
  </si>
  <si>
    <t>国内怎么售后,请教！！！ 我用了不到一年有坏扇区了。</t>
  </si>
  <si>
    <t>尺码偏大，身上很薄 手感不错，身上很薄，领子比较厚，尺码偏大，173/52穿s码偏大</t>
  </si>
  <si>
    <t>可以考虑回购哦！ 胶原蛋白改善皮肤的效果有待观察，但是喝了一星期之后，头发上的效果还是比较明显的！</t>
  </si>
  <si>
    <t>粉超细 除了蛋白质含量偏低其他还可以，香草味相对没有它牌腻</t>
  </si>
  <si>
    <t>物美价廉 搞活动买的，便宜，还有一年半的保质期，还不错</t>
  </si>
  <si>
    <t>优惠的价格 品质好，价格合适，不错</t>
  </si>
  <si>
    <t>速度快，免运费，很好！ 日亚直邮的，速度快，还免运费，好划算，就是希望海外购东西能再丰富些</t>
  </si>
  <si>
    <t>💖 三大品牌之一，质量没的说，价格优惠时出手，觉得合算</t>
  </si>
  <si>
    <t>好用 奶嘴软软的 瓶身颜色鲜艳清晰 好用</t>
  </si>
  <si>
    <t>喜欢这种款式 不错，穿着合适，喜欢这个款式</t>
  </si>
  <si>
    <t>质量好，做工不错 质量好，做工不错，身高180CM，体重85KG，买了L码略小，穿的有些紧。海外购办理退/换货麻烦，干脆又买了一件XL的</t>
  </si>
  <si>
    <t>好产品 性价比高，值得购买。</t>
  </si>
  <si>
    <t>皮质部分用久会磨损。黑色绒皮那款应该没有这个问题 入的线外层有破损，黑线裸露出来一截，即便这样，用了几年也是完全没问题。</t>
  </si>
  <si>
    <t>最好的存储卡 速度很快，质量也用了五六年了，一点问题没有。</t>
  </si>
  <si>
    <t>还不错 第二次购买，还是不错的，包装一直很好。</t>
  </si>
  <si>
    <t>很实用，味道也OK 整体看起来还是停有质感的，用起来也方便（我就是一直摁着，看变淡了就停，是这样用的不?一般一个胶囊出咖啡大概100-150ml）。接下来就是买胶囊的问题了。 可能是比较浓郁，感觉风味比一般那种连锁咖啡馆的美式要好一些。当然了，想喝好的，还得去喝手冲。工作日所需，这台小小的机器是完全能够满足拉。</t>
  </si>
  <si>
    <t>很可爱的储存盒 很好用的储存盒，大小尺寸都很方便，密封效果也很好</t>
  </si>
  <si>
    <t>值得分享 这款耳机声音通透明亮，层次丰富，很喜欢，准备下次当礼物送给亲近的人，舒服一下他们的耳朵</t>
  </si>
  <si>
    <t>物美价廉！ S家维生素在国内来说很难买到这么便宜的，130以内，主要是正品！好好好。希望活动常在。</t>
  </si>
  <si>
    <t>踢不烂名不虚传 踢不烂名不虚传，就是稍微有点大，但也好，这样冬天的时候穿着厚袜子就不会觉得小了。</t>
  </si>
  <si>
    <t>多次购买了 十分合适，大小颜色都不错</t>
  </si>
  <si>
    <t>非常棒的手表 很漂亮。有科技感但又比较低调，准备再买一块送人</t>
  </si>
  <si>
    <t>我钟爱的品牌 非常喜欢，质量好，邮寄的速度快，511是我喜欢的品牌。天暖和了，有没有薄一点的带有弹性的，我还要想买。👍👍👍</t>
  </si>
  <si>
    <t>比国内专柜便宜不少 从下单到收到一共就7天，简直神速！面料不错，比较软，另外我160/135穿这款XL正好，偏宽松，非常合身！点赞！</t>
  </si>
  <si>
    <t>外包装很烂 11月24日下单，12月18日才收到货物。外包装很烂，像是被人打开过数次，对照说明书，目前能确定里面少了两个垫片，虽然不值多少钱，但觉得别扭。如是非专业人员直接安装上，后果不堪设想。希望以后能改进一下。</t>
  </si>
  <si>
    <t>蓝牙连接不顺畅 声音还不错，就是蓝牙连接不顺畅感觉，还有就是蓝牙的连接范围比较小</t>
  </si>
  <si>
    <t>使用体验 料子一般，穿后体感不是很好</t>
  </si>
  <si>
    <t>不推荐 产地洪都拉斯 面料很薄 穿着也还算舒适 版型不错 就是做工凄惨 针脚惨不忍睹</t>
  </si>
  <si>
    <t>杯子辣鸡 &lt;div id="video-block-RTKYCCRU8K5JQ" class="a-section a-spacing-small a-spacing-top-mini video-block"&gt;&lt;div tabindex="0" class="airy airy-svg vmin-unsupported airy-skin-beacon" style="background-color: rgb(0, 0, 0); position: relative; width: 100%; height: 100%; font-size: 0px; overflow: hidden; outline: none;"&gt;&lt;div class="airy-renderer-container" style="position: relative; height: 100%; width: 100%;"&gt;&lt;video id="7" preload="auto" src="https://images-cn.ssl-images-amazon.com/images/I/81W7m7mzzqS.mp4" style="position: absolute; left: 0px; top: 0px; overflow: hidden; height: 1px; width: 1px;"&gt;&lt;/video&gt;&lt;/div&gt;&lt;div id="airy-slate-preload" style="background-color: rgb(0, 0, 0); background-image: url(&amp;quot;https://images-cn.ssl-images-amazon.com/images/I/81IcDvWnHOS.png&amp;quot;);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center;"&gt;0:00&lt;/div&gt;&lt;div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value="https://images-cn.ssl-images-amazon.com/images/I/81W7m7mzzqS.mp4" class="video-url"&gt;&lt;input type="hidden" name="" value="https://images-cn.ssl-images-amazon.com/images/I/81IcDvWnHOS.png" class="video-slate-img-url"&gt;&amp;nbsp;如视频，摇杯子的时候有声音，应该是保温层出了问题，让人恼火，就是坑钱的，真的服了。</t>
  </si>
  <si>
    <t>拿到手就发现瓶身掉漆！ 后悔买了，瓶身拿到手就黑了几块，开始以为是污渍，用各种办法清洗还是洗不掉，对着光仔细辨认才意识到是掉漆了！！</t>
  </si>
  <si>
    <t>表盘较大 表盘确实大，适合手腕粗的人配戴。</t>
  </si>
  <si>
    <t>尺码偏小点点，其他的还不错。 面料比较舒适，尺子稍微偏小一点的，总的来说，不错</t>
  </si>
  <si>
    <t>还不错吧 喜欢买杯子，就是单纯的喜欢，没有用，买完放在家里占地方。</t>
  </si>
  <si>
    <t>显瘦 不错 很密实 全脚的 没有很厚 但是有层绒绒 怕冷的10来℃单穿也没问题了</t>
  </si>
  <si>
    <t>太大了，适合大胖子穿 颜色纯白，内加绒，不厚，手感好，版型太大了，本人183cm，220斤体重，穿上巨肥，同时买得L的穿着正好。</t>
  </si>
  <si>
    <t>很帅，合适 ！！！ 不知道有的评论说大很多是为什么？？？ 我运动鞋40码  穿7 2E 略宽松一点点，挺合适，不会大很多啊。买的美亚Clarks 也是7码刚刚好。</t>
  </si>
  <si>
    <t>很舒服 穿起来很舒服，底很软</t>
  </si>
  <si>
    <t>总体很好 这个修身款的裤腿比一般的稍偏瘦，但还合身，上身效果很好。176cm，80kg，选32/32偏长，建议30长就足够，总体还是很不错。快递有点慢。</t>
  </si>
  <si>
    <t>第一次亚马逊购物 如题，第一次在亚马逊购物，总体感觉不错，就是快递稍慢，其他的不错 买的是亚马逊推荐的Schneider Base 黑色的F笔尖+Schneider BK402 黑色+Schneider 6601五盒套装，共计154RMB。 Base送了两个墨囊，一蓝一黑，暂时用的上墨器，自己买的鸵鸟313蓝黑墨水，感觉没有BK402流畅，有点下水不流畅，不知道是不是墨水的原因，打算先把上墨器的墨水用完，再拿送的墨囊测试效果。</t>
  </si>
  <si>
    <t>喜欢 超喜欢～适合秋冬。质量很好</t>
  </si>
  <si>
    <t>样式可爱 给宝宝囤货，还未用不知宝宝是否喜欢，但样子很可爱。</t>
  </si>
  <si>
    <t>手表应该还是值这个价的，期望不能太高。 手表应该还是值这个价的，期望不能太高。</t>
  </si>
  <si>
    <t>还好 给之后的买家提个醒，现在已经换新包装了，是一个小人在跑步的那种外包装。</t>
  </si>
  <si>
    <t>好小质量不错儿子2周多用这款小了留给小儿子用吧 好小质量不错儿子2周多用这款小了留给小儿子用吧</t>
  </si>
  <si>
    <t>中肯的个人感受 东西还不错，耳机低音效果非常好，如果音量开大一些还是能感受到有些刺耳，希望煲机一段时间会更好。但物流效率真心不高，年前1月11号下的单，1月26号收到货，可以看到已经送到很近的地方然后又去了更远的地方然后再转发快递，这物流应该算是吃力不讨好的运作吧。</t>
  </si>
  <si>
    <t>手感不错，质量蛮好 想等6.18可是又怕没货了，毕竟也比国内便宜的多，买了与北脸的组合，衣服质量都挺好的，手感很好。</t>
  </si>
  <si>
    <t>非常 好的购物体验 首先说说材质好，厚实，料足。我买的这个是S号，这个型号和我现在穿的衬衫一样合体。我身高170(不穿鞋测量），体重75KG，提醒下，我不喜欢穿修身的。</t>
  </si>
  <si>
    <t>脚长273，选9.5M正好 鞋子有点硬，脚需要适应一下，鞋头有支撑，可以起到简单防砸的功能</t>
  </si>
  <si>
    <t>很长 估计是给欧美人设计的衣服，亚洲穿比较长。 买了后拿到裁缝店改短了一些，穿着很好。</t>
  </si>
  <si>
    <t>性价比高，居家必备 最近才发现亚马逊海外购有这个刷头的超值装，每天都要使用的电动牙刷刷头，有这样的wholesale好价真是太好了！亚马逊海外购除了发货稍微慢一点之外，几乎没有缺点~</t>
  </si>
  <si>
    <t>裤子很不错 质量确实不错，布料很厚，做工扎实，户外休闲都可以，比较适合冬天穿。本人平时穿的牛仔裤的尺码是L34，W34。买这条裤子也是按照这个尺码买的，但是到手后发现裤子稍微会肥一些。其实L34，W32应该就可以了。希望可以给别人作为参考。</t>
  </si>
  <si>
    <t>很好用 亚马逊值得信赖，孩子很喜欢</t>
  </si>
  <si>
    <t>很重 货真价实的铁 很重很重 女生慎入</t>
  </si>
  <si>
    <t>舒服的clarks...... 颜色、款式、优质的做工、满意的选择......</t>
  </si>
  <si>
    <t>好 柔软舒适。</t>
  </si>
  <si>
    <t>紧身裤 穿着舒服，不知是不是我比较胖的原因，腰处要往下翻。</t>
  </si>
  <si>
    <t>漏电 这两天发现机器有点漏电，有安全隐患，外包装扔了，还能退货不</t>
  </si>
  <si>
    <t>吸盘挺好用但是后面就发霉了。。。。。底座 吸盘还可以但底座没多久就发霉了。。。。。</t>
  </si>
  <si>
    <t>一般 穿着大了 全新转 加我微信srs-song</t>
  </si>
  <si>
    <t>用一个月后有怪味 本来因为保温效果在小容量杯子里算好的，但是用一个月后开始发现每次放进去一杯水没喝完 三四个小时后就会产生药味儿 怎么刷都没用 为什么呢？能不能跟厂商反映一下 竟然还买了两个 每个孩子一个</t>
  </si>
  <si>
    <t>质量不好 油漆还没干，甲醛味很重。皮带上还有压痕。没法用。</t>
  </si>
  <si>
    <t>偏长 偏长款，刚买了就降50。。</t>
  </si>
  <si>
    <t>划算 非常划算，比某宝某东便宜不是一点点。不过感觉替换装还是没有原装好用</t>
  </si>
  <si>
    <t>比较满意，价格实惠 还可以，就是速度方面似乎有点不兼容。</t>
  </si>
  <si>
    <t>还行 价格不错。质量还行。2015年的。 裤子太长了</t>
  </si>
  <si>
    <t>还可以 还行，就是鞋子鞋面挺宽的。早知道买小一码了。</t>
  </si>
  <si>
    <t>Champion 男士T恤 一下子流行冠军这个牌子了，我也不免俗的买了两件，没有买大众款的，蓝色是我一直喜欢的颜色，大小正好，面料舒服，很轻薄，适合休闲穿，不错的。</t>
  </si>
  <si>
    <t>囤货 囤货中。长草了很久，买到家后真的爱不释手，亲妈说估计立刻穿不上，期待小宝贝能穿上美美的。就是这包装有些简单，直接一个塑料袋，而且快递箱子有被打开，二次封箱又没有封好的迹象。快递在外游荡了半个来月的时间，应该是从日本寄过来的吧？！自己安慰自己这是真货啦～</t>
  </si>
  <si>
    <t>颜色正 腰围84cm，殿围宽松，裤长102cm</t>
  </si>
  <si>
    <t>维持吧 面料一般薄</t>
  </si>
  <si>
    <t>稍微小了点。7.5的 平时耐克阿迪42的，买这个7.5的稍微有点小。没有说的那么大。鞋舍尺寸如图。</t>
  </si>
  <si>
    <t>我的腰围92、93cm，买36的，倒数第二个洞，一共5个空，很完美 我的腰围92、93cm，买36的，倒数第二个洞，一共5个空，很完美</t>
  </si>
  <si>
    <t>CK &lt;a data-hook="product-link-linked" class="a-link-normal" href="/Calvin-Klein-卡尔文·克莱恩-男士-4-件装-纯棉经典款低腰内裤蓝色-大号/dp/B00JQQTCYE/ref=cm_cr_getr_d_rvw_txt?ie=UTF8"&gt;Calvin Klein 卡尔文·克莱恩 男士 4 件装 纯棉经典款低腰内裤蓝色 大号&lt;/a&gt; 很好，很合身，价格也温柔。</t>
  </si>
  <si>
    <t>嗲 非常好冬天穿很合适。</t>
  </si>
  <si>
    <t>非常喜欢，有收腹的作用。不算勒，穿上还比较舒服。比一般的功能内衣好穿。当然不能和日常品比。 非常喜欢，有收腹的作用。不算勒，穿上还比较舒服。比一般的功能内衣好穿。当然不能和日常品比。</t>
  </si>
  <si>
    <t>质量过硬 原装进口，质量很高！出行家用都很方便！</t>
  </si>
  <si>
    <t>柔软 轻薄 产地柬埔寨，身高165 55，XS穿里面正好，比较轻薄柔软，很适合初春初冬，因为是polartec面料，没有静电！其实厚薄什么的跟迪卡侬我看也差不多，但是没有静电这点太重要了。</t>
  </si>
  <si>
    <t>很好 已经买了很多次了，是正品</t>
  </si>
  <si>
    <t>小盆友喜欢 我女儿挺爱吃的，看来口味不错</t>
  </si>
  <si>
    <t>物流6天 质量挺好</t>
  </si>
  <si>
    <t>海外购海盗船U盘 台湾制造，防摔包装，国内没敢买，来个海淘，希望质量比国产好。</t>
  </si>
  <si>
    <t>有点贵，但还是喜欢 有点贵，质量还可以，很喜欢</t>
  </si>
  <si>
    <t>舒适的鞋 和预期一致，尺码标准，穿着舒适</t>
  </si>
  <si>
    <t>性价比高 价格太合适了 用了几次有划痕 能接受 主要是价格和大小很不错</t>
  </si>
  <si>
    <t>便宜 好大一瓶善存！现在开始每天一瓶善存片，补充身体维生素和微量元素！ 比药店买要便宜好多！吃完后还会继续购买！希望身体健康！开心每一天！</t>
  </si>
  <si>
    <t>非常合身 选了小一码的 除了裤长长了五公分 其他都合适</t>
  </si>
  <si>
    <t>棒棒哒 物流很快，尺码合适！</t>
  </si>
  <si>
    <t>不错 版型挺好的，材质也不错，裤腿我买了个长了。176cm.80kg买的33W.32L。其实买33W.30L对我来说就够了😂腿短，没办法～</t>
  </si>
  <si>
    <t>从床上掉地下就不走了 质量一般，从床上掉地下就不走了，后来自己打开把电池重新装一下又可以了，我觉得对于这个牌子，产品也太脆弱了。</t>
  </si>
  <si>
    <t>43脚穿多大鞋？ 大小还可以，但鞋偏瘦，有点硬。</t>
  </si>
  <si>
    <t>到了却没胶囊喝，不怎么开心 商品包装还行，没有送胶囊，而且怎么我买完就降价了，搞什么啊</t>
  </si>
  <si>
    <t>不靠谱 我记得买的时候是一套，为什么是一件。而且价格降了这么多。太不靠谱了。</t>
  </si>
  <si>
    <t>外包装盒为何是开放的？ 拿到的外包装是开放的，没有另外的塑料袋封，随便谁都可以调换里面的物品，牙刷头包装盒上的印刷也与网上显示的不同，所以怀疑是否被调包了？</t>
  </si>
  <si>
    <t>鞋底硬，不舒服，谁买谁后悔！ 鞋底非常硬，走路很不舒服，大失所望，千万别买！</t>
  </si>
  <si>
    <t>衣服不错，样式一般，尺码标准，就是色差大点。。。实际颜色和名字一样偏蓝但是照片偏灰 衣服不错，样式大众，尺码标准。</t>
  </si>
  <si>
    <t>裤子不错 物流很烂 材质很好的有分量感 相比较国内牛仔产品要好上很多 就是物流不是很好 国内物流一级烂。</t>
  </si>
  <si>
    <t>老婆实际用下来说没真实感 可能受传统的影响比较大，这个带了老婆说不舒服，但是估计因人而异的，传统女性喜欢戴钢圈的不建议购买了</t>
  </si>
  <si>
    <t>号码偏小，很舒适 176.62穿m码有些小，穿在身上确实发热</t>
  </si>
  <si>
    <t>补充维生素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</si>
  <si>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不漏奶，密封好 同样不知道这啥有些人评价漏奶，我用了半包，没遇到过。是不是使用不对，不能装太满的</t>
  </si>
  <si>
    <t>这价格真心是太满意了 太喜欢了，这情怀杠杠的</t>
  </si>
  <si>
    <t>给宝宝的囤货 完全是看颜值买的啊。希望好用。</t>
  </si>
  <si>
    <t>非常满意 非常满意，杯子很漂亮，做工很好。</t>
  </si>
  <si>
    <t>很好不错。 非常好，完美。</t>
  </si>
  <si>
    <t>不错 以前用过，别人在法国带回来的，这次在这里买，也可以噢</t>
  </si>
  <si>
    <t>性价比较高的打底裤 性价比较高的打底裤，个人感觉适合初冬，或者是只行走在北方暖气室内的环境下，特别提醒身高在165的朋友们，包脚款的别买M号，买大一号的。不带包脚的您按身高来没问题。穿上比较包腿舒适性好，不勒，比较密实不透肉。穿上表面是哑光感的不发亮，这点儿我比较喜欢。</t>
  </si>
  <si>
    <t>CK很好 码数确实偏大一码。质量不错！</t>
  </si>
  <si>
    <t>顺滑 很合适，秒杀国内牌子，不掉档，不拉丝</t>
  </si>
  <si>
    <t>图案随机 虽说知道是图案随机，但是买了2给了2盒公主也是醉了。。。</t>
  </si>
  <si>
    <t>面料很薄，但是纯棉材质，穿着舒适 面料很薄，但是纯棉材质，穿着舒适</t>
  </si>
  <si>
    <t>经典电子表 给孩子买高中用。型小而功能全面、计时、闹钟、基本上样样齐全的经典电子表，另外皮实抗造。主要是符合低调有内涵的个性。就是价格对天朝的老百姓高了点。</t>
  </si>
  <si>
    <t>东西还不错，比较好用 东西还不错。比较好用。</t>
  </si>
  <si>
    <t>够宽 平时买不到44码的鞋，亚马逊真的很适合脚大的客户，合适喜欢</t>
  </si>
  <si>
    <t>不错 非常酷，略硬，很挺，有型，显瘦，厚袜磨合3天ok.皮质略薄褶子有小细纹，不是大厚折</t>
  </si>
  <si>
    <t>终于买了经典黑 一只特喜欢Dr Martens，14年冬天第一次在亚马逊上买了一双1460棕色，前不久穿坏了，瞅准机会马上又买了一双经典黑，终于圆梦！打折下来➕税才七百多！nike穿43，Dr Martens穿42，英码8，美码9！大家参考！</t>
  </si>
  <si>
    <t>商品不错，性价比高，与想象中一致。 商品不错，性价比高，与想象中一致。</t>
  </si>
  <si>
    <t>合适，满意 平时穿43的鞋，这尺码正好，很合适，黑白配，样式经典好看</t>
  </si>
  <si>
    <t>鞋码标准 42号，鞋码非常合适，穿着很舒服，很喜欢。</t>
  </si>
  <si>
    <t>值得尝试，你会爱上它。但我强烈建议你不要购买 堪比第一次使用电动牙刷的体验。2019年3月补充评论。非常不建议海淘此款。国内不保修。私人店铺不能修。因为是一体式机身。拆开就是破坏。如果是国行坏了就直接换新。如果是海外版本就扔掉吧……</t>
  </si>
  <si>
    <t>赞 颜色很清爽，音质很好，带着舒适，无线很方便</t>
  </si>
  <si>
    <t>好表天美时 好。非常好。真的很好。</t>
  </si>
  <si>
    <t>为什么电池没电？ 到手的时候是不转的，拿去换了电池，还没换就被打开来换电池了！！！为什么会没电？是放了很久马？</t>
  </si>
  <si>
    <t>三件装有的偏紧身有的偏宽松？ 三件装大小倒都合适 但有的偏宽松有的偏紧身</t>
  </si>
  <si>
    <t>不推荐 夏天穿着太厚，皮肤触感不舒适，不推荐</t>
  </si>
  <si>
    <t>有塑料的味道，香港货舱发出来的。 有塑料味道，不建议购买。亚马逊自营也有坑。</t>
  </si>
  <si>
    <t>不是套装是上衣…… 太坑了，没看评论，以为是套装，跟很多人一样被坑了</t>
  </si>
  <si>
    <t>有异味 穿了几次就开始有异味了，有点像汗味，有点像化学品的味道，尝试了几种方法还没洗掉。</t>
  </si>
  <si>
    <t>质量太差，文件丢失，噪音大，嗡嗡响。 用了几次，2t的音乐文件和收集的经典高清电影全没了，恨死了。垃圾wd。</t>
  </si>
  <si>
    <t>偏小一些 修身的，比正常穿的要大一码才合适</t>
  </si>
  <si>
    <t>这款适合稍微有点壮的人穿 还不错，就是线头比较多。</t>
  </si>
  <si>
    <t>鞋底有些硬 一分价钱一分货，很满意，会继续支持</t>
  </si>
  <si>
    <t>可能我力道不够 泥做的并不好。。后来我拿博朗料理棒了。。</t>
  </si>
  <si>
    <t>非常好 非常好，物起所值</t>
  </si>
  <si>
    <t>中规中矩 没有惊喜，也没有失望，声音中规中矩，可能听惯了书架箱，现在还不是很习惯耳机的风格。</t>
  </si>
  <si>
    <t>绝对物超所值 很好用，方便，主机轻，好</t>
  </si>
  <si>
    <t>还可以 感觉还可以，还没用多久有待观察</t>
  </si>
  <si>
    <t>码数参考 非常好，平时运动鞋穿36，看了很久评论，4码刚刚好，穿薄袜子不会太松，穿厚袜子不会太紧。如果需要加鞋垫和厚袜子建议再买大半码</t>
  </si>
  <si>
    <t>还不错 虽然有点薄。不过北京比日本冷不少呢。</t>
  </si>
  <si>
    <t>非常喜欢 鞋子一如既往的好，尺码标准，到手价754，</t>
  </si>
  <si>
    <t>身材娇小慎拍 衣服颜色款式真的挺喜欢的  可是我173cm67kg买的是s号啊  袖子还是长了许多</t>
  </si>
  <si>
    <t>值得购买 很好的质量 外观也是和理想的一样</t>
  </si>
  <si>
    <t>棒球⚾️帽 宝贝很棒 我喜欢你 找了好久的在亚马孙找到啦 开心😃 点赞👍</t>
  </si>
  <si>
    <t>犬印塑腰 很好，很满意，是正品，后续效果追加</t>
  </si>
  <si>
    <t>品质上乘 颜色很特别的豆沙绿，做工精致，无可挑剔。</t>
  </si>
  <si>
    <t>品牌好 长期吃善存，老小各一瓶，值得信赖</t>
  </si>
  <si>
    <t>价格降了 这个虽然有很多种色，但感觉小孩并不需要这么复杂的，很多色彩都相似了，而且有一股味道很重</t>
  </si>
  <si>
    <t>性价比很高 质量很好，很喜欢</t>
  </si>
  <si>
    <t>应该买s号的 材质很好很舒服就是偏大</t>
  </si>
  <si>
    <t>买了两瓶，挺划算。 看见这么大箱子吓一跳，两个大瓶确实大，能吃很长时间了。</t>
  </si>
  <si>
    <t>用了一只，跟原装的没区别 用了一只，跟原装的没区别，的确是很好的替换品，原装的刷头坏了，换上了一个新的替换装刷头，很好。</t>
  </si>
  <si>
    <t>Perfect Nice</t>
  </si>
  <si>
    <t>还是不错，值得一入。 一百多一条的皮带还是不错啦，真皮与否也搞不懂，稍微有些褪色，配深色休闲裤或牛仔裤挺好。本人174，138，系从皮带尖端正数的第二个洞合适，稍显短，所以下次打算试试36。</t>
  </si>
  <si>
    <t>非常不错 表不错，两个星期到货，一切完好，包装略简陋，说明书厚厚一本全是英文加各种外文，中文又再一次被忽略了。根据之前的买家评论调整了时间日期等，没问题，挺好。亚马逊的送货速度必须赞一个，比预计提前了六天。</t>
  </si>
  <si>
    <t>很好看 很合适，鞋底也软，不硬脚。</t>
  </si>
  <si>
    <t>比较失望 裤子很大了，170  180斤的人买M都大了，但是也能穿，买S更合身。而且裤子很薄很肥，像练武术穿的那种裤子。但是退货什么太麻烦就算了。勉强穿着吧</t>
  </si>
  <si>
    <t>一般 不太喜欢，材质很一般，比国内同样品牌差很多</t>
  </si>
  <si>
    <t>薄的就像一张纸 很难说这是不是真的，薄而且手感很硬，就跟纸一样</t>
  </si>
  <si>
    <t>什么玩意 S码居然有国内XL那么大，这都什么码数，布料也很普通，差评</t>
  </si>
  <si>
    <t>退货吧 穿了不两天，皮子裂口了</t>
  </si>
  <si>
    <t>挺有效的 买了之后才看到评论说很多人收到的是别人用过的 我的还好 是全新的 这款比较便宜 但是效果都是一样的 我用了几次之后腋毛的毛孔颜色变浅了 毛发的生长速度都变慢了 正好现在是冬天 用个三个月吧我感觉就能摆脱重毛发了</t>
  </si>
  <si>
    <t>袖子有一点点长 可以接受 颜色很正 也是袖子会很长的 本人身高157 体重85左右 xs大小正好适合</t>
  </si>
  <si>
    <t>不是很精致 感觉一般般，比想象中大，不是很精细。</t>
  </si>
  <si>
    <t>不错 奶嘴不错，就是不知道为什么没有两个一组的了，六个一包储存不是很方便。</t>
  </si>
  <si>
    <t>没称心 卖的是白笔尖到手的是黑的。整个一狂拽炫酷吊炸天，我被搞得心浮气躁了。这么个有内涵的东西搞这么浮躁，太叫人难受了</t>
  </si>
  <si>
    <t>舒适很柔软 穿着很舒适很喜欢，内衬绒毛很柔软，比在某猫买便宜多了，不到一百。又买了两条还在路上。</t>
  </si>
  <si>
    <t>养身 吃了一个月，效果还是不错的</t>
  </si>
  <si>
    <t>童年时光钙镁锌 日期还新鲜，包装也很好，发货也快。</t>
  </si>
  <si>
    <t>不错 做工和样式都没得说，目前男生随身通勤用，也不掉逼格，款式特别</t>
  </si>
  <si>
    <t>很满意 鞋很新，质量很好，很轻便，非常满意</t>
  </si>
  <si>
    <t>拉面碗 很适合给小朋友煮面条。</t>
  </si>
  <si>
    <t>罩杯偏小 穿着挺舒服，不过就是有些小罩杯，说是适合A_E，不过大胸麻麻还是慎买吧，生完宝宝过一段时间瘦下来了，穿着就还好了</t>
  </si>
  <si>
    <t>这个系列有些复杂 买的这款是金笔，不错，这个系列里有金的有不是金的，要注意分别</t>
  </si>
  <si>
    <t>不错，很好。 不错，价格便宜，穿着轻便。</t>
  </si>
  <si>
    <t>OK哒 说实话，每天用的频率不多，打豆浆真的不好喝啊，呜呜呜</t>
  </si>
  <si>
    <t>一般般 挺好的，虽然速度不快，但是稳定</t>
  </si>
  <si>
    <t>女生可以借鉴 我170 125斤S码很合适，就是穿着显得很壮</t>
  </si>
  <si>
    <t>不错 做工不错，就是比预想的薄点</t>
  </si>
  <si>
    <t>产品超棒 已经为两位朋友推荐并购买，产品非常棒！</t>
  </si>
  <si>
    <t>很好 应该是正品，只是试了一下，感觉不错！</t>
  </si>
  <si>
    <t>囤货中 宝贝收到了！很好看！还没用囤货中！</t>
  </si>
  <si>
    <t>提早到货，东西不错 提早到货的，东西看着就正品，现在还没给宝宝用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</si>
  <si>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Its a great deal 我个人认为在配个差不多的解码和线，空间良好摆位合适音量足够的状态下，这个箱子解析水平是1000元大耳的水准。三品均衡无染，极高频似乎有一点点不明显的失真，低频下潜很好，声场立体，结像非常精准。活动价一对一千八，真的很值</t>
  </si>
  <si>
    <t>不错 味道很好，可惜买少了</t>
  </si>
  <si>
    <t>尺码 综合大家的评论，这个码数正好，这是第一次在亚马逊上购物，很满意</t>
  </si>
  <si>
    <t>很好很舒服 穿起来很舒适。ecco的鞋就适合亚马逊上买。便宜好多啊！</t>
  </si>
  <si>
    <t>挺好的，满意 很严，一点味都没有。不错，给孩子装溶豆带走不怕洒</t>
  </si>
  <si>
    <t>商标没洗一搓就掉 衣服刚回来、手一搓商标就掉了。布料只能说还行，你说一个知名品牌会让衣服的商标还没洗一搓就掉了吗？有点失望而已。</t>
  </si>
  <si>
    <t>不是太满意 和国内专柜货 有差别 已退了吧</t>
  </si>
  <si>
    <t>172/65，S码合身 衣服质量不错，就是有一颗纽扣生锈了，清除后表面有一点锈迹。另外水洗后一只袖口略有小破损。值友们看看是不是也这样，总体还是满意的。</t>
  </si>
  <si>
    <t>裤筒太大，完全不适合 裤筒太大，完全不适合</t>
  </si>
  <si>
    <t>不好写 还以为国外的笔好写，一试还真的不怎么样，根本没有描述的那个笔芯直径，下水也不畅，算下来一点都不便宜。差评！</t>
  </si>
  <si>
    <t>机器翻译效果差 很无语，一直往上跑，同样尺寸华歌尔就不会，翻译不对等，网页没有显示是哺乳胸衣，订单上才显示出来。</t>
  </si>
  <si>
    <t>还行 特地买了个入门的无损播放器，但是说实话对比水果6s的提升不大，好点的播放器没听过，也用电脑听过，耳机属于很好推的那种。没有特别擅长的类型吧，算比较均衡。价格因为是日亚买的，所以相比国内便宜好多。总体满意。</t>
  </si>
  <si>
    <t>好商品 商品质量 1.颜色比商品介绍页面暗一些，牛油皮皮质，易于护理，不适用于雨天穿着。 2.重量较轻，鞋底有弹性。 3.大底防滑，正好适于送老人家穿着。 4.生产日期为2017年，产地为泰国。 配送： 海外配送易客满较慢，国内段配送顺风棒棒滴！</t>
  </si>
  <si>
    <t>还行吧。一般般。 衣服有些毛毛。没吊牌。总体还可以。以后买这种还是全棉好。感觉这个会起球。话说我这衣服帽子上是生产中粘上翔了？还是别人用来擦翔了？</t>
  </si>
  <si>
    <t>质量很好 很可爱，质量很好</t>
  </si>
  <si>
    <t>为什么没有产地 搞活动买的，价格确实比较便宜，尺码合适，皮质和做工都不错，唯一就是左脚鞋子有明显擦伤，而且外包装没有破损。在亚马逊买了好几次产品了，没没有1件商品有产地，这么大的平台还是自营商品居然没有1件商品标注产地。</t>
  </si>
  <si>
    <t>鞋子的款式非常好看，简单 很喜欢，本来白色就是我喜欢的颜色，这个款式在香港各大专柜都找不到，想到亚马逊一定有，没想到鞋子到了试穿后真的舒服，走路感觉要跳起来！很赞！</t>
  </si>
  <si>
    <t>建议比平常的号码大一号。 比想象的要小一些，无奈退了又买了一次。建议比平常的号码大一号。</t>
  </si>
  <si>
    <t>不错 独立包装比较方便,可以给孩子带一个放学再用,六岁小脸女孩带也有一点小</t>
  </si>
  <si>
    <t>不错，超市对比，目前没看到过同款。国外就是国外的货 不错，老公很喜欢，所以一定好评</t>
  </si>
  <si>
    <t>孩子 很满意，图个踏实放心，有待于试用。</t>
  </si>
  <si>
    <t>不知道质量怎么样 面料手感好</t>
  </si>
  <si>
    <t>P家忠粉！ P家忠粉，买过所有鸟鼠像等一线品牌，抛开做工和其他品牌效应而言，P家的版型是最适合我的，特别完美修身，一点不像其他品牌户外服装那么傻大傻大的，163,53公斤，感觉穿XS完美，S也行，XS好像更好更修身，这次S也收货了，感谢亚马逊的好价，谢谢！</t>
  </si>
  <si>
    <t>超喜欢 从亚马逊买的第二双斯凯奇了，国内迪卡农40的脚，亚马逊斯凯奇一直38.5 国内专柜没有半码 所以买不到合适的。之前是经典的黑白熊猫鞋，对膝盖保护很好，缓震。这双有记忆清凉鞋垫，所以感觉比熊猫鞋更增高。就是颜色有色差，实物偏褐色灰色，不是图片的偏粉色。不过很耐看，光腿显腿长。超爱亚马逊海淘的斯凯奇，物美价廉</t>
  </si>
  <si>
    <t>价格优惠，质地还不错 此价格在国内买不到这品质的，印度产的。</t>
  </si>
  <si>
    <t>很超值 手表很不错。自带光波电波。很方便。</t>
  </si>
  <si>
    <t>帽子好看 帽子好看，跟图片一样，很正的粉红，青春活力派</t>
  </si>
  <si>
    <t>好东东 质量好。不需考虑退换。</t>
  </si>
  <si>
    <t>挺好的 这款是在产后一个月之后用的，月子里不能用。整体上穿着挺好的，舒服，不用绑束腹带和骨盆带了。</t>
  </si>
  <si>
    <t>性价比高，宝宝喜欢 6个月的出牙期宝宝非常喜欢，抱着啃个不停，各种角度轮番变换。气味比香蕉那款小，清水洗后用开水泡了一下，晾了一天就基本没有味道了。</t>
  </si>
  <si>
    <t>很好 非常好 黑白灰喜欢 尺寸也很合适</t>
  </si>
  <si>
    <t>买过四台... 第一台2017年04月05日，804.96，这个版的插头需要转接头，有点麻烦。 二三台2017年11月27日，625.27，这个版开始就不用转接头，很方便直接插。 第四台2018年01月10日 ，624.89，同上，历史价从来没有抓到过。  友情提示，万一放胶囊的胶囊托丢垃圾桶了，可以去马家搜胶囊托买一个，亚马逊和德龙雀巢官方售后都没有这个配件的。</t>
  </si>
  <si>
    <t>很好 非常。。。。很酷。。。保温很好</t>
  </si>
  <si>
    <t>好货 花洒头比较小，但是出水还是很给力....完美</t>
  </si>
  <si>
    <t>好 非常好</t>
  </si>
  <si>
    <t>好好好 比自己单买划算的多,自营的就是好</t>
  </si>
  <si>
    <t>非常好，性价比高 喜欢这种味道，一开声我就知道买对了。对比之下，我的k3003根本不想听了。</t>
  </si>
  <si>
    <t>不适合运输 打开瓶盖里面没封口，瓶盖都是虚盖的，洒了一半。</t>
  </si>
  <si>
    <t>线头多 不怎么样！孟加拉生产的，线头多，线头多！很一般…</t>
  </si>
  <si>
    <t>奶奶型的内衣，舒适为主。 版型有点奇怪，奶奶款。</t>
  </si>
  <si>
    <t>不舒服 面料是真差，穿着不舒服，不建议购买</t>
  </si>
  <si>
    <t>不建议买 一分价钱一分货。这个是便宜，但质量不好，是那种比较粗的棉线。</t>
  </si>
  <si>
    <t>失败的购物 非常不满意……买来才几个月用了几次就坏了！转头异响然后就转不动了，美亚直邮国内不保修，要自费整机寄到国内的维修点去维修，维修加换配件要花好几百，想不通怎么会质量这么差……</t>
  </si>
  <si>
    <t>可以 有点过甜了，不过还是比较好喝的。一定要用摇杯。</t>
  </si>
  <si>
    <t>偏大 尺码偏大，相对于其他几款，这款价格最高，质量最好，只是相对。</t>
  </si>
  <si>
    <t>基本满意 175/72，裤子合身，布料偏硬偏薄，两侧裤袋布料不是棉的，夏天穿汗多会感到不舒服，穿着不显修身。</t>
  </si>
  <si>
    <t>穿起来非常舒服，大小符合预期 面料是有弹性的，穿起来非常舒服。价格不知道算不算贵。对了 如果有36L的就更好了</t>
  </si>
  <si>
    <t>稍大 稍大了些，不过质量很好</t>
  </si>
  <si>
    <t>好看，不太舒服 好看是确实好看，不过走路太费劲了。脚跟也磨，脚脖子也磨，穿个厚袜子可以抵挡一些，没那么痛，但还是有点难受。这个底有点硬，好像没有生胶底那个软。</t>
  </si>
  <si>
    <t>合身 合身，还是喜欢这种尺码，有腰身腿长的，网上买不容易出错，布料款式跟501差不多</t>
  </si>
  <si>
    <t>好 君不见，黄河之水天上来，奔流到海不复回。 君不见，高堂明镜悲白发，朝如青丝暮成雪。 人生得意须尽欢，莫使金樽空对月。 天生我材必有用，千金散尽还复来。 烹羊宰牛且为乐，会须一饮三百杯。 岑夫子，丹丘生，将进酒，杯莫停。 与君歌一曲，请君为我倾耳听。 钟鼓馔玉不足贵，但愿长醉不复醒。 陈王昔时宴平乐，斗酒十千恣欢谑。 主人何为言少钱，径须沽取对君酌。 五花马，千金裘，呼儿将出换美酒，与尔同销万古愁。</t>
  </si>
  <si>
    <t>物有所值 物有所值，使用比较方便。</t>
  </si>
  <si>
    <t>很好 很好，价格便宜性价比高</t>
  </si>
  <si>
    <t>性价比超高 因为看了评论 所以买小一号 果然大小合适 感谢网友的评论 质量可以 毕竟价钱便宜 没什么太多要求</t>
  </si>
  <si>
    <t>家用这款足够了？ 家用足够了，配件够多。亚马逊服务不错，不bb直接打五折。</t>
  </si>
  <si>
    <t>亚马逊日本直邮非常赞！ 一直都用象印的保温杯，以前都是在代购商处购买。现在通过亚马逊海外购日本直邮，价格要划算很多，而且非常放心，家人都非常喜欢！</t>
  </si>
  <si>
    <t>划算 不错，划算。背奶必备？</t>
  </si>
  <si>
    <t>好用 轻巧，非常不粘锅～喜欢</t>
  </si>
  <si>
    <t>喜欢，超值 绝对的超值啊，到手450不到。一件风衣带个薄的滑面薄绒内胆。做工很棒。尺码就是欧码一贯的有点偏大。166cm/62kg，穿M码袖子稍稍有点大，其他部位合身，尤其是内胆单穿超级合身。款式也很好，虽说收腰，但是下摆挺长还是开口的，稍微有点肚子也能穿，不挑身材。 补充一下，最近去欧洲带着这件外套，赶上地中海地区的雨季，又检验了一下防雨性能，好用</t>
  </si>
  <si>
    <t>还不错 178cm/73kg，m号合适，只是价格变动太快，刚买完就降价。面料比较薄，适合春夏遮挡风雨，感觉有点带静电。</t>
  </si>
  <si>
    <t>好啊好 微弹，大小照尺码表买合适，裤型也很好</t>
  </si>
  <si>
    <t>有效果 储水量确实小，不过有效果</t>
  </si>
  <si>
    <t>裤腿长 质量啥的都不错，就是裤腿长些。尺寸把不住啊。 明明按照尺寸量的，感觉应该选小一号的。</t>
  </si>
  <si>
    <t>还可以 太阳能充电还是很实用的。但是老是坐办公室的话，建议正常电池的更合适。深圳一直无法收波，不过正常使用也不强求。</t>
  </si>
  <si>
    <t>不错 性价比高</t>
  </si>
  <si>
    <t>很不错，就是买完降价了 挺不错的，包装完整，应该是新的，没有验证真假，第一次海外淘很满意，还会经常买，就是买完就降价了有点不开心</t>
  </si>
  <si>
    <t>nice jean with a fair price，but the size is a some small like title</t>
  </si>
  <si>
    <t>好用 非常好 虽然锅盖有瑕疵 九百多大家参考价格浮动</t>
  </si>
  <si>
    <t>充电 说明书写的真的好垃圾…… 不能自动回充电座充电，略鸡肋。 充电时一直红灯闪烁，隔几秒就响音乐是怎么回事？</t>
  </si>
  <si>
    <t>不错 很合适，70苦瓜，184c m</t>
  </si>
  <si>
    <t>包装破损，不知商品是不是正品 打开快递箱，两个瓶盖的顶部都破碎了，让人感觉不好，箱里也有防止碰撞的填充物，怎么瓶盖还都破碎，不知道商品质量可不可靠</t>
  </si>
  <si>
    <t>感觉一般 越南产的材质一般 颜色比图片显示的略淡一点 我1.73国内通常买175/96A的 M号穿稍紧了点</t>
  </si>
  <si>
    <t>中国人尺寸 按照亚马逊的尺码对照，用皮尺测量得出想要的尺码，收到的货品足足大了两码左右。中国人建议购买比亲自测量尺寸小两个尺码的裤子。面料很舒服，由于退回成本较高，不退了。购买海淘服装鞋履类国人还需谨慎。</t>
  </si>
  <si>
    <t>鞋子开胶 从买来穿的不到五次，鞋子开胶一圈，厉害了！</t>
  </si>
  <si>
    <t>和图片不一制 和图片不一样，内衬不是皮的，是网眼布的！</t>
  </si>
  <si>
    <t>最差的一次购物 这是我在海外购买的最差的东西了，虽然价格不贵，但质量太差了，首先衣服太长了，我一米八穿L的都能当裙子穿了，最主要是面料太差了，穿上很痒，做工也差，买的两件同尺寸的，一个领口大，一个领口小，第一次洗就开始有点起球了</t>
  </si>
  <si>
    <t>比图片更浅蓝色 拉链设计舒服。便宜好穿的衣服 163，54kg，码子正合适，s就小了</t>
  </si>
  <si>
    <t>物超所值 总的来说还是不错的，物流挺快的，但是快递员不负责任，把表留在商店里，表链两边是实的中间是不锈钢空心，希望以后中间也可以是实心的。总体来说很不错。</t>
  </si>
  <si>
    <t>袖口 袖口太紧，会勒出红手印</t>
  </si>
  <si>
    <t>赤脚鞋 鞋子很舒服，不过鞋号偏大，要光脚穿的，基本上量一下光脚多大照着买就行</t>
  </si>
  <si>
    <t>还不错 衣服合身，很不错，就是定型的袖子容易开线</t>
  </si>
  <si>
    <t>好物 这款保健品的效果不错的！</t>
  </si>
  <si>
    <t>好用 推荐 显档次 prime会员价格超级给力！才一周就到北京了。我戴牙套，喝完带果肉的果汁（有果肉塞在牙套钢丝里）就赶紧试了一下，类似脉冲的出水方式，没想到清洁效果不错！如果张开嘴的确是会飞溅，闭着嘴就没事。</t>
  </si>
  <si>
    <t>需要一定推力 很喜欢990 PRO，需要一定推力。</t>
  </si>
  <si>
    <t>派克卓尔 颜色没有图片上那么惊艳，不过也还可以。出水汹涌，无飞白现象。整体还是很满意</t>
  </si>
  <si>
    <t>这个必须要说下 太喜欢了.方便,现在基本是两周一次直推侧面头发.唯独不是很好的是不能剪斜坡面</t>
  </si>
  <si>
    <t>尺码刚好，亚洲角宽，建议d,2e 既然都打算买NB了，只有990最值得入手。乔布斯穿了一辈子的NB990。 现在才知道，出奇的舒服。 26cm的。8us刚好。无论d,m,2e都可以。</t>
  </si>
  <si>
    <t>孩子爱吃 孩子3岁，爱吃，但是一天一粒能吃很久，买了4瓶，18年1月过期，看来太多啦😄～</t>
  </si>
  <si>
    <t>精致，实用的帮手。 小巧精致！易固定，加工完毕后易清洁。以后可以自己加工面条了，方便又放心！</t>
  </si>
  <si>
    <t>值得买的桌面音箱 身材小巧，桌面音响声音超出书架式音响。低音有力，解析力高，音色高贵。</t>
  </si>
  <si>
    <t>总体很满意 本人173cm,55kg,29*30的相当合身，只是颜色比图片上略深。总之喜欢~</t>
  </si>
  <si>
    <t>很不错！ 不错，就是没有黑色的了</t>
  </si>
  <si>
    <t>比较高 比较基础款，没啥特别，比较薄，挺好的</t>
  </si>
  <si>
    <t>性价比可以 对比国内便宜不少，快递外包装谈不上简陋，是压根就没有外包装，原包装盒子有破损，不过机器没问题，需要转换头，电压可以直接适配，送的配件较为丰富，不过切丝的切盘孔有点小，切的丝过于细了。</t>
  </si>
  <si>
    <t>适合小孩子佩戴 防水，耐脏，适合小孩子配搭，大品牌，质量有保障</t>
  </si>
  <si>
    <t>轻透 太美了，带脚后跟的，薄如蝉翼，非常轻透。</t>
  </si>
  <si>
    <t>黑五败入 比成人款轻一些，真是我想要的效果。36半的脚穿4.5m正合适，如果想垫鞋垫，可以选5m，脚背扎线处略压脚，但奇怪的是穿一会就没有这种感觉了。总体来说物超所值</t>
  </si>
  <si>
    <t>面料舒服 尺码买大了……面料倒是舒服，准备送人</t>
  </si>
  <si>
    <t>效果还不错 保温效果的确不错，晚上10点左右放入，早上9点多吃刚刚好，米都能泡开，效果介于粥和汤饭之间，主要是没办法像粥难么粘稠，总体来说效果能满意。</t>
  </si>
  <si>
    <t>有点压耳朵 低音可以</t>
  </si>
  <si>
    <t>性价比还行，机器不错。 读写稳定，100M/s，外观中规中矩，比上一代厚将近一倍。驱动一直没装上，反正不影响用。</t>
  </si>
  <si>
    <t>满意的鞋 划算 27cm脚鞋子9 2e大小刚好，脚感舒适，有一点点宽，看来瘦脚买m就好啦 很满意的海外购</t>
  </si>
  <si>
    <t>美款衣服确实要比国内大一码 我1米78,80公斤，穿M码真好，就是这个衣服是短款，不遮屁股，版型就是这样设计的。厚薄适中，有弹性，适合春秋天</t>
  </si>
  <si>
    <t>太大 实物与图片不符，太大太大。不适合亚洲人</t>
  </si>
  <si>
    <t>target垃圾品好意思卖？ 这种品牌是美帝超市里廉价品牌，champion以及hanns两大美帝穷人福音，还是不要祸害天朝子民了</t>
  </si>
  <si>
    <t>第一次购物 包装也太随意了吧。其它还好。</t>
  </si>
  <si>
    <t>很大 168，98斤，买的M码，很大，裤腰很肥，肥出2个拳头宽吧，感觉像男款，裤腰松紧带可以调节，也能穿，就是很宽松！裤子也是很薄的一层棉布！</t>
  </si>
  <si>
    <t>实物与模特相差太大，不推荐！ 长短合适但肩部腋下过于肥大，不知道料子的质地，手感不舒服！</t>
  </si>
  <si>
    <t>希捷4t 在2017年10月就出现问题了，中国不保，要等机会让朋友带美国去换了，以后不贪小便宜了，还是国内特价买吧。</t>
  </si>
  <si>
    <t>二次销售 总觉得我的是二次销售过的，外包装贴纸剩三个，其中一个快没有粘性了，不开心。</t>
  </si>
  <si>
    <t>一般 我只能说东西表面还是很容磨损</t>
  </si>
  <si>
    <t>切记，一定要量好自己的尺寸再买！ 本人身高177，体重75公斤。胸围和袖长按照亚马逊给的推荐买了M号的，刚好合适。果然南美生产的衣服就没有亚洲生产的衣服质量好......</t>
  </si>
  <si>
    <t>不适合一岁前的宝宝 估计要等他大点再用了，现在老喜欢把盘子扯下来</t>
  </si>
  <si>
    <t>很不错 质量不错，稍微有些厚。178，73kg买的M，刚刚够穿，建议买大一码</t>
  </si>
  <si>
    <t>很好 很不错的一款 质量很好 发货也很快</t>
  </si>
  <si>
    <t>很不错 不错，贴身舒服，日本造的就是好一些</t>
  </si>
  <si>
    <t>鞋子还不错 鞋型比普通的运动鞋略宽一些，底有点沉，但脚感还不错。产地是印尼，没有看到什么显眼的瑕疵，质量应该还可以。穿到脚上看着没有特别宽，自我感觉很美。虽然是针织的但是不太透气，透气性比nmd差。</t>
  </si>
  <si>
    <t>希捷 挺好的 很满意的一次购物</t>
  </si>
  <si>
    <t>尺码和大家说的一致 平时运动鞋是穿40的。脚的长度是240，按脚长是能买39的，但是脚有点肉，如果买39就很挤了。大家都说鞋偏小一点点，所以买了7(W)也就是40。脚感非常合适。</t>
  </si>
  <si>
    <t>匹配，容易被咬破 吸管咬破好几个，所以买了很多次了~比较好用</t>
  </si>
  <si>
    <t>没味道 给宝宝囤货的 宝宝还小。现在还用不了。囤货的</t>
  </si>
  <si>
    <t>很合适，送货很快 美版的裤子偏肥，但正是我喜欢的，质量还可以，171, 74kg，选32/29正好，供参考。 从下单到到手总共5天，太快了！</t>
  </si>
  <si>
    <t>第一感觉良好 泰国产，17元的通关运费，下完单就涨了几元。送货很快，13日下单，在20日已经收到。 没有中文说明书，需要的可以在这个链接下载 [...] 暂时只调好了时区BJS，先给好评，过段时间再根据使用情况修改。</t>
  </si>
  <si>
    <t>性价比高 东西还不错，平时搭配休闲装很合适</t>
  </si>
  <si>
    <t>不错 希望能管用！</t>
  </si>
  <si>
    <t>满意 偏商务，176CM,80KG</t>
  </si>
  <si>
    <t>便宜！ 买三顶的钱在专柜都不够买一顶……就是基础款，还给老爸看中顺走一顶。夏天到了遮阳不错。</t>
  </si>
  <si>
    <t>很好的内裤，贴身，舒适，要不是有个东西在那里，我都会觉得没穿一样 很好的内裤，贴身，舒适，要不是有个东西在那里，我都会觉得没穿一样！推荐</t>
  </si>
  <si>
    <t>好看 舒适 好看 舒适 无钢圈里穿过性价比最高的</t>
  </si>
  <si>
    <t>很舒服 有收腹的感觉，蕾丝很舒服。</t>
  </si>
  <si>
    <t>good perfect ，good  quality ， perfect experience</t>
  </si>
  <si>
    <t>物有所值 很强劲，绞肉太牛了 就是刷起来稍微麻烦</t>
  </si>
  <si>
    <t>到货速度快，方便快捷！ 到货速度很快，确实好用，非常喜欢！</t>
  </si>
  <si>
    <t>买大了 衣服还不错，只是买大了，小一码更合身些，身高168重128。</t>
  </si>
  <si>
    <t>DHA挺好 宝宝一直吃童年时光DHA胶囊，口感好，宝宝爱吃。这次买的日期较新，打开后也没受潮粘连的情况，挺好。就是发货时间长一点，要多提前两周备货</t>
  </si>
  <si>
    <t>满意的一次购物体验 质量细节都挺好，一股纯棉的气息。</t>
  </si>
  <si>
    <t>太大啦 送人算啦，太大啦，我1.73米，体重70公斤</t>
  </si>
  <si>
    <t>噪音很大 很大很大很大很大</t>
  </si>
  <si>
    <t>好大啊… 好大一瓶啊！，。太大了，像个桶…味道有点儿甜…可能不如巧克力的好喝，但是怕巧克力的喝胖了…</t>
  </si>
  <si>
    <t>不合适 尺码大了，不合适</t>
  </si>
  <si>
    <t>质量差，退货退款 只是一个好看而已，耳机回来不到20天就坏掉了，根本就充不起电，一直是这个兰色灯，怎么都不变颜色！这半个月还不是天天都在用，真是伤心，现在耳机变成一根绳，以为亚马逊没有差的，假的商品，可是结果太伤心。一颗星都不想给。</t>
  </si>
  <si>
    <t>本来挺看好这款耳机的，结果... 本来这款耳机用着还行，直到前天突然无法开机了，想到找售后，然后登上亚马逊网站一看评论心就凉了，原来都这样，算了，自认倒霉吧，好得我还用了8个月呢</t>
  </si>
  <si>
    <t>适合我，不见得适合你 还好，因人而异</t>
  </si>
  <si>
    <t>适合内搭 还好 应该是内衣 不太适合外穿</t>
  </si>
  <si>
    <t>还可以 还可以 就是很薄 摸起来挺舒服 只是感觉不是很耐用啊 送男朋友的 他挺喜欢的 包装盒不错 很厚实 就是觉得Ck的钱包也挺一般的 不能装太多钱不然会合不上 5月6下单 18号收到 比想象中快</t>
  </si>
  <si>
    <t>音量大时听某些音乐，在高频段，左耳有明显的破音，右耳稍轻微 追加1: 对室内人声的主动降噪效果约为0，失望；包裹型的耳罩提供的被动降噪功劳更大。 追加2: 有风时，会产生新的风噪，在某些风向上尤其明显；另外，确实很热，今日有点升温，不到半个小时就能感觉到流汗了。 追加3: 听古典音乐，club音效模式下左耳单元有严重的破音，在听流行音乐时很少出现，可能与高频表现有关。</t>
  </si>
  <si>
    <t>我买大了 买大了一码，自己穿不合适。</t>
  </si>
  <si>
    <t>总体还算满意 因选择的尺码只有这个颜色，收到后穿起来不算挤脚，2E码也不算太宽松</t>
  </si>
  <si>
    <t>很好 给老公买的，几个颜色都买过来，很好。</t>
  </si>
  <si>
    <t>非常不错，全五分 先说送货：下单两周货迟迟收不到，出差前两天给快递小哥打电话，告诉因要出差穿，帮忙留心，谁想到出差的前一天快递小哥打电话说鞋子到了，怕我看不到短信，特意打电话告知，暖心啊！给快递小哥无数的赞！再说货品：鞋子穿上显得很秀气，大小合适，皮质细腻，而且无异味！还会继续关注该品牌！话说我已经在亚马孙上买了各种鞋子4双了，都满意啊！有了prime，海外随意购啊！</t>
  </si>
  <si>
    <t>内裤 很好，价格实惠，质量也很不错，好评！</t>
  </si>
  <si>
    <t>好用好洗 透明的刻度对于家里长辈看着很费劲，其他还好，好洗，原配两滴流速奶嘴，六个月后要自己换三滴及以上的，但是新生儿就得买小号的瓶子，那个瓶子才是一滴流速的</t>
  </si>
  <si>
    <t>单独包装 还没开始使用 每个口罩都是单独包装 日抛型的价格还可以 满意</t>
  </si>
  <si>
    <t>很棒 攻能多，好用</t>
  </si>
  <si>
    <t>买贵了 500拿下，买贵了</t>
  </si>
  <si>
    <t>舒服 这个穿上超级舒服，没有束缚感！便宜！质量非常好，</t>
  </si>
  <si>
    <t>做工精致，造型可爱 做工精致，造型可爱。</t>
  </si>
  <si>
    <t>值得购买 质量好，送货快，很满意。</t>
  </si>
  <si>
    <t>不錯 帽子質量很好，價格便宜。帽子前部有內襯，很舒適，且有型，只是尺寸稍偏小</t>
  </si>
  <si>
    <t>好看 送给妈妈的新年礼物，喜庆，好看。</t>
  </si>
  <si>
    <t>保温 很好，一到就加了热水试试，48小时都还是热的’</t>
  </si>
  <si>
    <t>不错 上一个就是飞利浦的，用了6年了。充电线老化爆皮了，剃须刀还是很好的。这次有买了一个飞利浦，目前用着挺好，希望不要让我失望</t>
  </si>
  <si>
    <t>效果还行，便宜 很喜欢很划算，感觉比海淘还划算了，天猫还送一个月的prime会员，开心，管用的</t>
  </si>
  <si>
    <t>挺快 容量不错，速度也不错</t>
  </si>
  <si>
    <t>比预想的小 还没用过，看起来很精致，喜欢。</t>
  </si>
  <si>
    <t>比日本实体店买的价格还合适 比日本实体店买的价格还合适，质量也不错，这个牌子家人一直穿L，这个也正合适，178、150+斤。要是有肚子建议买XL，仅供参考</t>
  </si>
  <si>
    <t>并没有问题 这个偏大。但质量很好，穿着爬山都不累</t>
  </si>
  <si>
    <t>鞋很正 鞋码是标准的，英亚终于有爱步了，最满意的一次亚马逊购物。</t>
  </si>
  <si>
    <t>整体满意 尺寸合适，质量尚可，专门放手机的兜很方便，解决了一般卫衣放手机容易掉落的问题，不错的设计。</t>
  </si>
  <si>
    <t>喷头很容易弹出，无法使用 还是挺好用的，就是没用几天，那个喷头就卡不住了，一按开关，喷头就弹出来，是要怎样？</t>
  </si>
  <si>
    <t>气味 新的就有一点奶的气味  用了半个月还是那种气味</t>
  </si>
  <si>
    <t>生长纹多，感觉不是很值 鞋面生长纹太多  本国转外销的瑕疵品，自己护理下穿吧，感觉不是很满意</t>
  </si>
  <si>
    <t>质量不好！ 质量也太垃圾了！洗了一次标就掉了。</t>
  </si>
  <si>
    <t>搞不懂是不是这里问题 190多的太差了，出水流很大，难道是因为前级3M的PP棉进入到他里面去了？煮出来的水冷却后像很多棉花沉在底部（不是水垢）。去年用160多的非常好。不懂能不能退货或者找谁咨询是不是质量问题。以后都不敢买了</t>
  </si>
  <si>
    <t>有点偏大 同样32的lee牛仔裤刚好有点紧，这款32就偏大了，退货太贵将就穿吧。布料有点黏毛</t>
  </si>
  <si>
    <t>性价比不高，但是价格是实体店1/3,聊以自慰吧！ 鞋最前面高出来一点，老垫垫的，设计问题，三个魔术贴总感觉调不到满意的程度！还有，这类底子的鞋子一般偏硬，不是很舒服，想买软底的，看图片以为软软的，个人选择原因导致不满意！</t>
  </si>
  <si>
    <t>还可以 172的身高，73的体重，买了32 32的，长了好多，截掉了五厘米，穿上腰围合适，裤腿宽松，</t>
  </si>
  <si>
    <t>很好 第一次海淘这个品牌的衣服，担心尺码怎么选，身高1.67米65KG，S码刚好。这个价能买到这个品牌的衣服我个人感觉值得，希望能提供到借鉴。</t>
  </si>
  <si>
    <t>一般 包装实在不敢恭维，到手后，包装稀巴烂，奶瓶该行吧，没有味道，宝宝从出生到现在没用过奶瓶，第一次用还不习惯，不会用的节奏，希望多用几次会用</t>
  </si>
  <si>
    <t>卡其色m码 170.80kg穿m长短大小合适，颜色不是真正的卡其色有点偏绿，面料手感不错，适合喜欢宽松的</t>
  </si>
  <si>
    <t>很好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</si>
  <si>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不错的 对关节损伤有帮助</t>
  </si>
  <si>
    <t>超级棒 这次居然没有原箱送到非常惊喜，只是要不要这么壕，用了这么大的箱子！机器非常好用，每天一杯，还要很辛苦的忍住喝第二杯的欲望……客服态度非常非常棒！</t>
  </si>
  <si>
    <t>perfect 做工很好，很厚实，款式很好，175cm70kg，S号刚好，领口处略紧；蓝色有色差，比照片上颜色深，但觉得刚刚好</t>
  </si>
  <si>
    <t>老款式，守旧的人会很喜欢 号码偏大，袖子有点儿长，款式比较老，适合守旧的人穿。</t>
  </si>
  <si>
    <t>性价比极高 拆了，中奖10t 氦气，手残，壳子坏了，这个价x宝只能买到8t拆机</t>
  </si>
  <si>
    <t>还没使用 配的是1号奶嘴</t>
  </si>
  <si>
    <t>很好看 这件衣服很好看很舒适……</t>
  </si>
  <si>
    <t>对缓解关节痛很有用 比在美国时在亚马逊下单的价格贵了差不多九元，再加上关税三十多，总的来说还是不错的，发货也挺快，三天就收到了。这个需要长期吃，对缓解关节痛很有帮助。</t>
  </si>
  <si>
    <t>买错了的话，商品退货麻烦，海外购蒸心不能用 当时下单，没看清，后来点了退货，又不能退货了，今天收到货后，才发现买错了。退货的通路太麻烦了，海外购蒸心不能用</t>
  </si>
  <si>
    <t>Clarks女软皮低帮运动鞋 舒适轻快，款式很潮。</t>
  </si>
  <si>
    <t>尺寸合适 非常好，尺码也很符合，感觉尺寸设计的弹性挺大的，可以调整。</t>
  </si>
  <si>
    <t>物美价廉 鞋子一如既往的舒适，价格非常友好，非常满意！</t>
  </si>
  <si>
    <t>仅供参考 本人173，65kg，胸围90，日亚L码稍显宽松，正是我想要的，对比美亚的冠军S码感觉略大一点。</t>
  </si>
  <si>
    <t>可信任 正品，质量好，可信任</t>
  </si>
  <si>
    <t>好用！！ 超好用的打出来的蛋白霜特别细腻！使用的时候声音也很轻跟淘宝二三十块的打蛋器相比，喜欢烘焙的话这个钱绝对花的值~</t>
  </si>
  <si>
    <t>好东西 首先大小和护照差不多。而且4T，速度也比较快。我现在把所有资料照片都存进去了，只占了一小部分存储空间。以后可以疯狂拍照了。我的以前买的1T的大个子硬盘可以淘汰了。</t>
  </si>
  <si>
    <t>非常好,应该是氦气 装小妹妹的</t>
  </si>
  <si>
    <t>好 号码和店里的一样</t>
  </si>
  <si>
    <t>做工精致，物超所值！ 做工很精致，亚马逊海外购的速度真是很快，11号下单，原来提示20日送到，结果14日就送上门了。价格比京东天猫上都便宜，加税303元，本就是高性价比的耳机，这个价就更值了。至于声音表现，我不太懂，可能不是国内消费主流喜欢的，第一耳不是那么惊艳，很克制、收敛、柔和、波澜不惊。</t>
  </si>
  <si>
    <t>比较硬，宝宝不喜欢 看推荐买的，实物收到应该是正品但是比其它奶嘴都硬，宝贝不用。</t>
  </si>
  <si>
    <t>符合价格的商品 裤子的面料属实不太好，并且对于navy来说颜色也有点太蓝了。商品也确实符合如此便宜的价格，一分价钱一分货吧，不能报太大希望。</t>
  </si>
  <si>
    <t>q 领口有点大，显胖</t>
  </si>
  <si>
    <t>买回来不到3个月变质发霉！ 效果先不谈，但买回来开封，吃了不够3个月开始发霉！！每个药丸上有灰色斑点，吃了肚痛拉肚子。网上一搜发现不是个例。奇怪的是明明有阴凉密闭保存，也不是特别潮湿的环境。  向亚马逊客服投诉，结果是不退不换，准备向12315投诉！  作为prime会员，得到不公对待，第一次评论！</t>
  </si>
  <si>
    <t>质量太差 穿了半个月鞋就裂了，近600的鞋就这质量？之前的添柏岚穿3年了还没问题，我怀疑是假货，不是假货也是残次品！太差了！</t>
  </si>
  <si>
    <t>假货！海外购也不让退货！ 这款是海外购买的，竟然不能退货，包装简陋，十有八九买到假货了！！！不会再买，太可怕了！</t>
  </si>
  <si>
    <t>不错 做工挺好，就是不知道能不能坚持了</t>
  </si>
  <si>
    <t>领子小 衣服质量可以，纯棉，印尼产，就尼马这领子小得吓人，怎么说呢，有种被命运扼住喉咙的感觉，胖子慎买。。。</t>
  </si>
  <si>
    <t>面料、配件都不错 跟图片上一样的，衣服做工及面料都不错，五金纽扣上“LEE”的标识，袖子稍长。面料不硬，适合春秋天穿着。因是海外购，所以等的日期稍长些，不过也就20天左右。值得的。身高160，体重120，M号的正合适，仅供参考。</t>
  </si>
  <si>
    <t>新款～ 收到的是新款。可是包装实在不敢恭维！就一个纸盒子，收到的时候都快散架了！发货时就不能在外面再加个纸盒子吗？美国人干活真不行，这要在中国早就失业了！</t>
  </si>
  <si>
    <t>评价 本人身高1.74m，体重约56kg。正好合适。质量感觉一般，薄厚适合春季。日本代购7天收到。海关清关比较快，但是ecms快递速度不是特别快。</t>
  </si>
  <si>
    <t>非常不错，大小合适，质地柔软。 大小合适，质地柔软。</t>
  </si>
  <si>
    <t>我的亚马逊第一单，惊喜！ 在国内网购了十几年，而在亚马逊，这是头一单。很惊喜！必须点赞！27号下单，没想到赶在2016年的最后一天就从美国寄到了！产品性价比超高。正在拷贝数据，每秒150M左右。</t>
  </si>
  <si>
    <t>不粘，就是有点重 锅很好，价格比代购便宜很多，就是有点重。估计是我需要锻炼。</t>
  </si>
  <si>
    <t>不错的商品 鞋子很舒服，主要赶上活动，很划算！</t>
  </si>
  <si>
    <t>很好用的奶瓶 喜欢 比其它平台便宜很多是正品</t>
  </si>
  <si>
    <t>蓝孩子的选择 s相当于亚洲码m，但是略长</t>
  </si>
  <si>
    <t>很便宜 舒服 穿着挺舒服的，可是作为会员购买的时候不免运费，过了几天可以prime了，多出来80多的运费，但是价格很便宜</t>
  </si>
  <si>
    <t>买双硬盘就是为了速度快一点 现在的硬盘也是越来越不够用了，比较了很久，发现12T的双硬盘性价比还是可以的。 运输花了很长时间，不过最近的确也没办法。 到手后接电脑的雷电3接口，速度特别慢，不知道是什么原因了，以后再研究。然后接在usb3.0接口上，从硬盘考到移动硬盘可以达到300M/S，速度还是比较满意了。 里面硬盘是2块WD的红盘，应该是默认组了RAID0模式的。暂时应该够用了。</t>
  </si>
  <si>
    <t>还行 价格很实惠 质量也还行</t>
  </si>
  <si>
    <t>不错的衣服 不错，好看，舒服，面料也可以</t>
  </si>
  <si>
    <t>尺码标准 36英寸（93cm）的腰，买36码的裤子，刚刚好，不大不小。</t>
  </si>
  <si>
    <t>大小正好 170cm，74kg，正好。</t>
  </si>
  <si>
    <t>经典款，不多说 经典款，百搭，便宜，耐操。全5星</t>
  </si>
  <si>
    <t>背后开关键 背后的开关键似乎没有什么用，按下没有任何反应，是不是个装饰？</t>
  </si>
  <si>
    <t>六杯是肯定没有的 咖啡液大约星巴克四个shot的量吧，十分漂亮</t>
  </si>
  <si>
    <t>这个裤子是有弹性的 标题写的是修身款，到货才知道面料是有弹性的，所以码数选择可以在一两码之间变动，宽松一点可以选平时牛仔裤穿的尺码或大一码，紧身可以选小一码。wrangler这个牛仔裤版型还不错。</t>
  </si>
  <si>
    <t>不错 牙刷的使用感还是很好的，听说充电器可以给X充电，手机还有百分之八十电量的时候充了一晚上发现X没电到自动关机了，充电器把我手机的电都吸完了？？？</t>
  </si>
  <si>
    <t>Quality T-shirt Quality T-shirt</t>
  </si>
  <si>
    <t>五星好评 刚刚回家，试了一下鞋子，大小合适。第一次买ecco，不知道是不是正品，选择相信亚马逊。五星是给亚马逊服务的，邮件电话联系亚马逊，会得到百分百的重视并答复，冲这个必须五星！！</t>
  </si>
  <si>
    <t>5.11 一直在穿，禁磨，耐操</t>
  </si>
  <si>
    <t>很不错的内衣 大小正好，轻薄透气。很喜欢，又买了一件。</t>
  </si>
  <si>
    <t>好 非常好，打折力度大</t>
  </si>
  <si>
    <t>麻烦把尺码号码搞准确了 号码及其不准确，不敢在亚马逊上买衣服了，其他类别的商品还可以。亚马逊购买商品之前就没有客服服务可以沟通，请改进!</t>
  </si>
  <si>
    <t>三星给这么烂的物流包装 东西还可以，就是物流包装也太环保了吧？不仅物流袋子被人戳了个洞，连里面的包装盒都烂掉了……这真是第一次碰到这么low的包装，完全有被人调包的可能～里面的替换芯是英国产的，只有壶里的那个是德国产的</t>
  </si>
  <si>
    <t>续航时间很长，音质也不错 买完第二天就降价了，立刻申请退货结果还是送过来了。亚马逊的用户体验真心不好，好在耳机的质量不错，续航时间很长</t>
  </si>
  <si>
    <t>鞋子是假的 垃圾鞋子，硬的很，哪里来的踩屎感?就跟才铁板一样，海外购不到五天居然收到货了，这也太假了吧</t>
  </si>
  <si>
    <t>失望的购物 太肥大了，与描述的的不一样，退换货还要125元运费，服务质量极差。不要说京东了，连淘宝1🌟商家都比不了，亚马逊早晚关门</t>
  </si>
  <si>
    <t>满满的廉价感 打开包装的那刻就被‘地摊货’似的线弄的得心情奇差无比，想想以前的CX200,Sennheiser已死，音色奇差，感觉像裹在被子里的音响，能受的了吗……。难道什么东西开始在中国产了就彻底毁了吗，产地是：中国，我却是海淘的美国货，还交了关税……</t>
  </si>
  <si>
    <t>买长了 这款皮带腰带头是线缝的，买长了不好剪，只能打洞。质量看起来还不错，印度生产，神牛穿上身</t>
  </si>
  <si>
    <t>一般 质量不错有些偏小了。</t>
  </si>
  <si>
    <t>尺码偏大 186,80kg，买的XL都大了</t>
  </si>
  <si>
    <t>颜色 颜色很好看，比图片上的好看的多</t>
  </si>
  <si>
    <t>有效 对产前大腿疼、耻骨疼的缓解作用非常明显</t>
  </si>
  <si>
    <t>好评 cross这款我怎么觉得有时候刷不干净啊，最好用的还是经典的那款</t>
  </si>
  <si>
    <t>全自动，省心、省时！ 非常满意，全自动的咖啡机，带有自动清洗功能。从此在家就可以喝到各种咖啡了！☕️</t>
  </si>
  <si>
    <t>放心的宝宝餐具 外层塑料使宝宝拿着不烫手，内层不锈钢接触实物、水比较放心。性价比高的一款，实用、方便！</t>
  </si>
  <si>
    <t>合适 这个套装是纯棉材质的，价格比较划算。</t>
  </si>
  <si>
    <t>非常满意 人民币2799元入的，手表很漂亮，但山东济宁自动收波与强制收波均不成功，我香港代购一块收波无问题。 调整中国区后，20天后收波成功。</t>
  </si>
  <si>
    <t>尺寸刚好 物流比预期早了几天，国内42码，尺寸刚好</t>
  </si>
  <si>
    <t>不错 很好很实用，出门带着也方便</t>
  </si>
  <si>
    <t>好小的杯子 这个杯子很小很小，很轻，我还没想好到底什么时候用</t>
  </si>
  <si>
    <t>颜色很好 绿色的颜色很好看，质量也不错</t>
  </si>
  <si>
    <t>好 大小合适  做工一般  推荐</t>
  </si>
  <si>
    <t>东西不错 东西该不错，价格也挺好</t>
  </si>
  <si>
    <t>正品 孟加拉产，做工还可以。比运动鞋大两个码，正品</t>
  </si>
  <si>
    <t>值得信赖的品牌喜欢 买了好多次，因为自己吃，父母吃效果不错，所以一直买这个品牌的骨维力。</t>
  </si>
  <si>
    <t>再关税好贵，价格再优惠的就好了 正品日货还有日本发票，希望坚持下去有效果</t>
  </si>
  <si>
    <t>尺码偏大 日版的衣服听说偏小半特地买大了一号，结果大了，按正常码买就好啦</t>
  </si>
  <si>
    <t>跟在美亚买的一样，尺码合适，质感真心好。 包装的很好，大晚上还送过来也是辛苦，没有其他买家说的包装被拆开的情况。160 45kg买的S合适，穿着不紧很舒服。东西是正品，和我之前在美亚买的是一样的，质量很好。</t>
  </si>
  <si>
    <t>容量大 不错，容量大，速度也不错。比国内便宜不少。亚马逊的服务一如既往的好。</t>
  </si>
  <si>
    <t>0.4L保温杯 价格有点贵，保温效果很好</t>
  </si>
  <si>
    <t>质量好 质量相当好的勺子，抛光相当漂亮，相当完美的勺子，我相当喜欢，我给个赞！</t>
  </si>
  <si>
    <t>口味好且很容易冲泡 口味真是不错 - 可以直接加上白水当饮料了。个人经验是早上锻练前后喝， 好过晚上喝。</t>
  </si>
  <si>
    <t>不错 款式是偏肥的类型，不过面料真的很舒适，推荐。</t>
  </si>
  <si>
    <t>退货很麻烦，还要自己打印发票和退货标签 拆开后发现领口有血迹，果断退货！</t>
  </si>
  <si>
    <t>尺寸不合适 之前买过一套XL的，这次重复购买，结果大很多。 无奈再买一套L的。</t>
  </si>
  <si>
    <t>多媒体听过来的有点不适应 799买的非全新，还有低的702，下单后2天价格回升到1K，看不明白亚马逊这价格走势，也不想了反正音箱拿到手，确定是行货，各项表现都很好，低频跟多数人说的一样太浑浊不实在轰耳朵。 20150524追加，低频表现很头疼，退了</t>
  </si>
  <si>
    <t>太大 买时价格便宜，但是真大，完全没法穿</t>
  </si>
  <si>
    <t>电池硬伤 包装很好，日本邮来的，收到物品试用下，居然没电。。。第一次遇到新的电子产品居然是没电的。用了两天，电是硬伤，放一天没用，晚上带上想听下，居然没电了。。。关机也耗电？？？  再次吐糟续航，晚上充满电，隔天再用，绝对无法开机，太垃圾了</t>
  </si>
  <si>
    <t>一分钱一分货 鞋子2只皮质不一样，颜色有色差，做工2只也不一样，一只明显粗燥些，不知道是否正品，比国内专柜品质差很多。</t>
  </si>
  <si>
    <t>还可以 鞋子穿起来有些滑，鞋底不厚，舒适感一般，总体感觉还可以。</t>
  </si>
  <si>
    <t>T恤比国内版宽大 第一次买美版T恤，确实比预计的宽大，本人173cm 、66-67kg，衣服的肩宽和胸围都大了些。平时国内版的adidasT恤穿M(175/96)，nikeT恤穿M合身、L宽松，供朋友们参考。</t>
  </si>
  <si>
    <t>送货速度挺快，但包装有点简陋 经济实惠价廉物美，是正品</t>
  </si>
  <si>
    <t>轻 轻是真的轻，跟没穿一样，但是前端做了凸起，外面不好穿紧身的。。</t>
  </si>
  <si>
    <t>腿根部很肥 裤腿型很好，显腿直。但是大腿根部偏大很多，适合臀部大，大腿根粗的人吧……</t>
  </si>
  <si>
    <t>值得推荐的羽绒服 拿到手就感觉手感好的不行，衣服很轻，面料与国内羽绒服确实不太一样，细腻有弹性。尺寸适中，185/80，L码很合适，没有臃肿感。</t>
  </si>
  <si>
    <t>一些参考 先说自己：瘦脚，脚背正常，平底单鞋其乐4.5码；再说说鞋：质量没有问题，鞋型很好，显得脚很瘦，在穿脱方便的确稍有些不顺畅，但是之前也穿过类似鞋型，所以并不觉得这是个问题，没有出现磨脚现象，这款我买的5码，宽度合适，鞋前稍有些空（大了一点儿）！给喜欢的参考一下！</t>
  </si>
  <si>
    <t>good 好看，实用，价格呢也便宜</t>
  </si>
  <si>
    <t>很好 衣服很好，厚实包装仔细。</t>
  </si>
  <si>
    <t>还不错 孕期囤货，还没开始使用，包装很好，物流也很快。</t>
  </si>
  <si>
    <t>很不错 买给女儿的 very nice</t>
  </si>
  <si>
    <t>物美价优，小厚 棉柔系列，没有荧光剂，用起来很放心，虽然小厚，秋冬用也还好了，价格合适。</t>
  </si>
  <si>
    <t>质量 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</si>
  <si>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其实是内胆可以跟同牌子的冲锋衣对套，很柔软舒服 其实是内胆可以跟同牌子的冲锋衣对套，很柔软舒服</t>
  </si>
  <si>
    <t>东西不错 用了一次，和面效果还不错。不过插座得自己换一下，不然没有接地线做漏电保护。</t>
  </si>
  <si>
    <t>很棒 帮人买的，欧版的号码还是大了点，包装无破损，鞋子也无折痕，穿着舒服，看着也还挺好看的，还蛮帅气的</t>
  </si>
  <si>
    <t>不错哦 很轻，穿里面舒服，173/62穿S码适合</t>
  </si>
  <si>
    <t>好 颜色漂亮，女儿喜欢</t>
  </si>
  <si>
    <t>无 室外2-12度，不浯脚。但号大，鞋小。</t>
  </si>
  <si>
    <t>博朗刀头 很好用，剃须刀又变成新的了，点赞！！</t>
  </si>
  <si>
    <t>版型很好看啊 大小挺合适的，中国码36的买4.5M US Big Kid刚刚好，也很舒服，就是不知道夏天穿会不会太热ha，墨绿的不太好搭校服，其他一切的很好。</t>
  </si>
  <si>
    <t>不错 NB10.5合适，puma10.5前掌略紧，多穿会好，第二次买了。</t>
  </si>
  <si>
    <t>实物颜色较深。 实物颜色深灰色，鞋面带点磨砂的效果。</t>
  </si>
  <si>
    <t>挺值得！买了俩！ 300多买了俩还不错挺划算的！</t>
  </si>
  <si>
    <t>舒服合适 很好很合适，锻炼穿非常适合！</t>
  </si>
  <si>
    <t>实物非常好看 很好看，性价比超高的，运输也很快，一周就收到了，乐价比非常高了</t>
  </si>
  <si>
    <t>穿的很舒服 鞋子很轻，穿的很舒服</t>
  </si>
  <si>
    <t>适合波小的人 吊带不警力，不适合波大的，不挺</t>
  </si>
  <si>
    <t>包装太差 包装太简陋，未有任何额外包装就直接一个纸箱。，有一边都被压了，不圆了。锅的把手也松动的，螺丝又已经拧紧了。</t>
  </si>
  <si>
    <t>质量一般 帽子挺好看的，就是没戴多久可能出汗就晒红了</t>
  </si>
  <si>
    <t>蓝牙搜索不到！ 各种尝试都蓝牙都搜索不到，也找不到客服询问地方，头大。</t>
  </si>
  <si>
    <t>没有人觉得照明灯啥都没照到么？ 照明功能明显缺陷，在黑暗的地方根本看不到时间。</t>
  </si>
  <si>
    <t>看中这款复古表很久了！ ＋简单易用，复古造型，尤其喜欢弹簧表链。  －表面不是玻璃的，容易划伤。</t>
  </si>
  <si>
    <t>还可以…… 用着还可以。就是少有点小了，两人够用。没有锅盖……</t>
  </si>
  <si>
    <t>颜值高，质量略有瑕疵 颜值高，但还是有味道，烧了4，5次水才敢喝。</t>
  </si>
  <si>
    <t>偏大 质量不错的，性价比高~就是美码偏大，国内穿m，美版得买s的</t>
  </si>
  <si>
    <t>还可以 质量不错，性价比高</t>
  </si>
  <si>
    <t>很好用 真的很好，很棒，是正品</t>
  </si>
  <si>
    <t>发货迅速货物满意 发货迅速亚马逊快递服务好，裤子颜色稍微深了一点，不过大小非常合适，本人176高195斤重腿短哈哈，38W30的正好</t>
  </si>
  <si>
    <t>厨房神器! 好看好用！后悔没早点买，会省很多事。只是美国的机器确实在细节有点不到位，比如有制造部件的时候残留的金属碎屑等，一定要用心清理</t>
  </si>
  <si>
    <t>很好 试过了，打米粉，糖粉很给力。</t>
  </si>
  <si>
    <t>大 样子不错，但是37脚穿大</t>
  </si>
  <si>
    <t>不错 物美价廉，瘦长型都是，192/68kg，穿着合适</t>
  </si>
  <si>
    <t>还挺舒服 173，170LBS，经常健力，所以完全能驾驭美版。推荐</t>
  </si>
  <si>
    <t>挺满意，除了网显物流行程看不明白 个头蛮大，快递比网站显示的略快，但是网站显示的送货行程是残缺的，不大理解原因。拷贝速度快的时候40几，慢的时候20几，别的容量2.7多点，别的没啥不满意。当影视资源库的，慢慢用，再来评。</t>
  </si>
  <si>
    <t>物超所值！！！1 F尖的，书写顺畅，在普通A4纸上也不刮纸。之前用过78G，感觉笔尖太细，书写时有些滞涩。这款没有这样的问题，又能和周围一大堆的凌美区分开，真得很不错。</t>
  </si>
  <si>
    <t>大了 质量不错，就是太大了，老公170cm，70kg，买的M号，大惨了，裤子买成110元，回寄运费需要120元，只有送给胖子老爹穿了，总结下来，买欧版的一定要比平常国内自己穿的小一码</t>
  </si>
  <si>
    <t>红表 本命年，带着玩</t>
  </si>
  <si>
    <t>不错，值了 价格没话说，做工都好。</t>
  </si>
  <si>
    <t>好 买过很多次了，尺寸合适，价格也是</t>
  </si>
  <si>
    <t>日本的產品都放心： &lt;div id="video-block-R2KJLXIAS4UA27" class="a-section a-spacing-small a-spacing-top-mini video-block"&gt;&lt;/div&gt;&lt;input type="hidden" name="" value="https://images-cn.ssl-images-amazon.com/images/I/91j82nCr5QS.mp4" class="video-url"&gt;&lt;input type="hidden" name="" value="https://images-cn.ssl-images-amazon.com/images/I/71ufSZZdkhS.png" class="video-slate-img-url"&gt;&amp;nbsp;發貨快 安裝稍微費點心思 我一女汉子 開心😃</t>
  </si>
  <si>
    <t>好 鞋底很软，舒服是很舒服，碰到石子就有点咯脚了</t>
  </si>
  <si>
    <t>很好 非常重的机器，颜色很鲜艳。有它帮助，和面省事多了。但是和面钩没有镀层，不能进洗碗机洗。</t>
  </si>
  <si>
    <t>好 这款包质量非常好，大小也合适。</t>
  </si>
  <si>
    <t>满意！ 非常喜欢！皮质优良！款式大方显瘦！不磨脚！</t>
  </si>
  <si>
    <t>完美购物 非常喜欢，价格合适，有点点小，主要是没有xxl</t>
  </si>
  <si>
    <t>使用体会 买的第三个。因为得了牙周炎，所以买个放在单位，饭后冲牙用。可使用充电电池，1900mAh的松下电池，充满一次可使用一个多月（每天冲牙两次）。</t>
  </si>
  <si>
    <t>推荐购买 用了两个啦，感觉和日本买的没差，只是比日本国贵。</t>
  </si>
  <si>
    <t>好笔 日本的包装不错，笔也不错，当礼物送人最好</t>
  </si>
  <si>
    <t>一次海外购 首先，海外购物流那些都差不多。 但是呢，货到了之后，很失望！鞋子是多米尼亚产的。很多划痕还有几个穿孔！ 退货太麻烦了，后来申请赔偿。讲真，我对亚马逊的处理速度还有政策还是差强人意的，只是对产品不满！</t>
  </si>
  <si>
    <t>草莓的口感差差差！ 草莓的真不好喝，九月28号付款的到十月15号才到货，太慢太慢太慢！！！失望！！！</t>
  </si>
  <si>
    <t>裤腿太肥穿上一点型都没有 作为腿粗臀大的我来说，裤腿真的太太太肥了。如果只是为了运动，完全不考虑好看的话才能买。不推荐</t>
  </si>
  <si>
    <t>质量很差，用了一个月坏了 质量很差，用了一个月坏了，还要自己出运费邮过去修。客服说他们不负责海外购商品的保修，让自己找商家。以后再也不买海外购的东西了。</t>
  </si>
  <si>
    <t>水箱漏水 用了不到半年水箱开始漏水，底部开关接口处根本关不紧，每次用完之后桌子上都一滩水。无法保修也无法更换水箱，只能凑合用。</t>
  </si>
  <si>
    <t>奶嘴软 宝宝一下就接受了 很好用 好用 奶嘴软 宝宝一下就接受了</t>
  </si>
  <si>
    <t>总体看上去还不错。 有位很好的朋友要离开，买了支笔送他的;笔外观看着很精致，塑料感较强，薄纸盒包装感觉显得不够好;自己没去用，希望好用，他也喜欢;总体还不错！</t>
  </si>
  <si>
    <t>尺码偏大 嘤嘤嘤，买大啦，男票180，140上身壮买了L，应该买M的</t>
  </si>
  <si>
    <t>穿着感受 不太适合脚背偏高的，鞋子颜色比照片上的深一点</t>
  </si>
  <si>
    <t>大小 袖子长度合适，肩宽宽了一点点，身长短了，像是高腰的那种！ 本人180身高，体重75kg，属于肌肉型，供大家参考</t>
  </si>
  <si>
    <t>还可以 还可以吧，料子有些薄</t>
  </si>
  <si>
    <t>非常好 颜色鲜艳，质量好。孩子喜欢。</t>
  </si>
  <si>
    <t>东西收到了，很轻很小！！！不知道国外的是不是没有防伪贴？？？有没有叼大的解释一下！！！ 如上！！！！！！！！！！！！！！！！！</t>
  </si>
  <si>
    <t>一直用此品牌的剪刀 给宝宝用，实用安全！</t>
  </si>
  <si>
    <t>运转流畅，安装需要稍微动一下手 分量很重，送的配件也特别多，不过除了进水口和出水口的管子都没用上，自己另外买了两个排废水用的管子。组装过程很顺利，一开始出来的水有点黄，排了一段时间水之后就正常了，应该是机器里面有泥沙的缘故。安装注意事项：一共有4个口需要接管子，6分的进水口和出水口，以及一个2.5公分的排废水的出口，和一个稍小一点的排水口，最后这个排水口只在一开始机器运行的时候出过水，平时没有出过，不清楚正不正常。机器运行之前需要用附赠的测量水质的工具测量一下ppm，运转起来以后需要根据测量的结果调整一下参数，不然有可能机器出来的水太软了，滑得有点有点过分。第一次这么认真的评价，也是因为这个机器太好用了，而且比国内的其他款式便宜太多，感谢亚马逊！</t>
  </si>
  <si>
    <t>鞋子确实是偏大的 整体来讲还不错，鞋码偏大，一般我都是穿44号旅游鞋，43号皮鞋，而这双鞋是42.5的，居然还稍微大一点，倒是合适。刚收到货时因为系着鞋带的缘故，没穿鞋进去，一度以为是买小了，后来把鞋带解开一试，稍微大一点，正合适 。</t>
  </si>
  <si>
    <t>第二次买！！！很不错👍 平时穿38码买的7.5非常合适！已经是第二次买了，很显脚瘦，百搭的小白鞋～不过价格会忽高忽低，喜欢的可以多留意，直接入手</t>
  </si>
  <si>
    <t>舒适轻便 鞋码合适，舒适轻便，鞋型偏瘦。</t>
  </si>
  <si>
    <t>很好很合适 产地泰国，平时买41.5的，ecco买41正好，想买双goretex的，看着这双价格不错，ecco脚感还行，就下手了</t>
  </si>
  <si>
    <t>买买买 走时精准，颜值很高，很满意。</t>
  </si>
  <si>
    <t>可以的 物超所值</t>
  </si>
  <si>
    <t>音质不错，旋转钮较紧 音质还不错，按钮比较紧</t>
  </si>
  <si>
    <t>名不虚传 JBL音响质量很好，名不虚传，快递也很仔细负责。</t>
  </si>
  <si>
    <t>偏贵，水压影响大 价格便宜点就好了</t>
  </si>
  <si>
    <t>管不管用是真的没看出来，我是用后评论的！ 还算舒适吧，主要买犬印的不怕出现副作用，盆骨带用了几次，收腹带感觉没太大作用</t>
  </si>
  <si>
    <t>偏大，漂亮 号码偏大，平时阿迪穿44的，这双买的42.5,穿上正合适。现在亚马逊的快递很快，4，5天就收到了，给力。</t>
  </si>
  <si>
    <t>愉快的购物体验 脚感介于正装皮鞋和运动鞋之间，可以按照日常单皮鞋号码买。刚穿有些紧固感，还担心尺码小了，穿几次之后就舒服多了，因为是新鞋子的缘故。颜色很喜欢，改善了“老头乐”“包子鞋”的感觉。透气性很好，确实有韧性！</t>
  </si>
  <si>
    <t>小方块到手 很棒，卡西欧买了这么多，最终还是要入手经典方块。</t>
  </si>
  <si>
    <t>493真香 表盘有点歪，其他不错，搜波站在外面差不多2分钟成功吧，经典····</t>
  </si>
  <si>
    <t>skiphop 挺不错的，勺子宝宝拿着大小合适，勺口偏大，宝宝一岁多用起来有点大！</t>
  </si>
  <si>
    <t>可爱的爱儿碗 碗比较小很可爱！以后给宝宝装点零食什么已经很方便，密封性不错，就是盖子扣上去稍微有点麻烦！</t>
  </si>
  <si>
    <t>是厚款 里面是加棉的厚款，在图片和描述中看不出来。 式样很不错，大小也合适，就是不适合现在穿了，留着下半年再穿吧</t>
  </si>
  <si>
    <t>舒适 一直在穿的舒适袜子👍</t>
  </si>
  <si>
    <t>有效期太短 牙膏本身量很大，使用也很方便无需挤压，商品本身质量应该没问题。但是我是17年12月份收到的货，有效期到18年12月，才1年左右，生产日期则是15年，1年内是不可能把6支全部用完的，问了客服，说没过期就正常，不知道如果是今天收货，有效期明天过期是不是也算正常。希望亚马逊对于这种商品做好有效期的标示以防止对于消费者误导，在美亚上买了好几次东西都不满意，差评！</t>
  </si>
  <si>
    <t>褪色，掉色 掉色……居然掉色……呵呵哒</t>
  </si>
  <si>
    <t>slim fit 低腰 低腰款的 slim fit 贴身的  180 88kg腿有点瘦</t>
  </si>
  <si>
    <t>鞋子有些污渍，没有预想的好，不过也还可以接受吧 刚刚收到货，鞋码稍微有些大，转眼一看MADE IN CHINA，并且左脚鞋带顶部处有些油污还是胶渍不好说，污渍附近做工也不太工整，也不知真假，貌似和自己直接在美亚买的货不太一样，希望后面穿着没啥问题吧</t>
  </si>
  <si>
    <t>太大了 s号的应该要身高173左右的才合适</t>
  </si>
  <si>
    <t>闪退，无法使用 闪退，无法使用</t>
  </si>
  <si>
    <t>衣服标注尺寸和实际尺寸偏差太大。 尺码标注和衣服实际尺寸相差太多。导致购买衣服尺寸偏大。而退货费用太高，给差差差评。</t>
  </si>
  <si>
    <t>满意 物流还是挺快的，大概一周到了。 表好看，混合织物针孔表带，塑料外壳。 表盘算小的，适合瘦一点的人。 轻中度使用一年零四个月之后，表带断了。</t>
  </si>
  <si>
    <t>出问题了。。。为什么？ 不到一年就出问题了。。幸亏不到一年就出问题了，还在保修期，问题是谁告诉我在哪里保修？</t>
  </si>
  <si>
    <t>还好 一分价钱一分货</t>
  </si>
  <si>
    <t>价格变动大 价格变动有些快，黑五3820下单，到周一就35xx，就像别人说的，声音很销魂</t>
  </si>
  <si>
    <t>开始有味道，之后就好了 包装很好，开始味道很大，清洁后放了两天味道没有了，孩子一般喜欢，不过吃的时候角度问题偶尔会扎到眼睛</t>
  </si>
  <si>
    <t>亚马逊海外购买东西更便宜！ 第一次买绿色的T桖，还不错，很好看。价格美丽，降到92块，立马下手。尺码标准，身高173，体重83公斤，L码非常合身。</t>
  </si>
  <si>
    <t>下雨天穿也很好👌！ 全皮、很好不偏码！正常码和平时一样尺码购买就好了。</t>
  </si>
  <si>
    <t>合适 女生160，51公斤，买了一件男款XS，合适的很，面料舒服，是我想要的。</t>
  </si>
  <si>
    <t>价廉物美 保质期到2021年5月，量大便宜</t>
  </si>
  <si>
    <t>质量好。码偏大 最好买s码，当时没有就按国码买的，大，但是可以松紧，还好吧</t>
  </si>
  <si>
    <t>尺码至少偏大一个号 尺码挺大的，至少大了一个号</t>
  </si>
  <si>
    <t>尺码合适，款式喜欢 &lt;div id="video-block-R1ZXSN9XG0RFVU" class="a-section a-spacing-small a-spacing-top-mini video-block"&gt;&lt;/div&gt;&lt;input type="hidden" name="" value="https://images-cn.ssl-images-amazon.com/images/I/81srCMrwGFS.mp4" class="video-url"&gt;&lt;input type="hidden" name="" value="https://images-cn.ssl-images-amazon.com/images/I/71w4SDWNRUS.png" class="video-slate-img-url"&gt;&amp;nbsp;36偏35的脚。选3码刚刚好。非常喜欢啊。比预想的要快～好看好看～</t>
  </si>
  <si>
    <t>性价比太高了点 大小完美合适</t>
  </si>
  <si>
    <t>合适 给老公买，身高181，体重85公斤，肚子大，穿L码的，正合适</t>
  </si>
  <si>
    <t>安装时扳手下垫块布 非常漂亮，做工精致，细节体验非常好，只是自己安装时，用的活扳手把螺母拧花了（里面是纯铜的）。 按摩模式简直刺激哈哈</t>
  </si>
  <si>
    <t>好 我这么瘦的人穿小号也问题不大 袖子长度还好啊 本来就要挽上一圈 刚好</t>
  </si>
  <si>
    <t>喜欢 超喜欢，用它时心情愉快，提高生活质量的好物。 但是用了一些日子后，发现灌好热水瓶后，壶底剩下的那一点水，有一股怪味。有点怀疑水壶的材质，没有介绍里的那么好。</t>
  </si>
  <si>
    <t>方便 加税90多，挺方便的，但是国内大夫不推荐，不知道为啥。</t>
  </si>
  <si>
    <t>实惠好用 这次快递很快，一直在用宝宝很喜欢呢</t>
  </si>
  <si>
    <t>满意 我162,84斤，买0 long合适。非常后悔之前有0 short的时候没有买，那时价格比现在还便宜几十块。发现0 short没有了才赶紧买了0 long，结果还要自己花钱去改短，因为几乎要卷两圈。质量很好，没有色差，穿着舒适！lee 的裤子在美亚买这是第二条了，都穿0码，合身，而且质量好，非常满意。</t>
  </si>
  <si>
    <t>挺好的 保暖性好，显瘦，深蓝色显白，到手470，一米六三，60kg，s号正合适</t>
  </si>
  <si>
    <t>还会回购 给宝宝吃的 希望是正品，</t>
  </si>
  <si>
    <t>满意 挺好的体验，成功做出面包。</t>
  </si>
  <si>
    <t>长了点 之前买Lee牌的，34X32，感觉腰围稍大了点，长短正好。身高180，体重70公斤。想换个牌子试一试，都是美国的品牌，就选了33X32的尺码，到货发现腰围正好，裤长却长了一节，后续有人购买要注意啦。裤子质量还好吧，这款适合春秋天穿着。</t>
  </si>
  <si>
    <t>正品虎牌保温杯 正品虎牌保温杯，快开，颜色很好看！</t>
  </si>
  <si>
    <t>very good 质量挺好的，腰带稍微窄了点。</t>
  </si>
  <si>
    <t>等了十天，比预计送达还早六天 盒子完好，笔也完整，起初真是担心，还没用，应该没有问题</t>
  </si>
  <si>
    <t>太长了 裤子太长了 长了起码10公分以上</t>
  </si>
  <si>
    <t>音质一般 原以为音质会不错，没想到一般，跟手机外放的音质差不多。</t>
  </si>
  <si>
    <t>鞋子打湿后会磨脚的 开始觉得很不错，没想到鞋子湿水后，穿着时间太长内侧线头连接处就会磨脚，还擦破了皮，不好</t>
  </si>
  <si>
    <t>辣鸡软件 辣鸡东西，不能用，辣鸡软件，就是国内的东西，走个物流，退货不管，就是骗子，赶紧卸载吧</t>
  </si>
  <si>
    <t>没穿 没办法穿，布料太硬了。</t>
  </si>
  <si>
    <t>推薦指數四顆星 襪子很厚 適合冬天</t>
  </si>
  <si>
    <t>挺好的 内衣不错，不过不喜欢太过多的花纹</t>
  </si>
  <si>
    <t>品质好，合身 身高176，体重60，S号长短合适，袖子很肥，品质一流，刚买完就降了五十块钱，看来以后需要观望观望再出手</t>
  </si>
  <si>
    <t>鞋底很不耐磨 鞋底不耐磨，穿了一天鞋后跟外侧就磨了好多，</t>
  </si>
  <si>
    <t>质量不错 性价比高，尺码适合。</t>
  </si>
  <si>
    <t>不错的研磨碗 研磨碗研的很细，用起来也省力气</t>
  </si>
  <si>
    <t>好 高性价比，质量好，不愧是大品牌</t>
  </si>
  <si>
    <t>衣服很好。 很好 身高171mm 体重63公斤 衣服刚好合适S码。</t>
  </si>
  <si>
    <t>价格很合适，鞋子也不错，我觉得没必要纠结包装吧，我平时38.5，这个因为只有38码所以买了，可以穿 价格很合适，鞋子也不错，我觉得没必要纠结包装吧，我平时38.5，这个因为只有38码所以买了，可以穿</t>
  </si>
  <si>
    <t>质量好样子美尺码偏大 买的39EU，鞋盒子上就是6，但是这个款型偏大的，实际适合40，40.5，买的时候注意尺码。样式，皮质，真的没得说了，很好的质量。</t>
  </si>
  <si>
    <t>好 之前不明白为什么会有这种4个或者更多的组合 用上才知道 娃不会老老实实拿在手里 拿着拿着就扔了😭</t>
  </si>
  <si>
    <t>y字奶嘴3-6月 这个盒子里有两个奶嘴，从日本寄回来快件被压扁了，但奶嘴没有变形，是y字形奶嘴</t>
  </si>
  <si>
    <t>很舒适 大小很合适 比运动鞋小一码买 买买买 哈哈哈</t>
  </si>
  <si>
    <t>挺好的 挺好，无痕款，百搭又方便……</t>
  </si>
  <si>
    <t>顺畅 写起来很顺畅，隔天不用也没有一开始断墨的迹象，非常令人满意的产品</t>
  </si>
  <si>
    <t>无感舒适 穿着很舒适 完全同意无感 尤其背部</t>
  </si>
  <si>
    <t>很好！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</si>
  <si>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非常满意 很舒服，质量很好，新用户免运费，很值</t>
  </si>
  <si>
    <t>不错 买大 了，但是质量不错，穿得宽松也挺好看的。</t>
  </si>
  <si>
    <t>好👌 内裤用料光滑柔软，质地很好，和EA内裤是同样质地</t>
  </si>
  <si>
    <t>裤子不错 裤子质地不错，相信这个牌子，可以抵御一定的寒冷，不过北方大冷的时候，还是不行啊，总体满意</t>
  </si>
  <si>
    <t>孩子爱吃，家长放心 之前买过，这次正好赶上活动。孩子爱吃。</t>
  </si>
  <si>
    <t>第一手产品体验 包装略有压扁，产品好像不是二手，因为耳机边框上有灰？。。。还没用到半小时，声音感觉没什么区别和手机自带耳机。。。可能是没有对比吧。。</t>
  </si>
  <si>
    <t>perfect 非常舒服，难得的时髦款式</t>
  </si>
  <si>
    <t>鞋子号码咨询 我国内穿皮鞋40的，运动鞋41的。请问我穿多少号码的合适？</t>
  </si>
  <si>
    <t>好鞋 真的好，穿上后，脚就像有根了，特别扎实</t>
  </si>
  <si>
    <t>封口一般 封口边上怎么都封不住，能溢出</t>
  </si>
  <si>
    <t>起球 版型材料都很不错，181，83kgM码合适，有点儿起球，镇店之宝买的，价格美丽</t>
  </si>
  <si>
    <t>女生买，合适。 女生，一米六，135斤，穿着合适，中长款的。</t>
  </si>
  <si>
    <t>描述不一致 怎么是磨砂皮的</t>
  </si>
  <si>
    <t>挂纸！！二手货！！ 首先肯定是二手货，买来鼻尖上就有使用过的蓝色水渍，这也就忍了，最不满意的就然挂纸，真郁闷啊，第一次买这么贵的笔，年前买的 送公司了，今天来上班才试用了下，也不能退货了，哎。。。自认倒霉了</t>
  </si>
  <si>
    <t>味道 海鲜味的草莓味 开始喝的感觉有点怪</t>
  </si>
  <si>
    <t>尺码偏大半码，脚感还行 42码，稍大一点，总体满意，左边没有穿就有皱褶。</t>
  </si>
  <si>
    <t>很厚 很厚，感觉布料一般。</t>
  </si>
  <si>
    <t>码数偏大 无色差，轻薄。176，74公斤，小码刚好。</t>
  </si>
  <si>
    <t>会缩水 会缩水，会缩水，会缩水，重要的事情说三遍！胖一点的人就不要买了。衣服质量还是没问题的，就是号码的问题，我买的L号觉得缩水后适合170-175cm，体重在60-70kg之间穿</t>
  </si>
  <si>
    <t>物美价廉 真心好看……防水耐用</t>
  </si>
  <si>
    <t>好 薄绒，适合春秋天，尺码偏大。</t>
  </si>
  <si>
    <t>产品体验不错 第一个感觉就是轻，装上水手感不错，保温可以，7个小时还是热的，细节处理的不错。</t>
  </si>
  <si>
    <t>方便、实用 很好，很实用。可以装辅食、汤水，零食。</t>
  </si>
  <si>
    <t>偏大，质量好！ &lt;div id="video-block-R150A6X6QRXGKL" class="a-section a-spacing-small a-spacing-top-mini video-block"&gt;&lt;/div&gt;&lt;input type="hidden" name="" value="https://images-cn.ssl-images-amazon.com/images/I/918G6rMQs3S.mp4" class="video-url"&gt;&lt;input type="hidden" name="" value="https://images-cn.ssl-images-amazon.com/images/I/A1gHSHiUuwS.png" class="video-slate-img-url"&gt;&amp;nbsp;买了绿色的s码与灰色的m码，感觉s码就是中国的m码，偏大！但质量杠杠的，很柔软舒服，修身。</t>
  </si>
  <si>
    <t>海外购好实惠 Prime会员下的第一单。比代购还便宜，关键是能保证正品，特别放心。鞋子质量很好，经典的百搭款式。很喜欢！希望海外购的产品可以越来越丰富</t>
  </si>
  <si>
    <t>好穿 很舒适，穿着无感。直接变品牌粉丝了</t>
  </si>
  <si>
    <t>还不错 东西还不错，质量可以。</t>
  </si>
  <si>
    <t>好 穿着舒适因此给妈妈也买一件，很满意</t>
  </si>
  <si>
    <t>质量和手感都不错 布料厚实，手感挺好，本人173cm/80kg，这个码数稍微有点宽松，是典型的工作服！</t>
  </si>
  <si>
    <t>值了 z划算买的，太值了，比2.1的低音炮强太多了，</t>
  </si>
  <si>
    <t>实得购买 质量很好，很轻，不错大小正好，下次再来</t>
  </si>
  <si>
    <t>合身 舒适 有弹力 个人比较喜欢 马上又下单了另一个颜色。</t>
  </si>
  <si>
    <t>耳机 很好，音质不错，低音厚度满满</t>
  </si>
  <si>
    <t>made in tailand【现在的WD比以前强不少了~】 【以前买的WD book 系列噪音大，现在新品没有噪音，而且还能转保，WD越来越牛了！】以前买WD时候不多，买希捷时候多，现在WD的优势比希捷强 ~目前使用没出现什么问题。</t>
  </si>
  <si>
    <t>大小合适，款式好看 款式好看</t>
  </si>
  <si>
    <t>舒服 很好的面料很舒服！值得购买</t>
  </si>
  <si>
    <t>质量好，舒服，这次选的号码太合适了 选的码好合适，质量也好，贴身舒适</t>
  </si>
  <si>
    <t>很好 很好，很合适，很舒服</t>
  </si>
  <si>
    <t>v-moda 第一个入手的耳机，还在煲机中，音质还行，可以制定饰片好评</t>
  </si>
  <si>
    <t>舒服 码数偏大一点吧，我平时都穿40码的鞋子。估计欧码要偏大一些，穿起来鞋带绑紧一点刚刚好。穿起来走路还是很舒服的，比在国买便宜太多了，而且肯定是正品。到手才500多一点，国内动不动2000上下，简直要命。</t>
  </si>
  <si>
    <t>实惠 价格便宜，穿着很舒服</t>
  </si>
  <si>
    <t>logo掉色 料子厚实，但胸前logo洗了一次就掉色了，怀疑人生，怀疑品牌</t>
  </si>
  <si>
    <t>偏小 质量没问题，177cm,75kg 小了1号半的感觉。</t>
  </si>
  <si>
    <t>瑕疵 左上角按键陷进去了，有瑕疵，跟专柜佩戴的质感略有差异，感觉不那么贴合手腕。</t>
  </si>
  <si>
    <t>第一次差评 全都漏了</t>
  </si>
  <si>
    <t>最差的东西不会再买亚马逊了 东西差的没边了像淘宝20元的东西想退要125元真是和抢钱没有区别</t>
  </si>
  <si>
    <t>底座不平 漂洋过海，包装就破了，很有的份量，但是底座是不平的，总有一边翘起！！</t>
  </si>
  <si>
    <t>有点色差 收到东西了，有点色差，没有图片上深，身高168，S号，还有点长，别的都挺好</t>
  </si>
  <si>
    <t>噪音大, 性价比一般 不如同期的10t性价比高，而且噪音确实大，但如果没有对比这个价格也算不错，第一次体验物流是真的快</t>
  </si>
  <si>
    <t>婴儿的小勺子 这个勺子是比较小号的。也许我们比较着急吧，希望用大勺，喂得快一些</t>
  </si>
  <si>
    <t>粗矿，结实 平常都是买36的，这次买的35，腰围很合适，裤腿稍肥，产地墨西哥，做工粗矿线头不少，结实就好。身高173cm，体重80kg。英亚的到货速度比美亚快好几天，同时买的短裤穿了洗了晾干了这个才到。</t>
  </si>
  <si>
    <t>略大不过喜欢 感觉鞋码偏大 穿一般棉袜还是空落落 穿了Nike精英袜 包裹感好很多 没有比37更小的选择了 留下吧😊</t>
  </si>
  <si>
    <t>精致 很好看的一套小碗，精致极了！</t>
  </si>
  <si>
    <t>赞！ 比老婆在某宝买的好上一万倍。</t>
  </si>
  <si>
    <t>合适，满意 尺寸合适，整体满意。</t>
  </si>
  <si>
    <t>质量很好，蓬松度高 超喜欢这件外套，国外尺码偏大一码，小号刚刚好。杭州冬天，里面穿一件就够了，我的波司登羽绒服里面穿两件还冷，哈哈。还是户外运动的羽绒服专业啊！</t>
  </si>
  <si>
    <t>质量很好！ 质量很好！合身且穿着舒服。</t>
  </si>
  <si>
    <t>好货 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</si>
  <si>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不错 质量好，价格小贵，画出画效果杠杠的，要省着点用，能配上削笔刀就好了</t>
  </si>
  <si>
    <t>看上去不错 物流速度不错，比预期要快。价格便宜；如果后续没有质量问题需要保修的话，性价比高。目前使用中，一切正常。</t>
  </si>
  <si>
    <t>非常方便 海外购真的是很方便，可以买到第一手的电子产品。非常喜欢，全新未拆封的，长途跋涉也完好无损！白色很漂亮…</t>
  </si>
  <si>
    <t>挺好 第一次买200以上的耳机……听着觉得对得起它的价格</t>
  </si>
  <si>
    <t>171/69，M码合适，舒服正牌 穿着特别舒服，171/69，M码数合适，质量保证，越南产，看来中国劳动力成本越来越贵了。</t>
  </si>
  <si>
    <t>没注意是一次性墨水 买的时候以为是可以上墨水的那种笔胆，拿到才发现是一次性的，有点失望。。。</t>
  </si>
  <si>
    <t>补充多维必备 SWISSE大品牌，这款复合维生素片以前也买过小罐的吃，这次索性买一大罐，慢慢吃。</t>
  </si>
  <si>
    <t>爱丝 很好质量和尺码都很正，性价比很高</t>
  </si>
  <si>
    <t>会继续使用的，还不错 非常不错，会继续使用</t>
  </si>
  <si>
    <t>非常好 酒红色很漂亮，保温能力杠杠的，开水放了一夜，还是热的，正好直接喝。表扬亚马逊的速度，16号下单，20号送到。看了小票，的确日本直邮。</t>
  </si>
  <si>
    <t>还可以 产品不错，不过收到货时，包装袋没问题，但是箱子坏了。</t>
  </si>
  <si>
    <t>保暖 按正常尺码买的，合适，非常暖</t>
  </si>
  <si>
    <t>面料比较厚 面料比较厚但是手感很好，穿起来很舒服，尺码正常。</t>
  </si>
  <si>
    <t>干货 什么值得买，这个就值</t>
  </si>
  <si>
    <t>上身不错，价格实惠 身高180cm 体重75KG，买的32 32，腰围稍稍大一个手指的宽度吧，冬天里面套裤子正好，要是夏天的话最好买31,32.看了前面的评论 果然邮寄过来的时候裤子都是褶皱，需要洗一下再穿，334买的 合适！</t>
  </si>
  <si>
    <t>Under Armour 安德玛 男士 UA Performance Polo衫 -... 衣服比正常穿衣码大2个码，夏天穿比较厚</t>
  </si>
  <si>
    <t>实物与照片颜色搭配严重不符，两支装笔袋放不下两支百利金钢笔！。 1.实际商品与照片的颜色搭配严重不符，图片上百利金标志带处是绿色的，其它部分为黑色；实物的标志带处为黑色，笔袋侧面为绿色！2.实物尺寸偏窄，两支装的笔袋放不下两支百利金钢笔！由于本人时间问题，未来得及退换货。</t>
  </si>
  <si>
    <t>不舒适 穿在脚上不怎么舒服，很硌脚，非常硬！</t>
  </si>
  <si>
    <t>尺码偏大 胸前没有logo，穿着肥大</t>
  </si>
  <si>
    <t>袖子一大一小 衣服袖子一个大一个小，难道是次品？</t>
  </si>
  <si>
    <t>谨慎购买 缺陷太多 可以看看其他人的评论 不建议买 可能是国外的次品货 刚到就充不进去电 关不上机 也打不开机 需要重复好多次才可以 所以购买的人谨慎这一款</t>
  </si>
  <si>
    <t>号称10年电池，1年零1个月就挂了 号称10年电池，1年零1个月就挂了 2015年9月10多号到货，今天孩子带着上学考试，，用着用着就显示模糊，灯也不亮了，不知道是电池原因还是其它问题，100多的东西也没有拿去修的必要。 必须要吐槽的是，找遍亚马逊网站，居然找不到该手表的保修时间。</t>
  </si>
  <si>
    <t>皮子稍硬 尺码和其他clarks鞋一致，但楦型稍微瘦一些，皮子稍硬，不知道会不会像踢不烂一样穿一段时间会好些。生胶底虽软但不耐磨，原来一双反绒沙漠靴前后穿了两个月鞋底就磨的特厉害</t>
  </si>
  <si>
    <t>希望对您有帮助 臀部稍大，腰围有些大。</t>
  </si>
  <si>
    <t>偏大半码 希望对大家有帮助 太大了 建议大家买小半码，我买的7.5 其实7够了。给大家一个建议</t>
  </si>
  <si>
    <t>质量一般 袖子上都是线头 料子有点硬 之前从买这个牌子的训练系列 这个怎么质量差好远</t>
  </si>
  <si>
    <t>尺码 质量很好.168.120这个尺码合适</t>
  </si>
  <si>
    <t>研磨碗很好 NUK的研磨碗还是很不错的，磨得很细腻到位。</t>
  </si>
  <si>
    <t>和国内比很性价比 商品大小合适，活动时买的，很具有性价比。媳妇儿身高155，体重小100。</t>
  </si>
  <si>
    <t>舒服 很好，舒服，推荐购买。</t>
  </si>
  <si>
    <t>质量不错，做工也不错 就是长了点，毕竟不是国人的</t>
  </si>
  <si>
    <t>推荐产品 亚马逊推荐所以买了试试，还没开始用，看上去还行</t>
  </si>
  <si>
    <t>很满意的购物 今天收到，刚好当女神节礼物了。 很喜欢，尺码、颜色都很正，穿着很舒服。 我是prime会员，平时也喜爱买ECCO，价格实惠。</t>
  </si>
  <si>
    <t>好看大气好用 用了10天来评论。没有中文说明书，开始用有点费劲，试了几次大概明白用法了。开机会清洗喷嘴，扔掉清洗了的水，按照自己想喝的选择，机器非常聪明，不用了会自动清洗，平时最好下边放个杯子接清洗的废水。咖啡渣满了有提示清理，水不够了有提示加水，总之操作简单，好用！</t>
  </si>
  <si>
    <t>舒服 没想到这么舒服，质地柔软。之前买L的偏大，所以这次买的M，略带弹性，正合适。</t>
  </si>
  <si>
    <t>还不错 看了还没用，看起来不错。</t>
  </si>
  <si>
    <t>是否有木柄替换装？ 11年买了个33厘米的，日亚转运，现在直邮方便多了，现在也没有33的规格了。买个30的新房子用。买回来最好还是拿油渣制一下。整体上，锅比不锈钢的轻很多，操作轻便，也没有涂层，不用担心涂层剥落，06年700多买过一个苏泊尔带涂层的，用了4,5年，涂层都落到菜里了。11年买的那个33的，锅体本身还不错，不过木柄的旋转卡槽用到第6年的时候由于长期受热，已经不能正常卡位，查了日亚淘宝，也没找到替换物，需要注意点将就着用。</t>
  </si>
  <si>
    <t>终于入手了 为了克莱帽子攒了挺久的钱，终于是买了，大概十几天到</t>
  </si>
  <si>
    <t>好看 有弹性，穿着舒服，显年轻。身高171，选m</t>
  </si>
  <si>
    <t>合适 还是挺合适的，不错！</t>
  </si>
  <si>
    <t>续航给力，音质满意，佩戴尚可 可能因为本人耳朵比较大吧，佩戴不疼，但确实填充得满满的，相比之下，其实我更喜欢全入耳的，但在这个价位上，综合考虑音质和续航，目前没有更优的选择；磁吸又避免在摘掉耳机时担心丢失的情况，可以了。</t>
  </si>
  <si>
    <t>穿感舒服 大小合适 我177 80kg  这个码子很合适 一点也不挤人 裁剪很到位 这要鄙视下国内的</t>
  </si>
  <si>
    <t>大品牌值得 果然是大品牌非常不错。</t>
  </si>
  <si>
    <t>小巧玲珑 不错很喜欢，价格很便宜。</t>
  </si>
  <si>
    <t>偏大，束脚无弹性 168,53KG，xs号刚好，穿着比较舒服，但是束脚全无收束的感觉，没有一点弹性</t>
  </si>
  <si>
    <t>谢谢了 东东非常好！</t>
  </si>
  <si>
    <t>挺好的 啥都好 做了各种肉丸子 但是价钱不稳定 300买的 今天看看价钱便宜了50块</t>
  </si>
  <si>
    <t>质量很好非常值得购买 货真价实，彩铅里算不错得了</t>
  </si>
  <si>
    <t>完美 本人167cm，55KG，82～70～92，买了L码，吊牌显示170/86A，腰部无弹性，略显宽松，但有抽绳可以调节大小，腿部也很合适。</t>
  </si>
  <si>
    <t>没质感，中学生戴还可以~ 比想象中让人失望，很没质感，很轻，像塑料的 给高三的弟弟买的，拿到手觉得送人很没面子~还好弟弟觉得没关系，能用就好！</t>
  </si>
  <si>
    <t>包轻，大小合适，掉毛 实物没有图片看起来这么正，颜色有点暗，那个皮质的标掉毛，粘的周围都是，包挺轻的，材料有点硬</t>
  </si>
  <si>
    <t>没有量杯 没有摇摇杯,没有量杯,使用后还是肌肉酸痛两三天 才买了10天左右就降价了两百多</t>
  </si>
  <si>
    <t>音量大小不够，不象308的功率 感觉音不够大，还没我汽车原配上的大</t>
  </si>
  <si>
    <t>假的 皮带褪色，染黑了两条裤子。这说是正品？我想假的都不至于染色吧。so sad!</t>
  </si>
  <si>
    <t>坑人 亚马逊也太坑人了，卖的东西死贵不说，是不是真货？买的16码给我发来14码的，穿不了要退，还要收我120，辣鸡</t>
  </si>
  <si>
    <t>好东西 这个色彩分的太细腻了，绝对属于彩铅里的高大上</t>
  </si>
  <si>
    <t>质量很好，但是 任何情况下，单手操作不了，这点不如巴塔的。</t>
  </si>
  <si>
    <t>做工还可以 本人33腰围，2尺7-8，应该买36，但是买的38，只能自己加一个眼孔。</t>
  </si>
  <si>
    <t>性价比高 好像特价185左右购入的，税大概在三四十块吧，但是也比国内299的报价便宜。 不过呢，这款耳机音质感觉一般，声音没那么透，低音也不够沉，通勤路上随便听听还可以。蓝牙范围ok，接收信号也挺强的。希望能多用段时间咯</t>
  </si>
  <si>
    <t>手表是不错的，就是显示屏有点小 表盘大小ok，但是显示屏小了点。</t>
  </si>
  <si>
    <t>u盘还可以，不错，因为自己清关信息写的慢了，导致太晚到手 u盘还可以，不错，因为自己清关信息写的慢了，导致太晚到手</t>
  </si>
  <si>
    <t>质量和设计都不错 款式好看，做工也不错，价格便宜，好评。</t>
  </si>
  <si>
    <t>包裹性很好的鞋子 很不错的鞋子，包裹性很好，鞋型也喜欢。</t>
  </si>
  <si>
    <t>读写速度满意 亚马逊海外购，价格便宜，大品牌做工好，读写速度超快，满意。</t>
  </si>
  <si>
    <t>东西很好  很值得买，精致 东西很好 很值得买 很精致  至于瑕疵问题 可能真的看人品了</t>
  </si>
  <si>
    <t>没有束缚感 很舒服没有束缚感，就是后背肉多的人，下面的边会卷起来。</t>
  </si>
  <si>
    <t>书写顺滑流畅，值得选购 书写顺滑流畅，值得选购</t>
  </si>
  <si>
    <t>非常好。 非常好，三岁以上宝宝可以用，刷的干净，以后只用配牙刷头了。</t>
  </si>
  <si>
    <t>好 挺喜欢的。</t>
  </si>
  <si>
    <t>看好尺码再下手 身高180，体重185斤 双❌足够 估计单❌也差不多 我买的3❌，那个大啊 布料很舒服 马来西亚产的 做工还行</t>
  </si>
  <si>
    <t>好 非常舒服非常非常舒服！</t>
  </si>
  <si>
    <t>质量好，价格便宜 做工中规中矩，布料厚实而且柔软。第一次褪色比较严重，估计多洗几次就好了</t>
  </si>
  <si>
    <t>非常好 非常好，舒服，质量好</t>
  </si>
  <si>
    <t>噪音有点大 速度不错 适合做冷备份 不过噪音和振动挺大的 而且没开关 不用的时候必须把线拔了</t>
  </si>
  <si>
    <t>好用，便宜，精准。 很好，现在每天戴。精准。</t>
  </si>
  <si>
    <t>小孩喜欢 小孩喜欢，自己用来刷了一下感觉没有大人的牙膏好用，光是甜味，大人刷的时候起泡不多，给小孩还行</t>
  </si>
  <si>
    <t>物有所值 做工精细，看上去很漂亮，期待使用感受更好，和实体店的比较了，做工一样，价格便宜太多了</t>
  </si>
  <si>
    <t>很满意 身高171，体重140，平常有健身属于稍微健硕的身影，选择W32L30,刚刚好，这件裤子还有点弹性，很合身，给需要选择的你们给个参考。不过口袋略显粗糙，其他好评，有时间会上图的。</t>
  </si>
  <si>
    <t>给买M号的建议 身高175cm，体重71kg，M号上身很合适，面料舒服。</t>
  </si>
  <si>
    <t>价格实惠 身高1.73M、重67Kg，S有点偏小</t>
  </si>
  <si>
    <t>质量不错 大小合适，也很暖和</t>
  </si>
  <si>
    <t>瑕疵严重 鞋子有明显瑕疵：一只鞋舌头是歪的，鞋子上有几处明显的刮痕，两只鞋有一只是荔枝纹有一只是没有荔枝纹的那种～ 这出品挺无语的～速度倒是出乎意料的快～实在是喜欢款式 留下来</t>
  </si>
  <si>
    <t>皮带质量挺好 皮带外观与实物一致，目前看皮子的质量挺好。我是2.7尺的腰围，买36码合适。只用了半年，就发现皮带穿孔的地方有破损，开来根本就不是真皮做的，下次不会购买此产品了。</t>
  </si>
  <si>
    <t>入手需谨慎 首先我身高185，体重65kg，买了L号，觉得稍微大点就算是正好吧。191块入手，10天到货。质量真心不好，海地制造，材料很粗糙，衣服上的网眼也比较大，穿在身上有点磨砂感，感觉甚至不如在某宝上19.9买的T恤，为了追逐潮牌入手，这次是买了个标志了，应该是正品，国货高仿绝对比这质量好。</t>
  </si>
  <si>
    <t>非常不耐用 只使用了7个月就坏了</t>
  </si>
  <si>
    <t>辣鸡,也没有客服 在mac上用不了,真是扯淡</t>
  </si>
  <si>
    <t>尺寸不对 尺寸过小，鞋子倒是挺舒服的就是穿了顶脚，现在已经闲置了</t>
  </si>
  <si>
    <t>值得购买的一款鞋子 如图，材质款式都很好。穿上包裹性好、舒服，唯一差点就是做工还不够。有点溢胶和缝隙，</t>
  </si>
  <si>
    <t>弹性大 有s号买s就够了，弹性够大，有号还会再买</t>
  </si>
  <si>
    <t>鞋子不错，物有所值 上脚很舒服，稍厚所以不建议夏天穿。8码对应中国42码，码数准</t>
  </si>
  <si>
    <t>材质柔软 大小合适，材质柔软。</t>
  </si>
  <si>
    <t>龙头很好 包装有点简陋，龙头很漂亮，非常重，德国产的，就是下水很轻，有些是塑料的，总体还是超值的，天猫卖2000多</t>
  </si>
  <si>
    <t>囤货 囤货中，还没用，大家推荐的牌子</t>
  </si>
  <si>
    <t>一如既往的合适 买回来当男鞋穿的，尺码合适，ecco的鞋本身很宽，走路不累。</t>
  </si>
  <si>
    <t>奶瓶很好 很好的，没有味道，就是宝宝不认那个奶嘴</t>
  </si>
  <si>
    <t>精緻實用 寶貝很實用，而且設計精巧，不會滴漏。很讚哎。</t>
  </si>
  <si>
    <t>靓 颜色靓，舒服</t>
  </si>
  <si>
    <t>内裤质量很好 内裤很好看，质量很好，很舒服</t>
  </si>
  <si>
    <t>很好 很好 值得拥有 速度平均60+ 但是很结实</t>
  </si>
  <si>
    <t>音质超棒 音质超棒，但是线太太太丑了，这设计只适合在家听。</t>
  </si>
  <si>
    <t>均衡，够用。 1 一个多星期就收到货了，包装很结实收到货很完美。  2 买了二根2米的屏蔽卡侬线接解码前级，自己有国标的电源线接上就开声，声音开大贴耳也听不出丝毫低噪。  3 音质比较白开水，声音开起来低频感觉到房子在跟着振动，整体比较均衡。  4 音箱要拉开些，我这边听音环境不是很好，脚架还没上，做为电脑音箱摆位调整是要花些精力，但主体的音箱一次到位吧，其它的慢慢再追加。</t>
  </si>
  <si>
    <t>可么多么 买了两个，一大一小，用着挺不错的。</t>
  </si>
  <si>
    <t>产地英国 英亚包装是简陋了点，但是速度快...东西还么有用，是英国产...</t>
  </si>
  <si>
    <t>物有所值 轻，保温效果好</t>
  </si>
  <si>
    <t>太好看了 大小合适，很舒服，喜欢。海外购的商品基本上都很满意，并且放心。</t>
  </si>
  <si>
    <t>希望商家下次能多给点案例出来供我们参考。 本人175，80kg之前穿这个M码刚好，但是这个内衣这个码数过小，价格也不贵，退起来手续麻烦，就送人穿了，希望商家下次能多给点案例出来供我们参考。</t>
  </si>
  <si>
    <t>效果可以，使用麻烦 使用效果不错……就是要购买变压器和转换插头</t>
  </si>
  <si>
    <t>森海的耳机就是欠煲，甭管低端高端 刚拿到手声音不好，高频有毛刺低频下潜不够，现在听了一段时间好多了，想起了以前在某宝买的mx375刚拿到手声音也很相似，结果我当假的退了。。</t>
  </si>
  <si>
    <t>好好 尺寸正好，质量没的说！</t>
  </si>
  <si>
    <t>满意 完全符合要求，非常满意。</t>
  </si>
  <si>
    <t>囤货 囤货买的，随便选了一个</t>
  </si>
  <si>
    <t>味道好，比国内品牌好喝多了 味道很好闻。吃腻了香草味，这个味道很好喝。很好溶解，不起泡，比起国内的汤牌，好喝太多了。送货也快，比预计送达日期要早10天。</t>
  </si>
  <si>
    <t>家庭装，超实惠 八个头，正好和老婆用一年，用了几年电动牙刷了，舒服又方便，希望英亚的价格继续优惠，赞</t>
  </si>
  <si>
    <t>M合适 170，65KG，本来想买小码的，最后买了M，合适</t>
  </si>
  <si>
    <t>建议腿粗的人不要买 本人大腿较粗，变紧身裤了。瘦的人穿很有型。</t>
  </si>
  <si>
    <t>比较一般 质感不佳 材质像塑料的 不建议</t>
  </si>
  <si>
    <t>不值 不舒服，裤脚老往上缩，保暖也一般。</t>
  </si>
  <si>
    <t>相当差的体验 这裤子质量太差了，穿一次整个面料都起球。。。从来没买到过这种品质的裤子，当睡裤都觉得太差！！！其次裤子码数偏大，一定要挑战的朋友们别买大了！！！！</t>
  </si>
  <si>
    <t>表带裂开 表带已开裂，还配不上，小日本！</t>
  </si>
  <si>
    <t>效果还不错 身高170，体重106，穿L码的正好</t>
  </si>
  <si>
    <t>盖子容易掰下来 挺好的，有个不足是盖子很容易掰下来，小孩很喜欢去掰盖子。</t>
  </si>
  <si>
    <t>还不错 布料厚实，美国农场风格，174/77，M合适</t>
  </si>
  <si>
    <t>不适合头大的人戴 还可以吧，不适合头大的人戴着。</t>
  </si>
  <si>
    <t>CK 衣服是纯棉的，180的个字应该买L，结果买成了XL，大了，不过当睡衣还不错，舒服</t>
  </si>
  <si>
    <t>舒适 鞋很好，穿着舒适。</t>
  </si>
  <si>
    <t>身高173cm，体重60kg 身高173cm，体重60kg，small合适，面料很舒服</t>
  </si>
  <si>
    <t>首次海淘感觉良好 日立新盘，一星期到手，测试正常。噪音问题不大，读写时有点声音，除非夜深人静不明显，我对本次购物满意。</t>
  </si>
  <si>
    <t>用过再来评论，看着还不错 用过再来评论，看着还不错</t>
  </si>
  <si>
    <t>很好啊 小了，样子不错，两尺五腰32小</t>
  </si>
  <si>
    <t>成功的一次购买 舒服 合适 和照片描述一致</t>
  </si>
  <si>
    <t>容量大，重量适中 亚马逊海外购做活动的时候买的，USB3.0的速度，需要外接电源，比较适合作为桌面备份使用</t>
  </si>
  <si>
    <t>尺寸 1.81米，78公斤，99cm，m号正好，仅供大家参考</t>
  </si>
  <si>
    <t>完美 帮朋友卖的，很满意。</t>
  </si>
  <si>
    <t>无味 很好的产品，洗完没有味</t>
  </si>
  <si>
    <t>很酷的手表 相信亚马逊提供的是正货，不是某宝臭大街的假货。 这么优惠的价格买到西铁城这款光动能男表，当然值得。 尽管表带很厚配色也搭，还是自己在某宝买了黑色的金属表带，感觉更好。</t>
  </si>
  <si>
    <t>物有所值 很好，包装也很稳妥。非常轻，尺寸非常小，放在小包里很方便</t>
  </si>
  <si>
    <t>宜于行走 鞋子轻便，适于行走，并且不闷。</t>
  </si>
  <si>
    <t>发热 喜欢，发热，质量上佳</t>
  </si>
  <si>
    <t>不错 样子很好看</t>
  </si>
  <si>
    <t>质感不错 挺不错的，软硬适中，质感不错</t>
  </si>
  <si>
    <t>皮质很硬，里面有垫层 中国制造，皮质很硬，有真皮字样，但不知道是不是，后续再看。 里面有层垫层，提升了舒适感。 国内裤子穿31-32码，买85的正合适。</t>
  </si>
  <si>
    <t>值得买 好用 吸的快并且均匀 充电用也很方便 唯一缺点就是主机太大了 不方便携带</t>
  </si>
  <si>
    <t>儿童水杯 不错哈，比国内便宜。以前用膳魔师的漏水，这次换象印的</t>
  </si>
  <si>
    <t>拆包装发现下水器上只有一个垫圈，是装在下部的。为何上部没有橡胶垫圈，这样装不会漏水吗？ 拆包装发现下水器上只有一个垫圈，是装在下部的。为何上部没有橡胶垫圈，这样装不会漏水吗？</t>
  </si>
  <si>
    <t>国外的码偏大了 国外的码数偏大了，买鞋要注意</t>
  </si>
  <si>
    <t>很不错的产品 宝宝一直用着，比玻璃的好用太多</t>
  </si>
  <si>
    <t>超大 超级大，平时34，穿M码就可以了，买大了两个码</t>
  </si>
  <si>
    <t>设计不合理 材料可以。但是外形设计不合理，当牙刷用吧，不好握。当牙胶吧，不好咬，旁边的把手又扁又宽，不好咬也不好握。不如火柴猴</t>
  </si>
  <si>
    <t>太大了 身高165，体重110，t恤太大了！</t>
  </si>
  <si>
    <t>收到的就是坏的 插上电源没有任何反应，无法开机，不知道是机器有问题还是电源有问题</t>
  </si>
  <si>
    <t>感觉买到假货 比在美国亚马逊的，感觉是假的，冲出来的水感觉完全没过滤的感觉。非常后悔。</t>
  </si>
  <si>
    <t>质量太差 垃圾吧衣服  一次就坏了</t>
  </si>
  <si>
    <t>评论 还没用，先囤着。期待有效果吧</t>
  </si>
  <si>
    <t>测了保温性能再评！ 还没用，是泰国产的，等用了后再做评测！</t>
  </si>
  <si>
    <t>效果挺好 挺不错，等用完看下要不要再买</t>
  </si>
  <si>
    <t>亚马逊中国的衣服材质最好用中文标注 170cm80kg，衣服胸围125，腰围122，M号合适，里面一件衬衫一件毛衫，智能推荐大号，不靠谱。衣服比较厚实，这两天零度左右也没问题。做工一般，线头有点多；价格非常优惠，中国生产的，千里迢迢运去美国再运回来而且含税还比国内便宜好多。</t>
  </si>
  <si>
    <t>衣服比较轻薄，总体一般 衣服比较轻薄，适合夏天，总体一般。</t>
  </si>
  <si>
    <t>鞋子很好 穿了10天，走起路来超级轻盈，面料很好，不像普通的透气鞋那么单薄，纯黑色的跑鞋，买来和工作服衬衫西裤搭起来脚感不错，平常穿40码的运动鞋，7D(M)US穿起来脚感比较紧，但可以接受，很愉快的一次海外购！</t>
  </si>
  <si>
    <t>就按海外的正常码买，不要买大一码的。 全棉，可以买小一码，因为洗2次就大了！ 价格在这里，不要期望过高的打底衫！ 看评论买的L，新的合身，洗2次就变大了，材质太一般吧！ 183，70穿M码就可以了！</t>
  </si>
  <si>
    <t>算下来还是比国内便宜好多 算下来还是比国内便宜不少</t>
  </si>
  <si>
    <t>老婆：你为啥买了8个？！ 8个起售，但是统共三十多块钱，良心价</t>
  </si>
  <si>
    <t>极好的东西，质量好 极好的东西，质量好，非常漂亮</t>
  </si>
  <si>
    <t>合适 这件衣服买的很值 厚度大小都很合适 质量也可以</t>
  </si>
  <si>
    <t>酷酷的杯子 买了好多杯子，最喜欢这只。好看！保温效果也好。内里好像是有涂层的。早上给小孩带一壶温水。直接喝。一天一壶够了</t>
  </si>
  <si>
    <t>需要再另外准备英标三角阀4只 龙头偏大，台盆小的慎重。 需要另购英标三角阀4只才可以安装</t>
  </si>
  <si>
    <t>一米劳 &lt;div id="video-block-RFXYMKF242YWF" class="a-section a-spacing-small a-spacing-top-mini video-block"&gt;&lt;/div&gt;&lt;input type="hidden" name="" value="https://images-cn.ssl-images-amazon.com/images/I/B1V-rIa0yRS.mp4" class="video-url"&gt;&lt;input type="hidden" name="" value="https://images-cn.ssl-images-amazon.com/images/I/91ChDEs0qgS.png" class="video-slate-img-url"&gt;&amp;nbsp;这块一米劳的表用的是天马度NH35机芯，等于日本精工NH35机芯，有停秒的功能，只是我运气不佳，我这块24小时误差20-30秒，不像别人误差就几秒。性价比挺高的，四百多入手，做工挺好，款式非常类似水鬼，一米外看着挺唬人，透低的设计在潜水表里挺少见的，40mm的直径适合各种粗细的手腕，不大也不小，风格白搭。</t>
  </si>
  <si>
    <t>挺好 虽然没有买到双层的，但这个穿着舒适，挺好的。春秋穿。</t>
  </si>
  <si>
    <t>卡西欧 德国发过来的，质量很好，价格也便宜许多</t>
  </si>
  <si>
    <t>商品很好 还不错  不过刚上来不太会操作</t>
  </si>
  <si>
    <t>样子不错，使用体验也好 购买后就带着去尼泊尔爬山， 使用下来体验不错。就是买贵了</t>
  </si>
  <si>
    <t>收货评价 包装盒破损蛮严重的 送人的，有点尴尬。 墨水很不错。love it</t>
  </si>
  <si>
    <t>哈里迷 挺有质感的，个儿挺大的，挂哪里都好看！</t>
  </si>
  <si>
    <t>质量很好，手感舒适。 很好的质量，设计、裁剪也不错。</t>
  </si>
  <si>
    <t>铅芯很软，叠色也特别好。 画人像最好的选择，铅芯很软，叠色也特别好。性价比很高的彩铅</t>
  </si>
  <si>
    <t>不错的扫地机器人 挺好的，很勤劳，每天准时打扫，清洁也算简单。就是还不知道怎么才能看到地图</t>
  </si>
  <si>
    <t>超值 买的s码，166/66kg</t>
  </si>
  <si>
    <t>方便，好用的冲牙器。 便携款比较方便，如果家里建议购买家庭版的，冲洗一次不用加水，便携的需要多次装水，不过还是很喜欢的，一直想给家人再买，一直等不到之前的好价。</t>
  </si>
  <si>
    <t>推荐 给老妈买的，她很喜欢</t>
  </si>
  <si>
    <t>棒球帽 帽子质量很好，做工也挺好，有点浅，尺寸稍小，深一点戴着更有型。</t>
  </si>
  <si>
    <t>太大了 尺寸太大了</t>
  </si>
  <si>
    <t>动静挺大的，吸尘一会就自己停 不知为什么使用过程中漏水。</t>
  </si>
  <si>
    <t>本人172CM 95KG  XL衣服有点偏大偏长 平常不管工装衬衣还是运动装  穿XL正好  本人172CM 95KG  XL衣服有点衣身偏肥  衣袖偏长  肩宽刚好  衣长刚好  海外购又不能换货 只能退货 退货还损失税费运费  划不来 不退了</t>
  </si>
  <si>
    <t>冠军t恤女款 说是黑的，其实不是，是灰的，有色差，和图片描述不一致</t>
  </si>
  <si>
    <t>亚马逊购物需谨慎 前不久在亚马逊首次购买一款“LEE” “Lee 男士 PANTS 双黑 40W x 34L男裤”，由于不了解尺码标准，对方给出的尺码选择和国内标准差别太大，收到货物后发现又长又肥，尺寸与介绍严重不符，电话咨询退换，才知道只退不换，而且运费需要120多元，相当于商品价值的50%，实在让人无法接受。</t>
  </si>
  <si>
    <t>尺码大太多了 衣服价格确实很实惠，不过尺码太夸张了，起码和国内差两个码以上。就是如果正常穿国内大码，那么就得买他们的小码</t>
  </si>
  <si>
    <t>一般般。骗人的 偏大。布料跟照片不一样。不值!价格随时变?我买时350,现318?亏大了!</t>
  </si>
  <si>
    <t>不错 刚拿到手的时候对外观有点失望，但还是你可以接受的。到现在也用了1年多，感觉还不错，走得也挺准，没什么大问题。表带很轻，好像都没带一样。只是最近表带坏掉了，不方便携带就掉了。</t>
  </si>
  <si>
    <t>最少都要买小一号，166mm,92斤。买的小号已经到脚踝了！应该买加小号。小楼梯的时候会拖地上。衣服静电太可怕了！ 最少都要买小一号，166mm,92斤。买的小号已经到脚踝了！应该买加小号。小楼梯的时候会拖地上。衣服静电太可怕了！</t>
  </si>
  <si>
    <t>佩戴舒适，音质尚可 等了十天左右，终于耳机到手，试听了一下，感觉比较适合听纯音乐，特别是单独的器乐演奏表现很好，流行中规中矩没什么特别亮眼的表现，而摇滚等重低音的表现就有些差强人意。本人耳朵比较小最怕耳机佩戴不舒服，不过这款耳机佩戴十分舒适，待久了也没有不舒服的地方。</t>
  </si>
  <si>
    <t>稍微有点小 质量还不错，穿起来也挺舒服的，就是稍微有点小，大一码就非常合适了，但是4件才两百多很值。</t>
  </si>
  <si>
    <t>和国内买的W34L32比起来，确实偏大 和国内买的W34L32比起来，确实偏大，应该买小一号 不过价钱也是算比较优惠的了</t>
  </si>
  <si>
    <t>杯子很满意 保温杯很保温，一般开水能保温一到两天温水最少也可以保温一天！轻巧方便单手可操作！杯子很轻出门携带很好，容量也可以！</t>
  </si>
  <si>
    <t>超爱 颜色十分完美，保温效果可以，总之十分喜欢</t>
  </si>
  <si>
    <t>不知道如何折叠成包 天气热，还没穿。</t>
  </si>
  <si>
    <t>挺合适的。 第二次买这个型号的。挺合适的。</t>
  </si>
  <si>
    <t>很不错 皮质很好，没有异味，家人很喜欢。</t>
  </si>
  <si>
    <t>不错 很不错，前面还有个可以弹jj出来的设计，肯尼亚产。</t>
  </si>
  <si>
    <t>实惠 看着蛮好的，主要实惠啊</t>
  </si>
  <si>
    <t>原来是中国制造 壶很漂亮，容量大，装水有三个容量刻度选择。货到后试用了一下，烧水很快，满意。物流及时，包装好，就是价格贵了。</t>
  </si>
  <si>
    <t>偏监听三频均匀，听钢琴曲的话算入门。 音质素质不错，包耳式隔音较好，耳罩偏小了一点压耳，耳机直接包装盒发货没有多余保护，极其简单。 白牙白开水，是均匀型的没有特别突出的。听民谣是原味的可能是没有音染拉进；纯钢琴曲中频清晰，低频有但反馈不明显；摇滚能清晰分辨乐器而不混，总之信息量十足；电音由于太强烈没听，听民谣 摇滚的木吉他拨弦 研磨悦耳，电吉他和贝斯还原度好叮 叮。以上均为听了一个多月的感受，非玄学人士仅供参考。</t>
  </si>
  <si>
    <t>不错很好 鞋号码大。建议买小办码。鞋子不错很好。</t>
  </si>
  <si>
    <t>非常好很值得购买 非常好很值得购买非常好很值得购买</t>
  </si>
  <si>
    <t>符合我的期待 符合我的期待。有音乐味。但是与它的兄弟音色差别不大。</t>
  </si>
  <si>
    <t>必须推荐 无限回购，用过后再也不换其他的了。</t>
  </si>
  <si>
    <t>跑鞋好性能 很好！下次还想买！</t>
  </si>
  <si>
    <t>偏长 布料稍微硬点</t>
  </si>
  <si>
    <t>很合身 说这条裤子薄的人，你们是平时都不运动的吧，完全不薄，春秋两季的装备，我174cm.110斤，穿s号都非常非常非常的大！！！！这的确是欧美人的尺寸，建议不是胖的不行的人都穿小号。</t>
  </si>
  <si>
    <t>裤袜 很保暖 四川的冬天应该穿一双就够了……看起来不太厚但很暖和，而且穿起来很舒适，身高172 体重110买的L 很合身。</t>
  </si>
  <si>
    <t>合适 穿了两次，感觉舒服。后面的布料弹性太大，容易松</t>
  </si>
  <si>
    <t>Shoes are satisfied Shoes feel light on your feet</t>
  </si>
  <si>
    <t>很喜欢很值 尺码很标准，我平时39，因为脚宽脚背高，买了39.5，很合适哦，皮子很软。没想到脚宽也可以穿，比较激动，哈哈。价格太好，大码福利多多。备着留秋天穿。</t>
  </si>
  <si>
    <t>日常使用价格合适就要囤货啦 日常使用价格合适就要囤货啦</t>
  </si>
  <si>
    <t>质量不行起毛起电 洗了一次，起毛起电厉害，太不值了</t>
  </si>
  <si>
    <t>还可以 尺码偏大，178cm，60公斤，买的m号，略长，偏宽松，我估计买s号合适，就当宽松款穿也凑合，海淘退换货太麻烦。 不过感觉这个棉料的质量一般般。</t>
  </si>
  <si>
    <t>样子很好看，做工一般般 优点：下单五六天就收到，速度非常快 缺点：包裹外面压坏，手表做工一般，开灯会发现内部有一些灰尘（如图），在网上查了一下，卡西欧GA-100,GA-110这些低端型号是中国非无尘车间组装，很多都有进灰，心理平衡了。而且想想英亚退货及其麻烦，就留下了。总体来说，prime到手价505元还是不错的，外观比图片好看，非常潮。</t>
  </si>
  <si>
    <t>质量一般 商品介绍太简单，根本分辨不出材质，买到手才知道比之前买的两个装的质量差很多。不过这款三条和那款两条的价格差不多，也难怪。这款可能是CK内裤最低档的一款，对品质有要求的谨慎购买</t>
  </si>
  <si>
    <t>音箱失真大 买了两只音箱，一只会有明显的失真。</t>
  </si>
  <si>
    <t>质量太差 用了才两个月，就不出水了，好垃圾，还不能修</t>
  </si>
  <si>
    <t>还行 咨询后，还是买小了，还好客服不错.......</t>
  </si>
  <si>
    <t>衣服穿着很合身 衣服很好，洗衣机洗也没问题，就是欧版的袖子过长</t>
  </si>
  <si>
    <t>质地一般 越南产,偏厚.180CM，92KG 穿L号挺合适</t>
  </si>
  <si>
    <t>本人176 80公斤，买的W33L32，腰围有余量，长度偏长，因为是锥型，裤脚正合适，再小一号估计小腿绷着了，海淘买衣服就得需要别人的推荐，供大家参考，裤子有点弹性，材质确实没有店里的好 本人176 80公斤，买的W33L32，腰围有余量，长度偏长，因为是锥型，裤脚正合适，再小一号估计小腿绷着了，海淘买衣服就得需要别人的推荐，供大家参考，裤子有点弹性，材质确实没有店里的好，尤其是裤兜内衬，摸着像塑料布，呵呵呵</t>
  </si>
  <si>
    <t>值得购买 很喜欢，拿在手里有质感，很不错</t>
  </si>
  <si>
    <t>好用 还想再买一个。力推！</t>
  </si>
  <si>
    <t>不错，就是难装 好用，除了国内安装口径不合费老劲之外，别的都很好</t>
  </si>
  <si>
    <t>做工挺好的 很薄很有弹性，在南方可以冬季刚好</t>
  </si>
  <si>
    <t>好质量 薄款冲锋衣。就是颜色和饿了吗制服一样，会被认错。</t>
  </si>
  <si>
    <t>很棒很满意哦 鞋子尺码很满意～软皮的穿着感也比较舒适～光脚正好 穿厚袜子稍稍有点紧 但是穿穿估计会变大一些哒 很酷 把鞋带系紧的话还是挺显腿细哒 物流也很快！预估是9/12到实际8/31就到了！ 我36的脚 买的uk3 给大家参考哦～</t>
  </si>
  <si>
    <t>Lee Uniforms 男式修身直筒 5 袋裤 质量很不错，到货速度也比想象的快，腰围合适，裤长长了些再改吧。</t>
  </si>
  <si>
    <t>完美 颜色厚度棉质完美舒适度好</t>
  </si>
  <si>
    <t>没有味道 看到有人说有味道，我的没有啊。用了一些也没有漏的。感觉质量很不错</t>
  </si>
  <si>
    <t>容量小点 唯一缺点就是容量小，买的时候没注意，以为是原来那种容量</t>
  </si>
  <si>
    <t>不错 质量很好，很舒服又百搭</t>
  </si>
  <si>
    <t>实惠 还不错，有待进一步使用再体验。NFC怎么使用呢？</t>
  </si>
  <si>
    <t>赞物流 这个价位还行。听诊器效果存在。线真的防缠绕呢！要特别赞一下物流。预计是28号到的货，结果10号就到了。哈哈，感觉很幸福呢！</t>
  </si>
  <si>
    <t>特别喜欢 这款👖裤子适合冬季偏大一个码，先买2号太大，让给同事了，再买一条小的</t>
  </si>
  <si>
    <t>…… 手臂位置比较窄，我这种瘦子都觉得哈哈哈，还是hediergen</t>
  </si>
  <si>
    <t>品质好 物流快 亚马逊大法好 直接德国直邮 比预计22号快了一整周 价格比国内划算太多 品质也有保证 运输过程外包装完好。期待安装好后的效果。在实体店看过后再买的 应该没问题。</t>
  </si>
  <si>
    <t>大小很合适！ 第一次在海淘买东西。买的时候还担心号码不合适！今天收到号码很合适！鞋子很轻，皮质柔软！而且比订单显示的时间早到一天！  还有，因为本人脚比较小，所以买的是女款的！非常合适！</t>
  </si>
  <si>
    <t>完美，推荐！ 非常好用，笔很漂亮，低调，精致，法国风格！</t>
  </si>
  <si>
    <t>表盘右下角没有小圆点，那个小圆点是什么 表盘右下角没有小圆点，那个小圆点是什么</t>
  </si>
  <si>
    <t>好 好</t>
  </si>
  <si>
    <t>颜值高 刚装上，还没使用，但是感觉颜值很高，反正合我胃口，卫生间空间小用这个特别适合。物流也很快，本来预计是十月九日到货，结果才下单没几天，国庆前就送到了。</t>
  </si>
  <si>
    <t>明显质量有问题，不如之前 之前买过一次，是盒装，这次买的是塑料袋装，并且有严重的香精味，不知道是真是假。和我之前买的同款比，质量感觉差了很多，一个包装里同尺寸大小竟然还不一样，还要联系客服。上次买的盒子有点破损就算了，真的是对海外购有点失望。 亚马逊需要提高。</t>
  </si>
  <si>
    <t>地摊货 一分价钱一分货，款式太瘦长</t>
  </si>
  <si>
    <t>生锈，腐蚀 趁着黑五，本来想讨个便宜。海外购，比原计划提前了一整周送到，比国内外地买还快，拿到以后就是这么个情况，皮带头腐蚀，生锈，点击退货，还需要打印一堆资料，打印完还要补充信息，干脆不退了，不到100元的东西，不够浪费时间的。下定决心，以后不再从亚马逊上买东西。取消所谓的PRIME资格。</t>
  </si>
  <si>
    <t>包装非常不好！ &lt;div id="video-block-R1AG2GZLOFYSZE" class="a-section a-spacing-small a-spacing-top-mini video-block"&gt;&lt;div tabindex="0" class="airy airy-svg vmin-supported airy-skin-beacon" style="background-color: rgb(0, 0, 0); position: relative; width: 100%; height: 100%; font-size: 0px; overflow: hidden; outline: none;"&gt;&lt;div class="airy-renderer-container" style="position: relative; height: 100%; width: 100%;"&gt;&lt;video id="15" preload="auto" src="https://images-cn.ssl-images-amazon.com/images/I/91J-SFaUd0S.mp4" style="position: absolute; left: 0px; top: 0px; overflow: hidden; height: 1px; width: 1px;"&gt;&lt;/video&gt;&lt;/div&gt;&lt;div id="airy-slate-preload" style="background-color: rgb(0, 0, 0); background-image: url(&amp;quot;https://images-cn.ssl-images-amazon.com/images/I/91ksDQ9L1zS.png&amp;quot;);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center;"&gt;0:00&lt;/div&gt;&lt;div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value="https://images-cn.ssl-images-amazon.com/images/I/91J-SFaUd0S.mp4" class="video-url"&gt;&lt;input type="hidden" name="" value="https://images-cn.ssl-images-amazon.com/images/I/91ksDQ9L1zS.png" class="video-slate-img-url"&gt;&amp;nbsp;438买一个水牙线，从美国寄过来，都没有用纸箱包一下，就这样破破烂烂，水牙线箱子都压扁了不给退货，说不属于商品质量问题，垃圾</t>
  </si>
  <si>
    <t>裤子稍微大 买了两件同号的这款有点大，质量还可以</t>
  </si>
  <si>
    <t>蜡笔大桶装 蜡笔较细，涂的时候会掉屑，一般吧</t>
  </si>
  <si>
    <t>一般般 1、笔很轻。 2、是EF的，不是特别顺滑。 3、笔管有点松。 总体来说和身价相符。没有我同事凌美F尖的顺滑。可能是太细了。</t>
  </si>
  <si>
    <t>同事喜欢 同事喜欢，有让买</t>
  </si>
  <si>
    <t>样子不错面料一般 以后看到经典两个字就可以判定为超长，肩宽还算合适，170 65kg s码除了长到包臀其它还好，面料不贴身光面的，厚度捎厚排汗性能不行，出汗很久不干</t>
  </si>
  <si>
    <t>很好很方便 有把手，吸盘吸力很足，不错</t>
  </si>
  <si>
    <t>很好的一支笔，有手感 EF真的不是很细，挺合适的，笔尖稳，写字舒服</t>
  </si>
  <si>
    <t>好 鞋子很轻很软很舒服。</t>
  </si>
  <si>
    <t>CK牛仔裤 质量很好，价格也很优惠，喜欢</t>
  </si>
  <si>
    <t>最好的材质 现在的孩子好幸福 产品做到良心 这是给孩子的第二个了</t>
  </si>
  <si>
    <t>质量不错 鞋子不算肥，号码比较准，质量还行，比较满意</t>
  </si>
  <si>
    <t>好 合适的礼物，舒服的感觉，有型的裤子</t>
  </si>
  <si>
    <t>一米劳 真的不错，对的起这个价格，性价比超级高</t>
  </si>
  <si>
    <t>不错的衣服 质量可以，不错，面料可以，穿着舒服</t>
  </si>
  <si>
    <t>好 不错，很轻，女士随意单手掂锅，不怎么粘锅，很满意v</t>
  </si>
  <si>
    <t>很好 送老婆的，布料很好，不褪色，很安全，值得信赖</t>
  </si>
  <si>
    <t>很好的鞋 鞋子款式很好看，价格还可以，现在买不到这款式了，好难过。</t>
  </si>
  <si>
    <t>质量很好 穿一个夏天，质量没任何问题，款式非常好。177cm,74kg,大小合适。</t>
  </si>
  <si>
    <t>东西不错 买给女儿的，女儿很喜欢。</t>
  </si>
  <si>
    <t>长袖 其它的都不错，就是脖子有点紧。</t>
  </si>
  <si>
    <t>184.100kg，XL 价格很好，但是做工不怎么样。腰的松紧有点硬，184.100kg，XL号码合适</t>
  </si>
  <si>
    <t>竟然是三赠一！ 竟然是三赠一！页面也没提示，瞬间感觉中了一个亿</t>
  </si>
  <si>
    <t>整体还可以 衣服布料很好，薄抓绒，做工一般，拉上拉链口袋有点对不齐，标准的美式粗糙。本人185,92.5KG，比较健壮，L码衣长可以，肩部过大，袖子巨长。整体还可。</t>
  </si>
  <si>
    <t>很合适，穿着合脚，后跟很软 非常好，穿着脚很合适</t>
  </si>
  <si>
    <t>音质好 音质非常好，但是需要一个好的前端，手机就算了</t>
  </si>
  <si>
    <t>有趣的按压式 挺有趣的按压设计，我决定每个商品都写评论</t>
  </si>
  <si>
    <t>奇怪的鞋子 我的脚宽，且肉，但不是那种特宽特肉的，稍微有点吧，最近减肥瘦了20斤，脚上肉也少了，我就买小了一码，穿上脚上显得特别的长，像男士鞋，舒适度？买小了一码还是好大好长，宽度不够，压的很，反正我的脚是不能穿啦。</t>
  </si>
  <si>
    <t>鞋子过大 看上这双鞋子很久了，两个星期左右到货，速度还算可以。看很多评论说鞋子偏窄，于是买大了半码39.5，然后就悲剧了。现在只能垫鞋垫穿厚袜子。估计平时39的脚应该买38.5。鞋子款式很喜欢，奈何大得走路都费劲，海淘就是这点糟糕。建议大家专柜试鞋再下手，哭……</t>
  </si>
  <si>
    <t>偏大 九分裤 毡毛 偏大 有点短 粘毛</t>
  </si>
  <si>
    <t>一次不好的网购体验 质量太差了，一次很不好的网购体验，拿到手完全地摊货的感觉！真不敢相信这会是亚马逊自营的产品！</t>
  </si>
  <si>
    <t>质量有点堪忧啊 感觉不像真的 线头那么多 怀疑是假的 质量一般般</t>
  </si>
  <si>
    <t>有缺陷 日亚买的，盖子上有个明显的缺口</t>
  </si>
  <si>
    <t>还不错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</si>
  <si>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质量一般 商品质量： 1、黏胶不紧密，较粗燥，多处有脱胶现象。 2、皮质较单薄（厚度小于0.5mm），多处有疑是龟裂的现象，与穿了10余年的靴子皮子厚度比较，不像是全粒面头层牛皮。 3、内衬较单薄，耐磨性一般。 4、商品产地;中国，无出厂日期。 配送服务： 亚马逊物流一如既往的好。</t>
  </si>
  <si>
    <t>还行 给老公买的，质量一般，和佐丹奴的内衣质量差不多，这个价位要求不能太高。</t>
  </si>
  <si>
    <t>面料还可以 36A，相当于国内80A~80B，下围有些紧</t>
  </si>
  <si>
    <t>尺码偏大 发过来的是欧码42的，270mm，相当于国码44，后跟部位也有点宽。平时穿42码的，这个穿着偏大，不爽</t>
  </si>
  <si>
    <t>不错 和我在某宝买的包装、味道：颜色都有区别，可能之前买到假货了。</t>
  </si>
  <si>
    <t>不错 不错，挺修身的！性价比高</t>
  </si>
  <si>
    <t>非常好 特别好</t>
  </si>
  <si>
    <t>好 很轻，喜欢</t>
  </si>
  <si>
    <t>货正、好用 眼霜很好用</t>
  </si>
  <si>
    <t>鞋很好 很舒服 特别好 和商场专柜的一样 很舒服 而且物流提前邮到 第一次在亚马逊买 很好 继续会回购的！</t>
  </si>
  <si>
    <t>版型挺好 面料似乎不适合冬天单穿，会吸在腿上；版型挺好</t>
  </si>
  <si>
    <t>质优价格实惠 质量很好，开启锁闭都很方便，保温性能很好</t>
  </si>
  <si>
    <t>舒适透气 非常舒适，这是购买第三件了。为了能经常穿这款，日常衣服已经不再挑选开领较大较低的了。没有胸垫内衬，非常透气，适合广东这个长期夏天的地方。希望帮助塑型的话不要考虑。本人平时32A，底围70不到，此款穿75B基本也合身</t>
  </si>
  <si>
    <t>不错的鞋 舒服有运动鞋的感觉</t>
  </si>
  <si>
    <t>42码，正好 大小合适，宽窄脚感都符合逾期</t>
  </si>
  <si>
    <t>这款产品值得拥有 这款产品我个人非常满意，特别是水箱容量够大，不用多次装水</t>
  </si>
  <si>
    <t>腰很高，穿着舒适 棉质的高腰内裤，穿着很舒适。打算加购。</t>
  </si>
  <si>
    <t>保温好 保温效果好，外观精美</t>
  </si>
  <si>
    <t>信任亚马逊海外购 Swisse 家的产品还是可以的，这款是澳大利亚生产的，够吃几个月。</t>
  </si>
  <si>
    <t>没有使用说明书 面条机器收到，很小巧，也好用，试了一下，不好控制和面时的软硬度。没有使用说明书，是不是漏发了？ 摇把已经拿不下来了，卡死在压面片的地方，没法挪地方压成条儿了。 刚打电话给亚马逊客服，客服说买外购商品是没有保修的，只有一个月的退换期。</t>
  </si>
  <si>
    <t>关于我选择的尺码 体重120身高165，穿l很合适，m应该也可以穿，不过不会像l宽松</t>
  </si>
  <si>
    <t>非常保温！ 很保温！</t>
  </si>
  <si>
    <t>一般 性价比不高，价格有点贵</t>
  </si>
  <si>
    <t>不错 德国人的严谨一向令人敬佩，无论笔身如何旋转，最后都会朝向笔尖的方向！ 个人感觉鼻尖稍微宽了些，但这并不妨碍书写的顺滑。 墨囊直接使用的黑色，墨水颜色很均匀，容易干燥且出水均匀流畅。 重量很轻，但是笔身较粗，估计女生用会有些吃力。美中不足的是笔身的材质总让人感觉配不上这个价格。</t>
  </si>
  <si>
    <t>很漂亮的袜子。 买来送人的，发现是男款。。。。</t>
  </si>
  <si>
    <t>有点掉漆 保温效果好，中国制作，高22㎝和图片中不符合，掉漆</t>
  </si>
  <si>
    <t>有味道 用了这么久了，杯子还是有味道，而且挺大的。之前抱着100分的信任没有注意，今天用小孩被子喝水发现味道好大。假冒伪劣还是就这样？不值这个价格！！！</t>
  </si>
  <si>
    <t>有点小失望，没有达到预期效果 两年了第一次换刀头，结果有点小失望，要剃干净必须用手拉着脸，还得来回剃几次</t>
  </si>
  <si>
    <t>鞋子有些窄 平时穿41的鞋子，这次也是41，鞋子长度是够了，就是有点窄。其余都还不错</t>
  </si>
  <si>
    <t>太甜了！ 虽然口味上比on有臭臭的感觉有进步，但是真的是太甜了！</t>
  </si>
  <si>
    <t>质量差 三个月就坏了，质量堪忧，我还是很宝贝的在用</t>
  </si>
  <si>
    <t>糟糕的客服 商品质量如其他买家所述。差评给中亚客服，捣浆糊搞到客户头上了。</t>
  </si>
  <si>
    <t>烂透了 买到就是坏的，退货也坑，烂透了</t>
  </si>
  <si>
    <t>物有所值 小朋友非常喜欢</t>
  </si>
  <si>
    <t>裤腿长 裤腿长，适合腿长的美女</t>
  </si>
  <si>
    <t>安全和效果 香草冰淇淋口味没有巧克力好</t>
  </si>
  <si>
    <t>效果不是多明显 效果不是多明显。</t>
  </si>
  <si>
    <t>偏小 一般，100元果然买不到好东西</t>
  </si>
  <si>
    <t>好 碗不错，还有个吸管，孩子可以吸着吃的。碗的设计好，吸管能藏在碗里。</t>
  </si>
  <si>
    <t>海淘果然赞 非常好，比预想的快四天就送到手了。速度快，装在无敌狮里快拍连拍无障碍!</t>
  </si>
  <si>
    <t>值得拥有 大小合适，质量可靠，性价比较高。</t>
  </si>
  <si>
    <t>不错的裤子 没穿过专柜的，但是这个价格的这种质量已经可以了。170，130斤，31的腰围刚刚好。版型还是稍偏肥一点点，还是满意的</t>
  </si>
  <si>
    <t>不错 没用过别的奶瓶，感觉还不错</t>
  </si>
  <si>
    <t>纯棉 纯棉，老妈鉴定过，手感超级好，大小合适。刚刚洗完，等着老公评价</t>
  </si>
  <si>
    <t>ok 非常好的一双鞋，大小合适，舒适透气！</t>
  </si>
  <si>
    <t>好大一瓶啊 包装完好，快递很快，据说液体的钙吸收比较好</t>
  </si>
  <si>
    <t>服装很好，尺码也很适合 由于是海外购，之前看了之前的美国买家的留言，她们觉得这款夹克的尺码偏小，还一直担心。但是当我收到夹克后，穿着上身后，对于这款夹克很满意非常适合我。</t>
  </si>
  <si>
    <t>舒适 样式设计合理，穿着舒适，准备再买一件。</t>
  </si>
  <si>
    <t>还不错，看起来很帅 穿起来也很舒服</t>
  </si>
  <si>
    <t>很合身 很合身，尺寸正好，褲形也不錯</t>
  </si>
  <si>
    <t>非常喜欢 除了稍微大了点，其他的都非常好！ 也很暖和 棒棒棒</t>
  </si>
  <si>
    <t>奶瓶 小侄儿很喜欢的样子，用起来也舒适，很不错的小奶瓶</t>
  </si>
  <si>
    <t>鞋子非常不错，很满意 非常好</t>
  </si>
  <si>
    <t>赞！ 漂亮、精致，做工、质量杠杠的，保温效果杠杠的，中午12点灌进去的85度的开水，在20度左右的室温下，到了晚上8点打开，还烫的进不了嘴，超级满意！</t>
  </si>
  <si>
    <t>性价比高 速度有时快，有时慢，性价比高，大块头，不过插电脑用不了，不知怎么弄，后将硬盘部分格式化 变换格式，就ok。不过插MAC就没反应</t>
  </si>
  <si>
    <t>买鞋必须亚马逊 绝对正品，比唯品会买的同款做工好太多了，感觉超值</t>
  </si>
  <si>
    <t>good 鞋子总体来说还是不错的，PUMA鞋子市面上很少有卖的，只有亚马逊上有这些款，以后可以长期考虑在这购买了</t>
  </si>
  <si>
    <t>合适 挺好的，跟想象中一样好。布料质地舒适、合体。</t>
  </si>
  <si>
    <t>好 &lt;div id="video-block-R1LHTUMK9DWLBM" class="a-section a-spacing-small a-spacing-top-mini video-block"&gt;&lt;/div&gt;&lt;input type="hidden" name="" value="https://images-cn.ssl-images-amazon.com/images/I/91qMJmlASmS.mp4" class="video-url"&gt;&lt;input type="hidden" name="" value="https://images-cn.ssl-images-amazon.com/images/I/716l6+VTkyS.png" class="video-slate-img-url"&gt;&amp;nbsp;边边角角不会擦的到位，但是整体都干净了许多，解放人力</t>
  </si>
  <si>
    <t>和中国版有区别，中国版穿3XL的，这个穿L都估计大了 按照中国版购买，结果完全不能穿，按照正常腰围购买就对了</t>
  </si>
  <si>
    <t>好像是假货 觉得是假货，底裤缝制都是歪的！</t>
  </si>
  <si>
    <t>亚马逊很划算 无语了这鞋，完全歧视高脚背……37码，长度长半码，楞是穿不进去。鞋口太小，压脚背压的难受，没想象中的那么好，好看是好看，亚马逊买的也很便宜</t>
  </si>
  <si>
    <t>总体OK 皮面有小刮痕，总体情况还可以，老穿这个牌子，鞋子还是挺舒服的</t>
  </si>
  <si>
    <t>做工差 180，75，穿m，洪都拉斯产的做工太差，像地摊货。</t>
  </si>
  <si>
    <t>版型太紧了 版型太紧了...本人正常身型</t>
  </si>
  <si>
    <t>中国造 底部中文写着美国设计中国制造中国组装，什么鬼。才用了没几次就频繁出现故障，机子后退打转</t>
  </si>
  <si>
    <t>尺码偏大 买大了，质量还不错。</t>
  </si>
  <si>
    <t>刀片棒设计不合理，清洁不着 做东西还不错，发现有一个问题，切碎器的刀头塑料棒，里面的脏东西清理不到，很脏，问了淘宝的客服，说是就是那么设计的，没法彻底清理。给宝宝做辅食，觉得不卫生。希望其他人借鉴。打了客服，一直占线。照片上黑色的部分。用了一年了。</t>
  </si>
  <si>
    <t>有点薄 大小合适，料子有点薄，这个价钱就这样了</t>
  </si>
  <si>
    <t>比较中庸的一支笔 颜值不错；笔身塑料感强；笔尖素质不错，书写流畅，吐墨均匀；书写有涩感，不像lamy狩猎的无脑滑，但略逊色于手里金尖的百乐92和英雄800。结合活塞储墨量，以及轻盈的笔身，日用推荐。</t>
  </si>
  <si>
    <t>衣服太大，请注意。 衣服非常好，如果不是尺寸太大，我就很喜欢了。我身高171厘米，买的是S号，衣身、衣袖都太长。</t>
  </si>
  <si>
    <t>夏天必备 夏天必备，一点痕迹没有</t>
  </si>
  <si>
    <t>5折入手，性价比特别高。 新住老房子，水压特别小，原来是海尔热水器赠送的花洒。本来水就不大，再加上陈年水垢洗澡感觉没水出来。索性来个大换新，入了飞雨120再加上3M淋浴过滤器，效果一下子出来了。对了，小水压记得不要装截流网。  其实我感觉问题就是水垢堵了，买这个应该只是想剁手了…🤣</t>
  </si>
  <si>
    <t>达到心理预期 女声和民乐表现更好，希望听一段时间更上一层楼，没刻意煲，本本直推，解码器和耳放正在DIY中</t>
  </si>
  <si>
    <t>好评 质量不错大小刚刚好。</t>
  </si>
  <si>
    <t>特别好用，值得入手。 清洁牙缝很干净，刚开始可以用低挡位，适应之后中档位刚好，基本没有出血情况；冲完之后口腔会有点干，可适量饮水补充。产品配备4个冲头，但基本上只用了一个；充电很人性化，充电头贴合到机身即可。如果携带出行，还是稍重稍大了点。用了几个月下来，最大的感受就是之前这么多年的牙都白刷了，此物你值得拥有！</t>
  </si>
  <si>
    <t>舒服，值得入手 舒服，才穿可能要磨合，但是越穿越舒服，现在还想入手一双，不知道多久才有货</t>
  </si>
  <si>
    <t>改善便秘 这个比那个要冲泡的方便，适合有咀嚼能力的娃.</t>
  </si>
  <si>
    <t>包裹性强 弹性好，包裹性强。我1.68米，体重130斤，穿着正好！</t>
  </si>
  <si>
    <t>值得拥有 非常好的耳机，降噪功能也很理想！</t>
  </si>
  <si>
    <t>不愧是笔中之王 笔尖非常顺滑，螺旋上墨水非常好！写字时一点都不堵墨</t>
  </si>
  <si>
    <t>鞋子不错 这双鞋挺好的，比国内买便宜一半，牛津底很耐磨，就是穿久了会变形，可能是脚太大缘故</t>
  </si>
  <si>
    <t>第一双ecco 不错，很轻很舒服，uk7 670入手，还一点说明，之前海淘的其乐uk7是eu41,这个ecco uk7对应的eu40，差点小了</t>
  </si>
  <si>
    <t>尺码正常 平常38的，这双买的uk5刚好，尺码正合适</t>
  </si>
  <si>
    <t>值得出手。 非常好，十天到货，我可是在大美新疆。优点：1，安静，高速。2，虽是海淘，但性价比高，质量有保证。缺点：新版discwizp软件上手不易，琢磨了三天才搞定分区。谁让咱守着XP系统不放呢！</t>
  </si>
  <si>
    <t>很好的裤子 一直买这一款牛仔裤，版型好，显瘦，喜欢</t>
  </si>
  <si>
    <t>素质很高的一款耳机！ 听了快100多个小时了，买的耳放还在路上，只能开启老虎卡的300欧档听，首先解析的确很高，但还没达到超越一圈四铁入耳耳塞的程度，作为动圈，已经非常不错了，听感上的确如大多数人所说，有点直白，毕竟是监听，这个不能算缺点，买的就是监听耳机。再就是乐器背景声音感觉有点大，有时感觉盖过人声了，有点喧宾夺主的感觉，按理说，应该是突出人声为主啊，也有可能是要上一个好点的耳放吧。再就是有一点，戴眼镜的人士如果要戴着眼镜听，耳朵会有些不舒服，估计头戴的都有这个毛病吧，其他都还比较满意！</t>
  </si>
  <si>
    <t>美术用品 非常好，墨西哥产地</t>
  </si>
  <si>
    <t>超值 听黑胶用的，赶上特价真超值，买了两个没想到分别快递，一开始就到了一个，还以为买错了</t>
  </si>
  <si>
    <t>优 除了体积有点大外，其余都好。</t>
  </si>
  <si>
    <t>喜欢 包装外观（快递纸盒）看起来很好，但是里面挺空的减震只有一张揉皱的纸，送来里面晃荡得厉害。另外ghd的盒子没有塑料包装或密封条啥的，直接能打开不知道是就这样还是被别人撕掉了，ghd的黑色盒子表面也不是特别新，有磨痕不过边角完好没有磕碰。特意选的德国直邮，插口国内可以直接用，非常方便。是platinum plus版，试用了一下没问题。总体来说满意，只是盒子没有塑料封，可能被别人打开过心里有点别扭，还是先给五星</t>
  </si>
  <si>
    <t>合身 身高178体重170买的L号，可以的！！！</t>
  </si>
  <si>
    <t>T恤 衣服有些大，质量很好。送货很快</t>
  </si>
  <si>
    <t>一天吃三颗，太多了。 一天吃三颗，太多了。另外有点肠胃刺激。效果还凑合。希望能出效果更好，每天只吃一颗的。对肠胃没刺激的。</t>
  </si>
  <si>
    <t>运动鞋40.5 穿起稍大 透气性暂时感觉还一般 ￥490购入 买贵了  看个人喜好哪方面  感觉不是很好看</t>
  </si>
  <si>
    <t>东西不错 东西不错，但是看吊牌猜测不是正品。</t>
  </si>
  <si>
    <t>海淘电子产品售后风险很高 希捷硬盘购买后出故障无法在国内保修。希捷，中国不提供转保服务，亚马逊保一个月。购买需谨慎。</t>
  </si>
  <si>
    <t>拿到手第一印象，粗糙的纤维，略厚。 穿在身上，偏大，粗糙不舒服，和地摊货没什么区别。</t>
  </si>
  <si>
    <t>衣服好评 客服差评 衣服挺不错的 这一颗星给亚马逊的客户服务，非常差</t>
  </si>
  <si>
    <t>总体还是可以的。 箱体设计不是很理想，偏大了些。音质、音色、解析等就不讲了，有很多消费者已经说明了。 我要说的是，这对音箱似乎被人拆开过，背后螺丝口有光亮，有磨损的痕迹。如果是消费者拆后退回的，那就是人渣了。我拆开包装都是小心翼翼的，生怕有问题需要退货，把东西拆烂了就不好了。如果是官方，好像找不出理由。不过没听出什么问题……我想看看里面少了什么或换了什么，不敢拆，也不会拆，但是有些担心。 先听听吧，实在不行就只有换货了……</t>
  </si>
  <si>
    <t>非常合适 超级合适，感觉这个颜色比黑色更洋气</t>
  </si>
  <si>
    <t>版型偏大 衣服是不错，但是版型和码数偏大。我90kg，1.75m，体型偏胖，平时都是穿XL，这衣服选的L还是大了，偏长偏肥，175的个子选M的应该合适。</t>
  </si>
  <si>
    <t>真皮，高品质产品 真皮，很结实，品质不输大牌！</t>
  </si>
  <si>
    <t>不错 包装没有破损，东西很不错。一直在吃</t>
  </si>
  <si>
    <t>比较超值 120多一件正版的，感觉很超值了。做工还行，总体上对得起这个价格~话说A货都不止这个价钱。</t>
  </si>
  <si>
    <t>安德玛粉 一直购买安德玛的衣服。卓越的海外淘还是非常不错的，比海淘还便宜。鞋子非常的好穿，NB和AD一般穿42.5。安德玛买43，穿着合适，包裹性不错。。。还有就是价格太美丽了。</t>
  </si>
  <si>
    <t>好 以前从不去评价，这是我买这个牌子的衣服好几件了，很不错。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</si>
  <si>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有点大 有点大，不过当成低腰的也还算合适</t>
  </si>
  <si>
    <t>性价比高 美国亚马逊寄来，差不多十几天吧，和我请朋友从韩国带的一样，关键还比那便宜，很好。</t>
  </si>
  <si>
    <t>手感好 握在手里的感觉相当不错，使用后再追评吧</t>
  </si>
  <si>
    <t>174，136穿日版l合适。 日版的champion比美版的要合身一些，舒服一些，上身效果很好</t>
  </si>
  <si>
    <t>大金婊 一秒钟变土豪啊 大金婊 一秒钟变土豪啊</t>
  </si>
  <si>
    <t>戴着挺不错 喜欢这种比较简约的设计，而且德国博朗的品质还是值得信任的。表也薄，戴着挺合适的。</t>
  </si>
  <si>
    <t>锅子质量非常好，就是尺寸配锅盖麻烦 锅子很棒很滑，四口之家大小合适。红点技术天天用的上，看标志可放洗碗机。就是28mm是指锅子外沿，内沿其实才27左右，由于原配不带盖子，自己买的28mm的盖子，不是很贴合，国内锅子一般是内沿28mm的</t>
  </si>
  <si>
    <t>收腹效果可以 收腹效果不错，质量也不错。就是黑色那条会轻微褪色</t>
  </si>
  <si>
    <t>很帅的一双鞋 穿着很舒服，脚长254穿着很合适。价格很实惠</t>
  </si>
  <si>
    <t>进口正宗品质 非常实用</t>
  </si>
  <si>
    <t>物流快 从美国亚马逊发货，8天到，包装很简单，但货品完好，满意</t>
  </si>
  <si>
    <t>其貌不扬但极其舒适的文胸 刚拿到手的时候有点失望：只有薄薄的软趴趴的一层，材料特别节约，心想日本人也太小气了吧。等穿上身才发现，材料少是为了舒适透气，边缘没有线缝所以完全没有压迫感，真的舒服得像没穿一样，哦不，比没穿还要舒服，因为有被温柔包裹的感觉。只要把搭扣搭在紧一些的位置不要太松，胸型还是不错的。为舒适健康着想，决定把以后全部换成这种无钢圈的了。</t>
  </si>
  <si>
    <t>收电波快，走时准。 &lt;div id="video-block-RAVQRR217LTR2" class="a-section a-spacing-small a-spacing-top-mini video-block"&gt;&lt;/div&gt;&lt;input type="hidden" name="" value="https://images-cn.ssl-images-amazon.com/images/I/B1Y68DPHyYS.mp4" class="video-url"&gt;&lt;input type="hidden" name="" value="https://images-cn.ssl-images-amazon.com/images/I/A1cCkNSQ0xS.png" class="video-slate-img-url"&gt;&amp;nbsp;实用，好用。</t>
  </si>
  <si>
    <t>略贵，但质量没的说 一点都不会松，很好用，感觉略贵</t>
  </si>
  <si>
    <t>一流 外形简洁流畅，握笔感觉非常棒</t>
  </si>
  <si>
    <t>好用 喷水很好，有一定的增压作用。</t>
  </si>
  <si>
    <t>真的 皮带不错，就是眼儿不够，需要自己去外面打眼儿</t>
  </si>
  <si>
    <t>不耐穿 穿到现在已经全坏了 有破孔有脱线 和沃尔玛简适质量差不多</t>
  </si>
  <si>
    <t>缩水了 质地柔软，很舒适。物流比较慢整整十天，洗了一次缩水了。</t>
  </si>
  <si>
    <t>薄 薄啊，连秋裤的厚度都没有。</t>
  </si>
  <si>
    <t>女儿很喜欢 很好的水杯。。。。。。。</t>
  </si>
  <si>
    <t>假的 不出意外这只应该是假的派克  严重漏墨  笔头也很不工整  别买这个浪费钱</t>
  </si>
  <si>
    <t>差，差 华丽的外表，浑浊的音质，太糟糕透了，打脸马歇尔这个品牌了，差！</t>
  </si>
  <si>
    <t>还可以 做工较好，身高186，体重210，袖长正好，略有些大</t>
  </si>
  <si>
    <t>穿着舒服 买的S的，还是显得大了，尤其下摆过长了，可能是我偏瘦的原因吧。衣服真是好，下次再入手几件。</t>
  </si>
  <si>
    <t>还可以 版型不错，腰围有弹性，不错。</t>
  </si>
  <si>
    <t>很好 等了一个礼拜才在某天的深夜看到诱惑，立马下单，然后第二天继续显示无货， 这帽子，，看到帽子尺寸，以为会比较浅。。收到后非常适合，本来打算咸鱼出了，，，结果到手以后居然舍不得了，哈哈， 在某宝入了两顶类似的山寨，都有点浅，最后退货</t>
  </si>
  <si>
    <t>还可以 买了两个，一个薄一个厚</t>
  </si>
  <si>
    <t>满意 上脚一段时间了，总结一下。比较重，开始确实磨脚踝，穿了厚袜子加创可贴度过的磨合期。新百伦穿40，买的7e,长度正好，但对我过宽了。鞋带需要扎紧，否则不跟脚。现在磨合的差不多了。穿正常袜子，不磨脚踝，也跟脚了，感觉会越穿越舒服的。</t>
  </si>
  <si>
    <t>很棒 鞋子大小合适，快递速度很快，超赞，比国内专柜便宜不少，呵呵</t>
  </si>
  <si>
    <t>还不错 牙刷毛没有想象中硬 不错</t>
  </si>
  <si>
    <t>好 就信任这个牌子的益生菌，亚马逊的时候服务还是不错的，就是物流信息要是能更详细就更方便了</t>
  </si>
  <si>
    <t>不错 满意. 轻巧的杯子 方便夏天短途出门携带</t>
  </si>
  <si>
    <t>弹性非常好 布料弹性很好，甚至像运动裤。裆部跟一般牛仔裤不一样，更耐穿</t>
  </si>
  <si>
    <t>尺寸问题 裤子不错，就是中国的尺寸和国外的尺寸弄不清，不敢多买，包括衣服尺码，不知道哪个尺寸适合自己，万一偏大偏小，快递不方便，扔掉浪费</t>
  </si>
  <si>
    <t>感觉还可以 正品，收波成功，第一次亚马逊购物，不错</t>
  </si>
  <si>
    <t>不错 为父母买的，这个牌子的产品信的过</t>
  </si>
  <si>
    <t>满意 很满意的一次购物，手表很薄很轻，大小适中，戴着很舒服。</t>
  </si>
  <si>
    <t>很好的冷水滤水壶 通过海外购渠道买的，物流速度还算可以。外盒有些破损，里面没有问题，英亚的包装还是比不过日亚。价格比国内类似产品当然优惠得多了。滤芯质量也挺好。滤芯英国产，没用过国产的所以没法对比。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</si>
  <si>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好用 很好用，中国产的广州</t>
  </si>
  <si>
    <t>穿鞋感受 平时运动鞋穿36码，有时候也能穿35码，这个尺码长度正好，宽度稍微有点窄，还算合适，主要是价格合适。</t>
  </si>
  <si>
    <t>非常好~~ 12号下单 刚刚收到 除了外面的箱子稍微有点坏了（估计是过海关得看吧里面的盒子是一点问题都没有  大小也合适 我买的是 7m Big K 的 在咱国内买是41的鞋  至少目前没有任何问题</t>
  </si>
  <si>
    <t>舒适 身高180，体重85公斤，穿M号略为偏小，不过喜欢修身的版本，建议还是穿M号。舒适度可以。</t>
  </si>
  <si>
    <t>宝宝辅食盒 还没用，感觉质量应该不错，自己挺喜欢的，给宝宝冻辅食。但是说明书上没写可不可以开水消毒清洗，只是说可是洗碗机洗，微波炉用，应该是可以的吧。</t>
  </si>
  <si>
    <t>dt880 发货很快,包装很好,真的是物有所值,声音很棒.</t>
  </si>
  <si>
    <t>有点大 买过这个品牌的其他款式，这个号貌似大一点，胳膊那有海绵，比其他款舒适。</t>
  </si>
  <si>
    <t>给母亲买的，也是预防吧 母亲上了年纪，关节有些问题，买来给她试试，她也问过医生，说可以吃。</t>
  </si>
  <si>
    <t>非常好 非常满意，同价位第一。什么大牌不大牌统统是浮云</t>
  </si>
  <si>
    <t>很好 皮较厚，印度产，配牛仔裤帅，做工精细，满意，</t>
  </si>
  <si>
    <t>非常好的鞋子 穿着舒适透气轻便，跑步很好。</t>
  </si>
  <si>
    <t>差強人意 QC已經檢測品质不良，貼上黃标。但最終还是发货…真的很無语！</t>
  </si>
  <si>
    <t>脚背高的会比较压脚 长度合适，但脚背那里比较低，脚背高的会比较压脚。鞋底硬。</t>
  </si>
  <si>
    <t>质量一般的衬衫 虽然Lee是名牌，但这是孟加拉生产的，钮扣处有些地方有线头。是春秋薄款，尺码比我国的偏大。70%的棉，质量一般。</t>
  </si>
  <si>
    <t>漏渣子 囤放了一年使用，现在打开使用发现过滤的水是蓝色的，而且有黑色渣子，什么质量啊！太差了。</t>
  </si>
  <si>
    <t>太垃圾 海盗船把外表做多坚固但是内部实在是太脆弱了 接口处 生命不超过3个月就完蛋了 而且是正常使用的前提下</t>
  </si>
  <si>
    <t>旧盒子 还少了笔 第一次海购这么不满意，买来收到的盒子是很旧的，打开里面的颜色笔少了12支，132支变成了120支，还有12支颜色是重复的。退货 准备重新买 …有点拍再买到这样的…</t>
  </si>
  <si>
    <t>好锅！保养好能用一百年。 3.8kg！真的可以拿来锻炼了！下单到到手十天左右，速度还可以。就是包装较简单，直接用纸包着外面再套个纸箱，拿到手时有些少刮花，应该不碍事 。最不满意是手柄那里刮花了有点生锈了！！看图片。最后想问问如何开锅，感觉上面有一层漆，你们是不是全部刮掉？？为什么不能上传图片？</t>
  </si>
  <si>
    <t>还不错 了结一个心愿 感觉比去年专柜要瘦。。我确实是胖了</t>
  </si>
  <si>
    <t>吸管不好 塑料味十足……搞得宝宝都不喝</t>
  </si>
  <si>
    <t>布料不错，稍微贴身 质量不错，微微有点少少的弹性，布料穿了比较舒服柔顺，有点像女士的紧身牛仔裤布料。款式偏修身，裤脚较紧贴，不是直筒型哦！本来想买直筒的，看在布料不错分上就算了（主要是退换费用吓死人）对了，颜色偏深，没图片上那么白，更接近浅蓝。 172/140穿30腰身裤长都刚好，两百多算是超值，前提是正品的话哈！ 难得写这么多，给后来者参考下，本来亚马逊评论就不多了，不互相参考，根本买不来。</t>
  </si>
  <si>
    <t>还可以 贵了点 还行吧不错有点硬 有点贵</t>
  </si>
  <si>
    <t>基本满意 第一次日亚，东西里面包装还可以，塑封后还有皮筋牢固，外包装箱就差点，收到货时都破损了。里面的货都快掉出来了…以为买的是打底裤，实际是连裤袜，本人165，114斤，M-L号偏大，裤子有点长，穿上去压力感不大，特别是脚脖子那毫无压力，脚脖子和袜子之间还有很大空隙。质量是不错，穿上挺舒服的。里面是黑绒的。日亚比其他地买便宜。一周就到了。</t>
  </si>
  <si>
    <t>很不错 实物颜色不像图片那么鲜艳，应该接近暗紫色，但也觉得很不错。</t>
  </si>
  <si>
    <t>物美价廉 海外购到手，带了几个月了，实心钢带，石英表。也比较省心，做工绝对对得起价位。</t>
  </si>
  <si>
    <t>好 非常好，朋友很喜欢！</t>
  </si>
  <si>
    <t>质量不错 质量非常不错。。。。</t>
  </si>
  <si>
    <t>质量不错，性价比高。 平常穿40.5的篮球鞋，脚长26cm，买的US8，正合适。</t>
  </si>
  <si>
    <t>好评 正品！很喜欢。很潮不落伍！穿衣很搭。</t>
  </si>
  <si>
    <t>杯子 很喜欢，也信任亚马逊。</t>
  </si>
  <si>
    <t>很满意 166/102，选xs，合身，稍长一点点</t>
  </si>
  <si>
    <t>好用 很好用！随心所欲的烧到想要的温度</t>
  </si>
  <si>
    <t>物流，卓越的硬伤！ 商品打5分，卓越服务打1分。 收到后查了是帝捷行货，耳机品质网上已有很多专业评论，相信大家买之前都是做过功课的。煲机中，暂时不做评论。 在卓越上购物不少了，网购大件或是贵重商品，一般就它了。但这次感觉有两点不爽： 1.可能厂家已改过包装了，2011款的包装里已经没有皮包送，但卓越的商品说明里还是没改过来。 2.就是物流，这个可以说是卓越的硬伤了。临时有事，想与物流人员沟通一下送货时间。系统显示包裹已在站，但打物流电话他们说还没到，打卓越电话客服又让我自己找物流。尼玛做客服你屈才了，应该向卡马乔推荐你！ 以后会转向易迅和京东了。特别是易迅，一天三送：晚上下的单，第二天早上送到；早上下的单，中午送到；下午3点前的单晚上送到。而且系统里可以查到物流人员的姓名和电话，可以直接沟通。可以说，单就物流这方面，甩卓越几条街了！</t>
  </si>
  <si>
    <t>nas用 nas用仓库盘，非常好</t>
  </si>
  <si>
    <t>很划算的 很好，很赞，很划算。。。</t>
  </si>
  <si>
    <t>线坏了，更换 很好。以前从不去评价，不知道浪费了多少积分，现在知道积分可以换钱，就要好好评价了，后来我就把这段话复制走了，既能赚积分，还省事，走到哪复制到哪，直接发出就可以了，推荐给大家！！</t>
  </si>
  <si>
    <t>满意 款式经典，低调，走时准确，除了快递慢，其他都好！</t>
  </si>
  <si>
    <t>ok 挺好买小一码正合适。</t>
  </si>
  <si>
    <t>不错 165cm，46kg大小正合适</t>
  </si>
  <si>
    <t>好看，就是鞋垫太滑 好看是好看的，确实也比较大，长短码数和自己正常鞋差不多，就是太肥了显得大。软的很，舒服。唯一就是鞋垫真的滑</t>
  </si>
  <si>
    <t>超级好 鞋子样式好看，穿得舒服，皮质超级舒软，满分</t>
  </si>
  <si>
    <t>质量很好 尺码偏大，质量很好。</t>
  </si>
  <si>
    <t>尺寸，质地都不错 完美，价格也不错，皮马棉很舒适</t>
  </si>
  <si>
    <t>好东西，就是太有份量了 买完洗碗机后一不小心就种了这草了，终于拔了</t>
  </si>
  <si>
    <t>2016年4月24日购买，到现在用了不到2个月已经坏了，不能使用了，郁闷中，没有地方可以保修和投诉 2016年4月24日购买，到现在用了不到2个月已经坏了，不能使用了，郁闷中，没有地方可以保修</t>
  </si>
  <si>
    <t>家人用 目前没啥效果</t>
  </si>
  <si>
    <t>包装差劲！ 包装太差了，都破了，机器外观也有损伤！还好没坏！</t>
  </si>
  <si>
    <t>mac支持太恶心了 第一次也很有可能是最后一次用wd！实在太难用了！！</t>
  </si>
  <si>
    <t>太太太太大 200块钱，如果退货，就给74块，衣服过大，又没法穿，等着捐给别人吧</t>
  </si>
  <si>
    <t>总体还行 皮带可以，相信Timberland的品质，跟预期一样！</t>
  </si>
  <si>
    <t>尺码合适 感觉没啥特别的。不太值。</t>
  </si>
  <si>
    <t>盒子有打开过痕迹  内盒塑料有破损 仪器全新 使用没问题 收到两边标签撕掉了一边 可能是海关查的 塑料底垫破碎了  仪器是新的  用了没啥大毛病 出光口的挡板是松的 摇晃有声音 国内不需要转换插头</t>
  </si>
  <si>
    <t>偏大一点 偏大一点，国内80B，选的80B就偏大，75A也可以</t>
  </si>
  <si>
    <t>性价比还可以，不错 性价比还可以，不错不错！</t>
  </si>
  <si>
    <t>不错 很舒服，不错！以后还会买。</t>
  </si>
  <si>
    <t>颜色细腻 易上色 很好很强大 太喜欢了！虽然等了十来天 也值了！</t>
  </si>
  <si>
    <t>早餐一下子有高级的感觉了 用起来顺手，清洗也方便，适合早晨匆匆忙忙的节奏。</t>
  </si>
  <si>
    <t>不过敏 比纽康特好，宝宝爱吃。</t>
  </si>
  <si>
    <t>好用 发的新包装的，用了两年的花王了，用过别的，最后还是用回花王的。</t>
  </si>
  <si>
    <t>杯子很漂亮 日本亚马逊的包装真的很好！杯子非常漂亮，尺寸也很满意，只是才买好还没发货就降了20块，价格浮动有点太大了，不是很满意。</t>
  </si>
  <si>
    <t>吸管杯 给同事的宝宝，很喜欢，现在这款都是我国制造了</t>
  </si>
  <si>
    <t>推荐 从最早接触mx500，到创新air，k450，ie80，大馒头，hd650，ue18，索尼a3，z5，除了定制的ue18，佩戴方面这款最舒适，就像大家说的高中音可以，低音很散，不过这个价位也超值了。</t>
  </si>
  <si>
    <t>小巧美观 和家里厨房里水龙头连接时，发现水龙头和滤水器相接的接口处都是外螺纹，需要一个单独的内螺纹转接环组合连接在一起才能使用，需要卖家提供！ 急需....如下图</t>
  </si>
  <si>
    <t>全新的大容量硬盘，稳定高效 第二次购买了，价格算是优势，回来之后也检查过，全新原装，速度稳定，很不错的东西 建议另外购买硬盘包进行保护</t>
  </si>
  <si>
    <t>挺好的 挺好的，没有异味。用消毒锅消毒了，还没发现什么变化。看盒子上的说明应该可以蒸汽消毒。</t>
  </si>
  <si>
    <t>保温相当给力 这种直接拧的保温效果很好，头天下午装的，到了第三天还有温度，真不错 比星巴克那个好用多了，但是因为保温效果太好，喝不上嘴啊，下次还是买带小杯子的那种比较好</t>
  </si>
  <si>
    <t>喜欢 平时穿165或中码，这款购S码大小正合适。</t>
  </si>
  <si>
    <t>价格不错 非常舒适 老婆很喜欢  穿着非常舒适 就像没穿什么一样</t>
  </si>
  <si>
    <t>还不错 173,65KG。买的S号，还比较合身</t>
  </si>
  <si>
    <t>不错的产品 东西确实质量不错，比想象的好很多。</t>
  </si>
  <si>
    <t>觉得挺好的 1.物流很快，下单一周就收到了；2.鲁大师的结果见图，显示未使用过。</t>
  </si>
  <si>
    <t>完美 合适 第一次穿都不磨脚</t>
  </si>
  <si>
    <t>卡西欧F-108WHC-7ACF 手表是正品，质量比想象中要好，就是不知道在中国能保修吗？表盖下面写中国制造。</t>
  </si>
  <si>
    <t>超值小音箱 非常棒的一对小箱子，我是在买了它家的一体式蓝牙音箱后再入手这对的。在桌面摆好后可轻易表现出小型的音场，人声非常凝聚。对于3吋低音的两分频音箱来说，高中低音的表现不过不失，色彩中性。从家用来说，抬升它音箱的角度是必需的。用原配的线材连接比蓝牙具有更好音质和响度。我很有兴趣用更好的第三方线材试试。sc203比它更悦耳，但论性价比，还是这对小箱子完胜。另一个令我印象深的是，左右音箱的连接线真粗……这也是保证音质的有效措施</t>
  </si>
  <si>
    <t>没怎么吃 东西很好，但是没怎么吃</t>
  </si>
  <si>
    <t>好用 好用，热得快，确实有护发效果，不毛躁</t>
  </si>
  <si>
    <t>怀疑买了一个假货 首先这个衣服掉颜色，用温水洗了三次还有颜色在，质量很一般，尺寸本人80KG  172cm  胸围100cm.就袖子长了，整体大小还合适</t>
  </si>
  <si>
    <t>脚底儿厚 长短合适，美中不足脚底儿太厚，只能冬天穿了</t>
  </si>
  <si>
    <t>小偷太多 车线不公整 好多好多线头 真看不出是出自Lee</t>
  </si>
  <si>
    <t>褪色 第一次给一颗星，褪色严重。</t>
  </si>
  <si>
    <t>评论 感觉像假的，和实体店的比，不够软</t>
  </si>
  <si>
    <t>不值这个价 一般般，没有想象中那么好，底噪还是有，个子太大</t>
  </si>
  <si>
    <t>还不错 颜色很好看，比图片浅，只是，鞋面偏高，同品牌的另外一双就很合适，这双就空空的，明明都是一个码</t>
  </si>
  <si>
    <t>不太稳定 黑五买的收到挺惊喜。但今天用的时候写入速度是有6m+，不知道电脑问题还是硬盘问题。取消传输时反应也挺慢，内伤。</t>
  </si>
  <si>
    <t>质量不错 质量不错，再修身一点就完美了</t>
  </si>
  <si>
    <t>面料薄 面料比较薄 181/80穿M感觉比较紧身……感觉是亚洲码</t>
  </si>
  <si>
    <t>性价比高 氦气盘，7.27gb，5400转，256mb缓存。性价比高，唯一缺点是震动较大。</t>
  </si>
  <si>
    <t>很舒服，一点不刺激 很舒服，一点不刺激。</t>
  </si>
  <si>
    <t>性价比很高的一款剃须刀 性价比高的一款剃须刀，噪音也在可以接受的范围!</t>
  </si>
  <si>
    <t>练字神器 笔尖超滑，M型号出水正好。练字神器。笔形设计大气稳重，重量适中，商务居家皆宜。好笔！</t>
  </si>
  <si>
    <t>贵了 牙刷头不错，只是价格越来越贵</t>
  </si>
  <si>
    <t>好用 一直在用，性价比不错。</t>
  </si>
  <si>
    <t>舒适的保暖内衣。 穿着舒适，尺码很正。就是衣服长度有点长。</t>
  </si>
  <si>
    <t>机器棒棒的 有些小插曲 结果很满意😀 亚马逊可以的 给赞 机器很好用 做了面包 面条 都很成功 烘焙好帮手</t>
  </si>
  <si>
    <t>满意，挺好的商品。 一直在穿。合体，舒适。以后遇到好价还会回购！</t>
  </si>
  <si>
    <t>质量很好 质量做工精良，柔软有弹性，小一码也毫无问题因为有弹性，腰围买的稍大了一点，好品质没的说，very good！</t>
  </si>
  <si>
    <t>很不错 喜欢这个发货速度，质量也可以</t>
  </si>
  <si>
    <t>11 很好，以前从不去评价，不知道浪费了多少积分，现在知道积分可以换钱，就要好好评价了， 这条评论对您有用吗?</t>
  </si>
  <si>
    <t>牙刷 用了还不错，刷牙也舒服</t>
  </si>
  <si>
    <t>杯子不是无线的… 速度还算快 不过我以为杯子是无线的 原来是我想多了</t>
  </si>
  <si>
    <t>非常值得购买！ 是正品！做工精细、握笔舒适、轻重合适、书写顺畅、价格合理。</t>
  </si>
  <si>
    <t>性价比可以 裤子对得起这个价格，尺寸合适。</t>
  </si>
  <si>
    <t>尺寸合适 176cm  71kg,购买的32*32,尺寸正好。</t>
  </si>
  <si>
    <t>包 很不错的小包</t>
  </si>
  <si>
    <t>找到了 就是一直在找的，纯棉、高腰，舒服</t>
  </si>
  <si>
    <t>不错鞋号可以 平时耐克穿42.5的 这次踢不烂买的9US 整好。 不错 大小合适 刚穿时候就是脚面哪里有点硌得慌，穿了3天习惯了就好了 没感觉了。鞋很有分量 很结实 上现场干活不怕踢到 磕到 碰到了 不怕踩钉子了。</t>
  </si>
  <si>
    <t>东西虽贵却很值 很好很好，可以用精品去形容</t>
  </si>
  <si>
    <t>不错 穿着面料舒服，基本合身，屁股稍显肥</t>
  </si>
  <si>
    <t>书写不流畅，没什么特别 这个产品相当于中国十五年前的产品，现在在中国市场已经很难买到这种圆珠笔了。便宜，书写不流畅，定位为会议室忘带笔一次使用，但其实很浪费，破坏环境，所以感觉没定位的产品。不建议买。亚马逊不要老是把国外过时的产品通过海外购扔到中国，我理解为处理库存的方式。包括之前的tommy钱包，RMB都放不下，印度产，比中国的钱包不知道差多少，我猜是tommy多少年的库存。亚马逊很多海外购给我们“新鲜”的内容，谢谢先，但也很多“库存”</t>
  </si>
  <si>
    <t>做工一般 做工一般，比想象中差！</t>
  </si>
  <si>
    <t>样子挺可爱，不过笨笨的。 样子挺可爱，不过笨笨的。</t>
  </si>
  <si>
    <t>尺码买小了 尺码太难选，身高182体重75买的s码小了，有没有买了m码大的换下，或者原价出了</t>
  </si>
  <si>
    <t>太太太大了 按照推荐的尺码，再参照了评论，已经比正常选小了一码，拿到后试试，超级大，不能换货，退货还要贴钱，只能差评了，也是第一次差评啊！这个尺码参照表也太坑人了吧！</t>
  </si>
  <si>
    <t>图文不符 第一次买，发过来和图片不一样，退货后重新买，发过来和图片还是不一样的鞋子…… 图片放错了吧</t>
  </si>
  <si>
    <t>好像不是真皮 随便蹭了一下皮就破了，感觉不是真皮，性价比不高，样子还可以。</t>
  </si>
  <si>
    <t>价格便宜 适合冬天穿 尺码偏大 很便宜，羊毛的，适合冬天穿。 但真的又又又偏大了。 最近在美亚买的鞋子、衣服都偏大。</t>
  </si>
  <si>
    <t>包装太差 耳机音质真的很棒，但是 发过来的 包装很久很烂，觉得不是全新的 ，而且250欧如果没有前级推的话 只用电脑手机 是推不动的 。所以退了换ath m50x了</t>
  </si>
  <si>
    <t>比650EE鞋楦的鞋子小半码 特别注意：比650EE鞋楦的鞋子小半码（也就是说这个是danner正常鞋码）一般我都穿8ee的鞋子配合danner的蓝色厚鞋垫刚好富裕1手指宽度，这个8.5也这样刚好也一样。 优点大家都知道我就不说了 +缺点：扣星 1、通病金属部分会生锈，因此每次上油的时候顺便抹上就能解决了 2、皮比较硬，比较磨脚，建议先上油软化再穿比较好 3、白色的线··············以及会跑偏的鞋舌</t>
  </si>
  <si>
    <t>大了点 身高175cm，体重77kg，XL至少大了一码。</t>
  </si>
  <si>
    <t>不错 鞋不错，比国内实惠，我脚265穿Uk8正好，</t>
  </si>
  <si>
    <t>比较满意 178，63，研究半天买了30/32的，到手之后对颜色造型质感满意，就想要这种上班能穿又不是西裤的裤子。但因为是有点低腰所以腰还略有点紧的，长度稍微长了一点点，31/31应该更合适，31/32也行</t>
  </si>
  <si>
    <t>体感好 送LP大人的，性价比不错，对着急用的商品建议海外购</t>
  </si>
  <si>
    <t>期待效果 还没有食用，应该不错吧</t>
  </si>
  <si>
    <t>货真价实 很好！和美国买回的一样！赞！</t>
  </si>
  <si>
    <t>ecco徒步鞋，总体还好 14号下单，23号到重庆，比较快。颜色比图片略深，不过也还好。大小合适，没穿过ecco的户外徒步鞋，希望能和其他鞋子一样完美体验。系带和鞋舌处简洁，不知道是否一样有gore面料，鞋底轻便，希望耐久和耐磨</t>
  </si>
  <si>
    <t>非常舒适 这双鞋非常舒服，价格也很合适</t>
  </si>
  <si>
    <t>超值 比专柜省了不是一丁半点，只要了解自己的尺寸，还是划算的，因为是海外购，所以时间上有点长</t>
  </si>
  <si>
    <t>满意 应该是真皮，有味道，可能是皮的味道？满意</t>
  </si>
  <si>
    <t>好 一次拍了两件  一件ML  一件L  两个颜色  都很赞  结果都不舍得退  就两件都留下了  很好  很合身  180cm  85kg</t>
  </si>
  <si>
    <t>保温效果好 很好用，保温效果强劲</t>
  </si>
  <si>
    <t>质量好 品质好，鞋稍大</t>
  </si>
  <si>
    <t>皮鞋 皮鞋可以，稍微有点大</t>
  </si>
  <si>
    <t>喜欢 喜欢～刚买回来，小家伙洗好多遍手</t>
  </si>
  <si>
    <t>期待效果 感觉挺实在的，好大一瓶。这个的包装比天猫的全一些，多了外面一层塑料薄膜，还有瓶盖里的一层膜，味道差不多。</t>
  </si>
  <si>
    <t>音质不错 秒杀价还行，音质也不错，不过功率偏小，只能用作很近距离的监听。</t>
  </si>
  <si>
    <t>欧标与国标 冷热水管的接头需要另外配，欧标看起来是3分接口，国标都是4分接口。货很好</t>
  </si>
  <si>
    <t>满意的群表型号肆酒叁 轻，冬天戴着不冰手，舒适。6局电波，太阳能，反显，肆酒叁的值得买群表，满意！</t>
  </si>
  <si>
    <t>👍🏻 很好，比国内便宜太多了</t>
  </si>
  <si>
    <t>不错 老婆162高，100斤，穿着刚刚好，做工也不错</t>
  </si>
  <si>
    <t>酸 看成分非常好就是口感很酸我孩子不吃</t>
  </si>
  <si>
    <t>会脱色 洗了两次就脱色，发红</t>
  </si>
  <si>
    <t>衣服版型不适合不好 172/75，衣服整体过长</t>
  </si>
  <si>
    <t>三星评价 越南产，手感很好，有点磨毛的感觉。肩膀宽了半号，袖子长，身子短，保暖性不如抓绒衣，不推荐</t>
  </si>
  <si>
    <t>XL 我真的搞不清楚了，国外的尺寸也是很乱的，相同的尺码有的牌子正好，有的就大，有的就小。这个问题都出现在了LEE上。这个衣服明显有些大了，和我以前在国外买的XXL的尺码一样。例外我还买了LEE的牛仔裤，40/32的明显大，38/30有明显小。而我在国外买的levi’s的38/30就正好合身。这里有什么问题吗？是谁在里面搞了什么毛事！</t>
  </si>
  <si>
    <t>质量严重有问题的而且亚马逊还不给换 这个垃圾亚马逊 垃圾希捷 保修期内坏掉的硬盘两家互相推脱 三方一起通话 希捷让找亚马逊，亚马逊要我自己想办法 非常差的购物体验 祝您早日离开中国</t>
  </si>
  <si>
    <t>衣服太长长长长 这款衣服版型比较奇怪，偏长，本人167/63，这衣服s码肩宽刚好，胸围紧绷着，但是下摆已经快到裆部下面了，要是买的m得当裙子穿，非常尴尬，同一时间买的拉夫劳伦，hugo bosss码正好。。。。</t>
  </si>
  <si>
    <t>24CM珐琅锅 开锅了，做了一次炖排骨，味道不错，是个好锅</t>
  </si>
  <si>
    <t>感觉一般 方太水槽洗碗机用这个好像感觉一般</t>
  </si>
  <si>
    <t>大小合适，加热后，锅很烫，要注意防烫 刚开了锅还没用</t>
  </si>
  <si>
    <t>年轻化入门级光动能的首选 整体来说是一次完美的海淘购物体验。 表符合我的预期，就是以前不戴表的，现在戴表了有点不太适应。要不就是过松，要么就是劲，反正不太舒适。</t>
  </si>
  <si>
    <t>除了出厂原包装，没有运输包装，到货原包装破损严重! 除了出厂原包装，没有运输包装，到货原包装破损严重!本想退货，想了一下太麻烦，当快递人员的面检查发现机器配件都在，赠送的胶囊14个也在，也没破损，就拿回家试用，还好没问题。希望商家在运输过程中多考虑一下'。</t>
  </si>
  <si>
    <t>物有所值 到手很快，硬盘本身品质不错的，性价比高。</t>
  </si>
  <si>
    <t>味道还不错 蛮好的，和产品描述一样，儿子说是橙子味的，这瓶吃好，如果效果不错，会继续囤货😊</t>
  </si>
  <si>
    <t>满意 尺码很准，颜色中性，男女都可以。</t>
  </si>
  <si>
    <t>很不错得笔。 物流也很快，亚马逊客户很热情负责，钢笔也很赞，很愉快的一次购物经历！</t>
  </si>
  <si>
    <t>超值。舒服 最喜欢ecco了，非常舒服，鞋垫随脚型，鞋底也比同类的鞋子软，超值</t>
  </si>
  <si>
    <t>效果好 一共买了两台 价格非常好 但是快递一个是从威斯康星发的另外一个是从香港发的 但东西都一样 不错 第一次用八档下门牙牙龈有些出血 现在用了四五次了好了 感觉尽量开高一点档节目冲洗后效果更好能感觉得到的</t>
  </si>
  <si>
    <t>很喜欢这个咖啡机 很喜欢，快递速度也快，每天都在用。小小的咖啡机，提升生活幸福指数，点赞👍</t>
  </si>
  <si>
    <t>鞋码标准，穿着舒适 之前穿ECCO 41码的皮鞋，ASICS 8.5码的运动鞋，这次选41码，还担心有点小，结果正好😊；鞋穿着舒适，值得推荐！</t>
  </si>
  <si>
    <t>真香中 低音爱好者  从潜99转过来 逐渐真香中  低音没有很大区别  但还是比潜99好不少的  但中高音强了不止一星半点</t>
  </si>
  <si>
    <t>适合脚胖的人 好看 适合脚胖的人</t>
  </si>
  <si>
    <t>不错 不错的产品</t>
  </si>
  <si>
    <t>秒杀代购 非常好，朋友推荐这个牌子，日本发货，比代购便宜多了，正品好用。</t>
  </si>
  <si>
    <t>质量好 质量好，不掉绒。就是袖子略长</t>
  </si>
  <si>
    <t>感觉好 轻便柔软舒适的保暖衣</t>
  </si>
  <si>
    <t>磨脚问题能不能解决 右脚有点磨脚，但是总体感觉质量还好。</t>
  </si>
  <si>
    <t>非常棒的体验 很好，非常喜欢，龙头很重，有点吃惊，实打实用料。</t>
  </si>
  <si>
    <t>很好 材质偏硬，好在尺寸刚好。 不错</t>
  </si>
  <si>
    <t>非常轻薄舒适 上身非常舒服舒适，适合夏天穿着！</t>
  </si>
  <si>
    <t>配送蛮快的 本来以为要等到下周才能收到，没想到昨天就收到了。估计是从保税区发货的吧～ 今天就开始吃了，希望bb能健康聪明</t>
  </si>
  <si>
    <t>便宜的 价格便宜啊，三百不到。</t>
  </si>
  <si>
    <t>便宜 主要是便宜，用了两三盒，发现一个漏袋</t>
  </si>
  <si>
    <t>很满意的剪刀 蓝色的一把已经掉了 红色的还在工作 挺好的东西</t>
  </si>
  <si>
    <t>松松垮垮 尺码倒是对的，但很松垮的那种，没型。我还一下买了四款，都不合适!日本胸罩以后不能买了！</t>
  </si>
  <si>
    <t>盒子全烂 之前买来，感觉还不错，多买了3组准备送人，结果盒子全部烂了，无语</t>
  </si>
  <si>
    <t>新款一样要清洗多次才没木炭屑，不推荐买这款，又贵又麻烦 挺恼火的，这个新款一样会有木炭屑。把旧款用完，这几天开封用亚马逊买的新款，以为能省心一些了，结果茶杯底还是有很多黑色小颗粒。把滤芯取出来去清洗，洗了三遍都还是黑黑的水。那和旧款还是没区别啊，一样都很麻烦要清洗好几遍才能用。而且英国寄过来又要贵一些，还要上传身份证曝露了隐私。还不如买国内的新款算了。可是我在英国德国当地买的滤芯就不需要洗，干干净净没有颗粒在杯底。真不知道怎么回事，</t>
  </si>
  <si>
    <t>袖子长了点 170  65kg  s码完全合适，就是袖子长了点</t>
  </si>
  <si>
    <t>过大，细节和照片不符 细节处和照片不符，买大了，懒得退了</t>
  </si>
  <si>
    <t>他家的mq70没有和面勾，要另购 他家的mq70没有和面勾，要另购</t>
  </si>
  <si>
    <t>还行，有点厚 还行，就是有点厚，其他还好</t>
  </si>
  <si>
    <t>价格感人。 价格感人：优惠价购入。 物流一般：提前发货，提前收货，快递小哥很好。 质量还行：信赖WD，所以买它，但是数据线不怎么样，数据线两个接头都有点松动，感觉没插紧 （插在笔记本USB2.0上传输一段时间直接断电）</t>
  </si>
  <si>
    <t>还不错 煎鱼牛排不错，没有涂层的铁锅不沾是不可能的，凑合吧，10英寸的已经5斤了，对于女汉子来说也挺重的，庆幸没有买更大的</t>
  </si>
  <si>
    <t>色差太大，面料偏薄，适合春秋穿 与电脑比，色差太大，颜色偏深，几乎是深蓝到黑了，面料偏薄，但是有弹性，适合春秋穿</t>
  </si>
  <si>
    <t>Marshall 马歇尔 Minor II 初体验 第一次在亚马逊购物，收到耳机。1.观看了细节，外形不错，查看了耳机外形，细节的地方，应该是正品。2.音效刚使用，低音效果做得非常震撼，其他效果需要煲机后才能了解。3.线有点短，如果脖子粗的话可能戴得有点不舒适。</t>
  </si>
  <si>
    <t>衣服合身，比较满意 很合身，买了两条一条做工不错，另一条就不怎么样了，价格便宜。发货有点慢，服务不错客服态度不错，还打电话过来说明情况，这点很赞，快递不送到家，态度一般，有点美中不足，总体还不错。</t>
  </si>
  <si>
    <t>很好 非常好，合适，10天收到</t>
  </si>
  <si>
    <t>非常好 非常好 皮质很细腻 版型没问题 不会掉 刚开始穿退有点难 多穿几次就很好了</t>
  </si>
  <si>
    <t>裤子很舒服 本人身高160cm、体重105斤，买8号大一些，估计6号就够了！裤子弹性好，穿着挺舒服的！</t>
  </si>
  <si>
    <t>prime日打折真的超值！ 价格超值啊，用来扩展我的4K原盘收藏，但是没有保修，希望不要出问题。</t>
  </si>
  <si>
    <t>挺好 好到没朋友，喜欢这种粗矿的外形，只是第一次煮粥溢锅了，一塌糊涂，锅底上黑黑的几道印，应该是我操作问题，之后用就没有再溢，非常喜欢💕</t>
  </si>
  <si>
    <t>味道可以 加肥速度过快，面带病色，才想起来要吃蛋白粉，亚马逊值得信赖，看到别人的评价才知道，里面居然有勺子，捞了半天找出来了，不过一次吃多少还是没有概念</t>
  </si>
  <si>
    <t>价格浮动太大了！ 我只想说我是623到手的，但是到手以后发现降价了，550就能到手，差了70,懒得退了，海外太麻烦。音质初听就跟跟很满意。</t>
  </si>
  <si>
    <t>超级适合夏天 轻薄，舒适，弹性大，非常适合夏天，穿着去瑜伽也没有移位，就是不知道是否耐用</t>
  </si>
  <si>
    <t>除了大，真的好 听说鞋子码数太大，我还特意买小了半码，但还是大了。我脚属于比较长但是没肉的那种，</t>
  </si>
  <si>
    <t>物超所值 材质超好 无痕 这价格和质量 简直是超值！</t>
  </si>
  <si>
    <t>外观不错 退换了一次货，服务很好。耳机好，解析不错，声场感觉有点小，可能是封闭式的缘故吧，听流行一般，人声远，听器乐很好，适合古典，符合拜亚风格。</t>
  </si>
  <si>
    <t>尺码合身，上身舒适 非常好，上身舒适，尺码合身！身高170，重70公斤，M码完美贴合！不错</t>
  </si>
  <si>
    <t>很好 送给朋友的女儿的，她收到后认为萌萌的，很可爱，高兴的不得了！</t>
  </si>
  <si>
    <t>舒适 大小合适，穿着很舒服</t>
  </si>
  <si>
    <t>喜欢重未改变 买过好几个了，一直喜欢重未改变</t>
  </si>
  <si>
    <t>值得信赖 舒适，真心不错！送达时间比预期快！</t>
  </si>
  <si>
    <t>保温效果很好，国内官网上都还没有得卖 非常好，里面的不锈钢是我见过的最好的，超级亮，第一天早上到热水进去，第二天早上还是有30，40度左右吧，不错。不过保温效果没保温瓶好，可能是没有涂层的原因吧</t>
  </si>
  <si>
    <t>圆满了 首先是价格，黑五买的还是非常超值的，不算运费关税比官网便宜了900多人民币。 其实买这件衣服最拿不准的就是尺寸，这款衣服的尺寸特别奇怪，每个人穿都会觉得不一样，之前在官网买过一件L的觉得稍微小了一点，后来在网上看了好多评论和对比（中文的英文的都看了），最后买了一件XL的，但是在衣长方面并没有增加，所以我也不挣扎了就短着穿吧。 最后提供一下我的尺寸，仅供参考（其实没用）我190CM的身高150斤，偏瘦身材，穿XL和L的长短差不多，L的肩宽正好，要穿宽松的话可以试试XL。</t>
  </si>
  <si>
    <t>质量很好。 这件是薄的，质量很好，不比日亚的差。</t>
  </si>
  <si>
    <t>还可以 使用效果不知道怎么样，但是设计很合理，以前宝宝稍微一挤都挤出来好多，这种的比较好控制！</t>
  </si>
  <si>
    <t>便宜好货 高斯经典耳挂，戴上后也很舒服~</t>
  </si>
  <si>
    <t>价格虚高非常严重！质量一般、鞋带超短… 价格虚高非常严重！质量一般、鞋带超短…</t>
  </si>
  <si>
    <t>滤芯不禁用啊 以前在亚马逊是找另一家买的，基本上两个月换次，现在使用情况和以前一样，不知道是上海水质变差还是滤芯做工不行，基本一个月换次</t>
  </si>
  <si>
    <t>掉色 掉色掉的太厉害了，泡了4次，水还是紫的</t>
  </si>
  <si>
    <t>衣服太长，质量太差 看着还可以，衣服偏长，而且质量真的是不敢恭维，要不是退货麻烦。。。跟抹布一样粗糙。有够垃圾的。</t>
  </si>
  <si>
    <t>有黑色沉淀 非常不好用，有很多黑色沉淀，过了好多次水还是有，本来想喝好点的水的，这下坑大了</t>
  </si>
  <si>
    <t>布料太差了，严重不推荐 太硬了，跟纸壳子一样，从没见过这种料子的裤子，太失败了，差评</t>
  </si>
  <si>
    <t>有些重 比想象的大和重。原来还想带着它出门，是不可能了。买这款主要是看中和Mac系统兼容很好。另外，运行时噪音大。亚马逊包装很简陋，从美国发来大纸箱里面只装了一个气泡袋，盒子在里面晃荡。</t>
  </si>
  <si>
    <t>休闲裤不错 比国内性价比高多了，棉质带点弹性，可能棉质含量不是特别高，洗过一次不褪色，170cm，66kg，年前70kg，目前减了5kg，33L29，腰围有一点宽松，比较合身，本人喜欢宽松一点的裤子，国内裤子的腰围我一般选2.52尺，2.46也能穿，有一点紧，</t>
  </si>
  <si>
    <t>质量还行吧 172CM，76kg，M码略宽松，衣身有点长</t>
  </si>
  <si>
    <t>走路咯吱咯吱响 鞋底不好，走路时咯吱咯吱响，特别是在硬质路面上，不敢穿去单位</t>
  </si>
  <si>
    <t>略肥 整体版型和布料还不错，不过以我的体型尚且略有些肥，瘦人慎买</t>
  </si>
  <si>
    <t>很好 没味道，质量好，不是中国制，泰国还是哪记不清了，一共两个。</t>
  </si>
  <si>
    <t>好用，多屯点 好用，刚添加辅食就用它了~不过时间久了会裂开，所以要多囤点~</t>
  </si>
  <si>
    <t>东西不错！ 很香很香很香！很甜很甜很甜！水加多了喝不完，少了就很香很甜！</t>
  </si>
  <si>
    <t>ecco脚感好 平时穿也可，裁判时穿也可，难得的好鞋</t>
  </si>
  <si>
    <t>好看 紫色很可爱！穿着也挺舒服的</t>
  </si>
  <si>
    <t>第一次亚马逊 满意的购物 满意 没味道 质量也不错</t>
  </si>
  <si>
    <t>好硬盘 容量大，性价比很高</t>
  </si>
  <si>
    <t>还不错。 鞋子面料比较薄，但尺码准确。</t>
  </si>
  <si>
    <t>优惠套装，慢慢用。 大量囤货，慢慢使用。</t>
  </si>
  <si>
    <t>很好 治疗需要长期用大剂量的d3，前几年只能到处托人从国外买，现在能海淘真的是解决大问题</t>
  </si>
  <si>
    <t>移动硬盘 不错喜欢。能够配置一个装盘的盒子或袋子之类的就好了。</t>
  </si>
  <si>
    <t>价格实惠 很合适 物流也很给力</t>
  </si>
  <si>
    <t>奶瓶感觉还不错 宝宝使用快3个月了，没使用过其他奶瓶，感觉还不错，宝宝挺喜欢，有时候可以自己抱着吃了！可以开水烫和微波炉消毒</t>
  </si>
  <si>
    <t>鞋子很赞 靴子很赞，而且是秒杀到的，很便宜，^_^，大小比耐克小一码刚刚好</t>
  </si>
  <si>
    <t>质量好 非常漂亮，款式简洁大方。</t>
  </si>
  <si>
    <t>相见恨晚 机器一周多就收到了，同时买了舜红的3000W的变压器，很匹配，至今已经使用快一个月了，利用率很高，经常做的是豆浆还有鹰嘴豆浆，按一个买家推荐的食谱做了花生奶（一把煮熟的花生+几个红枣+2/3的牛奶+1/3的水，不需加糖已经很甜），女儿说超级好喝，现在家里经常煮熟一些豆子放冰箱里，早上很快就能喝上一杯热乎乎的各种豆浆了，还有银耳雪梨糖水，也可以用它搅成银耳羹，口感特别好，应该吸收的也会更好。我会把它推荐给身边注重健康的朋友们。另外更喜欢的地方就是，操作及其简单，使用的时候不需旋转卡在底座上，直接按方向放置就可以了，杯体不重，女生拿来拿去很轻松，清洗尤为方便，这些令它的使用率更高。</t>
  </si>
  <si>
    <t>很满意，样子很好看，质量很好，而且实用 很满意，样子很好看，质量很好，而且实用</t>
  </si>
  <si>
    <t>舒服 很合适，170cm,68kg，M号的刚刚好的，设计的很好，面料很舒适。</t>
  </si>
  <si>
    <t>满意 质量过关，保暖性还行，我179/80</t>
  </si>
  <si>
    <t>挺好的 反正比國內買便宜 還正宗 要是我有了小孩 估計就要一直泡在亞馬遜了吧</t>
  </si>
  <si>
    <t>奶瓶不错 囤货中的等待小宝宝出生</t>
  </si>
  <si>
    <t>真品，包装完好哦 一周左右到货，真品，赞一个</t>
  </si>
  <si>
    <t>香蕉咬胶 每次使用前消毒，洗干净，拿给娃娃玩不了一会儿就很粘灰了，性价比低，不知道是不是正品，太容易脏了。</t>
  </si>
  <si>
    <t>不理想，很多细节不好 秒针声音很大，而且秒针不准，走一下，会抖回去半格。表带因为是布的，表带头是被直接裁断的，有些线头分叉</t>
  </si>
  <si>
    <t>表速偏慢 表速偏慢，不如卖家描述，一个月在3-4分钟的减走速</t>
  </si>
  <si>
    <t>效果不错，但日期不好！ 9月9日到货，但17年12月就过期了，还用贴纸把有效期盖住了！</t>
  </si>
  <si>
    <t>用一个月就坏了 真不行，虽然戴着舒服，音质白开水就忍了，问题是质量极差，一个月就不能开机了，自己拆开稍微拉拉线就能开机了，我查了下，这种情况有很多，哎</t>
  </si>
  <si>
    <t>差评 pluse这个键，怎么按了不能复原；可能因为运输问题，导致底座裂开</t>
  </si>
  <si>
    <t>服务太差 和描述的尺寸一点不一样，过大，我是按描述选的尺寸，本来想退的，客服反复强调运费多么的贵，还不停的问怎么不合适了，我说穿的臃肿，不好看，说完后还让我描述，我是按你们的尺寸买的，穿的不合适，就是不好看，我还怎么描述，还说买大，运费自己花，一共没有多少钱，不堪客服反复磨叽，算了，算我倒霉，再别的电商还有七天无理由退货，还可以选择物流，这个不可以，会员还有优惠什么的，这个亚马逊什么都没有，有的只有自己的利益，以后不会再买这家东西，也不会再使用这个电商，如果可以评零分的话，我会的</t>
  </si>
  <si>
    <t>有时找不到“希捷硬盘” 我的设备：DELL台式一体机，后升级的win10系统。 开机后，有时可以看到“希捷硬盘”，有时看不到。</t>
  </si>
  <si>
    <t>买大些吧 我身高176 体重77kg。看完评论选择了xl ，但还是感觉有些小。现在穿正好就是担心洗完以后缩水</t>
  </si>
  <si>
    <t>速度比预想的快，皮质好，尺码个人认为大了半码，穿的舒服 这个价格，绝对是物有所值的，继续关注</t>
  </si>
  <si>
    <t>厚实 袜子很厚实，棉质感十足！就是偏大，给老爸穿正好！</t>
  </si>
  <si>
    <t>东西不错，物流超快 东西不错，蛮好看的，一个星期能到手，物流的速度很赞，实用容量3.63T</t>
  </si>
  <si>
    <t>好东西，买无憾！ 在已经拥有森海HD800，IE800等高端耳机的情况下，还买这个曾经是这个比较冷门品牌的旗舰耳机，纯粹是为了猎奇和玩心未退而已。不过玩了一段时间后，感觉是买对了！这只耳机无论是从音质、用料还是做工来说都很优秀。良心厂家，良心产品，特别是良心的中亚海外购。值得点赞！（耳机需要煲100小时以上）</t>
  </si>
  <si>
    <t>非常好表！！！ 其实买这个表就是买机芯，因为他是CASIO，自然在好的机芯之余又那么便宜的情况下没有多余的设计和制作了，这么便宜能买到CASIO的表真是很高兴。其实虽然说简单，但是其实很简洁大方，我带了一年多了，同事都说非常简洁时尚，很好配衣服，当然也要看什么样的人带（呵呵），比较适合年轻白领和学生，但是为什么会给人简陋的感觉，我觉得是包装上出了问题，应该使用更加时尚的材质和包装形式，才能配得上这个表，这块表后来我发现很多人在用，因为非常耐用，可以带5年的电池，比我之前买的任何一块表都耐用，虽然我的口气真的有点像托，但是这的确是我的真实体验，之前刚收到的时候的确也有挣扎，后来发现果真是casio的设计和制作，很不错，不是什么人都能欣赏的！！！！！！！！！！！！！！！！！！！！！！！</t>
  </si>
  <si>
    <t>不错! 喜欢的款式，颜色也很好，穿着合体，舒服。内裤不是很喜欢，面料有太硬。</t>
  </si>
  <si>
    <t>性价比还可以 172cm，90kg，L号合适，稍紧。 衣服不厚。袖子长，还可以接受。黑色的有点粘毛。 准备再定件XL的， 还是喜欢宽松点。</t>
  </si>
  <si>
    <t>很不错的耳机 之前没买过高阻耳机，以为这款很难推。然而，刚收到货了后，用手机试了试，声音还挺大的，并没有网上一些人说的直推蚊子音。。。 也不过，当然，声音大并不能说明就不需要耳放了。   回去仔细听了下拉二还有肖邦第一钢协，用的HM650+power卡直推的，总而言之，效果我还是挺满意的。做工也挺不错，比我之前的K701要感觉上耐操多了。佩戴的舒适度尚可，因为我头比较大，有些夹头，不过也还好，可以接受，一般人应该是不会觉得有夹头。  不过当然也有一些问题： 一是交响乐里声音比较尖的打击乐，比如说锣的声音非常的让人不愉快的刺耳。至于低音方面，我觉得还是挺足的，不过感觉不是那么的平滑，总有些毛刺的感觉。不知道是因为新耳机没煲开还是怎么的，但愿以后会好些吧。 二是电话线看上去非常专业高端，然而实际用起来，，，觉得比较蛋疼，特别是电话线悬空的时候，总会觉得有很重的一东西，拉着头一样。  听了两天写的评论，可能不太准，仅供参考。</t>
  </si>
  <si>
    <t>传说中的耳机 真的很干净，听着舒服</t>
  </si>
  <si>
    <t>衣长短 胸围袖子肥 本人身高180cm 体重63kg 穿L码短 肩正好 就是袖子肥 胸围肥 衣服做工很好 面料很好 很厚实 冬天穿应该一点问题没有</t>
  </si>
  <si>
    <t>身高182，体重158。买的33X32的，刚刚好。 身高182，体重158。买的33X32的，刚刚好。裤子质量没得说，自从有了海外购，我基本就不从美亚买东西了，直接中亚海外购全搞定，还不收运费。那点税，就当转运费了。</t>
  </si>
  <si>
    <t>超棒超值的一次购物。 奶瓶是日本直邮的，收到用了几天感觉很好，用沸水，消毒柜消毒都没有异味，赞！之前在国内母婴店购买过四五个贝亲奶嘴，之后也在孩子王APP上面购买过一个贝亲奶瓶，消毒过后奶嘴表面都是泛油泛油的，而且很大一股异味，难怪之前宝宝抗拒吃奶瓶。亚马逊海外购买的日本直邮的这款奶瓶很好，也轻便，宝宝6个半月能一次乖乖吃完160ml，也是解决我一大难题，之后再大一点就能自己抱着奶瓶吃奶了。</t>
  </si>
  <si>
    <t>囤货，颜值和大小可以接受 朋友推荐这款吸奶器便囤货还没有使用，大小可以接受；不过为什么主机和电源适配器的都是东莞生产的呢？？网页信息给到的制造商是everready first aid啊？</t>
  </si>
  <si>
    <t>西装品质一流，尺码太大，国人买要注意了！ 西装做工精细，品质一流，码太大，国人买要注意了！本人身高174cm，体重60kg,，买了个38Regular(Black黑色)，上装长了好多，裤子配的是31的，可我裤子只穿29的，只好退货！准备重新下个36Regular(Navy蓝色)</t>
  </si>
  <si>
    <t>相当不错，物有所值 穿了特别舒服，相当不错</t>
  </si>
  <si>
    <t>家中常备 这种多维矿物质片家中日常备着，补齐因膳食不平衡导致的维生素和微量元素得缺乏</t>
  </si>
  <si>
    <t>很满意 质量不错，没有味道，宝宝很爱啃。</t>
  </si>
  <si>
    <t>喜欢 孕期买了很多华歌尔的东西，基本件件都满意，这个，一定不要买太大号，产后掉肉还是蛮快的。</t>
  </si>
  <si>
    <t>合适 170  75  略胖  M合适</t>
  </si>
  <si>
    <t>很好的 挺舒服的不过感觉右脚比左脚松一点。按照平常的尺码买的，也算合适啦有一丢丢大。不过反正系带也无所谓啦</t>
  </si>
  <si>
    <t>挺好的 做工不错，带宝宝出门的时候携带很方便，保温效果也还可以。</t>
  </si>
  <si>
    <t>还不错！ 挺软的，适合孩子咬，小孩喜欢就好。</t>
  </si>
  <si>
    <t>精美做工 非常喜欢，做工精美，写字顺滑，有弹性</t>
  </si>
  <si>
    <t>Beyerdynamic 拜亚动力 DT770 PRO 头戴式专业监听耳机 250欧姆 当天晚上买第二天上午就到了，耳机看起来很不错，戴起来也很舒服，音质得听听才知道了。</t>
  </si>
  <si>
    <t>运输不当 运输太暴力，外箱坏，里箱也坏！希望音响没事</t>
  </si>
  <si>
    <t>太大了 这哪是修身的款式呀，</t>
  </si>
  <si>
    <t>到手感觉 中国制造，音质还不错。夹得耳朵痛，另外色差严重。推荐买黑色。</t>
  </si>
  <si>
    <t>衣服是二手的 衣服是二手的 拆开包裹发现一股洗衣液的味道 卫衣的绒布都是别人的头发 太恶心了 ！ 衣服还没有吊牌 亚马逊这简直是店大欺客了 把洋垃圾运到国内卖</t>
  </si>
  <si>
    <t>发错货了！！！ 买了3件，这一件是什么鬼？太不用心了。还得退，真麻烦！</t>
  </si>
  <si>
    <t>不错 便宜，耐穿，舒适，性价比高</t>
  </si>
  <si>
    <t>裤子不错，但是 性价比应该给五星的，但是发错货了，买close发了条open。算了，就这么穿吧</t>
  </si>
  <si>
    <t>优势与缺陷 声音比DV自带立体声双侧电容拾音器要细腻，层次感也能出来，是款不错的替代机身拾音器的话筒。问题有三:电池很难拿出来；衰减拨杆实在是隐蔽；没有mini热靴转接座。</t>
  </si>
  <si>
    <t>慎入 做工还可以，音质还没煲好，不会评价，可惜出口转内销的，价格自然不够实惠。</t>
  </si>
  <si>
    <t>和之前门店买的一样，符合预期 和之前门店买的一样，符合预期</t>
  </si>
  <si>
    <t>很满意，价格也不错 收到试穿一下是我喜欢的款，脚感舒服软硬适中，凉鞋款比平常皮鞋43码买大了一码将将好，貌似比专柜试穿的44码小一丢丢</t>
  </si>
  <si>
    <t>喜欢 第二次购买，闷烧效果很好</t>
  </si>
  <si>
    <t>刷头很好用 刷头很合适，孩子用了电动牙刷后牙齿白了很多，4个刷头可以用8个月了，非常好，哈哈</t>
  </si>
  <si>
    <t>好看 产地越南，质量还是有保证的，版型好看，用的是防水纤维，很酷，好评</t>
  </si>
  <si>
    <t>超值 淡蓝色的，很划算，产地中国</t>
  </si>
  <si>
    <t>简洁，轻便 宝贝已收到是自己所喜欢的简洁轻便型手表，最最重要的是价格十分合理，非常不错。</t>
  </si>
  <si>
    <t>喜欢 有一点点小，肯定装不下多少，休闲时尚，很喜欢，还有就是买个标。</t>
  </si>
  <si>
    <t>鞋码选择 脚长25.5cm，买265挺合适，比先前买的gt2000（42码2e宽）紧一点点。没有gt2000那么明显的踩屎感。</t>
  </si>
  <si>
    <t>便宜 太喜欢了，卡西欧的质量就是好，走时很准的</t>
  </si>
  <si>
    <t>不错的裤子 由于价格原因百分一的氨纶含量太少了，几乎没啥弹性。 175、80的身材长短肥瘦正好（洗涤前），但是仅限于春夏秋，冬季穿个贴身的厚一点的抓绒裤就紧了。 如果有33、31的可能也不错。值得购买的裤子。10天到货。</t>
  </si>
  <si>
    <t>很好 很不错，适合夏天</t>
  </si>
  <si>
    <t>喜欢满意的一次购买体验 非常喜欢，一直购买这个品牌，穿着舒适。</t>
  </si>
  <si>
    <t>完胜 很不错的锅，一家四口足够用了，质量好，完美的很，棒棒哒</t>
  </si>
  <si>
    <t>推荐 一不小心下单下成了两份。东西收到是通过DHL寄送的，有一盒的包装是被打开过的，但是东西没受影响，棉质舒服大小合适。美版应该是比国内版型大，建议买小一号的穿。推荐，上身穿了很舒服。</t>
  </si>
  <si>
    <t>巨大，轻薄 这款L的胸围108，XL的胸围120-130，这差距太大了，XL适合190，200斤左右的人。</t>
  </si>
  <si>
    <t>很好 clarks质量没得说，性价比高</t>
  </si>
  <si>
    <t>很喜欢 非常好颜色鲜艳易上色</t>
  </si>
  <si>
    <t>很可爱的小餐盘 很Q的一套餐具，外形可爱，朋友推荐，等不到优惠只能下单了</t>
  </si>
  <si>
    <t>很好！ 很赞，没想到这么快就收到了，迫不及待回去动笔了，宝贝一点问题都没有。</t>
  </si>
  <si>
    <t>尺码 除了裤子有点长，其他挺好。</t>
  </si>
  <si>
    <t>很棒 非常不错，便宜实惠，比国内裤袜好</t>
  </si>
  <si>
    <t>质地较差，颜色不正 对比boss这个品牌预期应有的质量还有差距，感觉一般！</t>
  </si>
  <si>
    <t>尺码太大 欧码，太大了，没法穿</t>
  </si>
  <si>
    <t>压脚背 压脚背 我不是足弓高的类型 clarks 牛津鞋我穿38有点大37.5有点紧 这款38穿着紧 这款39估计会大。寄过来的时候鞋面有磨损。颜色比图片深 走路还挺舒服的</t>
  </si>
  <si>
    <t>无语的亚马逊售后 耳机使用不到三个月 出现左右耳偏音 与亚马逊客服沟通 语气非常不友善 让去找森海 森海回复 京东 亚马逊卖出的找他们 再找亚马逊 语气稍好了点 但问题仍然没有解决 亚马逊的售后 真的无语</t>
  </si>
  <si>
    <t>质量差，怀疑是否为正品 皮质与介绍差别大，较差，不相信其乐有如此粗糙的鞋子，怀疑是否为正品。美亚上有这款鞋子的晒单图片，与网站图片是一致的，也许把残次品发到国内？第一次亚马逊海外购，很失望，耗费了这么长时间。正在办理退货。&lt;a data-hook="product-link-linked" class="a-link-normal" href="/CLARKS-男士-Stinson-Hi-高帮鞋-Stinson-Hi-Wallabee-黑皮革-9-5-D-M-US/dp/B00AKLRBZ6/ref=cm_cr_getr_d_rvw_txt?ie=UTF8"&gt;CLARKS 男士 Stinson Hi 高帮鞋 Stinson Hi Wallabee 黑皮革 9.5 D(M) US&lt;/a&gt;</t>
  </si>
  <si>
    <t>假货 表带就直接和官网上完全不一样</t>
  </si>
  <si>
    <t>可以购买 商品提前收到了，外包裹明显经历过了漂洋过海 有点旧，胶带开了，  打开后，内包装似开封过 或许是清关时国内打开的，盘一切安好，线略短， 容量1.81t  检测 出6个通电周期  20m至26m的传输速度usb2.0 偶出现15m一下  算是稳定的一个盘， 基本上满意</t>
  </si>
  <si>
    <t>尺码合适 尺码合适，面料适中</t>
  </si>
  <si>
    <t>质量不是很惊艳 这个价位和国产的钱包差不多</t>
  </si>
  <si>
    <t>不错的选择 质地不错，袖子稍长，穿着舒适</t>
  </si>
  <si>
    <t>满意 试穿前粗略检查完好，试穿后有只脚的内侧有小破损，不知道是不是我弄的，不介意。脚背处皮质很硬，还没穿出门，不知道会不会脚疼。</t>
  </si>
  <si>
    <t>整体各方面 很不错</t>
  </si>
  <si>
    <t>非常合适 印尼产的我这双，没啥问题，舒服，合脚！推荐买大一码，这款鞋偏小！</t>
  </si>
  <si>
    <t>182cm78kg，穿m正合适 182cm78kg，穿m正合适</t>
  </si>
  <si>
    <t>Good product with gpt not mbr Silient and quick for data. be aware it is only accessible from 64bit systems as gpt instead of mdr is used</t>
  </si>
  <si>
    <t>评论建议参考 看了评论买的 还是有参考价值 M号合适</t>
  </si>
  <si>
    <t>不错 面料挺好的</t>
  </si>
  <si>
    <t>束缚效果好，穿的比较累 束缚效果很好，比束腹带方便，刚出月子，穿完瞬间觉得肚子平了。就是穿的时候有点累。毕竟没啥弹性。</t>
  </si>
  <si>
    <t>正合身 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</si>
  <si>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挺好的 内里加绒，挺厚实，手感舒适，宽松版型，适合天冷加衣。</t>
  </si>
  <si>
    <t>还不错 给儿子买的，小学主要使用铅笔写字，使用起来还不错吧，但没有说特别神奇。很小一块，不过也有好处，小朋友老丢文具，小的丢了不可惜，呵呵</t>
  </si>
  <si>
    <t>包装不一样，有异味 和我在旗舰店买的不一样</t>
  </si>
  <si>
    <t>有效果 按预定时间都到货，看上去不错，确实有效果，一直在吃</t>
  </si>
  <si>
    <t>很不错 很不错</t>
  </si>
  <si>
    <t>Tiger 虎牌 轻量梦重力迷你不锈钢保温杯 200ml 珠光粉 MMP-J020-PP Tiger 保温效果还是可以的。</t>
  </si>
  <si>
    <t>鞋码合适 这鞋尺码标准，只要脚不宽，按平时码买即可，另外穿了一天，脚没有任何不适，不磨脚也不挤脚，挺好的。</t>
  </si>
  <si>
    <t>挺好的，蓝色太贵没买，买了绿色 盖子零件有点多，说是为了清洁无死角……现在宝宝吃得不多，用来装一部分打好的食材，盒子还算大了，还是尽量不弄脏盖子，不想每次拆洗哈哈</t>
  </si>
  <si>
    <t>小巧、坚固、高速 作为final cut pro的工作盘，4K以内性能没问题、可靠性应该也没问题，轻便坚固，近期生产，很好很实用！</t>
  </si>
  <si>
    <t>鞋子号码偏小一点 这个鞋子很舒服，拍的黑色光皮的，牦牛皮的。拍下时看了一下评价，又看了家里的运动鞋，都是比平时鞋子大一码，于是，果断拍大一码，舒适，也给其他买家做个参考。然后就是价格波动很大，需要关注一下，等合适时机出手。总共花大约1000元不到。</t>
  </si>
  <si>
    <t>谁说亚马逊不解决售后问题？？？ 洗牙器买回来不工作，邮件客服，完美解决，亚马逊会员买的很值！客服声音甜美，态度超好，会一直支持亚马逊！</t>
  </si>
  <si>
    <t>不愧曾经的吧塞 3号下单6号收货，快赶上国内快递了！这耳机调音的确舒服，人声近且清晰，横向声场也撑得开。可能是低敏耳机的特性吧，背景非常黑，声音的立体感很强，有点大耳的感觉。虽然解析一般，高频延展不足，但这价位听流行，还要什么🚲。</t>
  </si>
  <si>
    <t>很好的购物体验 衣服质量很好，布料很舒服，就是自己尺寸选大了，国内同品牌同尺寸的衣服我穿着紧，这件就大了很多～快递国内段发的顺丰，太惊喜了～</t>
  </si>
  <si>
    <t>棒棒哒 杯子不错，没有异味，质量不错</t>
  </si>
  <si>
    <t>腰围太大了 尺寸严重不准，腰围手工测量比标注要大10cm</t>
  </si>
  <si>
    <t>尺寸合适，穿着舒服 180cm，81kg穿这个尺码正正好好，很舒服，弹性也不错。</t>
  </si>
  <si>
    <t>戴了一段时间，外观尚可，走时每周都会快上一分钟，与国产手表一个样，服了。 带着看看日期尚可，时间不太准，每周需要校准。外观还算精致。贪便宜的，不计较细节的，可以出手来一块。</t>
  </si>
  <si>
    <t>色差太大 退还麻烦 色差太大 退还麻烦 质量还可以！</t>
  </si>
  <si>
    <t>臭气熏人 手感柔软，够厚。只是气味太大了，洗也洗不掉，准备扔掉了，可惜了我的银子～～～</t>
  </si>
  <si>
    <t>1 做工粗糙，无力吐槽，还没淘宝几十块的好。</t>
  </si>
  <si>
    <t>保温效果很差 并不保温，一会儿就凉了</t>
  </si>
  <si>
    <t>汤匙 姐姐挺喜欢的，他们家宝贝自己很快就可以学自己吃饭了</t>
  </si>
  <si>
    <t>真会感觉不错 到的时候有些黏成一坨，口感方面还不错，很Q。</t>
  </si>
  <si>
    <t>手表不错 但有缺陷 刚收到是还是蛮兴奋的 看过之后发现包装有点简单 用过之后发现 防水功能还是不错的 我游泳时有带 都没进水 但表面容易磨花 刚带第一天就被我磨了一道 心疼死了 表面花后 影响美观和看时间 但这款的价钱还是挺便宜的 性价比还是较高的吧 最让我郁闷的是买了没几天 卓越就降价了  泪奔～～～～</t>
  </si>
  <si>
    <t>不能消毒 东西不能高温蒸汽消毒的，给买的提个醒吧，盘子消毒就变形了，其余的都可以</t>
  </si>
  <si>
    <t>按你的号买 看评论说号大，建议买小一号。结果悲剧了</t>
  </si>
  <si>
    <t>装了还没用 温度精准，耐久不知道如何</t>
  </si>
  <si>
    <t>配送快 速度快 东西质量不错 价钱不贵 随便戴戴绝对物有所值 比较小众</t>
  </si>
  <si>
    <t>庆幸没收到公主，求可以选款 实惠，就是随机发货有点闹心，还好没有收到公主，儿子很喜欢麦昆</t>
  </si>
  <si>
    <t>鞋码合适 特舒服。</t>
  </si>
  <si>
    <t>价平量足颜值高功能丰富 连在玩客云上当NAS用 可以说价平（￥1020）量足（8T容量） 家用足够了 2个USB口还可以再扩展或者是插上U盘读卡器来拷贝 足够了 稳定怎么样暂时还没体现 不过现在的硬盘也就只能祈祷了</t>
  </si>
  <si>
    <t>非常好用 目前正在用勺子，非常好用，其它还没用</t>
  </si>
  <si>
    <t>比较合身 白色，纯棉质感舒适，略透，女生，身高167.体重106，S码合适，有点长</t>
  </si>
  <si>
    <t>值得一买的潮鞋 平时穿42.5的运动鞋，这双42就够了，完美，走在外面潮爆了</t>
  </si>
  <si>
    <t>习惯习惯再看 东西不错，挺方便。本来好久不戴表的，希望能习惯起来</t>
  </si>
  <si>
    <t>基本上合适 基本上合适，脚背有点紧，我235mm的脚，买的是240mm的鞋子，供大家参考</t>
  </si>
  <si>
    <t>质量 还可以</t>
  </si>
  <si>
    <t>很好 舒适，厚实，材质过关，符合预期，会回购同品牌其他产品</t>
  </si>
  <si>
    <t>推荐 舒服，可是后来开线了，怎么处理呢</t>
  </si>
  <si>
    <t>大小合适 穿着舒适 s号正好 衣服柔软但不会没有型 穿着舒服 很喜欢</t>
  </si>
  <si>
    <t>173-77kg 穿M号 码数偏大的，我穿M号正好，袖子有点偏长，其他都ok</t>
  </si>
  <si>
    <t>挺好 打电话问casio的客服，手把手教会了使用方法。官网也有中文说明书可下载。挺好，不过这是男人款，女人带稍大了，那就给家里男人，自己再买一块女性用的。</t>
  </si>
  <si>
    <t>性价比不错 对比了下之前国内买的，没多大区别，应该能用，比国行版性价比高多了</t>
  </si>
  <si>
    <t>很舒服，贴身 舒服、贴身、温暖。。。。。</t>
  </si>
  <si>
    <t>整体不错 内胆有涂层，整体感觉还好，不能侵泡冲洗。</t>
  </si>
  <si>
    <t>奶嘴非常软 好像和国产版是不一样，刻度更粗更明显奶嘴更软些也值了，这么多网购平台婴儿用的只相信亚马逊</t>
  </si>
  <si>
    <t>尺码 171 70kg 大太多，和之前买的系列尺码偏差太大</t>
  </si>
  <si>
    <t>这次鞋太硬了！ 样↖打80分，脚感打59分！前后买了两双，黑色的态太硬！！！衰！</t>
  </si>
  <si>
    <t>求鉴定 虽说整体都还好，但是感觉二手别人穿戴过退货的，痕迹比较明显，发货包装非常简陋，而且表盘根本没有保护膜保护，裸奔在盒子里面，看着心疼，勉强3星，上图求鉴定</t>
  </si>
  <si>
    <t>千万别买这块手表！！！手表质量非常差！！！ 千万别买这块手表！！！用了不到一年，分针时针可以调，但是日期不能调了，然后背光突然不亮了。跟电池电量没关系，换了一块电池还是不好用。直接扔了，三百多块钱的手表不值得一修了。</t>
  </si>
  <si>
    <t>坏了国内不给修！ 海外购买的坏了，国内售后不给修，只能在发出国维修，我特么买个耳机，还得出国修，一出悲剧！购买者慎重考虑！</t>
  </si>
  <si>
    <t>实物与图片严重不符 收到的根本不是固定碗三个，几个很浅的吸盘，上面有三格。要不是退货麻烦，早退了</t>
  </si>
  <si>
    <t>可以买 东西不错，质量可以。</t>
  </si>
  <si>
    <t>很好，合适。 美版没有日版的舒服，面料很硬。我162cm,55kg穿美码xs合适，日码穿m。给大家提供参照，美xs=日码m，以此类推。</t>
  </si>
  <si>
    <t>满意 质量可以，就是有点厚</t>
  </si>
  <si>
    <t>尺码合适 性价比高 平常穿38码 这双正好 稍微大一点点 可以穿厚一点的袜子 质量不错</t>
  </si>
  <si>
    <t>还可以 外观质量走时还可以，不错</t>
  </si>
  <si>
    <t>不错 看上去不错，不过还没安装</t>
  </si>
  <si>
    <t>大小合适 我158/44，M号大小合适。日本人的工作态度可以从包装质量上可见一斑，值得国人学习。</t>
  </si>
  <si>
    <t>偏小了 我180,85KG，M的能穿上去，但是明显偏小的，目测L很合适，有些评论说什么70KG都没到M都嫌小的，根本不可能。。。也可能是我们对紧身衣的理解不同~</t>
  </si>
  <si>
    <t>适合 裤子尺寸很合适，质量好</t>
  </si>
  <si>
    <t>价格还行。 日亚包装很严实，杯子看起来还很不错，还没使用，先给好评！</t>
  </si>
  <si>
    <t>特别好 我该怎么表达我对你的爱</t>
  </si>
  <si>
    <t>赞包装 第一单日亚。包装很赞。完全不必担心运输途中可能造成的损伤</t>
  </si>
  <si>
    <t>真的感觉棒棒哒 基友韩国类似款打折280 哈哈哈哈 这价格真的很划算 弯檐显脸小</t>
  </si>
  <si>
    <t>质量好，性价比很高 物流比预计的快很多，质量很好，用起来很方便，做的咖啡很好。和几年前买过的相比，有不少改进。物有所值。</t>
  </si>
  <si>
    <t>做工非常好 款式大方不去说了，做工真道地，底不是胶粘的，是用线跟鞋面上在一起的，鞋跟打了四根铜钉。我还买贵了，现在的价格比我买的时候便宜了一百多，但我还是觉得值。</t>
  </si>
  <si>
    <t>保冷专用 杯子还是挺好的，但没看清楚是保冷专用，不知道保温可不可以呢</t>
  </si>
  <si>
    <t>值得推荐 包装精美，吃上一段时间才知道效果！</t>
  </si>
  <si>
    <t>满意 上身效果很好，女生，按大家评论选购尺码很合适。160穿的m</t>
  </si>
  <si>
    <t>面料很高，满意 穿着很舒服，性价比高</t>
  </si>
  <si>
    <t>商品描述非常真实！ 指南针和防水性已得到反复测试，描述真实！</t>
  </si>
  <si>
    <t>满意 正品。也很喜欢。只用了一个塑料袋作为外包装，鞋盒彻底破损，还好鞋子没有损坏。</t>
  </si>
  <si>
    <t>颜值高的塑料壶。 颜值高，这个壶没有内胆，就是塑料的，好在烧水没有味道。</t>
  </si>
  <si>
    <t>好锅 真的很喜欢，没有涂层</t>
  </si>
  <si>
    <t>不错 亚马逊上买过六双鞋，质量比国内生产的要好，只要尺码选对，其他不多说</t>
  </si>
  <si>
    <t>质量好 质量很好、保温效果好</t>
  </si>
  <si>
    <t>很满意 价格优惠，质感好，很合身，170cm，65kg。</t>
  </si>
  <si>
    <t>不满意 真怀疑，爱步的做工如此粗糙了，也没有商品吊牌，打开还有很重的味儿。</t>
  </si>
  <si>
    <t>漏水 买了一个用了两年这个地方漏水了。所以新买了一个，但是这个刚新买的，在同样的位置，直接喷水出来，不知道什么原因。。。</t>
  </si>
  <si>
    <t>超级薄 款式还行，穿着挺好看的，就是有点薄，所以夏天穿一季也就报销了</t>
  </si>
  <si>
    <t>价格便宜 质量一般 个人感觉和国内专卖店的货有区别，尺码偏大！</t>
  </si>
  <si>
    <t>为何没有包装盒？ 连个包装盒都没有，这个😣…………</t>
  </si>
  <si>
    <t>用滤芯有杂质 有杂质，盛在白碗中可见黑色粉末。不知是什么物质。放了一阵水，连续接几碗还都是如此</t>
  </si>
  <si>
    <t>Just so-so 音域宽广，人声清晰，低音略有不足，即使加上升级app也增益不显（本人过于追求低音的缘故吧）。以上是链接苹果设备的效果。好的前端加上平衡线会推出全新效果，最近打算入手NW-ZX300, 希望换上平衡后推出理想效果。</t>
  </si>
  <si>
    <t>推荐 颜色有点深，不怎么太喜欢，大小可以，穿的也舒服，就是颜色，粉米色，不理想</t>
  </si>
  <si>
    <t>胡子刮得很干净 荷兰产，胡子刮得很干净，而且防水，不夹胡子，就是经常提醒要水洗，而且洗过之后那个灯还是会亮，后来干脆不管它了。</t>
  </si>
  <si>
    <t>不错 还没用，很合算!</t>
  </si>
  <si>
    <t>偏大 160cm、46kg，买了2号，裤子太长了，大腿围和臀围也大了，小腿围倒是比较合适。可能0号比较合适。</t>
  </si>
  <si>
    <t>盛名难付 穿着舒服，比较薄，会起球</t>
  </si>
  <si>
    <t>超级推荐 超级棒，果然是收紧不勒，买小了两个号，能穿进，很合适，一点也没有不舒服的感觉～</t>
  </si>
  <si>
    <t>衣服很好很好就是买大了，高180、重85kg应该买M的 衣服很好很好就是买大了，高180、重85kg应该买M的</t>
  </si>
  <si>
    <t>穿着舒适，尺码合适 裤子较薄，适合天热穿，修身、做工精致</t>
  </si>
  <si>
    <t>还行吧 挑耳放，自家的a1可以</t>
  </si>
  <si>
    <t>不错 实话实说很不错，听了两周了，除了外观普通</t>
  </si>
  <si>
    <t>很喜欢 轻巧又保温，非常好</t>
  </si>
  <si>
    <t>目前没有好的耳放，可能发挥不出它的功力 与原宏达手机的摩雷耳塞机比，声音细腻层度还差点。耳罩较大，夏天长时间戴会出汗。目前没有好的耳放，可能发挥不出它的功力。</t>
  </si>
  <si>
    <t>这个买小了，产后一个月臀围101，腰围86 这个买小了，坐下喘不过气，产后一个月臀围101，腰围86，大一码刚好！</t>
  </si>
  <si>
    <t>性价比非常搞的温控龙头 包装精致，配送迅速，做工精良，还配有一个防烫护套很精致，喷头比较简单，不过标准接口可以自行升级</t>
  </si>
  <si>
    <t>亚麻的布包 很不错 看出亚麻材质特有的底色  很厚实  款式也还可以 两套背带比较方便使用</t>
  </si>
  <si>
    <t>第一次穿Champion的卫衣 衣服很厚实，我买的大小正好，但是袖子还是偏长，还没穿</t>
  </si>
  <si>
    <t>质量OK 手感质量很好，老公出差，还没试穿，质量真的不错👍</t>
  </si>
  <si>
    <t>好好好 纯银笔身，漂亮，做工精细，最主要是价格太好了，国内的派克真是天价。</t>
  </si>
  <si>
    <t>书写感受 写起来很顺溜！</t>
  </si>
  <si>
    <t>好看 码数正 好看 老公穿上刚好 情侣鞋 嘻嘻</t>
  </si>
  <si>
    <t>亚马逊对商品尺码这个问题请下点功夫 L号，大概等于国内xl，东西是不错的，值得购买</t>
  </si>
  <si>
    <t>氦气盘 算下来不到125/TB，虽然不是最便宜但也能接受了。主要是用来当仓库盘的，通电时间不会太频繁所以果断拆了外壳。</t>
  </si>
  <si>
    <t>评论 不错的鞋子</t>
  </si>
  <si>
    <t>非常漂亮的鞋子 非常好，搭配牛仔裤休闲裤很好看，用料做工都一流。注意尺码稍微偏大，那个给差评的人，你是故意来黑亚马逊的吧？明明很宽松的版型你非说偏小！建议大家按正常尺码购买就行，我是光脚穿的，如果天冷穿袜子应该正合适。虽然稍微偏大，但鞋口比较紧，所以不存在不跟脚的问题。</t>
  </si>
  <si>
    <t>很满意 很好看 颜色也不错 划算 167cm97斤 s码合身稍松 效果正好</t>
  </si>
  <si>
    <t>不错 给老婆买的，很喜欢。有点小贵。</t>
  </si>
  <si>
    <t>发黄 绿色那把居然没用多久发黄了</t>
  </si>
  <si>
    <t>无法开机 音质很好，就是有时候会死机(突然连不上了也关不了机)，去年10月底买的，今天突然开不了了，按键没反应，不知道什么情况，亚马逊找不到售后服务。</t>
  </si>
  <si>
    <t>大半码，下雨天穿特别带泥 鞋子大半码，这个牌子的额通病。重点是本来看重的是防水，想买来下雨天穿，但是下雨天穿反而带得一身泥点子，特心烦。</t>
  </si>
  <si>
    <t>！！假货ba！ 我去！这简直就是假的吗！！气死我了！我还买了那么多！！便宜没好货！</t>
  </si>
  <si>
    <t>图片和货不对 图片和货不对，根本就不是一个型号，退货还麻烦！！！</t>
  </si>
  <si>
    <t>这么大的电商发的鞋子是人家穿过的 穿鞋子像是过的！鞋面两条很深皱纹！还有背后的皱纹！鞋都是灰尘很脏！</t>
  </si>
  <si>
    <t>好吃 口感不错，但是宝宝不喜欢软糖。只好自己吃了</t>
  </si>
  <si>
    <t>便宜 比较便宜，质量也没有那么高，</t>
  </si>
  <si>
    <t>好 好用。也轻便。生熟剪分开用</t>
  </si>
  <si>
    <t>有裂痕 样子倒是非常好看，宝宝也爱抓着玩，就是硅胶中间居然有几道裂痕估计很容易坏吧</t>
  </si>
  <si>
    <t>好 一点小瑕疵可以接受，貌美的锅，很好👍</t>
  </si>
  <si>
    <t>开心购物 铸铁锅沉沉的，很有质感，肯定是正品，第一感觉很喜欢。虽说是第一次在亚马逊上购物，但一口气就买了三口锅，果然不负我望。快递也很给力！真是一次开心的购物！</t>
  </si>
  <si>
    <t>耳机很不错 刚买了就被人讹走了，质量不错。900不到</t>
  </si>
  <si>
    <t>纯棉、舒服 本人163、52，衣服特别合适，很喜欢，穿着也很舒服，是纯棉的</t>
  </si>
  <si>
    <t>合适 买给老公的，觉得自己带也很合适，后面可以收，蛮挺的</t>
  </si>
  <si>
    <t>非常不错 一周就送到了，速度超级快。质量也非常好，美版尺寸要比亚洲版大一个号</t>
  </si>
  <si>
    <t>价廉 没有质保，啥都挺好。。。电子产品没那么容易坏的，闭着眼睛就买了。当然，运气背的时候就呵呵了。但x猫价格贵的离谱了</t>
  </si>
  <si>
    <t>尺码选择问题 按照平时穿鞋的正常尺码选择就可以，尺码正常，不大不小。鞋子非常舒适。</t>
  </si>
  <si>
    <t>运动风 精工的石英表走时精准没得说，光动能的方便省事 蓝色的帆布表带其实很百搭，尤其适合搭配运动装束 唯一的缺点嘛就是表盘太大太厚</t>
  </si>
  <si>
    <t>口袋是我喜欢的型 口袋是我喜欢的型</t>
  </si>
  <si>
    <t>很喜欢。质量好 非常好。喜欢</t>
  </si>
  <si>
    <t>不错的衬衣，符合预期 美码标准M，178 78KG，肩、袖、领、胸都合适， 除了衣服下摆过长，后摆都到大腿了。 卡裤子里倒是不碍，衣服有型</t>
  </si>
  <si>
    <t>穿的蛮舒服的 收缩性什么的蛮好的。</t>
  </si>
  <si>
    <t>这是一款适合听交响乐的耳机 刚买了就又降价了，没赶上最低，真是非常遗憾。耳机很快就收到了，不到一周，包装的很妥当，也是新的，运气不错。拜亚的耳机都得煲很长一段儿时间才行，目前煲了几十个小时，已经比刚开始的干、刺的声音好多了。耳机效果很监听，声场比较的规整，听交响乐很舒服，特别不推荐用这个听电音和hiphop。。。总的来说还是物有所值的。</t>
  </si>
  <si>
    <t>有味道，无塑封 到货时间挺长的。5月29下单，6月13才收到货。奶瓶有味道，还没使用。包装是好的，的确无塑封，不过国外很多产品无塑封。没见过专柜款，无法辨别真假。不过不是说海外淘的商品都是美亚自营吗，应该不会有假吧。</t>
  </si>
  <si>
    <t>很满意 东西很好！物流很快！一开始还以为是一个，结果是一个红色和一个蓝色，很划算</t>
  </si>
  <si>
    <t>比洗碗粉好用，会回购 我家是13套西门子洗碗机，这个洗碗块虽然体积小，但是每次一粒完全够用，洗的很干净。每一粒上有塑料薄膜，不脏手不起灰，比洗碗粉好用太多。实惠，满意。</t>
  </si>
  <si>
    <t>不错 170cm  65kg  s码  刚好  衣服质感不错</t>
  </si>
  <si>
    <t>网红杯子 宝宝吸起来很省劲，而且不漏水</t>
  </si>
  <si>
    <t>非常满意！ 非常满意！</t>
  </si>
  <si>
    <t>好 不错，非常满意，还会一直支持</t>
  </si>
  <si>
    <t>滤芯 用了几年了，用来泡茶很好！</t>
  </si>
  <si>
    <t>版型糟糕 难穿死了！前面底边不服帖（不是因为大，后面很紧），罩杯还压胸。 纯属浪费钱</t>
  </si>
  <si>
    <t>有色差 实物是灰绿色，有色差</t>
  </si>
  <si>
    <t>码正，鞋子一般 248左右脚长，标准脚型，各种鞋子都穿250/39.5/US8.5，穿这个6UK很合适。去年买了双爱步一样质地的，感觉这个也就一般，鞋底薄硬一些，不如爱步的舒服。因为整体很硬，不走路的话穿穿没问题，走快了脚会痛。奇怪的是明明外踝尖那里什么都没有，也不紧，却会莫名的很痛</t>
  </si>
  <si>
    <t>质量一般 质量一般，和在一般超市买的稍好一点点，不值得费劲巴拉的从海外买回来，税那么高！</t>
  </si>
  <si>
    <t>太大了 非常大，和尺寸参考完全不一致，退货很麻烦，只好找人改小一些</t>
  </si>
  <si>
    <t>严重的质量问题！工作人员的失职和对亚马逊品牌的损害！ 连残次品都不如！根本就不像大品牌的鞋，甚至在任何情况下都不是一双合格的鞋！鞋面多处划痕！鞋舌磨损严重！鞋底较大断裂！缝合处皮子断裂、翻裂！一只鞋头是歪的！甚至部分皮革封边都没有做！非常气愤！</t>
  </si>
  <si>
    <t>还好吧，不如剃须刀原配的耐用 还好吧，不如剃须刀原配的耐用，这个只能用7个月左右刀网就会破损</t>
  </si>
  <si>
    <t>物有所值 在还没煲的情况下给四颗星吧。佩戴很舒服，没有不适。</t>
  </si>
  <si>
    <t>总体合身 衣服总体还可以，178  68 穿M的  稍微有些偏大 能够接受</t>
  </si>
  <si>
    <t>还可以 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</si>
  <si>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一般 舒适度一般，鞋面显得扁平，内衬比较滑</t>
  </si>
  <si>
    <t>东西不错 确实可以增加小孩子的抵抗力。生病次数好了很多。</t>
  </si>
  <si>
    <t>极度舒适 一分价钱一分货啊，满分！</t>
  </si>
  <si>
    <t>异味，味道 很实惠，比在国内买便宜太多了，也没有异味，不漏水就是吸头被小孩咬烂后没有配件买，</t>
  </si>
  <si>
    <t>不错。 168cm.68kg.合身，质量好。</t>
  </si>
  <si>
    <t>品质好 强烈推荐浓郁巧克力口味，配合牛奶更好喝！</t>
  </si>
  <si>
    <t>适合上班通勤穿着 不错，clarks穿uk8.5, 这个42正好</t>
  </si>
  <si>
    <t>偏大 颜色很好看，美版很大，平时穿26，这个最小号都是宽松的</t>
  </si>
  <si>
    <t>好大一箱 买的四季款，内含4.5+9的2条，可以通过扣子扣一起使用。标签显示可以40度水洗及滚筒烘干。 4.5的绒量少，部分格子漏光挺多的，9的比较均匀。 就是英标和国内差别挺大，被套难配。 不过话说回来，如果尺码一样也轮不到我买了，早就被yellow cattle们搬空了。。。</t>
  </si>
  <si>
    <t>大一码 这条比国内品牌尺码大一码，买小一码刚好。</t>
  </si>
  <si>
    <t>宝宝不是太喜欢咬 看同事买的自己也买了个，不沾灰，就是四个脚咬的时候互相挡着了，头又太大不好咬，宝宝玩两下就不要了</t>
  </si>
  <si>
    <t>不错的鞋子 非常好，大小合适，正品无疑</t>
  </si>
  <si>
    <t>还不错 正常穿31号的牛仔裤  皮带34刚好合适 正常在第二个孔</t>
  </si>
  <si>
    <t>非常好 半个月就收到了，款式大方、稳重，质量、做工非常好，价格比专柜便宜很多，值得购买。</t>
  </si>
  <si>
    <t>尺码合适。 质地柔软，尺码合适。</t>
  </si>
  <si>
    <t>轻薄舒适 172.5，长度略长一点，不过是缩口的就没所谓，轻薄舒适</t>
  </si>
  <si>
    <t>合适漂亮 合适漂亮</t>
  </si>
  <si>
    <t>很值 很不错 国内双十一都要1399  这边到手才1050。大概一个礼拜拿到手，东西确实是真的，做工手感什么的都超级棒，音质的话得煲好久，煲开了还是很不错的，吉他音色毒的不行，其他的话中规中矩，主力还是摇滚，偶尔听听民谣也不错。值得不行。</t>
  </si>
  <si>
    <t>健康 夏天穿非常舒适</t>
  </si>
  <si>
    <t>放心买 亚马逊海外购最稳妥的可能就是短袖了，不存在袖子过长的问题。169/120和合身舒适，这个价位真是值了</t>
  </si>
  <si>
    <t>整体合身！ 170，60公斤！袖子有点长，衣服稍薄但轻柔合身！供参考</t>
  </si>
  <si>
    <t>描述一致 尺码标准非常满意！</t>
  </si>
  <si>
    <t>质量很好 用了一段时间才来评论的，质量很好，真皮，不易变形，材质略硬（我喜欢的硬度）。</t>
  </si>
  <si>
    <t>质量不行 质量好差，款式还可以，穿了没几次发现屁股后面那口袋居然破了一个大洞，我真是不知道说啥好，假货都比你质量好，呵呵哒</t>
  </si>
  <si>
    <t>和我在美国costco带回来的6.35磅的口味不一样 都是巧克力的，但是口味不一样。 而且，冷水冲泡，有凝块漂浮。搅不开。我自己从美国带回来的就没有这个问题。 怎么会这样？完全不一样！能回答一下吗？</t>
  </si>
  <si>
    <t>质感不错，尺码偏小 质感不错，但尺码确实偏小了很多。</t>
  </si>
  <si>
    <t>左，右脚不一样大 太坑爹了，美亚发过来的鞋是左脚38，右脚40，还要自己寄回美国退货。</t>
  </si>
  <si>
    <t>做工粗糙，疑似假货，慎重购买（差评） 做工粗糙，疑似假货，慎重购买（差评）</t>
  </si>
  <si>
    <t>生产日期涂改 日期位置确实有白条覆盖，改成打印在瓶底。不知道怎么回事。看评论2017年购买的是这样，没想到2019年还是这样。。。</t>
  </si>
  <si>
    <t>裤长有点长，其他比较合适，性价比很高 性价比非常搞，手抖多拍了一件，海淘退货运费比裤子还贵</t>
  </si>
  <si>
    <t>可以 性价比高，不到110购入式样材质可以国内中通不行。</t>
  </si>
  <si>
    <t>天伯伦鞋 时隔四年又买了一双，但皮质明显看出来是不一样的，原来的是属于光面皮，这个皮子纹路大一些。鞋子应该是偏大一点</t>
  </si>
  <si>
    <t>快速，便捷 用了几个月，优点：方便快捷，很好用，咖啡很香，噪音也在接受范围内 缺点：奶泡机在牛奶未超max（线）时，在自动打泡时会经常会溢出（盖子也会被顶出），</t>
  </si>
  <si>
    <t>合适 合身，保暖效果可以…………</t>
  </si>
  <si>
    <t>快速卡，单反的必备 比较价格后英亚的还算OK, 不过也是中国产商品，整体使用感觉尚可，具体数据网上都有就不再测试了，随包装也附赠了两年的数据恢复。 发货还算可以，下单到收货10天多一点，不过英亚的包装要垃圾了，就是一个纸板裹起来而已，虽然商品完好，但是整个包装都蒙上了一层土，完全没有日亚美亚的包装用心，商品五分，包装零分</t>
  </si>
  <si>
    <t>谨慎购买 亚马逊的服务很棒 寄来的蛋白粉包装漏了 客服小姐姐马上给我退款了 非常感谢🙏 要买的朋友们 这款可能生产日期是18年的 然后寄过来之后很可能会漏粉 大家谨慎购买</t>
  </si>
  <si>
    <t>方便好用 厚重做工好 性价比高 发过来的确保护措施等同于没有，但是幸好没有啥明显的划痕。到了上海以后都是顺丰配送点个赞👍 机器很好用，妈妈说也想买一个 后面可以自己给孩子做面条了 放心！</t>
  </si>
  <si>
    <t>牛仔裤 品质确实不错，式样也好</t>
  </si>
  <si>
    <t>嗯 尺码正，面料柔软，颜色无偏差</t>
  </si>
  <si>
    <t>很好的笔，解毒良方，推荐！ 笔很正，高大上，非常顺滑，很好很好写。我的是M尖，笔尖太大了点，快赶上美工笔了，签名练字F尖足够。</t>
  </si>
  <si>
    <t>就是邮费贵点 平均下来也还行，一瓶不到二十块钱，味道孩子很喜欢，瓶盖设计的也很有特点，儿子现在特别喜欢刷牙了</t>
  </si>
  <si>
    <t>很合身 衣服不错，很合身。</t>
  </si>
  <si>
    <t>超值，就是 好，误差6秒，460快，值误差根据教程，半个多月，在三秒之内，有时候甚至准时，就是这么牛逼，是黄陀背透怎么看不到机芯的运转，</t>
  </si>
  <si>
    <t>3T存储用机械硬盘 识别为日立品牌，白标库存盘，作为数据存储备份使用性价比超值。</t>
  </si>
  <si>
    <t>鞋子不错 平时穿41码的，这个鞋子正好。</t>
  </si>
  <si>
    <t>尺码奇怪 同样的裤子分别买了砂砾色和海军蓝，结果两条裤子居然不一样大，海军蓝的裤型很正，是标准的slimfit。</t>
  </si>
  <si>
    <t>舒适 172 65  s码</t>
  </si>
  <si>
    <t>挺好的， 不是完全软的，罩杯还是有点形状的，70c穿m 的正好，还是很舒服的。到货非常快，一个星期就到了。</t>
  </si>
  <si>
    <t>外观很不错 音质待煲机，物流很高效，一周就送到了，五星好评！</t>
  </si>
  <si>
    <t>味道好，就像软糖一样 味道好，就像软糖一样</t>
  </si>
  <si>
    <t>175cm，85kg，中号。 175，85kg，中号，正好。非常好，再买一件。</t>
  </si>
  <si>
    <t>更换简单 价格便宜，更换简单，换完刷的又很干净了。</t>
  </si>
  <si>
    <t>是正品 保温杯质量好！大品牌值得信赖。</t>
  </si>
  <si>
    <t>philips钻石刷头 清关快，这一次价格不错，w2在老款的hx9332上能用</t>
  </si>
  <si>
    <t>盆骨带 这个确实在日亚买是最划算的。我没看过天猫的质量，但是看过朋友的，一样的。速度也很快。</t>
  </si>
  <si>
    <t>蓝色色差 面料比较硬，蓝色和图片的色差有点大。</t>
  </si>
  <si>
    <t>穿了1个星期，然后就起球了！ 穿了1个星期，然后就起球了！ 大小合适，板式很漂亮，刚穿上感觉超值，但是用了几天就起球了，觉得也就这样吧</t>
  </si>
  <si>
    <t>太大了！！！ 185cm/88kg，买的L，感觉是3XL~4XL，太大了。。。</t>
  </si>
  <si>
    <t>辣鸡 辣鸡，掉毛，掉很多的毛，感觉地摊货</t>
  </si>
  <si>
    <t>很一般 低频弱的一批，只能练琴用，听歌根本用不了</t>
  </si>
  <si>
    <t>尺码 身高183体重220买的Xl号码！开始穿的时候有点紧穿一天开始松快点了、这个天气还行、如果气温高的夏天再买大一码可能更舒服！可能是纯棉的原因！有点修身！ 质量还行、跟以前穿阿迪耐克的Ｔ恤厚度差不多、感觉！</t>
  </si>
  <si>
    <t>不方便 宝宝很喜欢 但是老咬铃铛。不是很方便</t>
  </si>
  <si>
    <t>还算满意 速度一般稳定在50-60M/s 还将就 容量差不多是0.93倍的样子 算是正常 体积比预想的要小点 还不错</t>
  </si>
  <si>
    <t>不卷腰夹屁 很厚实，冬天穿可以，不紧绷不卷腰，有点夹屁</t>
  </si>
  <si>
    <t>包装太简单 下单后看到某东同型号国行秒杀价999，实际收到货用了9天，到货包装太简单了，一点减震防护都没有，东西还行吧。可以正常使用，实际容量3.6T多</t>
  </si>
  <si>
    <t>舒服 面料舒服轻薄，适合南方穿着。</t>
  </si>
  <si>
    <t>很舒适的小内！ 日本制造，全棉高腰裤，我166CM身高，70CM腰围和92CM臀围，买了L码，非常舒适透气，喜欢穿高腰的推荐购买。</t>
  </si>
  <si>
    <t>无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</si>
  <si>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效果好 价格更好 效果特别好 比国内的all in one好不止2个档次以上，国内的洗涤块 用完以后 会有一股怪怪的气味 残留在碗碟上。这个版本 完全没有，不做比较完全体会不到。贵也买进口版本 7 个人发现此评论有用</t>
  </si>
  <si>
    <t>好吃的软糖。 好吃，有营养。满意。</t>
  </si>
  <si>
    <t>愉快的一次购物 愉快的一次购物，第一次用亚马逊，感觉很好。</t>
  </si>
  <si>
    <t>好用 很好用 买了几个</t>
  </si>
  <si>
    <t>很好的钢笔 性价比很高！不错!书写流畅</t>
  </si>
  <si>
    <t>推荐购买 杯子特别好，保温效果超强、值得推荐，价格也很美丽，比天猫官网便宜</t>
  </si>
  <si>
    <t>很棒 音质很好，值得拥有。</t>
  </si>
  <si>
    <t>款式与10061区别不大，没必要只认10061 国内42码，26厘米，买的8.5.我脚面高，不能买小，靴子选大不选小。且记。</t>
  </si>
  <si>
    <t>还可以吧 还不错吧，感觉一般般，因为是直筒，裤腿的确挺肥的</t>
  </si>
  <si>
    <t>便宜好用 体型小巧轻便</t>
  </si>
  <si>
    <t>偏大 好看 奇怪 我平时穿39 这个8.5的大了</t>
  </si>
  <si>
    <t>非常好 非常好</t>
  </si>
  <si>
    <t>超爱 喜欢!遗憾的是刚买完就降价</t>
  </si>
  <si>
    <t>尺码 尺码不好选择，太小了</t>
  </si>
  <si>
    <t>速度不错 美亚发送很快，价格很划算，实测速度大约160M/S，还不错的</t>
  </si>
  <si>
    <t>有型 舒适。适合户外活动远足。价格非常美好。</t>
  </si>
  <si>
    <t>好用 水压增大，喷在身上舒服，没等新房装修先迫不及待用上喷嘴了</t>
  </si>
  <si>
    <t>一直吃这个牌子的，对老人有作用 一直吃这个牌子的，对老人有作用</t>
  </si>
  <si>
    <t>正品 价格比国内便宜 价格比国内便宜啊 外观好看 五天左右到货</t>
  </si>
  <si>
    <t>性价比很高 价格很优惠～大小合适～</t>
  </si>
  <si>
    <t>对刚开始自己吃饭的小宝宝适合 这个手柄造型适合刚开始学习自己拿勺子的小宝宝，再大点就觉得柄小了。而且放在碗里、盘子里就只能整个勺子全躺下，因为手柄太重放不稳，经常掉到桌子上和地上。大点的宝宝不推荐了。 另外，用了2个月后，手柄上有图案的一面塑料整个都掉了，只剩下蓝色的柄，表面斑驳。</t>
  </si>
  <si>
    <t>不太透气 瘦长，有些夹脚，不懂这个牌子的码数，原来买过一双一样码的小的不能穿。ecco等其他牌子就无问题</t>
  </si>
  <si>
    <t>没吊牌，偏大 袖子真的特别长，不知道咋处理。 还有衣服连个吊牌都没有……醉了</t>
  </si>
  <si>
    <t>非常非常差劲的购物体验 terribel shppping 面料很扎人 又很薄  颜色不正尺码不准 very uncomfortable to wear</t>
  </si>
  <si>
    <t>垃圾 为什么是旧的，明显是穿过的。</t>
  </si>
  <si>
    <t>还可以 有一个盖子被打开了。还有运费我买4天后就可以免运费了。。。。</t>
  </si>
  <si>
    <t>大小尺码 鞋子的底儿不是一体的，是分开的。 实物上脚不是很美丽，但是穿着挺舒服的。</t>
  </si>
  <si>
    <t>容易有划痕，保温还不错 杯子很保温，单手操作很方便，也不怕漏水，但是容易有刮痕，放汽车的杯托里，用了几次就有很明显的划痕了，这种图涂层太不牢固</t>
  </si>
  <si>
    <t>没有包装，质量尚可。 为什么没有包装呢？是正品，买过的，一样。</t>
  </si>
  <si>
    <t>1699入手，还算比较满意 1699秒杀的i版黑色，帝都送货超快。耳机质量没什么大问题，就是耳套部分感觉很皱，可能是材料本身的问题吧。音质没煲开，不过个人感觉白开水是褒义词，吃馒头也是嚼久了就会甜的。</t>
  </si>
  <si>
    <t>全家实惠 不错，帮同学买的，第二次买了，很好用，比代购还便宜，用完了会继续买。</t>
  </si>
  <si>
    <t>不错 178厘米，90KG，穿L码，正好，很薄，不错，但料子一般。</t>
  </si>
  <si>
    <t>没有配件问题。 买之前看了评论都不太敢买，由于自己相信日本产品的质量后来还是买了，到家装上没有评论里说的那样零件买不到的问题，就是软管短了点，去楼下五金店买了师傅开的五金配件，装上就能用了，非常好！</t>
  </si>
  <si>
    <t>号码不好分 购买衣服太大了</t>
  </si>
  <si>
    <t>鞋子不错 鞋子大小合适，看评论买的。</t>
  </si>
  <si>
    <t>非常完美 169身高，110体重，女朋友穿的非常完美，国内专柜549，这里价格一半还便宜，非常好</t>
  </si>
  <si>
    <t>日版的做工不错 日版的性价比非常高，买之前仔细看了评价，故意买大了一号，177cm，65kg穿L非常合适。 物流也比想象中快得多。</t>
  </si>
  <si>
    <t>卡西欧5610 不错，这是我想要的卡西欧手表，我喜欢</t>
  </si>
  <si>
    <t>物有所值 纠结很久，多方比较之后（包括JBL305）之后入了这对，毕竟便宜了接近1k。很多人遇到的底噪干扰问题，我已经基本解决，总的来说可以使用有平衡输出功能的解码器，屏蔽底线，远离2.4G设备，改造解码器USB线，具体方法可以参照我在张大妈的晒单</t>
  </si>
  <si>
    <t>很好用 很好用的， LaCie 莱斯的东西好用</t>
  </si>
  <si>
    <t>颜值高价格美很实用 厨师机颜值高，价格也优美，下单后三天发货，一周收到，透明的搅拌碗很实用，能更直接的看到食物的状态，用厨师机做了和面，打蛋清，拌肉馅，表现都很好，工作声音也能接受，不过没有中文说明书，需要自己摸索熟悉</t>
  </si>
  <si>
    <t>水壶 水壶不错就是容量是1.2L的</t>
  </si>
  <si>
    <t>很好 穿着很舒服，胸型好看。</t>
  </si>
  <si>
    <t>很好 很好的产品，需要放冰箱保存，且最好不要让嘴碰到，以免有口水进去产生细菌。</t>
  </si>
  <si>
    <t>非常满意的一次购物 非常不错，做工很好，价格合适，柔软度不错，穿着舒适，177，77kg，合适。不大不小，里面穿T恤或者衫都可以。</t>
  </si>
  <si>
    <t>性价比高 很舒服，有支撑而且感觉特紧！</t>
  </si>
  <si>
    <t>质地不是特别软 衣服色彩有点偏暗的感觉</t>
  </si>
  <si>
    <t>码数 四十一码运动鞋穿着四十一码有那么一丝丝的大买9应该差不多了，不过没有原装鞋盒，好像国外买东西都是这样？</t>
  </si>
  <si>
    <t>质量好！ 质量不错！</t>
  </si>
  <si>
    <t>偏大，便厚 外观一般，偏大，对于夏天穿得衣服来说显然偏厚了，穿着嫌热，适合体型肥胖的大妈大叔穿</t>
  </si>
  <si>
    <t>棉质好 长短差不多，1米72，但腰身有点大，不过有松紧带</t>
  </si>
  <si>
    <t>不错的一只表 很好的手表，只要看中了这款表电波对时的方便，外加表的外观还是比较满意的。一次愉快的购物体验。</t>
  </si>
  <si>
    <t>小破包 包太小，和图片差太多，快递差评，慢的要死。</t>
  </si>
  <si>
    <t>货不对题 货物标题写的是MQ785，发过来的却是MQ745，晕</t>
  </si>
  <si>
    <t>一般般 看到网友评论的主控问题，本来想退货的，不过速度方面还凑合，就是这塑料壳太磕碜，连水口都有。</t>
  </si>
  <si>
    <t>比正常大一号， 本人41脚，买的us9，大一号，42脚正好穿，只穿过一次，想要的可以联系我，低价出售</t>
  </si>
  <si>
    <t>刷头质量差 很不好用，刷毛非常不牢固，总是刷着刷着嘴里就有几根塑料刷毛。体验太差了</t>
  </si>
  <si>
    <t>机子坏了 插上电完全没有反应啊 机子坏了吗</t>
  </si>
  <si>
    <t>磨腿 鞋码合适，上脚也舒服，唯一缺点就是鞋口锋线的地方磨腿</t>
  </si>
  <si>
    <t>CITIZEN 手表感觉质量不错，款式我挺喜欢，基本一致。就是表带有点硬，整体包装一般，简单实用！时间准不准，得看看再说咯。</t>
  </si>
  <si>
    <t>性价比高 买了两条，整体感觉都很好。有弹性。唯一的遗憾就是radical色的裤脚比maverick色的裤脚要大</t>
  </si>
  <si>
    <t>靠谱 东西挺好的，用过了觉得不错👍</t>
  </si>
  <si>
    <t>太大了，衣服还可以，没法退。 衣服价格还算是美丽的，就是太大了，没法穿，我175CM，70KG，选的M号，实际感觉S号就够了。</t>
  </si>
  <si>
    <t>不错，英亚过来速度很快 不错，英亚过来速度很快，原厂的，就是双包装的里面打开只有一个刀头，客服及时解决了，服务不错</t>
  </si>
  <si>
    <t>喜欢 用了很久了，质量好！</t>
  </si>
  <si>
    <t>舒服 一直买这个牌子，给妈妈买的，舒服</t>
  </si>
  <si>
    <t>很值 挺不错，很满意，便宜一半。</t>
  </si>
  <si>
    <t>终于到手了 其实下单650之前，本来是想买prw3500的，因为它有六局电波 但是，颜值650更好，所以，买呗，到手时间快了一个小时，估计应该是传说中的夏令时。 一如既往的去官网下了说明书，慢慢调试，总得来说，功能很多，手感不错，性价比高。 最后，若若的问下，在哪里看这次关税收了多少？</t>
  </si>
  <si>
    <t>ecco牌鞋子还是不错的。 挺好，鞋穿着舒适，轻便。</t>
  </si>
  <si>
    <t>穿着舒适 有莱卡，面料有弹性，穿着舒服，比较厚，适合秋冬天，腰部有舒适的松紧设计，172，78穿W33L30刚好。</t>
  </si>
  <si>
    <t>布料较硬 173体重70kg选M，下摆略长、袖口略长。布料较硬。总体上可以接受</t>
  </si>
  <si>
    <t>又轻又漂亮 海外购太方便了，价格也划算，又轻又漂亮，送闺蜜的礼物</t>
  </si>
  <si>
    <t>质量不错，速度每秒70M 质量不错，速度70M每秒。推</t>
  </si>
  <si>
    <t>很不错 39码比较标准的脚 一般买鞋买内长24.5cm的没怎么出过错，这次选的uk5.5/us8/eur38.5/24.5cm非常合适。如图可以穿肉色超厚袜子后  还比较宽松。鞋头部分皮的确容易皱，个人感觉无所谓。总体来说很棒，增高，显脚秀气，并且冬天也百搭。关于开胶之类的问题 还有待验证。到手价格含税290多点</t>
  </si>
  <si>
    <t>合适 尺码合适，便宜，三件才108元。</t>
  </si>
  <si>
    <t>值得购买 外观好看，质量杠杠的！德国制造，令人信赖！</t>
  </si>
  <si>
    <t>非常好 非常好，德国的，到北京六天时间，非常不错</t>
  </si>
  <si>
    <t>酷黑不错 最近迷上高个子皮鞋，连入三双，同样标号255的尺寸，添柏岚最大，北面其次，马丁正好。这双是皮质覆膜，不知道是否耐穿，酷黑外观不错。不知道如何保养。因为是全黑，外观上要比棕色的皮鞋显小。我是标准的250脚，一直喜欢穿大半码的鞋子。40脚一直喜欢买41，所以这双UK7US8的马丁大小正好。</t>
  </si>
  <si>
    <t>好 真的很好，国内这价格一条都买不到</t>
  </si>
  <si>
    <t>性价比高 买来办公用，用起来很舒适，书写感觉顺滑，非常不错</t>
  </si>
  <si>
    <t>质量好 质量还行，物超所值。</t>
  </si>
  <si>
    <t>最大的特点就是舒服！ 非常不错的凉鞋，免费Prime会员300不到入手，免运费，超值无比！亚马逊物流非常快，一个多星期就到了。码数很准，平时穿40码的皮鞋，凉鞋也选了40码，当然大一码估计问题也不大（价格相差就大了，哈哈）。产地印尼，做工和皮质都不错，尤其是鞋底很结实，不滑！虽然有些线头什么的，整体质量很好。穿上去感觉是穿过的最舒适的凉鞋，鞋底跟脚掌接触层比较软，有弹性，而鞋底是柔韧的橡胶底，对脚的支撑作用很好，上面的皮质鞋身对脚的包裹性也非常好，跟脚接触的部分都有缓冲材料包裹。总结一句话：这鞋最大的特点就是舒服！</t>
  </si>
  <si>
    <t>160cm，122斤，70的可以穿上 剖腹产后20天左右穿的，160cm，122斤，臀围99，腹围85，70的可以穿上，站着不嘞，坐着吃饭的时候有点紧，不太舒服。供参考。</t>
  </si>
  <si>
    <t>尺寸很准，版型也好 穿着比较舒服，不错。有弹性</t>
  </si>
  <si>
    <t>掉色/偏大 超级超级大 比我L码的厚外套都大一圈 浸泡了三次还掉色</t>
  </si>
  <si>
    <t>小了 没有描述的尺寸那么大，太小了，质量倒是不错，面料也是也是轻盈有质感的。</t>
  </si>
  <si>
    <t>漆面有水波纹，不够完美。 包装捡漏，笔身漆面仔细看有水波纹。对照网上真假辨别，都符合。姑且认为是品控问题吧。EF尖适合写汉字，出水量控制较好。黑色笔尖好看。</t>
  </si>
  <si>
    <t>用了不到半年就坏了，客服说不保修，还态度特别差，找她他就不理了 充电盒充电问题，老是充一会就停，之前充了1星期居然都没充满。用了不到半年就坏了。客服说不保修，还态度特别差，再找她他就不理了，亚马逊也没有投诉功能，真的是霸王条款，特别恶心，半星都不想给</t>
  </si>
  <si>
    <t>失望的亚马逊自营海外购 此鞋鞋口设计严重反人类，根据尺码选购常穿41码，到货后试穿，鞋口尺寸太小快把脚弯折了也没穿上，考虑到勉强的话 要么鞋子坏掉，要么脚坏掉，客服电话退货。结果客服告知我海外购自行寄回美国。。。经过几次沟通最后寄回 退款给我200多块！鞋子原价还400多 ，一共600多的东西，亚马逊怎么解释</t>
  </si>
  <si>
    <t>不保温 坏了？？？买了坏的？？？不保温！！！！！</t>
  </si>
  <si>
    <t>保温效果不是很好 保温效果不是很好，小家伙很喜欢</t>
  </si>
  <si>
    <t>有型 还不错</t>
  </si>
  <si>
    <t>整体感觉不错 整体感觉不错，买了34的比想象的要宽，不知道是什么皮，皮带上印着真皮字样，但是有点硬，双面使用很高端。</t>
  </si>
  <si>
    <t>穿着舒服 老妈说穿着很舒服，就是有点小。</t>
  </si>
  <si>
    <t>Weekender 很不错，就是走起来声音大，造型帅</t>
  </si>
  <si>
    <t>就是条裤子 就是条裤子，基本款，100元，值了。</t>
  </si>
  <si>
    <t>还不错吧！ 质量没问题，很不错，就是包装比较简陋！！</t>
  </si>
  <si>
    <t>不错 很实用的吸盘碗，经常用</t>
  </si>
  <si>
    <t>好用的宝贝 宝贝很好用，就是需要配一个转换器才能用，超级好用的宝贝，还有就是没有榨汁的工具，希望给配上就更完美了</t>
  </si>
  <si>
    <t>实惠 做工不错</t>
  </si>
  <si>
    <t>非常好，性价比高 性价比高，非常喜欢</t>
  </si>
  <si>
    <t>偏瘦 应该说鞋的质量很好！只是鞋号偏小，偏瘦。</t>
  </si>
  <si>
    <t>肩膀很魁梧 之前在美国航空博物馆里看到，没号了 ，回来发现亚马逊有就买了，这衣服偏大，肩膀很魁梧</t>
  </si>
  <si>
    <t>肥瘦合适，但略微有点短 肥瘦合适，但略微有点短</t>
  </si>
  <si>
    <t>很漂亮的大花洒 大爱汉斯格雅的花洒，质量好做工精致。亚马逊的价格非常实惠，物流速度也很快，这个配斯宝亚创的电热水器很合适。但是装修房子自己动手装上去。</t>
  </si>
  <si>
    <t>很好的睡袋！ 很好的睡袋！透气很好用！比国内山寨的软！</t>
  </si>
  <si>
    <t>十足的好耳机🎧 声场开阔，低音下潜深，中频浑厚。天鹅绒佩戴舒适，贴合度好。性价比高。推荐！</t>
  </si>
  <si>
    <t>质量非常好 质量非常好，样子大气，非常好的一次购物体验</t>
  </si>
  <si>
    <t>物有所值 适合移动端的阻抗，均衡的三频率，殷实的用料。</t>
  </si>
  <si>
    <t>大K 东西很精致，性价比高，虽然和某一万多的锅比较没有程序指导，但确一点不影响使用。第一天，就用的很熟悉了。另外和面非常赞，非常满意</t>
  </si>
  <si>
    <t>杯子保温效果好 杯子保温效果好，黒漆容易磕碰后露白，略大。</t>
  </si>
  <si>
    <t>推荐购买！ 合适，质量好，价格实惠！</t>
  </si>
  <si>
    <t>传输速度挺快！ 产品不错，就是外观不那么理想</t>
  </si>
  <si>
    <t>内衣 这款内衣非常合适 舒服 尺码也正好。颜色也漂亮，是正品。快递也很给力。。。。。</t>
  </si>
  <si>
    <t>非常不错 物流很快一周左右就可以到，而且包装完好。和店里卖的一样上脚很舒服。非常完美的一次购物。</t>
  </si>
  <si>
    <t>漂亮 正品，合适，舒服。</t>
  </si>
  <si>
    <t>裤子的形状不错。 穿着稍微有一点点大大。裤子的形状不错。</t>
  </si>
  <si>
    <t>不是毛衣 这不是毛衣，是长袖体恤。</t>
  </si>
  <si>
    <t>不建议购买 生平第一次穿这么硬的裤子，戳死人啦，舒适感特差！不建议购买</t>
  </si>
  <si>
    <t>鞋子材质一般 一星给价格 一星给舒适度 一星给试用会员的速度 两只鞋的皮子材质不太相同 一只还比较正常 另一只寄来的时候就有褶皱 穿了两天鞋子已经褶皱的不像样子 只能说 这个价格必定有这个价格的原因 瘦脚买合适的尺码就好 不用偏大一码</t>
  </si>
  <si>
    <t>最差的服务最差的店 史上遇到最差的服务，退货退款一个多月了音信全无，售后当摆设永远在排队，废品当新品发，收到货就不能使用，插上电脑就报警，第一次海外购就受这气啊，谁买谁知道，谁买谁后悔，打款容易，维权之路艰辛，要继续举报投诉……举报投诉……</t>
  </si>
  <si>
    <t>做工质量差 裤子做工质量问题多，裤兜的用料和缝纫太差，没穿几次就破了。太失望😞，不值这个价钱</t>
  </si>
  <si>
    <t>别买反绒鞋 不推荐海淘买，鞋子打开后至少三处以上磨损，而且都在最明显的位置，桑心</t>
  </si>
  <si>
    <t>不错！ 还是比较满意的！性价比很好的。现在每天早上都穿。颜色很喜欢！</t>
  </si>
  <si>
    <t>冠军 160，55kg，穿起来很合适。里面还加绒了的。总体不错。</t>
  </si>
  <si>
    <t>有点偏大 裤子有点儿偏大，到也不是大很多，就是觉得合身的话就缺那么点儿意思。178cm/75kg</t>
  </si>
  <si>
    <t>正品 送货快 日本原装</t>
  </si>
  <si>
    <t>功能设计很好，亚马逊的服务也好 人恒过，然后能改。亚马逊还是值得信任的好商家</t>
  </si>
  <si>
    <t>建议增加客服 皮带应该是真的，质量很好。上次买了一条36的，太短，这次买42的，又太长。打了四个眼。建议亚马逊能够增加客服，在客户下单时对客户给予很好的咨询，这样更好。</t>
  </si>
  <si>
    <t>不错值得购买 167/58这个码合适，给大家一个参考。质量这个价格很可以了</t>
  </si>
  <si>
    <t>品质很棒 舒适、弹性好、耐穿！</t>
  </si>
  <si>
    <t>挤牙膏的方式很吸引孩子 这个牙膏的包装设计很有意思，引起了孩子很大的兴趣。刷牙也可以很有乐趣。</t>
  </si>
  <si>
    <t>漂亮的笔杆 笔的颜色非常漂亮，不过没有吸墨器，只有一次性笔芯，没看清楚，有点遗憾</t>
  </si>
  <si>
    <t>大小合适，质量还可以，贵了点 大小合适，质量还可以，贵了点</t>
  </si>
  <si>
    <t>质量还是顶呱呱 质量还是顶呱呱的，就是我的身材与之不配套</t>
  </si>
  <si>
    <t>便宜 99元买的，尺码版式都好。但是一个月后裤脚露个洞。</t>
  </si>
  <si>
    <t>外观漂亮、清洁简单 原装进口电饭煲，自配变压器。目前采用三种方式煮饭。功率大，煮饭好吃。感觉煮出来比以前国产电饭煲量少。</t>
  </si>
  <si>
    <t>非常好 非常喜欢，做工精良。</t>
  </si>
  <si>
    <t>满意 面料有档次，做工精细，尺码标准。</t>
  </si>
  <si>
    <t>性价比高 声音很小几乎察觉不到。下单从威斯康辛发货大概一周时间送到。usb2.0接口下读写速度20多MB/s</t>
  </si>
  <si>
    <t>物美价廉 鞋子很好，很舒服，亚马逊服务值得国内其他电商学习，比专卖店便宜很多，，买了好几双Ecco鞋子了，很好，除了定价偏高以外，没什么缺点，本人亚瑟士，nike ad 鞋子都穿8D（us），尺码可以参考一下</t>
  </si>
  <si>
    <t>西铁城26E 非常不错，和我想象中的一样儿，直邮很快，五天到手，神速啊</t>
  </si>
  <si>
    <t>牛仔裤 裤子很不错，型号合适！</t>
  </si>
  <si>
    <t>终于到地铁站了 脚长290，平时穿nike45码，这次买12码，刚刚好，不挤脚，仅供参考</t>
  </si>
  <si>
    <t>ECCO穿着舒适，没有之一 ECCO的鞋穿着比较舒适，这款在亚马逊不是经常有货，给麻麻买的这双，穿起来很舒服，价钱比国内专柜划算的多。</t>
  </si>
  <si>
    <t>东西不错 很轻，价格合适</t>
  </si>
  <si>
    <t>速度快，很好 很快，不知道效果怎么样。之前吃的GNC的那个vioprex感觉效果不明显，这次换这个试试，膝盖打球总疼</t>
  </si>
  <si>
    <t>非常拉风 非常满意，很精神，人也显得魁梧，穿上去很暖和，大小还行，低腰。胳膊显得太粗了，照片上看不太出来。本人175cm,70kg,M号，供大家参考。之前一直在S号和M号之间拿不定主意，现在看来M号也很合适，如果想修身一点也许可以考虑S号。</t>
  </si>
  <si>
    <t>除了烧水时间长了一点，其他还不错 除了烧水时间长了一点，其他还不错</t>
  </si>
  <si>
    <t>不推荐 不推荐，是那种牛津布质地，穿上后全身痒，丢在一边了</t>
  </si>
  <si>
    <t>。。。 快递确实挺快的。就是鞋子有些毛病，鞋子里面有很多线头，刚开箱就有点脏(应该会掉色)。欧美人的脚确实比我们的窄。</t>
  </si>
  <si>
    <t>盖子不牢 餐盒盖子居然盖不牢，会弹开</t>
  </si>
  <si>
    <t>笔太粗 太粗了</t>
  </si>
  <si>
    <t>根本一颗星都不想给！ 太大了！根本没法穿啊！退货邮费居然比裤子本身还贵！什么玩意儿啊！！！！！！有哪位大神能告诉我怎么投诉亚马逊海外购吗？</t>
  </si>
  <si>
    <t>还不错 颜色米白，不是很亮的那种。胸围88买的l码刚好。</t>
  </si>
  <si>
    <t>很好！历史低价，很划算！ 历时2周德亚到手，历史低价。这个应该是低配版本的清洁系统，就是不带流程显示的那个版本。外包装很简陋，送到的时候盒子都摔瘪了，还好里面东西应该没有问题。机器在旅行包里面装着的，和以前的包装不一样，打开找了半天机器在哪里……刀头无保护罩，只送了一个清洁剂，国内版本的好像是送3个清洁剂？ 更新一下，晚上仔细检查机器，发现液晶面板的里面居然有一个指纹印？？？？？？？？？EXCUSE ME？？？？？？？荷兰制造这么渣？？？ 打电话给客服，退换货太麻烦了，算了就这样吧</t>
  </si>
  <si>
    <t>有点小 我本人穿42码的，这对鞋子穿起来有点迫脚，走路时候有点不舒服，是鞋子有点窄，原来想退，但是怕麻烦就算了，应该穿着会舒服点，所以穿着，这个价是便宜，但是运输费贵点。没有预期中那么好看鞋头不尖不扁。没有特色。皮质不错👍十分满意质量</t>
  </si>
  <si>
    <t>还可以吧 味道还可以，应该是正品。多少还是有点儿辣舌头</t>
  </si>
  <si>
    <t>值得购买 值得购买！大小正好！</t>
  </si>
  <si>
    <t>质量不错 身高175cm，体重73kg，买的33*32，美版穿着偏肥偏长，小一号会合身。</t>
  </si>
  <si>
    <t>刷头实惠 表示很实惠很满意刷的很干净</t>
  </si>
  <si>
    <t>满意 比预计送达时间提前8天收到，东西很还，只是感觉包装单薄了点。整体很满意，亚马逊很可靠！</t>
  </si>
  <si>
    <t>非常好用 打开包装就觉得非常精致，确实比别的牌子要好，用起来非常舒服。量大的没有OB大，但平常用足够了。</t>
  </si>
  <si>
    <t>刚上脚很硬 第一次在亚马逊购物很愉快 鞋子和想象中的差不多 希望大底耐磨</t>
  </si>
  <si>
    <t>马丁大夫 还行，这鞋在这个价位算不错了</t>
  </si>
  <si>
    <t>好用 第二次购买，好用，还没用上</t>
  </si>
  <si>
    <t>很超值的耳塞 听了很多动铁，动圈的耳塞，第一次听这个品牌，能在这个价位有这样的音质，很超值了，不比千元的耳塞差。</t>
  </si>
  <si>
    <t>性价比很高的保温壶，小孩子用不错 让我去买保温瓶，性价比很高就是下单到收货是个漫长的过程。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</si>
  <si>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挺不错的一款硬盘 HUB还是很方便的，电源适配器比我想象的大了不少，像我这种放在床上的可能不太方便，优点是速度可以，散热良好连续写入将近1TB文件基本无发热，噪声就是读取硬盘的时候有一点，之后就没有了，整体来说很安静('･ω･`)，缺点吧就是不好带，断电无法使用，外壳材质有带提高，感觉塑料感过强，还有推荐加一个开关。工作时的小灯挺好看的。整体来说，外观可以，外壳材质有待提升，性能很不错，物有所值(｡･ω･｡)ﾉ</t>
  </si>
  <si>
    <t>很好用的水壶 之前在实体店买过一个，孩子用了三年，摔摔打打的还是很结实的，这回这个希望能用的更久(o^^o)</t>
  </si>
  <si>
    <t>海淘中国制造 还可以吧，没想到还是中国制造</t>
  </si>
  <si>
    <t>性价比高 收到了，速度好快，东西正品，没毛病</t>
  </si>
  <si>
    <t>价格比国内便宜30左右吧 本以为海外购能买到原装进口的，没想到收到货是made in china</t>
  </si>
  <si>
    <t>通过看评论选了个个完美的尺码 本人184，68kg，没有肚子。通过看评论选的中号M，尺寸完美，肩宽正好，身上宽松。此料子属于偏厚一点的速干料，质感不错。完美</t>
  </si>
  <si>
    <t>轻薄透气 透气轻薄,穿戴舒适.方便洗涤.</t>
  </si>
  <si>
    <t>非常好的压缩衣 非常棒的压缩衣，第一次买，第一次穿，大大超过预期。尤其是透气性不错，没有闷汗的感觉。</t>
  </si>
  <si>
    <t>改NTFS格式！！！非常重要！！！ exFat会异响，而且容易翻车！！！之前拿到手忘了格式化，写入文件就是在敲键盘，而且温度能飙到60+，弗了</t>
  </si>
  <si>
    <t>纯棉，感觉很舒服 腰有点肥，下次买得买瘦一号的，裤长合适，我173厘米，72公斤，腰围85厘米</t>
  </si>
  <si>
    <t>舒服 穿起来很舒服~~也很帅气~~价格超级便宜~~~</t>
  </si>
  <si>
    <t>质量不错 比较轻薄，适合冬天穿在羽绒服里面</t>
  </si>
  <si>
    <t>无法开机，退货中 收到的是坏的，无法开机（已充电），退货中</t>
  </si>
  <si>
    <t>面料可以，做工略差 面料还行，挺厚实，但是做工真是一言难尽，水准还不如国内的普通品牌，裤脚都缝拧了，另外不是修身款</t>
  </si>
  <si>
    <t>鞋面缝线开线 在穿着3天后，鞋头，脚趾关节弯折处，鞋面的缝线开线，发毛。</t>
  </si>
  <si>
    <t>亚马逊也有假货吗 刚收到货，这盖子上面的锅钮磨损严重，不是新的。貌似用了很久。</t>
  </si>
  <si>
    <t>小小小 这件估计是童装吧，我103斤的小个子居然穿不了，布料粗糙又厚，要不是退运运费太贵，真是无力吐槽，亚马逊买东西真是靠运气</t>
  </si>
  <si>
    <t>不会再回购 有点效果吧，但毕竟不是药品。买了两次，后面不会再回购。</t>
  </si>
  <si>
    <t>合身，还可以 身高180，75公斤，海淘万年m号。衣服还可以，就是有点沾灰，在家当家居服还不错，出去穿也不是不行。</t>
  </si>
  <si>
    <t>173/77选择33/30 说实话，在亚马逊上买裤子，很难可以遇到合适的！这次算一次相对满意的。 173身高，77体重，33/30基本合适，面料和款型也符合预期，供参考。</t>
  </si>
  <si>
    <t>买来送给老婆的 之前已购一款黑色的，老婆经常用我的保温杯，只好再买一个，哈哈。。。</t>
  </si>
  <si>
    <t>超厚实的小汤锅 很幸运，锅安全到达了，唯一的不完美就是手把处的釉有裂纹。很满意！</t>
  </si>
  <si>
    <t>很好很合适 料子比较厚，时候冬天穿着，我身高187cm，体重100公斤，穿42/34的还行，腰稍微胖了点，裤子也长了，如果是42/32的我怕会短。如果是40/34的，我怕腿部会瘦，我喜欢穿宽松一点的衣服。</t>
  </si>
  <si>
    <t>好东西 很精致，性价比很高，推荐一下～</t>
  </si>
  <si>
    <t>鞋子有点大 鞋子有点大，之前都买这个号，这次大了</t>
  </si>
  <si>
    <t>棒！ 超级合适，版型超棒！</t>
  </si>
  <si>
    <t>完美 所谓完美就是已最低的价格买入心仪的商品，并且使用时没有失望，物超所值</t>
  </si>
  <si>
    <t>很棒 非常棒，和国产的不锈钢完全不一样，价格也超值！</t>
  </si>
  <si>
    <t>一次满意的购物 很合身，很舒适，价格非常好！</t>
  </si>
  <si>
    <t>厚实轻便，希望雪天鞋底不滑。 适合冬天穿，鞋码准确。</t>
  </si>
  <si>
    <t>很好吃 宝宝很喜欢吃，口味不错</t>
  </si>
  <si>
    <t>锅是好锅 包装不好，到货锅边就变形了一点，路过不太影响使用，亚马逊给了20%补偿，比退货方便多了！</t>
  </si>
  <si>
    <t>实用性 好看，简洁大方</t>
  </si>
  <si>
    <t>亚马逊 己经吃了三瓶了，有用，会坚持吃的，泌尿方面范的时候有所改变，感谢亚马逊提供这个平台</t>
  </si>
  <si>
    <t>音质很好 推动容易 整体均衡 低音响应强劲有质感 不拖沓 耳罩式 隔音效果良好  物超所值 非常满意</t>
  </si>
  <si>
    <t>推荐 买了几次了 不错 孩子喜欢吃</t>
  </si>
  <si>
    <t>舒服的内衣 挺舒服的而且价格公道</t>
  </si>
  <si>
    <t>第一次买 国外鞋码大。去实体店试过号来买的。脚感无差别觉得。鞋也一样。第一次亚马逊不错的购物</t>
  </si>
  <si>
    <t>还好 还好，穿了就变平胸了嘤嘤嘤，我觉得运动内衣很难脱，今天中午脱了三次才脱下来，感觉内衣下围迟早被扯松呜呜</t>
  </si>
  <si>
    <t>很好的日常休闲帽 帽子有点薄适合放包里备用 价钱有点小贵</t>
  </si>
  <si>
    <t>赞一个 比预计时间提前9天就收到货了，很棒，刚试穿了一下，大小什么的都很合适。应该是正品。</t>
  </si>
  <si>
    <t>很不错的裤子 样式我比较喜欢，整体上穿起来也比较舒服。就是裤料感觉有弹性，这个喜欢与否要看个人的喜好。和我四年前在美帝买的裤子基本上一样的，价格也差不多。老婆说我穿上后看起来显瘦，整体观感较好  几天后追加： 夏天穿有点热，十月底之前广州穿都觉得热。</t>
  </si>
  <si>
    <t>绝对值得再次购买 好穿好看，朴素款，质量也超级好</t>
  </si>
  <si>
    <t>很好 这是我一直回购的东西，基本上是在美亚上买的，这次这个超级便宜，比美亚+转运便宜多了</t>
  </si>
  <si>
    <t>2018.05.30.购买18219137896想要1000块钱可以卖 送了耳机包，耳机32欧都比较声小，其他耳机电脑放最大声都刺耳朵了，但是这个就是不怎么出声，正品应该是正品，英国发货，到佛山8天。我以前用的是创新live2，对比这个听动次打次不如创新耳机，平衡还可以吧。估计声音小，总感觉声音比较远，喜欢动次打次的我并不是很满意</t>
  </si>
  <si>
    <t>超宽型 袖长肩宽合适，腰围大的过分，适合大肚子的人穿着，面料偏硬。我174，78肩宽47胸围110，选的M</t>
  </si>
  <si>
    <t>一般 这个白色不显白，很一般。</t>
  </si>
  <si>
    <t>有待查验 特别短 标签背面没水印 不是正品</t>
  </si>
  <si>
    <t>差 差 差 很不友好的购物体验，12月8日下单，居然到了1月25日送达。亚马逊你的备货能力也太差了。而且购买时也没有明示无货需要等待。太差了！不过货本身质量很不错，大小也合适。</t>
  </si>
  <si>
    <t>还是医院开吧 不建议购买，我们从出生半个月开始吃，42天体检时维d含量远远低于标准，医生说这个属于保健品，滴剂的含量本身就不如胶囊开的准确，加之开封后，逐步氧化，含量会越来越低</t>
  </si>
  <si>
    <t>连裤袜，不是打底裤 是连裤袜，包装很仔细；还是会起球、粘毛的</t>
  </si>
  <si>
    <t>是我有强迫症吗？ 与网上标准北京时间对时后，差不多一天慢了一秒，而且总觉得分针慢了点，走不到位。这感觉好不爽==!</t>
  </si>
  <si>
    <t>可以 鞋子号码偏小，要买大一码</t>
  </si>
  <si>
    <t>差 这也与指导腰围差太远了，这服务太差了</t>
  </si>
  <si>
    <t>偏薄的裤子 个人觉得磨得有点多了，应该就是这个系列的风格</t>
  </si>
  <si>
    <t>很实惠的冲锋衣 性价比很高。颜色也舒服。</t>
  </si>
  <si>
    <t>维d 比预期的早到了，就是大大的盒子里装着颗玲珑心^ _ ^</t>
  </si>
  <si>
    <t>怀旧 很大，翅膀展开，不适合作钥匙扣。</t>
  </si>
  <si>
    <t>宝宝喜欢！ 可么多么奶瓶解决了纯母乳宝宝不爱奶瓶的历史，用这个宝宝还是能练习的吸奶瓶，挺好！</t>
  </si>
  <si>
    <t>轻巧，保温也不错。 轻巧，保温也不错。</t>
  </si>
  <si>
    <t>满分的杯子 自己用了，很好，买来送同学了</t>
  </si>
  <si>
    <t>喜欢 面料舒适，柔软亲肤，比那些国产大牌的打底裤袜好多了，装洗护袋放洗衣机洗没问题，没有变形起球。</t>
  </si>
  <si>
    <t>颜色特别显旧，水洗效果 修身款式，布料很厚实，尺码也很合适，颜色水洗效果显著。</t>
  </si>
  <si>
    <t>不错 很好！</t>
  </si>
  <si>
    <t>钙片 已经开始吃了期待效果。</t>
  </si>
  <si>
    <t>很nice 耳机音质很好 松下大品牌果然不一样 不像一些耳机漏音 这款完全满足了颜值和音质要求给你个like先</t>
  </si>
  <si>
    <t>好用 给家里父亲买的，之前用其他的结果嘴巴给伤着了，换了这款比较好用。</t>
  </si>
  <si>
    <t>不错 不错</t>
  </si>
  <si>
    <t>值得购买 个人觉得价廉物美，值得推荐。</t>
  </si>
  <si>
    <t>牙刷头不错 牙刷头很划算，这款好用</t>
  </si>
  <si>
    <t>很实用 外出使用很方便，实用</t>
  </si>
  <si>
    <t>真心推荐 无论是外观还是读写速度，都非常喜欢；外观上属于非常成熟稳重，霸气侧漏。而在读写速度方面也不错，真心推荐</t>
  </si>
  <si>
    <t>佩戴舒适 比之前的dt440轻了好多，非常舒适，久带不夹头，3米线，德国产。</t>
  </si>
  <si>
    <t>很轻！超级舒服！ 超级舒服，儿子很喜欢！</t>
  </si>
  <si>
    <t>非常值，一直信赖亚马逊自营 外观非常不错，还在煲机中</t>
  </si>
  <si>
    <t>容量很大 不知道是因为8T的原因，而是这个系列都是这样，速度明显比backup plus 5T慢，不过胜在价格便宜，用来做数据盘还是很好的。</t>
  </si>
  <si>
    <t>不理想 不好用，不到一个月用不了啦</t>
  </si>
  <si>
    <t>产地 说的是日本原装?以为日本产..是中国制造</t>
  </si>
  <si>
    <t>尺码对照有误 尺码对照表有误。因尺码标注有误导致收到的鞋穿进去非常艰难，脚被挤得很痛，最后只得送给他人。不过，鞋的质量还不错。</t>
  </si>
  <si>
    <t>退货运费太贵 过于大了，特别的肥。200斤穿个好肥。退货运费125太贵了，137的裤子运费就125这也太贵了，接受不了。</t>
  </si>
  <si>
    <t>融化成一大块了 不知道该说什么好！说好的190粒，结果收到的时候是一块，我想了半天没明白是怎么回事。考虑到退货太麻烦，就直接扔掉</t>
  </si>
  <si>
    <t>呵呵 实物跟商品图片不一样好吗？英文字都是黑色的</t>
  </si>
  <si>
    <t>挺好 手感不错，大小合适，171cm,72kg</t>
  </si>
  <si>
    <t>磨合后流畅、顺手，希望能长久使用。 除了标识很明显其他都不错，刚开始有点不顺手，墨色略浅，后来磨合一段时间后就比较流畅；F尖比想象中的要细一些，很满意。买它的主要目的是同学推荐品质可靠，希望能用的久一些吧。 三四天不用可以一笔出水，不过自带的墨囊感觉颜色较浅，还是自己买了墨水使用。</t>
  </si>
  <si>
    <t>没有6粒试用装啊 货收到了，箱子也没有封，不知道6粒是被谁拿走了，这个绝对是有问题啊</t>
  </si>
  <si>
    <t>质量可以 质量可以，不知为啥要两个装，其实一个就足够用了</t>
  </si>
  <si>
    <t>喜欢 喜欢，舒适透气.以后继续光顾.</t>
  </si>
  <si>
    <t>虑心质量怎么样用后再来追评 质量很好，很喜欢。</t>
  </si>
  <si>
    <t>好用，性价比高 很好，也快，性价比高</t>
  </si>
  <si>
    <t>表盘较大 nice，就是有点大了。</t>
  </si>
  <si>
    <t>还不错 在系统给定时间范围收到了，吃上了</t>
  </si>
  <si>
    <t>性价比高 比较喜欢，SHORT的长度刚好。</t>
  </si>
  <si>
    <t>码非常正，适合39 非常非常合适，平时39码，之前纠结半天，各种评论地看，终于买到非常合脚的大黄了，北京冬天穿着一点都不冷。</t>
  </si>
  <si>
    <t>奇葩鞋带 还可以挺好的，鞋带不太方便使用！那个大师辈出的年代，章太炎，刘文典，黄侃，傅斯年，周作人，梁实秋，胡适，钱玄同...虽不能至心向往之！</t>
  </si>
  <si>
    <t>亚马逊价格美丽 多角度刷头价格最美丽的地方了，买一次管两年，电动牙刷本体估计要撑不住。</t>
  </si>
  <si>
    <t>可爱的餐具 很可爱的小鹿餐具，叉子很适合宝宝自己吃水果</t>
  </si>
  <si>
    <t>质量不错，值得购买！ 质量不错，值得购买！穿了两年没变形</t>
  </si>
  <si>
    <t>品质👌 快递超快的，而且碗得颜色和质感都很好，小朋友很喜欢，以后就可以用它练习吃饭了。</t>
  </si>
  <si>
    <t>运动 挺好的，杯罩偏大，特意买了小一码的</t>
  </si>
  <si>
    <t>还可以 还可以，30的裤子，这个80CM正好</t>
  </si>
  <si>
    <t>舒适 柔软，和预想一般的舒适</t>
  </si>
  <si>
    <t>非常好 保护心脏，浓缩的方便</t>
  </si>
  <si>
    <t>日本行货 还没用，囤货中。国内母婴店里的贝亲奶瓶，底部也显示的是made in Japan</t>
  </si>
  <si>
    <t>SGW100 很不错的，看中指北针功能，配色也很好看。</t>
  </si>
  <si>
    <t>缓解耻骨疼 孕晚期开始用，还不错，稍微缓解耻骨疼，要不然走路都困难了，坚持用应该不错，生完继续用，质量很好……………</t>
  </si>
  <si>
    <t>最爱的牌子 穿起来很舒服……</t>
  </si>
  <si>
    <t>便宜 虽然有点大，但是便宜啊</t>
  </si>
  <si>
    <t>好用 用来焖薏米芡实赤小豆~~要温水泡几个小时先~~ ~~不错~~</t>
  </si>
  <si>
    <t>裤型不好 裤型不好，上身效果不好</t>
  </si>
  <si>
    <t>没有亮点，也没有特别的槽点 中规中矩，没有什么亮点，当时买大馒头的主要原因是前端是iphone，直推能用的耳机没几款，一度犹豫要不要烧IE800，但感觉自己不会再花更多钱买耳放和前端，买个便宜的听听就选了大馒头2</t>
  </si>
  <si>
    <t>尺码偏小 尺码偏小，穿不了，送人了</t>
  </si>
  <si>
    <t>这个应该是防雨布做的把 这么硬 感觉像帆布而不是棉布 这个应该是防雨布做的把 这么硬 感觉像帆布而不是棉布</t>
  </si>
  <si>
    <t>半年就坏了 使用不到半年就文件就损坏了 打电话给客户还被告知海外购无法修理 极差的用户体验  以后我是不会用海外购的了 根本没有任何保障。</t>
  </si>
  <si>
    <t>路边货，质地很差 质量很差，千万别买</t>
  </si>
  <si>
    <t>不好 衣服有点长，差不多盖到大腿中间，舒适度一般，颜色有点老旧感</t>
  </si>
  <si>
    <t>BEEWAX色，比ORIGINALS的偏大 发来连盒子都没有，问客服也不了了之了。。 比ORIGINALS的偏大，底更硬，没鞋垫。。比较实惠。</t>
  </si>
  <si>
    <t>音质还可以，但质量不行 用了一年半时一个音箱播放异常，人声音量特别小，现在也不知道到哪里能修，亚马逊的网站上也找不到客服链接，好奇怪</t>
  </si>
  <si>
    <t>还不错 之前买的莱思康没独立供电 开关机切换会爆音 换了这款好多了 不过想多4pre好像阉割了一些功能 亚马逊也没有雷电口版本 价格还不错</t>
  </si>
  <si>
    <t>鞋子合适，颜色正 颜色很正，平时买国内的鞋码40，这次买8.5码,很合适，收到的包裹很好，继续在亚马逊买鞋，很适合我们这种大脚.</t>
  </si>
  <si>
    <t>质量 真的很不错 一直穿CK内裤 没有束缚感</t>
  </si>
  <si>
    <t>音质超过预期 用过一段时间后 是一个质变，高中低音各方面都很均衡。远超我的预期。</t>
  </si>
  <si>
    <t>很棒 保暖防水不用说了。超级赞，至少是防水鞋里面最好的 鞋子比较重，皮革方面非常下功夫，内部缝线都做了防水措施 鞋底偏软，走到石头地上会有凹凸感，然而正是因为这个做法，这个鞋子运动起来非常方便，脚吃力舒服，各种蹲跑起跳不是问题。 包装也很大气。最后  5分。</t>
  </si>
  <si>
    <t>尺码一致，鞋子不瘦，很好！ 和ecco皮鞋尺码一致，不用买大一号。非常满意</t>
  </si>
  <si>
    <t>很好 商家发货很快，下午下单第二天上午就到了，包装很好，产品是正品。</t>
  </si>
  <si>
    <t>品种齐全 各种颜色各种类型笔。</t>
  </si>
  <si>
    <t>还不错 表不错，就是有点小，我手腕粗。</t>
  </si>
  <si>
    <t>穿着舒适，保暖性能好，尺码适合。 穿着舒适，保暖性能好，尺码适合。</t>
  </si>
  <si>
    <t>值得拥有 商品收到了，很喜欢，用起来也很舒服，刮的干干净净的，值得购买的！</t>
  </si>
  <si>
    <t>棒棒的了g 挺不错的，质量不错。</t>
  </si>
  <si>
    <t>很棒!!excellent 很好！！噪音不大！可以接受！</t>
  </si>
  <si>
    <t>实惠，价格完美 开始在商城看好了是1400多，打算再看看，后来黑五就在亚马逊上看了看，下单之后一共才花800块。质量挺好的，目前感觉还不错，值得推荐。</t>
  </si>
  <si>
    <t>厚牛仔裤 超赞，墨西哥产，较厚，冬季外套必背，棉质不太好，面料较硬！值这个价格！</t>
  </si>
  <si>
    <t>开心 第一次在亚马逊买东西，心里没底，没想到还不错，价格美丽</t>
  </si>
  <si>
    <t>Cole haan 刚刚了解这个牌子，衣服很好。</t>
  </si>
  <si>
    <t>不错的商品 买给妈妈吃的，挺好的，一天一粒价格划算</t>
  </si>
  <si>
    <t>质量不错 非常合适，做工粗犷，有性格</t>
  </si>
  <si>
    <t>可以 号码准，但是压脚面，最好拍大一码</t>
  </si>
  <si>
    <t>包装完好 包装方法很巧妙，完好无损，送人了，孕妈很喜欢😍</t>
  </si>
  <si>
    <t>好货 货没有任何问题。亚马逊机器翻译的介绍文有待商榷。“国内厂商2年保修”指的是日本国内......</t>
  </si>
  <si>
    <t>好 超级好穿 超级白搭 颜色很好</t>
  </si>
  <si>
    <t>鞋码稍微偏小！ 真服了这里面各位大神的评论了，平时耐克穿42，看这里面评论说鞋偏大，买的8号，到货了根本穿不了，顶脚！</t>
  </si>
  <si>
    <t>号码偏小 号码偏小</t>
  </si>
  <si>
    <t>感觉不透气 一般，样子漂亮，但是不知道为什么感觉很不透气。</t>
  </si>
  <si>
    <t>裤子超级硬没法穿 买回来打开发现，裤子太硬了，穿着肯定不舒服。申请退货，然后一堆英文，非常不方便不人性化，失败的购物体验</t>
  </si>
  <si>
    <t>质量太差 用了不到三个月，指针就脱掉了。</t>
  </si>
  <si>
    <t>旧鞋当成新鞋卖 收到一双明显被穿过的新鞋，脏兮兮的，磨损严重，没有任何生产铭牌的新鞋，极差的体验</t>
  </si>
  <si>
    <t>还行吧 平时穿国内款Lee的36×32刚好，美款的腰合适但是裤腿略宽，给大家做个参考。另外吐槽下亚马逊的介绍太烂，应该标明什么系列，如724,743</t>
  </si>
  <si>
    <t>还不错 鞋子不错，印度尼西亚生产，39码的有点偏大</t>
  </si>
  <si>
    <t>表带太差了。 整体可以，表带太差了。有点伤心😭</t>
  </si>
  <si>
    <t>性价比高 比在国内买便宜，160高，120近，基本合适袖子稍长一点</t>
  </si>
  <si>
    <t>建议按运动鞋码，买加宽版。 25cm脚长。40皮鞋，41运动鞋，买7.5W非常合适，建议按运动鞋码，买加宽版。实。。。好了，吐槽质量，鞋拿到手先看鞋舌，菲律宾产，我的心就拔凉拔凉了。马上检查一圈，两只鞋子共计3处小脱胶。本来想退，最后留下自己处理了。  2个月后补充：这鞋除了脱胶外，其它都还不错。1月份爬山徒步共计100多公里。在冰雪地穿冰爪上下山50余公里，没任何漏水和损坏，保暖。脚也比较舒适。冬天户外还是这种全皮的好穿一些。</t>
  </si>
  <si>
    <t>挺好的裤子 首先裤子比较长，腿短短的要注意了。改短的因为膝盖部位有防下蹲撕拉功能会不合。有防拔水能力，但雨天还是会透水。弹力大，适合户外徙步登山。防晒不防晒就不清楚了。二百多一点，比国内的便宜好多！值！</t>
  </si>
  <si>
    <t>其他都还好，就走时，会快一些 用了10多天，现在快了3秒左右</t>
  </si>
  <si>
    <t>舒适 材质很舒服，也很保暖，准备帮妈妈也买一条。</t>
  </si>
  <si>
    <t>长久保持口气清新 一直用的这款漱口水，效果很好，但是包装跟我在某宝上代购的包装有细微差别，不过效果貌似都一样好</t>
  </si>
  <si>
    <t>餐具可以 这套不锈钢餐具不错，买了几套了，外壳可以取下来的，方便清洗。</t>
  </si>
  <si>
    <t>合身 身高172，体重146，M号，袖子稍长。东西很不错！</t>
  </si>
  <si>
    <t>说明书 就是没有中文版说明书</t>
  </si>
  <si>
    <t>质量不错 质量很好但是码买大了哈哈哈</t>
  </si>
  <si>
    <t>宝贝喜欢 漂亮，颜值高。拿到新餐具，宝贝就玩了好久，小勺小叉爱不释手！</t>
  </si>
  <si>
    <t>鞋子实惠好穿 跟想象的一样优秀</t>
  </si>
  <si>
    <t>大黄蜂，帅 平时穿37码，5码M还是略大一点点，但是买来是冬天穿的，完全可以接受。</t>
  </si>
  <si>
    <t>衣服买小了，转 衣服收到了，衣服本身没问题，但是我买小了，有需要的可以找我，我还没穿过。</t>
  </si>
  <si>
    <t>很舒适，塑身但不紧绷 收腹效果很好，也不紧绷</t>
  </si>
  <si>
    <t>大小合适，面料舒适 女朋友挺喜欢的，说挺舒服的</t>
  </si>
  <si>
    <t>好东西 一直在用，信任碧然德。</t>
  </si>
  <si>
    <t>还不错 应该还不错吧</t>
  </si>
  <si>
    <t>核算 19左右一根，囤了2盒，不算最低但也可以了，现在好价不多了。图就不晒了，亚马逊的上图真是这我们用过的所有购物网站里最傻的，没有之一。</t>
  </si>
  <si>
    <t>可爱 超级可爱啊，保温效果不错</t>
  </si>
  <si>
    <t>海外购价格便宜 价格优势很大，到手包装完好，内置emaz氦气盘，测试无坏道。</t>
  </si>
  <si>
    <t>推荐 很好，很喜欢，码数也合适。</t>
  </si>
  <si>
    <t>非常好 大小合适，颜色也很正</t>
  </si>
  <si>
    <t>洁碧水牙线 很不错的一款产品，很好的一次购物体验。更人性化的产品，既清洁了口腔，又按摩了牙床……老婆也喜欢上了这款产品</t>
  </si>
  <si>
    <t>图片跟实物差别太大 图片显示的是偏卡其色，但是鞋子是深棕色。。。而且鞋子很重，，，很重，，，，很重，，，，重要的事情说三遍。。。穿起来很容易累。我终于知道这款鞋子为啥那么多差评了。。我就是受害者之一。</t>
  </si>
  <si>
    <t>衣服过大 材质不错 183身高  74KG  L号竟然过臀，这是什么鬼？是我又矮又小配不上你的L号么？</t>
  </si>
  <si>
    <t>磨软的还可以 磨软的如香蕉啥的还可以。硬一点就不行了。</t>
  </si>
  <si>
    <t>餐勺掉皮皮 这个勺子要掉皮皮呀，我晕这么贵的餐盘居然要掉皮皮，完全不能占到热点的东西，不能给宝宝用，餐盘都不敢用热水洗了，不知道会不会也掉</t>
  </si>
  <si>
    <t>慎买，买了两个有一个就有问题。客服说的折扣也和实际退款不一致。 买了两个，本想着买个日版的可能要好一点，结果打自己的脸了，这个杯子防尘的地方翘起来了，盖不平。与客服沟通说两种方式解决，就是退了再买还要填一个什么资料或者打折。想着不漏水，图方便的我，选了打折，可是也不能忽悠人哦，说的折扣和最终的退款不一致。这并不是一点点钱的问题，这个信誉我也是服了。可能还是我不适合亚马逊。</t>
  </si>
  <si>
    <t>为什么吃了反而拉又肚子痛 我喜欢17岁，吃了两天每天一粒，说我给她吃的是泻药？一天拉个4次多，肚子还痛，大家有这种症状吗</t>
  </si>
  <si>
    <t>基本满意 颜色饱和度很高，版型挺好，弹力够大。美中不足就是热水烫下（杀菌）就掉色了，染的我CK白内裤一片蓝。。。价格比国内买划算多了。</t>
  </si>
  <si>
    <t>袖子有些长 喜欢宽松点，不厚，适合春秋穿</t>
  </si>
  <si>
    <t>不错 适合刚踏上职业岗位的小白领</t>
  </si>
  <si>
    <t>袖子长 料子不错，袖子有些长，需要改</t>
  </si>
  <si>
    <t>性价比超高 尺码偏小一个码，平时穿33的.这个腰围小一码</t>
  </si>
  <si>
    <t>不错 在亚马逊海外购买东西，鞋一定要到实体店试好号码才敢买，相对便宜，非常舒服。</t>
  </si>
  <si>
    <t>比国内价格良心多了 颜色如图，是我想要的</t>
  </si>
  <si>
    <t>尺码 纯棉，尺码合适，165、65公斤，M码合适，包装也挺好的，不错！！！和日版尺码差不多</t>
  </si>
  <si>
    <t>轻巧 最喜欢它的轻巧简单，要是有个滤网就完美了</t>
  </si>
  <si>
    <t>很好 口味很好，小孩子很喜欢</t>
  </si>
  <si>
    <t>不错 不错，非常好！不错不错不错不错</t>
  </si>
  <si>
    <t>很不错的卫衣 长短比较合适。如果胸部比较大的话，估计会有点紧。</t>
  </si>
  <si>
    <t>鞋子很棒 这次购买体验非常好，鞋子质量也不错。下回还会继续购买。</t>
  </si>
  <si>
    <t>戴着很舒适 音乐电影享受很好，低音炮。适合春秋冬戴着，夏天戴着会很热，戴着的时间也不宜很久。隔音效果还行</t>
  </si>
  <si>
    <t>不错的一款小白鞋 鞋型和做工都不错的一款小白鞋，就是鞋垫过高，显得鞋比较挤脚，还有就是稍微有点偏硬。</t>
  </si>
  <si>
    <t>合适 感觉也没有特别掉色，88公斤，178身高，买了36／32，稍大，秋冬季穿起来刚好。</t>
  </si>
  <si>
    <t>效果好 干发效果好，负离子还真有用的，吹了以后头发服帖，不再乱蓬蓬。声音有点大，分量也不轻，适合家用。原装的英式插头又大又重，配个转换器的话用起来也不方便。本着实用、方便的原则，自己动手直接剪掉，换成两芯插头，完美。剪断插头的时候发现了一个问题，虽然原装插头是三芯的，但是却并没有发现接地线。</t>
  </si>
  <si>
    <t>正品 实在没有合适的码数，只能买了女款。不过不错很舒服。</t>
  </si>
  <si>
    <t>满意 一切都好。就是说明书看不懂。需要百度。</t>
  </si>
  <si>
    <t>不错的礼物 简单，大方，挺好看的，送人还不错</t>
  </si>
  <si>
    <t>舒服 很合适，就是袖口那里会有些小，应该是就这样设计的，喜欢撸起袖子的时候就有点尴尬了，面料很舒服</t>
  </si>
  <si>
    <t>不错的选择 喜欢，保温效果特别好，很轻便，颜色艳丽。已经很注意了，可是杯身还是有被划拉的痕迹，希望这一块儿可以弄得更好。</t>
  </si>
  <si>
    <t>合身，物流慢了点 大小合适，尺码标准，170cm，68公斤，30*30正好，和国内尺码基本无异。</t>
  </si>
  <si>
    <t>衣服 很合身，喜欢</t>
  </si>
  <si>
    <t>很好很暖和 有些薄，但是非常保暖。里面有特殊的防寒涂层设计，零度左右我 穿一件秋衣一件哥伦比亚抓绒衣加一件这个很舒服。</t>
  </si>
  <si>
    <t>保暖性还不错。 身高171，体重65kg，说实话怕S码大，结果还真大了一些，袖子和身长都略长，但是比较修身，我习惯袖子收紧，也并不难看。衣服很薄，但是防风性、保暖性很好，比较适合江南一带的秋天。</t>
  </si>
  <si>
    <t>满意 比较厚实，合适度也很好，款式偏宽松</t>
  </si>
  <si>
    <t>太大了 大得可不是一点点</t>
  </si>
  <si>
    <t>刚开始觉得很好 刚开始觉得很好，后来觉得戴着像小孩子，就把表送给弟弟了~</t>
  </si>
  <si>
    <t>鞋子硬，不透气 脚背处很硬，走路咯脚背，38码买的5uk合适。</t>
  </si>
  <si>
    <t>不能充电 2019年1.7日买来这个水牙线，5.28日就发现不能充电，不能使用了</t>
  </si>
  <si>
    <t>无 我刚收到货，就降价一百多，鞋子看起来太丑了真的。被图片骗到了。小瑕疵太多了。还有一块地方有个很严重的划痕，真是凭运气买东西了。舒适度上脚还行。</t>
  </si>
  <si>
    <t>充满电后 听歌听不到十个小时就没电 充满电后 听歌听不到十个小时就没电 这是海淘的都是残次品么 刚到手耳罩上有划痕 我都无所谓了 这听不了多久算什么鬼</t>
  </si>
  <si>
    <t>鞋子很长 平时穿美码8.5，因为之前买clarks的鞋觉得偏窄，这个就买了英码6.5对应美码9，鞋子特别长，稍微有点大，冬天可以穿厚袜子</t>
  </si>
  <si>
    <t>还行 176高，170重，L号差不多。料子舒适度还不错，就是稍微薄了点。</t>
  </si>
  <si>
    <t>手感较重 拿在手里很重开始很不习惯，书写还是挺顺滑的，老公倒是很赞赏，觉得称手好写，也许是男人力气大</t>
  </si>
  <si>
    <t>有bug的喂水神器 宝宝三次就学会了用吸管！这杯子太棒了！就是老是漏水 这是最大的缺点 还有就是盖不紧 不过看在三次就让宝宝学会的份上还是称它为喂水神器吧～</t>
  </si>
  <si>
    <t>薄一些，暖和度过得去。可以打底，如图一样 薄一些，暖和度一般。可以打底，如图一样</t>
  </si>
  <si>
    <t>容量大，读写快，性价比高。 用来存储影像资料箅文档的，正好赶上活动，性价比高，赶紧入了一个。先放着备用。实际效果有待体验，相信亚马逊和西数。英国直邮过来的，满意。</t>
  </si>
  <si>
    <t>素质不错的耳机 这个价格怕是只有在亚马逊才能购买到，加了一根邦线，手机推，不错的</t>
  </si>
  <si>
    <t>哦 我喜欢</t>
  </si>
  <si>
    <t>感觉不错 鞋子很不错，刚开始觉得右鞋前面的接缝处有些磨脚，松一下鞋带就好了。感觉不错，推荐购买。</t>
  </si>
  <si>
    <t>裤子比国产时尚 看了裤子，质量可以，没有那么单薄。看清洗次数才能判断是否耐用。</t>
  </si>
  <si>
    <t>很不错。 东西收到了，不错啊！</t>
  </si>
  <si>
    <t>符合人体工程学的经典款式。 穿了N次的鞋。太舒服了！</t>
  </si>
  <si>
    <t>实用的机器 买了一个进口的，6700元，打出来的豆浆很细腻，一个月至少20天早晨都会做营养糊糊。这是给妈妈买的，代购的，从下单到收货大概不到一个月，另外配一个变压器，价格要便宜2千多。两个机器用起来是一样一样的，所以不着急的话，代购就实惠很多了。代购的唯一缺陷就是需要配一个很大的变压器。</t>
  </si>
  <si>
    <t>值得拥有 172，70买的S码，刚刚好，简直就是订做的，衣服质量不错，对得起这个价</t>
  </si>
  <si>
    <t>非常好的产品 该款产品我非常满意。</t>
  </si>
  <si>
    <t>做了一次不错 买来用过一次，揉面还挺快的，轻松出手套膜，喜欢做面包的很适合！</t>
  </si>
  <si>
    <t>好的多 不错。172/72/S合适</t>
  </si>
  <si>
    <t>好 非常棒</t>
  </si>
  <si>
    <t>好用！ 非常好用，容量也够大，煮好的银耳汤焖一晚上就会很稠，还是很热的，正好早上吃。很满意。</t>
  </si>
  <si>
    <t>喜欢爱步的鞋子 喜欢爱步的鞋子 ，鞋底很舒适，怎么穿脚都不会累，不穿高跟鞋的我也可以</t>
  </si>
  <si>
    <t>水压 超细出水孔很舒服。老房子有时候水压不行，增压效果很棒随时可以洗澡。</t>
  </si>
  <si>
    <t>好很不错挺好真不错勇夺冠军 好很不错挺好真不错勇夺冠军</t>
  </si>
  <si>
    <t>大小合适，质量不错，帅气 买之前看了很多评论，最担心size问题，做了这么多功课，收到货最终很满意，看来多做功课还是有用的，运动鞋穿42码，我拍的7.5  感觉自己脚比较宽所以拍的7.5  w的，一个礼拜到重庆，上脚真的是太帅了，第一次海外购就很满意，看有的买家收到的有些小问题，这个可能还是看运气吧！</t>
  </si>
  <si>
    <t>很好的保健品，产品很好，一直光顾这个品牌。 很好的保健品，产品很好，一直光顾这个品牌。</t>
  </si>
  <si>
    <t>非常好 性价比很高，在家胶囊咖啡</t>
  </si>
  <si>
    <t>注意形状 注意是椭圆形，不是圆形。</t>
  </si>
  <si>
    <t>东西不错，也很实惠 本人170CM，80KG，属于胖人，肚子比较大，尺码合身。质量没问题，这三个颜色也是很不错的。</t>
  </si>
  <si>
    <t>标题怎么写。 收到实物后，我有点失望。这个包再略略大一些就好了。</t>
  </si>
  <si>
    <t>容易起球 买给女儿的，穿了没多长时间屁股上就起球了，不要穿了，说是不好。</t>
  </si>
  <si>
    <t>小小得 鞋头绒面寄回来都被划一横</t>
  </si>
  <si>
    <t>过大 尺码对照表不准确，容易误导消费者</t>
  </si>
  <si>
    <t>布料差 布料很硬，感觉象砂纸</t>
  </si>
  <si>
    <t>ck男士内裤 内裤线头非常多呀，是肯尼亚制造摸起来质量好一般，面料也超薄看起来非常透光感觉穿不了好久就会穿洞一样，说实话有点失望！还没有国内几十块的内裤好！</t>
  </si>
  <si>
    <t>不好，很不好! 味道很大，像次品!安踏的比它好多了，良心话!亚马逊以后跟我绝缘了，果断卸载!</t>
  </si>
  <si>
    <t>还可以 300mb/秒，低速盘，价格便宜。</t>
  </si>
  <si>
    <t>还可以 上次那双听客服41的买的7.5回来了顶脚也懒得退，这次8号正好。总体不错，就是帆布的感觉好单薄，不知道有没Danner耐穿。配送是快</t>
  </si>
  <si>
    <t>西特城石英表 时间是准，就是表面容易刮花，我买的使用不到一个月就刮花了！</t>
  </si>
  <si>
    <t>品质不错 做工材质都不错，厚度适中，适合春秋季穿。</t>
  </si>
  <si>
    <t>掉色 深颜色的居然还掉色，其他的都还行，线头都跑线了</t>
  </si>
  <si>
    <t>好評吖。 超快的。感覺還不錯。</t>
  </si>
  <si>
    <t>满意 自己半月板受过伤，以前吃过这个牌子的红瓶，这次换绿瓶，吃了两天感觉不错，价格实惠，亚马逊中国的海外购方便也快捷～</t>
  </si>
  <si>
    <t>东西不错 物流超级给力，硬盘速度还行，不知道容不容易坏，毕竟新技术</t>
  </si>
  <si>
    <t>珐琅锅 很好，用了几次，挺好，锅也没什么瑕疵，尽量不要用燃气，最好用电磁炉。</t>
  </si>
  <si>
    <t>不错,挺舒服的.值得购买..... 脚长160, 买的8.5,比较和脚. 鞋子质量不错,穿着挺舒服的 第一次买这么贵的鞋子,还是网购,海淘.  其实也是第一次在网上买鞋子,毕竟不像衣服裤子就算稍有不适也可以将就,鞋子这东西没法将就啊！到货之前还是有些小担心的,不过还好,穿上感觉挺舒服的,鞋子质量也不错.</t>
  </si>
  <si>
    <t>很不错 这个说真的，做工跟质量都是很不错的，显示效果也很棒，就是说明书全是英文，看不了</t>
  </si>
  <si>
    <t>比较合适，性价比高，略显大，不是很严重 比预想的要大一点点，葡萄牙产，做工还可以，有些细节上的不足。穿着很舒适，比图片要显得粗犷。关键是性价比高，国内2300</t>
  </si>
  <si>
    <t>赞美 裤子版型非常好，质量也不错👍。四季皆宜，舒适柔软。</t>
  </si>
  <si>
    <t>棒棒 年前买的，十天左右就到了。鞋子更是没话说，各方面完美。</t>
  </si>
  <si>
    <t>没有假货最重要 很好，物美价廉。</t>
  </si>
  <si>
    <t>不错！ 165高，140斤，穿小码正好！</t>
  </si>
  <si>
    <t>东西还不错，可以继续购买 东西还不错，会继续购买</t>
  </si>
  <si>
    <t>满意 非常适合满意满意全5分，店家服务很好，送货及时，质量真的超好。</t>
  </si>
  <si>
    <t>音质 不错的麦克风话筒🎙️</t>
  </si>
  <si>
    <t>花洒那么小！ 东西很有分量，花洒很小，说明书看的明白，果然那是霓虹国，漫画功底很厉害。</t>
  </si>
  <si>
    <t>第一次买，买错了版型 买错了，应该买B版的，买了W版，很宽，靴子质量很好。</t>
  </si>
  <si>
    <t>Lee 男式性能系列极度舒适修身长裤 质量可以，有点长，尺码有点大，我预小1码刚好。要打税和运费有点贵。</t>
  </si>
  <si>
    <t>不错 价格实惠，裤子质量很好</t>
  </si>
  <si>
    <t>特别好 即使是新生儿，建议买大号的，宝宝天天穿着睡觉，特别好。贵一点，一年四季都可以穿，使用率高</t>
  </si>
  <si>
    <t>很不错的购物 大小刚好，质量不错</t>
  </si>
  <si>
    <t>应该是真的 在亚马逊第二次购买，还没开瓶。以前都是某东上买的，感觉亚马逊更真一点吧；看包装瓶子都差不多，平贴粘得也不标准，唉……亚马逊自营不应有假吧！</t>
  </si>
  <si>
    <t>包装不一样 为什么跟我以前买的包装不一样</t>
  </si>
  <si>
    <t>颜色不错，码数偏大，皮质一般 鞋子的造工不错，皮质略硬，鞋底很舒服即使鞋垫很薄，鞋子码数偏大建议按平常脚买小一码，但穿了不够一个月鞋舌面的皮出面爆裂，这是三星评价的主要原因，不是海外购我还以为自己买到假货了</t>
  </si>
  <si>
    <t>有了这个杯子，宝宝爱上喝水 漂亮好用，小朋友拿杯子够轻，自己也能开盖喝</t>
  </si>
  <si>
    <t>32×30 尺寸合适，但裤腿底端有些肥。 裤子不是修身款，腰的尺寸合适。但裤腿偏肥，如果是瘦子就没法穿了。</t>
  </si>
  <si>
    <t>衣服过大，就像普通的衬衣 感觉与图片完全不符，图片看上去是一件有质感的夹克，写的发货中间两百四十几克。实际就是一件加大版的衬衫，白等这么多天，太失望</t>
  </si>
  <si>
    <t>没有用，吃和没有吃都一样 没有用，吃和没有吃都一样</t>
  </si>
  <si>
    <t>穿戴简单，容易调节松紧 有点小贵呀，今天到的货，已经在穿着矫正了，坚持坚持</t>
  </si>
  <si>
    <t>小 哎，比想象中的小，质量不错</t>
  </si>
  <si>
    <t>厚实的浅色西裤 感觉是西裤类型，裤型宽松，料子厚实。本意想买薄型。可是商品介绍中无相关内容，也没有店小二可咨询。</t>
  </si>
  <si>
    <t>刚用上就把被子蹬了 不到7个月的小朋友漏着脚，无法阻止小朋友蹬被子。</t>
  </si>
  <si>
    <t>效果明显，发货速度快 效果很好，打完球喝一勺，第二天基本不酸，巧克力口感也不错。 物流快发的ups</t>
  </si>
  <si>
    <t>符合描述 与价格匹配，质量正常</t>
  </si>
  <si>
    <t>挺好的 老公2尺4腰围，平常买裤子都是31w的，此款腰间有松紧，看其他人评价可以小一码，买了30w，穿上正好，料有点厚，春秋季穿合适。</t>
  </si>
  <si>
    <t>很好的耳机，就是脖圈小了 使用方便，音质也不错，续航时间也长，就是脖圈小了点。</t>
  </si>
  <si>
    <t>很好 质量好性价比高。穿起来很舒服。码数偏大一点。当内衣穿要小一号比较好</t>
  </si>
  <si>
    <t>不错 还不错，就是女孩带有点大！说明书没看到防水参数</t>
  </si>
  <si>
    <t>鞋子很帅啊 比正常运动鞋稍大半码左右。鞋型很帅，很喜欢。</t>
  </si>
  <si>
    <t>尺码过大，很薄 尺码过大170穿S还嫌稍微大了一点，欧美版的最便宜到过90多一件。不过急着买一件200会员免邮也不错。衣服很薄，保暖防风还可以</t>
  </si>
  <si>
    <t>好裤子 腿围稍微有点大，面料很好，物超所值。</t>
  </si>
  <si>
    <t>特别小巧 非常喜欢 最关键是很小巧 长宽跟2T容量一样 只厚了2毫米的样子</t>
  </si>
  <si>
    <t>Good Watch 好评 进口商品,比预期的到达快很多. 走时很准确,误差在使用的两个月中很小,不影响使用(大概1s左右) 很好看~女朋友买的,很满意</t>
  </si>
  <si>
    <t>价廉物美，值得购买 表很大气，价格也很实在，值得购买。</t>
  </si>
  <si>
    <t>满意 很快就收到了，包装完好，很轻，方便携带。</t>
  </si>
  <si>
    <t>声音 中规中矩声音平淡监听风格不会有7506的齿音但是总体不耐听反正听起来不喜欢</t>
  </si>
  <si>
    <t>相信亚马逊精选的商品 这次牛仔裤蛮可以，给大家一个参考，我178，重135斤，买的32W*30L，很合身，希望大家选好自己尺码，因为一旦选错，退货麻烦</t>
  </si>
  <si>
    <t>亚马逊买东西有点类似买股票 关注几个月买的，价格能相差大几百元，鞋比较宽松，配的半掌鞋垫穿不惯，单配一副正好弥补偏大问题</t>
  </si>
  <si>
    <t>可以买 我166cm，体重104斤，穿s码刚刚好。</t>
  </si>
  <si>
    <t>洗碗机可用 喜欢，挺好用的。dish wash safe。洗碗机可用，中国产</t>
  </si>
  <si>
    <t>good！挺不错的 感觉还不错 挺好用 速度比以往的U盘 要快</t>
  </si>
  <si>
    <t>合适 好，软</t>
  </si>
  <si>
    <t>轻薄舒适 轻薄舒适，3件装的性价比还是不错的，打底或单穿都可以。听说评论有积分奖励不知是否属实，哈哈尽管试试吧。听说评论有积分奖励不知是否属实，哈哈尽管试试吧。听说评论有积分奖励不知是否属实，哈哈尽管试试吧。</t>
  </si>
  <si>
    <t>很好 价位便宜，牦牛皮，不防水</t>
  </si>
  <si>
    <t>这个价格值得购买 国内没有这款，价格便宜，包装一般。</t>
  </si>
  <si>
    <t>薄毛圈不是厚绒 是毛圈，不是厚绒，翻译的不正确误导人了 而且是薄款，不能冬天穿</t>
  </si>
  <si>
    <t>参考尺码相当的不准确 参考尺码S的胸围是109cm,实测只有100cm!  另外输入身高体重胸围建议说83%选择的s码，完全就是误导人。  商品本身本挺好的，因为系统尺码错误导致不合适太闹心</t>
  </si>
  <si>
    <t>最差的购物体验，不能在亚马逊购买商品。 这么贵的耳机，质量实在对不起这个价格。 1、左耳罩的材料会导致与脸接触的部分有咯吱的异响，影响听音乐，原以为新品需要磨合，但使用一个多月仍无法解决。 2、头梁接触面在不到一个月的时间里已经开始自动脱落，塞回去无用。因为在亚马逊海外购，所以无法享受国行质保，又因刚好超过1个月，亚马逊不负责质保服务，且无留下商家的联系方式，只能自认倒霉。 3、为了省运费，购买PRIME会员，结果8月28日购买的年度会员，10月14日要求续费，已经被停用了。 总结，最差的购物体验，不能在亚马逊购买商品。</t>
  </si>
  <si>
    <t>鞋码偏大一个码的说法是对的 鞋的质量不错 穿40鞋  250的  这双鞋应该是41才对  255的  鞋码偏大一个码的说法是对的  国内生产  购买注意时看鞋的长度就不会错</t>
  </si>
  <si>
    <t>皮质很硬，有异味 皮质很硬，有异味，但使用效果尚可</t>
  </si>
  <si>
    <t>码数 购买时一定注意大小 这款是高腰款 非常大 收到后查看 大了两个码都不止！</t>
  </si>
  <si>
    <t>马马虎虎吧 比国内买的确实做工稍差 包装简陋 但也没那么不堪</t>
  </si>
  <si>
    <t>超级大颗 拿到了吓一跳，椭圆形的，长直径刚好跟一元硬币一样。。。。。。。。。</t>
  </si>
  <si>
    <t>物美价廉 物美价廉 英亚价格不要太美丽呀！我买的时候免邮还免税……很奇怪为什么只有这款特价 其他刷头都没这价格呢？我一直用这个刷头都腻了……</t>
  </si>
  <si>
    <t>东西很好 160左右买的，买了两个，一周到的，包装完好。</t>
  </si>
  <si>
    <t>赞 这个餐盘又萌又实用。不过我儿子还是很执着于把它翻过来哈哈！要再买个大的。</t>
  </si>
  <si>
    <t>很好 173体重140尺码正好 就是有一点低腰＇保暖相当好 内蒙现在单穿没问题</t>
  </si>
  <si>
    <t>精工手表 手表不错，不图片好看。</t>
  </si>
  <si>
    <t>保暖，舒服 很好，很舒服，保暖，买了两条</t>
  </si>
  <si>
    <t>音质很棒 20年前的产物至今仍然很好用，不得不服</t>
  </si>
  <si>
    <t>舒服 和想象的一样，特别好，关键现在亚马逊自营的正品保证，不像某宝，太多假货</t>
  </si>
  <si>
    <t>产品完胜LAMY狩猎者系列 先说物流，因为下雨，但是实在是慢，后面买的京东的物流准时快捷，亚马逊被完败，差点就退货了。 再说价格波动，虽然没降价多少，但是没有价格保护，购物体验比起京东不是差一点半点，但是价格比京东便宜。 最后说说产品本身，产品完全没话说，比起同价位的LAMY狩猎者系列好用到哪里去，实际LAMY价位还要高一点，无论是握感还是书写流畅感，体验都好于狩猎者，强烈推荐此款。</t>
  </si>
  <si>
    <t>很好 很适合，德国制造品质保证</t>
  </si>
  <si>
    <t>颜值爆表，值得推荐，完美 颜值爆表，无毛刺，光滑，好有质感，圆滚滚很适合宝宝的小手，颜色很清新，瑞士制造，盘子不轻 底部防滑，超级可爱，很值得入手。秒杀159两套</t>
  </si>
  <si>
    <t>音质不错 音质不错，很值得购买，应该是三寸音箱最好的了，只是有点担心万一坏了售后保修不知道怎么办，说明书都是英文，看不懂</t>
  </si>
  <si>
    <t>很好的享受 佩戴舒服，耳朵没有压迫咁。 蓝牙与手机配对速度快，与音频蓝牙转发器配对略慢。 虽然耳机按钮两个，但是整个耳机的设计与功能非常人性化。 低音较森海塞尔耳机突出，相应地高音就不够森海塞尔清晰，然后降噪功能也非常凑效，通勤路上或旅途上都很好。 是把科技应用与生活休闲的体现。</t>
  </si>
  <si>
    <t>值得购买 非常不错，冬天户外跑步一件打底衫➕这个够保暖了，本人181cm.81公斤，L号很合适</t>
  </si>
  <si>
    <t>很好 尊华黛墨，的确尊贵。适合优雅的人使用</t>
  </si>
  <si>
    <t>质量不错 不错，性价比还行</t>
  </si>
  <si>
    <t>Good good！</t>
  </si>
  <si>
    <t>建议购买 版型很好！很不错！质量也好！建议购买</t>
  </si>
  <si>
    <t>整体不错 值得购买 码数稍微大 国内皮鞋穿40码 选择39.5码比较合适，皮质看上去很好，鞋底很厚实 上脚穿着很舒服</t>
  </si>
  <si>
    <t>果然不错 好朋友介绍的，说带着舒服，于是先买了一个试试。果然不错！</t>
  </si>
  <si>
    <t>很合适 穿起来很舒服，希望有效果哦</t>
  </si>
  <si>
    <t>很舒适 穿着很舒服 无任何压迫感</t>
  </si>
  <si>
    <t>布料不好 布料不好</t>
  </si>
  <si>
    <t>护理剂该买那种？ 包装太简陋，就一层塑料袋子裹着，收到鞋盒整个压扁烂掉了，幸好鞋子微微有些压痕，忍了。</t>
  </si>
  <si>
    <t>计时秒针不归零 计时秒针收到就是对不正12点，戴了没一个月，直接就在58分那个位置了，走时很准，强迫症，没办法，只能退</t>
  </si>
  <si>
    <t>差评 快递送来，快递包装是烂的，手表盒子是烂的，手表也躺在盒子里的一边，非常糟糕的购物体验，猜想手表应该没问题，但如果是贵重的东西会怎样？想要购买的朋友瑾记，这是要博运气的。</t>
  </si>
  <si>
    <t>宣传尺寸与实际产品不符，过大，误导消费者 宣传尺寸与实际产品不符，过大，误导消费者</t>
  </si>
  <si>
    <t>服务烂，无售后 装修囤的，等装完发现缺一个垫片，有一个接头处会渗水，安装时收货早已超过一个月，亚马逊说没有售后。所有装修的东西和电器都不应该通过中亚海外购购买，除非买来马上装，否则一律没有售后，客服说我们就这政策，订单超过一个月别找我们。亚马逊号称无敌的服务在中国不存在</t>
  </si>
  <si>
    <t>还没试 国产的 不是奥产的</t>
  </si>
  <si>
    <t>是不是正品代购哈哈 应该是正品吧没有验过感觉质感不错</t>
  </si>
  <si>
    <t>舒服但是粘毛 很舒服就是爱粘毛 尺码偏大 国内m或者l码这件s合适</t>
  </si>
  <si>
    <t>一般 包装不是很走心。但还算可以。</t>
  </si>
  <si>
    <t>带子长了 带子长了</t>
  </si>
  <si>
    <t>听了就几天感觉不错 其貌不扬 内有乾坤 比我的索尼大法也不差 听了就几天感觉不错 其貌不扬 内有乾坤 比我的索尼大法也不差</t>
  </si>
  <si>
    <t>喜欢 好看！有特点！如果有个茶漏就更好了！</t>
  </si>
  <si>
    <t>这圆珠笔用着很好 让你爱上学习的感觉。</t>
  </si>
  <si>
    <t>彪马蝴蝶结 好看的，好看的，可以搭配小裙子，价格合理。</t>
  </si>
  <si>
    <t>价格优势 价格优势明显，现在用着还正常...</t>
  </si>
  <si>
    <t>合适 越南产，比专柜合适多了</t>
  </si>
  <si>
    <t>很轻很舒适，对脚底支撑也很好 北方就不要想着穿这双鞋去户外徒步了，肯定冻死。南方冬天零下一二度，应付一两个小时徒步没问题。</t>
  </si>
  <si>
    <t>很好看 没有很多评论说的那么夸张的不难穿 没压脚面到特别痛苦的地步 漆皮超级帅气亮眼 平时39这个也39正好</t>
  </si>
  <si>
    <t>物美价廉 很好，这个价格真是赚到了，今天刚到货就穿上了，本来预计是12月初才送到的，没想到提前了，估计最终还不是国外进来的，可能是调用了国内的货</t>
  </si>
  <si>
    <t>很漂亮的卫浴产品 大爱汉斯格雅的产品，做工好质量上乘，装在自家浴室很漂亮。亚马逊的价格还是很优惠的，关键不怕买假货。</t>
  </si>
  <si>
    <t>挺好的 表面简洁大气，质量也没有任何问题。挺好的~</t>
  </si>
  <si>
    <t>。 奶瓶收到。太可爱了。包装的很好，没有破损。大爱这款奶瓶</t>
  </si>
  <si>
    <t>擦得很干净 很好用的橡皮，擦得很干净</t>
  </si>
  <si>
    <t>水牙线值得拥有 性价比太高了，黑五买的，比某猫双十一的价格还给力！</t>
  </si>
  <si>
    <t>性价比挺高的，不过就是一分钱一分货哦，想有很好的音质还是得烧钱。 入门的可以买来玩玩 体验体验，我是业余玩玩录音用，其余作为娱乐，箱子基本也都够用了。官方快递速度，服务态度很好，好评。</t>
  </si>
  <si>
    <t>海外淘的光波表 关注亚马逊的卡西欧表一段时间了，发现性价比实际上比淘宝京东高，只不过亚马逊太低调了，好多超低的价格却让人感受不到，对比一下其他网店就知道了，英国亚马逊买的，我哈尔滨的，从下单到收货11天，非常快了，而且质量非常好，价位只有国内的一半，没想到哈尔滨对波这么容易，只要朝向东南（福岛）或者南就可以了，LT2-LT3波动，一次是中午12：45，一次是凌晨1：30接波都成功了，但是需要在窗户，室内不行。光能充电户外10几分钟就满了，非常满意。</t>
  </si>
  <si>
    <t>变色效果不错 勺子比我想象的要大，手感不错，变色效果也不错，我个人比较喜欢，希望娃能用它们好吃好喝，哈哈，不知道变色会不会吓到她呢！</t>
  </si>
  <si>
    <t>Strong recommend it to you~ I bought this machine in this Nov. Now it is one of my favourate kitchen machines. I made noodles, Chinese bread with it. Now I can enjoy health food in my kitchen everyday. Love it, and recommend it to you~</t>
  </si>
  <si>
    <t>合身 颜色好看！老公穿得正合适，帅气！</t>
  </si>
  <si>
    <t>质感很棒 大小合适，适合上下班通勤，非常方便！</t>
  </si>
  <si>
    <t>非常满意 放办公室用的，非常方便，体积也小，很满意了。</t>
  </si>
  <si>
    <t>喜欢 衣服很好丿不愧是美国的货</t>
  </si>
  <si>
    <t>失望 包装非常简陋，只有一个纸盒和几个透明小塑料袋。也没有具体说怎么清洗、注意事项等。产品外层是塑料，里层是不锈钢，都挺单薄的。不知道这个是假的还是国外买也是这样的质量，反正我挺失望的</t>
  </si>
  <si>
    <t>裤腿偏长 裤腿偏长，其余都适合，颜色也可以</t>
  </si>
  <si>
    <t>有点掉色 一般穿34的裤子，这条36正好扣到5个扣子的中间一个，白色标签上有染上皮带黑色的痕迹，估计这带子会掉色。</t>
  </si>
  <si>
    <t>有味道 一年了还有有味道，用的也不多</t>
  </si>
  <si>
    <t>这款不好用 很不好用，胸垫总会移位，不舒服！！！</t>
  </si>
  <si>
    <t>色差太大 尺寸和国内的相差太大，色差和图片相差太大，</t>
  </si>
  <si>
    <t>颜色怪怪的 为什么我的颜色是这样的！</t>
  </si>
  <si>
    <t>不是很耐用 用了一个多月，线就断了</t>
  </si>
  <si>
    <t>质量好 质量好，鞋底轻</t>
  </si>
  <si>
    <t>尺码选择 我只能用我的经历造福接下来买的人 186。70kg。买了l。偏大 应该m</t>
  </si>
  <si>
    <t>发错货啦 皮带质量很好，皮质不错，孔位准确，但是，居然发错货啦，买的棕色，发了同款的黑色，亚马逊也太马虎了吧，不过黑的也行吧懒得换啦，扣一星是为亚马逊的疏忽。</t>
  </si>
  <si>
    <t>还不错 没有原装钻石头好，但是也差不多。</t>
  </si>
  <si>
    <t>面料舒适 属于春秋季节穿的带绒的卫衣，面料很舒适，大小很好</t>
  </si>
  <si>
    <t>刷头怎么配 价格实惠，好像不能换刷头啊</t>
  </si>
  <si>
    <t>物美价廉，实用 东西已经收到了，很小巧，不奢华，材质有点像塑料(开玩笑的)，用了一天，误差不超过1分钟，透明底壳，夜光显示，还便宜</t>
  </si>
  <si>
    <t>很好，价格实惠，没有异味 很好，价格实惠，没有异味，宝宝很喜欢</t>
  </si>
  <si>
    <t>物美价廉又好穿 非常好！物美价廉，穿的舒服，只是3E的我以为我这种瘦脚会大了，没想到3E根本和平时没区别。</t>
  </si>
  <si>
    <t>好东西 东西不错，很厚实和结实，应该是正品</t>
  </si>
  <si>
    <t>超级喜欢 收到后仔细看了材料，大部分是美利奴还有30%的cashmere，材料很赞了，洗衣机羊毛档水洗后晒干毫无问题，很好打理。轻便暖和，可以说是100分了。</t>
  </si>
  <si>
    <t>鞋 有点沉，老公说了这是电工鞋，我的妈呀，我觉得很酷啊</t>
  </si>
  <si>
    <t>很好 大小合适，纯棉的，也没有之前评论说的扎人，穿起来感觉挺好的，物廉价美，工作服妥妥的</t>
  </si>
  <si>
    <t>质量不错！尺寸合适！ 版型适合！做工挺好！墨西哥产！</t>
  </si>
  <si>
    <t>不错的裤子 够肥啊 价格公道 不错 很喜欢 下次还来</t>
  </si>
  <si>
    <t>太阳能加电波GS系列同价位无敌 英亚下单，中国制造，五天漂泊到手。准确收波，更改夏时制为标准时制，每晚自动收波，分秒不差。纯黑GS系外观，百搭款。上手第一天就戴着下水游泳了。没有自动背光，没有秒针，夜间荧光够用。比小泥王有一定优势。</t>
  </si>
  <si>
    <t>非常好用的笔 这支笔挺好用的呀，f尖实测0.5粗细，适合写汉字，也出锋，价格还合适最主要的是很高大上</t>
  </si>
  <si>
    <t>好大呀！ 我以为是电动牙刷，原来是擀面杖。已经吃了几次牛油果奶昔，就为了吃这个买的。</t>
  </si>
  <si>
    <t>满意 944＋106一共1050元。让我神船还能挺5年。</t>
  </si>
  <si>
    <t>喜欢这种没有束缚的感觉 穿上感觉很贴身舒适！好像没穿一样！</t>
  </si>
  <si>
    <t>入门箱音质非常不错 大家都拿JBL305来作对比...一、黑五美亚一对305到手1200不到（VISA免邮+建行返现20%能做到）。二、305的低音不适合小空间近场聆听。305的底噪要比E5大许多，两个都有底噪（网上有牛人能做到屏蔽干扰降低底噪，比如屏蔽地线、不用无线鼠标、用技嘉的那个什么独立USB主板等等方法）。三、E5要比305杂食，人声好听大编制也不错电影游戏都能兼顾，更适合做电脑箱，当然最起码要有一个差不多的DAC或者独立声卡。</t>
  </si>
  <si>
    <t>非常满意，后续有问题再联系，因为还没有安装 很满意，比我买的国内科勒性价比高，不知道配件有没有少，好闪</t>
  </si>
  <si>
    <t>不错 穿过的ecco最舒服的一双，灰常不错，胖脚也还合适</t>
  </si>
  <si>
    <t>和面省事 很好用，就是买贵啦，最高点下单。和面省事啊</t>
  </si>
  <si>
    <t>海外购，我喜欢！ 尺码合适，国内26码，买的uk8！价格更合适！性价比很高，上脚以后感觉很舒服！第二双其乐的鞋子！很喜欢海外购！</t>
  </si>
  <si>
    <t>还比较满意 这快递，太慢了太慢了，太慢了，衣服186/180的穿最大号有点大，希望大家注意，其实衣服料子也不如ck</t>
  </si>
  <si>
    <t>龙头关不严漏水 &lt;div id="video-block-R19NPJTW9YURXQ" class="a-section a-spacing-small a-spacing-top-mini video-block"&gt;&lt;/div&gt;&lt;input type="hidden" name="" value="https://images-cn.ssl-images-amazon.com/images/I/A1QA1GTZF9S.mp4" class="video-url"&gt;&lt;input type="hidden" name="" value="https://images-cn.ssl-images-amazon.com/images/I/71z0oh+KXOS.png" class="video-slate-img-url"&gt;&amp;nbsp;买了两个龙头，一个很好，一个关不严实漏水，中彩！</t>
  </si>
  <si>
    <t>款式老旧，码很大！ 不适我国大众人群的款，客服建议的12S我还好买小了一号为10S整体仍大了一寸。款式老旧，穿上像大妈。不过面料是挺舒服的，且没有异味。退海外运费得50多，不划算，还是送人好了。</t>
  </si>
  <si>
    <t>价格便宜 价钱很便宜，衣服一般般，洗过之后扩大</t>
  </si>
  <si>
    <t>有效期不清楚 确实够大的一桶，唯一不足是生产日期有些模糊。</t>
  </si>
  <si>
    <t>Averypoorleatherbelt,thenormalwear willbescrapingflowersandpaintoff 非常差的一条皮带，正常穿戴都会刮花和掉油漆. Averypoorleatherbelt,thenormalwear willbescrapingflowersandpaintoff</t>
  </si>
  <si>
    <t>尺寸大，送货迟 7/24并未收到货。收到时已是7/28。这个尺寸比正常的xxl要大很多。我估计姚明穿正合适。</t>
  </si>
  <si>
    <t>非常满意 包装很新，出产日期也很新，不像一些评论说的都是旧的。奶瓶很好用，宝宝也喜欢抱着喝，基本没有什么味道。</t>
  </si>
  <si>
    <t>Calvin Klein 卡尔文·克莱恩 男式莫代尔平角内裤 黑色 S号 ... 物流比想象的快，内裤拿到手感觉挺小，穿上去正好，但是不得不说做工很一般，线头有两根超过3.4里面的，后面的接缝不整齐，这都无所谓，关键我没洗直接穿，里面全是布毛，弄的我腿跟私处全是黑点，地上也落了一地黑点。太恶心，没办法，退下来等洗过再穿，海外购初体验不好，不如国内30来块一条的内裤，质量神马的只能靠时间来检测了</t>
  </si>
  <si>
    <t>整体还行 比想象中的要宽松一些</t>
  </si>
  <si>
    <t>损坏 东西看起来不错，包装太简陋，收到时已损坏，处理问题很及时</t>
  </si>
  <si>
    <t>满意 喜欢 160/120穿S挺宽松的，样式也好看，价格也给力。值得买。</t>
  </si>
  <si>
    <t>很好！ 这个价格能买到，应该说非常超值了，亚马逊就是这样，有时折扣低得超乎相像，而且自营无假货。</t>
  </si>
  <si>
    <t>很不错的一次亚马逊购物体验 之前再三跟客服确认沟通说我的是快速配送只需要5-9工作日，但第二个客服给我说是普通配送要12工作日以上，结果还是很快拿到手了，非常感谢第一个客服。要是有优惠劵就好了~加上关税差不多750了</t>
  </si>
  <si>
    <t>性价比高 等了很近终于发货。东西很好用。价格很合算</t>
  </si>
  <si>
    <t>好用 轻薄，速度也还可以</t>
  </si>
  <si>
    <t>质感很棒！ 很棒，质感很好！跟牛排刀叉一起买的，相当满意！</t>
  </si>
  <si>
    <t>好看！ 好看！就是刚开始有点压脚背，但是多穿几天就好了</t>
  </si>
  <si>
    <t>适合宝宝出门的焖烧壶 颜色很漂亮，到手180左右，就是容量偏大了一点，焖粥很不错</t>
  </si>
  <si>
    <t>非常好 应该是正品！特别好</t>
  </si>
  <si>
    <t>还行还行 刷新了我对国产贝亲奶瓶没骨头的新认知……</t>
  </si>
  <si>
    <t>大家别贪便宜买到的都不会是崴货 我这个u盘买了好久，用了好久了，是一百七十几的时候买的，那时刚有全球购的活动。读取速度80m不跑写入20-30m可以接受 那些各种坏了怪rp的，自己贪便宜，别怪别人</t>
  </si>
  <si>
    <t>性价比还可以，比淘宝便宜。 束身裤的确穿着很舒服，没有束缚感，下面腿部也不卷边，如果胃部肉不多的话，也不会把肉挤到上面来。产后106斤，163cm，买的64，感觉穿不了几天估计就要买小码了。穿上瘦一圈，对腰部的塑形比肚子处感觉要好些。有点小郁闷的是，今早穿，发现上面写的中国制～</t>
  </si>
  <si>
    <t>看了别的买家的建议 果断买小2号，正好！</t>
  </si>
  <si>
    <t>是牛皮的，不知道耐不耐用 以前买过几条都没有用超过一年的，这次海外购看看美美的货好不好</t>
  </si>
  <si>
    <t>尺码差异 日本码，偏小，平时S号买M都偏小，建议购买时再大一号</t>
  </si>
  <si>
    <t>尺码偏大。 我170，80公斤，m码还是宽松了一点。不过宽容点自在，换换太麻烦。衣服本身没有问题。</t>
  </si>
  <si>
    <t>虎牌 很好的杯子，日亚够平。</t>
  </si>
  <si>
    <t>穿着舒适 挺好，蛮舒服的，本人身高180体重76偏瘦，穿m很合适。</t>
  </si>
  <si>
    <t>非常合适 非常愉快的一次购物。衣服虽然不是大牌，但是做工、材质非常好。我胸围９５公分，按尺码表推荐的买的Ｌ号正好~！</t>
  </si>
  <si>
    <t>值得购买 种草这个已久，本来想等英亚的活动时购买，那样就不用变压器了，结果美亚好价还是没忍住。关于这款机器各大论坛 各种帖子我也看了不少，说实话没有一篇详实的。有的帖子说美版的经过变压器后不能充分的发挥它的功效，因为电压转换后频率不能改变。很多晒单的帖子并没有详细介绍机子铭牌上的描述，其实这款机器的频率写的很清楚50-60赫兹，也就是说这两种频率都适用。变压器我买的景赛全铜2000w的，之前家里的舜红用了三年了，其实也挺好，连续使用几个小时都不会发热。这款景赛的好处是有三种电压输出，这样美日电器都有自己的插口。2000w带搅拌机是完全没有问题，但其实还是该选个3000w的，以方便后面购买大功率电器用。再说说这款料理机，高速十档时声音堪比装修，好在基本的榨汁 磨浆什么的一分钟足够，还能接受。冷冻的香蕉可以直接打成冰淇凌，口感细腻。煮好的各种豆子打成的豆浆非常绵密，口感甩豆浆机几条街。家里的豆浆机 原汁机 料理机都可以收起来了，有小v一个就够了。尤其早晨一分钟就能喝上或冷或热的各种果汁 豆浆，简直太方便了，而且很好清洗。最后分享个花生牛奶配方:煮熟的花生一把，六七个红枣肉，三分之二的牛奶加三分之一的水.喜欢喝凉的牛奶和水都用冷藏的，喜欢喝热的，把水换成热的加上奶，杯体温的就可以，因为打好后也就是热乎的了，无需加糖。有多好喝？你试试就知道了^_^</t>
  </si>
  <si>
    <t>偏大 非常舒服，有弹性。就是偏大。大两个号</t>
  </si>
  <si>
    <t>合适 对胖人很友好的尺码，收腹但不是让人透不过气的紧绷。163，75，84码</t>
  </si>
  <si>
    <t>性价比不错 还可以，价格不贵，做工因为产地的关系不特别精细，有点线头。</t>
  </si>
  <si>
    <t>邮寄包装还是不给力呀，还是烂掉了。。。 买前看了评论说商品寄来时没有外包箱寄过来破破烂烂的，但里面的包装没问题不影响使用，犹豫了再三还是买了。。。商品寄的很快，5天就收货了，而且有外包纸箱，但是。。。。可能因为重量比较大，外包纸箱收到以后已经烂了，里面的大包装一角也压烂了，打开以后很不幸的2个滤芯包装被挤破了。。。。3星全是给了客服小哥，沟通很愉快，发了照片过去确认，然后退了部分货款，剩下的没破的不影响用也就不退了，希望海外购产品能再重视下商品包装，毕竟漂洋过海来的，额外加倍小心些没毛病。。。</t>
  </si>
  <si>
    <t>戴了不舒服 戴在手上有不适感，不太舒服。最让人生气的是，订单被私自改了，布知道我的PL会不会被删，提示大家谨慎选择，特别是HWG，我原始订单是130RMB的表，过了几天查看进度，变成了另一块表，嗯，价值103，30就这么没了。还好只是30，要是我买了价值更贵的不得哭死。。。找客服没用，说是只能给你补偿10元的券，到现在也没有。不说了。默哀。以后不会再这里浪费金钱和时间了。</t>
  </si>
  <si>
    <t>乱发货，明明买的金色，价格贵很多，发一个黑色给我。 第一次亚麻海外购，如此不靠谱。乱发货，明明买的金色，价格贵很多，发一个黑色给我。</t>
  </si>
  <si>
    <t>很轻很柔软 602元到手，DHL晚上送到家的。选的小号，纠结一小会儿改下订单XS号，拿到手非常合适。162CM选XS</t>
  </si>
  <si>
    <t>太丑了，确实像工作服 背后还有混色，退了</t>
  </si>
  <si>
    <t>还行 这款比背心式哪个款强多了，穿上也不紧绷，还有我是孕妇，按平时尺码买的，罩杯略微偏大，如果平时买这个肯定大了。</t>
  </si>
  <si>
    <t>长袖善舞 按标注尺寸买下一号，袖子还是长出20厘米。美国人都是长臂猿后代？ 没法穿，哪天去找裁缝看看吧。</t>
  </si>
  <si>
    <t>还好吧 还好吧。袖子太长了。而且容易起球。</t>
  </si>
  <si>
    <t>评价 质量不错，正品，喜欢这个牌子的东西，价格有点贵，到货时间不算长。</t>
  </si>
  <si>
    <t>good good</t>
  </si>
  <si>
    <t>比较宽松 本人身高165cm，体重86kg，胸围106，买L号有些宽。</t>
  </si>
  <si>
    <t>身高170cm,体重60kg,胸围120cm，穿着合适。 身高170cm,体重60kg,胸围120cm，穿着合适。</t>
  </si>
  <si>
    <t>艾斯克斯好 26.5款脚面。合适。  320买了两双，到手涨到700一双。比较开心😃</t>
  </si>
  <si>
    <t>质量不错 鞋子质量很好，号拍大了，鞋号应该是正常号，跨境退换太麻烦，送人了</t>
  </si>
  <si>
    <t>推荐 174-70非常合适，面料透气舒服，推荐</t>
  </si>
  <si>
    <t>东西很不错，森记家的东西。 东西很不错，森记家的东西好评。</t>
  </si>
  <si>
    <t>给老妈买的，效果不错，有MSM 给老妈买的，效果不错，有MSM</t>
  </si>
  <si>
    <t>面料防水效果不错，是正品。 175身高，正常都是买M号，因为里面要套保暖衣服，所以L合适。</t>
  </si>
  <si>
    <t>很棒 非常棒的衣服</t>
  </si>
  <si>
    <t>不错 总体不错但是我8月1号拍下的要375元现在又便宜了有点小失望，由塑料包装，有一根笔芯断了，那么贵的东西希望快递小哥温柔一点。手感不错好上色。</t>
  </si>
  <si>
    <t>挺好的 挺好的 不过我平时穿别的鞋子都是43码的 这次买的9.5EE有点大！</t>
  </si>
  <si>
    <t>还不错 这个估计是CK最普通款，墨西哥产，比一起买的LEE差一点点，非水洗，过水会有正常掉色，平时32，这个31还大了点，但是可以接受，低腰直筒，款型颜色很喜欢，比起国内专卖店的坑爹的价格，太超值了</t>
  </si>
  <si>
    <t>good 样子很小巧，实际有115g，传输速度有待测试</t>
  </si>
  <si>
    <t>waiting for too long time waiting for too long time</t>
  </si>
  <si>
    <t>非常不错 品质非常好，物超所值，值得购买，亚马逊让人信赖。</t>
  </si>
  <si>
    <t>亚马逊购物新体验 BRAUN 博朗 系列3 300S男式电动剃须刀/充电式电动剃须刀，质量很好，剃须带劲。</t>
  </si>
  <si>
    <t>鞋码很好 不抗造 没想到这么快就收到货了 海外购唯一的缺点就是物流信息更新不及时。鞋是软皮的 穿着很舒服，但是我很倒霉 刚穿没几天 就被门框 戳坏了</t>
  </si>
  <si>
    <t>很实用 内胆不锈钢材质很好，不用担心高温了</t>
  </si>
  <si>
    <t>一次愉快的海外购 好品牌好质量不变型</t>
  </si>
  <si>
    <t>弹性好 这款挺薄，弹性大，尺码一定要算好了买，因为国外的尺码一般会偏大两码。</t>
  </si>
  <si>
    <t>so so 为数不多的认真评论 穿出去一个多小时脚踝处就磨破了，想着这是大家所谓的磨合期也没在意。后来仔细对比左右两只鞋，发现鞋的设计本身没问题但做工是真有问题，这个问题不是指什么线头多啥的那些表面问题，而是脚踝这一关键部位内部皮革接缝处严重不平整。你想想一块突出的且位置固定的硬皮革不停的抵触脚踝突出部位能不出问题吗，左鞋问题不大，右鞋问题严重，此部位两只鞋就不对称，而这些做工上本可以避免。由于皮革突出部位较厚且固定死了，至少现在我觉得想要长期穿“把皮子磨软”纯属扯淡，真要是坚持穿没准骨头都能露出来。总之看着皮厚结实是真，表面做工粗狂可以理解，但在关乎穿着质量的核心部位如此“粗狂”实在难以接受。  具体见图，尺码布上产地：MADE IN DOMINICAN REPUBLIC  多米尼亚 呵呵 说啥好呢</t>
  </si>
  <si>
    <t>偏大，无法穿着 质量还行，颜色也可以，毛里求斯生产的。对于我来说尺码太大了，海外退货太麻烦，去邮政问了，退货费就要200多，所以没退，搁着呢。。。</t>
  </si>
  <si>
    <t>磨脚 做工还是蛮扎实的  稍大  适合脚胖的穿 估计设计有点问题  鞋带全部系紧脚踝处磨的厉害  原因是脚踝包裹处就一层薄衬 导致面层皮革相接处的凸起磨到脚踝  不系最上面的那个扣凑合能穿  但总觉不跟脚</t>
  </si>
  <si>
    <t>太大 很大，我175正常国内穿40 或L。但是此款L超大，估计有国内的44码</t>
  </si>
  <si>
    <t>bad 外表是可以的。鞋子的后部镶嵌了铁片，所以第一次穿的时候走了没有十分钟就把脚踝磨出血了。鞋子很重。进口商品都很贵退货困难，希望大家不要盲目选购这款靴子</t>
  </si>
  <si>
    <t>卡脚 ecco的鞋子买了好多双了，卡脚这是第一次，后跟都磨破了～</t>
  </si>
  <si>
    <t>美国人都这么胖吗？ 想不到是这么厚的牛仔裤，而且100的腰围估计不是穿40的裤子，39足够了。想退货要自己打印标签，可是又无法显示图片，运费要125，想想都觉得麻烦啊。客服又只能邮件联系，不好，以后不来了。</t>
  </si>
  <si>
    <t>不错的鞋 外观不错，39.5码，245mm，长度正好，就是有点压脚背，进口鞋都这样吧，希望穿穿能宽松点</t>
  </si>
  <si>
    <t>没有玻璃瓶的踏实感觉！ 有一点点味儿，自己考虑不周，买了小号的150毫升，其实应该直接买227毫升的！底座小…</t>
  </si>
  <si>
    <t>还可以。就是物流太慢了。 质量不错，比较保暖，零下7度穿出去试了一下，还可以。就是码选小了。173cm，75公斤，里面一件保暖衬衣，稍微小了。还有就是海外购，物流太慢了，18天到货。退换后也不方便，退货邮费自付，退到美国100多邮费 ，购物三思！</t>
  </si>
  <si>
    <t>便宜 好用，便宜，最基础款式</t>
  </si>
  <si>
    <t>鞋子不错，偏大半码 泰国生产的，比国内的鞋码偏大半码，如果脚型较瘦，建议买小半码，鞋的做工不错。</t>
  </si>
  <si>
    <t>Timberland 添柏岚 经典款鞋 非常喜欢，性价比很高，平时37码至37.5码穿这款5UK合适</t>
  </si>
  <si>
    <t>东西不错 东西不错 物流也快</t>
  </si>
  <si>
    <t>好用 好，很好，太好了，质量不错，也方便，使用中</t>
  </si>
  <si>
    <t>非常美腻 感觉号码偏大一点，质量没的说棒棒哒，颜色好看</t>
  </si>
  <si>
    <t>满意的购物 挺好的，感觉物有所值！物流也很快！</t>
  </si>
  <si>
    <t>不错 女，37码，235cm，5.5码正好。鞋盒中无发票，发货清单等，一只鞋无鞋塞</t>
  </si>
  <si>
    <t>囤货 到手了，不错，给宝宝备着</t>
  </si>
  <si>
    <t>尺码标准，轻薄舒适。实物与图片无色差！ 尺码标准，轻薄舒适。实物与图片无色差！质优价廉！因第一件水洗后，掉色严重，故再次订购备用！</t>
  </si>
  <si>
    <t>HENBUCUO ~~ 很cool的颜色~~象印保温效果超好~~</t>
  </si>
  <si>
    <t>不错 挺舒服的，没有拘束感</t>
  </si>
  <si>
    <t>质量 买小了，不知道能送谁。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</si>
  <si>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超可爱的鞋！ 就是不耐脏……基本上每天都要洗也是醉了……</t>
  </si>
  <si>
    <t>中国生产，外国购得，价格竟然比中国便宜。 音效很好，中国产的，由海外购竟然比淘宝天猫便宜很多真令人匪夷所思，包裹外面没用胶布固定封口，望卖家以后为了产品安全可以封上在发货。</t>
  </si>
  <si>
    <t>衣服稍偏大 衣服有弹力，穿着舒适，按平常穿衣码数买的，感觉稍大了一点，满意。</t>
  </si>
  <si>
    <t>很喜欢 没有买入耳式，不喜欢听诊器的感觉，这个刚刚好，可以听很久。第一次连接手机需要一点时间，后面就好了</t>
  </si>
  <si>
    <t>量大实惠 喜欢大包装 两个人一起吃</t>
  </si>
  <si>
    <t>面料厚，版型修身 面料厚，版型修身，袖子相比普通T恤偏长</t>
  </si>
  <si>
    <t>好东西 上次买了五磅咖啡口味，运动后吃这个感觉效果不错，肌肉变得有点增大而且也紧实了，穿上衣服也更有型了，这次刚好看到秒杀价299，包邮333，真是物美价廉，日期还很鲜，等把第一桶吃完再补货</t>
  </si>
  <si>
    <t>海淘的，合适 加完税的价格也比国内商场促销价格低100，大小很合适，也适合脚偏胖的人士穿</t>
  </si>
  <si>
    <t>21k双色金尖你值得拥有 笔尖软弹，出水汹涌</t>
  </si>
  <si>
    <t>裤子很舒服 当时买的时候，客服说裤长跟我量的比稍微长了，但是拿到手里之后，对比了下确实裤子肥了点，但是穿上了之后显的很合身，真的不错，产地孟加拉，裤子很合适。</t>
  </si>
  <si>
    <t>不靠谱的鞋子 平时44的运动鞋，穿这个9.5的大一码。鞋底是真硬啊，阿三家产的。边上裁剪不齐，鞋面有摩擦，不整洁。前脚掌那有点折。包装简陋。除了一双鞋之外，啥都没有。两排的鞋带孔有点少，后跟不赶趟。退换货太麻烦，就和穿吧，但远穿段时间能变舒适。</t>
  </si>
  <si>
    <t>感觉凑合 布料非常柔软，换言之非常容易变形。穿了两次后，下摆已经变形了。 以后买polo，还是选择珠地棉比较耐穿。</t>
  </si>
  <si>
    <t>不太喜欢 不太喜欢这个颜色，实物颜色发红，所以没穿。很薄，谈不上保暖。</t>
  </si>
  <si>
    <t>建议入手日版.这件衣服不建议 这衣服掉绒比较严重..  我买了两件都是掉绒..  不过掉绒归掉绒..暖是没得说（不知道绒掉完了会不会不暖了）我建议买日行的..质量更高..虽然价格更高就是了..这件衣服码数S码是日本码的L码..自行注意</t>
  </si>
  <si>
    <t>不咋样 面料不咋地，太硬，很不舒服，还没9.9包邮的好</t>
  </si>
  <si>
    <t>质量极差，不建议购买 刷头的质量非常差，居然还能裂开。。。。图还传不上去，第一次差评送你了</t>
  </si>
  <si>
    <t>不推荐购买 看起来质量很次，版型宽松，没型</t>
  </si>
  <si>
    <t>我想知道怎么验证真品 曼喜欢这种简约设计风格，这个价位能够买到还是挺实在的。就是不知道是不是正品，心里没底啊！</t>
  </si>
  <si>
    <t>轻便 轻便，建议按皮鞋码买，我按NIKE运动鞋码买的，上脚略微长估计0.5厘米左右</t>
  </si>
  <si>
    <t>[[ASIN:B01D1XC4NI Clarks Women's Orinoco Club Chelsea Boots Brown (Dark Chocolate Leather) 6.5 UK]] 第一次尝试这个品牌的鞋子，看看是否适合。本人学生时代参与运动项目，所以脚比较厚实，脚背偏高，国内的正39码（24.5码）鞋有点紧，39.5 正码正好， 但大厦专柜都很贵，也很少有这个码。所以转向美码（九熙：8.5码的穿几天后会很松）或英码（有一双6码的凉鞋，夏天穿很紧，冬天试穿 正好） 。现在年纪大起来了，喜欢宽松了，所以都买40的码了。之前 看评论说脚背处可能会有点紧，所以就买大了一码，拿到手一看，英码6.5 ，美码是9码（看着9码，感觉自己买大了二码）。穿在脚上稍显粗旷。脚感：脚背处很紧，前撑处宽度足够，鞋子内里长度足够，脚背处卡住了，无法往前伸，所以前面还空着一截，有一厘米的样子。希望穿穿会松一点。我的好几双鞋两只鞋的前半部分看起来都不协调，不一致。不知什么原因，这双鞋子也给我这种感觉，两只不一样，仔细看还很明显，但我属于大大咧咧型的， 所以也就随它去了。个人感受，仅供参考</t>
  </si>
  <si>
    <t>评论 鞋子不错，只是接口处有点硌脚，鞋内会轻微掉色～</t>
  </si>
  <si>
    <t>没有预期的好 腰高，比较松，易起球。</t>
  </si>
  <si>
    <t>海外购优惠大大的，很喜欢，鞋型经典，颜色也很正 海外购优惠大大的，很喜欢，鞋型经典，颜色也很正</t>
  </si>
  <si>
    <t>推荐购买 非常喜欢!颜色，样式，大小都符合自己的要求。160/60，买的S，很宽松，长度刚好盖过屁股。跑步正好，不会太热。推荐购买!</t>
  </si>
  <si>
    <t>哎、没看仔细，国产 国产的，荷兰产这价格不够</t>
  </si>
  <si>
    <t>买过的最满意的一件衣服 质量很好，做工很好，173,68,肩宽41,稍壮，选的S，很合身。这个版型我很喜欢，优惠时550+80入的黑色，很超值。 填充料虽然是聚酯纤维，但是真的很保暖啊，10度的天热死我了 想问一下，手机亚马逊怎么发图片啊</t>
  </si>
  <si>
    <t>实物很好看 很喜欢这个颜色。</t>
  </si>
  <si>
    <t>面料很舒服 看评论说紧身版，买大一号，上身效果正好，面料真是舒服</t>
  </si>
  <si>
    <t>性价比高 皮子柔软，型好，老婆很喜欢</t>
  </si>
  <si>
    <t>赞一个 很轻，保温效果也好，送货也没有想象中的慢，很不错。</t>
  </si>
  <si>
    <t>性价比高 还是和之前一千多买的国产哥伦比亚不一样，做工和上脚的感觉差一点，不过这个价格还要啥自行车。</t>
  </si>
  <si>
    <t>很舒服推荐 回购的产品，质量很好，搞活动合着50多一条，两条包装，大码胖人穿，感觉很舒服很有安全感都抱住了，不薄，但是也不捂的上，不是低腰的中高腰吧，反正就是我感觉很舒服，推荐。中国制造</t>
  </si>
  <si>
    <t>太大了 买小2号才可以穿</t>
  </si>
  <si>
    <t>质量不错，但是商品描述不清晰 双面皮带，大气，看着不错。遗憾的是商品的描述缺少细节，到手才发现宽度是3.5cm宽，M号的长度感觉足有110cm，2尺5、6的腰都没问题，更像是男士皮带。之前刚退货了一个三无皮带，这次不想折腾了。</t>
  </si>
  <si>
    <t>海淘腰带比较靠谱 质量很不错，价格也很实惠。</t>
  </si>
  <si>
    <t>很喜欢这款产品 已使用这款产品多月，读写速度很快。</t>
  </si>
  <si>
    <t>舒适，合身，划算 质量可以，够舒适，颜色稍微深了点。但整体满意！</t>
  </si>
  <si>
    <t>感觉很好！ 东西不错，穿着很舒服，只是本人身高170，尺码36稍微大了一点，其它物流也很快，比较满意！</t>
  </si>
  <si>
    <t>裤子不错 好评，尺码准确，裤型不错</t>
  </si>
  <si>
    <t>挺好的 脚腕那穿脱时有点紧，鞋身不算厚，零度以下可能会冷，当然个人体验会有不同，但是不失为一双好鞋子。</t>
  </si>
  <si>
    <t>建议170cm 最好买m码 170/72  衣服s码太小了，不知道他们怎么穿下去的</t>
  </si>
  <si>
    <t>Gteat Awesome item</t>
  </si>
  <si>
    <t>衣服由点偏大 大家买衣服要相信自己的身材，别买大了</t>
  </si>
  <si>
    <t>印度产，质量还不错 趁着prime会员到期前再买了一单，这次型号是NP2167O的Trunk，比low rise的稍微长点，产地是印度，颜色是蓝色系三件，虽然没有美亚便宜，但比国内平台买还是优惠太多了。</t>
  </si>
  <si>
    <t>不推介 内衣乳晕部位设计有问题，两个凸起，穿起T恤就看到两个突突，什么逻辑，不推荐购买</t>
  </si>
  <si>
    <t>尺寸偏小感觉 因为是纯棉的，所以没有弹性，2尺2的腰围选了这个穿起来不舒服，只能放着了……</t>
  </si>
  <si>
    <t>追加使用后感受～ 收到的时候只有左右各一个贴纸，外包装没问题，里面白色塑料有破损。感觉贴纸时间久了不牢固再贴的也有可能，不一定都是二手的，还是看机器怎么样吧。不过旗舰店评论也有人收到过带着毛发的二手产品，感觉这牌子品控微妙。 海外购售后很麻烦，有预算还是建议其他品牌。客服说拒收的话不退运费税费，已经收到的担心二手的用酒精棉清洁一下吧。 用了三次，真的有效～</t>
  </si>
  <si>
    <t>不划算，蜡笔居多，底下一层两排重复 蜡笔居多，底下抽屉两排一样的颜色，性价比不高</t>
  </si>
  <si>
    <t>质量有问题 有质量问题，电源插头和音箱的链接特别送，基本上一会就掉下来了</t>
  </si>
  <si>
    <t>做工较差，线头多。 裤子的做工一言难尽，线头过多，内里很多细节非常糟心，要不是打折这价钱入得便宜，这钱可花得真不太值。大小倒是异常合适，裤型是偏那种宽松西裤的，而且高腰，可惜是单粒扣，要是双粒扣的就非常稳了。买来搭皮鞋非常ok。发的顺丰，感觉顺丰这次慢了些。</t>
  </si>
  <si>
    <t>还可以 8岁以下的宝宝用比较合适！中国制造！</t>
  </si>
  <si>
    <t>号略小 质量是没得说，hin好。但是这个倭国的码感觉比较小。好在能穿。165，59km，m码</t>
  </si>
  <si>
    <t>7分 使用率还可以，后来专门喝奶用吧</t>
  </si>
  <si>
    <t>囤货买着 看推荐买的、吴尊同款哈哈哈、60多两把好实惠</t>
  </si>
  <si>
    <t>很器用 虽然买来好久了，就绞过一次肉馅。速度力度都很好。肉馅很快就能绞碎碎。但是菜就算了，会变成蔬菜汁。😅</t>
  </si>
  <si>
    <t>质量好版型好，就是有点大了下次买小一号 买大了，不过可以送人不想换了，质量不错，版型也很好，价格合适</t>
  </si>
  <si>
    <t>很好很强大 平时选10M，44，都可以，刚刚好，穿着很舒服</t>
  </si>
  <si>
    <t>保暖神器 冬天穿去办公室后好热，能满足我的要求，薄而暖</t>
  </si>
  <si>
    <t>袜子很好价格美丽 日亚包装完美，一起四双一百多价格合适</t>
  </si>
  <si>
    <t>舒适 开始有些硬,软化后实在太舒服,通勤休闲都不错,适合长时间的穿着.谢谢亚马逊带来物美价廉的商品</t>
  </si>
  <si>
    <t>便宜 和在店里的一样，可是便宜好多呢。不过喝母乳的宝宝都不太会用奶瓶，希望这个宝宝用了能喝水喝奶吧</t>
  </si>
  <si>
    <t>很好 不错，便宜</t>
  </si>
  <si>
    <t>好评 衣服挺好的，但小了半个码，将就着穿吧。</t>
  </si>
  <si>
    <t>Lodge 洛极 制造公司铸铁方烤盘 终于解决烤牛排的问题了！加热均匀。</t>
  </si>
  <si>
    <t>质量很好 通风透气，白色较透明</t>
  </si>
  <si>
    <t>物美价廉，舒适大方 物美价廉。</t>
  </si>
  <si>
    <t>11 这样的价格买单lee 质量也行，非常满意！</t>
  </si>
  <si>
    <t>价格美丽，尺码正常 尺码按正常买就行，平常耐克阿迪37-37.5，这款买38大了一点，但系上鞋带或者穿厚袜子也行。没什么瑕疵，可以。</t>
  </si>
  <si>
    <t>超棒，暂时听不出来和kosspp有太大区别，毕竟物超所值，才99 我真的是忍不住好评，第一，物流超快，从美国洛杉矶，到江苏常州镇江，才7天啊，我就收到了！我自己都不相信啊，这速度堪比内地快递到新疆啊，希望亚马逊火起来，这么认真的做电商，值得大家关注和鼓励！，耳机很好，听起来和koss pp差不多，价格才99，很多人觉得外形不好看，这是硬伤，但是我不在乎！我就是听声音的！哈哈哈哈，开心！</t>
  </si>
  <si>
    <t>性价比还是可以的 大家有照片，我就不上图了，音质是比原来的苹果小白强，可以听出来很多细节，但是感觉没有提升很多，用的手机和电脑直推，隔音效果比较好，没用过别的耳塞，反正这个不算很舒服，还有就是线看起来好廉价啊，感觉一撤就会断，停诊效应很严重，应该是所有入耳耳塞的通病</t>
  </si>
  <si>
    <t>非常好用 很满意</t>
  </si>
  <si>
    <t>物有所值 面料柔软细腻，夏天穿着透气舒适</t>
  </si>
  <si>
    <t>算不错 衣服虽然不是全棉，但质地柔软，穿着舒服，本人比较胖，个子矮，衣服片长，稍微显得肥大。</t>
  </si>
  <si>
    <t>不错 走路很舒服</t>
  </si>
  <si>
    <t>虽然不是10061，也是款不错的大黄靴 虽然不是10061，也是款不错的大黄靴</t>
  </si>
  <si>
    <t>不建议购买 大小合适，只是实物比较丑</t>
  </si>
  <si>
    <t>漏发 少了勺子和动物标志，另外图片诱导人，有两张有水杯和袋子，下次一定要看仔细，漏发的还在和客服商量。</t>
  </si>
  <si>
    <t>慎重购买 总体还可以，可惜中国菜用不到这么多，一个炒锅足矣</t>
  </si>
  <si>
    <t>褪色 包装很糟糕，只用一个塑料袋包着。最让人生气的是褪色。洗了好几遍还褪色。我想退货。结果发现流程非常麻烦。</t>
  </si>
  <si>
    <t>鹿头毛刺太明显，孩子啃啃就哭，估计扎嘴。 鹿头毛刺太明显，孩子啃啃就哭。</t>
  </si>
  <si>
    <t>非常喜欢 好穿 我168cm、57kg 女 想要oversize的感觉 就买的m 袖子超级长 很肥大 其实s也是可以的 m穿起来很有感觉 建议小个子女孩子还是买s 我朋友 男 173、88kg穿m合适 可参考 略掉毛 有线头 不过这个价格来看很实惠了 内里带绒很亲肤</t>
  </si>
  <si>
    <t>裤型好看 31x30 身高173cm 70kg 合适 版型也好看</t>
  </si>
  <si>
    <t>可以撑很久了 下单后等了4周才发货，差不多一个月到手，噪音还行，写入速度很一般，刚到手就听闻特价到柒百多了，不开心</t>
  </si>
  <si>
    <t>掉色 款色、版型合身，美中不足是初洗掉色严重，一般子蓝水，也许以后都不敢放洗衣机了。</t>
  </si>
  <si>
    <t>实惠的价格 大小合适，价格也很实惠，就是感觉略薄了一些</t>
  </si>
  <si>
    <t>第一次购CK 款式很普通但穿着很舒服，满意。</t>
  </si>
  <si>
    <t>好穿 好穿 以前在美国买过 差不多款式</t>
  </si>
  <si>
    <t>做工还可以 大了很大</t>
  </si>
  <si>
    <t>不错 挺好的</t>
  </si>
  <si>
    <t>大小合适，质量好 我182，80公斤，买M正好，主要是看了前面朋友说号偏大，没敢买大号，这次正好，供后面购买的朋友参考。</t>
  </si>
  <si>
    <t>不错不错啊 不错，很软的奶瓶。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</si>
  <si>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什么时候穿 运动时穿或夏天在家或度假穿很悠闲</t>
  </si>
  <si>
    <t>弹性好 这条裤子太好了，牛仔裤弹性很足，185 185买了34×32大小刚刚好。</t>
  </si>
  <si>
    <t>音质不错 耳机音色很好！价格美丽！东莞产的</t>
  </si>
  <si>
    <t>biom就是舒服 舒服，舒服，舒服。biom就是舒服</t>
  </si>
  <si>
    <t>不错 很不错，做工不错，厚薄合适</t>
  </si>
  <si>
    <t>希望帮助想买的人 与期望相符，材质手感不错 170,75,s码合身</t>
  </si>
  <si>
    <t>尺码偏大 有点大了</t>
  </si>
  <si>
    <t>很好 3637的脚买了6.5加宽，冬天穿厚袜子正好，薄袜子听松的，脚脖子那里别把鞋带系紧就不会卡，价格很合适了，加税560好像</t>
  </si>
  <si>
    <t>质量非常好 质量非常好，天天被孩子摔，丝毫不受损，保温效果也很好。</t>
  </si>
  <si>
    <t>很好，做工也不错 鞋子质量不错，送给老人很喜欢，冬天穿即保暖也防水。性价比也高。</t>
  </si>
  <si>
    <t>音质不错，要求不太高的用户值得入手 平时对音质要求不是太高，只是平时电话会议比较多，这个耳机挺舒服的，音质也不错。</t>
  </si>
  <si>
    <t>挺好的裤子 收藏了一段时间，了解一下裤子的号码，买了38x30号的（1,76米，85kg，腰围100cm）。穿着正好，如果冬天穿的多的话不行。裤子的布料比国内买的柔软一些。物流10天，总体挺满意的。</t>
  </si>
  <si>
    <t>价廉物美的存储硬盘 3月11日下的单，3月16日就收到了。用来存储视频文件，传输速度从130-200 mb/秒。用的时候震动比较大，待机的时候很安静。打开看了，是氦气盘，希望能耐用。</t>
  </si>
  <si>
    <t>材质一般 身短 手长 肩部带类似运动装散热隐藏折 材质一般</t>
  </si>
  <si>
    <t>呵呵 呵呵，稍微大了一些!</t>
  </si>
  <si>
    <t>不是亚马逊自营的 不是亚马逊自营的，买的时候一定要看清楚！之前没看清楚，卖家也不给退，也懒得折腾</t>
  </si>
  <si>
    <t>暖和 小码，适合穿中码的我。7折入手，很划算。</t>
  </si>
  <si>
    <t>略粗糙 大小和国内码差不多，虽然是棉布，但面料摸着不舒服，松紧部位略粗糙，不建议购入</t>
  </si>
  <si>
    <t>损坏了 感觉发货前就损坏了，盖子没有掉，但是拿到手，盖子一边的插销就已经脱落了。。。用起来还好，没有用过其他的不好对比，只觉得一档就会有点疼了。</t>
  </si>
  <si>
    <t>不满意 12号下单，今天早上就到了，这么快正常吗？让我很生气的是才买了几天就降价一百多，这样真的没人有意见吗？笔还没有用，不知道好不好用，反正心里很不痛快</t>
  </si>
  <si>
    <t>这版型真心不行呀呀 这版型，太丑了！失望</t>
  </si>
  <si>
    <t>颜色偏粉 颜色偏粉，质量不错，如果能便宜点就好了</t>
  </si>
  <si>
    <t>还不错 很可爱的杯子 没有异味 质量放心 就是保温效果一般 不过给孩子用也可以了</t>
  </si>
  <si>
    <t>不太好用 跟风买的，不太好用。</t>
  </si>
  <si>
    <t>合适 鞋子比较喜欢</t>
  </si>
  <si>
    <t>不错，值得拥有。 不错，运动型手表，户外用值得拥有。送小朋友作为生日礼物不错。。。。</t>
  </si>
  <si>
    <t>推荐 朋友非常喜欢。值得推荐</t>
  </si>
  <si>
    <t>质量好 颜色比图片更艳一些，很厚实，看起来质量好</t>
  </si>
  <si>
    <t>好 好大好实惠，非常保暖</t>
  </si>
  <si>
    <t>颜色暗 刚收到，质量很好，对脚宽的人行道此鞋稍稍瘦了一点</t>
  </si>
  <si>
    <t>好 一如既往地好，大小合适，棉质</t>
  </si>
  <si>
    <t>性价比高 卫衣做工可以，薄厚适中，价格比天猫便宜很多</t>
  </si>
  <si>
    <t>喜欢～ 不错，比国内价格便宜啊，而且似乎支持全球联保。</t>
  </si>
  <si>
    <t>质感好 面料的手感好 做工精细。就是略微有点大。很好</t>
  </si>
  <si>
    <t>不黏腻 很好用 泡泡糖口味，彩条状特别吸引小孩子，作为大人我试用一次才给孩子使用，口感微清凉，泡泡细腻不黏嘴，泵型挤压造型有趣孩子喜欢用它刷牙~</t>
  </si>
  <si>
    <t>偏紧 胸围104，体重76，不锻炼时臂围38.5，L号上身有点紧，也许大一号上身会更轻松些。料子比较细腻，贴身穿很舒适，颜色也正，和图片展示的一样（同款买了2件，1蓝1灰，本款衣服没拍照，上传的图片是灰色款，质感和版型大小完全一样）</t>
  </si>
  <si>
    <t>看起来不错 看起来不错，天凉了，没穿</t>
  </si>
  <si>
    <t>DW5600E-1V 以前用的是双狮的自动表，防水但是不防震，所以一直想换一块防水防震的。在某包、某猫、某东看了好久，也在中亚找了好久，觉得还是CASIO的G表才适合我，但是价格偏高。这个型号一直加到购物车都没有下单。11月20几号美亚还是三百多，都准备放弃了，没有想到来了个大促，才一百八十多，赶紧下单。从11月27号下单，到今天中午到手，整整半个月！ 今天中午中亚送货员给我打电话说货到了（前天收另外一个货的时候给他说过，再次感谢中亚本地送货员王湘兵，这是一个很负责的人，跟他接触有好几年了）。 这块表跟预想的差不多，就是表带偏硬了点。3229，国产，说明书是马来西亚印刷的，无中文，表带上没有通常有的吊牌。设置操作简单，照着百度文库上的多搞两次就熟悉了。 简单、大方、耐用应该是最核心的体现，所以成为经典。 相关测评，网上能否找到很多，也就没有必要重复做了。</t>
  </si>
  <si>
    <t>好用 非常好用，孩子喜欢咬，咬断好几个了，有配的吸管，挺不错的，这样不用再买杯子了。</t>
  </si>
  <si>
    <t>非常超值的三瓣鞋，符合预期。 平时耐克阿迪之类的运动鞋是穿41，这双特意到Clarks店里试，发现是40码比较合适，寄过来果然和国内的尺码一样，价格能便宜接近一半，相当超值了。这鞋缺点是鞋底比较硬，走路太接地气，不适合长途跋涉的时候穿。</t>
  </si>
  <si>
    <t>划算 这个价格划算，质量挺好。邮寄很快。断电也能出水，挺好</t>
  </si>
  <si>
    <t>东西不错~ 亚洲人180.75KG M号就好</t>
  </si>
  <si>
    <t>再也不用担心硬盘不够用了 再也不用担心硬盘不够用了</t>
  </si>
  <si>
    <t>美中不足 空间太大很好用，但自带电源使用起来很麻烦。若果能自带无线WIFI传输数据就完美了。</t>
  </si>
  <si>
    <t>不错 不免运费，有点亏</t>
  </si>
  <si>
    <t>推荐购买 穿上很舒服，感觉没有穿一样，柔软！唯一不足就是屁股后面缝纫不是很精细，埃及产</t>
  </si>
  <si>
    <t>掉色严重 失望 为什么这么贵的衣服买来却是掉色？而且晾了起来还把毛巾染色了😠 真的掉色很严重！</t>
  </si>
  <si>
    <t>不要购买 没有国内买的好，振动感太大</t>
  </si>
  <si>
    <t>差 褪色掉绒，比安德玛差太多</t>
  </si>
  <si>
    <t>颜值大于实用的一款鞋 因为之前在实体店试过，所以鞋码还算合适。优点就是外观好看，很文艺，皮质很软，鞋很轻；缺点也很明显，北方灰尘大，白色很不耐脏，而且这种皮质沾上脏东西很难清理。鞋底比较薄，也比较硬，步行很不舒服，一定得再配一个比较软的鞋垫。透气性很好，大热天穿也不太出汗，总之可以体验一下三瓣鞋，应该不会再购买。看这个结构，估计穿不了多久就废了。</t>
  </si>
  <si>
    <t>很差，不好。 很差，不好。很差，不好。很差，不好。很差，不好。很差，不好。很差，不好。</t>
  </si>
  <si>
    <t>怀疑是假货二手货 拉链都是ykk的，铜扣子也锈了，还有消毒水味道，logo上没有x线。假的，二手的。赔我。</t>
  </si>
  <si>
    <t>外包装咧大口子，幸好笔还在 差评是给包装的，薄薄的箱子咧大半嘴，要吓死人啊！鞋合子变形了都，和笔合子粘一起，幸好没丢！</t>
  </si>
  <si>
    <t>注意尺码 172cm/70kg，买了m，穿上去大了很多，袖子长了一截。而且英国亚马逊只退不换，而且得自己去邮局寄回亚马逊。</t>
  </si>
  <si>
    <t>kvl8320s 产品送货快，但是开封的包装箱，机器是新的！</t>
  </si>
  <si>
    <t>稍微大，质量好.可以作为红翼的廉价版使用。 我亚瑟士穿42的，新百伦us8号，这次买us8号稍微有些大，一点不影响。可以穿厚袜子或者垫鞋垫。 品质不错，厚重，结实。粗狂，遒劲</t>
  </si>
  <si>
    <t>太大 182/70公斤，穿L太大，M差不多了，老外的尺码就是大</t>
  </si>
  <si>
    <t>正装衬衫 价格不错，下摆很长，只能扎裤子里穿</t>
  </si>
  <si>
    <t>买小了 高估自己了~试国内的36号还有点大 选了5.5，但是小了。应该买6/6.5以上。平常36.5 的脚~给大家做个参考</t>
  </si>
  <si>
    <t>多大 170，64kg，M正好，很满意</t>
  </si>
  <si>
    <t>一直用这款奶瓶 孩子挑奶瓶，这款还不错！</t>
  </si>
  <si>
    <t>Nice experience, very good! Really surprising excellent experience, only music around you while background noise are cancelled.</t>
  </si>
  <si>
    <t>Calvin Klein Men's Regular Fit Non Iron 颜色、款式、质量都很棒，不愧为CK品牌。</t>
  </si>
  <si>
    <t>保温效果好。 保温效果好，开水一般24小时后还有点烫。</t>
  </si>
  <si>
    <t>包装好 一直喜欢在亚马逊买东西，很靠谱。包装特别好，还没用呢，应该不错！</t>
  </si>
  <si>
    <t>不二选择 鞋底软，平时走路穿很适合</t>
  </si>
  <si>
    <t>这波可以 物流速度挺快的，手表感觉不错，就是表带有点硬</t>
  </si>
  <si>
    <t>非常舒服 合身 非常合身 平时穿27的 这条6号正好 如果要紧一点可以选择4号</t>
  </si>
  <si>
    <t>东西不错 包装完好！东西也没有任何损伤，完美！走时准确！就是配送时间超长，11月6日下单，11月19号才收到。</t>
  </si>
  <si>
    <t>好评 尺寸稍微偏大，性价比比较高。</t>
  </si>
  <si>
    <t>非常舒适 款式新颖别致，用料考究，穿上很舒服</t>
  </si>
  <si>
    <t>挺满意的 客服态度很好，问题积极解决，耳机收到了，感觉一般，看来我是木耳朵</t>
  </si>
  <si>
    <t>好笔，f尖顺滑无比 很有质感，很有分量，就是包装简陋点了，不过没啥，笔是好笔，</t>
  </si>
  <si>
    <t>好东西一定还会再来买 很好的质量尺寸也正好</t>
  </si>
  <si>
    <t>装不了吸管 还没开始用，装不了吸管，只能直饮</t>
  </si>
  <si>
    <t>嗯 样式很好看，就是有点大</t>
  </si>
  <si>
    <t>好评 不错，仔仔很喜欢，做工好</t>
  </si>
  <si>
    <t>块状彩铅 很好呀，细腻！</t>
  </si>
  <si>
    <t>物超所值！ 看了不少关于这个型号监听音箱的评论，最后还是决定下单，因为性价比太诱人了。送货很快，隔天就收到，其实没有超过24小时。外包装没有，原包装没有受损，还贴了封条。音箱仔细检查了一下，没有受损的痕迹，大小适中，对一个十多平米的空间来说适当。接下来试了各接线口和音质，接口简洁、恰好够用。开机后略有一点静音噪声，贴近耳朵才会听到，完全可以接受。应该说物超所值，特别是在播放无损格式音乐时，效果非常之好，超出预期，对这样价位的音箱，有这么好的声音表现，真是非常满意。为这个音箱点赞👍</t>
  </si>
  <si>
    <t>掉毛相当严重 我已经很多年没有穿过掉色（掉黑毛）这么严重的黑色内裤了。 手动smile。 上个厕所，不忍直视的掉毛。</t>
  </si>
  <si>
    <t>一般般颜色喜欢 一般般吧，感觉用料好轻薄的感觉</t>
  </si>
  <si>
    <t>建议大家买日版，美版其实很一般 这个价格这个质量还不如买国货，外国人的屁股不是应该很大吗？身高175 体重58Kg买的S码感觉下摆紧，肩膀脖子那里却刚好，而且衣服偏长，感觉很奇怪的版型。同时购买了一件日版的是这个价格的3倍多，但是质量好太多了，日版按国内正常尺码购买即可，美版的再也不敢买了很一般</t>
  </si>
  <si>
    <t>不值得这个价格 跟国内专卖店比较还是有差别，衣服穿两次变形</t>
  </si>
  <si>
    <t>不靠谱 物流运过来包装已经打开，可以随便拿出来，两瓶封装的包装袋已撕开，是不是给调包就不得而知了，不太靠谱。</t>
  </si>
  <si>
    <t>衣服轻，诚信重！ 一直喜欢这个牌子的衣服，这件衣服的样式和颜色均不错，但尺码与衣服的尺寸有出入，最重要的是自收到衣服至今都不敢穿，浓郁的化学气味非常刺鼻，洗后仍然如此。失望的购物经历一言难尽、。愿看到此评论的供应商召回检查并处理已售衣服上的气味，如存在有害物质也可让忠实顾客免于受害。</t>
  </si>
  <si>
    <t>正品 很假看起</t>
  </si>
  <si>
    <t>. 有点大，将个烂就</t>
  </si>
  <si>
    <t>一双好鞋 各方面都比较满意，大一点穿着也挺舒服，只是做工略有点糙，外面的PRO标略歪，不过整体不错，价格比专卖便宜太多了，也值得等10多天的国际快递。</t>
  </si>
  <si>
    <t>CK品牌新产品 休闲慢跑裤</t>
  </si>
  <si>
    <t>鞋面偏窄，有印子 38的脚，买的5UK，鞋子刚刚合适，建议瘦脚购买，一只鞋面上有多条深色印子，感觉是瑕疵品，四百多的鞋也就懒得退了</t>
  </si>
  <si>
    <t>值得推荐 又买个四季的两条，薄的4.5在有暖气21度的暖气房盖着正好，10.5的适合没暖气的房子，被子柔柔的暖暖的，没有响声和钻毛，值得推荐，就是做工差点。对于尺寸买时研究了好久，把尺寸照片发给大伙参考</t>
  </si>
  <si>
    <t>完美 放了购物车好长时间的鞋子，等到黑五终于降了几十块，心里觉得总算便宜了，立马下单，收到试穿后简直觉得完美，真想多买一对^_^^_^好喜欢好喜欢</t>
  </si>
  <si>
    <t>还不错，价格也还OK，就是物流有点久，能理解毕竟从美国直邮，好评！ 还不错，价格也还OK，就是物流有点久，能理解毕竟从美国直邮，好评！</t>
  </si>
  <si>
    <t>杂食的耳机 听任何类型的音乐歌曲都行，杂食，低频很猛</t>
  </si>
  <si>
    <t>k240s 一个声音很正面的耳机，音染少 人声真实，还在煲~~</t>
  </si>
  <si>
    <t>ecco很好 鞋底挺软，鞋型好，防滑耐磨</t>
  </si>
  <si>
    <t>159.48kg 159 48kg穿m码合适。衣服偏薄适合秋天穿。整体偏宽松，但是袖子很窄，我的手臂是算瘦的那种，袖子那还是非常紧贴。面料质感都很好。</t>
  </si>
  <si>
    <t>好 这就是明星产品，质量顶呱呱。</t>
  </si>
  <si>
    <t>挺好 骨盆带挺好的，用着也挺方便的</t>
  </si>
  <si>
    <t>很好 很好，以前从不去评价，不知道浪费了多少积分，现在知道积分可以换钱，就要好好评价了，后来我就把这段话复制走了，既能赚积分，还省事，走到哪复制到哪，最重要的是，不用认真的评论了，不用想还差多少字，直接发出就可以了</t>
  </si>
  <si>
    <t>做工不错 白色的好看，做工也可以，龙头很重，好</t>
  </si>
  <si>
    <t>建议买大两码 看过大家评论不是太好，但还是买了两条。不是便宜吗，而且样式不错，另外我觉得天木兰的质量不会太差的。收到货，包装果然简陋，皮带有些粗糙，不过很符合户外的风格啊。皮带不是很厚但是挺宽，反正我觉得很好。这个价钱，再选我还是买它。</t>
  </si>
  <si>
    <t>物美价廉 声音还原真实，三频都不错，尤其低音弹性有力！耳罩柔软～</t>
  </si>
  <si>
    <t>很不错 棒棒哒，物有所值 而且特别重</t>
  </si>
  <si>
    <t>荷兰产，价格有点贵， 荷兰产这个是可以确定</t>
  </si>
  <si>
    <t>尺寸准 32腰围合适，长度长了一点要去改裤脚。</t>
  </si>
  <si>
    <t>有一点小，还好我头小 颜色正点，漂亮，喜欢</t>
  </si>
  <si>
    <t>181,80,穿L合身 不是中国产的，181,80,穿L合身。同款，中国产的在欧洲专柜折后大概也500+。</t>
  </si>
  <si>
    <t>的确不错的硬盘，运行也安静~~~ 这是一块的确不错的硬盘，运行也安静~~~发货和包装都比较满意，包装这是其它电商要好好学习的~~~</t>
  </si>
  <si>
    <t>很好 这个好喜欢，价格便宜尺码合适，男票180，140上身壮L正合适</t>
  </si>
  <si>
    <t>喜欢就好 真的，不要在意所谓的测评。既然大家都在装逼，说这不好那不好，3W以下听个响云云。。。不如按照最简单的感觉，自己喜欢就好。。</t>
  </si>
  <si>
    <t>鞋子穿起来比较舒服 在国内一般穿41.5的，买的EU42的，大小合适，穿起来比较舒服</t>
  </si>
  <si>
    <t>实测白色比黑色大一码 172/75kg同样买的是s，健身，喜欢修身款贴身打底，白色很好紧身正好可穿，黑的比白色小一个码像xs很勒，发现还破了x黑色退了。建议用身材喜欢宽松的买m码。</t>
  </si>
  <si>
    <t>表罢工了，不走了 用了不到两周就不走了，不知道是不是没有电了，运气不好。</t>
  </si>
  <si>
    <t>怀疑不是海外购 袜子有点厚，看上去质量还好，不过发货到收货才用3天时间，有点怀疑是否是海外购咯</t>
  </si>
  <si>
    <t>海外购无售后，买东西好坏全凭手气。 收货整整两个月，使用没几次就充不了电了，试了好几个好用的线都无法充电，指示灯不亮，问了客服海外购商品收货30天内可以退货，超过30天就不管了，没有任何售后了，看了他们说的退换货说明是30天内保证产品完好不影响二次销售的情况下可以退货，如果东西是坏的是不是只有自认倒霉？看来亚马逊海外购就是完全没有售后的，这符合相关规定吗？</t>
  </si>
  <si>
    <t>假货 假货，国条都被黑笔涂了，买了4瓶，吃了两瓶了才发现，晕死，不敢吃了，还不能退货</t>
  </si>
  <si>
    <t>质量一般 质量一般，掉色，穿一次就线头就掉了，腰带的皮筋都断了</t>
  </si>
  <si>
    <t>衣领洗过后变大 灰色水洗2次后，领子变得异常的大啊，完全没型了，有点尴尬。黑色看起来还行。白色还没洗过，待检验</t>
  </si>
  <si>
    <t>很实惠 很棒的商品哦！适合市场使用。而且平均下来的价格比在国内常用的电商平台还要便宜。</t>
  </si>
  <si>
    <t>还不错 买大了一码，正合适，做工不错，值这个价格。</t>
  </si>
  <si>
    <t>满意 日码会偏小一点的，不过样式好看，很满意</t>
  </si>
  <si>
    <t>很满意的购物 非常不错，大小合适，是正品</t>
  </si>
  <si>
    <t>非常好的产品，非常省心的海外购 硬盘很好用，传输速度保持在80m-110m，发热和噪声都很低。硬盘声音几乎听不到，插在电脑上一整天，只有一点热 外形小巧，不到两个普通香烟盒大小，红黑的色彩显得朴实不张扬，但也很醒目，很容易找到。 这是我用过的最好的一块硬盘。</t>
  </si>
  <si>
    <t>便捷 使用非常便利。3分钟之内能喝到一杯口味纯正的意式咖啡。办公室神器。</t>
  </si>
  <si>
    <t>鲜奶+蛋白粉 用鲜奶冲泡，非常好喝。</t>
  </si>
  <si>
    <t>挺好的东西 不错哦，买的第三个了</t>
  </si>
  <si>
    <t>Nature Made 天维美 高浓度辅酶Q10心脏养护软胶囊 80粒 保质期很长，美国品牌应该不错，亚马逊应该是正品，会继续回购的。</t>
  </si>
  <si>
    <t>尺寸合适 身高177体重145买的L号尺寸刚刚好，颜色比较正！</t>
  </si>
  <si>
    <t>LEE T恤 品质不错的商品，物美价廉</t>
  </si>
  <si>
    <t>不错 买了M号。183cm，100kg的朋友穿正好。。然后送他了。质量不错，轻薄且保暖。</t>
  </si>
  <si>
    <t>很好用 很好用，用了一档和二档冷风，室内温度24度，不会吹的太干，需要转换头</t>
  </si>
  <si>
    <t>价格真心是购买的最大诱惑力 软件读取硬盘转速为5425转每分，8001GB，折合7.27TB。购买时建议多跟踪一段时间，有时价格会很低。做过盘片读取扫描，耗时15小时12分，速度从190MB每秒到80MB每秒。噪音我觉得正常，这个是放在外面的，比起机箱内的硬盘声音感觉要大些，毕竟少了机箱的降噪。说说缺点，国内保修时间短，只有1个月，也就是从预计到货时间后一个月，根据经验实际会早一些收到，也就多几天。包装单薄些。这款比起Seagate Backup Plus Drive的电源体积要小一些，电源是硬盘寿命的关键保证之一。给各位买家参考下。</t>
  </si>
  <si>
    <t>质量做工不错 做工还挺好的，176cm，80kg穿M号感觉略小，袖子没有像其他牌子的美版一样长。</t>
  </si>
  <si>
    <t>质量很好，煎肉神器！推荐！ 买来煎牛排用的。裸锅一百四入，用的时候一定一定记得戴手套。分量很足很沉，所以基本不用用手固定住锅。 没有涂层每次用完要刷一下油不然容易生锈。如果热锅不充分的话一定会粘！还有千万不能用来煎鸡蛋（不要问我怎么知道）。。 总之，还是物超所值的。煎出来的牛排很漂亮！</t>
  </si>
  <si>
    <t>安全快捷 非常快，從米國到天朝只是五天而已！包裝很紮實，亞馬遜的體驗沒問題，充電是採用磁吸式的，很意外，也很安全！如果再買一隻的話，我會選購直流電大容量的。</t>
  </si>
  <si>
    <t>东西很好，放心使用 韩国产的，买来给宝宝平时吃饭用的，无异味，内胆不锈钢的，可以直接微波炉加热了，最看中该品牌的安全性，会继续支持，非常好</t>
  </si>
  <si>
    <t>下次还会再来买的，太棒了 真的超棒了，虽然等快递的每一天都很煎熬，但是UPS快递真的服务不错啊，不是百度上说的那么恶劣，一个星期不到就到了，真的超美的鞋子，真的真的真的！！</t>
  </si>
  <si>
    <t>Move Free维骨力超强三重机能联合补充剂  含II 型胶原、透明质酸和Boron  ... 第一次使用，感觉一般</t>
  </si>
  <si>
    <t>两用裤，可拆成短裤 买来第二天去外面玩，37度天，第一次感觉到了裤子的舒服，不粘身防晒，喜欢上了这个牌子，准备再入手，身高176，体重85KG,腰围2.9，买的L，合身</t>
  </si>
  <si>
    <t>好评 价格实惠，正品行货，物流快捷，好评！</t>
  </si>
  <si>
    <t>稍大 162cm，65kg，L码稍大，可能M更适合。</t>
  </si>
  <si>
    <t>看好奶嘴型号 好用，就是用了好久才知道奶嘴得看好型号</t>
  </si>
  <si>
    <t>健身首选的麦斯泰克新优极品。 价格实惠，麦斯泰克新优极品。健身首选。此品乳清蛋白含量较高、支链氨基酸、谷氨酰胺、肌酸等营养成份齐全。值得反复回购。推荐购买。感谢亚马逊。感谢麦斯泰克。感谢卖家。</t>
  </si>
  <si>
    <t>别指望能喝到煮出来的粥 烫杯，把净泡过的大米放进去，加入开水，过一遍，马上倒掉再加开水，做出来的粥像豆腐渣，没有浓香味道， 鸡蛋加开水，第二天起来是水煮蛋不错， 不知道是我的问题还是杯子的问题，算了。就当保温杯用吧，我觉得保温效果还是没有同品牌的保温杯好。</t>
  </si>
  <si>
    <t xml:space="preserve">最客观真实的评论 自诩最客观真实,,,,各位看官请看吧：   首先，我从包装盒中刚拿出机器，右手无名指就被机器上的铁屑，或者叫刚屑，给扎到了，因为这个我本来要给一星，或者要是在国外是不是可以申请ａｍａｚｏｎ，或者厂家的赔偿呢。我被扎到了，而且在无名指上看到了扎到肉里的铁屑，准确的说大概有２－３个毫米那么长。   心有余悸后，我非常仔细察看了机器，，，非常不可思议的是，真的只有这一个钢屑，只有一个，为什么我这么幸运呢。。。。。。。   但是有至少３－５处，边缘粗燥，划手，不知道为什么厂家作高端的产品，出厂不检验或者打磨一下。这些粗燥的地方，虽不至于划破手，但是还是要很小心使用。   这个面条机的钢板不是模具一次成型的，而是钢板冲压出来的，因此会有划手的边缘。模具一次投入大的话，拜托可以出厂前打磨好啊。   因为这个真心想给一星，之前给五星的朋友，不要告诉我，你的没有这个问题，鉴于总体还可以吧，给各三星。给大家参考，国外买的，我也懒得折腾，再换估计也是一样的。还要等好久好久。   哦，需要补充一点，很重要的，就是压出来的面条，还是不错的，给以后的买家参考，客观，要客观哦   </t>
  </si>
  <si>
    <t>黑色，安德玛 旅游，穿着轻巧，抓地感强，满意购物</t>
  </si>
  <si>
    <t>柔软爱掉绒 头一次穿时、里绒象棉花一样很爱掉、不如国内的质量好、一般般吧、谁买谁后悔</t>
  </si>
  <si>
    <t>破了 不太开心。一穿。指甲就给穿个洞</t>
  </si>
  <si>
    <t>品论 感觉好象少个配件</t>
  </si>
  <si>
    <t>南方15度可以 比较不抗冻，15度的无风天穿还是舒适的，长度168能穿，不适合胖的</t>
  </si>
  <si>
    <t>收身，仔味 身高178体重75kg，里面一件T恤刚刚一穿，收身型的，布料中薄型，洗一水颜色更正，产地孟加拉，做工一般，木有china造的好，右侧内囗袋有一处拉扯得很薄的地方，用力拉一下就会破，这件主要是买款式，上身不错仔味十足</t>
  </si>
  <si>
    <t>东西还可以 身高178，重78选择M码刚刚合适，但是前面有些折皱，就和宣传图上的一模一样，真人穿上去这些折皱还是一样存在。不过布料非常舒服。。。</t>
  </si>
  <si>
    <t>软管和线材收纳是唯一减分项，其他很不错 蒸汽量很不错，对比了评论区推荐的特福的，感觉特福插线和蒸汽管能收回去收纳上更方便，但博朗造型红点奖没得说，银黑色比较硬朗。 没有中文说明书，那个出水我一直没明白咋搞。 专门还跑德亚用翻译器看德亚上的评论，特福买的多博朗买的少但很多特福的一些机型说买了第二年出质量问题啥的。 最后还是买了红点奖设计，以前只熨过挂熨，不是很会用，感觉搭配熨衣板使用更好</t>
  </si>
  <si>
    <t>尺码偏大，鞋底较硬可垫鞋垫增加舒适性 买的时候注意尺寸，这款鞋子是偏大的。鞋底比较硬，买大一些可以垫一个鞋垫更舒适。</t>
  </si>
  <si>
    <t>合适 梦露款，颜色很不错，版型一如既往的好，买了稍短的一款，长度刚刚好，不用再去加工剪短了，面料比想象中的柔软一些，很满意。</t>
  </si>
  <si>
    <t>好东西，要推荐！ 满满一大瓶，室温保存，一天一片，吃饭的时候吃，感觉很好！打开盖子的时候要稍微往上拔一下！</t>
  </si>
  <si>
    <t>GUNZE 郡是 内衣 Tuche INTIMATE 穿在身上的护肤品 100%纯棉 8分袖... 质量好，做工细。还会再买的。</t>
  </si>
  <si>
    <t>好快 好  快 好快好快好快好快</t>
  </si>
  <si>
    <t>还不错 182高68KG，M合适</t>
  </si>
  <si>
    <t>主听摇滚的话600CNY价位必须是它！ 瞬态真的是优异啊！太刺激了整个人跟着直上直下，摇滚神器，感觉这个价位非常非常的值，但国内卖1300我觉得是上头了。出街很酷，有时甚至会鄙视乖张的beats😂缺点就是耳机略小，我这种大头宝宝一次不能爽很久。买之前最好看看播放器支不支持aptx，别到时候怪耳机音质差👎</t>
  </si>
  <si>
    <t>贴身百搭内衣 贴身穿着的内衣,很舒适,尺码刚好.非常不错.</t>
  </si>
  <si>
    <t>包包的气质可以的 包包真的很有眼缘，希望可以得到很好的体验，谢谢！</t>
  </si>
  <si>
    <t>挺不错的，性价比很高 挺不错的，性价比很高</t>
  </si>
  <si>
    <t>很好，正品 非常方便，分装辅食必备！</t>
  </si>
  <si>
    <t>良心店家 东西很好，快递很给力，一个赞字了得，谢谢店家！</t>
  </si>
  <si>
    <t>关税问题没搞懂 第一次在亚马逊海淘，包装很简单，东西也完好无损。 有没有被税也没人通知我，这点有些奇怪。</t>
  </si>
  <si>
    <t>好！好！好！ 太棒了！手感，有时非常好。</t>
  </si>
  <si>
    <t>品质非常好 用身高选择尺码不一定适合，我使用腰围数据选尺码非常合身，我的腰围是90CM,选32W*34L后牛仔裤非常合身，材质不错，做工也好，物流也快，一次非常愉快的购物经历，希望亚马逊不要缩小中国的业务</t>
  </si>
  <si>
    <t>速度很快 速度很快，德国直邮的。就是不知道电源插头是可以直接用还是需要买转换器才能用。</t>
  </si>
  <si>
    <t>4.54TB 价格合适，比较小巧，包装完好，4.54TB可用，还不错</t>
  </si>
  <si>
    <t>非常不错 我很喜欢，一块好声卡是你必须的</t>
  </si>
  <si>
    <t>一点体会 老婆用品。注重安全卫生。老婆喜欢用这个牌子，舒适安心。</t>
  </si>
  <si>
    <t>安德玛一如既往地好 柔软贴身，非常合身。健身装备一直安德玛</t>
  </si>
  <si>
    <t>很喜欢 非常好👍</t>
  </si>
  <si>
    <t>东西不错，就是美国运过来盒子，破损的太厉害。 画笔不错，大方，实用，有个拎手就更完美了。 就是包装产品保护，急需加强，太对不起这个产品了！！！！！！！</t>
  </si>
  <si>
    <t>牛仔裤 这个版型也许真不适合中国人，松松垮跨</t>
  </si>
  <si>
    <t>耳机 对前段推力要求太高，感觉一般。</t>
  </si>
  <si>
    <t>偏小 172/67kg，s码偏小，但袖子偏长。退货费劲。</t>
  </si>
  <si>
    <t>洋垃圾 这件明显就是旧衣服，洋垃圾，没有吊牌就算了，衣服上还有明显的油迹，一股印度人的狐臭味，退货。</t>
  </si>
  <si>
    <t>起球严重，不建议购买 质量很差，表面起球严重，穿了没两天已经局部起球到无法外穿，影响美观的地步。不建议购买。</t>
  </si>
  <si>
    <t>残次品，联系不上售后 衣服有伤，残次品</t>
  </si>
  <si>
    <t>质量很好 买小了，但也怪自己长胖了，身材不好不怪衣服，质量不错的</t>
  </si>
  <si>
    <t>音质干净通透。 品质不错，声音很中性，无渲染，音质值五颗星。只是不可以折叠，不方便旅行携带。</t>
  </si>
  <si>
    <t>尺码 尺码不标准  偏小</t>
  </si>
  <si>
    <t>价格和质量都不错 质量不错，皮质很有质感，大小也合适，略微感觉鞋子后跟中底有点低，有种前高后低的感觉，不知是否这样设计的。</t>
  </si>
  <si>
    <t>钢笔 这个是海外购，国外确实是不注重包装啊，就这么随意装着，都不怕丟啊，没有礼盒和笔袋，有点小失望，包装也太随意，笔盒都压成那样了。笔杆比较轻。这笔是送人的，倒有点尴尬，就像假货</t>
  </si>
  <si>
    <t>辅酶Q10，相信莱萃美。 再次购买正在吃，感觉可以！就是物流有半个月多月才到。</t>
  </si>
  <si>
    <t>好 保湿，很好，无香的，很滋润，给宝宝用的，效果很好</t>
  </si>
  <si>
    <t>送人 送人的，暂时不知道好坏，但外观挺不错</t>
  </si>
  <si>
    <t>每年都买，便宜又舒适 这款每年都买，又便宜又舒适</t>
  </si>
  <si>
    <t>推荐购买 杯子很有质感，轻巧方便携带，保温效果好，日亚直邮，好评，推荐购买。</t>
  </si>
  <si>
    <t>很满意 质量不错，价钱便宜，发货快。对产品和服务都很满意。</t>
  </si>
  <si>
    <t>不错的鞋子 穿着舒适，样子很好看</t>
  </si>
  <si>
    <t>好用省事的东东 超好用的咖啡机，能方便快捷地泡好一杯香浓的咖啡，还不需要清洗。</t>
  </si>
  <si>
    <t>非常喜欢满意 非常喜欢满意就是买贵了，该等价格低些再入手太心急</t>
  </si>
  <si>
    <t>好 看别人的评论才看到有积分兑现活动 感觉错过了一个亿 买太多了一一评论不过来干脆复制这段话好了</t>
  </si>
  <si>
    <t>栗色好看 栗色挑的好hhh，感觉挺棒的</t>
  </si>
  <si>
    <t>满意 和之前老婆给买的一样，好穿，耐穿，穿了这个内裤再也不想穿别的了</t>
  </si>
  <si>
    <t>好！ 20号下单，今天就收到了！而且真的好用！刷毛软且细，刷头面积大，感觉刷得很干净！</t>
  </si>
  <si>
    <t>还 质地不错，就是有点短</t>
  </si>
  <si>
    <t>超级棒 除了钙片的片剂太大了以外，没什么不好，250粒，每天2粒，可以吃一百多天</t>
  </si>
  <si>
    <t>非常合适 非常美好的一次购物，本来担心会买大了，收到后惊喜，特别合适，而且并没有别人所说的磨脚，完美</t>
  </si>
  <si>
    <t>值得信赖 值得信赖</t>
  </si>
  <si>
    <t>划算 性价比高 一共买了三包，有一包划了个口子 不过不大就算了吧</t>
  </si>
  <si>
    <t>东西很好 东西很好，只是价格太贵了，不过物有所值吧。</t>
  </si>
  <si>
    <t>相信贝亲 相信贝亲，东西不错</t>
  </si>
  <si>
    <t>合适 比较合身</t>
  </si>
  <si>
    <t>小白鞋 鞋挺好很轻，皮面也可以</t>
  </si>
  <si>
    <t>一般 试了一下，衣服大了不少，里面掉绒毛，脱下来内衣上全是绒毛，下摆没弹性，松松垮垮的，和想象差距不小，松松垮垮的。</t>
  </si>
  <si>
    <t>不可以高温消毒 活动三件六折买的，62.1，颜值很高，但是不可以高温消毒，勺子用消毒锅蒸过一次以后，图案全部翘起边儿了……喂饭刮苹果喝汤都很好用，整体手感啥的都很棒，于是就继续翘着用了。等娃以后会自己用了要换掉。</t>
  </si>
  <si>
    <t>尺码太大 质量可以，属于较软的布料，尺码比国内的要大一个码，转送人了</t>
  </si>
  <si>
    <t>鞋子码比国内的小致不能穿 尺码徧小半码以上，太紧不能穿</t>
  </si>
  <si>
    <t>鞋头处脱胶 左边鞋子有一处1cm左右脱胶</t>
  </si>
  <si>
    <t>一般 这个型号还行，比较暖和，可惜起球真是烦人</t>
  </si>
  <si>
    <t>便宜，但是是欧版的，不是很适合东方人 便宜，但是是欧版的，不是很适合东方人，特别是瘦小的东方女人</t>
  </si>
  <si>
    <t>IDX 200 送货太慢了，下了订单20天才送到。声场比较宽，低音下潜足，但是高音部分比较杂。而且品控不太好，我这副拿到手，接触有点不良。</t>
  </si>
  <si>
    <t>好评 保温及其它都满意，但焖的效果稍逊一点点，总体满意！</t>
  </si>
  <si>
    <t>号码大很多，面料质量好，比较合适，有色差。 第一，不要参考亚马逊给的海外购参考码，不合适。我190cm 105kg 大腿较长比较粗。买了42×34。回来试穿，腰围大一些，裤长直接长的不是一点半点，裤大腿肥的没边了，裤小腿可以当大腿用。建议瘦一些腰围买小两号，裤长小两号。胖一些的腰围买小一号，裤长买小一号。 第二，面料非常不错，很结实，比较厚。不像国内的时尚装，像工装裤子。 第三，颜色买的纽曼，和图片和描述差不少。</t>
  </si>
  <si>
    <t>可以 性价比高，不到200购入，国内中通不行。</t>
  </si>
  <si>
    <t>非常不错 很不错，师傅直接按上了，非常省水，还有一个防热的塑料壳，做工很细</t>
  </si>
  <si>
    <t>实惠好用，没得说 错过了primeday 的活动价格，看到这个新款还是全球通用电压，价格也很给力，就果断下手！收到后也不负所望，蓄水量很大，也便捷。非常稀饭。</t>
  </si>
  <si>
    <t>弹性腰围材料是惊喜 非常好！布料厚实，腰围居然是松紧的，设计贴心，对于中年男人的肚子是惊喜</t>
  </si>
  <si>
    <t>国内38，美码36，偏大 国内38，美码故意买小36，刚刚合身，质量很好，新裤挂浆有点硬，穿穿会好</t>
  </si>
  <si>
    <t>還可以 剛剛好合適，平常版！</t>
  </si>
  <si>
    <t>美好的购物 衣服质量很好，老公特别喜欢，给赞</t>
  </si>
  <si>
    <t>好用 最好用的辅食储存盒，没有之一，真是太方便了</t>
  </si>
  <si>
    <t>好评，适合夏天穿 非常好，夏天穿不热很舒适，透气性好</t>
  </si>
  <si>
    <t>好 象印的东西，一如既往的好。</t>
  </si>
  <si>
    <t>合适 尺码推荐，个人认为穿大好看，重点看胸围，衣服给的胸围尺寸基本准确。我常年s码，女，穿m宽松l更有范。老公172  130穿l合身，其实合身不太好看，xl看起来宽松舒服</t>
  </si>
  <si>
    <t>这个牌子的码数太乱了… 前段时间买了双Sorel带毛的雪地靴，平时穿37.5或38的鞋，想着冬天要踩雪会穿厚袜子，那双鞋的内部空间由于是有夹层的也应该会比较小，看评价有人说确实小半码，我就买了38.5的，收到之后刚打开鞋盒就被吓到了，目测像40的鞋，穿上之后果然，我觉得可以塞一个拳头进去，由于亚马逊不能换货只退货就算了留着了，然后又发现这双鞋不错，于是又买了一双38的，今天收到后打开又被吓到了，目测只有36-37，穿上后又果然.... 光脚试的刚刚好，没有一点富裕的空间了，穿袜子就挤脚了，我真的是心累。。。</t>
  </si>
  <si>
    <t>溶解度好，味道不错。 溶解度好，味道不错。</t>
  </si>
  <si>
    <t>质量一般 在国外可能就是一般的工装，期待过高，心里会有落差</t>
  </si>
  <si>
    <t>略大，但不影响穿着 177,100公斤，略大，感觉适合190斤左右的人。袖子与衣服略长，不影响穿着。质量很好，虽然有些薄，比较适合初秋、春天这样的时节。总体上还是满意。</t>
  </si>
  <si>
    <t>一般般 不是全棉的，所以夏天穿脚有点臭。</t>
  </si>
  <si>
    <t>不错 穿着跟没穿一样，面料清爽、柔软细腻，就是吸湿透气性不大好，还有就是胸垫不固定会移动！</t>
  </si>
  <si>
    <t>质量好 鞋子的质量很好，很轻，穿着舒适</t>
  </si>
  <si>
    <t>非常好保温杯 非常好的保温杯，孩子上学用，很保温。日亚很便捷。</t>
  </si>
  <si>
    <t>质量不错 很好，172，75kg，L size合适。看来小日本的身材还是比我们要小一些</t>
  </si>
  <si>
    <t>好 这次总算尺码买对了，质量没得说。</t>
  </si>
  <si>
    <t>perfect 很好的手表，物美价更美</t>
  </si>
  <si>
    <t>外观时尚，鞋内空间略空。 底比较平坦和单薄，鞋垫很软。走路走多了会觉得就像套了个鞋套在脚上。我个人觉得适合短时间穿着。</t>
  </si>
  <si>
    <t>次品 偏大，主要是衣领都做歪了。</t>
  </si>
  <si>
    <t>太透 手感很好！只是比较透，不太合适，只能穿在长裤里面当秋裤穿。</t>
  </si>
  <si>
    <t>精致，翅膀也太大啦，当钥匙扣是非常戳手了 精致，翅膀也太大啦，当钥匙扣是非常戳手了</t>
  </si>
  <si>
    <t>包装都烂了 盒子都破了。关键里面没有使用的说明，到现在也不知道怎么去修改日期</t>
  </si>
  <si>
    <t>棉料差 不要买 棉料比马爸爸9.9包邮的还要差 还不如高仿的呢 一百多不值得 建议购买日本亚马逊的</t>
  </si>
  <si>
    <t>穿了两天鞋面出现裂痕 穿了两天鞋面就开始有裂痕</t>
  </si>
  <si>
    <t>面料评价 裤型非常好，只是面料太过硬且不够透气不吸汗，也许是面料的原因。</t>
  </si>
  <si>
    <t>质量 针脚都不整齐，面料一般，不像正品</t>
  </si>
  <si>
    <t>不错👍👍 穿着舒服，是正品，推荐</t>
  </si>
  <si>
    <t>不错的衬衫 是期待的样子，大小颜色都很好，好评</t>
  </si>
  <si>
    <t>非常不错，非常满意 这是第二口lodge锅，第一口很好用，所以又买一个，但新买这一个有两种价钱分别销售，一个是380左右，我这个260多还送一个硅胶隔热把手。但这口新锅锅壁左右两边不一样厚，薄的那边锅沿儿外侧毛边，比较锋利，锅里面是平整的，不影响炒菜，所以我并不很在乎。在这里跟大家说一下，可能便宜的这个质量稍差。用了一段时间回来，按标准开锅后，的确不粘，超喜欢。另更正一点，之所以便宜，是因为是海外自营，这是在我一口气又买了几个其他款式的才发现。</t>
  </si>
  <si>
    <t>海外购哥伦比亚很超值。 173-72.中号很合身。现在上身试一下感觉很热，但愿冬天最冷时也很暖和。</t>
  </si>
  <si>
    <t>囤货 囤货，还没拆包装开始使用，实物比图片小，看上去可爱</t>
  </si>
  <si>
    <t>保暖吸汗 用料绝对扎实，比较厚，北方刚立冬，穿着脚发热</t>
  </si>
  <si>
    <t>好 超级开心，合适，价钱还便宜，大爱</t>
  </si>
  <si>
    <t>尺码 这鞋偏长，不是宽脚建议小一码购买</t>
  </si>
  <si>
    <t>非常好 非常适合夏天的v桖</t>
  </si>
  <si>
    <t>实惠 四个装，很划算了，比冰雪奇缘的要便宜，哈哈</t>
  </si>
  <si>
    <t>没味 7月8号下单，19好到。看到网店都说有味。我收到的没味，材料不懂，看着干净。摸着舒服。奶嘴要比贝亲软。</t>
  </si>
  <si>
    <t>满意 第一次买这品牌的内衣，看了评论挑的码，非常合适，内衣很舒服，开心！</t>
  </si>
  <si>
    <t>外观做工精良，音质可圈可点。广受好评不是没有道理的 很赞，还在磨合中。但大致能听出一些风格。上一个入手的hifi是森海的hd598，跟这个相比风格很迥异。m100广受好评业界好评正是在其相对均衡性，保持优质的做工和潮派的外观同时，音质同样可圈可点。低音是很棒的，这点和hd598对比很明显；让人很惊喜的是他的人声同样很出色，到手之前我一直以为只适合听电音，没想到在很舒缓的曲风上也能处理得很出色。一个字棒！</t>
  </si>
  <si>
    <t>东西很好，建议可以换个花洒，太简陋 东西很好，建议可以换个花洒，太简陋</t>
  </si>
  <si>
    <t>尺码合适 看评论说偏大，就买的小了一码····结果稍微小了····</t>
  </si>
  <si>
    <t>质量杠杠的 质量杠杠的 非常棒哟！</t>
  </si>
  <si>
    <t>我的评论 身高176，体重80公斤，32W X 32L合适，毛里求斯生产</t>
  </si>
  <si>
    <t>号码较大，不是太合适 号码较大，不是太合适</t>
  </si>
  <si>
    <t>价廉物美 仅仅200元左右，质地却出乎意料的好。欧版，宽大，习惯亚洲版的慎买。</t>
  </si>
  <si>
    <t>第一次海外购 第一次抱着试试看的心态做了一次海外购，当然时间花费的是多了些。不过东西拿到手还是很不错的。之前查看了别人的评论特意买小了一号。最终看来是正确的选择。穿着也还挺舒服的。应该说这是一次不错的购物经历。今后也会试着做更多的尝试。相信亚马逊的正品保证。</t>
  </si>
  <si>
    <t>不错 东西不错，工艺材质都很有质感，一分钱一分货。值得购买。</t>
  </si>
  <si>
    <t>建设买大二个码 今天终于收到货了，32裤头买了36的皮带，质量是刚刚的，个人建议买大二码，最多打个孔好过刚刚好够长，太短了也不好看！</t>
  </si>
  <si>
    <t>质量 觉得可以，信任亚马逊！希望一如继往卖真货，质量第一！做良心商家！</t>
  </si>
  <si>
    <t>WMF水壶质量杠杠滴 WMF水壶质量杠杠滴，烧水很快，没有异味，就是烧水的声音有点大</t>
  </si>
  <si>
    <t>孔很少，无打孔器 之前买了一双女鞋因退货被扣了一百多的运费，所以给了一颗星，评论审核不通过~~。好吧，一枝独秀你最大。这条皮带皮味儿比较大，硬，买的这款只有4个孔，只好又买了一个打孔器，噗</t>
  </si>
  <si>
    <t>还没两个月，开胶了，有客服吗？ 还没两个月，开胶了，有客服吗？</t>
  </si>
  <si>
    <t>尺码对照表严重失实！！！ 看尺码表对照买的，尺码表是骗人的，买小了，穿上太修身了，胸围根本不够，这款尺码对照表比实际衣服小一码，版型没问题，买m的小了，还是得穿l的，平时穿170/92的码，给后面做参考。有买大的和我换一下的没？求L码</t>
  </si>
  <si>
    <t>颜色不对 颜色不是我订单的颜色，送错了。应该可以换？</t>
  </si>
  <si>
    <t>海淘梦破灭 第一次海淘就买错码，穿都穿不了，退又麻烦，算了……</t>
  </si>
  <si>
    <t>外观略显旧，可能是颜色原因 样式不错</t>
  </si>
  <si>
    <t>我的阿玛尼 加上海淘，这是第二次购买阿玛尼的T恤，穿上很合身，而且价格比国内购买划算得多，推荐喜欢穿T恤的同学拔草</t>
  </si>
  <si>
    <t>品牌质量、设计不错！ 以这个品牌来说，做工精细程度可以再好点的，有的细节做工有些粗糙，相信是国产后的缘故。</t>
  </si>
  <si>
    <t>愉快的购物过程，但还是有瑕疵 已收到皮鞋，大约一星期时间，大小合适，样式和网上的照片相符，遗憾的是鞋后面有一块皮革摖坏了，不知道有什么办法处理，如有，请指教。</t>
  </si>
  <si>
    <t>黑色的冷水手洗掉色厉害 黑色的冷水手洗掉色厉害</t>
  </si>
  <si>
    <t>很好的一双鞋 穿着很舒服。</t>
  </si>
  <si>
    <t>很合适很舒服。很喜欢。 很合适很舒服。很喜欢。</t>
  </si>
  <si>
    <t>超级舒服 女友超级喜欢。  虽然包臀，但穿起来很性感哦。</t>
  </si>
  <si>
    <t>不错！ 穿着舒适，只是拿到手有皱纹，需要熨烫</t>
  </si>
  <si>
    <t>怒赞✧❝ཻ͋≀ˍ ̗❝ཻ͋˶ 完全符合我的期待 东西很不错</t>
  </si>
  <si>
    <t>喜欢的 好用～喜欢，东西正。</t>
  </si>
  <si>
    <t>保暖内衣 该款保暖内衣保暖性能好</t>
  </si>
  <si>
    <t>好碗 这碗非常好看和实用，我非常喜欢，我给个赞!好！</t>
  </si>
  <si>
    <t>价廉物美！ 达到期望，价廉物美！</t>
  </si>
  <si>
    <t>超值 尺寸非常准，版型好，面料手感舒适，再买一条</t>
  </si>
  <si>
    <t>好 很好很好，过滤杯很方便，去哪里都有纯净水喝啦！</t>
  </si>
  <si>
    <t>舒适，不脱落 柔软舒适，不会脱落，长度也很好，到小腿肚往上一点。</t>
  </si>
  <si>
    <t>狮王 牙膏 温和薄荷130g×10 效果不错，一直用这款牙膏。</t>
  </si>
  <si>
    <t>很愉快的一次海购 大概等了半个月的时间吧！本人是穿41码的大小刚好合适，鞋子穿起来很轻很舒服。鞋子很轻很舒服</t>
  </si>
  <si>
    <t>质量不错，值得购买！ 质量不错，值得购买！</t>
  </si>
  <si>
    <t>尺码合适 很喜欢，穿着舒适 尺码合适。</t>
  </si>
  <si>
    <t>正宗的声音 不加修辞 听而不厌 难得遇上Z实惠 果断入手 果然是监听品质  声音清洌而真实 实在是听而不腻 好品质 谢谢亚马逊提供！</t>
  </si>
  <si>
    <t>第一次购买Lee 怎么和国内的Lee有区别，第一次见裤腰有松紧，裤子的标识也不同</t>
  </si>
  <si>
    <t>很喜欢的小土锅 超级喜欢，一合也不小~焖饭做煲仔饭都好棒~</t>
  </si>
  <si>
    <t>板鞋 鞋子是正品，相当不错。</t>
  </si>
  <si>
    <t>滤芯 新款，过滤速度快，炭渣也少了</t>
  </si>
  <si>
    <t>这种文胸才是女人的好朋友 穿着超级舒服，像没穿一样，而且胸型也很好，又好看。老公说这条的蕾丝很有风情，爱死了，立马回购囤货。</t>
  </si>
  <si>
    <t>老长的一根线 无线功能在哪 额 无线功能在哪(⊙o⊙)？ 老长的一根电线</t>
  </si>
  <si>
    <t>大失所望 声音太尖，刺耳，大失所望</t>
  </si>
  <si>
    <t>不确认是否是正品 跟我托同事从美国买的味道，颜色，浓稠度都不一样，怀疑不是真的</t>
  </si>
  <si>
    <t>洗大了。。。 衣服料子还是不错的。但是，洗完以后，变大了至少一个号。。。这是什么原理？不都是缩水么。。。</t>
  </si>
  <si>
    <t>美德乐飞韵双边充电接触不良 十分垃圾，客服态度恶劣，11月有活动觉得合适就囤货了，收到后试了试机器可以用，2月生孩子第一次用，才发现充电屏幕不显示，客服直接说超过1月份时效后就不负责售后了，让直接联系美德乐官网，自己解决，再也不会来亚马逊买这么贵的电器了，没有任何保障，3个月就不理了，这么大的平台没有自己的一套售后！</t>
  </si>
  <si>
    <t>太大啦 太大啦，160以下的女生不要考虑了！！！单身的我要送给我爸！！！</t>
  </si>
  <si>
    <t>国外码数果然不能信，和国内大了好多 鞋子偏大，刚买第一天就蹭掉了一块，很难受</t>
  </si>
  <si>
    <t>tnf初体验 181cm 72kg m号妥妥的 第一次买tnf 保暖性挺好的</t>
  </si>
  <si>
    <t>好 尺码适中，皮很软，但样式一般</t>
  </si>
  <si>
    <t>还行 不知道为什么没有擦墨水的纸</t>
  </si>
  <si>
    <t>相机用的 原来卡的容量小了，换个大的，质量不错</t>
  </si>
  <si>
    <t>冲力不小，使用很好 给老公买的，冲力也不小，蛮好的。</t>
  </si>
  <si>
    <t>喜欢 快递比想象中的好，从发货到现在用了8天，从下单到现在用了14天，包装非常高级，印度尼西亚产的，37.5码脚穿5码特别合适，很满意很满意</t>
  </si>
  <si>
    <t>尺码标准 质量不错，我平时穿40的皮鞋，脚长25.5mm,选ECCO UK7.5刚好，鞋子显示41码，尺码标准。其他一双ecco皮鞋也是同样尺码，非常合适。供大家参考。</t>
  </si>
  <si>
    <t>尺码 还好，料子不错</t>
  </si>
  <si>
    <t>又薄又轻，就是不知道以后会不会变形。 裤子还可以，超薄，颜色也正，适合夏天穿，本人178/75，买M号正好吧，修脚裤，显着大腿修长，身材好。如果想穿着宽松一点就L号。</t>
  </si>
  <si>
    <t>超值!! 颜色正是我所希望的，裤子样式正适合我们这个年齡段。总之一切都超过了我的预期。</t>
  </si>
  <si>
    <t>内部隔断实用 非常实用，颜色也不错</t>
  </si>
  <si>
    <t>总体感觉不错，绝对正品！ 物流不慢，一周左右就收到了。号码合适，鞋子质量很好，第一天上脚感觉不错，就是鞋底稍微硬一些</t>
  </si>
  <si>
    <t>好 舒服175，75kg，m非常合适</t>
  </si>
  <si>
    <t>还是很认可这个品牌的产品的，希望别辜负广大消费者们 一直都用这个，身边朋友也是</t>
  </si>
  <si>
    <t>鞋子稍微有点小，肉肉脚就要买大一码 鞋子不错，很是轻巧，很适合女生穿，可惜就是有点小。我准备继续买一双</t>
  </si>
  <si>
    <t>有效 用了三个月了 有效果</t>
  </si>
  <si>
    <t>真货！划算！ 会员试用期免运费买的，250多到手，超极划算，虽然等了10天，关键是真货！某宝怕买到假货，比某京便宜不是一点二点！</t>
  </si>
  <si>
    <t>大小合适 175cm，75kg，M码合适。 参考评论选的尺码。  为减运费凑单货，稍显老气，给老人了。</t>
  </si>
  <si>
    <t>物有所值 包装完好  无瑕疵  合脚  穿着很舒服  最主要是比国内的同款便宜了近一半  值得入手</t>
  </si>
  <si>
    <t>五星 价格太贵！性价比基本为0。但是爆款，老婆迷的不行，这就足够了。</t>
  </si>
  <si>
    <t>小一号 小一号</t>
  </si>
  <si>
    <t>正品質量好 穿了大半個月才過來評論，這鞋是正品，質量好，比實體店便宜多了。海外購退貨很麻煩，建議大家在實體店試好再上網買。我們去實體店試過，有些款式不合腳，這一款很合適。</t>
  </si>
  <si>
    <t>样子很好 皮质很好，很厚，属于耐磨的牛皮。内里带毛，冬季保暖。穿起来大小合适，脚包裹舒适！</t>
  </si>
  <si>
    <t>值得推荐 有点小，但是感觉还是不错的，值得推荐。</t>
  </si>
  <si>
    <t>值得购买 刚刚收到了，各种功能都试过，很好用。价格比国内专柜便宜很多。就是缺少榨汁机和中文说明书、中文菜谱。但是总体来说还是很棒，值得入手</t>
  </si>
  <si>
    <t>还不错 国内的跟日本的真的差一些，最起码日本版的打开没有任何味道！不过也是MADE IN CHINA</t>
  </si>
  <si>
    <t>耗电 太耗电了！</t>
  </si>
  <si>
    <t>一点都不修身 和照片看上去小直筒不太一样，感觉就是直筒，不是修身小直筒。</t>
  </si>
  <si>
    <t>小 好小，也没有勺子。  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</si>
  <si>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太大 大了太多，没有办法穿</t>
  </si>
  <si>
    <t>做工太粗糙、尺寸太大了 皮带工艺太粗糙了、是不是真货哦、尺寸和标注的尺寸不符合。</t>
  </si>
  <si>
    <t>不怎样 还是有水诟  使用不理想</t>
  </si>
  <si>
    <t>售后无保障，购买需谨慎！！ 9月12日到货，10月15日就出现冲不了电的情况，海外购不能国内保修，要返厂维修，费用220一次，太坑了！！</t>
  </si>
  <si>
    <t>还可以 菲律宾产，做工一般，音质尚可，听音乐时间3～4小时。有2副硅胶耳套</t>
  </si>
  <si>
    <t>hansgrohe 汉斯格雅PuraVida单把手面盆龙头110带按压落水 白色/镀铬 ... 龙头挺好的，就是当时买的时候没留意，下面是陶瓷白色的只是面是不锈钢颜色，如果是全是不锈钢就好了。</t>
  </si>
  <si>
    <t>没有码 将就的，大了一点点。但是好便宜</t>
  </si>
  <si>
    <t>味太大 哪都好，就是买回来味太大了，显得廉价感十足</t>
  </si>
  <si>
    <t>comotomo质量很好 没有异味，质量很好。两个几乎是天猫一个的价钱。亚马逊美国直邮质量还保证，爱不完。</t>
  </si>
  <si>
    <t>略长 175，150斤 这个号略长</t>
  </si>
  <si>
    <t>值得购买 这款CK的打底衫穿着非常舒适，感觉和AMANI的那款差不多，但是价格比阿玛尼那款便宜点，很好，我又回购了。我爱亚马逊海外购（破音！）</t>
  </si>
  <si>
    <t>效果没法检测，口味不错 小熊糖口味不错</t>
  </si>
  <si>
    <t>不错 拷入速度120左右，声音也不大。</t>
  </si>
  <si>
    <t>凯斯博士漱口水 很好的一款漱口水，功效不错！</t>
  </si>
  <si>
    <t>漂亮，完美 很好看，不错，美国发往中国的，比国内的便宜，就是快递慢，很漂亮的手表。建议购买。</t>
  </si>
  <si>
    <t>描述有误 是带储藏盒的替换装 不是空盒子 之前及其送的头一只没地方放，下决心话100买个收纳盒，结果寄来打开里面塞满了替换装。。。 我的原有刷头还是不知道放哪，不知道是开心还是难过。。。</t>
  </si>
  <si>
    <t>38.5码，5.5uk合适。 clarks一直5.5uk，我的脚国内38.5码。</t>
  </si>
  <si>
    <t>质量还行 一般的价格一般的衣服，没毛病。</t>
  </si>
  <si>
    <t>送给自己的 自己表示很喜欢 点赞 送给自己的 自己表示很喜欢 点赞</t>
  </si>
  <si>
    <t>挺不错的 挺帅的一块表，挺喜欢的</t>
  </si>
  <si>
    <t>质量挺好，尺寸偏大 178高，95千克重，XXL的衣服，大了差不多一号，XL的应该就行了。</t>
  </si>
  <si>
    <t>满意 收到了特意过来评价下，平时39买的41非常合适，稍微大一点点是我想要的大小，材质应该属于软皮，但没有在商场里试的女款软皮那么软，也没有男女同款硬皮的那么硬，总之我觉得软硬适中，还是很有型的。希望对大家有帮助</t>
  </si>
  <si>
    <t>货真价实 这个颜色实在好正了！TB或者DG又怕假货，这里保真，而且真的好便宜~</t>
  </si>
  <si>
    <t>值得拥有 脚感很棒，配牛仔裤很漂亮，就是有点焐脚，适合春秋季节穿</t>
  </si>
  <si>
    <t>比国内鞋码小半码，买时一定要加半码 比国内鞋码小半码，买时一定要加半码，另外脚底比较紧，脚宽的人最好是选4E。鞋底支撑不错，跑起来减震好。</t>
  </si>
  <si>
    <t>好👌 收腹效果很好，提臀效果不是很明显，穿着舒适透气，上围略有下卷，总体来说还是很不错的，值得买。</t>
  </si>
  <si>
    <t>合适 合适，小小大</t>
  </si>
  <si>
    <t>很好 价钱很合适，不过国内用需要转换器</t>
  </si>
  <si>
    <t>裤子不错 亚马逊第一次购物，但是很满意。裤子和想象中差不多，就是不得不感慨歪果仁都是大长腿，裤长有点长，建议177身高150斤的同志们要买32w31l的</t>
  </si>
  <si>
    <t>用了2天，坏了 本为宝宝买的，专用，所以也舍得花这个钱。使用情况如下：刚开始烧水，塑料味道大，烧过几次，味道也淡；昨天（1月29日）开始使用，今天就坏了，烧水时盖子上下组件坏了，裂开了。国产不国产无所谓，最重要是质量要好。客观的说，瓶身不锈钢还是不错的，但是那些塑料呀，组装呀，可能有点问题。</t>
  </si>
  <si>
    <t>@@@@@@ 大小差不多，我选的是宽版的 穿在脚上很有力度 只是不知道货物是不是次品，有损坏 要找客服</t>
  </si>
  <si>
    <t>尺码偏小 身高170，体重65kg，m码严重偏小。 退货125元手续费，呵呵。</t>
  </si>
  <si>
    <t>还行吧 铸铁锅很结实，热得比较慢（比不粘锅慢多了），就是柄略有点短，握住胶套的时候不容易着力，再往前握点又担心烫伤。</t>
  </si>
  <si>
    <t>冲牙器使用不了了 购买使用不到一年，现已用不了了，不知道是冲牙器还是充电线的问题</t>
  </si>
  <si>
    <t>希望能解决 手表发头坏了，进水</t>
  </si>
  <si>
    <t>安装没有问题 附带有一些小配件橡胶垫什么的，说明书也有对于各种类型水龙头的安装方法。安装应该没有任何问题，只是过滤效果未知。</t>
  </si>
  <si>
    <t>还可以，这个价位的橡皮国内的也很好用！😄 用起来也还行吧！最大的感觉就是贵😂，比某网贵！</t>
  </si>
  <si>
    <t>高颜值，高质量 BB的东西颜值超高。就是冲着可爱的外形买的，用了一下盘子觉得还不错，可以4星，盘子稳，宝宝吃饭也不会打翻。缺点是不能超过90度消毒。能放在洗碗机和微波炉加热这两个功能不实用，毕竟宝宝的食物都是现做现吃的，餐盘也是单独洗的</t>
  </si>
  <si>
    <t>挺好的 和我想象的差不多  贵是贵了点  但是不错</t>
  </si>
  <si>
    <t>轻薄保暖还行 薄款，比较保暖。不错 。</t>
  </si>
  <si>
    <t>值！ 比较保暖了  8---10度的天  内秋衣 搭这ma1外套 完全够用 而且都不用拉拉链  若5度以下 同样两件衣服拉拉链 完全能度过。至于外观 身边的人 欣赏不了  我也觉得后背鼓鼓的  但是那又怎么样呢  自己觉得舒服就好了</t>
  </si>
  <si>
    <t>配件 非常喜欢，很快就收到货了，唯一欠缺配件不好配</t>
  </si>
  <si>
    <t>很多人推荐的入门级麦克 看了很多对比视频，处于资金的要求，只能买500元以下的，但是又不想质量不好，看了youtube上N多的视频后决定买啦，拿回家能很明显感觉到两点，第一是指向性，第二是声音被放大的成都是很满意的</t>
  </si>
  <si>
    <t>宝宝超喜欢 设计非常好，鲨鱼鳍、鲨鱼尾巴、鲨鱼头宝宝都能房子啊嘴巴里咬，大小也比较合适</t>
  </si>
  <si>
    <t>有点重，录音效果不错。 有点重，不太能放架子上，只能放桌子上，很敏感，录音效果不错。</t>
  </si>
  <si>
    <t>质量很好 质量很好，就是买小了哎，建议买大一点，不然它会难受的😢</t>
  </si>
  <si>
    <t>好评 好穿，有发热感，舒适。</t>
  </si>
  <si>
    <t>挺不错的皮带 还可以  整体比较做旧 lee牛仔裤买32w。皮带95略宽松</t>
  </si>
  <si>
    <t>做工不錯 很合適，1.77/80購買的32/32，希望對朋友們有幫助。</t>
  </si>
  <si>
    <t>靴子虽有瑕疵但服务态度和处理方案很满意。 马丁的切尔西靴，不用说英伦范儿十足。发过来的靴子右脚脚背有很多折皱，给亚马逊发了邮件，客服很快的来电话进行了处理，几种方案都很令人满意，国际大平台就是不一样，凭这个就给五星。</t>
  </si>
  <si>
    <t>好，舒适 好，舒适。</t>
  </si>
  <si>
    <t>音质不错 听过软银的那个2016年的，差不多了多少，那软银的是250+</t>
  </si>
  <si>
    <t>很好 大小合适，质量很好，不错</t>
  </si>
  <si>
    <t>喜欢 略有点弹性，非常合身，很喜欢</t>
  </si>
  <si>
    <t>品质好 品质好 面料舒适，透气，下次需要还来</t>
  </si>
  <si>
    <t>很好的棉衣 很好的棉衣，做工不错。</t>
  </si>
  <si>
    <t>低价！实用！ 漂亮！超值！正是我想要的电子表！价格便宜防水有夜光！正品！说明书没有中文！我一直在亚马逊买卡西欧手表，没有一个有问题！而且走时准！亚马逊不足之处是介绍商品不够详细，害的我还要去淘宝看！希望改进！</t>
  </si>
  <si>
    <t>满意购物 175cm, 72kg，L码正好。快递速度也挺快的，产地德国，质量也满意！</t>
  </si>
  <si>
    <t>对于这个品牌，价格很不错。 质量很不错，感觉做工很细。</t>
  </si>
  <si>
    <t>尺寸是最困惑的！ 尺寸是最困惑的！看了很多关于尺寸的说法，搞到最后感觉还是小号可以，但最后发现小号实在又有点小了！</t>
  </si>
  <si>
    <t>很好 很好，买了又买，也介绍朋友买了</t>
  </si>
  <si>
    <t>L码跟我在日本店里买的要大两号，完全不理解都是日本市场同一品牌怎么会差距这么大。而且网络单明显品质要比门店的产品质量差 L码跟我在日本店里买的要大两号，完全不理解都是日本市场同一品牌怎么会差距这么大。而且网络单明显品质要比门店的产品质量差</t>
  </si>
  <si>
    <t>大小不一 这双鞋样子款式都不错，但我收到的这双鞋，左脚合适，右脚明显偏小。</t>
  </si>
  <si>
    <t>长了！ 面料一般，挺薄的。裤子165,m码还是比较长。需要改一下才能够合适。</t>
  </si>
  <si>
    <t>一般 穿着舒服，就是鞋面有刮痕及皱纹！</t>
  </si>
  <si>
    <t>不能高温消毒盖子扣不上 拿去用消毒锅消毒，然后没有一个盖子盖的上了</t>
  </si>
  <si>
    <t>还算合适 尺寸基本合适，裤腿稍宽点 颜色也对，但是有一点似乎没有水磨过。</t>
  </si>
  <si>
    <t>好 不错，特价买的，运行良好。</t>
  </si>
  <si>
    <t>偏大 买了最小码的，发觉还是有点大了，就重新打了两孔就完美契合了。皮革味道有点重，须晾置一两天。</t>
  </si>
  <si>
    <t>织物内衬 轻便舒适，尺码准。皮质没有其他belle好，不太喜欢织布内衬，感觉稍次，如果全皮内衬就好了</t>
  </si>
  <si>
    <t>没有鞋垫，号码偏大 没有鞋垫，号码偏大，女儿现在还穿不了，鞋子有味道</t>
  </si>
  <si>
    <t>好看，质量好，舒服 大小合适，就是衣长稍微有一点点长。质量很好，柔软舒服</t>
  </si>
  <si>
    <t>小半码、或1码就完美了 布质厚，适合冬天穿，就是欧码大了些－－－－－很有形的裤子，车工质量超好。</t>
  </si>
  <si>
    <t>好是好。就是打不开啊？ 这个盖子我转了20分钟都没打开。我真的醉了。</t>
  </si>
  <si>
    <t>无 完美</t>
  </si>
  <si>
    <t>再贵点儿.仍然购买 拜耳柠檬酸钙.靠谱。效果区别：国内碳酸钙居多.如吃白灰石。工艺区别：入口含服.颗粒融化口感很不同。</t>
  </si>
  <si>
    <t>商品很不错，海外购好方便。 商品很棒，正品无疑，速度也很快！亚马逊的服务真的没有话说。</t>
  </si>
  <si>
    <t>评价 衣服很棒，很合适，质量也很棒</t>
  </si>
  <si>
    <t>很不错的营养品！已经买过几瓶了 很好的营养品，母亲腿疼，吃了两周就见效了~之前拖朋友从美国买过，现在亚马逊美国购很方便，也很快！</t>
  </si>
  <si>
    <t>嗯 还行，我带着有点紧。</t>
  </si>
  <si>
    <t>尺码 6.5码37码脚合适，穿着很舒服</t>
  </si>
  <si>
    <t>商品质量和性能 非常喜欢。自己用或送人都很好</t>
  </si>
  <si>
    <t>挺好的 喜欢哈哈</t>
  </si>
  <si>
    <t>码数过大 Lee的码数确实不好掌握。我买的这个做工一般，买的L居然大。我1.83体重90kg</t>
  </si>
  <si>
    <t>是我想要的，但或许有些大 做工上看起来没有什么瑕疵，还算精细，表面的皮触起来感觉比较细腻。然后肯定也不可能是假货，再联想到实体店里高傲的价格，总之拿到手后觉得这是值得的。10月30号下的单，貌似11月6号就到了，虽然说页面上显示的是什么预期11月18号到，相当的快，这个要点赞。 然后说下尺码，网上购物总是会面对这类问题，在下平时全部穿运动鞋，乐途或者李宁，尺码有42码，42又1/3码，43码，43又1/3码。脚长260mm不到，亲测似乎257mm。较小尺码穿起来后就基本没有什么空间盈余，但是走路跑步没什么问题，较大尺码当然在前后就会有额外的空间，系紧鞋带后走路跑步也很合适。这款买的8.5 2E，上脚后其实还算合适，脚指顶到头后脚后跟的间隙刚好是一个拇指勉强竖着（不是平着）放进去。但是我估计是由于在下脚整体比较廋的缘故，总觉得有些许松垮，不多。我试了好几个鞋垫，发现加了鞋垫后脚尖太憋屈，没法穿。所以，我在想，可能这个尺码确实稍大了些，无论是前后还是左右，可能8.5D 或者8 2E会更加合适。接下来划重点了，买了8.5D or 8 2E但是稍微有点小（总觉得买小的可能性不大）的朋友请私信我，无论steel-toe or soft-toe两款都可以，让我们各取所需，互利共赢。。。 最后是这款和我常穿的李宁两款鞋的比较，大抵可以看出的是脚底长度上和李宁43 1/3差不大多，宽度上这个要比李宁的稍加更宽些，当然，这个是工装靴，李宁的是跑步鞋，理念本身就不一样。大抵8.5 2E脚底类似于李宁43 1/3的云二代，而后在脚背脚踝处可能略大些，如上，谨供参考。 附图1. 小麦色是本款；宝蓝色是李宁42 1/3；蓝绿色是李宁43 2/3 附图2. 最左边是本款；中间是李宁43 1/3；最右是42 1//3</t>
  </si>
  <si>
    <t>好用 超级好用，比大宝的贝亲研磨套装好用。贝亲的容易染色，也没有这个容易清洗。那种全自动的辅食机蒸煮磨一体的最好，但是预算不够的用这款也很好啦，毕竟使用时间不会太长</t>
  </si>
  <si>
    <t>很棒但是偏小 自打第一双亚瑟士跑鞋，就爱上了，减震效果非常好，膝盖疼也渐渐消失了。我买的42.5码，对比图是Nimbus19，43.5，感觉日码的鞋子偏小，只能穿薄袜子了。</t>
  </si>
  <si>
    <t>这个价位很值 送了很多耳套，可以根据需要调整声音 高音较为通透，低频有力，横向纵向声场都很不错</t>
  </si>
  <si>
    <t>亚马逊值得信任 太棒了！质量非常好！亚马逊值得信任！价格在全网最低！质优价廉！</t>
  </si>
  <si>
    <t>最爱ECCO 鞋子穿着比较舒服，确实是从英国寄出的，因为买过一双鞋，码选择大了，就给寄回英国亚马逊了，值得购买，就是鞋码需要注意，如果国内的鞋子穿42的那就选择7-7.5UK的就OK</t>
  </si>
  <si>
    <t>鞋号，颜色 首先说一下个人感觉鞋号应该比国内号大，我运动鞋穿40.5的这个7D(M)US有点大不过穿双厚袜子加个鞋垫应该没问题，做工不错皮质很棒，提示一下这鞋和图片两个颜色买的时候要注意，海外购不能换货，美中不足就是鞋上有划痕和预期的颜色不一样，不过亚马逊给了我很好的解决方案。</t>
  </si>
  <si>
    <t>棒棒哒 好宽松的裤子，适合胖子哦！</t>
  </si>
  <si>
    <t>外形可以，泰国的，价格很实惠 外形可以，泰国的，价格很实惠</t>
  </si>
  <si>
    <t>硬，号大 这裤子确实是超级超级超级硬，建议谨慎购买。另外很肥大，本人172cm，65 kg平时穿32的都很瘦，会有轻微勒肚子的感觉，但是穿这个32的，还很肥大。还有一个毛病就是粘毛😭</t>
  </si>
  <si>
    <t>一款好的商品从材质和设计上必须相辅相成！否则则反之！ 福腾宝的烧水壶里面塑料太多！再好的塑料想吃也是塑料吧！福腾宝价格有的也有上千了！壶身材质或许还不错，可为什么盖子那里却不能设计是不锈钢呢？干嘛偏偏要以塑料代替，塑料好吗？个人认为，唯有好马配好鞍才是真的好！而且福腾宝的壶口处一圈那里设计的也不整洁，感觉就是层层叠叠的！因此看了许久也没有购买福腾宝！但愿以后福腾宝再出新的作品了再重新考虑它！呵呵</t>
  </si>
  <si>
    <t>不合算 国内骆驼牌四百多元。样子颜色相同就牌子不一样。做工不输它！</t>
  </si>
  <si>
    <t>有严重异味，外观极差 产品有异味，外观极差。以后不会再在亚马逊买衣服</t>
  </si>
  <si>
    <t>慎重选择 刚刚使用半年，就坏了，所有资料都没有了，读不到盘。</t>
  </si>
  <si>
    <t>码号应该买比运动鞋小一号 除了偏大  其他都好。单鞋的尺码买的时候 还是应该比运动鞋要小一码。运动鞋41，单鞋应该买40差不多。40.5偏大了。  快递速度还是挺快的。</t>
  </si>
  <si>
    <t>舒适 贴身，柔软，保暖</t>
  </si>
  <si>
    <t>做工一般，音质很好 好东西，对商品本身很满意。 第一晚送两天， 第二包装有所损坏，导致宝贝表面有轻微划痕。想想来都来了十几天，这点小事没有退货，但是心里多少有点不爽。</t>
  </si>
  <si>
    <t>感觉只适合走路使用 东西质量很好，现在是产前，收到的时候用了一下子，只适合走路，不太能坐下，所以没有再用了，等生完再继续用吧。</t>
  </si>
  <si>
    <t>孩子的零食而已 要当营养补剂是错误的，就是充当孩子的零食而已，吃这个总比吃垃圾食品好，就是价格不美丽。</t>
  </si>
  <si>
    <t>不错的购物体验 5月2号下单手速慢了。。。等备货等了大概有10天，预计到货儿童节，😄结果今天就到了，物流速度其实还是蛮快的，东西入手感观很好，就是包装有点low</t>
  </si>
  <si>
    <t>超好听！ 塞子很轻，外观很好看，声音听女毒真的很好听，取消了低频，延伸了中高频</t>
  </si>
  <si>
    <t>退换货比较麻烦 100kg174看来应该买xl的，xxl太大了</t>
  </si>
  <si>
    <t>质感很好 质感很好，喜欢！</t>
  </si>
  <si>
    <t>运动袜子 底子加厚，颜色舒服。我是穿36码鞋子的，袜子尺寸很合适。</t>
  </si>
  <si>
    <t>boon 非常好用，弯曲度刚好</t>
  </si>
  <si>
    <t>不错 孩子喜欢，质量目前看着好可以</t>
  </si>
  <si>
    <t>用后感 下单到到货刚刚20天，大牌子质量不用质疑的，美帝的出品是稍粗糙点的😜，自从手腕发炎做不了面食就只能买机子了。做馒头包子花卷揉10分钟足够了，面包还没尝试。美中不足就是机子胶垫少了一个，站不稳，要另外找东西垫着。</t>
  </si>
  <si>
    <t>不错 不错，内另附一根鞋带，不知道是多给了还是少给了</t>
  </si>
  <si>
    <t>很好，会一直买 已经是第二次买了。孩子以前用小婴儿无氟的牙膏，一直不爱刷牙，改用这个，明显积极多了。</t>
  </si>
  <si>
    <t>好 130斤穿10号就行了。12号有点宽松。</t>
  </si>
  <si>
    <t>很好很好很好 非常舒服好穿，满分。</t>
  </si>
  <si>
    <t>国内专柜750 从下单到手4天。国内专柜750，而且我们商场冠军开业第一天粉色就卖断货了。日亚360到手。日亚的包装真是感天动地，衣服叠好塑封固定在箱内。</t>
  </si>
  <si>
    <t>不错的外套，牌子货，哈哈！ 按照评论说的减小一码下单，很适合。178，99kg，L码。</t>
  </si>
  <si>
    <t>太棒了 活动价，24寸的，包税包邮850多点，算很便宜了，有点瑕疵，珐琅锅应该很难避免，不在面子上，绝对良心了。质感相当棒，颜值即正义啊，厨房为之动容。烧了几次排骨和羊肉，无需加水，在炒锅里预炒加盐加佐料后，倒入珐琅锅，最小火一两个小时搞定，老婆孩子都说比以前烧的好吃多了。</t>
  </si>
  <si>
    <t>尺码一致，质量很好 尺码和ecco的皮鞋一致，质量很好，价格实惠，赞一个亚马逊</t>
  </si>
  <si>
    <t>小贵 有点小贵，不过东东还可以</t>
  </si>
  <si>
    <t>可以 还行吧，测温度的不太准，明明宝宝可以吃的温度了却还是变色的</t>
  </si>
  <si>
    <t>码偏大，不过我个人挺喜欢的 之前美亚转运回来的这款就比其他的舒服，N次回购了。</t>
  </si>
  <si>
    <t>东西很好 很不错，非常喜欢，适合休闲装</t>
  </si>
  <si>
    <t>略大 看了很多评论说鞋子偏小，结果一咬牙买大了半码，大了。。。</t>
  </si>
  <si>
    <t>年轻人的第一双添柏岚 年轻人的第一双添柏岚，这双鞋买来的主要用途是骑摩托车，因为经济原因，所以计划防摔衣牛仔裤护甲式护膝的搭配。这样需要一双耐用，防水，防油(踢离合，这地方有时候会蹭些机油)，有一定防护性能的鞋，于是选定了这双添柏岚Pro的工作靴，本来是应该买钢头靴的，结果买错了，不过到手感觉支撑不错，也就可以了。鞋到手穿了一整天，虽说算是添柏岚家鞋底支撑好些的，但是也挺硬的，跑医院，逛街下来脚掌有些痛。脚是44~43的，特地去了实体店试了爆款10061，9.5w正好，不挤脚，有略为空间，跟脚方面鞋带一定要绑紧一点。另外最上边这两个固定鞋带的东西真的很好用，方便脱穿。以上。</t>
  </si>
  <si>
    <t>很薄，不保暖 很薄，不保暖，在南方17度的天气穿冷得直哆嗦，平均每条46元一点都不划算！</t>
  </si>
  <si>
    <t>所谓的法兰绒，就是一层布～ 本来是买来冬天穿的，所谓的神马法兰绒，就是一层布，不算太厚实～</t>
  </si>
  <si>
    <t>尺寸 偏肥</t>
  </si>
  <si>
    <t>号码偏小 号码有些偏差，比我在美国实体店买的要小。</t>
  </si>
  <si>
    <t>服务差 很不爽，5月4号的订单，5月30号才送到，客服联系不上，也没主动告知延误原因，包装盒也破损了，差评</t>
  </si>
  <si>
    <t>质量不错 买了很多厚木的袜子，很不错</t>
  </si>
  <si>
    <t>锅手柄掉了！ 实在是不咋滴！邮寄来锅手柄掉了，里面只有一张纸包裹，介大老远，米国邮寄来当然不行了！太次！不会再再亚马逊买东西！</t>
  </si>
  <si>
    <t>180、70KG，32x32，料子有点硬，穿着还行，就是裤脚有点大！ 180、70KG，32x32，料子有点硬，穿着还行，就是裤脚有点大！</t>
  </si>
  <si>
    <t>又笔又恨 刚开始很期待，到手后就觉得一般般了，试写了一下还挺顺滑的，就是EF尖还是感觉的粗了，写英语和数字很好，写汉字的话不如日本笔，因为出水量大，不容易出笔锋，不好控制，一不小心就写粗了，买来练字注意下，买来在书本上做笔记那种也粗了，但是手感很好，握笔舒服，唉、又笔又恨…</t>
  </si>
  <si>
    <t>还可以 还不错，孩子穿着出去旅游，天天走很多路也没说不舒服，就是穿了几天鞋头的胶就起来了一点， 自己粘一下算了，唉</t>
  </si>
  <si>
    <t>笔尖越用越粗了 笔尖越用越粗了</t>
  </si>
  <si>
    <t>基本满意 做工不精细，跟好高啊，穿上增高4至5厘米</t>
  </si>
  <si>
    <t>薄款 棉质，偏薄，很舒服！</t>
  </si>
  <si>
    <t>很舒适 非常合适，没有违和感</t>
  </si>
  <si>
    <t>杯子很好啊 杯子很好，比想象中要大</t>
  </si>
  <si>
    <t>价格实惠 价格实惠，洗碗机的消耗品，囤货</t>
  </si>
  <si>
    <t>高效，方便 很不错，省心，省力。</t>
  </si>
  <si>
    <t>尺码标准 帅气的徒步鞋非常好，与图片完全一致。有看见评论说码数偏大，在这里我郑重说一下：完全正常尺码，按自己的码数购买就会，之前买小一码结果是退货重买。给后来者提个醒以遭到不必要的麻烦。亚马逊购物放心舒心，商品正宗价格美丽，会继续。</t>
  </si>
  <si>
    <t>还不错的商品 128G足够日常用途了</t>
  </si>
  <si>
    <t>鞋码偏小，建议最少大半码！ 下单前看评论说鞋码偏小，我穿美亚的阿迪，美码11.5合适，这次就拍12码，下单后担心不够，马上想退，退不了，只好认了，到货很快，上脚合适，个人脚型大半码合适！</t>
  </si>
  <si>
    <t>裤子不错 这个和Lee 男式 现代系列修身锥形腿牛仔裤, Brazen，有点类似，或者说可以是稍微水洗版，颜色深点，也是埃及制造。虽然也是30×30，但是比那个腰部要紧的多。很修身，裤腿大小也合适，既不紧缩，也不邋遢，比例正好。176，70kg，30×30合适。</t>
  </si>
  <si>
    <t>很好的耳机，质感不错，续航真nb 不得不说亚马逊的商品图片压缩的都太厉害了看起来不是很起眼，拿到手质感还是很好的，蓝牙比较方便，声音也不错，续航是真nb，充满电连续用两天没问题</t>
  </si>
  <si>
    <t>量体裁衣 xs码，胸围94，衣长66。供参考，相当于国内s码</t>
  </si>
  <si>
    <t>舒服 舒服到想扔掉所有内衣</t>
  </si>
  <si>
    <t>勺子很划算 遇见热的会变色，不当心宝宝会汤着，4只装也很划算。</t>
  </si>
  <si>
    <t>物超所值 到手不到600，货到用了4天，东西没问题！价格应该不是最低的，但专柜价的三分之一不到，非常超值！鞋码可以去专柜试，但爱步的鞋就按运动鞋码小1号买就行。非常愉快的一次购物体验！</t>
  </si>
  <si>
    <t>很满意 挺好的。就是包装有点low。如果不是转运进来，我还以为是假货，哈哈哈哈。</t>
  </si>
  <si>
    <t>还行 还行吧，保温效果一般</t>
  </si>
  <si>
    <t>反应很好 帮同事买的，反应很好</t>
  </si>
  <si>
    <t>质量不错，过大 身高182.体重200多斤，穿4x的大。</t>
  </si>
  <si>
    <t>葡萄籽精华片 坚持吃一段时间，肤色真的有变好。会坚持继续吃</t>
  </si>
  <si>
    <t>很好 黑色很漂亮，杯子很轻，漆面珍珠色里面有类似五彩挺好看。。日本发来转的ems，大概1-2星期就到了。</t>
  </si>
  <si>
    <t>为什么没有上墨器？？ 非常满意，笔很好，书写很舒服，确实没有选错</t>
  </si>
  <si>
    <t>购买体验不错，虽然有些波折 刚刚收到，只能先评价一下购买体验。 第一次购买是11月3日，后因为过海关延迟（10日左右提示，但具体原因不明），发生退货退款（在过关出问题后约3天退款到账）。 因为不明原因，客服建议重新订购。 第二次购买11月13日下单，预计到货时间为11月30日，实际提前了一周，23日就收到了产品。 可能是因为长途运输的关系，外包装有破损变形，内包装完好，产品无暇。 依据说明书调试（包装内无中文说明书，通过官网取得），反应灵敏，顺利调试开始使用（主要是设置所属时区，自动对时）。 表盘内径33mm，外径约50mm，确实比较大，我手腕较粗（手腕宽约55mm），自觉还算合适。 初始电量显示H（高），调试一小时后降至M（中）。室内操作，还没有晒太阳充电。 如图。 以上，供买友参考。</t>
  </si>
  <si>
    <t>实物与图片有差距。 很明显的瑕疵，退货了。实物与照片有差距，退货很麻烦，购买需谨慎~给同好者参考。</t>
  </si>
  <si>
    <t>裤子 裤子颜色完全不一样。</t>
  </si>
  <si>
    <t>前面膝盖处漂白了 不知道是不是故意做旧漂白还是 则么回事。本来好好的纯黑色，居然膝盖处看上去漂白的，跟黑色裤子，穿过一阵子后，褪色一样。或者可以理解为故意做旧，漂白的。黑色的裤子这样一样弄，感觉不好看。穿了更加显瘦。</t>
  </si>
  <si>
    <t>太大了! 质量还不错,就太买大了,平时国内XL正好,身高180,体重190,穿XL长出一大截,建议买小一码!</t>
  </si>
  <si>
    <t>没有国内保修！！！ 国内不能保修，才3个多月就坏了，不知道能否退Prime会员。</t>
  </si>
  <si>
    <t>假货 假货的不要买</t>
  </si>
  <si>
    <t>略有瑕疵。 左脚鞋头部分的翻毛皮上有一点擦痕，做工感觉不如以前的精致，再就是鞋盒有点旧。</t>
  </si>
  <si>
    <t>黑色掉色 黑色洗了几次都掉色 不知道是否因为我用专门的内衣洗液的原因m m</t>
  </si>
  <si>
    <t>尺码略小 168cm，92斤，买的26，正合身紧身贴着腿，建议大一码，宽松点穿着舒适度会高一点</t>
  </si>
  <si>
    <t>优缺点 操作方便，音质对我而言很不错。很清晰。 缺点1 降噪一般 在房间里只能过滤风扇 空调一类的噪音。对人声过滤的很一般。 缺点2 不够紧，戴上只能不动。要不感觉会掉，可能我头比较小吧 缺点3 声音有时候会突然自己变大一点。 缺点4 无线模式无论开不开降噪。在观看视频时 暂停和播放 耳机里面都会轻响一下。</t>
  </si>
  <si>
    <t>薄，起球 还不错，就是有点薄，里面的绒很容易起球</t>
  </si>
  <si>
    <t>爽啊 比狗东便宜1/3。够大。家里nas整个备份下来了。</t>
  </si>
  <si>
    <t>基本合身 不知道是不是美国亚马孙发的货，反正到货很快，完全超出了我的想象。裤腿太长，肥瘦还可以。</t>
  </si>
  <si>
    <t>推荐 好看的。这顶是简单款，虽然说是m码，但是头小的人还是可以带的！推荐！</t>
  </si>
  <si>
    <t>不会漏墨 不会漏墨</t>
  </si>
  <si>
    <t>认可好评 品质优良、衣码太大，本想退货，想想还是收了，是自己没有搞懂码数，责任在自己，希望亚马逊继续保持这样的品质管理与服务……</t>
  </si>
  <si>
    <t>日立的企业盘 买了2个白标盘，都是日立的企业盘，7200转64M缓存，放在nas上用。型号是比较老的，应该是企业硬盘改用途的库存，0上电时间。读写速度测试比WD的买了3年的红盘更快，当然企业盘的动起来声音也比较客观，不过前几年的7200转硬盘都差不多，属于正常范围。 从这个价格上说，简直太白菜了，基本上半价还不到，加上是亚马逊自营海购，比较放心。</t>
  </si>
  <si>
    <t>做工精细，设计经典 玻璃纤维的笔身，比较轻，整个笔杆就是储墨器，设计比较精巧。整支笔做工精细，基本没有什么瑕疵，包括笔尾的旋转部分，在旋紧后几乎和其余部分融为一体，看不出缝隙。最特色的是整只笔的重心在虎口部位，加上笔帽后依然如此，写字的时候很舒服。</t>
  </si>
  <si>
    <t>好用 这款的震动频率确实很高，却没有博朗的那么生硬的感觉，对于习惯电动牙刷的我来说还是挺温柔的，清洁到位</t>
  </si>
  <si>
    <t>尺码偏大，颜色出众 有点稍大了，但颜色和质感很好，权当是oversize了，很不错。</t>
  </si>
  <si>
    <t>推荐买这个 质量特别好，买了两个，价格比天猫便宜太多了，早就应该在亚马逊买东西了，以后还会常来的。</t>
  </si>
  <si>
    <t>合适入 尺码合适，我是高脚背宽脚丫子，平常穿36码，选的35（36EU），很合适，脚尖一个指头空余，两侧稍微有一点点挤，本来想入棕色款，但只有黑色有号，到货打开一看也很不错，皮质软软的，穿着舒适。</t>
  </si>
  <si>
    <t>值得入手 五星好评，值得入手，产地印度，手感做工都不错，上身比较舒适，性价比非常高。尺码标准，165-65 s码很合身。</t>
  </si>
  <si>
    <t>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 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</si>
  <si>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材料重，扎实！非常好用！配方好做出来的面条也相当好！ 材料重，扎实！非常好用！配方好做出来的面条也相当好！</t>
  </si>
  <si>
    <t>一分钱一分货 东西没话说，龙头有重量，手感不错，花洒比想象中大</t>
  </si>
  <si>
    <t>据说可以当眉笔 买了一整盒，还没用呢，感觉肯定很好。</t>
  </si>
  <si>
    <t>170/60 S号 170，60公斤买的S号正合适，质量和设计都不错，兜里还有耳机穿线孔，细节设计比较好，在亚马逊买东西大家相互多评论，海外的衣服码数确实不好把握，希望对大家有帮助</t>
  </si>
  <si>
    <t>录音效果还不错 效果不错，就是外观漆面一般，有点廉价</t>
  </si>
  <si>
    <t>与预期的一样 大小正好合适，东西很不错</t>
  </si>
  <si>
    <t>功能强 看上去没有什么惊奇之处，但是用了之后，就知道它为什么是厨房用剪排名第一了。</t>
  </si>
  <si>
    <t>nice 性价比很高质量也很好</t>
  </si>
  <si>
    <t>很好哦 很好，以前从不去评价，不知道浪费了多少积分，现在知道积分可以换钱，就要好好评价了，后来我就把这段话复制走了，既能赚积分，还省事，走到哪复制到哪，最重要的是，不用认真的评论了，不用想还差多少字，直接发出就可以了</t>
  </si>
  <si>
    <t>有些失望，不是很满意。 先说优点，样子不错，左右对称，响应速度很快。缺点也有很多，最大的问题是系统提示音很大很吵，而且不可调。对于我的耳朵有些大，带三十分钟左右耳朵会疼.</t>
  </si>
  <si>
    <t>质量不好 为啥s码下摆如此小，肩膀如此宽？！然后口袋真的是歪的，薄绒掉毛，买的红色的，粘的衣服上都是，不过挺暖和的，洗了掉色不严重，就是掉毛，130斤穿，下摆小。</t>
  </si>
  <si>
    <t>假冒伪劣产品 假冒伪劣产品</t>
  </si>
  <si>
    <t>是全新？ &lt;div id="video-block-R2V2G56EY7E4NE" class="a-section a-spacing-small a-spacing-top-mini video-block"&gt;&lt;/div&gt;&lt;input type="hidden" name="" value="https://images-cn.ssl-images-amazon.com/images/I/81FGJL+gBJS.mp4" class="video-url"&gt;&lt;input type="hidden" name="" value="https://images-cn.ssl-images-amazon.com/images/I/B1snUTXgntS.png" class="video-slate-img-url"&gt;&amp;nbsp;还行吧 什么都没送 连个小改锥啥的都没有 整的时候还得去找小工具 还有表带 有摩擦痕迹  不咋的  跟掉颜色是的</t>
  </si>
  <si>
    <t>求回复 为什么调不了24小时制度，右上角按钮点不了</t>
  </si>
  <si>
    <t>偏长偏大 好看是好看的，不过确实偏长偏大。</t>
  </si>
  <si>
    <t>还可以，挺好用。 还可以，挺好用。</t>
  </si>
  <si>
    <t>大一点 尺码比之前的另一款偏大</t>
  </si>
  <si>
    <t>还可以 我也是醉了，怎么亚马逊发个评论都这么麻烦，怪不得好多东西评论都没有，你们这样可不行，评论少，客服又找不到，让我们怎么买东西呀，哎，为了大家我就在试一下写评论吧，正常穿40的，这个买的6.5uk的，稍微有一点大的，但是个人还是觉得性价比挺好的，能穿，200多买的，便宜，就是感觉皮子容易起皱</t>
  </si>
  <si>
    <t>冬靴好 送给妈妈，自己也有一双！非常适合冬季穿！</t>
  </si>
  <si>
    <t>物有所值 出水柔和，开关拨片够大，水量能再大点就好了</t>
  </si>
  <si>
    <t>轻便防水 材质超轻，宝宝挂着无负担，也防水，很好</t>
  </si>
  <si>
    <t>满意 很漂亮，小巧。用起来也方便</t>
  </si>
  <si>
    <t>赞 哈哈哈，不错的袜子，有了前两次的经验，这次尺寸很ok，到货时间也快，就是日本人对颜色的定义有点奇怪，不是黑色，是带点棕和深灰，总之很难形容的颜色，或者是翻译的问题，本来就不是黑色</t>
  </si>
  <si>
    <t>非常喜欢 看电影啥的音质好</t>
  </si>
  <si>
    <t>评价 很好，以前从不去评价，不知道浪费了多少积分啊。现在知道积分有如此大的作用，就要好好写评价啦 身体乳味道很香很香，也很滋润，坚持使用能有很明显的美白效果，期待。</t>
  </si>
  <si>
    <t>舒服 很舒服 。真的好像没穿一样，除了价格有点贵缺点外都是优点：）</t>
  </si>
  <si>
    <t>很好哦 宝宝很喜欢这套餐具！</t>
  </si>
  <si>
    <t>便宜就是硬道理 相对于国内版本，就是商标印刷模糊些，其他差不多！海外购到货也极速，满意！</t>
  </si>
  <si>
    <t>森海塞尔945 正品 第二次在亚马逊购买了 非常满意</t>
  </si>
  <si>
    <t>非常柔软舒适 略微大一点，但是再小一号可能会小，游泳的时候穿，不用带拖鞋了，真的非常非常舒服，这个牌子名不虚传。</t>
  </si>
  <si>
    <t>合适 送货速度很快，裤子质量还行，薄的那种，适合夏季穿。</t>
  </si>
  <si>
    <t>点评 挺好用的</t>
  </si>
  <si>
    <t>一直用WD的硬盘，这款作为总备份 也就五天就收到啦，超快。硬盘很漂亮，运行的时候有咯咯哒哒的声音。因为只在mac系统用就格式化了。</t>
  </si>
  <si>
    <t>表防水不错， 实体和图片没有区别 1，  手表 的编号是3157  可以在搜索上查找到此表的说明书  适合男的带 2，  手表功能  1 世界时间  每个世界城市都有 北京时间是bjs 2 时区  3 DST  3 显示  年月日  星期  时分秒  4  带有 温度  5  指南针  6 一秒钟照明  7 秒表  8 闹铃功能 ； 3，  无气压计 4， 防水性能好  洗热水澡带没问题， 准备游泳带试试 ； 防水200米； 5，指南的效果还可以  分的比较细； 6，防水性  实验到了将近 3周时间，</t>
  </si>
  <si>
    <t>轻，保温 比较轻，保温效果好能用一天</t>
  </si>
  <si>
    <t>还可以 东西还可以，替芯不错</t>
  </si>
  <si>
    <t>好用 力度够大，倒是不会刷出血，有一次给孩子刷疼了。总体来说不错，比手动刷的干净</t>
  </si>
  <si>
    <t>穿起来很舒服 所有champion的裤子比起其他一些牌子都有点长，或者是我的腿太短</t>
  </si>
  <si>
    <t>不错 黑五唯一最便宜的，其他东西有很多都涨幅达几倍，亚马逊现在也不诚信了，对亚很失望</t>
  </si>
  <si>
    <t>质量很好，就是裤脚有点大，很喜欢 质量很好，就是裤脚有点大，很喜欢</t>
  </si>
  <si>
    <t>衣服偏大，且质量不好。 衣服有些偏大，质量不是很好，摸起来感觉不值这个价格，还不如100左右的LINING</t>
  </si>
  <si>
    <t>尺寸没有标明尺寸码， 我不喜欢这件商品。考虑到消关再换非常麻烦，所以找人送给别人了，</t>
  </si>
  <si>
    <t>一般 较厚的春季卫衣，比较硬。</t>
  </si>
  <si>
    <t>还行吧，感觉没照片的好看！ 穿着总感觉哪儿不对劲，没穿几次。</t>
  </si>
  <si>
    <t>质量差！ 质量太差了！！裤子后面有一个破洞，想退货还要打印票据，我没有打印机，出去打印又是麻烦，只好自己找家店补一下了，发货前都没人检查吗？？？？我也是醉了</t>
  </si>
  <si>
    <t>该产品是瑕疵品，建议亚马逊下架。同时提升客服人员的素质 真的是垃圾！！！用了3个月机器坏了，找亚马逊，第一个客服让我找洁碧中国售后，并且还说不到万不得已千万别说在海外购上买的。中国方面称商品写的是WP-560，商品实际是560C，中国维修说560C的没有机型配件维修不了！耍我啊！垃圾！再找亚马逊方面，第二个客服拽得一塌糊涂，不仅让我自己去美国洁碧官网联系售后，在我提出连tb都有售后服务时，还反过来质问我为什么要中亚上面买。并且告诉我商品评分低只是因为小部分人的评价，我根本不知道这个产品销量是多少。说来说去就是一句：我们所作所为都是在法律范围内的，是合法的。我就呵呵了，这是我第一次在亚马逊上买东西，也是最后一次，真的是垃圾。</t>
  </si>
  <si>
    <t>力气很大 爸爸反映劲儿贼大</t>
  </si>
  <si>
    <t>表不错，物流很快 表不错，物流很快</t>
  </si>
  <si>
    <t>还算满意的工装鞋 脚长255，穿7号正好，做工也还可以，鞋头有保护片，应该是塑料的，鞋跟内有稳定稳定器，鞋面偏薄，鞋底超厚，穿着还可以，稍微不满意的是右脚外侧脚踝处有点磨脚踝，摸起来像是logo的地方…</t>
  </si>
  <si>
    <t>还不错 衣服袖子很肥，是参考欧美人的身材设计的，布料也一般。刚开始不入眼，时间久就好了，不同的风格，就算是买个牌子，这个价位国内很难买到。</t>
  </si>
  <si>
    <t>还不错 给奶奶买的，不过她可能是关节问题比较严重，吃这个没有明显效果。</t>
  </si>
  <si>
    <t>年轻时髦 给弟弟买的，欧美牌子买的多，所以熟悉美码和中国尺码的差异，选的号码刚刚好好。在亚马逊总能出人意料地遇到美国品牌衣服鞋子的好价，买买买！超级棒！很减龄的一个款，质量款式都好得没得说~</t>
  </si>
  <si>
    <t>很好喔 很好喔，很喜欢，很好用，终于买到</t>
  </si>
  <si>
    <t>尺码正 尺码正，很舒服很轻便，非常满意</t>
  </si>
  <si>
    <t>好鞋推荐 故意买大一码，雪地靴大一点才舒服。不错！</t>
  </si>
  <si>
    <t>很好无味道 很好，没有味道，颜色无色差</t>
  </si>
  <si>
    <t>复古 外观很漂亮，烤起来也很快，很好吃</t>
  </si>
  <si>
    <t>希望有效果 骨盆带拆了，还没有使用，刚生完宝宝，不过质量好</t>
  </si>
  <si>
    <t>陷入海外购无法自拔 感觉稍微小一点点，其他都好，价格美丽</t>
  </si>
  <si>
    <t>心塞 笔的质量是没得说的，但是仔细看了一下，同时买的两一套人像24色一套48色，发现里面有15支笔都是重复的，好贵的呀！心塞…</t>
  </si>
  <si>
    <t>挺好，就是跌价太快 挺好的，舒适，好看，就是底实在太滑了，另外，价格实在跌的太快</t>
  </si>
  <si>
    <t>性价比高，声音舒适的好耳机 到手的是2011的微风版，耳机的音质出乎意料的好。刚到手时，耳机的第一声很闷很燥，让人想吐；让它自己玩了48小时，耳机声音开始变得开阔，声音很舒适，那些解析度什么的我就不分析了，很多大牛都写过很多东西了，耳机现在用就是要舒服，声音有感染力和渲染力就行。性价比很高，算是我在亚马逊上买的很合算的耳机了。</t>
  </si>
  <si>
    <t>偏大一码 我178cm，体重93kg，买了xl正合适。</t>
  </si>
  <si>
    <t>颜色和质感都好的飞起 好看的飞起来，就是压脚背。不过这几天穿下来已经不压了，泪呀，都是用脚给它撑大的。喜欢，准备入一个同色的切尔西。</t>
  </si>
  <si>
    <t>高端大气上档次 第一次买这么贵的剃须刀，以前就买过300左右的，用过飞利浦两个头的，感觉还不错，不知道这次能有多提升，我还没用，邮过来物件看着都是完好的，底座的电源跟剃须刀电源手机通用的，用力插进去就行。</t>
  </si>
  <si>
    <t>性价比高 喜欢穿直筒裤，裤头刚好，裤脚长了。一星期到货。身高180，体重90</t>
  </si>
  <si>
    <t>尺码 很喜欢，和常规尺码一样，平时Clark12码 ，这个也是12码，46号</t>
  </si>
  <si>
    <t>正品 直邮到中国非常方便.</t>
  </si>
  <si>
    <t>合适 还没用，但是听说不错，价格美貌的时候购入。</t>
  </si>
  <si>
    <t>超级满意。 杯子质量很不错，轻巧，材料质感很好，越南生产。</t>
  </si>
  <si>
    <t>冠军 价格合适，质量不错。</t>
  </si>
  <si>
    <t>朋友很喜欢 第一次亚马逊海外购，感觉不错。</t>
  </si>
  <si>
    <t>超值！ 真皮超值漂亮！宽度适合身材粗一点的男生。</t>
  </si>
  <si>
    <t>（郡是） Gunze CFA （西法【清爽】纯棉长袖内衣日本制造 粉色 M 衣服太薄，不好，没有纯棉的感觉。</t>
  </si>
  <si>
    <t>薄，不显胖，像旧的 适合春天或者夏天刚热，颜色很旧。</t>
  </si>
  <si>
    <t>还算可以的日常表 做工一般，尤其表带感觉不太好，很松动。整体感观也就7、8百元档次。性价比一般</t>
  </si>
  <si>
    <t>充电杯冲不上电 为什么充电杯冲不上电？充12小时也就能用一次！</t>
  </si>
  <si>
    <t>太大，款式一般 太大了，买的37，感觉像39，穿了像雨靴……退款也不方便，只能认栽了</t>
  </si>
  <si>
    <t>颜色不一致 货号一只是9917另一只是9914，色差明显，已申请退货。</t>
  </si>
  <si>
    <t>手柄太短 太tiny mini了～手柄太短不适合操作</t>
  </si>
  <si>
    <t>鞋子略大 平时穿41结果这个7.5UK大一码，退换麻烦，凑合吧</t>
  </si>
  <si>
    <t>一般 和批发市场百十块钱的没啥区别</t>
  </si>
  <si>
    <t>尺寸正好 还算不错，有点牛津纺的意思。</t>
  </si>
  <si>
    <t>偏大 偏大 整体不错 舒服很好</t>
  </si>
  <si>
    <t>内裤质量很好 和国内专柜的基础款一样，面料薄而结实，美亚价格良心，很值得购买</t>
  </si>
  <si>
    <t>不错 挺好用，出门带着也方便</t>
  </si>
  <si>
    <t>很好用 没有任何异味 好用！辅食必备 没异味</t>
  </si>
  <si>
    <t>非常舒适精致。 日本的内衣确有独到之处。非常舒适，无感。</t>
  </si>
  <si>
    <t>水壶 很喜欢，就是有点贵</t>
  </si>
  <si>
    <t>外套 款式正统，很适合！</t>
  </si>
  <si>
    <t>亚马逊的客户体验是一流的 第一次在亚马逊中国海外购，体验超好。首先，货品是正品。老婆有一双女版的情侣款国内专柜买的花了2100元。对比了一下，我这双绝对是正品，但价格还不到一半。鞋子穿在脚上舒服的想哭。亚马逊自营海外购商品质量没问题。其次，亚马逊的服务质量一如既往的好。这次买鞋，由于想尽快收到货品，选择了速递加急服务并支付了加急费，但当查询快递进度时发现到货时间未按照加急处理。随后致电客服，客服了解情况后表示可能是他们操作失误，然后退还全部运费超过百元作为补偿。这样的客户体验绝对是一流的。不禁让我想起去年在某东购买物品，后因不喜欢退货竟然被收了8元快递费。而在亚马逊上退货从未收取过任何额外费用。这也是我为何一直支持亚马逊的原因。</t>
  </si>
  <si>
    <t>喜欢 挺舒服的，春秋加个冷热，颜色比图片略不同，</t>
  </si>
  <si>
    <t>我的裤子 小腿处有点稍小 不过无大碍</t>
  </si>
  <si>
    <t>价廉物美 皮革表带，深蓝色表盘很好看，走针声音比之前买的一块天美时要小，晚上睡觉放旁边还能接受，虽然平常都带手环了，偶尔有需要带带还是不错</t>
  </si>
  <si>
    <t>很好 比想象中的快很多就收到了，质量很好，开锅两次就煎了牛排，不粘锅，就是单手拿不动，非常有分量。电磁炉也能用。</t>
  </si>
  <si>
    <t>保温 很不错了杯子，保温在12小时以上，已经很不错了。</t>
  </si>
  <si>
    <t>时髦 尺码大了，但是意外的很好看 穿上是想要的感觉 喜欢 😘第一次在亚马逊购物 愉快的交易 正品无疑</t>
  </si>
  <si>
    <t>刚收到，正品 刚收到货，等吃完了看效果吧</t>
  </si>
  <si>
    <t>东西没收到，退款了 东西没收到，退款了……  很好，以前从不去评价，不知道浪费了多少积分，现在知道积分可以换钱，就要好好评价了，后来我就把这段话复制走了，既能赚积分，还省事，走到哪复制到哪，最重要的是，不用认真的评论了，不用想还差多少字，直接发出就可以了</t>
  </si>
  <si>
    <t>非常好 颜值很高，电量很足，用了两个礼拜还不用充电，比oral B强很多，另外这个是新版的</t>
  </si>
  <si>
    <t>很好看 用了一分钟的时间调整时间日期并戴上了，刚拿出来是不会走动的，接触光源照射差不多一会儿就转动了，目前还是两秒走动一次，看前面评论，还是因为电量不足，对吧，总体还是蛮喜欢的，嘤嘤嘤</t>
  </si>
  <si>
    <t>还可以 比国内价格便宜很多 吸力还可以 颜色鲜艳 不错</t>
  </si>
  <si>
    <t>大小正好 大小正好，蛮好看的。，母上大人蛮喜欢的</t>
  </si>
  <si>
    <t>好 舒服 就是穿白色衣服时有点透</t>
  </si>
  <si>
    <t>鞋码建议 平常穿Nike、Adidas都是255，这个穿245合适</t>
  </si>
  <si>
    <t>凑合 女鞋男穿，平时运动鞋40.5码左右，8W的尺码长度合适，只是前脚掌稍微有点挤，大小穿久了也还可以。这个物流也还不错，七八天就到广州了，然后3天到手。不足之处虽说是防水鞋，但下雨穿容易甩泥水到后脚跟及小腿，是真的很容易，这就让人有点尴尬了。穿了一个多月鞋面感觉不是很耐操，但也没出现什么问题咯。整体评价中规中矩吧，估计没cat耐操。</t>
  </si>
  <si>
    <t>差评 外形不光滑，有瑕疵，包装简陋</t>
  </si>
  <si>
    <t>尺码不好掌握啊 175cm，90kg，M号，小了。L应该合适，已退。而且退货非常麻烦，海外购还是算了吧，以后不会买了</t>
  </si>
  <si>
    <t>鞋帮有些磨脚。 鞋子本身比较重，鞋帮处有些磨脚。不知道什么原因，这鞋连吊牌都没有。天热穿还是比较捂脚。</t>
  </si>
  <si>
    <t>尺码的确大了一号 之前看评论有人说大了，我买的也是比5条的大一号，而且感觉做工不如5条的，不过料子还是可以的</t>
  </si>
  <si>
    <t>保温太差 看着那么多评论说保温好才买的，用了几天，比我几十块钱的保温还差，12点的开水，4点就不热了</t>
  </si>
  <si>
    <t>上当受骗 上当受骗了怎么办 不知点样退货</t>
  </si>
  <si>
    <t>舒服 非常舒服，到手价320，好划算</t>
  </si>
  <si>
    <t>简单得体 简单便携，虽然有点小，装A4纸大小的文件妥妥的。</t>
  </si>
  <si>
    <t>包装都没有封条吗 15号拍下，20号就送到了，神速。不过快递小哥来电话说是天猫快递，有点懵啊。拿到货后看到有易客满的货运单，还有张芝麻开门的运单贴在上面，之前亚马逊购买商品的购物清单这次也没有。包装箱封口没有封条，不知道是否本身就这样。 产品打开大致看了下是完好的。还没使用，希望一切正常，黑色的颜色也不错。 made in china</t>
  </si>
  <si>
    <t>合适 这个非常棒，本人173，体重140，大码合适</t>
  </si>
  <si>
    <t>大小合适，有点薄 身高168体重 60kg买S号刚好合适，不过有点薄，不适合很冷的时候穿，另外衣服有点小瑕疵，正面有个小洞，不过懒得换了，这个价格还是比较满意。</t>
  </si>
  <si>
    <t>合适 172，72KG穿S码，合适。</t>
  </si>
  <si>
    <t>提供的贴纸很便利 这种是单层拉链的，储存母乳之后需要使用可以黏贴的标签，很方便记录日期之类的</t>
  </si>
  <si>
    <t>划算 可以，价格划算</t>
  </si>
  <si>
    <t>已成功转移质保到大陆地区 产品很好，噪音低，已经申请延保和转移到中国大陆地区质保。还多给了1个半月质保，服务很好！</t>
  </si>
  <si>
    <t>宽头 宽头，但也没觉得刷的特别干净。</t>
  </si>
  <si>
    <t>个人觉得是正品 奶瓶很好用，手感也很好，跟韩国买到的一样！</t>
  </si>
  <si>
    <t>很好 非常好用，很轻。保温效果也超好。</t>
  </si>
  <si>
    <t>水杯晃动有声音 买了两个，绿色的这个晃动时候会有声音，红色的那个就没有</t>
  </si>
  <si>
    <t>好东西 看起来不错 颜值高。 问题在于比较厚，穿脱困难一点</t>
  </si>
  <si>
    <t>舒适性 不错，穿着很舒服</t>
  </si>
  <si>
    <t>奶瓶很好 奶瓶很好，发货速度快，卖家服务也很好，强烈推荐购买！</t>
  </si>
  <si>
    <t>好评 面料舒适有延展性，版型有国内买不到的大尺码，全五星好评！</t>
  </si>
  <si>
    <t>完美！！！ 鞋子收到了，非常不错，简直太棒了，用完美来形容，一点也不过分！</t>
  </si>
  <si>
    <t>这款好 看了很久了，这个表就觉得商务休闲都行，设计超大气。 太好了！！！</t>
  </si>
  <si>
    <t>质量不错 made in China，转一圈有回来了，呵呵。不过质量真是不错呢，已戴了好一阵子了，时间准确，误差很小。</t>
  </si>
  <si>
    <t>好 鞋码正常 鞋比正常码宽一点点 但看起来很秀气 穿着很舒服 就是右脚外踝有点磨 很好看</t>
  </si>
  <si>
    <t>很好 给二宝买的，已经用上。比给大宝买的下面多一个扣子，很软很透气，要是有再大一些的该多好。从日本发货的东西，到货速度非常快，会经常购物</t>
  </si>
  <si>
    <t>德龙咖啡机真的蛮好 机器到后使用至今，完全符合我的期待，虽然还有个别功能用得不熟悉。目前最多的就是制作卡布基诺，每天都使用，最大感觉就是自从买了咖啡机，咖啡豆的用量大了好多，虽然浓缩咖啡出来那么一点点，实际上使用了蛮多的咖啡豆了。所以不知不觉，一天几杯都喝下去了。这个机器价格在几个平台相差好大，甚至亚马逊上都相差近一万，我这个亚马逊上海淘的，机器价只要四千多，加税也就六千不到，跟其他对比便宜一万呢。</t>
  </si>
  <si>
    <t>非常舒适的材质，大小合适 非常舒适的材质，大小合适</t>
  </si>
  <si>
    <t>ecco的这款靴真不错 非常好舒适，还想再买一双 断码</t>
  </si>
  <si>
    <t>满意 版型超好，面料舒适。</t>
  </si>
  <si>
    <t>无法蓝牙连接 这台机器根本无法跟手机通讯</t>
  </si>
  <si>
    <t>说实话不太推荐 购买初衷是出于伦敦雾的名气，加上这款美亚人气较高，国内也不少人穿。  实际入手之后大失所望，与之前入的Perry Ellis Microfiber相比，不论款式、剪裁、面料都相去甚远，能勉强说的也就比较轻薄，9月天（20度）也可穿而已。  总的来说盛名之下，其实难副。不推荐购买。</t>
  </si>
  <si>
    <t>感觉一般 我觉得我这块表一般，首先秒针走时没有对准刻度。而且镜面上还有一点小疤（塑料突起），有点想退货。但还是算了。我同学说是水货，担心的。</t>
  </si>
  <si>
    <t>怀疑假货 好不好用还是未知数，但包装非常简陋让人不满，就一个塑料袋套着，塞顺丰箱里就来了，我要送人的好吧，这怎么送？严重怀疑非正品，我之前在亚马逊买了至少8个膳魔师虎牌的杯子，每个都有配套纸盒包装的。</t>
  </si>
  <si>
    <t>发现有烂洞。 发现有烂洞。</t>
  </si>
  <si>
    <t>三个月就坏了 用了三个月，突然充不了电，换了充电器和线，也充不了，眼看着没电开不了机了。不能迷信国外品牌</t>
  </si>
  <si>
    <t>还可以吧 河北的天气不让烧煤 人挨冻 不知道空气会好不好 还行吧！还行吧</t>
  </si>
  <si>
    <t>34的号码，稍微比预想紧一点 做工还是可以的，面料加了莱卡，微弹。中规中矩的裤子，值得买</t>
  </si>
  <si>
    <t>会推荐给别的朋友 鞋子很帅，性价比比美淘的要高。美中不足，这次的国际快递太慢了</t>
  </si>
  <si>
    <t>外观漂亮，有些许小问题！ 下单后三天发货，从发货到收到一个星期。机子挺漂亮的，也很重用来揉了两次面，2档约40分钟出膜。第一次用有一丢丢掉黑粉，第二次用的时候没有了。声音挺大的，还能接受。工作时机头有些晃动，第一次用还挺紧实的，但二次用就有些晃，不知道为什么。</t>
  </si>
  <si>
    <t>为什么商品名称之为水杯？ 容量是真的太大了，不是水杯，是水壶啊！！</t>
  </si>
  <si>
    <t>尺码 面料舒适，略薄</t>
  </si>
  <si>
    <t>没注意买大了 质量还可以，自己买大了一号</t>
  </si>
  <si>
    <t>很好 黑五很便宜，180cm，89kg，衣服、裤子均买的XL，穿起来比较宽松，体会不到修身，感觉买小一号应该正好。</t>
  </si>
  <si>
    <t>还不错 只有国内的板块大，洗洗碗可以，洗茶杯差一点</t>
  </si>
  <si>
    <t>通关太慢 六天到中国海关，通关十天，二十天到手。身高153体重45腰围稍大。</t>
  </si>
  <si>
    <t>很满意 很好的商品，完全没问题</t>
  </si>
  <si>
    <t>鞋子偏大 鞋子偏大,买之前就想垫先垫穿的.结果内部高度不够垫鞋垫.总的来说还是舒服的,尤其适合像我这样脚宽的.简易买小0.5uk</t>
  </si>
  <si>
    <t>非常喜欢！ 专业课老师推荐的，用过之后就离不开了！几年前在淘宝买过一套，现在国内整套的基本没有了，所以来亚马逊买嘿嘿嘿～</t>
  </si>
  <si>
    <t>Calvin Klein 平时穿26码的裤子，这款穿s码刚好合适，比基尼款也不是很低腰，中腰的样子，好穿。</t>
  </si>
  <si>
    <t>赞一个 感觉穿着有点硬，稍重，不过价格还是很给力的，赞一个吧。</t>
  </si>
  <si>
    <t>满意 尺码刚好，面料柔软有弹性，很舒适。</t>
  </si>
  <si>
    <t>推荐 速度很快，五条就到了，手表的颜值比图片好看。</t>
  </si>
  <si>
    <t>很喜欢，先屯着 第一次收到的叉子上面有划痕，申请了换货，第二天就收到了，很喜欢，先屯着</t>
  </si>
  <si>
    <t>还可以啊！ 大小合适，衣服也不错。  但是以后可能再也不会买ua的东西了!</t>
  </si>
  <si>
    <t>物有所值 物有所值，这个价位，这样的做工，国内同等品牌肯定买不到。安装方便，控温效果也很理想，值得购买！</t>
  </si>
  <si>
    <t>旗舰就是旗舰 刚开始拆包的时候还觉得样子很丑 很古板 现在感觉越来越好  做工非常优质不愧是德国原产 乐器分离度高 也没有像传说中的那么难推 激情澎湃 刚插上耳机就觉得非常不错 跟我的HD600想比一点都豪不逊色 真的是被低估的好耳机</t>
  </si>
  <si>
    <t>面料非常舒适，尺码准确 174cm/64kg穿S妈非常合身，面料柔软厚实，做工精细，这个颜色上身效果很好。总之是买的最满意的一件衣服</t>
  </si>
  <si>
    <t>不错的手机耳机 高音很棒，而且关键一点也不夹耳朵！隔音不错，代价是长时间佩戴比较热。颜色没有图片里那种高光效果</t>
  </si>
  <si>
    <t>不错的 不错，就是表带不舒服太硬。</t>
  </si>
  <si>
    <t>满意的购物 皮质挺好。很让人喜欢。</t>
  </si>
  <si>
    <t>不错 很舒适，料子手感不错</t>
  </si>
  <si>
    <t>迷一样的尺码！ 同款至少买过七八条，29比31还肥，最合身的一条是31的，再后来买30再买29就像碰运气！只有两条算是比较合适</t>
  </si>
  <si>
    <t>面料太硬了 版型不错 就是面料过硬 洗了一水也没有软太多。下次还是要买棉的</t>
  </si>
  <si>
    <t>尺码严重不合 尺码非常不准！根本穿不了！大了好多好多</t>
  </si>
  <si>
    <t>非常假的东西 这是我在amazon上的最差的一次购物，刷头是两个一个包装，装在一个塑料袋里，共有5个袋，塑料袋就是非常粗糙的那种，打开后刷头上的那排字明显不清晰，原来使用的正品上的字是非常清晰的，刷毛也与正品完全不一样，这个刷毛不整齐并有弯的，只有刷头的保护盖看着还像真的，但没毛用。刷头是英国邮寄的，可是包装盒内却是香港的保护膜，是香港重新包装的吗，真的不理解。这是一次失败的购物，不会有下一次了。</t>
  </si>
  <si>
    <t>真的垃圾，买的几个8t送来4t的 真的垃圾，买的几个8t送来4t的</t>
  </si>
  <si>
    <t>鞋子没色差 光面皮适合大陆国情，下雨一地泥水，好打理反毛皮真心伤不起。生胶底的好，软且防滑。价格合400来块钱人民币比百丽集团的鞋子便宜。建议亚马逊包邮商品种类多推出一点，现在包邮的商品种类太少了。购买会员价值不大。</t>
  </si>
  <si>
    <t>性价比可以 腰稍小。能穿。版型还好。颜色属于比较特殊，蓝色，比较特别的蓝。料子厚</t>
  </si>
  <si>
    <t>GT2000是寬的 這雙又窄又長 GT2000比較寬 穿42碼的 這雙相比窄 長 買42碼的感覺有點大</t>
  </si>
  <si>
    <t>很好的裤子 身高173，体重85公斤，买了3*630合适。</t>
  </si>
  <si>
    <t>还好 会抽丝，功能是还不错，等了很久</t>
  </si>
  <si>
    <t>还不错，大气 外观比较满意，有质感，挺喜欢。后面用着再看质量吧</t>
  </si>
  <si>
    <t>帮 种草很久了，身边都在用这个，关键写起来还很顺滑，但是自带的墨管是蓝色的，大家要注意了！ 我唯一的遗憾是忘了买上墨器了，啊啊啊我笑死我了</t>
  </si>
  <si>
    <t>舒服性感 我老公178cm，168斤，穿LL刚好，稍微一点点宽松，不厚，穿着很舒服。适合年轻时尚的男子。这件穿上蛮性感的</t>
  </si>
  <si>
    <t>说下感受 第一次海淘，等了整整半个月才到的，外观很低调，显示比较简洁的。唯一不喜欢的就是表带略硬，刚开始带不是很适应</t>
  </si>
  <si>
    <t>感温勺 遇很热的东西舌尖一下子就变白了，稍微凉一点就会跟着变颜色，很好用的东西，快递也很快。</t>
  </si>
  <si>
    <t>稍微长了一点 以后不愁没有这样的裤子穿了，很舒适，就是稍微长了一点，但是更改方便</t>
  </si>
  <si>
    <t>喜欢 质量不错，不专柜便宜很多，穿着很舒适。</t>
  </si>
  <si>
    <t>尺码合适，质量不错。 身高1.75米，体重75公斤，m号正合适。裤子质量不错，现在亚马逊改由顺丰送货，比原来的什么通快递好多啦。</t>
  </si>
  <si>
    <t>赞 170cm120斤刚刚好，男票喜欢就是真的好</t>
  </si>
  <si>
    <t>Worth buying Solid-state hard drives are so light that they almost think they have nothing in them, so they can read it out. It's just over 460G. Hope to use it for a long time.</t>
  </si>
  <si>
    <t>煮粥省时清洗麻烦 第一次买的锅送过来，锅盖摔两半了，又重新下单了一个，一直以来一直用的LC和staub 的铸铁锅，土锅还是第一次买，觉得煮粥确实很快，很快就能够让粥变浓稠，五合的煮粥、煮汤正好，太小了容易扑锅。缺点是不好清洗，热锅的时候不能用凉水洗，等锅凉了就不好洗了，特别是中间的那个盖子。还有每次洗完都要晾干，麻烦。</t>
  </si>
  <si>
    <t>不错 看着质量不错，摸着软软的，囤货中，希望宝宝哭的时候愿意吃。</t>
  </si>
  <si>
    <t>容量很大 容量很大，接口够用，性价比很高，完美契合Mac os。说句题外话，亚马逊海外购都保价和退换货政策实在是麻烦，跟其他友商比明显竞争力不够啊。</t>
  </si>
  <si>
    <t>萝卜白菜，个人所好。 超值，声音是我要的，很好，中高音很好，细腻不刺耳。低音厚了一点点。还好，可以接受。</t>
  </si>
  <si>
    <t>家用值得推荐 不错，性价比很高，就用咖啡粉是使用有点繁琐，水盒也有些小。不过家用挺实惠的！</t>
  </si>
  <si>
    <t>不错的衣服 听了客服关于同品牌别的衣服的推荐，买了S号，有点小了，174cm，74kg，M号应该正好。衣服质量很不错</t>
  </si>
  <si>
    <t>舒适，紧实，轻盈 鞋样不细说了，个人感觉还算简约大气，低调美观。上脚感觉舒适，平日都是穿43的鞋，正常码，长短正合适，本人脚背稍高，鞋子包裹紧实，贴近袜子一侧的皮子特别柔软，穿入鞋的时候感觉舒服，总体来说鞋子算比较轻便的，试着走几步路感觉挺轻盈</t>
  </si>
  <si>
    <t>很好 勺叉很萌，孩子喜欢，</t>
  </si>
  <si>
    <t>奶瓶 贝亲的奶瓶不错，奶嘴很柔软，适合婴儿使用吮吸不费力，很棒</t>
  </si>
  <si>
    <t>老大用的这个碗，超级实用，老二继续买起来 老大用的这个碗，超级实用，老二继续买起来</t>
  </si>
  <si>
    <t>买皮的买皮的 这款鞋口是真的小，穿脱賊费劲，这款是非皮的，材质不如皮的好看，这个穿了之后褶子賊不好看，推荐大家买皮的。</t>
  </si>
  <si>
    <t>划算、坚固 一直穿ecco的鞋，这款有点压脚面，是型号选错的原因？</t>
  </si>
  <si>
    <t>评价 长短合适，大腿部横肥，没法穿，还是送给胖子吧</t>
  </si>
  <si>
    <t>一般吧 有点短，肥度还可以，颜色和面料均比图片显示的要差，面料很单薄，显得没档次。</t>
  </si>
  <si>
    <t>不错 手表这种东西关键要用的久，时间长了才能检验出它的质量，我去年买了走时一直挺准确的，镜面是树脂的但平时稍微注意一下也不容易刮花。这款手表这个价位，值了！</t>
  </si>
  <si>
    <t>风力不强 国内用要转换头，原设计电压是250v，国内只有220v风力不够强。</t>
  </si>
  <si>
    <t>实惠 好便宜一罐那么大的，就像吃QQ糖一样，一天吃两颗完全忍不住啊。不知道效果怎么样，先吃吃看吧，之前是吃21金维他和善存的。</t>
  </si>
  <si>
    <t>Lee牛仔裤 质量差，不像真品。后悔购买。</t>
  </si>
  <si>
    <t>还可以 除了里边的表盘安装的有点歪外，其他还行吧。</t>
  </si>
  <si>
    <t>没试用过得建议先试用再购买。带上后头又大又圆。 没试用过得建议先试用再购买。带上后头又大又圆。</t>
  </si>
  <si>
    <t>声音棒极了，但佩戴舒适度真的。。。咳咳 看到这个包装，心凉了一截；把耳机戴在头上，那个夹头啊，心又凉了一截！但是，但是，当声音响起的一刹那，简直陶醉了。试音用的是歌神学友的歌，声音分辨率很高，甚至连呼气出来击打牙齿的声音都很清楚，立体感也比先前用的歌德SR80E强很多（好吧，我承认grado被秒了）！注意，注意，这还只是没煲的心机，期待煲开后的效果！</t>
  </si>
  <si>
    <t>有点像家居裤 有点偏家居裤，但真当家居裤穿也不合适。</t>
  </si>
  <si>
    <t>不错，就是码数偏大 175CM/53KG，胸围86cm，穿XS刚好，喜欢紧身的也可以XXS了，面料较舒适，这个价位十分不错，就是码数偏大，而且XS码很少</t>
  </si>
  <si>
    <t>不错的购物体验 很好，脚感不错，啊非要凑字数吗</t>
  </si>
  <si>
    <t>好评，谁买谁知道。 1500左右的鞋，这个价格买到真的很划算。6cd刚刚好，她平时穿37运动鞋。做工一流，皮质一流。秀气。不臃肿。不失粗犷。好评。</t>
  </si>
  <si>
    <t>尽如人意 UPS的物流预计时间非常准确 产品很好 口味满意 之前喝的是ON他家24G的香草味 可可的味道很浓郁 因跨国运输 盒子包装基本已经要碎开</t>
  </si>
  <si>
    <t>值得 版型好，修身，值得入手。</t>
  </si>
  <si>
    <t>物流很快，咖啡机很漂亮！ 在网上看了几天，选择这个型号，主要是家里领导用，物流很快速，不到一周就到邮到，拆开看，外表很漂亮，而且包装也很严实，就是没有中文说明书，另外是罗马尼亚产的，不是意大利的原产，这让我有些遗憾。除此之外 ，就等着品尝新鲜的咖啡了。</t>
  </si>
  <si>
    <t>刷牙好助手 造型可爱，充电款还是比电池款好用，重要的是，从小要保护好牙齿，真的很重要。</t>
  </si>
  <si>
    <t>感觉不错 东西看着还不错，音质挺好，比京东便宜很多，专门问了下客服国内有保修，好评</t>
  </si>
  <si>
    <t>舒服 这双很舒服，尺码跟puma平时鞋子一样</t>
  </si>
  <si>
    <t>正品 正品无疑，做工很细致</t>
  </si>
  <si>
    <t>冲洗力度 冲洗水压大小合适，外观漂亮，充一次电感觉可以用一周</t>
  </si>
  <si>
    <t>喜欢💕，质量保证 裤子还不错👌，就是码大了点，但是还是很喜欢，值得拥有</t>
  </si>
  <si>
    <t>很棒 太舒服了，像没穿一样</t>
  </si>
  <si>
    <t>实际商品比图好 图片的颜色是真实颜色，看起来一般，但入手后还是比较耐看的。而且穿起来效果不错。建议入手。</t>
  </si>
  <si>
    <t>蓝牙功能是干嘛的 不知道这个蓝牙功能是干嘛的</t>
  </si>
  <si>
    <t>很好用 很好用，烤得牛排比用平底锅煎的要好吃，汁水多且嫩</t>
  </si>
  <si>
    <t>尺码偏大 这款衣服尺码偏大了最起码2个码呢，只能送给别人穿了。</t>
  </si>
  <si>
    <t>Ao 很厚也暖和的，有点紧</t>
  </si>
  <si>
    <t>不错。 质量很好，款式简约而不简单，超喜欢。</t>
  </si>
  <si>
    <t>很好看 很好看</t>
  </si>
  <si>
    <t>经典中的经典 中规中矩的一支笔，没有花里胡哨的装饰。笔尖雕刻工艺不如德系日系，有点对不起它的身价。 到手发现是用蓝墨水写过的，不确定是出厂检测，还是退返的货。试用下来，没问题。</t>
  </si>
  <si>
    <t>质量好 还行 图个荷兰制造 希望质量好 能用长久点</t>
  </si>
  <si>
    <t>很不错 手感很好，书写很顺滑，当然我以前还是初中喜欢用自动铅笔，当时都几块钱的，现在都研一了，心血来潮买了个这个，感觉很满意，当然也可能是我没用过好的自动铅笔的缘故。。。</t>
  </si>
  <si>
    <t>颜色不对 颜色和图片颜色相差太大，图片显示浅蓝，实物深蓝，快递时间将近20天。</t>
  </si>
  <si>
    <t>严重粘毛，没法穿啊！！！ 严重粘毛，没法穿啊！！！</t>
  </si>
  <si>
    <t>质量一般 偏大一码，质量好像一般</t>
  </si>
  <si>
    <t>M尖，粗，没吸墨器。 早看评论就不买了，迷信这个牌子，一下入了两支，没有吸墨器，就一直墨囊，吸墨器在哪里买？墨囊在哪里买？还有就是M尖，日常书写不适用，只能签签名练练字，退货运费退不起。。。 以后买东西一定要先看评论。</t>
  </si>
  <si>
    <t>第一次亚马逊购物，体验极差 整个商品页面就两张模特图，他们看上去很不错，然而拿到手里却让人大失所望，首先衣服有色差，并不是图里的黑色，而是暗蓝色，其次料子摸上去很粗糙，衣服里凌乱的线头也很多，总之不推荐购买</t>
  </si>
  <si>
    <t>一般 字太粗了，不值这个价。还出水多。</t>
  </si>
  <si>
    <t>尺码太大 尺码又买错了，大太多了</t>
  </si>
  <si>
    <t>有点小 穿上去有点小，顶脚了，脚被包的有点紧。</t>
  </si>
  <si>
    <t>起球严重 起球严重，只能穿一季，保暖性不错</t>
  </si>
  <si>
    <t>很满意！！ 不错，质量很好，穿着也舒适。</t>
  </si>
  <si>
    <t>很烦非得要标题 衣服还不错吧，就是英版比亚洲版型偏大一点，拉链链头在右侧，刚用可能不太适应</t>
  </si>
  <si>
    <t>质量可以， 也能当腰包。感觉背包有点小。倒是男女都可以用</t>
  </si>
  <si>
    <t>衣服 衣服稍微长一点，不过可以穿</t>
  </si>
  <si>
    <t>小巧适合 用了几天来评论，杯子出门带点水放在包里正合适，颜色也是越来越喜欢了。</t>
  </si>
  <si>
    <t>非常值得购买的产品 最低价760.43买的，加上税费不过850元，比国内便宜不少(某东特价用券也需要979元)，实际上7天就收到货物，没有过度包装，简单气泡原盒包装，马来西亚产的，比2T的稍微厚一点点，不过放进硬盘包没啥问题。内置各种硬盘管理备份加密软件，声音很小，传输速度60-80MB/S左右，实际容量3.7T左右，编号和国内销售不同，还是信任美国的质量管理体系，非常满意，推荐大家购买。</t>
  </si>
  <si>
    <t>尺码 鞋型很漂亮，出来脚背处稍紧外，大小合适，平常国内尺码一般39，US码7宽松</t>
  </si>
  <si>
    <t>满意的购物 版型很好，适合夏天或者秋天穿。</t>
  </si>
  <si>
    <t>声音素质很高 耳机的素质很高，但是必须上耳放。直推不行的，声音空，高低频两头控制不住。上放以后解析强大，声场开阔，人声还行，比较杂食。</t>
  </si>
  <si>
    <t>零食 很好穿</t>
  </si>
  <si>
    <t>好鞋 海外购，收到的时间比下单时给出的预计要快了一周多，赞！皮鞋很漂亮，材质很好，做工也很好，特别是鞋底的材质、做工也很好。再赞！价格：货价加运费关税总共450都不到，比上海实体店在卖的鞋便宜好多，而且样式又好。再赞！ 国内段的快递是顺丰，名气大，送货的体验可不好。没事先通知说明就直接把货放丰巢箱了，自取拆包看到皮鞋的纸盒上盖中间裂了一个大缝，好在内中皮鞋没受到影响，完好，虚惊一场。这样顺丰快递只能给差评了!</t>
  </si>
  <si>
    <t>宽松刚好。 173cm  77kg  这款裤子买33W*30L刚好。</t>
  </si>
  <si>
    <t>还行 衣服不错就是买小了，我173  64kg，应该穿m</t>
  </si>
  <si>
    <t>不错 尺码合适，非常不错。</t>
  </si>
  <si>
    <t>裤型不错，有弹性 有弹性，很棒，不肥，刚刚好。我身高176体重86kg，壮实体型不胖。</t>
  </si>
  <si>
    <t>很不错，愉快体验。 帮女朋友买的，码数合适，做工比预期要好，物流比预期要快，做好期望值管理，这就是一次愉快的购物体验。希望穿久了没有质量问题。</t>
  </si>
  <si>
    <t>Lee是我的挚爱。 Lee裤子，用料好，版型好，质量好，穿起来好看又舒服，很满意！</t>
  </si>
  <si>
    <t>很软 很软，比某宝旗舰店上买的软很多。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</si>
  <si>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很好听 低音有质感，人声比较靠近，高频自然，很好听。虽然不算HIFI耳机，但听流行歌曲就该这样的声音。简约不简单，外貌不潮，声音超值。</t>
  </si>
  <si>
    <t>174, 75KG,  M号正好。 东西质量挺好的，很舒服。 174, 75KG,  M号正好。 东西质量挺好的，很舒服。</t>
  </si>
  <si>
    <t>性价比还可以 买的时候就很期待，拿到手没失望我160，58kg买的W29的</t>
  </si>
  <si>
    <t>好 好用，还有替换吸管</t>
  </si>
  <si>
    <t>紧身衣不错，我肚腩有点大😓😓😓…… 岁数大了，有点肚腩。177/77。买了L号，穿了蛮合适的，袖子稍微有点长，还有就是肚子那里绷的紧，很显肚腩😓……看样子要每天要做200个仰卧起坐了......😂</t>
  </si>
  <si>
    <t>背包 还不错，大小合适，背着舒服</t>
  </si>
  <si>
    <t>漏水严重 冲着颜值买的，不过用起来特别糟心，因为漏水非常严重！！！弃之～</t>
  </si>
  <si>
    <t>有点大还行 颜色太蓝了，袖子长胸围大</t>
  </si>
  <si>
    <t>掉色 很难相信是正品，上面写着made in China，二维码是韩国的，颜色像洗过了褪色的那种，白色的边也染了点红色～</t>
  </si>
  <si>
    <t>标题 很薄，看着标牌感觉不像是正品</t>
  </si>
  <si>
    <t>漏水 用了一段时间橡胶垫片就变形了，漏水严重，不知道为什么</t>
  </si>
  <si>
    <t>总是发错 衣服偏长，胸口logo颜色与图片不一样，买了好多件都是这样，没有图片款式就不要买了，还挂在上面</t>
  </si>
  <si>
    <t>太大 太大了，180 190斤穿 太大，220斤没问题 太宽，退换太麻烦了</t>
  </si>
  <si>
    <t>可能因为我足弓高 垫个薄鞋垫稍挤 做工什么都不错 可能因为我足弓高 垫个薄鞋垫稍挤 日常穿挺舒服的 挺喜欢这个牌子的 等活动的时候再买两双换着穿 亚马逊挺划算</t>
  </si>
  <si>
    <t>足弓高者慎买！ 从下单起算7天到手，德国发货。果然和评论中说的一样，足弓高的话会很挤。我的脚属于正常，略难塞进去，但塞进去后还好。但是再高一点一定会挤。 穿上后效果还是不错的，略帅。</t>
  </si>
  <si>
    <t>裤子有些薄和大 本人170cm，76kg。以之前海淘经验知道，我的买s码的，但是这款裤子还是大了些，也稍微长了一些。裤子比较宽松，裤口也不是很紧的那种。布料穿在身上有一个像麻的那种感觉，自我感觉这个价钱还是比较满意的。</t>
  </si>
  <si>
    <t>还没用 和奶瓶一起买的，还没用</t>
  </si>
  <si>
    <t>Lee 这款裤子带弹力的，面料很舒服，适合户外运动，给个赞</t>
  </si>
  <si>
    <t>不错 比较软 挺好的。</t>
  </si>
  <si>
    <t>东西我觉得很不错， 我是非常满意  但是这个套子比较松</t>
  </si>
  <si>
    <t>布料舒服，款型简约大方。 172/73有肚子，中号的肩胸都是非常贴合，打底穿可以，若是夏天穿则需买大一号，否则汗湿了就紧贴着皮肤。个人觉得这款T恤尺寸更接近东方人的标准，完全没有怕买大了的感觉。</t>
  </si>
  <si>
    <t>不带软管 花洒是不带软管的，购买请注意</t>
  </si>
  <si>
    <t>可爱的吸管杯 外观质量不错，小朋友很好抓握，还有替换吸管，值得购买</t>
  </si>
  <si>
    <t>总体上给个好评吧 16号下单，18号发货，今天收到还算快的吧。包装还可以，里面有空气缓冲袋。手表外观没什么问题，只是需调整下时间。</t>
  </si>
  <si>
    <t>款式经典 款式很喜欢，价格也很实惠，就是最小只有36码，要是有35就更合适了。</t>
  </si>
  <si>
    <t>产品品质不错，尺码合适 从材质上判断应该是正品，绝对比国产的那些品牌料好。本人173，体重65kg，穿S码正好。此款属于薄款，应该更加适合春秋两季穿。</t>
  </si>
  <si>
    <t>音质不错 好耳机 索尼大法好啊！不错音质不错 买了很多个索尼耳机了</t>
  </si>
  <si>
    <t>完美的咖啡机 从外观到功能都很完美，简单易用，咖啡出品也ok，会员包邮值到家</t>
  </si>
  <si>
    <t>便宜 挺合脚，这个价格买到clark还是很合适的</t>
  </si>
  <si>
    <t>出差旅行必备 出差旅行必备，个头稍大，不过在能接受的范围</t>
  </si>
  <si>
    <t>五星 很不错</t>
  </si>
  <si>
    <t>颜值高、大小合适 正在使用，没拧好会有点漏水，但杯子很喜欢，大小合适，随身携带很方便！</t>
  </si>
  <si>
    <t>好 很好，比实体店便宜</t>
  </si>
  <si>
    <t>好 袜子很舒服，合适，速度快</t>
  </si>
  <si>
    <t>价格很好 美亚买的，价格特别好，笔的质量也好。</t>
  </si>
  <si>
    <t>好评 很好，非常的符合预期</t>
  </si>
  <si>
    <t>挺好的 挺好，小孩现在比较喜欢刷牙，价格比国内便宜太多了</t>
  </si>
  <si>
    <t>很好 正品，快递很快，老婆非常满意</t>
  </si>
  <si>
    <t>没有用，太窄 适合基本平胸的孩子穿</t>
  </si>
  <si>
    <t>材质硬、有廉价感 全棉面料，印度尼西亚作品。有一点硬邦邦的感觉。适合各种场合穿。</t>
  </si>
  <si>
    <t>made in china 今天拿到后，拆包装：非欧洲原装，100%中国制造。</t>
  </si>
  <si>
    <t>保质期太差 第一次给差评，临期产品，19年11月过期，大家不要买，谁买谁倒霉</t>
  </si>
  <si>
    <t>烂货 太烂了，领口皱成一圈，袖口其宽无比</t>
  </si>
  <si>
    <t>偷换了一件 有一包拆过封，换了一件已经剪过洗标的大一号的T恤</t>
  </si>
  <si>
    <t>头围59略紧 夏天买了正好带，就是没有头码选择，59戴58略紧。另外帽檐比较小，这样有困难，我是买来装帅的，劝买来遮阳的朋友仔细考虑</t>
  </si>
  <si>
    <t>右下方标志 之前买的手表右下方有个小标志，这个没有，为什么？？？</t>
  </si>
  <si>
    <t>T恤 衣服比较宽松，面料还不错。等天冷当内衣穿吧</t>
  </si>
  <si>
    <t>经典帅气 山脉之光是丹纳经典款，鞋型经典帅气。全皮、V底、gtx、线缝使之性能强悍抗造。</t>
  </si>
  <si>
    <t>略大 脚26.5cm  8-8.5码略大了 穿着蛮舒服，相比淘宝动辄上千，这边划算多了</t>
  </si>
  <si>
    <t>轻巧 不错 很轻便</t>
  </si>
  <si>
    <t>这个还行 已经算比较舒服了 L不够一点点</t>
  </si>
  <si>
    <t>手表进口 可以、日本品牌好，比国内的手表还要好，带着手上很舒服，不怎么勒手</t>
  </si>
  <si>
    <t>完美 料子不错，尺码合适，连裤脚都不用裁</t>
  </si>
  <si>
    <t>安装师傅也很赞 蚁安居崔中习师傅。技术精湛，服务一流，态度又好</t>
  </si>
  <si>
    <t>声音好，价格实惠的耳机。 声音素质很不错，三频很均衡，耐听、好听，杂食。和hd25分庭抗礼。就是作为专业耳机，佩戴有些紧，耳罩小了点。</t>
  </si>
  <si>
    <t>材质不错，亚洲体型偏胖的购买，建议小一号。 欧洲码，亚洲人穿稍微有些偏大，下次买得小一号了。材质非常好，划算，正品。 这款偏大，是在衣服的下摆长度。</t>
  </si>
  <si>
    <t>好用 非常好用，非常好用，刷的很干净</t>
  </si>
  <si>
    <t>稍厚但速干的材质 Performance虽然不是UA的顶级系列，但做工和材质还是很好的，很适合平时穿。稍厚但速干的材质。</t>
  </si>
  <si>
    <t>太棒啦！！ 买这条裤子是为了参加腾冲跑的黎贡越野赛，但因买的时间比较晚，还以为比赛前肯定到不了，哪不知，在临出发前收到了包裹，9号穿着这条裤子跑了55公里，得了女子组的12名，整个赛程腿和腰部都没有明显不适，觉得就像和自己的融为一体，真的是一条强大的压缩裤！赞赞赞！！！</t>
  </si>
  <si>
    <t>好用不贵 不错，完美匹配790cc，原装刀片服役两年后正式退休</t>
  </si>
  <si>
    <t>大爱 非常赞，大爱，很喜欢</t>
  </si>
  <si>
    <t>裤子质量还行 体重128，身高170，购买的是W31L30,稍微有点大，冬天穿还可以吧。</t>
  </si>
  <si>
    <t>保健品 养生必备，天天一颗</t>
  </si>
  <si>
    <t>不错 尺码标准，但是小腿还是比较宽松的，不能和韩版比。追评，裤子穿了有点变大，感觉变大了一个码，还没下水。</t>
  </si>
  <si>
    <t>很喜欢 价格不错，这个牌子的内裤是不错的，很喜欢</t>
  </si>
  <si>
    <t>价格划算 很不错家里两个电动牙刷都适用，价格划算</t>
  </si>
  <si>
    <t>东西不错，就是有点儿小贵。 好！东西不错，就是有点儿小贵。</t>
  </si>
  <si>
    <t>很舒服~~~ 很舒服，尺码偏大一些，但还好，价格嘛，比国内便宜很多，一个星期就收到货了，亚马逊海外购越来越给力了！</t>
  </si>
  <si>
    <t>看上去还不错呢！ 看上去不错的呢！可以的</t>
  </si>
  <si>
    <t>好看 很好看，里面是绒滴，保暖</t>
  </si>
  <si>
    <t>这衣服长度跟宽度不和谐 我都不知道评价它是太大还是太小 172买的s号  太长了但是又太小了 适合55kg左右175的人穿</t>
  </si>
  <si>
    <t>性价比超级高，还会再买！ 性价比超级高，还会再买！</t>
  </si>
  <si>
    <t>到手成这样了 收到包裹后，居然是这样的，严重怀疑是不是路上被调包了。怎么样压，也不会压成这样吧...</t>
  </si>
  <si>
    <t>质量 太薄了，一点都不值，和纱布差不多，买了很多件，这件太失望了</t>
  </si>
  <si>
    <t>不建议购买 本来已经做好比国内尺码大的心理准备，根据商品页面的尺码导购特地买小一号，没想到这个要比国内尺码大很多，过肥过长。完全穿不了。</t>
  </si>
  <si>
    <t>次品 次品！</t>
  </si>
  <si>
    <t>尺码大 鞋子是不错的，但是尺码过大，海外购也没法退，只有闲置了。</t>
  </si>
  <si>
    <t>一定要买小一码。 大了点，一定要买小一码。</t>
  </si>
  <si>
    <t>好。 经典款，平时看时间。</t>
  </si>
  <si>
    <t>勉强还行 质量相比国内的差一点，但价格也只有国内的3分1，所以性价比还是挺高。包装的话真垃圾，特别是透明胶在内裤上。尺寸方面的相比国内的小一个码左右。</t>
  </si>
  <si>
    <t>挺好哒 快递好暴力，质量挺好的 给宝宝先囤着，还没用。</t>
  </si>
  <si>
    <t>舒适保暖 非常合身，穿着舒适保暖</t>
  </si>
  <si>
    <t>质量很好的鞋子 非常漂亮！就是稍微有点硬</t>
  </si>
  <si>
    <t>肥瘦合适，太长了 材质手感很好，肥瘦合适，太长了</t>
  </si>
  <si>
    <t>鞋的大小合适 5.5UK/38，大小合适，如果脚比较肥的话，建议买大一号。非常喜欢，试穿了一下，一直穿爱步的鞋，很舒服</t>
  </si>
  <si>
    <t>给爱人购买的 给爱人购买的,相信美亚直邮的东东</t>
  </si>
  <si>
    <t>完美替换 非常好，把原来的那个替换掉，没有漏黑油了！价格也是非常实惠，比淘宝还便宜，希望以后多搞搞活动！</t>
  </si>
  <si>
    <t>保温效果好 容量大，保温效果很好，这是购买的第二个。</t>
  </si>
  <si>
    <t>很合适 愉快的一次购物 和店里的尺码一样，建议到专卖店试穿</t>
  </si>
  <si>
    <t>质量很好 质量很好，值得信赖的品牌，希望亚马逊能多销这样品牌的商品</t>
  </si>
  <si>
    <t>质量好 质量好，价格便宜，送货快，以后还会再买。</t>
  </si>
  <si>
    <t>很不错 朋友很满意，42码买的8⃣️挺合适，特价时撩的，好划算，哈哈现在涨一倍</t>
  </si>
  <si>
    <t>质量好，儿子喜欢，推荐 质量好，儿子很喜欢，适合小孩</t>
  </si>
  <si>
    <t>满意 大小合适</t>
  </si>
  <si>
    <t>非常棒 本人174/70，原本还有点担心大小的问题，拿来试一了下S号完美驾驭里面再加件毛衣也没问题，高腰的设计显得很精神，穿着舒服，透气性好,不足是包装差就两个塑料袋！</t>
  </si>
  <si>
    <t>清洗方便 带出门很方便，清洗方便不留死角。</t>
  </si>
  <si>
    <t>穿着不错 可以！非常好！下次再卖</t>
  </si>
  <si>
    <t>喜欢、第二次购买 这是六年后的第二次购买，非常喜欢它的音质</t>
  </si>
  <si>
    <t>很好，不错！ 很好啊，孩子好握，只是时间久了，面上的颜色就会掉，可能是用水洗的缘故吧。</t>
  </si>
  <si>
    <t>非常好用 非常好用！做工很好！</t>
  </si>
  <si>
    <t>STAUB炖锅表现很优秀 德国亚马逊直邮，价格合适，锅边没有大的瑕疵，内里也可以，最主要的是做出来的肉很好吃。</t>
  </si>
  <si>
    <t>很好很舒服 很好很舒服</t>
  </si>
  <si>
    <t>号称职业潜水表，居然漏水！ 买这款手表主要的看重其公开宣传的职业潜水200米性能，可是，这主要一点却令人非常遗憾！今天早晨，带着此表满心欢喜的去游泳，大约游了35分钟，起来穿衣整理，再看手表，表内已经白雾蒙蒙。令人不解的是刚才在水中表壳内还没见到起雾，怎么过了一会准备离开时就起很重的水气？显然内部已经缓慢的进入水气，室外气温一低，内部水气就凝结在表面玻璃上。（我是昨天刚刚拿到快递送过来的手表。另外 我提交的照片为什么上不去，这点做得很不的到）</t>
  </si>
  <si>
    <t>不建议购买 洗完有异味，很重，只好清水再洗一次，总是洗两次浪费水电。而且一块一块的，撕开不方便，不撕开不安全，发现洗碗机热水洗过有时候不能完全溶解外膜。不会回购。</t>
  </si>
  <si>
    <t>马马虎虎 很是一般，冠军的低端产品，水准完全没必要海外转一圈了。同价位，国内用料、款式选择余地还大。。。</t>
  </si>
  <si>
    <t>送人了。 因为买来是送给人家的，效果怎样自己不是很清楚，但是外表还是喜欢的。</t>
  </si>
  <si>
    <t>坑比 &lt;div id="video-block-R2OEKSI40JYTSE" class="a-section a-spacing-small a-spacing-top-mini video-block"&gt;&lt;/div&gt;&lt;input type="hidden" name="" value="https://images-cn.ssl-images-amazon.com/images/I/A199a2QCr0S.mp4" class="video-url"&gt;&lt;input type="hidden" name="" value="https://images-cn.ssl-images-amazon.com/images/I/71KUOXnbQiS.png" class="video-slate-img-url"&gt;&amp;nbsp;好坑，最起码的界面布局的不合理。真坑</t>
  </si>
  <si>
    <t>老用户的评论 号码过大，质量差，建议不要购买</t>
  </si>
  <si>
    <t>不像 原装 感觉还行，但总跟原装的不同</t>
  </si>
  <si>
    <t>皮带有点硬 外观挺美的，就是皮带有点硬，硬了不好弯曲，担心折出横纹</t>
  </si>
  <si>
    <t>还行 只有15万次，国内买贵一倍一有40万次</t>
  </si>
  <si>
    <t>和预想一样 大小合适，物品完好。</t>
  </si>
  <si>
    <t>性价比不错 如果脚不是特别宽的话，估计2E 也够了，买的4E ，感觉宽了一点，有点肥大。长度倒是正好。按正常尺码买就好了。</t>
  </si>
  <si>
    <t>羊毛的 是蓝色的，不过换一个颜色穿穿也挺好的，里面要穿衣服，否则会扎腿。</t>
  </si>
  <si>
    <t>满意的一次购物 7月12日下单，7月21起收到，速度比我预想的要快。鞋很轻，上脚也很舒服，跟专柜买的没什么不同。本人皮鞋41码，运动鞋42码，本款选择8M，大小合适，供大家参考！满意的一次购物！</t>
  </si>
  <si>
    <t>好！ 挺不错，因为看了之前的评论好才选的这一款，果然中意！感谢亚马逊上有这么多真诚的评论～</t>
  </si>
  <si>
    <t>外观平整 外观平整，尚未使用。</t>
  </si>
  <si>
    <t>很好 大小，款式，颜色都好！</t>
  </si>
  <si>
    <t>舒服 拿到手里肩带和后面是网状的，感觉不是很好。洗过穿上很舒服，比优衣库的无钢圈舒服，80b买l的有点大，m应该合适</t>
  </si>
  <si>
    <t>美观、质感好 话筒质感特别好，沉甸甸的，外观非常上档次，喜欢。音质等我的声卡到了再测试。其他地方遇到一点小问题，客服态度非常好，处理很满意，给亚马逊的客户点个赞。好产品，值得信赖。</t>
  </si>
  <si>
    <t>衣服质量好 衣服面料质量都很好，颜色漂亮水洗不褪色。</t>
  </si>
  <si>
    <t>看起来做工不错，但是买小了 看起来做工不错，但是买小了</t>
  </si>
  <si>
    <t>味道不错 很好吃，也没有融化。</t>
  </si>
  <si>
    <t>是不是应该标注27号相当于42~43呢？ 平时穿44的鞋，没犹豫直接买了27的，买过来小很多。27日本鞋号吗？太小了。木有办法，给别人吧。可惜</t>
  </si>
  <si>
    <t>太小 太小了点，袖子不短，就是胸围有点太小了，很紧</t>
  </si>
  <si>
    <t>颜值高，质量好 这款吸管杯颜值爆表，质量也很好👍刚开始儿子有些不习惯，喝水比较费劲一点，应该是防呛设计。现在儿子习惯了</t>
  </si>
  <si>
    <t>不错 一直在用的，宝宝一直很喜欢</t>
  </si>
  <si>
    <t>挺好 不错既能研磨 又能当辅食碗 现在正拿它天天给宝喂米粉呢</t>
  </si>
  <si>
    <t>好好好 比国内便宜</t>
  </si>
  <si>
    <t>非常合适，也很舒服。 喜欢，面料不错，舒服</t>
  </si>
  <si>
    <t>小了点儿 质量和好内裤，不过稍微小了一点，刚穿的时候有点儿紧，现在好一些，估计买大号的正合适！本人腰围2尺6</t>
  </si>
  <si>
    <t>质量不错，合身暖和。 身高174cm体重76kg，穿M号的正好，内里有反射层，很暖和，南方过冬没问题。</t>
  </si>
  <si>
    <t>包装不严实，铅笔还好 包装不给力，里面什么都没垫</t>
  </si>
  <si>
    <t>物有所值 日亚的硬盘性价比高。做存储用够用了</t>
  </si>
  <si>
    <t>非常好！ 一直喜欢小V，终于买到一个，还是原装美国货，真不错！用来制作果汁，超级好！</t>
  </si>
  <si>
    <t>与国内尺码要打两码了 国内穿32W32L，这个应该买30W30L</t>
  </si>
  <si>
    <t>属于抽奖，而我挂了。 只能就一般吧，买了两个， 运气不好，抽个垃圾主控。 三百块，还不如买闪迪的z 80。</t>
  </si>
  <si>
    <t>太大太长 设计师估计是外星人，尺码偏大偏长太多了</t>
  </si>
  <si>
    <t>太糟糕的购物体验！没有尺寸描述，完全盲选！ 我的天，太大了吧。 页面没有尺寸说明，别人的评论只能看，不能跟帖咨询。看“暴走一族”的评论，她168、68kg买2XL觉得合适。所以我2XL和XL各买了一条。然后，裤子里边可以装下两个我！</t>
  </si>
  <si>
    <t>还不错 在入门级登山/防水鞋中算是比较好看的款式，个人觉得比大黄靴还好看。但不要指望它能有多强的防水能力，水比鞋底深的情况下还是会渗水进去，不过透气性还算可以，整体算是比较舒适。推荐在不太极端的环境使用。</t>
  </si>
  <si>
    <t>国内发货 3号下的单6号就到了，应该是国内发的货，海外发没有这么快。。。加税252，比较便宜了。粉钻试了下可以插上，比粉钻自带的美白刷头要小一点。8只可以用两年了。</t>
  </si>
  <si>
    <t>总体不错 腰围稍微小一点，裤长还不错！ 材质有一定的弹性。</t>
  </si>
  <si>
    <t>还行 符合预期，美版袖子较长，宽松，性价比合理。</t>
  </si>
  <si>
    <t>好看，单穿配外套都合适 168，58长度宽度都合适</t>
  </si>
  <si>
    <t>这个奶瓶果然很受宝贝喜欢！ 正品！很开心很满意！因为是给女儿用的所以挑选的时候非常谨慎，斟酌了很久才抱着试一试的心态在这买的，第一次在亚马逊购物，非常满意，收到后在锅里煮了3分钟一点味道都没有，更开心的是宝宝很容易接受了，之前用贝亲和NUK放母乳都不喝，这个宝贝很容易就主动嘬了！再买一个大的。</t>
  </si>
  <si>
    <t>不错 这个不错，大小刚好，适合小包包</t>
  </si>
  <si>
    <t>还行  有点大 皮质和描述的有区别  荔枝皮似的</t>
  </si>
  <si>
    <t>ok 修身显瘦，显气质！好</t>
  </si>
  <si>
    <t>喜欢 质量真不错,暖和,适合冬天穿.</t>
  </si>
  <si>
    <t>给个参考 178CM，93KG，有点小肚子，选的XL，肩膀刚好，有点勒肚子，哈哈。面料不错，袖子长，透气效果好</t>
  </si>
  <si>
    <t>好 应该是eb20吧，用习惯了eb50，换这种感觉也挺好的</t>
  </si>
  <si>
    <t>雷克沙1066X 不错速度确实比闪迪的1067xCF快一点点</t>
  </si>
  <si>
    <t>不错的一双运动鞋 很好 还有气垫 穿着很舒服</t>
  </si>
  <si>
    <t>包装完好 还没用，包装完好</t>
  </si>
  <si>
    <t>手感不错 试写了一下，手感很不错。给孩子用了，这厮手大的好似熊掌。 笔盒里除了吸墨器，还有两只墨囊，竟然是一蓝一黑，不巧的是随手安上的是蓝色的。</t>
  </si>
  <si>
    <t>很好 这就是耗材，定期更换，没有问题。</t>
  </si>
  <si>
    <t>性价比很高 很好用，方便</t>
  </si>
  <si>
    <t>简单实用 手表样式好看，简单实用</t>
  </si>
  <si>
    <t>好评 一直吃这个，第一次再网上买，不会区分真假</t>
  </si>
  <si>
    <t>不错 适合9岁以下孩子戴！</t>
  </si>
  <si>
    <t>宝宝吃饭碗 颜色鲜艳宝宝很喜欢哦</t>
  </si>
  <si>
    <t>正品，超值 比较划算，国产新款</t>
  </si>
  <si>
    <t>优质做工，稳固机身 原包装盒就这么垮洋过了海，没加外包装，但还是完好无损的，机器太棒了，是新款，国内可以配到新款配件，和面打蛋都试过了，机器特别稳，没有任何晃动，蛋糕很成功，和面因为是全麦，没出膜，下次换高筋粉试试，机器上部烤漆有点瑕疵，但不影响使用，就算了，总体还是非常满意的，甩国内品牌好几条街</t>
  </si>
  <si>
    <t>很好 175.75，穿s好，太热，厚。</t>
  </si>
  <si>
    <t>总体满意 虽然从伦敦运送过来，经过了接近一个星期，但毕竟便宜那么多，多等几天也值得，虽然都是英文，但感觉是正品，不错，满意</t>
  </si>
  <si>
    <t>衣服不错 不是很厚，入秋穿不错，还可以当中间层</t>
  </si>
  <si>
    <t>都压坏了 牙刷不错，但是包装太渣，还没用，就坏了3个</t>
  </si>
  <si>
    <t>超级大 衣服超级大，买的XXXL的，肥佬穿比较好 ，比正常版的大很多</t>
  </si>
  <si>
    <t>龙头有几处刮伤痕迹 作为第一次海淘没啥经验的人，带着很大期待，但是漂洋过海拿到的龙头多处被刮伤。颜值不高。。有点失望。</t>
  </si>
  <si>
    <t>质量很差 内衬是有点毛绒的，试穿的时候掉毛很严重。衣服也有明显的线头，要不是amazon海外购，真的以为是假货！质量很差</t>
  </si>
  <si>
    <t>太假了 8太假了吧，比淘宝最烂的仿品还假</t>
  </si>
  <si>
    <t>肥佬装 我平时穿中码，给我发了XXXL</t>
  </si>
  <si>
    <t>性价比高 比预期早到了，铅笔孩子很满意。</t>
  </si>
  <si>
    <t>比国行性价比高 一样的MIC、转一圈回来比国行还便宜快一半；插头也适用、不能PRIME价有些遗憾；提高生活品质的小物。</t>
  </si>
  <si>
    <t>莱萃美深海鱼油 鱼油已到货，还没吃，只是觉得瓶子颜色比从美国带回的颜色浅些。但愿是正品。</t>
  </si>
  <si>
    <t>有点闷  高频上不去 煲久点再作正式评论吧</t>
  </si>
  <si>
    <t>试戴了下 稍大了一点，估计是我头比较小吧</t>
  </si>
  <si>
    <t>囤货 以前从不去评价，不知道浪费了多少积分，现在知道积分可以换钱，就要好好评价了，后来我就把这段话复制走了，既能赚积分，还省事，走到哪复制到哪，直接发出就可以了，推荐给大家！</t>
  </si>
  <si>
    <t>轻便暖和 168、60kg s码 略大，很暖和</t>
  </si>
  <si>
    <t>非常喜欢 趁着亚马逊活动，我和老公各买了一双大黄靴，比专柜便宜600，而且尺码也正合适，十分非常特别满意，前几天穿了冷，这几天穿出来就合适啦</t>
  </si>
  <si>
    <t>质量不错尺码偏大一号。 先说下鞋子质量，总体来说比国内专柜稍次，印度产，细节见图。上脚比较舒适。 再说下鞋子尺码，本人290脚长，但脚有些厚宽肥，国内其乐44，阿迪耐克斯凯奇45，皮鞋一律46。海外购斯凯奇45。这次买了45，us11.5，整体大一号。 本次含税258，供大家参考。</t>
  </si>
  <si>
    <t>脖子紧，其他合身 不错，挺合适的，173cm，72kg，有小肚子，不过脖子就有点紧如果要打领带的话。所以我不打算打领带穿着比较合适。</t>
  </si>
  <si>
    <t>直筒修身牛仔裤 不错，是我喜欢的样子</t>
  </si>
  <si>
    <t>好评 还没有穿，摸着还好。希望如介绍那样好。</t>
  </si>
  <si>
    <t>... 共计买了3条。这里要说的是，有评论说是假货，据我知道，这确实和国内专卖店的货不一样，包括拉链打标，裤袋打枣，裤袋形状等。这应该是美国的超市货，品质是比国内专卖店货差一点。不过也还行，毕竟·价格也相差几倍，而这确实也是真货。</t>
  </si>
  <si>
    <t>鞋子质量不错，款式很棒 鞋子质量不错，款式很棒</t>
  </si>
  <si>
    <t>轻巧挎包 满意，蓝白红的小挎包。</t>
  </si>
  <si>
    <t>杯子不漏水 一如既往的好，不漏水怎么拿都能喝的到</t>
  </si>
  <si>
    <t>比预想轻 比预想的轻，本人脚长260，脚围25.6。US8M穿起来刚合适，给大家参考</t>
  </si>
  <si>
    <t>满意 镇店之宝价格太合适了，一周到手</t>
  </si>
  <si>
    <t>非常值 很好很帅，UK尺码标准。</t>
  </si>
  <si>
    <t>(郡是)GUNZE 无钢圈文胸 温柔物语 背部极其轻松舒适 米黄色 是我想象的样子，料子不错，样子也好</t>
  </si>
  <si>
    <t>方便实用的辅食工具 宝宝现在田辅食了，有了这个就方便了许多，冷藏冷冻都可以，加热也方便！信赖亚马逊！</t>
  </si>
  <si>
    <t>很合身 按照尺码选择就行了，非常合身，质量也好！比在H&amp;amp;M或者优衣库买的更好更划算。</t>
  </si>
  <si>
    <t>体验还是可以的 虽然发货等了差不多20天，加到手时间，共一个月。但是价格合适可以忽略等待，不是特别爱好喝咖啡的，所以这款选择多点，也不用怎么清洗，干净。</t>
  </si>
  <si>
    <t>三荣一🚿 好用的特别是有一个开关！用了好久也没有任何问题！</t>
  </si>
  <si>
    <t>很好 配了变压器用着挺好的，没必要多花几千买国内版的吧</t>
  </si>
  <si>
    <t>好 比较大，样子好看。</t>
  </si>
  <si>
    <t>减压舒缓效果很棒！ 穿上没有束缚感，以为是效果不到位，没想到一早起来脱掉裤袜后，整双腿都轻便舒适了不少。前两天因为运动过量大腿疼的厉害，穿过一晚疼痛也减轻许多。幸好买了两条，预备两天一换洗，坚持穿下去。不期待瘦腿，能减压预防静脉曲张就是好的。</t>
  </si>
  <si>
    <t>做工不行 做工太差了，考虑这种价格，算了不退</t>
  </si>
  <si>
    <t>钱包一般 像是拆过的，钱包表皮有小孔，轻微破损，还有墨水味，感觉有点奇怪，算了，将就用吧</t>
  </si>
  <si>
    <t>尺码偏大 衣服还行，但是尺码真的偏大，建议小2码(///▽///)</t>
  </si>
  <si>
    <t>裤腿太肥了 裤腿太肥了 腰有些小 裤腿太肥了</t>
  </si>
  <si>
    <t>尺码过大，不合身。 尺码过大，不合身。放着没法穿，失望。</t>
  </si>
  <si>
    <t>失望 东西太差，感觉被调包，一件是整的，一件是散的</t>
  </si>
  <si>
    <t>是不是正品呢 手柄粗糙，制造时脱模手柄拉伤等很多问题，碗口分膜线拉手</t>
  </si>
  <si>
    <t>虽然耳机便宜，但是配套贵呀！ 耳放,播放器搞起来远比这点小优惠贵得多，入手容易，用好难。</t>
  </si>
  <si>
    <t>L码 L码和国内175差不多，面料有弹力，但感觉一般，做工用的线细，看着没有挡次，穿着舒服，大小适中，这个价格也物有所值。</t>
  </si>
  <si>
    <t>好 好用，贵。宝宝喝奶顺畅，回购。奶瓶会排气。</t>
  </si>
  <si>
    <t>料子蛮好的，就是金色的拉链很抢眼 图片上看的拉链颜色不是很明显，实际拉链是土豪金色的，挺闪的</t>
  </si>
  <si>
    <t>满意 好大一瓶，为家人的健康！要坚持使用，东西不错用完后再来！</t>
  </si>
  <si>
    <t>可以直接在220V电压下充电吗？ 还未到货，无意中看到美国电压是110V，在中国的是220V，可以直接充电吗？</t>
  </si>
  <si>
    <t>这是纯铁锅，用后清洗后，抹上一层油就不会生锈了。 锅是好锅，就是把手太短，一个手端不动啊，厂家设计这么短的把手，就为了进烤箱，也不考虑一下，中国国情，中国人是爱吃炒菜的啊！</t>
  </si>
  <si>
    <t>用着还不错 用着挺好的，买了转换头</t>
  </si>
  <si>
    <t>宽松 身高180，体重210斤，穿xl宽松，不过身长有点捎短，袖子长短合适。</t>
  </si>
  <si>
    <t>给父亲的礼物，他非常喜欢！ 自己买的一双Timberland Flume被父亲看到后赞不绝口，于是决定买一双一样的给他，但没有合适的尺码，就买了经典的White Ledge，黑色的颜色他非常喜欢，8W的尺码也正合他的尺寸。父亲觉得冬季在上海穿这鞋子最合适，不怕冷也不怕雨。他很满意，我就很高兴！</t>
  </si>
  <si>
    <t>钢铁直男必备 好用到哭， 原谅我土鳖都i不知保温杯进化到如此方便了！</t>
  </si>
  <si>
    <t>海外购首淘成功！ 宝宝快出生了，给宝宝囤货。海外购真神速，非常好的购物体验……</t>
  </si>
  <si>
    <t>好评 不错！带了一个多月了，防水效果明显！</t>
  </si>
  <si>
    <t>亚马逊海外自营产品 很大一罐，和国内进口商买的区别就是，海外购没有密封贴钱，味道不错，有点甜</t>
  </si>
  <si>
    <t>合适，好看 这件也是下摆稍微有些小，对比美亚的冠军，确实日亚的质量更好，不掉毛，不褪色，卫衣材质，春秋天可以单穿，冬天可以穿在羽绒服里！177/78穿了正好！女士也能穿，我130斤，穿了稍微有点宽松，也好看！</t>
  </si>
  <si>
    <t>关于吃吗 女生买的！原本以为自己可以驾驭长一点的！这款衣服完全就是细长款的！版型有点大！在胖的S/M都可以穿不用买大码！这款面料稍后同比在台湾买的料子厚许多</t>
  </si>
  <si>
    <t>面料舒适，尺寸偏大 面料舒适，尺寸偏大不少，小一码购买。</t>
  </si>
  <si>
    <t>vitamix5200 我是用它打果汁的，非常细滑。也很容易清洗，也可以把菜、肉饭、汤打成糊给老人吃挺好的</t>
  </si>
  <si>
    <t>强烈建议购买，不要老断货 便宜又有效，80左右。给后面参考</t>
  </si>
  <si>
    <t>质量不错 看上很久了，收到货很不错，秒杀价很合适！！</t>
  </si>
  <si>
    <t>满意。 感觉有效果。很满意。</t>
  </si>
  <si>
    <t>飞利浦电动牙刷 全家都用的飞利浦牙刷，一如继往地好评，除了贵没别的缺点。如果能送个刷头就更好了。</t>
  </si>
  <si>
    <t>作为短裤非常舒服 作为短裤确实非常舒服。</t>
  </si>
  <si>
    <t>赞一个 大小适中，穿着很舒适。鞋底稍硬，可能是耐磨设计吧。</t>
  </si>
  <si>
    <t>值得拥有。 穿着非常舒服，也不会显脚大，非常满意。物流也够快。比预计提前了整整六天。继续支持。</t>
  </si>
  <si>
    <t>没用几次已经开裂 之前在美亚买过，用了几年也没问题，后来老二也能自己吃饭了，所以在亚马逊买了一套，可是没用几次当中的紫色已经裂了..</t>
  </si>
  <si>
    <t>包装图案有地方不一致 怎么跟图片上右下角73的地方不一至</t>
  </si>
  <si>
    <t>品控不太好 两年前买过同样的裤子，很舒服，所以这次再买。 这次买了两条，其中一条跟两年前的裤子完全一样款式颜色，但上身后明显偏紧，另外一条，不同颜色，腰围居然又稍松。Lee的品控有问题啊。</t>
  </si>
  <si>
    <t>不跟脚、不舒适 这双clarks不舒适，没有在亚马逊上购买的其他clarks舒适，同样的尺码这双鞋就比较挤脚。虽然挤脚了吧，但又不跟脚，脚后跟容易从鞋里掉出来，是不是后跟设计的太浅了？ 另外，收到的鞋应该是别人穿过的，鞋底是脏的，标签也是被撕下来过而后又再贴上的，而且鞋撑竟然是反着撑在鞋里的。</t>
  </si>
  <si>
    <t>反复读写太差 不只是转速的问题，硬盘在反复读写方面太差，用迅雷下东西达到区区6m/s的时候电脑开始卡死，然后就没有下载速度了，经常有文件下到一半就不动，一直显示磁盘繁忙，惆怅。</t>
  </si>
  <si>
    <t>变质 还有二个多月过期，不是海外直邮来的，是香港保税区发的，都是黏糊糊的 ，来的时候盖子里面那个锡纸封口都鼓了。非常失望</t>
  </si>
  <si>
    <t>收腹带 手感质地还可以，但是有点顶着胸下，特别坐的时候不能穿，背必须挺直，弯一点就会胳着胸！</t>
  </si>
  <si>
    <t>低端ecco ecco的低端产品  舒适度可以 但和biom系列差距不少</t>
  </si>
  <si>
    <t>轻便舒适 轻便贴身舒服，老婆喜欢</t>
  </si>
  <si>
    <t>很好的裤子！ 裤子很棒！就是不知道褪不褪色！</t>
  </si>
  <si>
    <t>宽松透气 很宽哎，长度也要严格按脚长，甚至买短0.5，比如平时225，可以考虑220，因为里面还有个厚鞋垫可以拿出来。</t>
  </si>
  <si>
    <t>不错 质量很好，穿着舒适。</t>
  </si>
  <si>
    <t>拜亚动力专业耳机 做工，音质都相当棒</t>
  </si>
  <si>
    <t>可以的 大了一点点 价钱便宜 很好</t>
  </si>
  <si>
    <t>尺码参考 180身高，72kg，m号合适。版型短款</t>
  </si>
  <si>
    <t>建议买小一号 177，68kg，贴身穿买的S号，合身不紧绷，手腕和下摆的崩边很不错。Polartec的抓绒，非常暖和</t>
  </si>
  <si>
    <t>超级喜欢 很喜欢</t>
  </si>
  <si>
    <t>好看，经典还是要拔草 超级喜欢的颜色。码数正常</t>
  </si>
  <si>
    <t>好看 穿上看起来蛮不错的，对得起这个价格，但是面料感觉就稍微次点！给5星因为这个七分袖很不同</t>
  </si>
  <si>
    <t>一次成功的购物。 很好，很舒服。挡风 ，保暖。</t>
  </si>
  <si>
    <t>第一次购买 38.5的脚，其乐5.5UK合适。ecco这双感觉正合适，没有空余，反而不舒服。不知道买大一号会不会更合适。</t>
  </si>
  <si>
    <t>不紧绷 买了第二条了 第一条是连脚的 0度左右都适合 不紧绷 弹性很大一很柔软</t>
  </si>
  <si>
    <t>喜欢 做工很棒，上身效果也很好。喜欢的按照国内尺码买没错的，如果想买加绒的，建议换L122，款式一样</t>
  </si>
  <si>
    <t>e c c o 40是对应9-9.5美码，英码是uk7，买大一码，不过妈妈觉得还是很舒服</t>
  </si>
  <si>
    <t>有点长，腰围84合适 172/75，腰围合适，有点长</t>
  </si>
  <si>
    <t>太棒了 比国内便宜了不少，没想到还有读卡器，很惊喜。到货后马上使用了一下，拍100FPS，慢动作完全没问题，总之很棒！</t>
  </si>
  <si>
    <t>好 很好 这种网眼的一直在穿 已经好几件了</t>
  </si>
  <si>
    <t>很好吃 送货很快，有点像QQ糖的味道，每天2颗身体棒！</t>
  </si>
  <si>
    <t>很好 很合适，尺寸标注的好，买来就比较合适。</t>
  </si>
  <si>
    <t>以后多点这种福利。 个人感觉这是亚马逊这次会员日的最大福利。比超市便宜几乎一半以上。一次囤了大半年的用量。</t>
  </si>
  <si>
    <t>合身 身高173，体重65，胸围95，肩宽46，穿着刚刚好。</t>
  </si>
  <si>
    <t>颜色花哨，有的人喜欢 帮别人买的，他觉得很好看，合脚，舒服</t>
  </si>
  <si>
    <t>美国版的码太大 还是日本线的适合亚洲人体型</t>
  </si>
  <si>
    <t>包装内有水珠 打开包装后发现滤芯上有水珠。第一件打开后发现有水滴以为是偶发现象，今天打开第二件，仍然有水珠。咋回事？</t>
  </si>
  <si>
    <t>海外购，便宜，稳定 1、外观与造工真的很一般！ 2、USB3.0写入能稳定在75M/S，比国内的很多好了很多！ 3、海外直邮的速度真的很一般！</t>
  </si>
  <si>
    <t>过于肥大 187cm，88公斤，穿上很肥大，应该要XL</t>
  </si>
  <si>
    <t>一箱里面只有十个不说！！打开一个，袋子里面有水！！！反应半天，没有人理我 购物这么多年，相信是自营的，每次买很多箱，不会每箱打开看，结果真让人意外。一支里面都有水，打算看看一整箱里面什么情况，结果翻出来一数，让人吃惊的是只有十个（包括我开封的那个），就因为相信亚马逊自营才这么放心，不会去看，谁想到足足少了两个！！！几个意思几个意思！！！！！给一颗星都嫌给多了！联系客服，没人理我这茬</t>
  </si>
  <si>
    <t>一只耳机已坏，翻新货无疑 3月多买的，现在已坏</t>
  </si>
  <si>
    <t>比较满意。 176，76kg，总体稍小。</t>
  </si>
  <si>
    <t>鞋是好鞋一双，但亚马逊的商品介绍严重不详细不合格 鞋是好鞋一双，刚上脚鞋底较硬，我上脚磨合了一天后就很适应了，越走越舒适。主要是这双鞋鞋垫对足弓有足够的支撑。鞋码标注肯定是亚马逊的问题，不过这么明显的错误诸位看官看不出来吗？9-9.5DMUS是43码，现在亚马逊尺码表已更新。没在美亚买过ecco，但英亚的两双ecco鞋尺码均非常标准。因为这个失误给减去一星评四星。</t>
  </si>
  <si>
    <t>味道好 不错👌</t>
  </si>
  <si>
    <t>样子不错 我he楼上的看法一样，根据这个型号在其它网站查了一下，发现样子挺好看。</t>
  </si>
  <si>
    <t>还不错，那个柄角度能再斜点就好了 还不错，现在用的不多，以后背奶了再用。那个柄角度能再斜点就好了，奶水流下去更顺畅，用起来也更方便</t>
  </si>
  <si>
    <t>颜值高，保温效果好 美美哒，和图片一样，满足了我今年喜欢红色的爱好。保温效果很好，昨天晚上8点左右闷了两个鸡蛋，早上6点起来水还烫手，鸡蛋熟透了</t>
  </si>
  <si>
    <t>对应尺码以后最好标清楚点 Ecco一直穿41码，没有41码的选项，所以选了7号,结果发来双40码。小了，海外购也不知道怎么换，又重新买了一双。鞋子质量好评！泰国产，比以前买的斯洛文尼亚产的稍差一点点。</t>
  </si>
  <si>
    <t>含锌和紫锥菊的小熊糖 看着还不错！价格也不错！</t>
  </si>
  <si>
    <t>好 是骨瓷的很有质感</t>
  </si>
  <si>
    <t>推荐 同品牌买了两个都很满意，外观质感使用体验满分！75A的建议尺码此款M号。</t>
  </si>
  <si>
    <t>弹性不错 很不错，弹性很好</t>
  </si>
  <si>
    <t>很好 很好，非常好！很棒，非常棒！</t>
  </si>
  <si>
    <t>棒 价格便宜，使用安全，喜欢绿色的。推荐购买。</t>
  </si>
  <si>
    <t>不错 看上去不错8天到南京，寒冷地用多了排水口适合-20-40度，才到就打九折伤心</t>
  </si>
  <si>
    <t>愉快的购物 非常好的鞋子很满意，价格很便宜</t>
  </si>
  <si>
    <t>运动中会不会出现保护脚踝受伤 感觉很不错，等上场机会</t>
  </si>
  <si>
    <t>略大 有些大了，下摆适合臀围大的。</t>
  </si>
  <si>
    <t>法国品牌，比爱仕达和苏泊尔的好多了，价格比爱仕达和苏泊尔便宜一半 法国品牌，比爱仕达和苏泊尔的好多了，价格比爱仕达和苏泊尔便宜一半</t>
  </si>
  <si>
    <t>很好 衣服很满意</t>
  </si>
  <si>
    <t>非常完美！ 一口气买了三种颜色，下了一单但是日亚竟然给三个耳机分成三个包裹，墙都不扶就服日亚，包装极度给力，耳机外盒保护得非常完美。下文简单介绍下耳机。 ▲音质方面：就个人的听感而言，调音比较适合听流行乐、摇滚，大概运动时听得比较多的重低音和动次打次表现得还行，至于女毒、空气感之类的就不要在这个价位的便携无线耳机上找了  目前的几耳朵感受的话，音质对得起这个价格，甚至有点超出预期。 ▲佩戴：和苹果自带耳机几乎一样的半入耳式设计，长时间佩戴相当OK，没有SE215那种入耳式的鼓涨感，没有大法头戴式耳机的捂得耳朵发热，比创新Air的轻盈无感佩戴要存在感多一点点，但是戴着原地蹦跶几下或者慢跑散步通勤是不会掉下来的。在听诊器效应方面，估计是由于采用了扁面条式的线材，目前还没感受到什么听诊器效应。至于跑步时会不会有听诊器效应还有待测试~ ▲续航：官方标称有6H续航时间，在我目前的使用中结合电量显示的变化来估计的话是可以用到6小时的，连续听了2.5H，系统显示的电量仍剩余超过一半。轻度使用可两天一充，重度的话一天一充差不多。不知这个能否用充电宝临时充电，还有待考证。充电速度方面一般1~2H就能充满。 ▲蓝牙连接质量：绝大部分时候是稳定的，在家里隔一堵墙在5m内没问题，更远的距离就没有刻意测试了。参数中规中矩，支持蓝牙4.0，A2DP v1.2、AVRCP v1.5、HFP v1.5、HSP v1.2等协议。目前遇到的一点声音卡顿是在笔记本在旁边连接2.4G频段WIFI进行下载时出现的，会有不明显的间隔时间较长的偶发卡顿，我把笔记本切换到5G连接后暂时还没有再出现卡顿。</t>
  </si>
  <si>
    <t>保暖 合身 给妈妈买的，XXL很合适。（65kg）</t>
  </si>
  <si>
    <t>一双好鞋 基础款的训练鞋，软硬适中，适合慢跑热身。喜欢运动墙裂推荐此款，性价比高。</t>
  </si>
  <si>
    <t>很好的龙头，快递速度也很快 很好，很漂亮，价格也合适</t>
  </si>
  <si>
    <t>商品性能和外观 买了还没开始用，看上去外观不错</t>
  </si>
  <si>
    <t>质量不错 金属的，翅膀会动，沉甸甸的</t>
  </si>
  <si>
    <t>lee衬衣 领角有些大，全棉，号偏大。还不错</t>
  </si>
  <si>
    <t>非常好用，冲得很干净 非常好用，冲得很干净，这个放办公室，中午吃好冲一冲</t>
  </si>
  <si>
    <t>不到一年半线材老化严重 用了不到 一年半的时间  感觉用的也不是太频繁  线材已经老化严重  像是要融化了似的  海外购还没保修的地方  尴尬了</t>
  </si>
  <si>
    <t>基于牌子购买 做工很差， 线头多，面料很差， 完全基于品牌买的，袖子超级肥， 172 70kg 买的S号，刚好， 就是袖子太大</t>
  </si>
  <si>
    <t>质量一般，料子和裤型一般。 裤子大小合适，大家买号数不要太大，会比国内的大两号，我身高179，体重85，L码还很宽松。</t>
  </si>
  <si>
    <t>售后怎么处理 回来就是坏的 不知道怎么弄 有转换器 也不知道怎么修 500块买个教训</t>
  </si>
  <si>
    <t>退款额 已经退货很久很久了，但退款却迟迟没有收到。  PS，裤子尺寸超级超级大</t>
  </si>
  <si>
    <t>奶嘴是脏的！明显是旧的，被人用过的。 奶嘴是脏的！像是被人用过了。这么脏的奶嘴怎么给宝宝用？宁愿扔掉。本来很信任亚马逊的，没想到竟然这样。失望至极</t>
  </si>
  <si>
    <t>质量不错 176.75公斤身体部分刚刚好，手臂部分有点大和长</t>
  </si>
  <si>
    <t>总体还行 还行，就是噪音很大</t>
  </si>
  <si>
    <t>贵点 使用不错，是正品。哈哈写字少不让</t>
  </si>
  <si>
    <t>80分 颜色、皮质、鞋底、做工都还好，好走路，但很快起了折痕。</t>
  </si>
  <si>
    <t>鞋偏瘦 鞋偏瘦，着地感觉不错。</t>
  </si>
  <si>
    <t>声音 还行吧，声音不大</t>
  </si>
  <si>
    <t>真正的铁锅 锅不错，买第二个了</t>
  </si>
  <si>
    <t>提升幸福感 热奶泡、冷奶泡做成热拿铁、冰拿铁；热黑咖、冰黑咖，各种做法随心所欲，满满幸福感！</t>
  </si>
  <si>
    <t>尺码合适 整体不错，实物没有图片漂亮，试了一下，尺码合适。</t>
  </si>
  <si>
    <t>推荐 还不错，两个宝宝都在使用</t>
  </si>
  <si>
    <t>非常舒服 非常舒服的内衣，一点都没有勒的感觉，也很随身，而且没有肩带滑落的烦恼。</t>
  </si>
  <si>
    <t>裤腰过大 我平时2尺3腰围，定的是8码，结果穿上带绒的打底裤，还肥1寸，下回再买他家裤子，空身穿应该要4码比较合适，冬天穿买6码就行。裤子版型是我要的那种，传统直筒裤，不显腿粗，我身高1.73，重63kg，臀围92cm，希望大家可以借鉴一下</t>
  </si>
  <si>
    <t>果然名不虚传 口感很好，用过的最好的漱口水，喜欢</t>
  </si>
  <si>
    <t>感觉很好 感觉还不错，值这个价格！</t>
  </si>
  <si>
    <t>完美体验 176、67kg，32/30裤长腰围非常完美，一周送达，真的怀疑不是美亚的货品，但快递单应该不会蒙我的，好评！</t>
  </si>
  <si>
    <t>喜欢这款恒温龙头 这款龙头恒温功能最赞，而且很重，品质很棒</t>
  </si>
  <si>
    <t>挺好的 真是妈妈裤，裤腰很高，应该能挺舒服，日亚从不失望</t>
  </si>
  <si>
    <t>五颗星 美亚直邮，比较放心，日期新鲜，到20年4月份，好评。送给外婆的，对关节好。</t>
  </si>
  <si>
    <t>非常好 太太太舒服了，超预期！！！</t>
  </si>
  <si>
    <t>SanDisk 闪迪 Ultra 3D NAND 500GB SanDisk 闪迪 Ultra 3D NAND 500GB，速度快稳定</t>
  </si>
  <si>
    <t>评价 180cm，95kg穿XL大了一点点。应为L码价格贵一半，衣服很薄适合户外。防水效果嗷嗷滴。</t>
  </si>
  <si>
    <t>手感好 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</si>
  <si>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手感粗糙但很厚 料子很厚，摸上去很粗糙，白色黑色各买了一件，还是白色更好看一点</t>
  </si>
  <si>
    <t>不错，打网球穿合适 183cm，69kg，我买的M，看胸围合适，下单。回来感觉也满意，里面带抓绒，舒适</t>
  </si>
  <si>
    <t>好用 马力足，可以用在很多地方，好用</t>
  </si>
  <si>
    <t>物有所值 按照尺寸买，大小合适。产品和描述的一样，质量不错，在南方，初春 深秋穿正好</t>
  </si>
  <si>
    <t>亚马逊的蛋白粉还是值得信赖的 总体还不错，蛋白粉很细</t>
  </si>
  <si>
    <t>棉服 不是羽绒服，是棉服。</t>
  </si>
  <si>
    <t>尺寸 有点小了。说好的可以适合175-185，我180觉得才有正常的170-175。个人觉得，其他还好，工艺还挺干净，挺薄的。</t>
  </si>
  <si>
    <t>很普通很普通很一般很一般的一支笔 笔盖很松，申请换货了一支，收到的依旧是松的，笔头与笔杆的也松的，但放多一支墨胆后就不松了，书写还算流畅，但也有点刮纸，80多一支这样的笔，感觉不值得，太山寨了，很普通的一支笔。</t>
  </si>
  <si>
    <t>面料廉价 面料很差，机油味，廉价的确良的感觉。</t>
  </si>
  <si>
    <t>和面 这个是不是不能和稍微硬一点的面啊？只能和稀面吗？为什么活着活着下面的盆会飞出来～</t>
  </si>
  <si>
    <t>质量问题 买了两件 一件黑色的一件粉色 粉色可以正常使用 黑色 声音很震动都很异常 不知道怎么售后</t>
  </si>
  <si>
    <t>不建议购买 没有吊牌；针脚很差；像旧衣服；码数偏大</t>
  </si>
  <si>
    <t>美貌 好看，但是把太沉，放在碗里容易翘起来</t>
  </si>
  <si>
    <t>包装稀烂破旧 包装太烂，装滤芯的纸盒又破又旧，产地英国，但是这里产的滤芯没标制造日期，心里忐忑 使用，试用了一个倒是还行。</t>
  </si>
  <si>
    <t>GUNZE 郡是 无钢圈文胸 太松，带子变形</t>
  </si>
  <si>
    <t>稍小点 怎么会总体评论是偏大呢，难道我们买的不是同一款。东西不错，略小点，170cm62kg买的是s码，略紧。</t>
  </si>
  <si>
    <t>不错，使用很方便 不错，使用很方便</t>
  </si>
  <si>
    <t>比较长 衣服比较长，包住拉链了</t>
  </si>
  <si>
    <t>太可爱啦啦啦啦啦～～～ 太可爱啦啦啦啦啦～～～</t>
  </si>
  <si>
    <t>连运费+税费 合 200多一点点，174身高 73kg 穿 33W32L 稍微有点儿大，不错，很合适。颜色也很好看。！~ 连运费+税费 合 200多一点点，174身高 73kg 穿 33W32L 稍微有点儿大，不错，很合适。颜色也很好看。！~</t>
  </si>
  <si>
    <t>国内的要穿m码  海外购的是s码  整整大了一码 总体来说还是不错的，衣服个别地方填充的保暖材料有分布不均匀的情况，能摸比较硬的手感出来。身高 169cm  体重70kg  s码挺合身的。</t>
  </si>
  <si>
    <t>低价到手，音质初听还行 495到手低价入的，第一试听还行，应该是正版，现在等煲机后听听效果如何</t>
  </si>
  <si>
    <t>价格合适 非常好，价格合理</t>
  </si>
  <si>
    <t>推荐 震动一如既往的大，剃干净需要往复多次，但很快也可以剃干净。不晓得多刀头怎样，但价格摆那里，手来回多动几下省几百块挺好。鬓角修剪器我觉得没用，所以选了这款，多个修剪器多100块，大家可以根据自己需要选择，而不是功能多就是好。</t>
  </si>
  <si>
    <t>买长了 欧码没把握好，买长了。质量还行！</t>
  </si>
  <si>
    <t>好看炸 貌美貌美貌美 穿上显脚小 好看炸</t>
  </si>
  <si>
    <t>维生素不错！ 第二次购买了，推荐。</t>
  </si>
  <si>
    <t>uni 书写好顺滑。物超所值。就是快递慢点</t>
  </si>
  <si>
    <t>还不错的购物体验 稍微有些大，其他都挺好的</t>
  </si>
  <si>
    <t>耳机 使用之后觉得很满意，这个价位的耳机这一款可以说是很不错的</t>
  </si>
  <si>
    <t>过大 我穿16这次买的14刚好</t>
  </si>
  <si>
    <t>值得购买，物美价廉 挺好的！不算小。</t>
  </si>
  <si>
    <t>外观很漂亮 很不错，比国行便宜大概一百块左右，个头小巧美观，4t的略厚但能接受，试了下传输写入速度大概八十兆左右。在这里不得不吐槽下亚马逊的退换货，下单后取消订单没成功，发货后点退货也是老老实实的先寄到我手里再退货，虽然客服美眉说可以拒收包裹然后给我全额退款，但我不想折腾亚马逊还是收下了包裹。不过在拆开包裹的那一瞬间觉得这是明智的选择，没另我失望。</t>
  </si>
  <si>
    <t>62KG，腰围31码，中码偏肥 62kg,腰围31。中码肥，应该选小码。懒得退，送给外甥，他23，身高180</t>
  </si>
  <si>
    <t>正品 正品无疑，喜欢！</t>
  </si>
  <si>
    <t>鞋子很好 非常好，大小合适彪马的鞋要按照脚长买</t>
  </si>
  <si>
    <t>好 埃及产，穿着非常舒适，加税前买了四条</t>
  </si>
  <si>
    <t>这价格很实惠 不到30一个，比国内京东天猫便宜多了。和国内买的相比，刷头插拔稍微松一点，刷头上的数字批号不同。</t>
  </si>
  <si>
    <t>表带易生锈 不锈钢生锈了？？？尴尬.......</t>
  </si>
  <si>
    <t>一般般 感觉像样品！</t>
  </si>
  <si>
    <t>这个好用 不错哈，喜欢，会经常用的</t>
  </si>
  <si>
    <t>史上最差的裤子，宛如硬纸板做的。 如果可以打分，满分100，我给10分，有裤子的形状，但是就像硬板纸做的，史无前例。不可想象。。。。</t>
  </si>
  <si>
    <t>假 质量非常非常！！差劲！！！ 裤带都是软的 ！假货！！！ 我又从新西兰找人直邮买了三条，这条就是假的！！！ 假货假货！</t>
  </si>
  <si>
    <t>终于收到了 颜色偏灰，不如图片上的颜色好看，海关卡了半个月才收到，担心被退回，上身还行，稍大了点，以前一直穿哥伦比亚的，冬天静电啪啪的，试下北面这款无静电的怎么样。</t>
  </si>
  <si>
    <t>衣服满意，对客服有话想说 质量挺好的，主要是价格很实惠，这个很满意，但是亚马逊把我手机号码接听亚马逊回拨这个权利给限制了，特别不满意，买这么多东西出任何问题怎么联系，???希望亚马逊早早给予解决，还有某些客服竟然信口开河的乱给答复！</t>
  </si>
  <si>
    <t>踢不爛pro初評 41碼買了8ee的稍大，7.5會合適些；稍有瑕疵跟線頭，但總體感覺還是滿意的。跟redwing一樣擱腳初穿。下單到拿到貨9天拿到算快。</t>
  </si>
  <si>
    <t>好看的短靴 鉴于退货运费，鞋子只能买大不买小，平时38-39的皮鞋，这次买的5.5，大了些，但宽度差不多，反正是靴子大点也无所谓。鞋子性价比高，表白亚马逊</t>
  </si>
  <si>
    <t>物有所值 声音太大，其他还好，算是对的起这个价钱</t>
  </si>
  <si>
    <t>champion拉链衫运动款超赞 春季时节最适合穿这类衣服，透气、合身，casual一点，假期出游更舒服。</t>
  </si>
  <si>
    <t>高颜值 好锅 &lt;div id="video-block-RPY7SIWDP6O2R" class="a-section a-spacing-small a-spacing-top-mini video-block"&gt;&lt;/div&gt;&lt;input type="hidden" name="" value="https://images-cn.ssl-images-amazon.com/images/I/91-84zN3-aS.mp4" class="video-url"&gt;&lt;input type="hidden" name="" value="https://images-cn.ssl-images-amazon.com/images/I/71LfJlb3FlS.png" class="video-slate-img-url"&gt;&amp;nbsp;颜值满分 真的重啊 用的不多 但是很有仪式感 喜欢 商品就放在一个巨大的盒子里寄过来的 这样真的好吗？锅子重 感觉这样的包装不是特别有效 收到手有没有磕碰全看运气</t>
  </si>
  <si>
    <t>颜色有偏差 不错的衣服，颜色有偏差</t>
  </si>
  <si>
    <t>不错 比国内偏大一个码，但是质量不错</t>
  </si>
  <si>
    <t>材质舒服 挺好，材质比较舒服，版型也修身</t>
  </si>
  <si>
    <t>不错 在无钢圈内衣里算是好看的啦，喜欢，唯一的确定是杯的形状有点怪，有种尖尖的突起的感觉（不知道怎么说，椎体感吧）</t>
  </si>
  <si>
    <t>爱高腰 高腰牛仔裤好难找 凑齐七色可召唤神龙 为了不用重新买裤子我也不能胖</t>
  </si>
  <si>
    <t>满意 比国内鞋码大，鞋底软软的，穿着舒服，走路弹力不大，鞋子不适合走路</t>
  </si>
  <si>
    <t>囤货的 还有十几天才生，买来备着产后用的。希望有用。物流很快，14号发的货，17号就到了</t>
  </si>
  <si>
    <t>耳机  比女人可靠 配我的a1  堪称人间胸器</t>
  </si>
  <si>
    <t>很好 穿着舒服，伸展随意</t>
  </si>
  <si>
    <t>国内LEE的尺码一样，偏大1码 国内LEE的尺码一样，偏大1码。。。。。。。。。</t>
  </si>
  <si>
    <t>不错 老婆用了很满意，应该有效果。。。。。。。。</t>
  </si>
  <si>
    <t>穿着舒适，弹力大 很不错的袜子，穿着非常舒适，弹力很大，体重150的胖子也能穿</t>
  </si>
  <si>
    <t>确实不错 我就想说这是我买的同款第二件了。现在价格涨了，初春穿正合适。</t>
  </si>
  <si>
    <t>整体不错 秒针指针很准，表盘真的很大气，个子小的掂量下，唯一担心的就是表带不耐用，下单到送货5天时间，速度很快</t>
  </si>
  <si>
    <t>满意 178cm  63kg，买s正好合适，质感不错</t>
  </si>
  <si>
    <t>很好 品质不错，颜色也好，以后还会再买</t>
  </si>
  <si>
    <t>实用型杯子 这个杯子特别好，不同阶段换不同的被子盖就好了，我家宝贝6个多月就开始用吸管杯，他还挺喜欢的。</t>
  </si>
  <si>
    <t>尺码表很准 很不错，厚实，尺码表很准</t>
  </si>
  <si>
    <t>可以说是目前最主流的sata接口的tlc固态硬盘了，各方面都很均衡，没有任何的短板和不足，买固态就是要买大品牌才能放心，三星一直是最牛逼的闪存供应商之一。 可以说是目前最主流的sata接口的tlc固态硬盘了，各方面都很均衡，没有任何的短板和不足，买固态就是要买大品牌才能放心，三星一直是最牛逼的闪存供应商之一。评分我跑了下，差不多1200左右吧，就不晒图了，没意思，能用就行了。多说一句，亚马逊的服务真的是又快又好</t>
  </si>
  <si>
    <t>第一在这上面买东西。 四天就到货了，真怀疑是不是假货，国外到中国这么快？不建议买。</t>
  </si>
  <si>
    <t>中等推荐 做工还可以，皮带扣有点粗糙，上面还有胶水，有点原始，买的最小码的，有点偏短。</t>
  </si>
  <si>
    <t>阿哲 好吧，手感不太好</t>
  </si>
  <si>
    <t>为什么发马上快过期的货 2019.6.4收到货，买了两瓶，有效期为2019.10，距离到期时间只有3个月，只能差评！！！</t>
  </si>
  <si>
    <t>保质期还有三月 保质期到17年12月，也是醉了</t>
  </si>
  <si>
    <t>好 挺不错的，简洁大方，适合瘦一点儿的男士戴</t>
  </si>
  <si>
    <t>东西值 东西很好很快哇 没有一个礼拜就到了 有点厚实 偏长 第一次在中国亚马逊买 很好 下次还会继续买</t>
  </si>
  <si>
    <t>质量还行，没出现别人说的商标脱落 质量还可以</t>
  </si>
  <si>
    <t>180 60KG，腰围偏大 要用皮带，不然腰部明显偏大，口袋容量超大，可以放下500ml的饮料还扣上，立体裁剪站立的时候看有点皱皱的感觉，面料感觉挺不错</t>
  </si>
  <si>
    <t>里面线头多感觉没缝合好 还不错，就是里面剪裁线头超级多还缠在一期，又不太敢剪，怕开线，有点失望</t>
  </si>
  <si>
    <t>好 很合身，还很便宜</t>
  </si>
  <si>
    <t>满意！ 挺紧致，质量不错！</t>
  </si>
  <si>
    <t>裤子大了点 略大了点 欧码 184的长度适合</t>
  </si>
  <si>
    <t>比Lee性价比高的多 买了好几次，终于知道哪个尺码合适了……</t>
  </si>
  <si>
    <t>非常舒服 非常舒服，比微商手里买的好多了</t>
  </si>
  <si>
    <t>不错的衣服 衣服做工不错，大小合适。</t>
  </si>
  <si>
    <t>挺便宜的 还不错，比预想的好</t>
  </si>
  <si>
    <t>舒适合身 质地柔软，不很厚，夏天也可以穿，175cm，68kg穿w31略宽松，喜欢紧绷的可以买小一码</t>
  </si>
  <si>
    <t>舒适，性价比高。 大小合适，面料舒适，轻松无束缚感。</t>
  </si>
  <si>
    <t>超值好用 赶上打折，带税不到六百，比国内行货便宜一半多，超值啊！清理的很干净，无线也很方便</t>
  </si>
  <si>
    <t>保温壶 外观景美，保温效果好</t>
  </si>
  <si>
    <t>推荐 舒服。当睡衣穿，不错的选择</t>
  </si>
  <si>
    <t>挺喜欢的 平时穿的W30L30，看过评论选的W29L30果然就合适了。送来的时候是卷着裤腿寄来的，完全皱巴巴的。需要洗了再熨。 然后是对裤子本身的评价，布料摸起来很舒服，有质量。颜色灰色，灰的比图片上的深，算是深灰色了。穿起来裤腿也不会和图片上的那么修身，算是感觉休闲吧。裤子上有8个深浅不一的口袋，是拿来装东西还是起装饰作用，就看个人喜好了。</t>
  </si>
  <si>
    <t>机子好用 机子很好用，和面绞肉馅很快速</t>
  </si>
  <si>
    <t>很棒哦 165.52，S码刚刚好。全棉很舒服，会再买的。 追评：黑色会掉色。。。不知道多洗两次会不会好些。。。</t>
  </si>
  <si>
    <t>喜欢 质量不错，尺码也比较标准，身高165, M号穿着修身。</t>
  </si>
  <si>
    <t>一米劳时装表 每日固定快18秒，就算是不错的成绩。</t>
  </si>
  <si>
    <t>便宜 性能可以，价格还是便宜</t>
  </si>
  <si>
    <t>大小合适，舒服 价格便宜，媳妇说个事，想再买，等待价格调整到合适时候入手。</t>
  </si>
  <si>
    <t>非常合身 本人178CM,重160.大小合适</t>
  </si>
  <si>
    <t>有点掉色 180、73KG买了L码的，大小合适，过了下水，会掉色！穿着舒适，凉爽！</t>
  </si>
  <si>
    <t>好穿！推荐！ 产后买了那么多款塑体裤，这是最好穿的一款。穿的时候很紧，穿上居然不勒着，好评！</t>
  </si>
  <si>
    <t>不错 尺码标准，只是裤腿偏肥！总的来说还行</t>
  </si>
  <si>
    <t>不能保温 其他没毛病，关键是！不能保温啊！</t>
  </si>
  <si>
    <t>偏大，没弹性 5天到了。衣服偏大，布料没有弹性，也好在大了点，不然穿着受罪</t>
  </si>
  <si>
    <t>型很怪，又压又空又尖! 码应该是对的，但罩杯太浅，压胸。而且型很怪，又压还顶尖又空，位置不对!我还一下买了四款，都不合适!日本胸罩以后不能买了！</t>
  </si>
  <si>
    <t>太大，海淘真是欲哭无泪 本人175，70kg，上身瘦点，S码还是大，衣长69，肩宽49，袖长66，驾驭不了，太大了</t>
  </si>
  <si>
    <t>挺贵的鞋怎么可以如此差 做工太粗糙，不知道是我买这个鞋不好还是整体就这个水平，穿着脚感也很差，关键的关键是穿着卡的脚踝疼死了，收到货一个多月一直也没有穿，只是当时试穿了一下大小，今天出门着急，直接穿着就出差，半天时间没走多少路脚踝就疼的不行了，太坑了</t>
  </si>
  <si>
    <t>尺码标识混乱，尺码表也不对，又不方便换码，每次海淘都是碰运气 选的25.5cm，看尺码表应该是对于的美码9-9.5，结果是10-10.5，大了一码啊</t>
  </si>
  <si>
    <t>一般 裤子样子不错，但单薄了很多，不是这个牌子该有的感觉，裤子往小了买，还是大了，退换要125块运费，太贵，剪短当夏天的裤子穿了，只能说，一般吧</t>
  </si>
  <si>
    <t>飞利浦3代 和国行版不同的一点，没有杯子 使用快一个月了，一直都用敏感档，牙龈出血有一点儿改善</t>
  </si>
  <si>
    <t>一般 感觉裤腿略肥了点，也感觉有些薄，有弹力的。我买的同款另一颜色不这样，那款较厚且较修身。四分吧。</t>
  </si>
  <si>
    <t>非常实惠！ 非常实惠！品质可靠~~</t>
  </si>
  <si>
    <t>质量很好 刮水果不错的工具！哈哈</t>
  </si>
  <si>
    <t>不错 很好，孩子吃的要放心才能买，</t>
  </si>
  <si>
    <t>威迪文权威M尖钢笔 书写流畅，外形美观，但美中不足是不含吸墨器，我用了一个闲置的senator钢笔吸墨器，刚好适配</t>
  </si>
  <si>
    <t>很好 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</si>
  <si>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The best fountain pen I have so far I'v got half a dozen fountain pens and this is the best one I have so far for its smothly writting, evey stroke I wrote is good feeling.</t>
  </si>
  <si>
    <t>质量很好！运行速度够快！ 质量很好！运行速度够快！</t>
  </si>
  <si>
    <t>搅拌机 方便好用，噪音小，适合三口之家。</t>
  </si>
  <si>
    <t>男装买的是合身。 品牌商品，卖家提供的服装叁考后购买。完全合适。值得。点赞。</t>
  </si>
  <si>
    <t>非常好 不错，做工精细，出水压力大。很好！</t>
  </si>
  <si>
    <t>好鞋 正是我想要的，尺码刚好</t>
  </si>
  <si>
    <t>https://www.amazon.cn/dp/B06Y6GHHRR/ref=cm_cr_ryp_prd_ttl_sol_1 商品质量很好，请放心的购买吧，尺寸大小和客服介绍的一样，我穿着正好，身高176，体重135斤。</t>
  </si>
  <si>
    <t>好的内裤 前前后后买了十几条内裤，都很好，没有让我失望，亚马逊购物还是很方便的，售后也很棒，谢谢！</t>
  </si>
  <si>
    <t>机器做工很棒！ 比双11天猫旗舰店卖的质量有保证，还更优惠，整套原配品质，搭配Lavazza胶囊，味道超级赞，比我德龙现磨咖啡机都好喝，大赞！</t>
  </si>
  <si>
    <t>会回购的 很好用，牙龈肿痛用这款有效果。</t>
  </si>
  <si>
    <t>比较合适 不错，尺码很舒服，穿着也舒服</t>
  </si>
  <si>
    <t>完美！ 第一次海外购，非常好的一次购物，到货时间比预计少用一半时间。 尺码问题看了其他人的评论，腰围确实是要比平时小一个尺码才正好。</t>
  </si>
  <si>
    <t>尺码刚好 长度尺码刚刚好，165-63，参考一下</t>
  </si>
  <si>
    <t>好用的面条机 很好用</t>
  </si>
  <si>
    <t>合适 质量很好，夏天穿的。175体重146正合适M</t>
  </si>
  <si>
    <t>舒适 面料亲肤，舒适感体验好</t>
  </si>
  <si>
    <t>好用，囤货，便宜 好用，舒服，吸收好，没感觉，适合自己的都是好的</t>
  </si>
  <si>
    <t>洗后变形 布料偏薄软，手感舒适。但是手洗了一次后变形得厉害，衣服拉长了很多，可以当裙子穿了。</t>
  </si>
  <si>
    <t>实际尺码偏小 这条裤子的尺码有点偏小</t>
  </si>
  <si>
    <t>手表好，包装差劲，国内购买注意 首先，手表很好，然后，你们的包装确定是跨国用的？甚至没有某宝的包装好，只用一个袋子装着，我打开包装的时候手表的包装已经变形的厉害，所以给你3星，手表满分，快递满分，包装0分</t>
  </si>
  <si>
    <t>有点贵，感觉不值得这个价，做工一般。 有点贵，感觉不值得这个价，做工一般。</t>
  </si>
  <si>
    <t>新的就烂了一个洞洞。 穿的没有穿，就下水洗了一下，就这样了，很差的一次购物体验。</t>
  </si>
  <si>
    <t>物有所值，这是以价格定质量啊！ 样子还可以，就是表盘的数字不带夜光差评，表盘玻璃不抗划，我的表现在就划伤了！很失望😔</t>
  </si>
  <si>
    <t>面料太差 和国内的比质量差太多了</t>
  </si>
  <si>
    <t>最慢的一次海外购！ 1.27下单，等了3周才到，不爽！刚插上的时候，声音感人！！！嗡嗡嗡～～～像拖拉机一样，整个桌子都在抖，以为翻车了！还好慢扫全绿，通电十几小时后，拷了点数据进去，噪音降低不少，难道还有磨合期一说？氦气盘，希望耐用～～</t>
  </si>
  <si>
    <t>没什么标题 1:有色差 而且色差巨大 2:皮软，所谓划痕……指甲一碰就是痕，这是因为皮子材质问题 3:我一般鞋子穿41 41.5这个7.5刚刚好</t>
  </si>
  <si>
    <t>质量不错，有褪色 姨衣服比之前买的那件好多了，但是还是存在褪色的问题，洗过两次了，颜色腿的不严重，再穿穿看吧。建议比国内买小一号</t>
  </si>
  <si>
    <t>日本企業精益求精！ 相信日本企業无假貨，用了真的不錯👍</t>
  </si>
  <si>
    <t>保温很好 保温的确很好，接近20小时的开水，水还是很烫。唯一不好的地方就是杯盖在盖紧的状态下，还会小幅度的晃来晃去，就怕晃着晃着松掉--漏水。</t>
  </si>
  <si>
    <t>非常好用的一款眼霜。 这个眼霜真的是太好用了，又不油腻，又不厚重，很清爽，抹了几天，使用感受很好，减少细纹的效果需要长期使用</t>
  </si>
  <si>
    <t>好用 好用！现在宝贝几乎每天都用！</t>
  </si>
  <si>
    <t>很完美 非常棒的购物体验，鞋子也出乎意料的好，速度很快，我都不相信是从美国寄过来的，客服解决问题的相应时间也很迅速，解决问题的方法很恰当。就是鞋子的码数偏大，建议买小一码。</t>
  </si>
  <si>
    <t>很快很强大 装在5D3上，速度很快。</t>
  </si>
  <si>
    <t>推荐购买 己使用一个多月  很好  满意  推荐购买</t>
  </si>
  <si>
    <t>非常好！ 非常完美的一次购物体验！海外购裤子就怕不合适，还没法退，没想到颜色很正，尺码正合适，面料也很好，以后买裤子有固定选择了。 ps，我180身高，155体重，34.32正合适。</t>
  </si>
  <si>
    <t>衣服很漂亮 身高192，体重86，L码，我感觉还有点大，但不敢再小了</t>
  </si>
  <si>
    <t>买的z实惠，价格很好 特价的经常错过，突然看到z实惠，就是包装毁了，才一百四十多立即买了。东西到手都完好，亚马逊重新包装了感觉还可以，反正包装买回来也分分钟扔掉的 还是很实惠</t>
  </si>
  <si>
    <t>还不错 东西可以就是调电波还不会，反显比较难看清，493买还演什么自行车</t>
  </si>
  <si>
    <t>非常棒！很合适！ 女生 37的脚穿着稍微大一点点 非常好！是哑光皮面！可以说是很好看了。</t>
  </si>
  <si>
    <t>好看 很实用，宝宝喜欢用杯子喝水</t>
  </si>
  <si>
    <t>提升生活幸福感的好东西 用起来感觉很好，牙结石比较重，东西到后去洗了牙，然后每天早晚电动牙刷刷牙后再用这个冲一冲，萎缩的牙龈都长出来了，就是注水容量太小，很快就要重新加水，所以家用的话还是建议买大的</t>
  </si>
  <si>
    <t>尺码偏小 鞋子很棒，已经买过几次了，但是尺码相较于阿迪、耐克偏小一码！</t>
  </si>
  <si>
    <t>高音声音纯净。 高音声音纯净，低音力量一般，毕竟小箱子，听音乐足够。</t>
  </si>
  <si>
    <t>没有上墨器 我切记 东西很好。正品。但是很刮纸。粗细就是f的粗细 我缺点是没有上墨器。还要自己另买了 切记</t>
  </si>
  <si>
    <t>显腿型 袜子很不错，很显腿型，零下不建议穿，春秋打底还是特合适的</t>
  </si>
  <si>
    <t>做工很好，声音平稳，但夹头 收到两天，感觉用手机直推也不是不可以，当然用耳放推会游刃有余一些。德国产地做工很好，螺旋线很有质感，耳朵也正好能包上。但真的夹头，尤其一边听歌一边吃饭，夹得腮帮子疼，不是很放松。目前还没煲开，感觉比较平淡，但比较真实反应音源。apex真的很快，48小时到我手上（广州）。</t>
  </si>
  <si>
    <t>切勿踢人。不摇滚者慎入。 做工是没的话说。细节尤其好。毕竟是“天怕兰”的出品。鞋型很粗旷，感觉是重体力活工人的装备。这种款雅皮士，不摇滚的中年人，喜欢不喜欢是个问号。穿着的舒适性其实很一般。主要是这鞋很重。切勿踢人！轻则骨折，重则致命。小个子购买的话，有增高的意义。大个子比较合适，五大三粗，更有男子气。近期亚马逊海外购的价格是可以接受的。</t>
  </si>
  <si>
    <t>衣服款式很棒 这是一款肥版的衣服，按衣服提供的尺寸购买即可，穿出来非常有范</t>
  </si>
  <si>
    <t>很舒服的裤子 我183cm高，83公斤重，买了一条34w/32L的刚刚好合适。穿起来感觉也很舒服，有弹性又柔软。一下子有买多了三条。</t>
  </si>
  <si>
    <t>还行 秋天的话可以只穿这一件。 但在冬天，穿一件这个，再加一件羽绒服，还是会冷。</t>
  </si>
  <si>
    <t>很好 正品，非常顺滑，以后还会继续买!</t>
  </si>
  <si>
    <t>长短合适 脚背紧 鞋型好看 脚背紧 痛心啊</t>
  </si>
  <si>
    <t>很普通 非常普通的腰带，按照说明买就可以。退的时候来不及了，买回来也是鸡肋，完全没有让人想用的感觉。</t>
  </si>
  <si>
    <t>尺寸 本人172，67kg，穿M号感觉略短小，建议有点小后悔，另外穿上脖子感觉有些紧</t>
  </si>
  <si>
    <t>一般 线头特别多</t>
  </si>
  <si>
    <t>两只鞋的鞋号不一样 刚开箱开两只鞋的成色不太一样，一个颜色略深，一个颜色略浅，就有点不爽，合计穿脚上也没人注意我就忍了。一看鞋号我就火了，难怪成色不一样，明显就是两双拼凑出来的，一个8号，一个8w号，还人为的把w给划掉了，你当消费者都是瞎子么。觉得天猫京东海涛不靠谱就上亚马逊，没想到亚马逊也这么恶心人。各位自己看图。</t>
  </si>
  <si>
    <t>假货 买回来两瓶全部只有半瓶不到！</t>
  </si>
  <si>
    <t>合适 裤子不错，有点弹性，穿起来不绷着。</t>
  </si>
  <si>
    <t>袖子太长 168cm，57KGS，S码，稍宽，袖子如图没有准确，太长了！</t>
  </si>
  <si>
    <t>反馈 墨水是黑的啊，为啥写红的？？？ 不过总体还不错，快递也很快，愉快的购物，希望尽快调整商品标签。</t>
  </si>
  <si>
    <t>好 比较满意的一次海外购，值得再次购买</t>
  </si>
  <si>
    <t>第一次在亚马逊，很满意 保温效果很不错，70度以上应该能保存六个小时以上，有点遗憾的是如果泡些东西喝着可能不会很顺。不过我还是喜欢喝白开水。推荐给那些想喝茶但是工作忙，倒了水之后来不及喝的朋友。随时打开随时有热水。才买了几天就掉了三十块。。。。。</t>
  </si>
  <si>
    <t>尺寸偏窄 舒适性很高，包裹性强，同尺寸比国内品牌要窄很多，长一点。做工不好，右脚鞋头向内偏，有溢胶现象。好在便宜。</t>
  </si>
  <si>
    <t>好东西 东西不错，款式质量可以</t>
  </si>
  <si>
    <t>合适 平时43，这个选9.5 US M正合适。</t>
  </si>
  <si>
    <t>还不错 挺满意，暂时没有什么问题</t>
  </si>
  <si>
    <t>性价比高 真好，大小正好，尺码标准。价格也好。</t>
  </si>
  <si>
    <t>舒服 很薄，夏天穿应该很透气</t>
  </si>
  <si>
    <t>Clarks 我喜欢 去年买了第一双，感觉很不错，这次又买了，一如既往的舒服，大爱clarks</t>
  </si>
  <si>
    <t>推荐购买的一块表 实物比图片漂亮，第一次使用电波表，自动对时很给力</t>
  </si>
  <si>
    <t>非常好 包装完美，刷头实惠，两人用一年半没问题。</t>
  </si>
  <si>
    <t>比国内便宜多了 比较实用 价格很有优势</t>
  </si>
  <si>
    <t>性价比不错 整体感觉不错，应该是正品</t>
  </si>
  <si>
    <t>完美 很完美，适合慢跑训练和跑马</t>
  </si>
  <si>
    <t>不读盘 这个硬盘有的电脑不能读盘,无法显示怎么弄</t>
  </si>
  <si>
    <t>非常好使 放在13套的洗碗机用不浪费，很好用</t>
  </si>
  <si>
    <t>质量不错 质量感觉不错，但是这个是比较紧身的，国内我穿m，这次买的s，因为按以往经验国外码大一个号，但是偏紧，建议正常买。</t>
  </si>
  <si>
    <t>挺暖和 收到就戴上了，挺暖和的，听感还可以</t>
  </si>
  <si>
    <t>推荐购买 性价比高，正品，非常赞。</t>
  </si>
  <si>
    <t>对付汗毛真的有用 很好！没有做到按照说明书的次数来用，但是效果也很明显，已经有俩月没用过了，但是汗毛明显比以前少了！很喜欢的一款！</t>
  </si>
  <si>
    <t>本人172cm，66kg，平常穿32，这个32很适合，裤型并非修身，个人比较喜欢宽松型牛仔裤，口袋可以放手机，放钱包，那种修身型的啥都放不了，不喜欢，所以很满意。 本人172cm，66kg，平常穿32，这个32很适合，裤型并非修身，个人比较喜欢宽松型牛仔裤，口袋可以放手机，放钱包，那种修身型的啥都放不了，不喜欢，所以很满意。</t>
  </si>
  <si>
    <t>好，划算 算下来一个才不到35 很划算了</t>
  </si>
  <si>
    <t>性价比高 非常满意</t>
  </si>
  <si>
    <t>差评👕 质量很差，一次不愉快的购物，下次再不光顾⋯</t>
  </si>
  <si>
    <t>一般般 袜子基本没有弹性，略硬，比较粗的棉线，脚感不太好。脚踝处会出褶皱，因为没什么弹性绷不住腿。不推荐。</t>
  </si>
  <si>
    <t>好重 厨房备用锅，养锅的经验还是不足，但感觉它的品质还是不错的。</t>
  </si>
  <si>
    <t>千万不要在这里买！ 真的是不要买！用了不到半年，电池进水，充不了电，没有售后，招淘宝修改之后，用不到两个月，出水又不顺畅了，真是很垃圾！！！！ 冲牙器不防水是在搞笑吗</t>
  </si>
  <si>
    <t>这么次的质量，海外购也要退出中国? 哪哪都是线头，第一次买到这么垃圾的ck，如果是真品的话。质量可能还不如地摊上20一条的那种。</t>
  </si>
  <si>
    <t>啦啦 不知道是不是真的，第三方啊</t>
  </si>
  <si>
    <t>London Fog 男士 前拉锁 Light Mesh Lined 高尔夫夹克 质量不错，尺码标准。</t>
  </si>
  <si>
    <t>全自动咖啡机使用很方便 做浓咖很方便，不过,不管mild 还是strong,每个口味都很浓</t>
  </si>
  <si>
    <t>正品 墨西哥产的，做工不是很细致线头有点多，尺码很标准！</t>
  </si>
  <si>
    <t>sw有中国生产的…… 细节如图，皮子比我在专柜买的lowland厚，缺乏弹性，原本是想退的，问客服说是有中国生产！</t>
  </si>
  <si>
    <t>挺好的 有点硬，其他还不错。</t>
  </si>
  <si>
    <t>囤货 宝贝还没有开始用，先囤下了</t>
  </si>
  <si>
    <t>物有所值 水杯很好和在日本买的一样。这次看到价格和直接在日本买的价格一样，就在亚马逊买了。看到有人评论产地是中国，想纠正一下，虎牌的水壶产地分本国产和外国产，即使在日本买本国产的价格是不会低于300的。</t>
  </si>
  <si>
    <t>舒服 夏天穿舒服 很凉快 薄杯</t>
  </si>
  <si>
    <t>不错！ 差不多一周就到了，比想象的快多了，鞋子不错，耐克一般43这双9m正好合适，给大家一个参考。</t>
  </si>
  <si>
    <t>质量可靠 虽然是工程塑料，但是制作精良，细节完美。混水阀的安装不简单，还有就是对于一般大陆家庭，安装冷热水时候需要延伸管。</t>
  </si>
  <si>
    <t>还可以 170cm,60kg小号偏宽松，感觉再小一码会更加合适</t>
  </si>
  <si>
    <t>好评 建议购入次平时偏大一号。好评。</t>
  </si>
  <si>
    <t>手表 东西真心不错</t>
  </si>
  <si>
    <t>实惠好穿 看起来有点大上脚正正好好  鞋子偏小要买大半号  穿起来很舒服  日本还是严谨  盒子超级新毫无破损</t>
  </si>
  <si>
    <t>超好的完整 完整维生素，和矿物质特别全，吃后感觉贴别舒服，对身体机能提升很有用！</t>
  </si>
  <si>
    <t>酷表 速度很快，隔天就到了，比淘宝卖家便宜好几十，而且也很有保障，所以更愿意在亚马逊购买。事实证明，相当靠谱。   表虽不贵，但很有质感，夜光忒炫，之前没戴过三眼还不知道咋弄，研究一会儿就明白了，也不是太复杂，很好搭衣服，表带也可更换，就这价位而言挑不出啥毛病了，一百分！</t>
  </si>
  <si>
    <t>好东西 正品保证，美国直邮，给宝宝准备的，很不错。比这边便宜好多，就是海外购要很长时间，半个月左右才收到物品。比国内便宜一半，很好！</t>
  </si>
  <si>
    <t>小了 宝宝是个多月了，用着有点小</t>
  </si>
  <si>
    <t>物超所值 漂亮的杯子，杯盖大小正好，非常棒</t>
  </si>
  <si>
    <t>166，108斤，xs合适，很修身 满足预期效果，大小合适，不过确实适合四肢修长的人穿。否则肚子容易鼓出来</t>
  </si>
  <si>
    <t>质量好 不起球 但不是over size款 不是over size的款 合身款 建议买大两码 质量很好 不起球</t>
  </si>
  <si>
    <t>点赞 这个4TB硬盘性价比很 高！</t>
  </si>
  <si>
    <t>赞 很好，支撑力度比skins好。但是透气性不如skins。气温低一点的时候穿更好。</t>
  </si>
  <si>
    <t>穿着舒适 穿着舒适，海淘性价比很高，polartec材料轻便舒适</t>
  </si>
  <si>
    <t>速度飞起，声音感人。 拷贝速度飞快，就是噪音有点大，而且似乎不是拷贝的时候声音大，而是读盘的时候，有点费解。</t>
  </si>
  <si>
    <t>不好用 没有力，不如国产的好用</t>
  </si>
  <si>
    <t>推荐的衣服大了。 至少大两码，平时穿xl，在这里只能穿m。</t>
  </si>
  <si>
    <t>说实话质量大不如以前了 再次购买了一块，感觉质量大不如以前，主要是调节时间的旋钮很松，很是郁闷，以前的那块被人拿走了，呜呜呜呜呜。。。。。。。。。。。。。。。。</t>
  </si>
  <si>
    <t>质量还好 鞋子版型太瘦，比预想轻，鞋底也轻，不太喜欢，质量还是很好。</t>
  </si>
  <si>
    <t>破了 一般一般，寄到手纸箱已破了整个面，幸好包是粘在里面的</t>
  </si>
  <si>
    <t>差评！恼火！同样链接买的竟然天壤之别！ 真是无语 之前亚马逊买的M号是盒装纯棉的，这次S价格便宜，就买了两盒S，收到时是袋装，只以为是换了包装没在意，刚拿出来完全是两回事！太过分了，淘宝假货都至少是纯棉，这不知道什么材料！人生第一个差评给你了！可气我拍不出那质感！谁买谁知道！</t>
  </si>
  <si>
    <t>…… 帮朋友买的，还成，看着挺好看的</t>
  </si>
  <si>
    <t>值得買 質量很好，舒適，便宜。腳寬，平時39碼，穿上厚襪有點夾腳。希望穿穿能鬆。</t>
  </si>
  <si>
    <t>太细犹如牙签搅水罐 皮带头有明显的损伤，皮带直径有点窄。本人86厘米的腰围32正合适</t>
  </si>
  <si>
    <t>杯套不好看 杯套实物有点绿色 杯身发蓝色 不是很匹配</t>
  </si>
  <si>
    <t>一般 感觉一般，没啥特别</t>
  </si>
  <si>
    <t>全球5年保修 海淘ssd就要买闪迪，5年保修，1T够用，机械硬盘直接丢弃了，速度很快，足够我办公使用</t>
  </si>
  <si>
    <t>挺好 首先说一下尺码，我身高177，体重174，这个L码挺合适。颜色跟图片一致。11月21号下的订单，中部一个三线小城市12天收到货，很满意的一次购物，衷心感谢亚马逊。</t>
  </si>
  <si>
    <t>很不错的购物体验 卡西欧的电子表质量非常好，购物及物流过程都非常顺利，物流也比预计时间快了很多。就是到手的包裹纸盒被压变形了，还好没伤到表。</t>
  </si>
  <si>
    <t>帅 整体质感很好，适合脚掌脚宽的朋友</t>
  </si>
  <si>
    <t>boss 基本合身穿上舒服质量也好下次再见。</t>
  </si>
  <si>
    <t>不错！ 非常合脚！价格也非常合适！</t>
  </si>
  <si>
    <t>孩子很喜欢 用料扎实，保温效果好，孩子很喜欢。</t>
  </si>
  <si>
    <t>喜欢 满意 送给男朋友的生日礼物 大概十天到货。还是非常帅气的。不过这个鞋子挺娇贵的 他一点也不爱惜 感觉不久的将来 很快就要坏掉了</t>
  </si>
  <si>
    <t>推荐！ 非常好非常合适</t>
  </si>
  <si>
    <t>好 质量不错，物流够快。</t>
  </si>
  <si>
    <t>象印是大品牌 非常不错，感觉是真品。</t>
  </si>
  <si>
    <t>低于900入手，绝对值 到货迅速，电源通用12v，1.5a，容量8，性价比高</t>
  </si>
  <si>
    <t>装100度的水很保温 装100度的水48小时后…水是烫手的，中途开过2次来试水温…热热的，真的是超级保温的！</t>
  </si>
  <si>
    <t>尺寸准确的毛衣 尺寸合适 穿着舒服  但是领口太小 有静电 这是什么羊的毛呢。</t>
  </si>
  <si>
    <t>很好的裤子 175，体重160，非常合身，不是那种特别修身的款，但比直筒的牛仔裤要贴身点，穿着很精神，上班、旅游穿都合适。布料手感不错，厚薄的方面，除了夏季都适合穿。</t>
  </si>
  <si>
    <t>满意 东西不错，大小正合适，关键价格还是蛮给力的，哈</t>
  </si>
  <si>
    <t>性价比超高 非常棒，真的非常棒！小身材，大水量，出水很均匀，水珠冲撞到肌肤的那一刻，感觉很棒，值得购买。</t>
  </si>
  <si>
    <t>好看 喜欢的款式，颜色也很好，穿着合体，舒服。很好搭配衣服。</t>
  </si>
  <si>
    <t>很超值 一直在使用飞利浦电动牙刷，刷头属于易耗品，而在京东购买确实活动不多，海外购这次活动力度非常给力，赶快入手了</t>
  </si>
  <si>
    <t>3M效果不错，价格超平宜 5微米过滤，适合过滤后再煮水用，出水大，没味，加运费共150，买二个4分管或6分管转插3M原配胶管接口的接头，一个接水管一个接出水龙头，一般卖净水的店里都有卖 ，就可以用了，安装方便。</t>
  </si>
  <si>
    <t>好 适合春秋穿，很合适</t>
  </si>
  <si>
    <t>ECCO的鞋码就是正，海淘与国内一样合适。 国内买鞋是41码，海淘US7.5，UK7都可以，ECCO在鞋码上做的特别好</t>
  </si>
  <si>
    <t>质量一般 越南产，亮蓝色很骚，保温效果不错，重量不算太轻，也算不错了，重要的是摇晃杯子会有沙沙的声音，感觉有东西落在真空层里。</t>
  </si>
  <si>
    <t>非纯棉，线头有点多 187cm，87kg，xl合适</t>
  </si>
  <si>
    <t>小了一点 一般般，女式鞋稍微小了点。换双鞋垫很舒服。</t>
  </si>
  <si>
    <t>使用一次就开始掉毛 这款虽然是从英国邮寄过来的，但是质量是真的次，跟原装相差很大，刷了一次，牙刷有掉毛的情况，第二次使用，开始疵毛，变形，联个小作坊都不如，感觉产品好假</t>
  </si>
  <si>
    <t>右脚比左脚宽 1右脚的土特别多，像是样品。 2左右两支宽度差了有0.5cm以上，右边宽的多，品控太差。</t>
  </si>
  <si>
    <t>残次品 鞋子尺码准确，但是上面有很多道黑划痕，和一片黑色的脏渍，都清理不掉，这要是在柜台里面是不会有任何人要的。海外购退货不便，就可以发这种残次品糊弄人吗？很失望</t>
  </si>
  <si>
    <t>一般 材质一般~有点偏大~</t>
  </si>
  <si>
    <t>唯一的缺点就是钻绒 合身、保暖、轻便，唯一的缺点就是钻绒</t>
  </si>
  <si>
    <t>腰带不错。 腰带短了一点，应该买36码就合适。</t>
  </si>
  <si>
    <t>送货有点慢，不过收到的货看起来是原装的，还没去验货 送货有点慢，不过收到的货看起来是原装的，还没去验货</t>
  </si>
  <si>
    <t>质量好 160，96斤，质量很好，但应该买s号</t>
  </si>
  <si>
    <t>很棒的裤子 买裤子还是要看评价的，本人平常穿w36l32的，看了评论果断w34l32，刚刚好，裤子很舒服，很赞，想回来再买条正蓝色的，可惜没货。</t>
  </si>
  <si>
    <t>戴了很久了 很酷的手表，百搭衣服。</t>
  </si>
  <si>
    <t>德国产 秒杀价时购入，价格上很有优势。这套笔很好着色，画起来很舒服。是水溶性的。</t>
  </si>
  <si>
    <t>海外购很方便！ 亚马逊海外购确实很方便，也能淘到物廉价美的好东西，也有保障，性价比很高。</t>
  </si>
  <si>
    <t>送货速度快，价格给力 周六下的单，周四到货，一共五天，速度很快！鞋子质量不错，应该是全新正品，但是盒子是老款不是新的黑色盒子。脚大Nike穿46码，这个45的稍大一点基本合脚，鞋确实很宽松，舒服透气，鞋垫稍滑。最给力的是价格，比实体店打折价便宜一半还多！</t>
  </si>
  <si>
    <t>夏天很透气 就是压胸，没有聚拢功能，但是凉快，肩带很舒服，不会掉，买了几件一个夏天都穿。</t>
  </si>
  <si>
    <t>e5 朋友推荐的音箱，总体声音比较满意的。</t>
  </si>
  <si>
    <t>很值得买的这个价格 非常好，读卡器也也很棒值得买。</t>
  </si>
  <si>
    <t>好东西 好多人说没用，我还是买了，买了之后我觉得买了它省很多事！不差这点钱改变一个坏习惯，</t>
  </si>
  <si>
    <t>女鞋男穿最好选W版 女鞋男穿。鞋子很合适，脚长256，买的9.5W，穿厚袜子脚趾能活动，很好。颜色比图片稍微浅一点，比较沉。总体很好，雨雪天气必备！价格也很满意。不过就是鞋带略细我打算自己配一套别的了。还是五颗星，赞亚马逊！</t>
  </si>
  <si>
    <t>还行！！！ 还行！！！</t>
  </si>
  <si>
    <t>安德玛 171，75，中号合适。衣服蛮保暖的。</t>
  </si>
  <si>
    <t>保温壶保温性能很好 刚拿到手时觉得外观颜色和页面图差异很大，换句话说满意页面图的颜色！后来通过使用，越来越觉得耐看，包括款式。真得觉得外观的颜色和款式经得住时间的考验！另外保温壶保温性能很好，到入刚烧开的水，过去六个小时，喝起来还是比较烫嘴！</t>
  </si>
  <si>
    <t>好好好 真的很好，小孩需要两手抓握</t>
  </si>
  <si>
    <t>还算可以 杯壁有点薄，要求保温的就在考虑考虑，夏天最合适</t>
  </si>
  <si>
    <t>一个字好 东西已到非常好用！G。。d</t>
  </si>
  <si>
    <t>舒适 国产一直用全棉时代，第一次用日本姨妈巾，这款触感更软，舒适</t>
  </si>
  <si>
    <t>很好的产品 非常喜欢这个产品。比18cm的好太多。就是这么重。那个杆子能承受的住吗？</t>
  </si>
  <si>
    <t>很舒适 很舒适，性价比很高。</t>
  </si>
  <si>
    <t>板鞋 很喜欢的款型颜色很正</t>
  </si>
  <si>
    <t>电量需要改进。 有洁癖的懒娃可以考虑这款，买之前想自己随便扫扫，然后干擦，然后湿擦。用了之后觉得还是得配个扫地机器人或者手持戴森。因为这家伙的电量实在是个问题，干擦再湿擦，我这个小破房子也要中间充一次电才能完成任务。用了两天，线路仍然是个迷，感觉它挺爱钻沙发和桌子底下的。总得来说推荐吧。海外购质保和退货一直有很大的问题，希望亚马逊能认真处理海外购售后。让我们和货源国享受一样的质保和免运费退换货。</t>
  </si>
  <si>
    <t>满意 不错的，质量很好，大小合适，4月就可以穿了</t>
  </si>
  <si>
    <t>质量不行 没穿几个月，小脚趾上面就磨破了。第一次穿鞋出现这种情况。</t>
  </si>
  <si>
    <t>不稳定 外观造型不错，就是夏天不太稳定，必须用小风扇一直吹着，不然会死掉。</t>
  </si>
  <si>
    <t>使用起来还不错，750pro可用 19年底收货的是17年生产的，杯身非常脏，盖子上还有明显刮痕，搞得我一度怀疑是假的或是用过的，但是使用起来还不错</t>
  </si>
  <si>
    <t>太大了。跟尺码表严重不符，海外购退又麻烦，邮费自理一个来回到手只有2块钱，吐槽点不要太多 太大了。跟尺码表严重不符，海外购退又麻烦，邮费自理一个来回到手只有2块钱，吐槽点不要太多</t>
  </si>
  <si>
    <t>失望至极 首先 在之前看了许多测评才买的这款U盘，而且之前买过pny的，看到评论说有60-70的写入速度，比较信任这个牌子。然而等待了接近2个星期，换来的是无比的失望。U盘3.0口的写入速度慢的惊人，而且极其不稳定12mb-41mb之间来回波动，同样3.0的东芝exⅡ写入有100-110mb的稳定速度。唉。。。最新测评，写入17g要13分钟，速度15~30波动。50都没有😭</t>
  </si>
  <si>
    <t>太容易坏了，不要买，还不能保修！！ 才用了3个月就坏了！！客服说海外购的商品无法保修。以前买过一个有线的盖子翻过来当水箱的那种，觉得麻烦用的少，结果放了半年就坏了。这个才3个月又坏，碧洁一生黑！！！千万不要买！！！！如果能打0星我绝对打0星</t>
  </si>
  <si>
    <t>文胸 文胸无钢圈穿着很舒服，但是胸围偏大穿着有点松。</t>
  </si>
  <si>
    <t>杯子可以 杯子挺好用的，盘子一般，没有办法固定。</t>
  </si>
  <si>
    <t>还可以啦 不知道怎么放图上来 今天买，今天到，物流飞快 这笔不是很好写，一直飞白 笔杆处松动，也不知道是不是通病 我手比较小，笔杆很粗，握起来很吃力，不建议女生买 F尖写出来比中性笔0.5的粗，写了大概2000字， 自带的墨水大概用了1/3管，千万别用这笔爬格子！我写了个思想汇报那格子爬的我简直不能再累！ 拿到塑料盒的包装，其实我更喜欢袋子那个一.一 嗯，我也不知道说什么了，就这样吧</t>
  </si>
  <si>
    <t>不错，挺准的，就是手表带太长了 不错，挺准的，就是手表带太长了</t>
  </si>
  <si>
    <t>很不错 感觉包装好像没有在苹果店看到的精致，不过这东西只要质量好就没什么好说的了，外观比较精致，运行声音也很小，没有发烫现象，总体不错</t>
  </si>
  <si>
    <t>很保暖 很保暖，裤子刚好，上衣稍大一号了</t>
  </si>
  <si>
    <t>超级满意 最喜欢亚马逊的说话不算数 明明说十八号以后到 提前了十天！鞋码标准 平时皮鞋37.5 38 跑步鞋通常买大半码会38.5，大黄靴US7 UK5现在季节穿非常好，完美！</t>
  </si>
  <si>
    <t>蛮不错的 蛮好的，看上去质量不错。</t>
  </si>
  <si>
    <t>不错 质量非常好，版型不错再大一码也没问题，身高1.74体重160，</t>
  </si>
  <si>
    <t>好好好 这个杯子真牛逼啊，这个杯子真是超出想象</t>
  </si>
  <si>
    <t>今年会常穿的一款 靴型很好，比较挺，百搭款</t>
  </si>
  <si>
    <t>满意的购物 合适，布很满意。</t>
  </si>
  <si>
    <t>满意 买大一码正好，厚实舒适</t>
  </si>
  <si>
    <t>还不错 尺寸合适的话，穿着挺舒服。感觉也有效果，两个月左右，臀围小了3厘米</t>
  </si>
  <si>
    <t>码数偏小 还好吧，鞋子太窄了</t>
  </si>
  <si>
    <t>很好 设计的很好  里面的内胆可以拿出来单独洗或者热饭  超方便</t>
  </si>
  <si>
    <t>烧水快，壶内有塑料制品 烧水很快，可以指定烧到60度到100度，保温二十分钟的功能有些鸡肋，要是壶内不会接触到塑料就完美了。</t>
  </si>
  <si>
    <t>衣服挺好的满意 衣服质量很好，上手摸软牛仔有弹性；物流速度也很快。身高163 52kg S码刚好合适</t>
  </si>
  <si>
    <t>尺码表是坑爹的，完全不准 177CM 75KG穿M都是宽松的，看着尺码表买了xl</t>
  </si>
  <si>
    <t>还是玻璃的好！ 之前一直用多么可么的，但是时间一长就有味道，还是玻璃的好！也不贵！</t>
  </si>
  <si>
    <t>好看，实用 硅胶的勺子可以随温度变色，很好用</t>
  </si>
  <si>
    <t>质量看起来不错 低腰的 其他都还不错也算蛮划算的</t>
  </si>
  <si>
    <t>何以解毒唯有杜康 好笔，有微微瑕疵，不影响使用，满意~</t>
  </si>
  <si>
    <t>Champion 男式 经典针织印花T恤 对衣服非常满意，物流快，包装完好，尺寸正合适，价格适中！</t>
  </si>
  <si>
    <t>有品位 质量好，面料舒服，标志是机绣，有品位，宽松款</t>
  </si>
  <si>
    <t>只是有点薄 就是有点薄，袖口地方没什么弹性。其他都很好</t>
  </si>
  <si>
    <t>质量还好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</si>
  <si>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评价 是薄款的，有点略大，有点扎，性价比不高</t>
  </si>
  <si>
    <t>Made in India? Clarks的沙漠靴应该是Made in China或者Made in Vietnam, 为什么这双鞋子是Made in India??? 有没有哪位大佬可以解释一下的？</t>
  </si>
  <si>
    <t>实测海外购 东西已经到手，漂洋过海的裸奔而至，实测保温效果不是很满意，想咨询下盖子最里面有橡胶密封圈的吗？盖子上没有</t>
  </si>
  <si>
    <t>鞋码太大 平常各品牌运动鞋都是42码，结果这款鞋42码大了整整一号。另外，是斯洛伐克产的。</t>
  </si>
  <si>
    <t>假货？新版？总之不好用 本来是要退货的，但是要寄回美国，这个代价太大了！这次买的质量明显不如美亚买的老版，这个很薄，塑料味很重，不敢用，买了4盒就这样闲置了</t>
  </si>
  <si>
    <t>尺寸过大 平时牛仔裤尺寸买28的，选择了4号尺寸，收到货后，尺寸还是大了不少，腰部和臀围松松垮垮。不过颜色很正，布料柔软，可以送人。</t>
  </si>
  <si>
    <t>值得买 12.15下单，12.24收到，从美国到中国，9天到手，很快。带了5天慢10秒，每天2秒，走时很准了。价格超便宜，值得入手。应该介绍日本机芯型号，便于维修。不足时外圈转30度就卡死了，不能再转。</t>
  </si>
  <si>
    <t>很好 工艺不错，正常尺码，全棉面料感觉不错，穿着感觉很舒服。</t>
  </si>
  <si>
    <t>修身 裤子质量不错，个人觉得过于修身，也可能是因为我喜欢穿宽松裤的原因！</t>
  </si>
  <si>
    <t>尺码标示最好再详细一些，例如欧美码是否偏大。 码太大了，身高178，体重172斤，XL码大好多，感觉穿M码就可以，好在价格低，凑合穿吧，海外购调换也麻烦。</t>
  </si>
  <si>
    <t>很好 穿着合适，套上棉裤真好，很合身</t>
  </si>
  <si>
    <t>性价比还是可以的 身高176，体重70kg选了33×30的，很奇怪腰围和31×30的一样，也还是略大一点点，不是紧紧的感觉，但不是大的不得了的那种，裤腿略肥，已经再次买了，19×30的。</t>
  </si>
  <si>
    <t>很好 没有荧光和异味 价格也便宜 很好</t>
  </si>
  <si>
    <t>非常不错 质量和做工都还是不错的，可以直接穿。 181  80买的S,稍微有点点小。</t>
  </si>
  <si>
    <t>很好，宝宝喜欢 很好，德国运回来的，比国内买便宜多了，宝宝很喜欢，用手动牙刷总是刷不干净的感觉，用了电动牙刷刷牙也听话多了，刷得也干净</t>
  </si>
  <si>
    <t>象印焖烧杯 买了很多象印的杯子，都挺好的。保温上比同容量的保温杯差些，毕竟口径大，壶盖感觉也不是很紧，实物比图片好看，满意。</t>
  </si>
  <si>
    <t>包装很好，全球保1年。 包装很好，全球保1年。</t>
  </si>
  <si>
    <t>漏油少、写字顺滑 很好用的圆珠笔，大品牌数十年一如既往，正好赶上降价，差不多半价，一盒50根，一半黑色一半蓝色，写字顺滑，漏油很少。</t>
  </si>
  <si>
    <t>物超所值 德国5天到货，快到不敢想象，颜值非常高，比某东便宜500。三挡力度，手快一瓶水可以冲干净牙齿了。没国保，希望耐用点</t>
  </si>
  <si>
    <t>保暖轻薄 很轻薄很保暖，某人很喜欢。140斤，170，适合S</t>
  </si>
  <si>
    <t>买大了一点 鞋子很好看，是正品，好评</t>
  </si>
  <si>
    <t>小而强悍，保真不凡。 小而强悍，保真不凡。</t>
  </si>
  <si>
    <t>物美价廉物流快捷 物美价廉物流快捷！</t>
  </si>
  <si>
    <t>购物基本开心 第一次买 很舒服的一双鞋子</t>
  </si>
  <si>
    <t>尺码偏小 与boss的其他内衣相比略小，穿着有点紧身。</t>
  </si>
  <si>
    <t>全新 看评论怕是二手的，收到打开检查是全新的，没有使用过痕迹，比官网便宜很多，开心</t>
  </si>
  <si>
    <t>灰常好看的袋鼠服哦~~~ 灰常好看的袋鼠服哦~~~180cm 95kg 没有大肚子，买的L, 之前买他家短袖XL 好大，这次特意买小 正合适。</t>
  </si>
  <si>
    <t>173cm 74kg 无敌螺旋爆炸帅 173cm 74kg 体脂15左右吧 经常健身型 腰围差不多80多一点 胸围100 完全合适的 除了后腰的地方肥 里面穿一个不是 特别厚的帽衫或者是毛衣都没问题 长短到腰带下面一点 本身是属于上半身比较短的类型 袖子稍微长一点不过不过分 太瘦了不推荐买 里面空间真的大 要肉多点撑起来</t>
  </si>
  <si>
    <t>非常推荐国人购买！别把价格推高了就行 免烫的感觉。面料薄，但非常细密，质感不错，特别适合上班使用！面料很挺。略修身了点，显得更干练！172cm 71kg，平时31/30的LEWIS  GSTAR，这个就能穿，略修身而已。蓝色比较深，不会很跳色</t>
  </si>
  <si>
    <t>很不错的产品。 样式、颜色都非常漂亮。如果按照欧码，尺码很准。</t>
  </si>
  <si>
    <t>上脚很舒服 颜色好看，我23.5厘米长的脚，7B合适。</t>
  </si>
  <si>
    <t>满意 比574脚头显宽松，但是也不敢再小一个号码买，颜色很满意，价格也合理，不愧新百伦顶级，</t>
  </si>
  <si>
    <t>东西就像次品 东西看起来就像是次品一样，两只都有一些黑点，不知道是什么东西，还有一些刮花了的瑕疵，算了，懒得退了，赞一个配送速度是很快的。</t>
  </si>
  <si>
    <t>初次使用 颜值很高，鞋码刚好，但鞋底比较硬，穿起来没有预想的舒服。</t>
  </si>
  <si>
    <t>是宽松版，太大了 这款裤子面料一般，没国内的好，比较硬，美国宽松版的裤管太大了</t>
  </si>
  <si>
    <t>有破洞 卖的什么玩意，裤裆这里一个洞，正品怎么可能就这质量，不知道从哪里拿的山寨货</t>
  </si>
  <si>
    <t>起球 严重起球 无语了 洗了两次起球就很严重了</t>
  </si>
  <si>
    <t>没有吸墨器 没有吸墨器</t>
  </si>
  <si>
    <t>日本的内衣是偏小一杯的吗 买了中国的码，可实物偏小一杯，是轻盈的。</t>
  </si>
  <si>
    <t>图案有点小失望 孩子很喜欢艾莎公主，所以选了这款刷头，但是送货到了确是雪宝和安娜，有点小失望。</t>
  </si>
  <si>
    <t>china 看着都还行，就是手表背面是made in china</t>
  </si>
  <si>
    <t>2018 身高172体重68穿S码合适适合春天穿</t>
  </si>
  <si>
    <t>派克墨水 价格虽贵些，但是买个放心，美亚自营质量应该有保障</t>
  </si>
  <si>
    <t>自己看着办 165以下 45kg 就买xs 再重不知道了 如果xs还是大那就别买了 除非有xxs</t>
  </si>
  <si>
    <t>。 东西不错不过我没用上</t>
  </si>
  <si>
    <t>略宽，建议比平常小一码 160/62kg，买的M码，个人觉得略宽，肩也大一点。可能S码比较适合自己，衣服质量挺好，有点弹性！247的价格，还可以接受。</t>
  </si>
  <si>
    <t>数据仓库首选 这种容量，这个价钱已经无敌了。测试了一下速度，拷贝60多MB，还能接受吧。</t>
  </si>
  <si>
    <t>性价比很高的商品 质量各方面符合预期，非常满意的一次购物体验！</t>
  </si>
  <si>
    <t>外包装需要改进 奶瓶不错，是美国直邮过来的，就是包装不咋滴，就一个袋子装这2对奶瓶漂洋过海了，拆开时奶瓶的包装盒已经有点压坏了。</t>
  </si>
  <si>
    <t>裤型很好 到货速度很快啊！一周时间送到手了。号码很准确，只怪我错估了自己的腰围，由于最近一直穿松紧带的裤子，没想到自己又胖了。网页照片有点偏色，实物更偏绿，翻译成浅橄榄绿比较合适。裤型很好，上身效果不错；厚薄合适；除了腰围其他都合适，再瘦一瘦就可以了。172CM、80KG，腰围86CM，2尺6，这个裤子应该33W的合适。（10月份还2尺5呢！2尺5腰，32W就合适了。）</t>
  </si>
  <si>
    <t>大小刚刚好！ 还好买大一号！结果回来是正正好！软皮！喜欢那种褶皱的效果！</t>
  </si>
  <si>
    <t>值得购买 往大一码买，稍微有点窄，但穿着舒适，性价比高。</t>
  </si>
  <si>
    <t>恒温调节非常方便！ 非常好用！完美匹配！尤其是恒温调节，用起来很方便！</t>
  </si>
  <si>
    <t>180 60m码合适 180  60 kg瘦长个， m码肩宽袖长正好别的大小都能算合适偏紧致</t>
  </si>
  <si>
    <t>西数硬盘 已经装机用了，质量不错</t>
  </si>
  <si>
    <t>买小一号的就是正确的选择 买小一号正好，穿着舒适，好评</t>
  </si>
  <si>
    <t>很棒 非常棒推荐推荐...</t>
  </si>
  <si>
    <t>操作简单，清洗方便 到了就做了杯香蕉牛奶，操作简单，清洗方便，看说明书，还可以加其他配件，不过现在这个功能正是我需要的，先用一段时间再说吧。</t>
  </si>
  <si>
    <t>完美 加税之后价格和品质都很满意，看了几个淘友评论果断选择36WX32L，对28的腰完全合适，稍微有点长，物流很快</t>
  </si>
  <si>
    <t>挺厚实的，不适合夏天 我买的颜色是boss，特别厚实，直筒裤，显腿长</t>
  </si>
  <si>
    <t>好评！ 送小舅子的生日礼物。可惜没有白色的。</t>
  </si>
  <si>
    <t>好，我喜欢！ 好！ 写字粗细恰好，笔尖细腻，不是太滑，我写字的控制力恰好对应。 笔杆有木质感，低调，内敛，与恒星系列有着强烈的反差。 我喜欢！ 物流也不错，1个星期到手。</t>
  </si>
  <si>
    <t>推荐购买 完美的质感，经过打磨的纹理，弹性面料，不用腰带更舒服，希望评价太好不要引起亚马逊的涨价，到手价230左右，价格合适会再买的</t>
  </si>
  <si>
    <t>大猩猩的版型 衣服的版型非常搞笑，胸紧，肚大，袖长！估计是给大猩猩穿的，对，想象一下，套在大猩猩的身上。虽然形容的有点夸张，但是，嗯，就是那个模样。 材质非常薄。 就当体验一下中北美洲那糟糕的做工吧</t>
  </si>
  <si>
    <t>一分钱一分货吧 等了两个月才收到，不知道你们用的怎么样？我昨天试了一下揉面功能 机器抖得跟筛子似的,好怕哪天机头会不会飞出去啊....</t>
  </si>
  <si>
    <t>还好，装热水会漏 装热水漏的我怀疑人生，凉水就不漏了。防伪被刮开，退货党们能手下留情不？杯底部有道疤拉，希望只是工艺问题不是裂纹不然随时会 “beng！！” 买过一个大毫升的，好几年了，非常好用，就是太沉了，根本不好随身携带，这次来买个小的用用。不要装开水，分分钟烫死，外面的硅胶防滑效果多于防烫，全是窟窿眼，镂空加装热水漏水，要么桌面使用，要么温水（凉水）随身放包里^_^,这杯子有售后吗？万一有质量问题找谁？</t>
  </si>
  <si>
    <t>用了刚刚半年就不能读出来了， 反应慢，很多时候识别不了，不能退换货，请问要如何处理？？？  已下订单 2016年6月12日到2017年1月8号就不能用了</t>
  </si>
  <si>
    <t>加绒+大开口低领，奇葩吧？ 设计有大问题，加绒的面料，居然是大开口低领，穿了一天，脖子里面呼啦呼啦的灌冷风，奉劝大家别买！！！</t>
  </si>
  <si>
    <t>商品造假，不建议买 不要买，商品标的不对，SDXCII标准接口是有两排金属接触片(详细看我发的第三张白色背景从某东电商平台截图)，而我拿到手的只有一排金属片，这个是SDXCI标准即最高只有95MB/S,所以正面上的贴纸是SDXCII 150MB/S是假的，接口都不是SDXCII何来的高速？这靠假太明显了，亚马逊在坑谁呢？我准备维权！今天带相机去外面拍，刚拍2秒内可以看，再看之前拍的，照片无法回放，电脑也无法识别卡里照片</t>
  </si>
  <si>
    <t>收到的皮带有瑕疵 皮带的金属扣掉漆严重，见图 皮看起来挺结实的 买的32码，宽度38mm，长度102cm</t>
  </si>
  <si>
    <t>不错 还不错，一直用这个碗，蛮好用的。</t>
  </si>
  <si>
    <t>与预期相符 价格实惠，做工当然也相应的“实惠”了一些，但还是对得起价格的，衣服挺厚的，之前不是特别薄。和预期几乎一致，关于尺寸，美码LARGE 相当于亚洲的XL</t>
  </si>
  <si>
    <t>可爱 宝宝喝的时候得看着，有时候吸管朝上就会喝不到水，不过瑕不掩瑜，很可爱也很全面。</t>
  </si>
  <si>
    <t>尺寸正常，修身，面料柔顺，很不错，打底吧，穿在外面差点意思 尺寸正常，修身，面料柔顺，很不错，打底吧，穿在外面差点意思</t>
  </si>
  <si>
    <t>满意 很喜欢。原本担心尺码会大，但是实际试穿觉得很合脚。鬼冢虎穿6.5，这款也是6.5，皮鞋穿36。价格也很合算，近半个月的等待很值得。</t>
  </si>
  <si>
    <t>不错 东西挺好看的，略大不过穿着很舒服，颜色比图片更深一点，不过还好</t>
  </si>
  <si>
    <t>很好 表带稍微有点女性  纹理粗一点  就完美了</t>
  </si>
  <si>
    <t>很好，不愧是母婴好物。 围嘴很好用哦，围嘴底部的硅胶兜兜很软，宝宝用着很舒服。围嘴很好用哦，围嘴底部的硅胶兜兜很软，宝宝用着很舒服。围嘴很好用哦，围嘴底部的硅胶兜兜很软，宝宝用着很舒服。围嘴很好用哦，围嘴底部的硅胶兜兜很软，宝宝用着很舒服。围嘴很好用哦，围嘴底部的硅胶兜兜很软，宝宝用着很舒服。围嘴很好用哦，围嘴底部的硅胶兜兜很软，宝宝用着很舒服。围嘴很好用哦，围嘴底部的硅胶兜兜很软，宝宝用着很舒服。</t>
  </si>
  <si>
    <t>简单大方 原来买过一个国内的养生壶，功能丰富，烧水也快，但是底座老是有电线烧焦的味道，心里怕怕的，为了身体健康，网上搜索看到这个一体结构的放心了！而且开口大便于清洁，速度挺快，好评！</t>
  </si>
  <si>
    <t>大了一点。 不是很修身。穿上有点飘逸的感觉。</t>
  </si>
  <si>
    <t>水杯 杯子不错孩子非常喜欢</t>
  </si>
  <si>
    <t>好 很轻薄，不是棉的，手感很滑，很舒服</t>
  </si>
  <si>
    <t>性价比高 看到这个产品评分偏低抱一个不平。这款耳机我在美国就买来用了，用到现在估计用了有四五年，除了有一点儿掉黑皮质量没有任何问题；买的时候是作为入门款，但音质是惊喜的，高音低音很平衡，应该是我用过的耳机里使用时间最长的（因为入门了好久也没舍得再入其他的直到两年前）。而且有一个最大的优点，就是这个线，真的扯也不会坏啊。。。唯一的缺点就是线太重太长，不适合出街。</t>
  </si>
  <si>
    <t>森海塞尔耳机很不错 不错，在使用一段时间后发现各方面都很好</t>
  </si>
  <si>
    <t>很不错 效果特别好，价格也不贵，不过在国内有代理商引进了，以后不需要这样买了</t>
  </si>
  <si>
    <t>很快！ 以前有一个usb2.0的盘，做了一下对比。共同使用2.0接口时，无论是电脑复制到u盘还是u盘复制到电脑都有2倍的速度提升。使用3.0接口时，电脑复制到u盘速度提升了3倍，u盘复制到电脑提升了6倍！这款u盘在亚马逊购买算得上是物美价廉。</t>
  </si>
  <si>
    <t>好大一瓶，一直在吃 好大一瓶</t>
  </si>
  <si>
    <t>质量很好 平时穿M，买的S，很合适，抓绒是灰白色</t>
  </si>
  <si>
    <t>袖子略长 身高170体重70，S码刚刚好，只是老美的袖子略长，其他尚可。</t>
  </si>
  <si>
    <t>包装很简单 还可以感觉，应该是正品吧.其实我不太会分辨 包装也很简单 出水还行 标配是墨胆 问了官方客服 国产原装是配吸墨器而不是墨囊的。</t>
  </si>
  <si>
    <t>很满意 大小合适，颜色漂亮。</t>
  </si>
  <si>
    <t>棒 对于我这种不爱啃水果星人，很方便。最爱亚马逊！</t>
  </si>
  <si>
    <t>算下来比在国内买同样的卡要便宜点 算下来比在国内买同样的卡要便宜点。用高速连拍比我原来的一个卡要多拍两张。就是不知道如何恢复删除的数据。过了4个月又退了我33元多人民币到我的银行卡。</t>
  </si>
  <si>
    <t>有用 每天坚持用，刷牙后还能冲出来不少残渣。</t>
  </si>
  <si>
    <t>皮带 皮带很不错，性价比挺好的</t>
  </si>
  <si>
    <t>第一次在亚马逊购物 很怀疑是不是正品，鞋子邮回来包装破损，一只鞋子有鞋垫，一只没有鞋垫，鞋子的胶水痕迹特别重。</t>
  </si>
  <si>
    <t>建议买小2个码 薄款，挺舒服的感觉。就是太大了，送给比我大两个号的姑娘了。</t>
  </si>
  <si>
    <t>便宜，有瑕疵，但很舒服 这双鞋貌似是等外品，右脚鞋面明显偏了，看在比专卖店便宜得多的份上，就不退了。不过话说回来，穿起来真的很舒服。</t>
  </si>
  <si>
    <t>太大 太大了，180身高，185斤大码太大，中码即可，看了别人的评论，一口气买了二件都大了。</t>
  </si>
  <si>
    <t>税单 电池不行 产品不错，只有一个刷头，预交税无法提供税单，一直无法解决！ 充满电第二天使用就会提示灯闪了</t>
  </si>
  <si>
    <t>黑色掉色严重 一般不评论，但这次购物体验实在太差！T恤有点大可以理解，但是掉色严重就不能容忍，特别这件黑色的，洗了几盆水还是黑的，而且水里面有特别多黑色的线渣渣，洗了七八遍都洗不干净～</t>
  </si>
  <si>
    <t>划痕 有个严重的划痕，像二手的</t>
  </si>
  <si>
    <t>穿着舒服 棉的面料，不会产生静电</t>
  </si>
  <si>
    <t>价格高 价格偏高</t>
  </si>
  <si>
    <t>商品评价 我身高178cm，体重87kg，腰围2尺7，穿着正好。 但是颜色和图片上的不符，不是棕色，实际有点像绿色。 裤子是孟加拉国产的，98%棉，2%氨纶。打开包装后，有一股怪味。 洗了一水，掉色。</t>
  </si>
  <si>
    <t>做工好， 做工好，还没舍得用，应该不错，</t>
  </si>
  <si>
    <t>大了一码 大了一码。S码的腰围应该是78－80，长度了30。</t>
  </si>
  <si>
    <t>很好很强大 很好很喜欢，不知道能用得住不，笔尖软，时间长了，变形了</t>
  </si>
  <si>
    <t>很合适 很合适长短大小恰到好处</t>
  </si>
  <si>
    <t>挺好用 非常好用，刷的很干净</t>
  </si>
  <si>
    <t>物美价廉 喜欢这款产品的外观，比较适合出街佩戴。音质是真的不错，隔音效果也很赞。不错！</t>
  </si>
  <si>
    <t>漂亮！ 漂亮的大豆腐，不愧是派克的旗舰钢笔！</t>
  </si>
  <si>
    <t>质优价廉 是真皮，但皮不是很厚那种，比裤子大3个码就非常合适了。</t>
  </si>
  <si>
    <t>nice 非常合身，尺寸完美</t>
  </si>
  <si>
    <t>鞋子有点大 还是薄底的好看 预想的大了</t>
  </si>
  <si>
    <t>Biore 碧柔 泡沫印章 洗手液 挤出的皂液很漂亮，清洁效果不错不伤手。</t>
  </si>
  <si>
    <t>笔尖有点粗 笔尖有点粗，适合做签字笔 书写很顺滑，写得很舒服</t>
  </si>
  <si>
    <t>抗震效果好，有点偏小 抗震效果没得说，就是看评论买小了，也是没谁了……之前那个买大了，简直跪了，万幸还在减肥，能扣上，过段时间应该就正好了，然后样子很美貌，挺喜欢</t>
  </si>
  <si>
    <t>很好 内里是薄抓绒，袖子是薄棉的  初冬可以，170  68公斤有点肚腩，买的s，正好。</t>
  </si>
  <si>
    <t>性价比极高 一个刀架加上10个刀头，加上税刚刚200出头，这个价钱在国内只能买4个刀头。亚马逊海外购还是划算的。只是可惜黑五没有优惠，不过已经足够便宜了。</t>
  </si>
  <si>
    <t>物超所值 物流快，尺码合适，鞋子崭新，非常满意，关键是价格合适，物超所值。推荐！</t>
  </si>
  <si>
    <t>声音hen bu cuo w 声音越来越好，刚拿到手感觉声音一般，听了一个多月后发现声音越来越好，很喜欢，戴着也舒服</t>
  </si>
  <si>
    <t>赞👍 物美价廉，舒适秀气，爱不释足。不到1000元买的，加税1100元。按平时号码买即可。</t>
  </si>
  <si>
    <t>要潮点 喜欢就是大了点</t>
  </si>
  <si>
    <t>卡西欧EF106D-2A 1、外观比较好看，实物比照片还好看点； 2、石英表，走时就不必说，肯定是比较精确的，一个月快10秒。 3、缺点是表带比较硬。 总的来说，非常满意！</t>
  </si>
  <si>
    <t>值得买 腰围稍微大了一点，但是质量和价格没的说</t>
  </si>
  <si>
    <t>柔软舒适 不是很厚，里面薄薄一层，舒适柔软</t>
  </si>
  <si>
    <t>真是超值 好极了 四天就到 国内发的顺丰！好超值哦 下次再买</t>
  </si>
  <si>
    <t>质量堪忧的体恤衫 无色差，材质舒适，但质量堪忧，因为价格实惠，为了免运费凑了四件，其中有两件线缝开裂，美国人检查不仔细，真是令人不悦。</t>
  </si>
  <si>
    <t>会掉毛 黑色的会掉毛，没想象中的好。</t>
  </si>
  <si>
    <t>还算可以的音箱 底噪还算小，并没有别人说的那么大，我是单独插的一个插座。 可以明显感觉比小几百的音箱强很多，但是听流行乐真的不怎么样。</t>
  </si>
  <si>
    <t>不是很明白德国寄过来什么包装都没有 机器收到没有外包装 就原来的盒子 没有外面套运输箱子 破的很难看 索性机器没坏 就算了 实在很不稳的样子 有试用胶囊？？？我是没见到</t>
  </si>
  <si>
    <t>光动能手表 手表拿着很轻，看着跟儿童手表一样，真是便宜没好货呀！买的是兰表盘可是收到确是黑表盘，跟图片上的不一样，</t>
  </si>
  <si>
    <t>千万不要买 千万不要买，说起来都是泪啊，用了一两个月就坏了，国内不给保修，自己去找维修的说修不了，电路板都用胶密封了，没法维修。坑死了。</t>
  </si>
  <si>
    <t>一般 一般，172，65kg，s码衣服略紧</t>
  </si>
  <si>
    <t>不错 质量没话说很好，尤其是鞋底挺好的。但是鞋型的话不是很秀气，稍微man了一点。适合帅气的女生</t>
  </si>
  <si>
    <t>质量一般吧 适合春秋穿，布料不错，做工马马虎虎，毕竟就这么多钱。</t>
  </si>
  <si>
    <t>容易掉色 款式喜欢，34的尺码正好，做工也不错，只是系段时间后腰围上有圈淡淡的痕迹。</t>
  </si>
  <si>
    <t>料子挺厚实，做工一般 美版通病，做工很急人，这个价随便穿穿</t>
  </si>
  <si>
    <t>和国内包装不同 感觉挺好，盖子完全没味道。</t>
  </si>
  <si>
    <t>买大半码 跑步不太适合，跑了10公里感觉鞋子偏硬，走路还可以，总之不错，要买大半码的鞋子</t>
  </si>
  <si>
    <t>笔尖铱粒图 颜色是喜欢的颜色，但是明艳的蓝没有想象的多。另外EF尖比较挂纸，估计至少要写一星期钢笔字才能磨合好啊！</t>
  </si>
  <si>
    <t>尺码 质量灰常好，本人178/62，M码略宽松，感觉很好，供大家参考哈。</t>
  </si>
  <si>
    <t>脚250 按照脚长买没错</t>
  </si>
  <si>
    <t>透气，合身。 很不错。穿着舒服，活动无束缚。</t>
  </si>
  <si>
    <t>好 八分打底衫，先买了白色，再补一件黑色。</t>
  </si>
  <si>
    <t>好 买短了东西挺好的就是弄错尺码短了点</t>
  </si>
  <si>
    <t>不错 这个不错 不同阶段都可以用 又给朋友买了两套</t>
  </si>
  <si>
    <t>很喜欢 穿着舒适，很合身</t>
  </si>
  <si>
    <t>正品 质量好</t>
  </si>
  <si>
    <t>好 很好</t>
  </si>
  <si>
    <t>值得推荐 儿子一直吃这个益生菌，好</t>
  </si>
  <si>
    <t>不错哦 超级好，便宜又好用。</t>
  </si>
  <si>
    <t>很好 吃青菜都是用这个 很好</t>
  </si>
  <si>
    <t>尺码合适，穿着舒适 ECCO的尺码很一致，一直选择42码（8.5），很合脚，穿着舒适，性价比也不错。就是感觉最近几年ECCO鞋的质量有所下降，主要是鞋底质量下降，往往鞋帮子还是完好的，鞋底就脱落和开裂，不知这双怎么样？</t>
  </si>
  <si>
    <t>很好很好 日本制造。舒适。170CM，72KG这个号刚刚好，合身。保暖感觉也还可以，穿上确实热乎一些。推荐！</t>
  </si>
  <si>
    <t>正品 海淘原产地出货，孩子的电动牙刷替换用，没毛病，正品，比国内便宜些。</t>
  </si>
  <si>
    <t>111 三天直邮就到手，太快了，硬盘很漂亮，就是内置硬盘缩水严重，放电脑里面传输速度也就在130m上下，上网查了一下这块盘不太好，总之一分价钱一分货，还不错了</t>
  </si>
  <si>
    <t>方便 之前的净水器是在德亚上买的，转运回来的。现在滤芯可以直邮了，非常方便，希望一直都有。</t>
  </si>
  <si>
    <t>很好 鞋子很漂亮，平时穿41的，买的美国尺码8,刚好。价格很有竞争力。</t>
  </si>
  <si>
    <t>购买招牌鞋子大失败 忘记是越南还是印尼产的了，皮面和照片相差很大，因为容易沾灰尘，收到鞋子时，鞋子显得非常旧，颜色是灰黑的。 尺码比普通的鞋子大很多，我穿27的运动鞋刚好的脚，在这个鞋子上选CN26.5还大出一个手指的距离。 鞋子的头实际很短，从上往下看难看的飞起。 不过这个鞋子挺耐穿的，皮很薄，但是质量不错。两侧有洞，透风。</t>
  </si>
  <si>
    <t>一般般 价格还算可以，一百来块钱，还送一个钥匙扣。 面料感觉是pu，肯定不是真皮。做工马马虎虎，不算差，但也绝对对不起CK品牌形象。 尺寸必须要说说，因为是美版，打开后细长的，放100块纸币勉勉强强，实测不宜超过15张。</t>
  </si>
  <si>
    <t>无 读取速度并没有传说中的那么快</t>
  </si>
  <si>
    <t>非常差 好垃圾 什么软件 真的是 裤子包装很才就算了裤子一拿来才穿一下就破了 太次等了</t>
  </si>
  <si>
    <t>差评 盖子异味严重，而且与我之前买的那个不一样，差评！</t>
  </si>
  <si>
    <t>耳机线很脆，记得多买一根备用 当初特价买的，现在降价了比当时还便宜，特来回忆一下。音质还是可以的，随便听听；抗噪声能力自然比不上主动降噪的。戴久了也不疼，舒适度不错。就是耳机线最好多买一根。如果想带着运动的话可以买蓝牙版。</t>
  </si>
  <si>
    <t>质量和布质还好，偏小了一点！ 质量和布质还好，偏小了一点！</t>
  </si>
  <si>
    <t>过大 鞋很好看，稍微有点大</t>
  </si>
  <si>
    <t>没有超出预期 选的L31 30对于170CM、75KG的我来说很合身，确实不是国内所说的修身款，但还算修身！做工很一般，到手250左右的裤子，其实性价比不是很高，没有惊喜也没有太大的失望！不太建议海淘！</t>
  </si>
  <si>
    <t>性价比可以哦 裤子很厚实，不是修身款的，是直筒的裤子，质量还不错。适合中年男人，和产品介绍的图片有出入，没有那么好的裤型</t>
  </si>
  <si>
    <t>超喜欢的包包 做工质量很棒，暂时没有撞包的可能哦！夏天搭配T恤短裤炒鸡好看舒服，棒棒的</t>
  </si>
  <si>
    <t>尺码合适，就是码不全。喜欢的颜色没有码 按照平时穿的码买挺合适的，之前看评论也是纠结了很久。</t>
  </si>
  <si>
    <t>给更多的消费者一点建议 质量很好👍🏼正品，我一直穿这个牌子的运动，希望有更多的款式！</t>
  </si>
  <si>
    <t>橙汁神器 这个机器超方便实用。橙子不用去皮，不用费力，快速不浪费，清洗方便。每天给儿子榨一杯满满都是爱的橙汁，满足。</t>
  </si>
  <si>
    <t>保暖裤 喜欢，超级舒服，所以又回购了</t>
  </si>
  <si>
    <t>大品牌放心 是软头的，喂饭很方便。就是孩子长牙很爱咬，已经咬坏一个了。</t>
  </si>
  <si>
    <t>好东西，值得购买 东西不错，速度也快，值得信赖！</t>
  </si>
  <si>
    <t>不错的毛衫 做工不错，180CM，74公斤买的M号，比较合适。唯一不是太满意的是稍微有些薄。</t>
  </si>
  <si>
    <t>好 一周就到货，比普通电熨斗好用多了，熨衣快切平整，保护功能完善。遗憾的是没有中文说明书，网上也找不到。</t>
  </si>
  <si>
    <t>满意 声音挺出色。需要好的音源和线材，这个价位不错了</t>
  </si>
  <si>
    <t>不错 质量还可以。</t>
  </si>
  <si>
    <t>一款非常好的保温水杯 该系到水杯都很好，超轻、保温好，锁扣使用方便，又不影响喝水口。</t>
  </si>
  <si>
    <t>好 不错，大小差不多！！</t>
  </si>
  <si>
    <t>和成人版比质量肯定差一些的，穿个样子，毕竟便宜 英亚越南产，11天到，我是35.5的脚，平时穿36鞋，脚属于中等肥瘦，脚背中等高，看完评论怕买小了，毕竟换货来回运费就很贵，就保险点入手了大童4.5M，回来后试了下发现这个码依旧大（长+宽），还好本来也是想垫内增高的，再加上东北冬天的厚鞋垫，依旧不挤脚。虽然买大了码，整体也并没有看着很大很肥，毕竟版型还不错的。</t>
  </si>
  <si>
    <t>添柏岚 非常不错，运动鞋平时穿37-38的，拍的6.5W的，很合适。</t>
  </si>
  <si>
    <t>面料好，款式经典 非常舒服的面料，柔软但又很有型，就是我买的有点略大了…简直一般身材的mm就选小号好啦</t>
  </si>
  <si>
    <t>好商品！ 一直在服用，效果好极了！</t>
  </si>
  <si>
    <t>建议亚马逊 尺寸合适，但是建议亚马逊能把尺寸做的更加详细一些，比方说肩宽，胸围，底围，袖长，毕竟是海外购，退换货都不方便，越详细越能帮助购买者买到合适的东西</t>
  </si>
  <si>
    <t>男士经典直筒牛仔裤 仔裤很不错！跟预想得还好，号码经销售顾问提供非常合适。海外购物时间会长点儿，很值得期待。还会买。</t>
  </si>
  <si>
    <t>喜欢 活动抢的，牙刷真的很好用，种草，就是太贵了，不然真的应该家里人手一支。</t>
  </si>
  <si>
    <t>性价比高 做工整体不错，细节上拉链扣是白色不锈钢和图片不符，袖子属于窄袖。做为初冬外套，我向大家推荐此款。</t>
  </si>
  <si>
    <t>同预想中一样，不错哦。 同国内的裤子比，性价比较高。</t>
  </si>
  <si>
    <t>剪裁不舒服，无法全面包裹屁屁 剪裁不舒服，无法全面包裹屁屁</t>
  </si>
  <si>
    <t>包装烂了 第一次收到拿塑料袋子装奶瓶，被挤成什么样，还好奶瓶没烂</t>
  </si>
  <si>
    <t>压坏了 美亚太不行了，最近买东西连个箱子都没有，用个袋子装着，寄过来都压坏了，压的扁扁的，日亚每次都包得非常好！</t>
  </si>
  <si>
    <t>实际使用次数不超过20次，然后就坏掉了？ 突然就不识别，还不能修复，监测出来这些，我都怀疑这是假的。   设备描述: [H:]USB 大容量存储设备(SMI USB MEMORY BAR)  设备类型: 大容量存储设备   协议版本: USB 2.10 &amp;lt;- 提醒：该设备支持USB3.0规范，将其连接到USB3.0接口可提高其性能  当前速度: 高速(HighSpeed)  电力消耗: 500mA   USB设备ID: VID = 090C PID = 3267  设备供应商: Silicon Motion,Inc.  设备名称: SM3267AB MEMORY BAR 设备修订版: 0100  产品制造商: SMI  产品型号: USB MEMORY BAR 产品修订版: 1000   主控厂商: SMI(慧荣)  主控型号: SM3267AES - ISP NONE 闪存识别码: A4A4A4A4 - 1CE/单通道 [MLC]  可能的闪存型号 ------------------ Unknown(未知)  闪存识别码映射表 ------------------ [通道 0] [通道 1] A4A4A4A4 -------- -------- -------- -------- -------- -------- -------- -------- -------- -------- -------- -------- -------- -------- --------</t>
  </si>
  <si>
    <t>很垃圾 超级难用啊啊啊！！根本不是原装的！！！这个牙刷头磨牙龈啊啊啊</t>
  </si>
  <si>
    <t>性价比比较高 读写速度比较慢，但性价比比较高。</t>
  </si>
  <si>
    <t>耳机3⭐，客服5⭐ 从下单到确认全额退款，历时整整一个月，期间各种的等待、焦虑、惊喜、失望...不过亚马逊的售后服务确实没得挑剔，名不虚传，除了时间有点久，但这也是海外购和特殊商品的原因，不是拖延造成的。耳机本身音质很好，当然是在有线连接音频的情况下，蓝牙无线连接是始终有很明显的电流声，基本无法欣赏乐曲本身，这是硬伤，作为无线耳机，这是不可原谅的缺陷，否则买为什么要买无线款呢？佩戴舒适度方面，只能说还好吧，耳罩有点小了，需要另购大号的耳罩替换，重量稍微沉了一点，因为是试机，没有长时间佩戴，只能体会到此。材质方面，据美亚评论，头戴横梁部分的蒙皮不够耐用，容易刮花，外形的确不错，有型，也避免了大部分耳罩式耳机的塑料感。耳机本身给三星吧，就是因为蓝牙连接的干扰杂音。五星是给亚马逊客服的。</t>
  </si>
  <si>
    <t>尺码 183cm 78kg L 合适 紧身 领子的设计有点特别，穿着合适，贴身。</t>
  </si>
  <si>
    <t>不错~ 还不错啊,用这个价钱就不能期待它十全十美,所以虽然长得非常单薄,可是性能感觉还是不错的,还有盒子和说明书.我觉得是物超所值吧,弟弟很喜欢,我也高兴!</t>
  </si>
  <si>
    <t>尺寸比国内的大半号 面料是薄的那种</t>
  </si>
  <si>
    <t>喜欢 很喜欢</t>
  </si>
  <si>
    <t>大小合适 175 67kg 穿S码合适。不大不小，长短也刚好</t>
  </si>
  <si>
    <t>根据大家的意见买的刚好 我186cm，85kg，M码刚刚好。非常感谢大家评论给的信息</t>
  </si>
  <si>
    <t>不错 日常补钙吃的，打折时买的，价格很划算</t>
  </si>
  <si>
    <t>尺码 一只合适，一只穿好几天了还是痛脚，脚大小还是鞋大小？</t>
  </si>
  <si>
    <t>很舒服。 平时36.5，瘦脚，鞋子略长了一点。网上攻略说，欧美人的M型其实比较瘦，确实是。买C/D比较合适。 重，但是很好走路。黑色不耐脏。</t>
  </si>
  <si>
    <t>要细心 包装盒瘪了，应该耳机不受大影响，应该装填充物</t>
  </si>
  <si>
    <t>保温效果好，保温时间长 保温效果非常好，前一天晚上，把麦片红枣与刚烧开的开水倒入杯中，第二天早上有红枣麦片粥吃了，还很烫嘴。有早餐自己冲麦片的朋友，建议入一个。至于其他的所谓闷烧杯食谱，没有试过，不做评价。另，早餐吃完麦片，洗干净可以用来冲咖啡，一物两用，物超所值</t>
  </si>
  <si>
    <t>不错 非常好看，而且质感很不错，170，125斤，选择S号的还行，稍紧。</t>
  </si>
  <si>
    <t>真的很棒 超级舒服，完全无感。不勒。</t>
  </si>
  <si>
    <t>很舒服很好很舒服 很好很满意很舒服很好很舒服</t>
  </si>
  <si>
    <t>好 声音很好很好很好</t>
  </si>
  <si>
    <t>493真的香！！ 颜值无敌。。 我是藤原拓海。。</t>
  </si>
  <si>
    <t>不错非常好，是正品 是正品，而且很优惠，和我的刷柄很匹配，刷毛很好，刷牙的时候也很舒服。还有装上刷头震动也很棒！每个刷头都有独立包装哦，很卫生，很好！</t>
  </si>
  <si>
    <t>超轻 好吧，颜色和重量都可以，就是需要注意清洗内壁需要软一点的刷子，不然破坏保温性能。</t>
  </si>
  <si>
    <t>一双8分的鞋 990v4元祖灰并没有传言中那么惊艳，它朴实无华，它舒服耐穿，它低调隐忍，它百搭而永不失潮流，与我而言，是十分合适的。</t>
  </si>
  <si>
    <t>质量好 合身，白色不透，打底外穿都可以</t>
  </si>
  <si>
    <t>质量好 中国产品</t>
  </si>
  <si>
    <t>满意 在L与M间纠结了很久，最后入了L。内胆合身，拿掉内胆的话，外套偏大。功用有待检验，相信品牌的力量。</t>
  </si>
  <si>
    <t>非常好 是正品，给妈妈买的，吃了效果非常好，已经第三次购买了，还会回购</t>
  </si>
  <si>
    <t>鞋子不错 非常好，丫头非常喜欢，帮同事买第二双了</t>
  </si>
  <si>
    <t>硬盘很美 漂亮的硬盘，就是太贵。某网评说质量后期堪忧。建议购买的人买回来第一时间备份硬盘里的两个自带软件，否则使用后就直接不见了。</t>
  </si>
  <si>
    <t>一般 买了一直没拆，后来穿上发现残次品，腿上有一块一块的白圈，太难看了！</t>
  </si>
  <si>
    <t>到底按什么标准的尺码 尺码过于宽松。</t>
  </si>
  <si>
    <t>价格便宜 衣服出现一点污渍无法去掉，无奈就留下吧</t>
  </si>
  <si>
    <t>精工 SEIKO SNK621K1 货3天就到了，速度还算可以，就是快递员的服务态度不太好，强烈建议卓越换送货的合作方！！！ 手表本身还不错，大体还是好的，有两个细节不知道算不算问题：1，秒针的尾部有个很小的斑点，不知道是个本身就有的记号还是灰尘；2，校对时间的时候，表把拉到第二格秒针还在走，说明书上写的好像是能停下来的意思？！。 再者就是到指定的维修站紧表带，收了10元，说是网上买的不能免费，郁闷！ 先带着，走的准不准一个月后就评论。</t>
  </si>
  <si>
    <t>很失望的一次购物 特别不满意的一次购物，收到以后水牙线就不出水，联系了客服说不能上门取件，让我自行邮寄到美国，由亚马逊来报销国际运费。找ems寄出去了，结果在海关说安检不合格被退回来了。联系亚马逊又说可以上门收货了，把东西给易客满的代收快递以后，亚马逊给退了款。但是ems只退了部分邮费，收了49元的报关费和包装费，我联系亚马逊客服想让他们把这部分费用补偿给我，毕竟这件事的源头是因为商品质量有问题，其次是第一个客服告诉我不能上门收货让我自行邮寄才产生的费用。客服说这个不能退，我让她请示领导，四五天过去了，连个回音都没了。姐在乎的不是这49块钱邮费，是你们亚马逊对客户的态度，prime会员除了优惠点运费，真没看出在服务上有什么区别。</t>
  </si>
  <si>
    <t>产品质量差，售后服务找不到，互相踢皮球，亚马逊对比京东差太多了 产品到了后不到一个月出现硬盘识别问题，群晖技术支持不承认是机器问题，怀疑是硬盘问题，再下单买了两块硬盘，最后群晖技术承认是产品质量问题，让找亚马逊进行质保，亚马逊说已过退货期，让找群晖。来回踢皮球，以后还是去京东买吧。</t>
  </si>
  <si>
    <t>码数混乱，退货运费高昂 不敢相信，两件S 的，黄色居然比蓝色大一码，包装都拆毁了，退货运费要125比我买衣服还贵，算了</t>
  </si>
  <si>
    <t>还没用，一般般吧 还没用，看上去质量过得去</t>
  </si>
  <si>
    <t>品牌 其实是因为这个品牌的广告才有购买的冲动的，也觉得在网站一直推荐的总是不错的，但就使用的情况来看并未有预期的那么好的效果，也许是本人的期望过高造成的，毕竟在价格优势的前提下是很难做到质量极佳的，用用还是可以的！</t>
  </si>
  <si>
    <t>Lee牛仔 162cm，65kg，m码穿一件秋衣扣扣子稍微有些绷，袖子比国内长一些，不厚，显廋。</t>
  </si>
  <si>
    <t>wmf 东西是真不错，但个头是真的小。</t>
  </si>
  <si>
    <t>还行吧 欧版要略肥一些，其他都可以，不是纯棉的</t>
  </si>
  <si>
    <t>超乎意料的满意 第一次购物体验，被真诚服务惊到了，很看重我的要求。</t>
  </si>
  <si>
    <t>宽松了点，后背的蕾丝穿起来很舒服，没杯没型 还得自己里面加个杯垫撑起来，比其他款偏宽松，大一码</t>
  </si>
  <si>
    <t>大了 手感很软，但是号码比国内大一码。我国内外套穿xl，买的xk大了，给我妈了。我应该买l的</t>
  </si>
  <si>
    <t>哼好用 给孩子的，好用，神奇，颜值高！</t>
  </si>
  <si>
    <t>五星 鞋子收到了，海军蓝的穿上很漂亮，码数跟平时穿的一样，快递也很给力不到一周的时间就收到了。</t>
  </si>
  <si>
    <t>衣服是好衣服 挺不错的蛮合身的（本人1.8m订的是中码刚刚好） 舒适度不错 足够贴身</t>
  </si>
  <si>
    <t>怎么还没有补货啊！！！ 这么好的东西。这么物美价廉的。怎么不能直邮了啊！！！难道又要去美亚转运吗?真悲剧。</t>
  </si>
  <si>
    <t>非常好 非常好的，连续服用两瓶，的确有效果，晨勃更明显，白天精力充沛。有些人说没用，我估计服用时间没得两瓶，没得天天连续服用吧！这口感应该是，糊化的玛卡。</t>
  </si>
  <si>
    <t>内衣 174cm，69kg，穿上肩膀有点小，其他都可以</t>
  </si>
  <si>
    <t>特别好 真心推荐买这款运动裤，舒适亲肤。很棒！</t>
  </si>
  <si>
    <t>稍微有点偏长 稍微有点偏长，质地挺好！</t>
  </si>
  <si>
    <t>看着还不错 全棉的，还不错，身高185体重185斤穿XL的合适。</t>
  </si>
  <si>
    <t>还行 皮质稍微硬了一点</t>
  </si>
  <si>
    <t>不错 价格有优势</t>
  </si>
  <si>
    <t>合适。 175/67.5，S码合适。</t>
  </si>
  <si>
    <t>很暖和 我的床是1.8*2M 的，配的是2.2*2.4的床罩，大小还算合适。如果追求下垂的效果，恐怕还要大一号。身处华北，还没给暖气，所以很暖和，不知道以后会不会热。没发现钻毛的问题。不像国内的羽绒被有固定的孔，不过这么大的被子，应该也不会移位。</t>
  </si>
  <si>
    <t>非常好 码数正常 皮质很好 很轻 走路很稳感觉不到是高跟鞋 大脚板的福音</t>
  </si>
  <si>
    <t>不错 包不错，容量大，适合2天左右出差使用，平时踢个球也没问题</t>
  </si>
  <si>
    <t>很舒服，值得购买 很舒服，值得购买</t>
  </si>
  <si>
    <t>满意！ 容积大小合适，睡前焖烧银耳汤，翌日带去上班午饭喝，棒棒哒！</t>
  </si>
  <si>
    <t>173cm，65kg，s码比较合适，长度足够。 173cm，65kg，s码比较合适，长度足够。</t>
  </si>
  <si>
    <t>不值得推荐 出于对之前买过的郡是的一款无钢圈文胸的好感，又买了这件，但远不如之前那款好。首先肩带不能调节，我个子高肩带显得偏短老是跑上去；其次外侧的面料穿几次以后会起球；最后胸型也几乎没有，因为不分罩杯，几乎是扁平的：（</t>
  </si>
  <si>
    <t>磨损 一边的皮面磨损</t>
  </si>
  <si>
    <t>颜值很高，但品控有待提高。 做工不错，但最终还是退了，因为笔握那个金属桶居然是松动的，要上墨拧开笔杆时发现的。感觉是不是前面的颚环没有上紧的缘故，但自己没有工具调整它。</t>
  </si>
  <si>
    <t>过大 漂亮，但过大，这里m码相当于亚洲xl码，只能当oversize穿</t>
  </si>
  <si>
    <t>质量不好 给母亲买的，涂层已经脱落了。</t>
  </si>
  <si>
    <t>不值得 晚上取回家后只试了长短，感觉刚刚合适就把标签扯了，第二天早上穿的时候才发现一只的鞋面是这样的，就像旧鞋子，很后悔，但要影响二次销售，只有认了！其他人可能要注意一下才行。</t>
  </si>
  <si>
    <t>比较硬 比较硬</t>
  </si>
  <si>
    <t>很好 货收到了，物有所值。继续支持亚马逊</t>
  </si>
  <si>
    <t>比国内大两码，你可注意了 真真大两码，用料、做工、颜色，都可以，就是袖子上的LOGO穿没几次就脱落了，好像是后加上去的不牢固，海外购衣服大了换就不可能了运费吓死你，对付穿吧，记住别想着像国内某宝随便退换，这个你换不起！</t>
  </si>
  <si>
    <t>薄 没有认真看，很薄的款式，我只看到价钱好便宜，呵呵</t>
  </si>
  <si>
    <t>国际大牌质量可靠，速度3天到达满意 国际大牌质量可靠，写入拷贝速度平均100M-130M/s， 发货速度5天到达，非常满意 就是关税交了87rmb</t>
  </si>
  <si>
    <t>号码合适 我特别喜欢 上海的专柜7月开始就没号了 试了其他颜色的39 还是想要黑色就来这了  稍微有点压脚背 商场也是酱紫的</t>
  </si>
  <si>
    <t>耳机还行 耳机怎么说呢，还不错，但是现在很多这个价位的耳机都是金属质感的了，这个看起来有点廉价了。耳机煲了一天多吧。有点白开水的感觉，能感觉到比较通透。但是对比我以前的天龙又感觉没那么亮，听王菲影子分离度明显不够，高频明显的偏后，女声虽说靠前，但也同样不亮，听电吉他版的加州旅馆明显的不如天龙的。低频和我的k450对比又不如他那么强，没有震感。当然现在明显感觉低频比一开始好多了。我是个木耳，随便瞎写写。当然我那两个耳机听了五年多了，但愿这个耳机煲开后会好。不过塞在耳朵里不难受这个要赞一下。</t>
  </si>
  <si>
    <t>感觉东西很好值得买 包装简单，但东西很好，价格实惠。</t>
  </si>
  <si>
    <t>不错不错差点买第二双了 360黄色到手简直是惊讶，但没6年前我买的snake好了，鞋舌厚了点造成夹脚！其他还好。我老是搞不懂，罗马帝国都是这样狭长脚背低的脚形这么打仗呢。。。颜色不是很好，正面处理要看下雨天的情况了</t>
  </si>
  <si>
    <t>完全可拆解清洗的闷烧杯 这个闷烧杯的保温效果很强，早上装的饭，中午的时候感觉和刚煮出来的差不多。这个闷烧杯可以完全拆解清洗，解决了我以前一直很纠结的痛点，这样即使装一些比较油腻的食物，也不用担心清洁问题了。</t>
  </si>
  <si>
    <t>非常舒服，值得入手 鞋子很漂亮，尺码也标准，一直穿36的鞋子，入手穿后发现非常合适。价钱比在国内的一些折扣店里便宜的多，发货的时间也还算快。</t>
  </si>
  <si>
    <t>满意！ 非入耳式佩戴舒适，没有听诊器效应，也能听到小部分外界声音，更安全。 音质不错，这个价格无法挑剔了。 配送很快，周一下单，周六送到。</t>
  </si>
  <si>
    <t>真正的钢笔 全都是不锈钢的。 F的很流畅，略粗。 EF的以前很喜欢，现在觉得没必要，划纸。</t>
  </si>
  <si>
    <t>非常舒服 非常舒服，尺码合适</t>
  </si>
  <si>
    <t>内里羊毛暖和 试穿鞋码正合适，平时国内专柜穿37码，内里是羊毛很暖和，等冬天来！</t>
  </si>
  <si>
    <t>100周年纪念款加厚加绒 限量款果然对得起观众，这个质量加厚加绒的。渐变蓝色，老公不属于白皮但是超抬肤色的。就是美版尺码还是比亚洲版大1-2个尺码。</t>
  </si>
  <si>
    <t>适合瘦型脚 做工，样式都很好。鞋子适合瘦型脚，尺码很准。第一张图是我一双哥伦比亚的鞋的号码41.5，这个鞋我要了41的正合适。快递极快，两三天从英国到了北京。</t>
  </si>
  <si>
    <t>非常合适。价格太好了 比专柜便宜一半以上。品相也很好，发货超快。本来还想买一双结果就没啦。平时38码，37.5clarks可穿。但是38更舒服。</t>
  </si>
  <si>
    <t>L 质量非常好，舒服</t>
  </si>
  <si>
    <t>赞 这衣服尺码标准，上身舒适。</t>
  </si>
  <si>
    <t>不错 这个材料确实不错 我觉得还可以</t>
  </si>
  <si>
    <t>大小合适，样子好看 样子好看</t>
  </si>
  <si>
    <t>有点硬 有点硬，布料是帐篷用的帆布料。整体不错，个人还是喜欢。172cm，74kg,  33w/29l刚好。</t>
  </si>
  <si>
    <t>会回购 比其他弹力袜舒服多了。只要颜色好，可以无限回购</t>
  </si>
  <si>
    <t>👌 👍👍👍</t>
  </si>
  <si>
    <t>好棒 特别好，非常适合自己的</t>
  </si>
  <si>
    <t>收腹 会卷边，不是很理想哦</t>
  </si>
  <si>
    <t>有1件存在质量问题 衣服穿着舒服，有型，唯一令人遗憾的是3件中的1件（灰色）有质量问题，海外购只能碰运气啦，退货麻烦</t>
  </si>
  <si>
    <t>不保暖 算是海外购里比较满意的一件，但不保暖，不过也对得起这个价格</t>
  </si>
  <si>
    <t>不靠谱，谨慎购买 定的38码，发过来41码。德国人也不靠谱了。退货一个月了，钱还没退回来。电话催了几次没效果。</t>
  </si>
  <si>
    <t>第一次在亚马逊上购物很是失望 无关于货品 而是快递相当暴力 两盒没做任何保护措施 收到后 盒子全部破损变形</t>
  </si>
  <si>
    <t>我觉得质量还可以 非成人款 尺码偏大。 大家注意一下 这款不是成人款的。 尺码偏大 我净脚长230mm 冬天要穿厚袜子所以买大了 没想到确实真的大挺多 裸脚至少大两指 垫了鞋垫厚袜子 还是稍微有点大但穿着舒适。 保暖性还是可以的 买来500多一点 不同尺码不同价格。</t>
  </si>
  <si>
    <t>质地不错 质地不错，只是有些薄，夏天穿可以，或者春秋打球穿。</t>
  </si>
  <si>
    <t>大 布料还好，做工也可。大了一号，易褶皱。</t>
  </si>
  <si>
    <t>超修身款 s码真的很小，修身款适合170/50-60kg</t>
  </si>
  <si>
    <t>可以 这一款还是值得购买的</t>
  </si>
  <si>
    <t>很满意德亚～ 比平时其他春秋穿的Clarks买大半码，适合冬天的厚袜子。含税免邮550秒拍。感觉赚了一个亿……比上一次德亚来的包装有改善，用了牛皮纸而不是塑料袋，很环保♻️，表扬👍🏻</t>
  </si>
  <si>
    <t>短款 挑身材 袖长合适 衣长偏短 跟模特效果一样 家人看着笑</t>
  </si>
  <si>
    <t>比国内尺码至少大一码 材质一般，80多入手，后面有个刺绣冠军的logo，整体就这么回事吧</t>
  </si>
  <si>
    <t>puma 真材实料，7us是37.5码，刚好穿薄袜子较宽松。</t>
  </si>
  <si>
    <t>合适物超所值 平时穿36.5或37码鞋，这个童款5码合适，物超所值，脚面有些低，胖脚慎选，</t>
  </si>
  <si>
    <t>。 紧身，透气，比秋裤暖和些。</t>
  </si>
  <si>
    <t>没问题 &lt;div id="video-block-R3S982FFJP2IPL" class="a-section a-spacing-small a-spacing-top-mini video-block"&gt;&lt;/div&gt;&lt;input type="hidden" name="" value="https://images-cn.ssl-images-amazon.com/images/I/A1RwU7zVbiS.mp4" class="video-url"&gt;&lt;input type="hidden" name="" value="https://images-cn.ssl-images-amazon.com/images/I/71MclyHk5tS.png" class="video-slate-img-url"&gt;&amp;nbsp;还可以，9M是42码，我的脚肥，不大。刚穿有点点挤脚，耐克阿迪穿43，43的脚建议买9EE，穿厚棉袜应该更好！实物比照片好看。快递太慢，12号下单，29才到。</t>
  </si>
  <si>
    <t>还算合适 w34l32，腰围和国内34基本一致，32长度和国内34的一样，因为微喇，鞋面挂不住，所以显得略长</t>
  </si>
  <si>
    <t>好きです 和我男票买的情侣杯。Made in China 但我在了解之后丝毫不介意。很轻、很保温！怕烫！日亚的包装很安心。满意！</t>
  </si>
  <si>
    <t>非常棒！ 非常非常好，全新的正品。耳机非常方便。蓝牙很好不断，音质低频差了点火候，三频均衡，总体不错.不加头舒适。耳机触屏很灵敏没问题。非常值得够买</t>
  </si>
  <si>
    <t>不错的外接硬盘 小巧，声音很小，下载速度挺快</t>
  </si>
  <si>
    <t>颜色正版型好 老公的裤子基本都是Lee的！典型的大腿小腿都很粗的那种男生！这款裤子很舒服！大腿粗的男生也可以驾驭！性价比很高</t>
  </si>
  <si>
    <t>第一次购买，挺好的不错 点赞一下，第一次购买，下次还会继续</t>
  </si>
  <si>
    <t>Good Good 尝试中 非常好</t>
  </si>
  <si>
    <t>质量好颜值高又很实用 好，以前从不去评价，不知道浪费了多少积分，现在知道积分可以换钱，就要好好评价了，后来我就把这段话复制走了，既能赚积分，还省事，走到哪复制到哪，最重要的是，亚马逊的东西确实不错，推荐给大家。第二次买了。</t>
  </si>
  <si>
    <t>可以 还算精致，84腰围买的85正好。此腰带不可裁剪</t>
  </si>
  <si>
    <t>很合适 身高170，体重150，买的M，很宽松，长度稍微短了一丢丢。到手价580，绝对超值，国内淘宝怎么也要八九百一件。很划算。保暖也很不错。明年有活动再来一件。</t>
  </si>
  <si>
    <t>CK正品 是CK正品，质量很好。修身款不臃肿，没有跑绒现象。此款羽绒服跟国内的码差不多，按平时穿的码选就成。</t>
  </si>
  <si>
    <t>舒服 比较舒服</t>
  </si>
  <si>
    <t>很好 很舒适，无痕，163-115斤，m合适。</t>
  </si>
  <si>
    <t>不错 就这个价格来说 是很不错的</t>
  </si>
  <si>
    <t>Lexar 64GB 给相机买的，不错，容量可以</t>
  </si>
  <si>
    <t>商品无包装保护，外观破损。 开通会员下了2单，买了3件商品，到手都是无包装保护，2件商品外观破损严重，号称伊拉克战损级别，申请了退款，又是要发照片邮箱又是要电话沟通，麻烦，干脆取消会员，以后X东买算了，至少商品做到了有包装保护，拿到手上是完好的。。。</t>
  </si>
  <si>
    <t>小的那个碗吸不住 最小的那个碗根本吸不住，其他感觉一般般</t>
  </si>
  <si>
    <t>表不准 开始还行，用了两月后表不准了，有时一天慢几个小时，让我咋说呢！</t>
  </si>
  <si>
    <t>不建议买 不建议买，太假了。带头原始，带子完全低质量革制。配套不全。</t>
  </si>
  <si>
    <t>还不如山寨 这水准还海外购，还不如国产山寨，给一星都是多的</t>
  </si>
  <si>
    <t>有瑕疵，望重诚信！ 海淘速度一流，21号下单，27号送到家，但是商品是有瑕疵的，而且看出来并不是运输造成的，看来老外也并不诚信！不影响使用就不退换了！</t>
  </si>
  <si>
    <t>硬了点 硬了点，宝宝还是偏爱小月份那种软的漂亮的</t>
  </si>
  <si>
    <t>版型较肥 面料不错，但版型比较肥</t>
  </si>
  <si>
    <t>质量好 质量很棒！物流速度也比预计的早了一周。不过脚踝那里确实太紧了。尺码略偏小，冬天穿厚袜子有点紧。</t>
  </si>
  <si>
    <t>还不错。 有点大了。</t>
  </si>
  <si>
    <t>贴身，舒服 喜欢</t>
  </si>
  <si>
    <t>好看 好穿 实物比图片好看多了 确实偏大半码 穿起来很舒服</t>
  </si>
  <si>
    <t>做工 一次性买了两条，不错不错</t>
  </si>
  <si>
    <t>好！ 比家里那把娃吓哭的破壁机强太多，又好清洗声音又轻，价钱一半都不到。</t>
  </si>
  <si>
    <t>棒棒 很棒。很好。 缺点：重。</t>
  </si>
  <si>
    <t>推荐购买 太棒了！ 无论是舒适感还是外观品质都非常符合我的预期。 现在就准备穿个吧月后看看有没有其他问题。</t>
  </si>
  <si>
    <t>很不错，厚薄正好尺寸也合适 下单一周后收到，穿着很舒服，好评</t>
  </si>
  <si>
    <t>手功可以的 包包收到了。這個比較適合小朋友或是女孩子，成年男性的話尺寸太細。</t>
  </si>
  <si>
    <t>赞 好看又舒适，和想象的完全一样</t>
  </si>
  <si>
    <t>挺好 还可以吧！不是很修身，想要长腿欧巴的感觉比较难，但是对于大叔来说没啥不好的。</t>
  </si>
  <si>
    <t>好评 宽松款，里面还有加绒，买了L号有点大，不过觉得换货太麻烦了，就这样穿了吧</t>
  </si>
  <si>
    <t>特价时购买的 中国产，质量很好的。</t>
  </si>
  <si>
    <t>音质挺好，价格不错。 音质挺好，价格不错，如果喜欢歌德的，那对高斯的做工也没什么好挑剔的。</t>
  </si>
  <si>
    <t>吸收相当不错，就是不知道生产日期和保质期 很容易被吸收的钙片！！ 已经第二次购买了，媳妇怀孕期间就一直吃，孩子生下来后骨骼发育的比同期出生的其他孩子都要好很多。 以后还会接着买，希望越做越好。</t>
  </si>
  <si>
    <t>舒适 重点就是穿上很舒适。</t>
  </si>
  <si>
    <t>ok 还不错 发货速度物流速度比我想象的快些鞋子也很满意 增高又显腿长 穿去爬山很舒服 不过这鞋还是更适合秋冬 夏天穿有点闷热</t>
  </si>
  <si>
    <t>美国 OXO 奥秀食品冷冻储存盒 很不错哦，做辅食很方便</t>
  </si>
  <si>
    <t>非常有质感 买之前看了很多评论，有好有坏，因此有点忐忑不安。到手之后顾虑一扫而光，鞋子很有质感，很有风格，做工非常棒。样式和颜色跟广告图片完全不一样，是我拍的照片的颜色，基本上没有色差。平常穿阿迪42，耐克42.5，这双买了8.5，刚好，到手价710，非常满意和喜欢。</t>
  </si>
  <si>
    <t>防水保暖效果非常好 国内穿35或36的鞋子，买的这个码穿了厚袜子还是有些大。但是它的防水效果真的很棒，保暖效果也非常好。</t>
  </si>
  <si>
    <t>舒适 超级舒适的内衣，贴身部分是棉的，75B穿S码正好。</t>
  </si>
  <si>
    <t>现在都没有盖子了吗？ 还没开始用，不过现在一个盖子都没有了。</t>
  </si>
  <si>
    <t>非常喜欢 喜欢30秒的提醒功能 有5个模式可以选择好棒</t>
  </si>
  <si>
    <t>瑕疵大大滴 买的第二条了，和lee家的33 30号相比，腰围小一点点，裤长要长个半寸到一寸，版型适合腿粗的 但这次让人非常失望，裤子拉链处有一个黄豆大小的破洞，就这残次品也敢往出来发？海淘退货太麻烦，这裤子也就一百多块钱，就这样吧</t>
  </si>
  <si>
    <t>确实不好 毫无承托力毫无塑形，只适合没胸的人，b以下罩杯合适</t>
  </si>
  <si>
    <t>一般般 感觉一般吧，可能长期服用会明显些，里面少一颗，只有半颗空胶囊，可能罐装时算错了。</t>
  </si>
  <si>
    <t>发错型号了 好像给我发错型号了，不过也能用</t>
  </si>
  <si>
    <t>1 发的是美版，价格还那么贵，好意思？、？</t>
  </si>
  <si>
    <t>鞋码与描述不符 比实际脚长了1.5cm</t>
  </si>
  <si>
    <t>尺码偏差很大，同为美版，和一起买的其他M码相比，小很多，没有吊牌，二次包装，取出后发现衣服都是反叠的，非常糟糕 尺码偏差很大，同为美版，和一起买的其他M码相比，小很多，没有吊牌，二次包装，取出后发现衣服都是反叠的，非常糟糕</t>
  </si>
  <si>
    <t>肤感好 效果不明显 到手价248 好搭配 肤感好 早上用 其他效果就干净不明显了</t>
  </si>
  <si>
    <t>包装破损严重 包装破损严重，不知道零件有没有丢。</t>
  </si>
  <si>
    <t>感觉还行，不像宣传的那么好！ 没有之前用的舒服，刮的不是很干净。唯一的优点是可以水洗。</t>
  </si>
  <si>
    <t>蛮好的 挺可爱的啊，宝宝还没出生囤货的。</t>
  </si>
  <si>
    <t>是保冷杯  不倒热水的 是保冷杯 只能倒冰水 不能热水 估计跟国外小朋友都和凉水有关系 希望保暖的妈妈们注意了</t>
  </si>
  <si>
    <t>很舒服 柔软，很舒服，一如既往好</t>
  </si>
  <si>
    <t>满分💯 鞋非常适合，且是真的，一分价格一分货。</t>
  </si>
  <si>
    <t>还不错，打折的时候买的，邮费加税费余约500 还不错，打折的时候买的，邮费加税费余约五百，走的时间很准，就是太沉了，果断把钢带换成皮带的了</t>
  </si>
  <si>
    <t>五星好评！！！ 这个价格实在性价比高，是某猫旗舰店一半价格！送货超快不敢想象！原封包装！好！</t>
  </si>
  <si>
    <t>主要图便宜 收货插上竟然没反应，才发现window系统不显示，对我这种电脑小白真是难题，好在度娘帮助加胡碰乱撞终于格式化成功，可以使用了，买这个主要图便宜，挺好的，总共两周收货，速度可以接受，整体很满意</t>
  </si>
  <si>
    <t>合适哪些年龄的人吃? 给全家补充蛋白质</t>
  </si>
  <si>
    <t>最满意的一次买夹克外套 不大不小，正好的尺寸，穿起来很舒服，也很好看。</t>
  </si>
  <si>
    <t>好穿 穿着非常舒服，睡觉穿也可以，划算！</t>
  </si>
  <si>
    <t>货真价实 墨西哥产的 布科厚实 穿着舒适 裤型和尺码都正合适 今后还会买。</t>
  </si>
  <si>
    <t>衣服挺舒服的 质量没得说，棉料舒服，可能欧版都偏大吧，打底影响不大就是了。</t>
  </si>
  <si>
    <t>性价比超高，声音均衡，样子太土 性价比超高，声音均衡，样子太土，太值了，严重推荐</t>
  </si>
  <si>
    <t>可以 和预想的差不多，品质还可以</t>
  </si>
  <si>
    <t>烧水快 烧水很快 颜值在线 非常值  使用了八个月 也中招了 塑料部位内部开裂 很担心哪天突然爆开 烧水的时候已经开始漏水</t>
  </si>
  <si>
    <t>评价 满意，上色快，色泽好。</t>
  </si>
  <si>
    <t>耳机质量不错 声音挺好，低音讨好人，佩戴舒适，价格合理。</t>
  </si>
  <si>
    <t>牙刷 第二次买了。非常好用的牙刷，刚刚开始用会觉得好大，越用越舒服！日本的东西还真是好用。</t>
  </si>
  <si>
    <t>合脚舒服 总体上比较满意，尺码选择是量孩子的赤脚长加1cm，作为最后尺寸。穿着舒服。</t>
  </si>
  <si>
    <t>值得买 非常好</t>
  </si>
  <si>
    <t>轻薄舒适 包装是真的无力吐槽，不过好在内裤没有太多瑕疵。穿着合身</t>
  </si>
  <si>
    <t>正品，合适 正品，合适</t>
  </si>
  <si>
    <t>轻薄，好用 很好用，比较轻薄的3.5寸硬盘。买的时候汇率好不错，亚马逊会员免境外境内的运费，划算呀</t>
  </si>
  <si>
    <t>保温效果好 重量轻，保温效果好，使用方便，价格也比天猫专卖店的便宜。</t>
  </si>
  <si>
    <t>这锅是不沾,能用多久? 不沾锅开始用的时候都不错,时间稍长一点就不行了.后期使用还得小心.但愿买到的都能长久使用.</t>
  </si>
  <si>
    <t>不适用于电磁炉或电陶炉 不锈，很好。但如果温度加热不均会出现爆锅的情况，就是那种炒着炒着突然听到碰的一声，吓死人</t>
  </si>
  <si>
    <t>裆部无辜加布料 裤子哪里都合适，颜色也好，舒适度也好，就是裆部他们加了一块布，可能老外屁股翘吧，然后亚洲人穿了都是褶皱，大家看图也可以发现，只是当时我以为他没穿好，其实就是加了一块布，我就退货了</t>
  </si>
  <si>
    <t>没有吸墨器 钢笔有点轻</t>
  </si>
  <si>
    <t>极端差评 脱胶，而且拉线只是装饰，和皮革无连接，极端差评</t>
  </si>
  <si>
    <t>质量一差 衣服质量太差劲了，穿了一周后发现后腰出现一个破洞，太奇怪了。都是在里面穿的，怎么会这样？从来没遇到这么差的衣服。</t>
  </si>
  <si>
    <t>稍微大了点 178/70kg，稍微有些大，穿着显得档很大，可能小一码刚好，布料很厚实，里面加薄绒的，冬天穿很舒服。</t>
  </si>
  <si>
    <t>布料弹性很好，穿着舒适 168/64买的31W30L还是有点偏大了，30W29L或者30W30L可能更合适些。 优点是弹性很好，档一点都不挤，很舒服。</t>
  </si>
  <si>
    <t>喜欢 鞋子质量很好，颜色也正</t>
  </si>
  <si>
    <t>比较满意 MD，170/74Kg，刚刚合身，挺好。</t>
  </si>
  <si>
    <t>挺好的，made in China  觉得运费有点多余 挺漂亮的，质量很好，但越洋过海居然是中国制造？！不知国内有没有专柜</t>
  </si>
  <si>
    <t>值得拥有 穿着非常舒适</t>
  </si>
  <si>
    <t>服用了一段时间 效果不错，坚持中</t>
  </si>
  <si>
    <t>尺码偏大，正常需要选小半码 外观自己看着确实丑，另外鞋垫也很滑，把原装鞋垫换成了刺绣鞋垫，脚底舒服多了。再说支撑，由于这些除了鞋底之外，其他地方都是真皮包裹，所以穿上脚之后刚开始会觉得很不稳，如果是原来那双自带的鞋垫的话脚更不稳，所以很有必要换。鞋子大小的话，我脚长267mm，平时NB或者阿迪达斯都穿10D，七匹娃和红翼都穿的9.5D，但是这双UK8.5就正好，另一双Clarks的鞋是UK9就偏大不少。</t>
  </si>
  <si>
    <t>质量很不错，178cm,95kg买36w34L的腰围正合适，裤子太长了 质量很不错，178cm,95kg买36w34L的腰围正合适，裤子太长了</t>
  </si>
  <si>
    <t>很舒服 纯棉舒服，薄厚适中</t>
  </si>
  <si>
    <t>相对紧身 图片显示不是很准确，仅供参考。</t>
  </si>
  <si>
    <t>适合家居 非常轻薄舒适 适合家居 非常轻薄舒适</t>
  </si>
  <si>
    <t>装修囤货！ 做工不是国产可比的，很好！</t>
  </si>
  <si>
    <t>这款不错 这款不错，朋友送我的，用起来很舒适。</t>
  </si>
  <si>
    <t>很好很合适 big kid的大小感觉和正常的鞋码没差，正常的大黄靴穿us 7m的，这个买big kid同样码的一样合适，菲律宾产的，感觉还不错</t>
  </si>
  <si>
    <t>挺值当的！ 鞋子很好看！很合适！物流比想象的快！</t>
  </si>
  <si>
    <t>水壶 颜值很高的一款水壶 同时间买了好几个 这个算比较喜欢的 保温效果还可以 虽然比不上虎牌 但一下午还是差不多的</t>
  </si>
  <si>
    <t>适合家庭出游 日亚的东西包装一直都很仔细，杯子做工优质，没有异味，发货周期也不长，看中的是这款杯盖可以党杯子使用</t>
  </si>
  <si>
    <t>买买买 买买买</t>
  </si>
  <si>
    <t>值得购买 品质还好，穿上酷酷的。买大一码有些松快。</t>
  </si>
  <si>
    <t>看起来挺不错 冲着这牌子去的，看起来挺不错，吃一段时间看效果。</t>
  </si>
  <si>
    <t>很好，品牌很好。 轻便，实用，虽然不怎么用，</t>
  </si>
  <si>
    <t>多次购买，物廉价美 这是第三次在亚马逊购买Lee的裤子，本来也一直穿这个品牌，和专卖店一样的质量，就是要记得尺码哦</t>
  </si>
  <si>
    <t>美 颜值担当</t>
  </si>
  <si>
    <t>好东西 第一次在亚马逊海淘，快递还行，真的好便宜，到手价550+，性价比很高，拜亚动力耳机超赞不亚于森海塞尔。</t>
  </si>
  <si>
    <t>衣服很好 173cm，67kg，小号很合适，肩略显紧。衣服挺好看，穿着精神。</t>
  </si>
  <si>
    <t>1 侧面裤线歪了，大小合适</t>
  </si>
  <si>
    <t>可爱但不实用 除了可爱没有别的，硬，边角太多容易戳着宝宝</t>
  </si>
  <si>
    <t>還可以 燒水還是快；其它方面因為是德文的說明書，看不懂。</t>
  </si>
  <si>
    <t>质量有问题。掉毛掉毛。 质量超级差，从来没见过内裤掉毛的。穿了粉色的一天，接下来三天身上一直有毛，洗都不知道怎么洗。还掉色</t>
  </si>
  <si>
    <t>太肥！！！ 在腰围、裤长合适的情况下，裤腿太肥了，简直就是水管工人穿的那种，毫无美感。</t>
  </si>
  <si>
    <t>不顺！ 感觉不是正品……首先就是不顺，不顺，不顺！标签都是撬边的，说不出的劣质感！</t>
  </si>
  <si>
    <t>长 177 105斤 L码过长，长到屁股钩去了…可以给女生当超短裙了</t>
  </si>
  <si>
    <t>还行，性价比高 稍微肥一点，不是全棉，毕竟便宜，质量也不错</t>
  </si>
  <si>
    <t>整体问题不大就是小瑕疵还有运费太贵 感觉应该是正品只是左脚尖有点瑕疵和浇水似的没有免运费售后唉</t>
  </si>
  <si>
    <t>UPS好快 手表nice，表带中国产，核心和组装在菲律宾，哈哈哈哈，和谐了</t>
  </si>
  <si>
    <t>实用 很柔软很贴身，价格也便宜，虽然等了蛮长时间。</t>
  </si>
  <si>
    <t>这个不错 这个很不错的，质量很好，美国进口的，很适合宝宝</t>
  </si>
  <si>
    <t>老婆满意 做工和颜色都很好！里面是绒的</t>
  </si>
  <si>
    <t>美国Skip Hop 可爱动物园餐具叉和勺 - 鲨鱼 很好 很可爱 喜欢 就是短了点 结实</t>
  </si>
  <si>
    <t>物美价廉 价格实惠，氦气盘，虽然降速，但速度并不慢</t>
  </si>
  <si>
    <t>日本室内鞋 给孩子在家穿的室内鞋 孩子非常喜欢 而且不闷脚</t>
  </si>
  <si>
    <t>对我来说，性价比不高 我也不知道是我用起来特费，还是啥的，反正一个月不到就变形</t>
  </si>
  <si>
    <t>飞利浦这款真的还不错 入手过便宜的电动牙刷，还是比不上的，使用感非常好，十天不到就洗掉了我的牙结石，声音还好我觉得比欧乐家的小，除了没有送玻璃杯其他都挺好，第一次找充电器的时候找了半天，找到后发现真是黑科技。爱上了刷牙</t>
  </si>
  <si>
    <t>好看 外貌控必入，但我妈说怎么像狗盆~~~~哈哈哈！</t>
  </si>
  <si>
    <t>质量 舒服</t>
  </si>
  <si>
    <t>国内差价大很划算 衣服质量很好，是正品，Champion.us海淘很麻烦，懒得自己淘了，用海外购很是方便</t>
  </si>
  <si>
    <t>物有所值 收到，物有所值，173、146斤L号码合体</t>
  </si>
  <si>
    <t>好 很好用，舒服的质感，超赞，合理的长度</t>
  </si>
  <si>
    <t>百利金M215 比较满意 价格合理  送个笔盒就更好了</t>
  </si>
  <si>
    <t>很舒服 我平时穿m号，这个我买的是m号，但感觉xs的就行，这个衣服号偏大</t>
  </si>
  <si>
    <t>好看 颜值即为正义，灯光下很是温润。</t>
  </si>
  <si>
    <t>不错哦 184/88公斤，穿L刚好，上身不错</t>
  </si>
  <si>
    <t>不是很修身 其实还算合适，但是作为修身款W31的都还稍稍有些松，我平时都穿标准款的W32啊。质量还好，就是颜色有色差，没有图片好看。</t>
  </si>
  <si>
    <t>烧出来的水有水垢 安装挺简便的，但是烧出来的水，上面浮着白白的一层，仔细看，水里面也浮着白色的，个人感觉，是水质有问题，过滤器的过滤性不够</t>
  </si>
  <si>
    <t>哈哈 一直买这个牌子的很喜欢</t>
  </si>
  <si>
    <t>好 物流快，目前产品很好，希望耐用。</t>
  </si>
  <si>
    <t>好东西要分享 一次买了两个，小的是国产的，大的是越南产，其实也不用太纠结哪产的，国产的质量也很过硬，以前480的孩子上学喝不完也摔不保温了，这次正好趁打折换个360的，梦重力系列又轻又好用，亚马逊一打折连专柜都下架了，为什么国内就卖那么贵呢</t>
  </si>
  <si>
    <t>有异味 买了34号，到货的时候就是散开的，不知道为什么有股异味。 买的36号，到货是卷起来的，打开的就没什么味道。</t>
  </si>
  <si>
    <t>太重了 吹风机虽然在国内的电压只能到1700W，但已经够用，但是实在太大太重了，家用真的很勉强。没用配的头，加上头更没法自己吹了。</t>
  </si>
  <si>
    <t>用后感 非常好用，测了2次数值略有不同，手机界面较单一。</t>
  </si>
  <si>
    <t>快快退款 手表已退，因，为与介绍图片有差距，11月28号退的到现在退款不给我退回来，打了几次客服总是说在等等，请问等到啥时候？</t>
  </si>
  <si>
    <t>挺好的吧  我以前用过 我以前也有一块一样的。后来被人偷了。伤心啊 但是这个表很好的，日本原装机心 挺准的 价格也不高 很好用 要好保养的</t>
  </si>
  <si>
    <t>式样不错 式样不错，但是材质偏薄。</t>
  </si>
  <si>
    <t>收到一个大裂缝 刚收到，满心欢喜要用，发现硬币大一个裂缝！包装就是在纸盒外面套了个袋子，难怪要压坏了，好伤心，亚马逊的售后还是不错的，全额含税都给退货了！</t>
  </si>
  <si>
    <t>尚可的杯子 好划算，60多，盖子虽然和瓶子不一样颜色，能接受，使用中均可以，毕竟是玻璃杯，除了瓶底的胶粘纸去除比较不符合产品风格（费力费时去除粘纸）</t>
  </si>
  <si>
    <t>还好 刚收到，中国制造的，不知道设计还是材质原因，表链戴着感觉有点不舒服</t>
  </si>
  <si>
    <t>价格调整太快 鞋子不错，平时穿44，这个44稍稍大了些，就是当天上午拍完下午价格就降了50多，现在没有价格保护，只能拒收再拍，希望亚马逊能改进。</t>
  </si>
  <si>
    <t>好鞋子 平常穿36到37之间，脚宽。这个尺码合适。穿着去北海道。踩在雪地一点都不进水。保暖性不算特别强。但是不长期呆着不动就没问题</t>
  </si>
  <si>
    <t>好货 既可以作衬衫，又可以作外套</t>
  </si>
  <si>
    <t>穿起来很舒服 穿起来很舒服，只是买大了点</t>
  </si>
  <si>
    <t>好 备货，这个奶嘴还是一如既往的好</t>
  </si>
  <si>
    <t>好 非常满意的一次网购。</t>
  </si>
  <si>
    <t>穿着舒服，但颜色会褪色 时间长了会褪色，鞋穿着很好</t>
  </si>
  <si>
    <t>试用报告 不错！腰带宽度很好，比一般的要宽，紧密，弹性好不易卷缩。</t>
  </si>
  <si>
    <t>很舒服的套头衫 一直喜欢这个牌子，非常舒服，还会买</t>
  </si>
  <si>
    <t>真正的小而美 rha流弊 腐国流弊（破音） 无意中发现的小众品牌 网上评测寥寥无几但是评价都出奇的一致:小而美 到手后确实很惊喜 做工完美 外形低调 低音简直惊为天人 还有出色的解析和声场都让人怀疑这么小的腔体是如何做到的 降噪效果确实不错 基本达到海绵套的水平了 佩戴舒适也不容易掉出来 对我来说简直完美</t>
  </si>
  <si>
    <t>男装女穿 特意买的男款 希望穿的宽松一些 快递很快下单没多久就收到了 建议骨骼大的 个子高的女孩 直接选男款吧</t>
  </si>
  <si>
    <t>性价比高 轻巧，方便，速度快</t>
  </si>
  <si>
    <t>不错的说 价格很优惠，德国原产，美亚直邮，很好。先听一段时间再说。好评。</t>
  </si>
  <si>
    <t>尽然是热装备 东西质量不错。170，60kg的，小号正好。本以为冷天穿的，竟然是热装备。</t>
  </si>
  <si>
    <t>效果不错 增强了抵抗力</t>
  </si>
  <si>
    <t>比国内买便宜一半 发货很快，之前在海外购看到了，加关税价格差不多，但是这次打折还有满减活动，优惠了180多，还是很实惠的。收到发现做工很精致，只是觉得心好大，打开表盒手表就在里面晃，表面也没有膜，还好没有磨花的痕迹。买给老公当礼物，挺喜欢的。</t>
  </si>
  <si>
    <t>很好 很好，包装很用心，完全没有晃动的可能</t>
  </si>
  <si>
    <t>漂亮，性价比高 老婆大爱，到手不到700，运动鞋穿40，这双鞋39正好，供大家参考，鞋楦很窄，不适合胖脚，质量非常好，这个价格，秒杀国内所有同价位</t>
  </si>
  <si>
    <t>物超所值，速度超快 10.4号下单8号收到，，没想到会有这么快，硬盘没问题，就是保修只到19年1月，不过海淘也无所谓了</t>
  </si>
  <si>
    <t>很好的含氟牙膏 特别好，一直用这个牌子的牙膏，海外购也很快！</t>
  </si>
  <si>
    <t>不错 不错，日本产的，质量很好</t>
  </si>
  <si>
    <t>虽然用过一次后它不工作了 但是它是好产品，家庭冲洗牙齿还是很方便的。希望下次再买不要罢工了，好好帮我冲牙。</t>
  </si>
  <si>
    <t>适应各种场合 ecco的鞋子一直喜欢，运动、休闲、正装都很合脚。</t>
  </si>
  <si>
    <t>被照片误导了 以为是衣领可以翻下或翻平，不料却是立领而且是不能翻下或翻平的立领，这和将翻领进行到底的穿衣原则严重不符。想退吧，邮资算下来不合算，只好送人</t>
  </si>
  <si>
    <t>超级粘锅，炖肉也不快 超级粘锅，炒个鸡蛋能糊一锅底！！！只能用来炖肉，炖牛肉得1小时，还有点硬，做了葱油鸡，整鸡放进去，1小时后鸡肉还带血，并没有传说中的40分钟那么快！我每天当祖宗供着，刷油刷油刷油！要不是敲击声是叮叮，都怀疑我是不是买到一口假锅了！另外一口妈咪锅，也粘锅厉害，很苦恼！1个锅只能炒一次菜，因为炒完锅底就糊的不能用了，当时锅又烫没法洗！愁人</t>
  </si>
  <si>
    <t>很快吸收，但好像没什么效果 很快吸收，但好像没什么效果</t>
  </si>
  <si>
    <t>退换货很麻烦 大大大</t>
  </si>
  <si>
    <t>假货 假货，大家不要买</t>
  </si>
  <si>
    <t>垃圾 鞋底太硬 应该不是真的 慎重购买</t>
  </si>
  <si>
    <t>东西很好，非常满意。 东西很好，非常满意。</t>
  </si>
  <si>
    <t>有味道 怎么有股塑料味还挺重的</t>
  </si>
  <si>
    <t>感觉还行 手边不错，表盘大小合适，因为我手比较细，所以感觉大小正好，不像别人嫌太小…秒针走动也没有别人说得那么夸张，贴着耳朵听有声音，我放在床头睡觉都听不到…表带应该说有点一般，毕竟只百来块的东西，戴着都成不了一个圆圈，感觉一边是直的一边是弧的，除非勒紧贴着手腕，才能是个圆…</t>
  </si>
  <si>
    <t>比较推荐 这个款式到还算合适，比较推荐。</t>
  </si>
  <si>
    <t>大小合适 鞋底比较硬，不过还算好看</t>
  </si>
  <si>
    <t>需要标题 这是和我自己表一起买的所以朋友说他满意就好咯，不过我感觉这个比我的还小....</t>
  </si>
  <si>
    <t>象印保温杯 买的第二个了，很保温！很轻！颜色也很靓！</t>
  </si>
  <si>
    <t>goood cool</t>
  </si>
  <si>
    <t>配置很实用，价格太美好 150的飞雨手持花洒出水量大，几种模式选择很好用，恒温调节器的设计感很时尚很有科技感，而且可以当置物架使用，关键价格太美好，性价比很高</t>
  </si>
  <si>
    <t>水牙线 很好，体积挺轻的，配了好几个刷头，比天猫价格便宜一半，不错</t>
  </si>
  <si>
    <t>外形一般，没图片好看 帮我妹买的，她说很暖和</t>
  </si>
  <si>
    <t>基本满意 下单后6天到手，物流速度很满意。没有中文说明书，尝试用美国版的omron connect添加设备，自动配对失败。用中国版的欧姆龙笔记配对成功。配对时选其他设备，再选EVOLV。刚开始测量时有一点不习惯，一般的血压计是加压到高位后再慢慢泄压，在泄压时测量。而这个型号是在加压的过程中就开始测量，测量完成后再瞬间泄压。</t>
  </si>
  <si>
    <t>Made in China 显示Made in China.从德国发货.音质还是不错的.</t>
  </si>
  <si>
    <t>质量可以 鞋子试过了，不错，还没有经常穿，感觉质量还可以。</t>
  </si>
  <si>
    <t>需要专门的电源转换器 看了别人说国内可以直接使用才买的，买了以后一直放着今天才打开使用。才发现根本不能直接用！国内的插座确实可以插，但是那样插根本就不会有地线！！！没有地线漏电的话就会触电！！！！在国内找了一圈，都是出国转德标用的，根本没考虑说德国转国标的。某宝只有一家有怕质量不好，没敢买。现在只能在海外购买个德国到中国来的转换器！！！</t>
  </si>
  <si>
    <t>随便穿穿不错 比nike等好，就有点粘毛</t>
  </si>
  <si>
    <t>卫衣 很大，巨大，我老公220的胖子穿了还大两个号，退货太麻烦也很贵，就留着随便穿穿吧，下次就知道尺码要小心了</t>
  </si>
  <si>
    <t>轻薄透气 172CM, 67.5KG, M码正合适。 跑步穿着舒适，就是领子稍稍高了点，但总体非常满意！</t>
  </si>
  <si>
    <t>尺寸标准 买前咨询过，尺寸是合适的，就是裤腿太长--这个可以理解，毕竟是按老外的体型做的。找个裁缝改了下就好了。</t>
  </si>
  <si>
    <t>整体非常合身，但是袖子比较窄 合身，但是袖子窄，里面套衬衣后，就比较紧了，我体重76Kg，但是比较壮实，体脂比底，上肢小臂较粗。</t>
  </si>
  <si>
    <t>好评的 这个和国内买的一样。好评</t>
  </si>
  <si>
    <t>只恨生不逢时 虽然我没买...这玩意要是早点上架我根本不会烧钱配升级线…也可以多买几根给猫老爷咬着玩了</t>
  </si>
  <si>
    <t>很好值得买 质量不错 性价比很高 宽松版 尺码偏大 加绒款 很舒服摸起来</t>
  </si>
  <si>
    <t>德亚还是值得信赖的 之前的一个微波炉时不时出故障，后来决定够买机械式微波炉，并选择德亚，看来是选对了，已经开始使用，没有任何问题，就是不知道哪里生产，估计原产地是中国，因为说明书是中国印刷，但是说明书俄语、法语、德语、英语等待一大堆就没有中文，看来是不销售到中国的，质量上应该会好一点，希望能用久一点</t>
  </si>
  <si>
    <t>正品 不错，不错。</t>
  </si>
  <si>
    <t>Calvin Klein牛仔裤 国外便宜好多, 这个东东200多入手, 超级值. 国内为何那么贵?</t>
  </si>
  <si>
    <t>很好 非常舒服  180 70kg 低体脂运动型 稍微偏大</t>
  </si>
  <si>
    <t>介意质量和速度的别入哦！ 1.东西买来自用，不追求速度，勉强过关；追求速度着别入啊； 2.便宜没好货，一分钱一分货，追求速度和服务的别入； 3.买东西以前多看看评论，不一定都是不对的； 4.都不是美国产的，建议销售商是不是该把产地加上？ 5.这货国内好像没有服务商，海外购退换货成本忒高了。</t>
  </si>
  <si>
    <t>货评 尺寸合适，质量也还好，款式感觉普通</t>
  </si>
  <si>
    <t>薄，掉色 给三分是因为尺码合适，本人腰围78cm，32码系最近正常、稍显宽松，冬天穿的多应该没问题，夏天可能需要再打孔。 另外就是掉色，要是运动出汗、还穿浅色裤子，千万不能系这个皮带，不然会毁了裤子的</t>
  </si>
  <si>
    <t>盖子不结实 用了不到一周盖子就坏了。</t>
  </si>
  <si>
    <t>质量特别不好 裤子特别特别薄。穿了几天开始起球，质量特别不好。</t>
  </si>
  <si>
    <t>250ml绿色 旧的，感觉用过了，准备退货</t>
  </si>
  <si>
    <t>质量差 质量太差，穿一天屁股就破了洞</t>
  </si>
  <si>
    <t>为什么，外包装总是损坏的！ 盒子四个角都是瘪的，里面东西咣当咣当像！里面的6.5mm转接头，镀金表面有损坏！</t>
  </si>
  <si>
    <t>还行吧 目前看着还行，7天到货，就是不知道真伪！</t>
  </si>
  <si>
    <t>略有些遗憾 身高178公分 体重67公斤，选的29/30，长短及腰围都非常合身，面料厚实偏硬，适合秋冬季穿。版型比国内的直筒型略肥，是我想要的类型。做工还行，但是裤腿上有一个很大的疵癖，令人有点失望。</t>
  </si>
  <si>
    <t>CHAMPION 男式正品 Originals 长袖亨利 .. 包装完好  衣服质量不错</t>
  </si>
  <si>
    <t>衣服尺码 我是179 76kg左右，比较瘦的身体，骨架大，m码可以了。但是我发现没有吊牌，而且5天就到了，很快。</t>
  </si>
  <si>
    <t>合身 提供数据供你参考，身高180、体重104公斤，XL码合身，薄、柔~~</t>
  </si>
  <si>
    <t>精致 精致的盆子，之前的都看不顺眼了准备全部换掉。</t>
  </si>
  <si>
    <t>180，90kg，xl偏小，xxl比较合适 180，90kg，xl偏小，xxl比较合适</t>
  </si>
  <si>
    <t>材质不错 材质不错。</t>
  </si>
  <si>
    <t>老牌音响品牌，高颜值，靓声音。 音质感觉和mid差不多，主动降噪功能个人感觉不太明显。毕竟是老牌音响品牌，高颜值，靓声音。主动降噪这个功能无论运用在任何一个品牌的耳机上，感觉都是多余的，是耳机商家的一个叫卖点和噱头，当然，这是个人的看法。</t>
  </si>
  <si>
    <t>很好，不错 很好，囤货中，还没用</t>
  </si>
  <si>
    <t>送达速度超过五十 很好</t>
  </si>
  <si>
    <t>为啥国内都没货了呐 我个人不适合平头耳塞，因为几分钟就会耳朵疼；入耳式的还好，就是戴久了总觉得有点痒痒。找了一圈还是用这种挂耳式的了，透气，耳机单元也较大。貌似挂耳式耳机产品很少了。 这款耳机感觉不错，声场较大，人声较靠前，低频是有的，比耳塞要好很多。品质十分对得起售价。</t>
  </si>
  <si>
    <t>性价比高 推荐 买了两个 两个浴室 用了半年多的很好 出水舒服 外形美丽 强推</t>
  </si>
  <si>
    <t>舒服 带着一点都不勒，很舒服，比某宝便宜太多啦</t>
  </si>
  <si>
    <t>有效果 吃了之后感觉眼睛没有那么干涩了。相信亚马逊自营</t>
  </si>
  <si>
    <t>质量 很好！</t>
  </si>
  <si>
    <t>鞋面舒适 大小刚好 这双鞋最舒服的就是鞋面贴合脚背的感觉  前掌稍硬  总体脚感肯定不如运动鞋 但是设计感佳 穿着有型  加上价格优惠配送速度一流  很满意的一次购物</t>
  </si>
  <si>
    <t>表盘厚！服务好！ 商品就不说什么了，上面写的厚度7毫米，最后看来，实际超过11毫米，太厚了，若大家看中厚度的话，可以解毒了。但是，亚马逊海外购的速度和服务还是点赞，五星评价全部给了服务，商品作保留评价吧。</t>
  </si>
  <si>
    <t>I bought for someone, not for myself i don't know how it looks like and what's the quality, but seems fine since no one complains about it</t>
  </si>
  <si>
    <t>添柏岚男靴 鞋子结实耐穿，很好。</t>
  </si>
  <si>
    <t>商品比较满意，码子偏大，推荐 商品比较满意，码子偏大，推荐</t>
  </si>
  <si>
    <t>满意的海外购 做工不错，很满意。看细节应不是高仿，发货流程显示是UK发货，判断是正品。尺寸的话，身高180，体重80Kg，买的是L号，夏天试穿略宽松一点，冬天穿会比较合适。 实惠，同样款式比美亚便宜几百块，比国内便宜更多，收到货就放心了。😊</t>
  </si>
  <si>
    <t>还行 还没有穿，摸着挺厚。等穿了再来追加评价吧。</t>
  </si>
  <si>
    <t>最最值得拥有 非常非常值得拥有的鞋子，无论是外观还是舒适度都是让你最值得拥有的</t>
  </si>
  <si>
    <t>买的话绝对要比国内的要小一号 国内穿M，这个要买S号。不然要后悔，会穿出大短裤的感觉</t>
  </si>
  <si>
    <t>鞋带问题 鞋子不错，但鞋带我就无语了</t>
  </si>
  <si>
    <t>Smelly boots ever OMG, they are too smelly to wear.I have to put them outside to release the smell.I wonder why these expensive boot( made in USA) have such bad smell ....</t>
  </si>
  <si>
    <t>太大 我按照在国内购买同样是lee的尺码购买，大太多了，可以装两个我了。。。。。幸好有家店能改，改后就很不错了。主要是腰部和腿部，太肥，这个应该是欧版的尺码吧</t>
  </si>
  <si>
    <t>三件中两件大小一样，其中一件比另外两件短 码数都是按照国人标准，国内穿L的我买的M码，打开一看，里面三件两件一样长，一件比另外两件短，我就怀疑这玩意的真伪了，不要说是海外购就保真，我真不信会出现这种商品，退换货麻烦，算了，反正能穿，只是短了一截。</t>
  </si>
  <si>
    <t>局部严重起球 不知道是什么原因，普通800转速洗衣服，下背部严重起球，全身都略起球。一直以来都这么洗衣服，就这一件特别减轻。</t>
  </si>
  <si>
    <t>太大 小码怎么跟国内的加大码一样大呢，不法穿，悲剧</t>
  </si>
  <si>
    <t>东西明显是二手的，被人打开过 外壳包装很旧，没有什么封条可以直接打开，里面的的东西明显是已经开过的，本来用来固定花洒的纸壳也是已经撕开了的，打开后保证后，纸壳就直接掉出来了。</t>
  </si>
  <si>
    <t>鞋子质量是不错的，包装太差了 鞋子质量是不错的，包装太差了，就一个盒子，到货时都已经坏掉了。幸好鞋子还没有什么问题。</t>
  </si>
  <si>
    <t>尺码偏大，脚感不错 鞋子穿起来脚感比一般板鞋柔软。但是鞋码太大了，耐克阿迪43穿这个42都大，估计得穿这个的41。买的时候千万注意尺码</t>
  </si>
  <si>
    <t>赞 黑色不是磨砂手感、滑的，很棒！</t>
  </si>
  <si>
    <t>挺好的，偏大 挺好的，价格便宜，穿的也算舒服吧</t>
  </si>
  <si>
    <t>滤芯多 蛮好的，过滤没有那么慢。一下有好几个滤芯。性价比极高</t>
  </si>
  <si>
    <t>美观，手感赞 石墨黑手感很出色，拧盖模式清洗橡胶圈非常方便，保温出色，虽是600ml，但拿手上或放包侧不觉臃肿。</t>
  </si>
  <si>
    <t>尺码偏小 这款相比同款三条全黑色的尺码要偏小些。</t>
  </si>
  <si>
    <t>两只表做对比一样可以收波。给易满客点赞 买了两只，强制收波后秒针都一样。挺便宜的。试用会员既省了运费又快，国内还用的顺丰。比海淘转运不知好多少倍。</t>
  </si>
  <si>
    <t>价格超低 皮质很软毛孔细致，样子也比图上漂亮，超出我的预期，关键抢的是最后一双库存，特价价格低的离谱比国产鞋都低，好开心，希望以后还可以抢到做特价的商品</t>
  </si>
  <si>
    <t>效果很好 吃了几天，效果很好。不过在想买就涨价了。</t>
  </si>
  <si>
    <t>值得购买 非常好的保温杯，用起来很方便。单手开关，开车的时候喝水很舒服。</t>
  </si>
  <si>
    <t>便宜好用 便宜好用，但是变色有延迟。</t>
  </si>
  <si>
    <t>非常厚重的铸铁锅 好锅。底厚散热慢。烤肉，烙饼样样都行。遗憾方的没有锅盖可用。很纳闷我们这么多企业就造不出一个厚重的铸铁锅？</t>
  </si>
  <si>
    <t>婴儿用的 帮朋友买的，结果娃已经大了</t>
  </si>
  <si>
    <t>挺好 管用，对睡眠有改善</t>
  </si>
  <si>
    <t>日本墨汁的较高水平 在日本，它类似于中国百年老店“一得阁”。一得阁墨汁，产品价格低廉，性价比高。代表性产品为云头艳，其特点为，墨迹光亮、淡墨表现力强，层次感丰富、浓淡五色、书写流利等特点，美中不足的便是胶性比较大，传统骨胶工艺（胶和水的比例如果失衡，容易胀瓶，墨汁发臭），冰点以下易凝结（0℃以下容易凝结成块状）。适宜练习和出一般作品用，是票友出作品的首选。 玄宗是日本墨运堂出品。价格偏高。市场上常见三种产品，玄宗（玄明）超浓墨液，玄宗（玄明）中浓墨液和玄宗（玄明）墨液。是目前国内市场上流通的墨汁中最好的产品。黑度强劲、墨分五色、层次感强、书写流利，合成树脂胶，四季适宜书画，宜书宜裱。适宜出一般和贵重作品用，是专业人士的首选最佳。特别是超浓墨液，深受书法家的喜爱，黑中带紫，色彩华丽高贵。</t>
  </si>
  <si>
    <t>质量不错。 买的最大号，合适，感觉很紧，生完再用。</t>
  </si>
  <si>
    <t>zh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</si>
  <si>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还可以吧 应该是有效果的…谁知道呢</t>
  </si>
  <si>
    <t>很好的内裤 非常舒适，质量不错。</t>
  </si>
  <si>
    <t>好 鞋大小刚合适，穿上比较舒服</t>
  </si>
  <si>
    <t>蛮好的 买了变压器，用着不错，等活动的时候买个干杯~</t>
  </si>
  <si>
    <t>挺好的 奶瓶挺好的，宝贝很喜欢，以前都不爱自己抓奶瓶，用了这个以后，可以喜欢自己抓了</t>
  </si>
  <si>
    <t>低音弹性非常好的监听耳机 本来想买7506，可惜涨价了，这个搞活动，看评论说基本上是一样的声音，就入了这个。Sony的监听耳机还是对得起监听二字的，声音还原准确，解析强悍，在好一点儿的解码上声音信息量非常足，跟手中的1A比起来完全两个风格。这个耳机很容易驱动，在手机上也能有不错的效果。整体风格和拜亚990pro的比较接近，不过低频弹性更好，声音更加贴耳，没有990那种半开放的空间感。高频不刺是让人很喜欢的一点，不过这耳机也有明显的缺点，就是有点儿夹耳朵，耳罩略小，无法完全罩住耳廓，时间长了压的不舒服，和990比差的不是一点儿距离。。。不过总的来说还是物有所值的。</t>
  </si>
  <si>
    <t>东西不错呦！！ 还没用，习惯性好评！！</t>
  </si>
  <si>
    <t>日期 2020.3月到期，这种保健品一般有效期最少有两年吧</t>
  </si>
  <si>
    <t>一般 有点扎皮肤，版型也一般</t>
  </si>
  <si>
    <t>錶鏈特別是輕 錶鏈特別輕，是什麼材質的了？是冒牌貨嗎？</t>
  </si>
  <si>
    <t>质量太差，用了五六次就坏了，开不了机。 质量太差，用了五六次就坏了，开不了机。</t>
  </si>
  <si>
    <t>买来就坏了 买来没用，今天用发现压根是坏的，变压器都用上了也不行。怎么退货。</t>
  </si>
  <si>
    <t>款式显脚大 上脚后显得脚巨大，一般人实难驾驭。这款式只适合脚小的大个头。</t>
  </si>
  <si>
    <t>快递粗暴，有点噪音，整体不错 邮寄过来的时候盒子已经摔烂了，裂出一个口子，还好里面商品没坏，目前为止用着不错，就是有点噪音</t>
  </si>
  <si>
    <t>诸多问题： 1：一共有前后两次购买，第一次信用卡预授权了2次，但打电话给客服只查到1次，其中的第2次预授权一直在入账中，不知道将来咋样 2：第一次购买测试得到 读取90mb/s 写入90mb/s，但第二次购买的问题卡竟然砍掉了一半，也就是 读取40mb/s 写入 40mb/s 3：为何这么巧？重复预授权才会得到高速卡？预授权1次读写减半，我强烈怀疑三星的品控和亚马逊的扣款报复行动，希望大家中头奖，而不是二等奖</t>
  </si>
  <si>
    <t>奶瓶 挺好的 但是宝贝不太接受这款奶瓶 吸出来比较费劲</t>
  </si>
  <si>
    <t>ecco系列比较一般的鞋子 鞋底略微有点硬，鞋垫不是皮质的</t>
  </si>
  <si>
    <t>性价比高 虽然bic圆珠笔销量排名第一 但以前没用过 书写顺滑 价格便宜 很不错</t>
  </si>
  <si>
    <t>很漂亮 很轻颜值高，估计不防水，保暖性一般</t>
  </si>
  <si>
    <t>基本满意 大小合适，布料有弹性，轻薄。做工和用料皆属于超市货。200多人民币买的略有些不值。属于Lee的低端产品。</t>
  </si>
  <si>
    <t>看起来很高大上 看起来很高大上，吹风筒外包装旧一些，应该是全新的</t>
  </si>
  <si>
    <t>舒服 不错 很舒服 就是颜色不是很漂亮 喜欢可惜现在缺货了</t>
  </si>
  <si>
    <t>我的第一款降噪耳机 一直想买一款能隔绝外界声音的耳机，但对耳机有没有研究，上网查了许久，原来分被动降噪和主动降噪，一直听说BOSE的降噪不错，但到实体店试听，bose戴上后，有种头晕感，但森海就没有，效果不错，虽然高频声音不能完全隔绝，也降了不少。还试过BOSE的QC20 ，感觉也很好，但是有线的，不带蓝牙，最后还是选了森海。</t>
  </si>
  <si>
    <t>十分满意 亚马逊上最满意的一双鞋子 刚开始一直没有尺码 就放在收藏里 结果某天看到有尺码了 立刻下单 尺寸合适 按照平时的正常尺码买就可以了 这个款十分大方好搭配</t>
  </si>
  <si>
    <t>非常不错的电波对时手表 收波正常，走时精准，外观大气 终于拔了长了七八年的草！</t>
  </si>
  <si>
    <t>质量不错 质量不错，喜欢。</t>
  </si>
  <si>
    <t>质量厚实很好 凑单买的，质量都很好</t>
  </si>
  <si>
    <t>赞 越南产的，平时41号鞋子，这个40号都大一点点。质量看起来还可以。版型帅爆了。赶上活动，到手900多。腿短怎么破？</t>
  </si>
  <si>
    <t>好 真的好用！ 用水冲冲就干净了。</t>
  </si>
  <si>
    <t>值得购买 无须磨合，下水流畅，笔峰粗细适中，完美！</t>
  </si>
  <si>
    <t>皮鞋👞底很不错 很软很舒服</t>
  </si>
  <si>
    <t>是我喜欢的款 非常好，是我喜欢的标准款，喜欢裤管宽一点，裤腿长一点的。</t>
  </si>
  <si>
    <t>还行 好长！不过适合晚上，贴合度一般</t>
  </si>
  <si>
    <t>沙漠中行走很耐磨！ 质量很好！款式特别！</t>
  </si>
  <si>
    <t>香蕉 香蕉这个设计是非常合理的，孩子不会戳到喉咙，而且好抓握</t>
  </si>
  <si>
    <t>商品已收到，非常满意！ 商品已收到，非常满意！</t>
  </si>
  <si>
    <t>Very good 非常好用，被震到了！有种家电都想买这个牌子的冲动，</t>
  </si>
  <si>
    <t>很不错 适合半程和平时训练用。 选码的适合建议比平时的运动鞋大0.5-1码</t>
  </si>
  <si>
    <t>衣服评论 衣服很好，可我买大了一号，不想换了，怕麻烦，随便穿吧。</t>
  </si>
  <si>
    <t>卷边 东西还不错，就是卷边，已闲置</t>
  </si>
  <si>
    <t>适合每次月经量很少的女性。 好看，但是和其他品牌的卫生巾相比尺寸要小，也薄很多，容易侧漏，性价比不高。</t>
  </si>
  <si>
    <t>鞋底 鞋底太薄，鞋底太薄，鞋底太薄</t>
  </si>
  <si>
    <t>太大了，太大了。 太大了，一米八，190斤，买大了一号</t>
  </si>
  <si>
    <t>这里的假货很高尚，叫做复制品！ 太牛了，能假的在明显点吗？！袖标呢？印花都裂了当我们消费者是傻子吗？</t>
  </si>
  <si>
    <t>这是真的吗？ 包装是打开的，官网上查不到这款产品，盒子上写着Made In China惊呆了我，我还以为万恶的美国货怎么也比国内的高大上呢，谁知道是不是国内华强北制造。</t>
  </si>
  <si>
    <t>版型偏大 衣服有点薄，是美亚买的，版型非常大，其他都还好！黑色和白色不是一个地方产的，手感有点不同，其他还好</t>
  </si>
  <si>
    <t>写入速度蛮快 实际容量3.6T，写入速度快，美亚海外购的，还收了些税费，个人觉得还算划算。</t>
  </si>
  <si>
    <t>袖长衣短 确实符合倒三角身材的人，肚子大就尴尬了。身高178，体重83，正好</t>
  </si>
  <si>
    <t>过得去 42的脚应该买9.5us 不过9us也能穿的</t>
  </si>
  <si>
    <t>还好吧！ 偏硬。磨脚！不是很舒服！下次买经典的牛津底好！脚250的，选255的挺好</t>
  </si>
  <si>
    <t>薄款牛仔衣，很好 薄款，很有型，本人163cm, 55公斤，买S号，刚刚好。</t>
  </si>
  <si>
    <t>亚马逊自营还不错 包装比较简单，但是货品完好，很幸运。读写速度满意，基本上没有什么噪音。郁闷的是买的时机不好，多花了不少钱。</t>
  </si>
  <si>
    <t>很棒 做工、质地、款式、色泽都是棒棒滴！性价比超高的一款产品！</t>
  </si>
  <si>
    <t>质量非常好 质量非常好，这是在此平台最满意的一次购物</t>
  </si>
  <si>
    <t>东西值这个价 挺轻的，值这个价</t>
  </si>
  <si>
    <t>danner物有所值 第一次在亚马逊就买到自己心爱已久的宝贝 danner的做工没让我失望</t>
  </si>
  <si>
    <t>此颜色款式配图错误，尺码合适。 商品配图是错误的，不是图片的样式。（其他颜色的款式） 大小合适（183/72），质地还可以。还是5星好评。</t>
  </si>
  <si>
    <t>不错 一般人必须小两码才合适，很薄，但是纯棉的，可以运动穿也可以当睡衣，我是比较满意，体型偏瘦的请自觉忽略，撑不起衣服的，与拉尔夫劳伦的款式码数一个样！健壮甚至偏胖的人才撑得起！性价比不错，穿坏也不心痛~便宜~哈哈哈</t>
  </si>
  <si>
    <t>值 保温效果很好，很轻</t>
  </si>
  <si>
    <t>不错的杯子 非常漂亮，好用。价格好</t>
  </si>
  <si>
    <t>颜值爆表 很漂亮，颜值爆表，很喜欢，这个价格在国内买不到恒温龙头，国内起码一千多起步，非常满意</t>
  </si>
  <si>
    <t>非常好看的皮鞋，穿着舒适，行走轻快，是真真的好鞋，我非常满意，我给个赞！ 非常好看的皮鞋，穿着舒适，行走轻快，是真真的好鞋，我非常满意，我给个赞！</t>
  </si>
  <si>
    <t>质量很好 亚马逊德国直邮，物流很快，收到后很龙头厚重，比国产重很多，阀体阻尼感很强，好东西。高颜值！</t>
  </si>
  <si>
    <t>价格靠谱，不知道为什么海外购会比京东便宜这么多 普通用够使了，但是太大，弹簧太紧容易蹩一起，但是这么便宜还要啥自行车</t>
  </si>
  <si>
    <t>可以 质量还是不错的，自带的是蓝色墨水，感觉还是贵了些</t>
  </si>
  <si>
    <t>正品 是正品，正在使用，非常满意</t>
  </si>
  <si>
    <t>有点异味 k忠粉（就是体重太大），这次的有异味其他完美</t>
  </si>
  <si>
    <t>总体满分呐 看起来质量很好 盒子也很漂亮 就是没有ck的手提袋感觉怪怪的</t>
  </si>
  <si>
    <t>正品 做工很好，给产后备的</t>
  </si>
  <si>
    <t>好 面料很舒服，欧版</t>
  </si>
  <si>
    <t>舒适 实惠 快捷 非常舒适的鞋子 走路不累 里面薄绒 500多买的 这个价格在商场里只能买双杂牌 脚背稍稍有点低的</t>
  </si>
  <si>
    <t>喜欢 还不错，和想象中的差不多。</t>
  </si>
  <si>
    <t>质感很好呢 勺子的质感好好，能满足对质感的追求</t>
  </si>
  <si>
    <t>小一码合身，但真的很薄了 178cm，73.5kg，稍有健身，m是刚刚合身的尺码。但是也太薄了？薄到不敢相信这个价位。优点是这个抓绒真的非常舒服，美版吊牌没有显示是否可以贴身，但是我脖子接触的地方很柔和，个人认为想贴身也没问题。总之给出一般都评价吧。</t>
  </si>
  <si>
    <t>裤腿太大了，裤脚也宽 裤腿太大了，裤脚也宽，，，，，，</t>
  </si>
  <si>
    <t>不合适 又大又长，平时穿37的，买了6码的，比我37码的鞋长好多，而且显得脚很大！鞋桶很细，穿进去又特费劲，花了半天才脱下来</t>
  </si>
  <si>
    <t>无语 实在很无语，当时买的时候说是通用的，买回来才发现根本就不是网上说的通用，需要转接头才可以，找了很多地方都没有可以匹配的转接头，建议国内的人不要买</t>
  </si>
  <si>
    <t>怀疑真假 有杂质，有白色的不明物质，以前天猫官网买的没有，而且这个巨甜，严重怀疑是否正品。</t>
  </si>
  <si>
    <t>还行 星期五的海外购的，很快，基本8天到手。价格不是最低的，基本加税要400多吧，后来发现京东价格更便宜，大概300多吧。 滤水壶很小巧，过滤水效果还是蛮好的，但是过滤器的底下会有一层积水，这个让我很纠结。有积水的话，必须等下次滤水才能下去，担心水的干净纯度，如果几天不用滤水壶，那后果不可想像，我觉得这是设计上的一个bug</t>
  </si>
  <si>
    <t>不错质量 挺好的，应该是真皮。</t>
  </si>
  <si>
    <t>四星 跟想象中不太一样 但也很好</t>
  </si>
  <si>
    <t>五分失望 鞋盒一如既往的烂了，产地不是国内厦门，赶紧看了细节果然不行，大底和造型磨具封胶不全，有缺失和坑洞。装饰珠子也不够亮再看周围皮质气孔开孔，粗糙不齐甚至有些翻毛了。鞋垫没什么问题，内底对车线的封胶太凑合了，你们会买奶油涂抹不均匀的蛋糕吗？泰产哎，勉强四星了！预计这鞋我穿不过一季！</t>
  </si>
  <si>
    <t>核实 看上面写的不是送皮包吗 怎么没有 请核实 货不错 质量有保证</t>
  </si>
  <si>
    <t>几乎完美 这款靴子非常帅气，感觉比大黄靴更好看，580入手的，超值了。就是鞋面皮子，很容易划伤</t>
  </si>
  <si>
    <t>好 小熊糖，养娃必备呀哈哈哈</t>
  </si>
  <si>
    <t>好鞋 轻便舒适透气，好鞋。</t>
  </si>
  <si>
    <t>合适 老公比较壮，身体很厚。176/80kg的样子，在美国也一直要穿L，这个号码很合适。</t>
  </si>
  <si>
    <t>还行 耳机还是可以的，就是塑料感依旧那么强……</t>
  </si>
  <si>
    <t>没有异味，不错！ 没有异味，材质看起来不错！稍微有点容易粘毛。用没几次推车到楼下逛逛，宝宝玩着玩着弄丢了，可能也就两三百米的路回去找就找不到了，应该是被人捡走了。</t>
  </si>
  <si>
    <t>还行吧！ 晚上随便拍了一张原谅我用的几百块手机上古像素。东西也就这样。比淘宝几十块好点。</t>
  </si>
  <si>
    <t>过大过长 过大，美板。个低1.75m 的小号都大很多。质地好的。</t>
  </si>
  <si>
    <t>漂亮 女儿很喜欢，我觉得比较大气。</t>
  </si>
  <si>
    <t>超级好 一级棒哈哈</t>
  </si>
  <si>
    <t>舒服 买个肥妈妈的，最大号合适，她说是她穿过最舒服的内衣</t>
  </si>
  <si>
    <t>好评 实在是太棒了，超级好用，一点味道都没有，之前看评论说有气味，还挺担心的，收到后闻了闻一点味儿也没有，用了多个品牌的奶瓶都没有这个品牌好用，亚马逊海外购就是方便，从下单到收货刚好十天</t>
  </si>
  <si>
    <t>一般般 172cm 75kg 不长 不太像美码的东西 可能款式有别吧 原产萨尔瓦多 质量做工都一般 也就值这个价了</t>
  </si>
  <si>
    <t>Lexar Professional SDXC UHS-II Card 黑色 32 GB ... 已收到！ 包装仔细，到货很快！价格合理，关税很高！</t>
  </si>
  <si>
    <t>满意 价格合适，鞋号和平时穿的一样，试穿感觉还不错。</t>
  </si>
  <si>
    <t>不错 非常好，172，70穿M的很合适</t>
  </si>
  <si>
    <t>满意～ 牛仔裤很舒服的，合适的，弹性好。</t>
  </si>
  <si>
    <t>不错 做工，面料质感都不错，比较薄</t>
  </si>
  <si>
    <t>绿标 看着做工不错，大小合适，是绿标的。</t>
  </si>
  <si>
    <t>添柏岚短靴 添柏岚短靴，鞋型很喜欢，穿着舒适</t>
  </si>
  <si>
    <t>一次满意的购物 物美价廉。颜色时尚。</t>
  </si>
  <si>
    <t>尺码发错了 裤子沿上的纸标是34*32，裤腿上贴的塑料皮标的是32*34，实际尺寸是32*34.老外做事还是蛮不靠谱的...</t>
  </si>
  <si>
    <t>有缺点，还算可以吧 相比之前买的施耐德 钢笔BK402 性价比略低，这款笔较粗狂，写字稍微偏些，就有可能不出水，挑位置，不过书写还是满流畅了</t>
  </si>
  <si>
    <t>漏水啊咋办 起泡器那里漏水啊，可抽拉那一小节，起泡器无论拧多紧都漏水，不要套管直接拧上去又不漏，真搞不明白</t>
  </si>
  <si>
    <t>垃圾亚马逊 左上角按键有问题。包裹到手明显被拆开，没任何解释。中国亚马逊就是垃圾。</t>
  </si>
  <si>
    <t>一颗星！ 88的臀围穿着小宽松，面料很轻薄舒服。其实这个并不是重点，重点是，很难说出口原因，裤裆夹肉！无比难受，根本不能穿，哪怕买六块钱一条的便宜货，也不至于这样吧，太让人失望了。</t>
  </si>
  <si>
    <t>如果想穿得宽松点，可买大一号。 如果想穿得宽松点，可买大一号。</t>
  </si>
  <si>
    <t>尺寸合适 尺寸合适，按着海外购的欧码购买的，平时穿41码，这双鞋7.5M(41码)显示鞋长是255mm,适合自己； 穿着挺舒服的，鞋壁略薄，长时间在哈尔滨零下二十几度应该会冷的，仔细看表面有少许划痕，胶水粘合还可以，整体印象不错； 鞋子made in china</t>
  </si>
  <si>
    <t>希望能还改善 下单到收到货就几天跟国内物流一样的  有点担心是不是正品</t>
  </si>
  <si>
    <t>有所不足，怀疑买到的是假鞋 左右两只鞋不一样，看鞋带那位置，右脚鞋带明显斜一些。鞋面的胶处理的也不是很好</t>
  </si>
  <si>
    <t>很平实的牛仔裤 第一次买LEE的牛仔裤，果不其然买大了，腰围101买40码的大，38正好，不影响使用，改改还能穿，买的时候要注意是直筒修身的，还是宽松的，舒适的，这个商品标题都是写的清清楚楚的，要仔细看。平平常常的一条牛仔裤，比较价位在那里放着</t>
  </si>
  <si>
    <t>奶瓶很适口 首先吐槽一下包装，亚马逊的包装还是一如既往的飘逸，如果是送人的话，盒子变形恐怕比较难看。当然最终还是要回归商品质量，确实不错，软软的瓶身，防漏环，以及奶嘴的形状，都设计很好。</t>
  </si>
  <si>
    <t>亲子帽 很好，跟童款可搭配亲子</t>
  </si>
  <si>
    <t>k k 我高165重140穿这个裤子刚刚好，长短大小正合适</t>
  </si>
  <si>
    <t>不错 本人175CM，86KG，属于胖人，肚子比较大，L码合身，唯独肚子那里稍紧了一点点。质量没问题，打底衫这三个颜色也是很不错的。之前买过CK的跟这一样的三件套打底衫XL码的，就买大了一码。</t>
  </si>
  <si>
    <t>不错的修身裤 修身版裤型，有弹性，布料柔软穿着舒适，尺码跟国内一致。</t>
  </si>
  <si>
    <t>超值！ 看了评论，特意买大了半码，结果还是很合适的，这是亚马逊买的第四双puma了。这双除了有一条划痕瑕疵外，其他都很完美，可以理解，漂洋过海运过来，难免。总之很喜欢这双高达配色！！！</t>
  </si>
  <si>
    <t>漂亮 一直用象印的保温壶，漂亮，保温可以</t>
  </si>
  <si>
    <t>非常满意的一次购物。 颜色款型都喜欢，非常满意。</t>
  </si>
  <si>
    <t>书写流利 字体较粗，笔杆连接螺丝松松垮垮，写起来有点晃，而且笔杆塑料非常轻巧，写的时候总担心用力大了会损毁的样子，不过这样的担心是多余的。 下水非常流利均匀，有了它我这个懒人开始看书写字了。</t>
  </si>
  <si>
    <t>物美价廉 脚感很不错，具体要穿下来再看</t>
  </si>
  <si>
    <t>厚，重！ 12月28日下单，1月15号才到。 裤子很厚，很沉，冬天穿合适。 裤子内部有些许线头。 整体推荐购买。</t>
  </si>
  <si>
    <t>推荐购买 放在918+内使用，噪音较小，比企业盘声音小多了，实测160m/s左右.可以接受。</t>
  </si>
  <si>
    <t>非常满意！ 喜欢</t>
  </si>
  <si>
    <t>需要中文 没有中文说明书，建议补充</t>
  </si>
  <si>
    <t>很好用 买了两个，其中一件的盒子是打开过的，但里面的主机配件都是单独密封，所以就留下了，很好用，价格实惠~</t>
  </si>
  <si>
    <t>小巧 精致 小巧 精致 出门比较方便 注意尺寸 不大 价格算下来二百二十多 给你萌参考</t>
  </si>
  <si>
    <t>比较合算 应该是正品，比较合算。</t>
  </si>
  <si>
    <t>没有 只能说一般般的难得退 跟实体店不太一样</t>
  </si>
  <si>
    <t>很有安全感 体积特别适合携带，比起以前1T的，要沉一些，很有安全感，可以防雨吧。</t>
  </si>
  <si>
    <t>好东西，喜欢 感谢亚马逊，能买到这么便宜的ecco，大小合适</t>
  </si>
  <si>
    <t>包装太简陋了 没有外包装，就这么飘洋过海的裸奔来了。还好没有破损，滤芯也是升级版，日期也新鲜。</t>
  </si>
  <si>
    <t>很好 我身高168，体重50kg，日版L码正合适。</t>
  </si>
  <si>
    <t>产品质量问题 我穿了一天，隔天看，有质量问题，盒子也丢了！</t>
  </si>
  <si>
    <t>鞋好，有点小瑕疵 几点想法吧。1.鞋子很好，但是亚马逊官网给的尺码表和Timberland给出的尺码表不一样。我按亚马逊的买的，大了一厘米，穿起来感觉有点大，但想到退货时间，也就算了，凑活穿吧。阿迪鞋穿42的，这次买的9.5，应该买8.5的。2.亚马逊客服很好，但是预计送达日日期不够准确，因为这日期我晚回家两天，虽然客服给退了运费。所以我说客服很好，希望亚马逊能细化完善运送。3.感谢亚马逊吧，虽然出了点问题，毕竟给我们提供了一个新的购物通道。</t>
  </si>
  <si>
    <t>卡洛驰质量变差了 才穿了一个月左右，里面已经脱胶了，现在卡洛驰的质量真的越来越差了，量大了价格高了质量却下降了，真的很失望！</t>
  </si>
  <si>
    <t>有多处瑕疵！懒得打客服电话墨迹了！！不过亚马逊的客服真心不错！ 瑕疵严重，几处蹭皮的地方！！我不明白，难道亚马逊买的东西打折了就得是次品么？？如果不是鞋底干净，我会怀疑是别人穿过！！</t>
  </si>
  <si>
    <t>产品很描述不一致 也太简单了，连个说明书都没有！我定的H70455133，表上是H704450，是不是弄错了！第一次这里购物，遇到这样的事情！</t>
  </si>
  <si>
    <t>笔是真笔，实物与描述不符 并没有所说的礼盒和拎袋，笔就是装在一个很简单的小盒子里，然后直接用文件袋包着送过来，连减震什么的措施都没有，送来时笔盒被压的不成样子。差评差评！</t>
  </si>
  <si>
    <t>简单大方 比较喜欢，整体设计简单大方，书写流畅。就是有点沉，换墨囊后出墨有延迟。</t>
  </si>
  <si>
    <t>备货 一直都在用，上线虽然是180，但是可以装240左右，而且存放也比其他的方便！平着放更节省空间！</t>
  </si>
  <si>
    <t>一般般 一般般，看评论推介买的</t>
  </si>
  <si>
    <t>😊 42码  刚刚好 穿着很舒服</t>
  </si>
  <si>
    <t>绝对的正品 东西很满意 穿着很舒适</t>
  </si>
  <si>
    <t>偏小 款式OK &lt;div id="video-block-R1COVEMAXEE6CN" class="a-section a-spacing-small a-spacing-top-mini video-block"&gt;&lt;div tabindex="0" class="airy airy-svg vmin-unsupported airy-skin-beacon" style="background-color: rgb(0, 0, 0); position: relative; width: 100%; height: 100%; font-size: 0px; overflow: hidden; outline: none;"&gt;&lt;div class="airy-renderer-container" style="position: relative; height: 100%; width: 100%;"&gt;&lt;video id="7" preload="auto" src="https://images-cn.ssl-images-amazon.com/images/I/81XAPmkw1zS.mp4" style="position: absolute; left: 0px; top: 0px; overflow: hidden; height: 1px; width: 1px;"&gt;&lt;/video&gt;&lt;/div&gt;&lt;div id="airy-slate-preload" style="background-color: rgb(0, 0, 0); background-image: url(&amp;quot;https://images-cn.ssl-images-amazon.com/images/I/81o4974k4YS.png&amp;quot;);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center;"&gt;0:05&lt;/div&gt;&lt;div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 style="width: 100%;"&gt;&lt;/div&gt;&lt;div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value="https://images-cn.ssl-images-amazon.com/images/I/81XAPmkw1zS.mp4" class="video-url"&gt;&lt;input type="hidden" name="" value="https://images-cn.ssl-images-amazon.com/images/I/81o4974k4YS.png" class="video-slate-img-url"&gt;&amp;nbsp;172买m偏小 正常身材170-175 买l会好一点</t>
  </si>
  <si>
    <t>穿着舒适。 鞋穿着舒适。</t>
  </si>
  <si>
    <t>价格实惠，正品 葡萄牙产的，不错不错</t>
  </si>
  <si>
    <t>又快又好 非常棒!一周就收到了！ 比预估提前好几天!尺码合适，价格实惠，就等着出去玩儿啦！</t>
  </si>
  <si>
    <t>长跑推荐 一年多来，鞋子如初，跑了大约200公里，还是和新的一样，记得买大一码，我的脚255，这款必须选41.5，长跑本来就会脚肿的哦！</t>
  </si>
  <si>
    <t>开心的一次德亚购 超级满意，第一次亚马逊购物而且是海外德亚购，如此遥远，机器完好无损。而且还是5个配件，太好了，我又给家人买了一台，希望寄到的机器跟我收到的一样。还会继续亚马逊购物。</t>
  </si>
  <si>
    <t>衣服橙黄 衣服橙黄不是普通黄较大建议小一码</t>
  </si>
  <si>
    <t>孩子喜欢的口味 遇上打对折买的，口味孩子很喜欢</t>
  </si>
  <si>
    <t>是银色的，是我要的，很满意，麦霸必备。 通透，还原我那动人的歌声。麦霸必备，我是Z秒714入手，给以后的朋友们参考价格，做工是很好，我看写的是MADE IN 德国。总之是以前一直想买，亚马逊的秒杀买到这个价格，满意！十分满意！</t>
  </si>
  <si>
    <t>物好价廉 女儿很喜欢</t>
  </si>
  <si>
    <t>满意 满意！好用！便宜！喜欢！</t>
  </si>
  <si>
    <t>很好 超级好用！喜欢，尤其颜色，太喜欢了</t>
  </si>
  <si>
    <t>就是舒服啊～ 鞋底支撑好，比马丁靴好，特别好，非常突出的好</t>
  </si>
  <si>
    <t>好东东 质量好，透气性良好。就是小了一点点。</t>
  </si>
  <si>
    <t>超级舒适 支撑又不紧绷，超级舒适</t>
  </si>
  <si>
    <t>真皮，物超所值 没想到竟然是真皮的，真是物超所值！就是稍微小了一点。只比a4纸大一点。</t>
  </si>
  <si>
    <t>尺码正好 43码，和常规穿的鞋子码数一致，质量很好，鞋底缓存明显，很成功的海外购物体验</t>
  </si>
  <si>
    <t>很好的壶 挺好的保温壶</t>
  </si>
  <si>
    <t>好 保温好，比虎牌好，颜色也正</t>
  </si>
  <si>
    <t>很满意的商品！ 质量很好，值得拥有！</t>
  </si>
  <si>
    <t>糟糕的包装 包装太简陋了，锅子本身没有盒子，亚马逊只是用纸壳简单包套，完全没有抗压的填充保护，这样运输太不负责任了，幸亏锅子没有变形</t>
  </si>
  <si>
    <t>太轻 个人觉得太轻了，手感还行，没有预想的那样好！就这样！</t>
  </si>
  <si>
    <t>袖口有划伤 质量还可以，就是拿到以后袖口有划伤。不知道能不能修复</t>
  </si>
  <si>
    <t>还行 配件没有送全</t>
  </si>
  <si>
    <t>垃圾亚马逊 买的钢笔邮寄过来就用了个信封，收到已经压坏了。退回去要付400多的运费，收到之后转成礼品卡形式返回，并且程序需要1-2个月！明明是自己的问题还要顾客承担损失！再也不会买了！垃圾！</t>
  </si>
  <si>
    <t>质量问题 东西不好，里边的胸垫往外跑。千万不要买了</t>
  </si>
  <si>
    <t>没有 太阳能喜欢，表盘太小</t>
  </si>
  <si>
    <t>37码6.5刚刚好！ 好看的好看的 版型确实略有些显脚大 但不没有太碍事</t>
  </si>
  <si>
    <t>还行，没有想象的那么好 还行，没有想象的那么好</t>
  </si>
  <si>
    <t>料子跟以前不一样了 以前买过，这次会员日买了两套，收到发现跟以前料子不一样了，变薄了！不过穿起来还是蛮舒服</t>
  </si>
  <si>
    <t>没什么特别要说的，只是没有感觉 整体挺棒的。没什么特别要说的。</t>
  </si>
  <si>
    <t>不错的 不错的，有点硬，但是可以的</t>
  </si>
  <si>
    <t>感觉不错 写入速度一般在70到80M，根据文件类型有所不同。还是蛮快的，质量觉得还可以</t>
  </si>
  <si>
    <t>好 可以</t>
  </si>
  <si>
    <t>物美价廉！ 好！物美价廉！而且是名牌！海外购又的东西国内就不要考虑了！</t>
  </si>
  <si>
    <t>飞利浦电动牙刷很好用 快递非常快速！电动牙刷很好用！两年全球联保！值得放心！刷牙牙齿变白了！人手一个！</t>
  </si>
  <si>
    <t>希捷台式机硬盘 希捷台式机硬盘，声音轻温度低，但是速度比7200转的低。</t>
  </si>
  <si>
    <t>质优价美 很不错，是国内价钱的一半。和面动力强大，颜值稳重大气。</t>
  </si>
  <si>
    <t>nice shoes It‘s really a great shopping experience，this pair of shoes is wonderful，highly recommend to everyone who wants it！</t>
  </si>
  <si>
    <t>满意 炫酷！！！ 就要的这种！很适合刚入职的年轻人！ 快递很快，比预计提前了一周！</t>
  </si>
  <si>
    <t>推荐购买 真的不错！50公斤、身高162穿S正好。再说质量上乘，棉质的舒适。</t>
  </si>
  <si>
    <t>一直戴着 质量好，游泳、洗澡都戴着。</t>
  </si>
  <si>
    <t>值得买 价格合适，物流很快，34的脚，这个买的UK3码，很合适，就是刚买完就降价了什么鬼</t>
  </si>
  <si>
    <t>正品，好用 不是假货啊，和官方店买电动牙刷送的牙刷头是一样的…很多人都在喷字体说实话我不知道字体咋了，这个字体是磨砂的也没有不清晰不牢固会掉色啥的 我觉得你说它丑可以 但仅仅凭这个字体说它是假货有点一言难尽 质量也和之前官网送的刷头一样 反正我用的没有问题</t>
  </si>
  <si>
    <t>走时准，难撞表 走时准，表盘大小适合瘦手。</t>
  </si>
  <si>
    <t>质量好舒服 质量比国内的好很多，二次购买了</t>
  </si>
  <si>
    <t>东西不错 东西很不错，价格也毕竟适合。</t>
  </si>
  <si>
    <t>舒服 尺码合适，比21轻了很多</t>
  </si>
  <si>
    <t>喜欢 孩子上学每天都在用，非常好看和实用</t>
  </si>
  <si>
    <t>尺码 180,70公斤，袖子下摆都略短。高的可以适当加码。质量没得说</t>
  </si>
  <si>
    <t>喜欢这款文胸 喜欢 穿着舒适。净胸围94 xl合适。不紧绷。中国制造。</t>
  </si>
  <si>
    <t>好 裤子纯棉加绒保暖性好</t>
  </si>
  <si>
    <t>性价比高。 1T版，之前买过512G版。性价比高！</t>
  </si>
  <si>
    <t>才用两次，中间三个孔就不动了 才用两次，中间三个孔就不动了。水垢再厉害也不会这么快吧</t>
  </si>
  <si>
    <t>降噪效果 外观整体品质还算不错，音质也还好听听音乐完全可以，降噪效果不明显。</t>
  </si>
  <si>
    <t>可以吧 还可以，沉重有了，但是勺柄略短，没有在宜家用的那种质感好</t>
  </si>
  <si>
    <t>皮上有磨损 海外购，懒得换了，东西倒是真皮的</t>
  </si>
  <si>
    <t>有明显划痕 有明显划痕</t>
  </si>
  <si>
    <t>严重挤脚面 差评差评差评，买的正常脚码，脚面太紧了，早上穿出来上班，个把小时脚勒得就受不了了，退了运费划不来，留着也穿不了，实在是鸡肋，恨不得脱了光脚走</t>
  </si>
  <si>
    <t>OK 质量还可以，180穿L略宽松</t>
  </si>
  <si>
    <t>包装很好(✪▽✪) 我以为运过来纸盒会被压扁的结果没有，包装保护的很好。笔芯真的很好用(✪▽✪)</t>
  </si>
  <si>
    <t>比较厚实 158，53，长短合适，但有点瘦。挺暖和。</t>
  </si>
  <si>
    <t>用着挺好，性价比不够高 东西使用还是不错，就是感觉贵了，就产品的设计和使用效果来看，并无什么特别之处。</t>
  </si>
  <si>
    <t>拍下缺货 东西不错，但是拍下付款后缺货，等了半个月</t>
  </si>
  <si>
    <t>颜色艳丽 完美，没有破损，颜色漂亮，非常喜欢</t>
  </si>
  <si>
    <t>好 非常满意</t>
  </si>
  <si>
    <t>买大了一号 我177，75kg，属于比较精干的那种，结果36号的大了，得自己钻孔，买34或32的估计就完美了</t>
  </si>
  <si>
    <t>尺码 大小合适，磨合几天后很舒服，运动鞋44。户外鞋43.5，希望对你们有帮助</t>
  </si>
  <si>
    <t>德国品质 &lt;div id="video-block-R3P0UJ1U05OUNK" class="a-section a-spacing-small a-spacing-top-mini video-block"&gt;&lt;/div&gt;&lt;input type="hidden" name="" value="https://images-cn.ssl-images-amazon.com/images/I/81b3697yK0S.mp4" class="video-url"&gt;&lt;input type="hidden" name="" value="https://images-cn.ssl-images-amazon.com/images/I/71AMQ0eY+7S.png" class="video-slate-img-url"&gt;&amp;nbsp;东西很好、包装精美。德国运到家。壶和国内买的都一样！重点是滤芯是新款、没有黑磨磨、缺点是我买完之后想再买一个的时候、价格提高了近300块！这样性价就不高了</t>
  </si>
  <si>
    <t>长期服用 作为日常保养还是挺有效的。</t>
  </si>
  <si>
    <t>物有所值 比想象中轻一些 而且显得脚很瘦 不会很大 尺码合适 颜色也很百搭 最活动买没给运费挺划算的</t>
  </si>
  <si>
    <t>喜欢 里面会有硅胶正常酸酸的味道 之前接触过硅胶的生产所以觉得这点味道属于正常范围 摸上去很柔软 奶嘴超级软 希望宝宝到时候能接受</t>
  </si>
  <si>
    <t>音质好 用的次数不多  音质很好</t>
  </si>
  <si>
    <t>音质很好 音质非常好，第一次把自己的声音听的这么清楚</t>
  </si>
  <si>
    <t>别的颜色想再买一条哈哈 颜色很棒，版型也很棒，162cm50公斤，腰围64-65，臀围89，正好合适，贴身，但是我觉得有点长了。</t>
  </si>
  <si>
    <t>使用感受 先说用途，如果不是经常旅行但是有相关需求的人，建议买家庭版，至少水箱大些。我牙缝较宽，这款产品能有效的清理进食坚果、肉类、米饭后残留的沫渣，但是对进食米饭之类食物后产生的不成型的，几近糊状粘附在牙齿侧面的物质，略有点力不从心，需要先用牙线/牙线棒对着镜子清理后再用水牙线来收尾</t>
  </si>
  <si>
    <t>非常好的产品 平时早餐用非常方便。</t>
  </si>
  <si>
    <t>很好很好 一如既往地好。亚马逊很棒。</t>
  </si>
  <si>
    <t>好小一个 这个24色里面至少有14色在48色里面都是有的，我去，白买了，这么贵，还这么多重色的，真是浪费，虽然质量挺好的，真的，画人像特别好</t>
  </si>
  <si>
    <t>很好 穿着很舒适</t>
  </si>
  <si>
    <t>feedback 尺寸材质都ok,有一条局部有一道印记，小瑕疵。</t>
  </si>
  <si>
    <t>合身价格优惠 我身高178，体重200斤，刚刚好</t>
  </si>
  <si>
    <t>合适，不光是脚 可以，这个价格合适这双鞋</t>
  </si>
  <si>
    <t>美版，稍大 材质柔软舒适，上身效果好显精神 身高186，  150斤，衣服肩宽47胸围120衣长65，</t>
  </si>
  <si>
    <t>性价比 大小合适 从美国运来用了一周 还蛮快的</t>
  </si>
  <si>
    <t>很舒服 工鞋除了有点重，其他都很完美。</t>
  </si>
  <si>
    <t>卡的质量不可信任，我认为不是正品闪迪CF卡 我在你们店买了一张闪迪32G160/150MCF卡和两张闪迪32G126/60CF卡，最近带出去使用，发现32G160/150CF卡往计算机里输入照片的速度是80M左右，一张32G120/60CF卡往计算机里输入照片的速度是90M左右，另一张32G120/60CF卡往计算机里输入照片的速度是50M左右，这时再仔细看CF卡上贴的标签，剪切的歪歪斜斜，与我原来买的正品闪迪CF卡相比就显得非常明显了。</t>
  </si>
  <si>
    <t>图案模糊 质量完全超出预期的差，懒得退货了</t>
  </si>
  <si>
    <t>鞋舌头，不一样，购买的请酌情加入考虑。 鞋子也就那样，尺码感觉正。符合工装靴感觉。舒适度还可以对比劳保鞋，和运动鞋肯定不一样。可是鞋的舌头差别也没大了吧，擦鞋的时候看到的，真的脑瓜子疼。</t>
  </si>
  <si>
    <t>裤子大 平时穿L的裤子 结果买了L号 超级大 而且长</t>
  </si>
  <si>
    <t>男装？ Are you kidding me？发的是男衬衫吧.M码给男的穿都大</t>
  </si>
  <si>
    <t>版型不对 尺码太大。根本不能穿</t>
  </si>
  <si>
    <t>还可以的 宽松版的运动裤，很宽松</t>
  </si>
  <si>
    <t>不太适合 适合欧美人体型，不适合亚洲人</t>
  </si>
  <si>
    <t>可以接受 洪都拉斯产的，价格便宜，质量也算对得起价格。</t>
  </si>
  <si>
    <t>容量 大小很合适，方便出行携带随身物品</t>
  </si>
  <si>
    <t>稍稍大 试穿后又仔细看了下尺码对照表，德国🇩🇪和英国发货的商品尺码稍有差异，同样3.5，德国的稍大。中国36的运动鞋，这款3.5uk, 需要垫个鞋垫才行。板鞋类，也是偏大的原因。大了会不跟脚。</t>
  </si>
  <si>
    <t>目前使用很不错 一开始我的win7识别不了，要用usb软件装完驱动才能正常使用，刚到，就是外包装很差感觉二手，可里面机子很新，目前不错，比1t硬盘要厚，但长宽要小</t>
  </si>
  <si>
    <t>好 国内少见的款式，安装并不复杂。</t>
  </si>
  <si>
    <t>满意 很好，只是鞋号偏大。</t>
  </si>
  <si>
    <t>声场准确，声音醇厚，听无损不错 声场准确，声音醇厚，听无损不错 听普通MP3就效果很一般 可能我前端是笔记本直插的原因</t>
  </si>
  <si>
    <t>产地中国，鞋子质量上乘。 码子还是很标准的，平时穿多太码，就买多大的；产地中国，鞋子质量上乘。</t>
  </si>
  <si>
    <t>物美价廉 我是第一次在亚马逊买东西，之前在店里看了很多次了，试的服务员都烦我啦😭但真的是觉得这鞋花2000元买有点奢侈。还好有亚马逊啊，直接减了一大半钱，必须买下。刚开始还做好了一个月到的准备，没想到才两个星期，又是一个惊喜。好的不得了</t>
  </si>
  <si>
    <t>使用体验 宝宝用的刚好，不错哦！</t>
  </si>
  <si>
    <t>很有型的裤子 非常不错，很有型。布料也很厚实适合春秋冬穿</t>
  </si>
  <si>
    <t>挺好 还不错，165,62M码挺合适。</t>
  </si>
  <si>
    <t>可以 质量挺好，孩子也喜欢。</t>
  </si>
  <si>
    <t>选粉米色 粉米色颜色很好，是最接近腿部自然状态的颜色啦。这个牌子的丝袜就不用说了，穿过以后，柜子里其他丝袜都不想再穿啦。</t>
  </si>
  <si>
    <t>非常满意的一条裤子，强烈推荐！ 有了亚马逊的海外购，再也不要去什么OUTLETS了，坑蒙拐骗的不少。 这款裤子非常合身，尺码精准，面料厚薄合适，特备适合春秋冬季节穿着；裤子做工精良，尤其加入41% Polyester/2% Spandex后，抗皱性能大幅提高，初次洗涤加入适量的白醋浸泡后没有褪色现象发生，大爱！ 本人身高183cm、80Kg，购买的36X32如同量身定做般合适，供大家参考！ 强烈推荐大家购买！</t>
  </si>
  <si>
    <t>Clark’s男鞋 产地越南，质量很好，和脚舒适；分层鞋底，可能改善鞋内空气流通，待穿一段时间后再追加评论。总之，第一眼的感觉就是好评。</t>
  </si>
  <si>
    <t>值得购买 26日下单，10日收货，感觉等了好久，还好到手包装物品完好无损。测试了各项功能正常，很值得入手的经典腕表。</t>
  </si>
  <si>
    <t>好 180mm70kg，32*34腰稍有些肥，长度合适，价格喜人</t>
  </si>
  <si>
    <t>有点长 买的时候没看清楚，这个短裤有点长，其他都还好</t>
  </si>
  <si>
    <t>鞋帮有点紧 开始穿时鞋帮有点紧。</t>
  </si>
  <si>
    <t>多少有些名不副实，但还是很喜欢 这几年国内好像对champion的品牌又起了一股追风潮，各种帽衫T恤等在街上随处可见，但国内售价确乎有些偏高，于是就打起了海淘的主意； 近段实拣，champion的衣服活动挺多的，海外购价格便宜，加上prime会员满200包邮，入手价格真心不错了； 收货速度维持一贯的准时，一周左右，到手发现其质量跟名气多少有些不对等，但也不会差到哪去，另外款型也确实不错，抓绒的内里也提供的一定的保暖性，在初冬之际单穿也挺合适，整体说来，还是挺满意的。</t>
  </si>
  <si>
    <t>质量好 孩子很喜欢质量不错</t>
  </si>
  <si>
    <t>合脚，轻。 很轻，很好穿。</t>
  </si>
  <si>
    <t>用后牙齿变白，变亮了。 昨天下午收到的这年冲牙器，晚上我就开始用了。冲牙器的水流冲力不小，手控制的不太熟练，常常冲得舌头发麻。今天早晨再次使用，使用普通喷头，中档速度将每颗牙齿都冲洗一遍，花了约两分多种。牙齿干净多了。</t>
  </si>
  <si>
    <t>高186.重178 本人身高186厘米，体重178斤，胸围110厘米，腰围99厘米！买的L码！就这个效果，还不错！！！</t>
  </si>
  <si>
    <t>好用 玻璃材质 很有质感  孩子能接受</t>
  </si>
  <si>
    <t>非常不错 大小很合适，穿上之后非常轻薄，贴合很好，就是对胸型没有修饰作用</t>
  </si>
  <si>
    <t>舒适，不聚拢 面料很舒适，就像很多人说的，穿了跟没有穿一样，真的只适合穿T恤的时候穿。</t>
  </si>
  <si>
    <t>不推荐购买 质量真不咋滴，束口那里穿几下就宽成不知道什么样</t>
  </si>
  <si>
    <t>不要下单！买了后悔！ 送来的时候袖子就有个破洞！想换货，客服给打了个8折，怕麻烦就不退了，第一次穿里面是白衬衣杯具了。。</t>
  </si>
  <si>
    <t>挺垃圾 做工很渣的还不如我妈自己做的 失望 质感不忍直视</t>
  </si>
  <si>
    <t>质量好，但稍微偏大 质量好，剪裁版型好，但稍微偏大。</t>
  </si>
  <si>
    <t>可爱 很可爱，就是叉和勺的柄比较粗厚，小朋友的手并不太好抓~</t>
  </si>
  <si>
    <t>171 cm 63kg合身 171 cm 63kg合身，裤腿略有一点长，比较轻薄</t>
  </si>
  <si>
    <t>999买的，算物有所值吧 做工很好；音效还是不能摆脱小音箱的框框，不过也正常，高音不错，低音还是力不从心；999入手，算很不错的</t>
  </si>
  <si>
    <t>书写流畅 之前看了评论，以为买错了。拿到手后发现除笔较细外，书写非常流畅，甚至好过凌美。笔尖虽然是M，但日常书写没问题。</t>
  </si>
  <si>
    <t>舒适 穿起来舒适，不知道是什么面料，有点容易沾灰。其他还好。</t>
  </si>
  <si>
    <t>LEE的裤子还是不错 LEE的裤子还是不错，毕竟是专业做裤子的，比他其它的品类值得信赖</t>
  </si>
  <si>
    <t>好 不错不错</t>
  </si>
  <si>
    <t>非常满意 圣诞节前订货的，发货迟了点，美国亚马逊发的UPS快递，准时收到。期间几次联系客服，客服专业又而心，必须要为亚马逊的服务点赞。  给亲戚买的，还没有吃，不知道效果如何。</t>
  </si>
  <si>
    <t>造型复古，很百搭 第一双clarks，很好看，刚开始有点磨脚，建议穿两双袜子，鞋子可能会有点大，可以买小半码，颜色很好看，也很耐穿，以后会继续关注，也会继续购买的。</t>
  </si>
  <si>
    <t>好用，不粘 非常好用，一点不粘，铸铁锅不粘要先把锅烧热，再放油，一点不粘。很棒</t>
  </si>
  <si>
    <t>标准 尺寸很标准，173，70公斤，腰围86，32*30正好，30的长度大概是100厘米。</t>
  </si>
  <si>
    <t>偏硬 买的宽版，发的窄版，鞋底硬</t>
  </si>
  <si>
    <t>笔袋 非常好的笔袋，既美观又实用，淘宝上都不多见。</t>
  </si>
  <si>
    <t>喜欢 小巧.就是喜欢....</t>
  </si>
  <si>
    <t>大小挺合适 我177 68KG 裤子长短和大腿小腿宽度都还合适 腰略微偏松了点 可能是因为老外腰都比较粗吧 因为要捆皮带所以也无大碍 一次愉快的购物</t>
  </si>
  <si>
    <t>方便 这个很方便，很多用处，最大用处直接拿来做辅食机了</t>
  </si>
  <si>
    <t>值得推荐的购物体验 商品不错，大小合适，时间也很快，没等太久。</t>
  </si>
  <si>
    <t>厚度 还买了件黑色的，黑色的居然里面带绒，还是这个灰色的穿的舒服啊，材质和guess gap Levi's等等没什么大的区别</t>
  </si>
  <si>
    <t>Cheaper Very good quality , cheaper than China store</t>
  </si>
  <si>
    <t>评价 买了两件，左边是香港仓自营右边是日本自营。左边和我在美国代购买的同款白色在面料长度标签都一样，洪都拉斯产，不过价钱比代购便宜一半。右边的日版面料薄一点，版型比美版好一点，中国制。</t>
  </si>
  <si>
    <t>东西很棒！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</si>
  <si>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是正品，价格合理，效果待观察。 是正品，价格合理，效果待观察。</t>
  </si>
  <si>
    <t>还可以 不错的腰带，价格便宜。</t>
  </si>
  <si>
    <t>划算划算 某宝一双的价格，在这搞了三双。穿了其乐的鞋，别的都不喜欢穿了</t>
  </si>
  <si>
    <t>Dr. Grips are my favorite pens. I think I found my new favorite pen! I love the regular Pilot Dr. Grip pen! Try out the Pilot Dr. Grip pen but didn't really like it just from the first impression of holding it. Now the Pilot Dr. Grip is first grip love.  The weight to it feels very good in the hand not too light or not too heavy just perfect amount of weight. The Grip handle part is soft and easy on the hand.  Is it worth it?  In my opinion if you work require to have client to give signature this pen gives a more luxury and premium feeling to it. I believe the regular Pilot Dr. Grip works just as well as this pen.</t>
  </si>
  <si>
    <t>一般般，不推荐 一般般，不推荐。孟加拉产，面料55%的棉，45的化纤。做工一般，尤其是衣领。尺码偏大，我买的S码，62公斤，170身高，还大一圈。算了，不退了，省得麻烦，准备送给亲戚。</t>
  </si>
  <si>
    <t>给二十上下的男生还行 有点成熟的就不要选择这款了，东西还不错，时尚就是。</t>
  </si>
  <si>
    <t>初次尝试结果 拿到东西，尝试了一下， 保温六小时，基本上算有点儿烫， 十二小时保温效果不错，喝水时不算烫了。， 二十四小时的话，基本上没有温度了，</t>
  </si>
  <si>
    <t>遗憾 此包从里到外一个标志和铭牌都没有，可不可以说就是个三无产品呢。。。</t>
  </si>
  <si>
    <t>The fabric is too hard, uncomfortable, not slim, inelastic. The fabric is too hard, uncomfortable, not slim, inelastic.</t>
  </si>
  <si>
    <t>做工很差 比较差。面料舒服，但不修身，做工很差。</t>
  </si>
  <si>
    <t>大小适中 我身高171体重108斤偏瘦买S码正合适并且稍有宽松，比较薄款春秋穿可以。</t>
  </si>
  <si>
    <t>说一下 用了两个月了，说一下，整体感觉物有所值，还不错，做工都还说得过去，至于大家说的时间不准没留意，我认为带这表的人时间都还不至于精确到秒来过吧，想买就买吧，没有上当和后悔的感觉。</t>
  </si>
  <si>
    <t>ecco普遍偏大 鞋不错，买大了，想退，太麻烦，拉倒吧。</t>
  </si>
  <si>
    <t>过大 我身高172体重158过大，小一号刚好</t>
  </si>
  <si>
    <t>总体合身，但是裤腿稍肥 178cm 95公斤 常年健身，不属于肥胖身形 。 裤子是有弹性的，裤长很合适，而且裤裆也很舒服不是那种抵裆裤子，但是裤腿显的有点肥。不过冬季里边套个衬裤穿倒也合适。</t>
  </si>
  <si>
    <t>很满意的ECCO鞋 非常好，既轻便又透气，关键优惠时到手不到千元，尺码是正常码</t>
  </si>
  <si>
    <t>看上去不错。 好小呀。希望确实不错！</t>
  </si>
  <si>
    <t>好宝贝 买的3x的，国内没有货，好合身。不用验就是正品</t>
  </si>
  <si>
    <t>亚马逊购物的一点体会 本来喜欢红色的，观察几天价格后觉得白色价格合适就入手白色。刚收到就发现红色降价，真遗憾！现在买能用当时的价格买到自己喜欢的颜色了！ 另外，收到货后，白色的关税降了一半，不知道为什么？买早了价格不划算！但使用后很好用，直接插不用转换头，中国电压合适，机器的电压是230V，放心买，就是买的时候要比对价格和关税，选择高性价比是人们广泛的需求。 个人的一点体会，不知对大家有帮助没有！</t>
  </si>
  <si>
    <t>紧身带弹性 非常合身，不论是大小，还是长短</t>
  </si>
  <si>
    <t>舒服 很喜欢，穿了这么久也没有起球，而且低腰很性感，就是颜色不怎么好看，如果纯白或者纯黑，或者其他更好看一点的颜色就完美了。</t>
  </si>
  <si>
    <t>水温稳定 好用，保持设定的水温</t>
  </si>
  <si>
    <t>跟专柜一样 非常满意，跟专柜一样，舒适</t>
  </si>
  <si>
    <t>长度合适，材质有点硬 很不错，到手感觉合适，我平时34*牛仔裤，系上正好多余出一手掌，材质有点硬，裤带头有点磨砂感觉</t>
  </si>
  <si>
    <t>第一个拜亚耳机。 自己的第一支拜亚，目前还没有足够好的设备来发挥他的能力。</t>
  </si>
  <si>
    <t>腰围偏大 我用皮尺量自己38的腰 我用皮尺量自己38的腰 下单38的裤子 上身后有些大 估计实际下单36的差不多 应该是大一个码</t>
  </si>
  <si>
    <t>值得推荐 单看外观就知道肯定是好东西 对于音质，之前从未听过千元以上的耳机，所以第一感觉和普通耳机区别并不大，但是听着歌，还是能感觉出他的素质的。是值得推荐的耳机</t>
  </si>
  <si>
    <t>实用 很实用，装宝贝出门的零食，和泡发好的燕窝都很好</t>
  </si>
  <si>
    <t>厨房家电 我超喜欢的一款厨房家电！</t>
  </si>
  <si>
    <t>值得入手 从日本过来还算快的，几天就收到了，只是申通没给我送，丢在菜鸟驿站了，我自己去取的，这点算是个投诉吧。 耳机跟预想的一样，一样好音质，一样夹头，一样其貌不扬…总体来说满意，也推荐没入手正在徘徊不定的人值得入。 还有一点就是耳机线固定处的两颗镙丝好像是动过的，有动过的痕迹，我已上图了，不知已入手的朋友也有没有这个现像。</t>
  </si>
  <si>
    <t>鞋子合适 穿着舒适，大小合适</t>
  </si>
  <si>
    <t>很好，便宜舒服 很好，便宜舒服，值得买</t>
  </si>
  <si>
    <t>德国博朗电水壶 非常好用 还会购买的  服务也非常好 发货速度超级快</t>
  </si>
  <si>
    <t>堪称完美的自动铅笔 这是我用过的自动铅笔里，手感数一数二的产品。 唯一的缺点是对我来说微微的有一点点偏粗，但是写一些就习惯了。 这支笔的重量、重心、功能、质感都很棒，非常推荐。而且，虽然也是金属滚花的笔握，比施德楼925-25的要圆润很多：925-25的笔握太扎手了。</t>
  </si>
  <si>
    <t>可以 没中文简介，需翻译操作，质感不错</t>
  </si>
  <si>
    <t>还行 很轻便，厚度大，容量实际比较大。高度略显不足。斜跨合适，单肩的时候挂不住。魔术贴不好，手套是织物的刮得净是毛。</t>
  </si>
  <si>
    <t>质量还好，价格公道！ 裤子面料有弹性，穿上很舒服！主要是听取了大家的意见，尺码很合身，我2尺8的腰，穿W3了3正好，裤长无所谓，总之就是一次开心的海淘！</t>
  </si>
  <si>
    <t>不划算 腰带太细了！买的短了😭</t>
  </si>
  <si>
    <t>一般 宝贝生下来就用它喝水喝奶、绿色的味道重，这个没在意</t>
  </si>
  <si>
    <t>做工粗，有线头 粗糙，码也不是很准，两条都是30的腰但不一样大，呵呵，懒得退了。</t>
  </si>
  <si>
    <t>不实用 孩子不喜欢</t>
  </si>
  <si>
    <t>海外购的包装及其简陋导致商品无法使用 海外购的包装及其简陋 时间过长 收到时内存卡已经严重受损！ 时间过长 买个卡差不多一个多月才收到 懒得退货了 海外购退货太麻烦 亚马逊也就剩下kindle可以用用了 剩下的还不如京东放心 速度慢不说 退换货流程很麻烦</t>
  </si>
  <si>
    <t>鞋不错 鞋子不错，看评价就买大半码，没想到大那么多。平时39的，感觉不是太胖的脚就买正码就好。</t>
  </si>
  <si>
    <t>听一会儿耳朵胀 999秒杀 应该说这个价位这个音质很好了 没煲过已经不错了 但是可能是音源的问题高音总是觉得尖锐些 无论音量开多小听一会儿都觉得耳朵胀 这就是传说中的不耐听吗 我也就一般听听音乐不想为了个监听音箱再去搞前端 也许监听还是不适合我吧</t>
  </si>
  <si>
    <t>满意 平时穿38码的，这个7号很合适可以垫双鞋垫。 运输太远的缘故吧，鞋面上有些划痕。</t>
  </si>
  <si>
    <t>不错的表，不错的价钱 表是港货。看样子不像假货，没去专柜，感觉不错，每天快10s。但是稳定。3880抢购的值了！表大小合适，带着很帅</t>
  </si>
  <si>
    <t>还可以 纯棉的质量还可以，跟同事从美国买回来的对比过，手感差不多。170，60KG，买的XS，正好合适。</t>
  </si>
  <si>
    <t>喜欢的不得了 性价比超高，纯全球购</t>
  </si>
  <si>
    <t>脚感舒适透气 看准牦牛皮的下手，价格相当合适。ecco的穿着走路不累，还很透气，穿略厚的袜子也没问题</t>
  </si>
  <si>
    <t>永远相信亚马逊 给我爸买的，现在买这种商品只能相信亚马逊啊！东西邮到沈阳，听我妈说非常好。</t>
  </si>
  <si>
    <t>还可以 衣服不错，但是颜色没有这么深</t>
  </si>
  <si>
    <t>口感好小朋友喜欢 与弟弟美国带回的一样，给儿子补钙，因为口感很好所以能坚持。</t>
  </si>
  <si>
    <t>毛衣 活动实在是太实惠了，货真价实质量好，贴身可以穿，太喜欢了。</t>
  </si>
  <si>
    <t>有点闷气 平时买鞋都是235的，这个23-25的袜子大小合适</t>
  </si>
  <si>
    <t>丑鞋 大小刚好，标准皮鞋尺码，可惜真的太丑了</t>
  </si>
  <si>
    <t>物有所值 表没的说，就是这个包装，老美太抠了</t>
  </si>
  <si>
    <t>很好 给妈妈买的，妈妈吃了说好，钙的含量也足够，腿不抽筋了。</t>
  </si>
  <si>
    <t>非常满意，安装简单，设计科学 特别满意，不愧是畅销产品，安装简单，而且设计也非常科学，调热水的时候边上要按住黑色的然后再转动，这样设计也是防止小孩子乱开水龙头，非常科学，总之真的很满意，而且价格也不贵，现在国内随随便便买个水龙头也这个价格吧，关键是质量肯定没有这个好</t>
  </si>
  <si>
    <t>还不错 适合春秋穿，和我另一双同码的ECCO相比，尺码稍大</t>
  </si>
  <si>
    <t>增压效果明显，冲洗体感舒适 装上之后水流强了很多，但是非常细，所以不会有刺痛的感觉。省水效果不好判断，但是用起来确实非常舒服。日本邮过来只花了五天。愉快的一次购物体验。如果在意淋浴喷头的质量，非常推荐这款喷头。个人觉得一套普通的水管搭配这个喷头，比一两千元的品牌套装花洒用起来还要好，性价比高很多。</t>
  </si>
  <si>
    <t>标题？ 商品有一点折痕，还可以，先买了一双，有划痕，退了又买的这双，略有一点小，刚开始得磨合一下</t>
  </si>
  <si>
    <t>很喜欢，做工好 上脚很棒，颜色洋气，没有气味，有薄绒，北方冬天不冷</t>
  </si>
  <si>
    <t>加绒保暖 加绒保暖，不紧绷，5~10度穿很合适！</t>
  </si>
  <si>
    <t>赞 好舒服啊😌，夏天穿这种内衣，真的才叫无束缚！</t>
  </si>
  <si>
    <t>内衣 没有胸垫！！！ 没有胸垫！！！ 没有胸垫！！！ 很薄的一层！！！ 大家一定要慎重！！ 反震效果还不如买安德玛！ 我真的醉了！！ 就是我初中用的那种布艺文胸！！</t>
  </si>
  <si>
    <t>无 性价比超高，我看了产地好像是洪都拉斯，80KG买的M码，穿上刚刚好，不错的购物体验。</t>
  </si>
  <si>
    <t>满意 质量不错 大小合适 满意</t>
  </si>
  <si>
    <t>效果很好 家中常备，给老年人准备起的，效果还是很好。</t>
  </si>
  <si>
    <t>样子很好，穿在脚上很好看的 买的时候一定要看好鞋码的，7.5D相当于40码的</t>
  </si>
  <si>
    <t>质量问题 在美亚买了两块 WD 4 T 红盘，用了两年多，用到现在一直没问题。但是因为当时要交关税，手续很麻烦。 去年同NAS机器扩展存储，又从国内这家买了两块 同型号的 WD 4T 红盘， 开始没问题，但是分别在6个月和9个月后损坏，真是见鬼了。 真的是正品吗？ 再也不敢相信了。</t>
  </si>
  <si>
    <t>鞋子用料款式都很不错，但是两只鞋子不一样大 鞋子是真心好看的，用料很实，但是左右脚大小不一致，无语了，退货太麻烦，不想折腾了，客服给了点补偿</t>
  </si>
  <si>
    <t>做工一般 买小了，176 77应该买xl，退货运费太高了算了吧，希望有生之年能减肥减到穿上他，哈哈哈哈哈哈。料子一般般</t>
  </si>
  <si>
    <t>尺码 真的好大，用不上只能送人了。</t>
  </si>
  <si>
    <t>表质量太差 买回来以后，日立没法调，晚上调的，中午总是在变，分针有时候抖动，这哪是德国产品，以后千万别买了，1500多元，上档受骗</t>
  </si>
  <si>
    <t>很薄的商品 很薄的那种，不是我想要的，但质量很好。</t>
  </si>
  <si>
    <t>帅气硬挺的靴子 268MM的脚8UK大小很合适，鞋底的确是舒服，在靴子里是很软的了。 但是这个是硬皮的靴子有点磨脚虽然没有磨破但要穿足够高的袜子才可以，鞋口很小脱鞋困难，压脚脚背高的慎入。</t>
  </si>
  <si>
    <t>物超所值 很好的 一次性卖了六件 配情侣 厚实好 比我日本看的便宜</t>
  </si>
  <si>
    <t>大小合适我,就是偏硬 不错,大小合适我这类健身人,70kg,大腿刚合适,腰围大而已,没办法,腰合适的裤子,大腿就塞不下去</t>
  </si>
  <si>
    <t>做工非常精致 但盘子用了几次就花了，还是不够硬吧</t>
  </si>
  <si>
    <t>尺码偏大 朋友给家人买的，180公分180斤，已经买小一码了，结果还是大了两码，美版真的很大</t>
  </si>
  <si>
    <t>可以购买 非常合适，小孩喜欢的</t>
  </si>
  <si>
    <t>质量对得起价格 这个价钱应该对得起它的品质。这个钱包不是真皮的。不过就算是合成革，质量也还可以。</t>
  </si>
  <si>
    <t>买大了 34的腰围，应该买36的，买大了</t>
  </si>
  <si>
    <t>非常好的手表 表盘小，男孩女孩都能戴，做工很不错。千万别买西铁城，最后一个图片就是掉地上一次就摔坏了，一次洗手没摘彻底报废。表带蜕皮，还没有表耳，非常丑。卡西欧秒杀西铁城。</t>
  </si>
  <si>
    <t>漂亮，颜值高 漂亮，宝宝和妈妈都喜欢，然而还是往地上扔</t>
  </si>
  <si>
    <t>质量不错 给宝宝囤货的，质量看着很不错，据说很好用适合宝宝小嘴巴什么的，希望能够实用吧，会员购买很便宜划算</t>
  </si>
  <si>
    <t>最喜欢的运动鞋 已经买过好多双同品牌的运动鞋，通过与其它品牌比较，证明这是最好的选择</t>
  </si>
  <si>
    <t>很好 跟在韩国免税店买的一样，比较过了😄</t>
  </si>
  <si>
    <t>舒适合身便宜 做工好，价格合理，版型好，尺寸准确。178/83，腿比一般人长，按网页推荐买的33/32。</t>
  </si>
  <si>
    <t>好评，163/56 L 特别舒服  就像没穿一样  不愧是网红款  群众的眼睛是雪亮的 163/56穿L码正好</t>
  </si>
  <si>
    <t>非常喜欢 裤子穿起来非常舒服，大小也合适，很棒的一次体验</t>
  </si>
  <si>
    <t>合适 裤子合适，为何布料这么硬呢？</t>
  </si>
  <si>
    <t>娃喜欢 量大又便宜，送人反馈也很好！</t>
  </si>
  <si>
    <t>满意 这个价格挺好的，日期也新鲜</t>
  </si>
  <si>
    <t>跟实体店一样，但价格便宜不少 跟实体店一样，但价格便宜不少</t>
  </si>
  <si>
    <t>读写速度很快，达到160 读写速度很快，基本上可以达到160M/s，而且非常稳定！复制一百多G也就20多分钟。物超所值！</t>
  </si>
  <si>
    <t>保温效果好 入手了很多个了，真的很好用，出门必备！</t>
  </si>
  <si>
    <t>很棒 非常合适，尺码对照表很准确，内裤比较厚，适合秋冬穿</t>
  </si>
  <si>
    <t>非常好的购物体验 中国产，2017年4月的产品。性价比极高。鞋子漂亮防水。</t>
  </si>
  <si>
    <t>一次成功的购买 买之前一直看评论，生怕买大了或者有残次，到手试穿M码，身高180，体重150斤，腿较长那种，裤长合适直至脚踝，大腿小腿围度合适</t>
  </si>
  <si>
    <t>还不错 挺好的，一开始以为里面会有三个刷头，后来收到才知道只有一个。3.7下单3.18到手，用过一次了，开了敏感模式，震的有点不习惯，但是总体刷完感觉还是好的。终于可以控制自己的刷牙时间了，以前懒人一直随意刷刷</t>
  </si>
  <si>
    <t>一般 裤子很薄，面料不太好~</t>
  </si>
  <si>
    <t>肥裤子 超级肥的裤子，挺适合孕妇穿的！身高170 体重57，M码驾驭不了，裤型就是肥的，购买者请谨慎选择</t>
  </si>
  <si>
    <t>一般 米白色不推荐 版型很小  买的L码也不大 米白色很容易脏  感觉摸一下就会脏</t>
  </si>
  <si>
    <t>大小合适 大小合适，版型是偏瘦的</t>
  </si>
  <si>
    <t>地摊货，垃圾。 此衣服用的棉比国内地摊货还差，能扎死人。亚马逊买了很多东西都还可以，就这，严重怀疑假的，打客服说退货运费一百多，我就呵呵了。差评。差评。差评。</t>
  </si>
  <si>
    <t>漏液，不让退 买过几次，漱口水挺好。但这次其中一瓶漏的，幸好有个塑料袋包着。想退货，可是不让退</t>
  </si>
  <si>
    <t>还好 剃的还好，就是这个声音比较low</t>
  </si>
  <si>
    <t>还行 用开水冲不融，不知道是不是放多了。用冷水就好点了。</t>
  </si>
  <si>
    <t>掌握尺寸是个技术活 1.75米60公斤，尺寸刚刚好。</t>
  </si>
  <si>
    <t>色差大 颜色色差比较大，实际颜色没有图片亮，是暗墨绿色，适合年龄大一些的人穿</t>
  </si>
  <si>
    <t>还可以吧 降价的时候入的，左边耳罩有点皱，可能是做工问题，但可以忍受。 音质对得起这个价位。</t>
  </si>
  <si>
    <t>轻量，准时，精巧 不错。</t>
  </si>
  <si>
    <t>很好 稍微有点宽了，其他都好</t>
  </si>
  <si>
    <t>性价比很高的牛仔裤 大小和版式都刚好，颜色也很好看，价格极其划算，很满意。</t>
  </si>
  <si>
    <t>斜背包 做工细致，很好</t>
  </si>
  <si>
    <t>好 非常好，值得购买，性价比高</t>
  </si>
  <si>
    <t>买买买 读取190，写入120，简直太梦幻了，Fantastic！</t>
  </si>
  <si>
    <t>不错 军工品质，价格给力。</t>
  </si>
  <si>
    <t>很划算 十只很划算了😄到手190不到</t>
  </si>
  <si>
    <t>性价比很高的牛仔裤 很棒很好看的牛仔裤，微弹</t>
  </si>
  <si>
    <t>Clementine 严重五星好评！很多细节都做的很好，特别是血渍的颜色，溅血方向等，真的是用心做产品了。希望可以多做点行尸走肉周边。</t>
  </si>
  <si>
    <t>漂亮 颜色比想象中漂亮，很好，很轻，比膳魔师的好多了</t>
  </si>
  <si>
    <t>挺厚的，适合冬天 稍微有点大，挺厚的，适合冬天穿</t>
  </si>
  <si>
    <t>不错 不错，符合要求，谢谢</t>
  </si>
  <si>
    <t>薄款 肩带宽，不会有下滑问题。</t>
  </si>
  <si>
    <t>合适 165cm,59kg 买了S码正好合适</t>
  </si>
  <si>
    <t>物有所值 够厚，适合冬天穿。…</t>
  </si>
  <si>
    <t>冬天穿 很热火，保暖，贴身穿有点扎。</t>
  </si>
  <si>
    <t>听人声也一级棒的拜雅DT240 PRO 读高中就喜欢古典，上大学第二个月就买了拜雅的入门级耳机。工作了直接上DT880，马克列文CD机，一玩就是10年。说实话听流行拜雅缺点温度，听纯音乐就非拜雅不可。这2年买了不少顶级耳机，三大欧洲品牌的都有。DT240 PRO 声场不如DT880，除此外，密度，解析力，结像力都可圈可点，不错。2018年9月买过DT240 PRO ，儿子拿去听Eason Chan。这次亚马逊超值价再次买来自己听听。9号下单，14号到手，海外购算是极速。17号可以带去出差，感谢亚马逊！</t>
  </si>
  <si>
    <t>Champion 男士T恤 面料舒服，材质柔软，最近流行冠军这个牌子了，不免俗的入了两件，蓝色是我喜欢的，本人身高176左右，体重180左右，属于比较胖的，肚子也有点大，买的Ｌ码，正好，不错的。</t>
  </si>
  <si>
    <t>不错 用料扎实 做工还成 说明书写的很详细 施工的步骤和注意事项都写的很清楚</t>
  </si>
  <si>
    <t>很厚实，很棒 小腿部有一点点收退，稍微有点紧。 其他完美。</t>
  </si>
  <si>
    <t>音质可以 拜亚监听级耳机没的说，三音均衡，戴了一段时间，不怎么夹耳朵了。</t>
  </si>
  <si>
    <t>尺码太奇怪了吧，S比M大好多 买了两件，S码比M码大好多，真是绝了：）试穿的时候不小心把吊牌弄掉了也没法退了QAQ</t>
  </si>
  <si>
    <t>还行 170 70 中号基本合身 感觉略微大一点 不知道小号会不会更合身 料子真心一般</t>
  </si>
  <si>
    <t>还是我的V23SE 好 如果不是JBL的入门监听国内要3K一对也不会买这个，效果和我的轻骑兵V23SE（5寸，买来500元）相比，还是轻骑兵效果好，E4.5，太轻了，看到线材心都凉了，有钱还是上5寸吧，这个缩水比较厉害了，</t>
  </si>
  <si>
    <t>功能不错，抖动严重 抖动严重，和面时机器能在地上来回跑</t>
  </si>
  <si>
    <t>质量差 质量很差，仿佛是多年前的积压货！</t>
  </si>
  <si>
    <t>有概率翻车 吐血！拆开了，装电脑上，连主机都开不了，命背！壳还拆坏了！什么d口供电，3脚屏蔽都用了，没用，现在放着两块8t的傻了！</t>
  </si>
  <si>
    <t>收到快递已经散开了 这样子包装，合适吗？</t>
  </si>
  <si>
    <t>鞋面上有个结巴 国内一直39的皮鞋，这双6uk，39.5的鞋有点紧只能丝袜穿，时间长了脚背有点压，不嗝脚，鞋面略有瑕疵</t>
  </si>
  <si>
    <t>用料舒适  穿起来很棒  黑色百搭 可能是外国人跟国内体型不太一样  裤子偏大</t>
  </si>
  <si>
    <t>偏小，基本没弹性 之前买CK牛仔2或4，这个偏小，基本没有弹力</t>
  </si>
  <si>
    <t>比较难伺候 质量不错。但是很重。使用需要比较注意。感觉不应该买。我用它做了几个菜。似乎并没有提高菜的口感。</t>
  </si>
  <si>
    <t>性价比很高 这个价格，这个容量，送货速度又快，还有什么不满意的呢</t>
  </si>
  <si>
    <t>性价比不错 二十四小时水是温的，也没有漏水，还是不错的</t>
  </si>
  <si>
    <t>物品质量非常满意 保温效果很好，杯子质量很好，日本工艺值得称赞</t>
  </si>
  <si>
    <t>偏大，感觉可以再小一个号 偏大，材质还比较舒服</t>
  </si>
  <si>
    <t>满意，冠军 因为是长袖所以选择了大一号，可以在春秋季里面套一件衣服穿。先生喜欢蓝色就果断下单了。手感不错希望不要起球</t>
  </si>
  <si>
    <t>不错 鼻子处没有定型条，宝宝一说话就容易往下掉，总体来说还是很不错的👍</t>
  </si>
  <si>
    <t>信任亚马逊 质量非常好！这么远的路程，只有商品的原包装，没有额外的防护，居然完好无缺！真是佩服！全网最低，但是产品确实很好，信任亚马逊</t>
  </si>
  <si>
    <t>值得买比国内很优惠 价格优惠质量可靠物流快捷……</t>
  </si>
  <si>
    <t>对孩子有益处 听人家说 孩子都需要 所以买了！</t>
  </si>
  <si>
    <t>舒服，舒爽 棉的，穿的很舒服，特别是中档设计，老二“拐弯”可以方便出来溜溜</t>
  </si>
  <si>
    <t>舒服，北方不能过冬 里面是薄绒，日本袜子加绒也很薄很薄那种，穿里面会暖和，冬天北方一条过不了冬</t>
  </si>
  <si>
    <t>不错 还是挺快的，一周到。鞋挺弹的，减震不错。贵有贵的道理啊</t>
  </si>
  <si>
    <t>狭长脚背低的舒适款 整个鞋型偏狭长，脚背的款型较低，穿上显得脚很秀气。包裹的脚很舒适。37.5码的脚，穿4.5uk的码子，长度和前脚掌部位都很舒适，就是觉得脚背处略勒。走起路来舒适的回家都不想脱了。</t>
  </si>
  <si>
    <t>值得购买，和皮鞋的尺码一样 非常不错，价格优惠，款式经典。非常好搭配</t>
  </si>
  <si>
    <t>样子还行胜在轻便。 样子一般，但是很轻。可以买大半码到一码，鞋底坚硬，垫个鞋垫刚好。</t>
  </si>
  <si>
    <t>好 有些大和长，还不错算是粗棉的，应该是越洗越舒服吧</t>
  </si>
  <si>
    <t>内衣 穿在身上很舒服，但是罩杯有问题</t>
  </si>
  <si>
    <t>好 码很正， 鞋子穿着很帅</t>
  </si>
  <si>
    <t>很好 挺好的，高音通亮</t>
  </si>
  <si>
    <t>特别舒适的鞋 特别舒适的鞋，脚感一流，鞋子的皮子不是很亮，稍有褶皱，不细看可以接受。38胖脚买了欧码37.5，觉得很宽松。</t>
  </si>
  <si>
    <t>很不错 非常非常非常可爱 实物比图片更好看 质量也很好</t>
  </si>
  <si>
    <t>保冷是日本的相关规定 好用，日本的规定保温杯针对小孩都是保冷。其实就是国内普通意义上的保温杯。冬天小孩用很方便，水不会太凉。</t>
  </si>
  <si>
    <t>瑕疵品 鞋子很好看，本来很欢喜 但是！坐下来才发现有一边鞋子的鞋头为什么是皱巴巴的！很丑！很丑很不舒服根本就是瑕疵品阿西巴！</t>
  </si>
  <si>
    <t>不怎么样 大小还行，这宽紧带什么鬼，难用，质量就那样，如果在80以下买，价格还行</t>
  </si>
  <si>
    <t>不好不好 有很重的塑料味，不推荐</t>
  </si>
  <si>
    <t>价格买贵了，其他可以 价格买贵了，其他可以</t>
  </si>
  <si>
    <t>颜色不均 尺码太小 一直买这儿牌子的，不过这款真不行，颜色都不均匀，有的地方发灰。买了LL的正常都不会小，这款款很多，167以上的建议不要买了。</t>
  </si>
  <si>
    <t>树脂的容易裂 不行啊，笔的尾部好好的就开裂了非常细小的裂纹，那么贵的东西，M尖还是太粗了，不建议购买</t>
  </si>
  <si>
    <t>款式还不错 怕太大，买了S号，结果穿着有点紧（还好衣服有点弹性），不扣扣子还好，扣上扣子就有很明显的紧绷出来的线条。高160，重112，给大家做个参考。口袋很小，装不下手机（7p）</t>
  </si>
  <si>
    <t>性价比高 质量好，价格便宜，性价比不错</t>
  </si>
  <si>
    <t>鞋子 质地很不错，面料非常舒适，鞋底有点薄</t>
  </si>
  <si>
    <t>尺码不准 由于本人比较胖，买了这款牛仔裤，但穿出了宽松运动裤的样子，亚马逊给的尺码不是很准，不过版型什么的都还挺好加上换货麻烦就留下了，建议买小一点。</t>
  </si>
  <si>
    <t>还不错 做工有瑕疵，旋钮和本体是错位的，底座也有瑕疵，但是便宜太多了，也无所谓</t>
  </si>
  <si>
    <t>非常好~ 用了一年了，一点问题没有。</t>
  </si>
  <si>
    <t>很好 挺好的，看着很结实。</t>
  </si>
  <si>
    <t>很好的裤子 面料款式非常不错，低腰，秋冬穿也没问题。就是发来太皱了</t>
  </si>
  <si>
    <t>非常满意。 非常满意。国内的休闲裤都是紧身版的，无意中发现亚马逊有我喜欢的款式，价格也非常划算。70KG,腰围89CM,中国裤长106CM，32*30的码子非常合身，腰围略大一点（喜欢宽松版型的刚好），裤长刚好。但是不知道为何，有一点点粘灰，而国内的纯棉休闲裤不粘灰。</t>
  </si>
  <si>
    <t>挺好的 挺好的  走的很准  样式也好看</t>
  </si>
  <si>
    <t>值得购买 便宜呢，买了两个。质量和我的G-SHOCK差不多，但是价格差了一个零</t>
  </si>
  <si>
    <t>好评！ 符合描述，而且送货速度超快！</t>
  </si>
  <si>
    <t>保温效果很好 很保暖，起码可以保暖6小时以上</t>
  </si>
  <si>
    <t>很好 给我父亲买的我父亲很喜欢。</t>
  </si>
  <si>
    <t>东西还是不错的 东西还是不错的 很合适</t>
  </si>
  <si>
    <t>快递包装，碗的大小 &lt;div id="video-block-R2P09B942TFCVF" class="a-section a-spacing-small a-spacing-top-mini video-block"&gt;&lt;/div&gt;&lt;input type="hidden" name="" value="https://images-cn.ssl-images-amazon.com/images/I/A18lkx5GgxS.mp4" class="video-url"&gt;&lt;input type="hidden" name="" value="https://images-cn.ssl-images-amazon.com/images/I/71nUZ-BiXmS.png" class="video-slate-img-url"&gt;&amp;nbsp;这款露西花园的骨瓷小碗十分精美。快递包装十分专业，没有破损。打开盒子，是一个圆柱形的礼盒，碗就在里面，很多防破损的措施，十分好。碗很适合吃饭用，碗边有波浪形设计，有点现代感的设计。</t>
  </si>
  <si>
    <t>东西很不错，蛮好用的。 刚好看到有促销，就下单买了，价格很实惠，东西质量也不错，非常好！</t>
  </si>
  <si>
    <t>GOOD 囤货中还未使用，美国直邮非常快捷和方便，价格也很合适，可惜一单只能买一次</t>
  </si>
  <si>
    <t>一直都不错 每年都要买几条，的确不错，比国内的很多品牌强太多了，很舒服</t>
  </si>
  <si>
    <t>衣服 衣服的质量，做工都不错。好看</t>
  </si>
  <si>
    <t>可以，当QQ糖吃了。。 买来和老婆当零食吃了。。</t>
  </si>
  <si>
    <t>不错的休闲纯棉针织衫 与介绍和评论一致，符合预期。176/60公斤，s码合身略宽松，薄厚适中，做工款式很好。实物的胸标是white pony ，反差有点大，与图片不符。</t>
  </si>
  <si>
    <t>减震效果非常满意 平时75C，这款34B挺合适，颜色没有图片靓丽，胜在价格实惠、保真</t>
  </si>
  <si>
    <t>很可以的鞋子 买大了一点，应该小半码合适的，我找代购问了要五百多，日上乐天也是五百左右，淘宝天猫也是四百多以上，亚马逊这个是真的实惠。难怪销量第一。我是觉得吧因为是增高的鞋子的弯曲度不是很好，不会像别的运动鞋那样更舒适，但是记忆鞋垫还是可以的，穿着好看，也好搭衣服。要运动的话买别的更好些，搭衣服日常这个就可以了。还是推荐购买的</t>
  </si>
  <si>
    <t>很好 177，75，袖子合适，肩宽稍微小一点，不碍事。穿起来很舒服。印度尼西亚产。</t>
  </si>
  <si>
    <t>挺好的一款。 在这个价位上是很不错的一款，走时还挺准。</t>
  </si>
  <si>
    <t>面料薄，不厚实 稍有点大，不过还好，面料没有CK专柜买来的厚实，总归是一分钱一分货。</t>
  </si>
  <si>
    <t>脸小不要买 我的脸太小，送给老婆正合适，质量也没有感觉很好</t>
  </si>
  <si>
    <t>尺码合适而已 做工有些粗糙，皮质很一般，第一次买这牌子，难道这牌子的鞋都是这样吗？</t>
  </si>
  <si>
    <t>极品垃圾货 袖子变形，感觉不像是正品，褪色非常严重，做工极差，比国内29块钱的T恤还差</t>
  </si>
  <si>
    <t>不是想的那样 做工很差，不满意！！</t>
  </si>
  <si>
    <t>型不好 细长细长的，像竹竿一样的身材可以穿</t>
  </si>
  <si>
    <t>偏大的衣服 袖子短，衣服整体偏大，特别是肩膀</t>
  </si>
  <si>
    <t>性价比一般 觉得价格有点高，将近100块，可以买个64G了，嫌退货麻烦不留下了。</t>
  </si>
  <si>
    <t>还不错，但锅盖有几处破皮了，不知道有没有影响 还不错，但锅盖有几处破皮了，不知道有没有影响</t>
  </si>
  <si>
    <t>一般 觉得性价比一般，洗后变形有些明显</t>
  </si>
  <si>
    <t>要买比你裤腰大两码的皮带 包装精美，价格不贵，裤腰29，买的32码，本来预计要打孔的，结果还扣不到最后一个孔，稍微短了点，给大家参考</t>
  </si>
  <si>
    <t>性价比很高 美观舒适，价格也美丽，亚马逊购物极具性价比。</t>
  </si>
  <si>
    <t>大小正好 本人166厘米，63公斤，腰围80左右。31码刚好。标准款的，用料厚实，经济实惠。</t>
  </si>
  <si>
    <t>很好很好，轻而软 蛮快的，37平时穿UK4，而且也不缺这类鞋，只是看到这双鞋的价格太美丽，果断拿下，到手504啊……拍了UK5的，因为是中帮的，不觉得大，冬天加个皮毛一体鞋垫，穿羊毛袜没有负担，</t>
  </si>
  <si>
    <t>鞋子还不错，认真对鞋码。 给老爸买的，和992 993相比，鞋子有点瘦。老人随着年龄脚会大一点，建议多买大一个号，如果脚宽的话，去店里试好了，再买，是最好的。他家的鞋子，舒服。</t>
  </si>
  <si>
    <t>很好 买给老公的，国内一条可以在这买三四条，希望活动可以多点</t>
  </si>
  <si>
    <t>厚实有质感 质量不错，厚实有质感</t>
  </si>
  <si>
    <t>很漂亮，不知是否有女款 找了很久设计简约，又是米兰钢带的表，就是是男表，不知是否有女款。</t>
  </si>
  <si>
    <t>不错 我175/85穿L正合适，做工质量方面没问题，但是它很薄的</t>
  </si>
  <si>
    <t>好评 好评好评好评</t>
  </si>
  <si>
    <t>满意 很满意 物美价廉 棒棒哒</t>
  </si>
  <si>
    <t>非常有性价比的耳机 耳机音质很好，完全不像是两百不到的价位，手机直推也还不错后来插电脑上搭配解码耳放线声音更好了，原本只想买来出门路上插手机听个响的没想到无论做工和音质都令人眼前一亮，尤其是低频清晰到位一点也不轰头，不比四五百的耳机差。</t>
  </si>
  <si>
    <t>美貌小巧 到货太快了,D1下单,D3收到,太神速了.保温桶做工好,,颜色正,好美貌,超喜欢</t>
  </si>
  <si>
    <t>保冷杯 不错的保冷杯，虽是保冷杯，但可以保温，保温效果也很好。快递包装简单了些，外盒包装都有些变形了。</t>
  </si>
  <si>
    <t>质量不错 是因为身高的原因，日本的裤袜适合170以下人群，所以感觉小一些。质量不错。价格略有升降，有时为运费需要凑单</t>
  </si>
  <si>
    <t>还可以 孩子吃着挺好的</t>
  </si>
  <si>
    <t>表 手表还是很不错的，秒针转动的声音可以接收，就是表带有点硬，挺不错，物流很快一周就到了，总体表还是很不错的😊</t>
  </si>
  <si>
    <t>深得我心 小巧精致，适合随身携带，开会喝水很方便</t>
  </si>
  <si>
    <t>裤型简约，尺码稍大： 中腰，深蓝，有弹力，尺码看评论买的，非常合身。比国内便宜太多了。 身高168cm，体重68kg，4码正好，稍宽舒适。秋冬里面套条秋裤也可以，没压力。 9分裤的感觉。</t>
  </si>
  <si>
    <t>帮我同事买的 这是2018年春季新款，中亚海外购与日亚同步上线，同事正好想要买 2个，于是我就帮他买了一金一红，他一个给老婆用，另一个孝敬丈母娘，门槛真是够精的。 说下商品吧，产品的保温性能较HB55有小幅度的提升，包装基本没变，日本的包装真是无刺可挑，日亚的发货包装也极度给力，100%完好无损到手，关键是价格便宜，单价是壹肆零入手的。非常不错。</t>
  </si>
  <si>
    <t>不错 夏天穿很好，值得够买</t>
  </si>
  <si>
    <t>很好…… 很便宜，下载swisse app查过了，是正品，坚持吃，期待效果～</t>
  </si>
  <si>
    <t>一般 宝宝不太喜欢，偶尔吸吸，但经常掉，一掉就哭</t>
  </si>
  <si>
    <t>还算合适 皮带非常窄，之前的说明里没有提及宽度，误导。 另外看起来也是比较粗糙的，不符合品牌品质。</t>
  </si>
  <si>
    <t>裂纹 就穿了2个月吧，就这样了。另一只比这个更多</t>
  </si>
  <si>
    <t>一般 袖子太肥了</t>
  </si>
  <si>
    <t>产地是虚假信息 商品描述里写的产地是：日本制，但是收到货发现是泰国产。亚马逊为什么对产地虚假描述？！</t>
  </si>
  <si>
    <t>质量很差 &lt;div id="video-block-R36IVPU0ZF95M7" class="a-section a-spacing-small a-spacing-top-mini video-block"&gt;&lt;div tabindex="0" class="airy airy-svg vmin-supported airy-skin-beacon" style="background-color: rgb(0, 0, 0); position: relative; width: 100%; height: 100%; font-size: 0px; overflow: hidden; outline: none;"&gt;&lt;div class="airy-renderer-container" style="position: relative; height: 100%; width: 100%;"&gt;&lt;video id="7" preload="auto" src="https://images-cn.ssl-images-amazon.com/images/I/81oqrrtKBHS.mp4" style="position: absolute; left: 0px; top: 0px; overflow: hidden; height: 1px; width: 1px;"&gt;&lt;/video&gt;&lt;/div&gt;&lt;div id="airy-slate-preload" style="background-color: rgb(0, 0, 0); background-image: url(&amp;quot;https://images-cn.ssl-images-amazon.com/images/I/91a+plmua+S.png&amp;quot;);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center;"&gt;0:00&lt;/div&gt;&lt;div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value="https://images-cn.ssl-images-amazon.com/images/I/81oqrrtKBHS.mp4" class="video-url"&gt;&lt;input type="hidden" name="" value="https://images-cn.ssl-images-amazon.com/images/I/91a+plmua+S.png" class="video-slate-img-url"&gt;&amp;nbsp;刚拆开包装。其中有一个是坏的。震动幅度很小</t>
  </si>
  <si>
    <t>老款的最小的那个有盖的&amp;gt; &amp;lt; 老款的最小的那个有盖的，新款的没盖了？略失望</t>
  </si>
  <si>
    <t>不太好，剩在便宜 包装真是差，保护都没有，拿到手发现几秒钟就好咔咔的震一下，看了大家的评论，好像是通病，不知道会不会挂，有点害怕，震动挺大的，比台式机那种还大，安静的时候就感到嗡嗡响，还好国内可以转报</t>
  </si>
  <si>
    <t>不错 挺好的，用到现在也没问题</t>
  </si>
  <si>
    <t>em…… 我接受不来的鞋子 这个牌子挺贵的 还磕脚 从不打差评 但接受不来</t>
  </si>
  <si>
    <t>挺好 180，100KG。L正好，有一点点紧</t>
  </si>
  <si>
    <t>紧身的 比较舒服 感觉胸围稍紧 质地很舒服</t>
  </si>
  <si>
    <t>孕妈使用也很好 可以穿着睡觉的背心，很舒服，衣身是有点网状的，不会热乎乎很好。胸部以下宽宽的，孕妈也好穿，我7个月了，还在穿，赞~！</t>
  </si>
  <si>
    <t>笔不错 提醒一下这个上墨器是要单买的，不想国内专柜是准备好的。有一个蓝色墨囊</t>
  </si>
  <si>
    <t>小巧 有轻微听诊器效应，音质可以，手机推效果一般。性价比还是不错的。</t>
  </si>
  <si>
    <t>还算厚实 UA的衣服亚马逊和国内还是有点差价的。尺码上比国内衣服小一码差不多了，本人172，69,m合适。面料有薄绒，适合10-20度的天气穿。</t>
  </si>
  <si>
    <t>超值的！ 杯子非常漂亮，就是吸管是硬塑料的，不是软管，自己配了个杯套，比代购便宜多了</t>
  </si>
  <si>
    <t>完美 给儿子买的 国内大码不好买 海淘的宝贝还不错 满意的一次购物 赞一个 还会 继续哈</t>
  </si>
  <si>
    <t>很不错的保温杯 用了亚马逊prime，相当便宜就买到了。Tiger这个瓶子的漆很棒，感觉是不容易掉漆的那种，瓶盖设计也不错，虽然没有锁，但是放在包里也不会无意中被打开；颜色好看，鲜艳但是不艳俗~最重要的保温功能也是满分，瓶身也相当轻盈，满分啦~</t>
  </si>
  <si>
    <t>正品 质量很好，正品。帮朋友买的。</t>
  </si>
  <si>
    <t>性价比高 鞋子挺合适的，价格还行。它产至中国，后从日本买回中国，真是无语。</t>
  </si>
  <si>
    <t>特别划算 6只喷头很划算</t>
  </si>
  <si>
    <t>不错 纯棉，舒适，透气。好！</t>
  </si>
  <si>
    <t>SanDisk 闪迪 是正版，不错，以后还会再来</t>
  </si>
  <si>
    <t>很好 很喜欢这个，穿着也很舒服</t>
  </si>
  <si>
    <t>好 舒适 便宜 好看 还差几个字</t>
  </si>
  <si>
    <t>好 非常好，男款41太难买，女款刚刚好</t>
  </si>
  <si>
    <t>不错的刷头 用过三款刷头，还是比较喜欢这款。亚马逊比别的地方便宜很多！我在特价不含税108块的时候入的，给大家参考！（另外有人提到包装问题，其实胶带对环境的污染挺大，我个人觉得英亚包装挺环保的，挺好。而且这种纸箱成本不比用胶带和普通纸箱低，不用觉得为了偷工减料才用这种包装。至少我买了不下十次，收到的包装也都完好。）</t>
  </si>
  <si>
    <t>挺好 挺好的</t>
  </si>
  <si>
    <t>柔软舒适，款式大方，质量优良 不愧是大品牌，面料柔软舒适，款型很显身材，尺码和预期一致，非常满意</t>
  </si>
  <si>
    <t>勺子做工一般，不过性价比还可以 勺子做工一般，不过性价比还可以，比较软，确实遇热会变色</t>
  </si>
  <si>
    <t>Casio 卡西欧男士 AE-1000W-1AVDF Casio 卡西欧男士 AE-1000W-1AVDF，准备给小朋友的礼物！</t>
  </si>
  <si>
    <t>国内货无清关记录 感觉不是海外购商品，没有清关记录</t>
  </si>
  <si>
    <t>名牌不是名牌的质量 脚口螺纹不紧</t>
  </si>
  <si>
    <t>过大 衣服质量一般，本人178cm，85kg，胖，但衣服仍然很宽松，不合身，但衣袖过短，完全无法穿，洗完就放着了。</t>
  </si>
  <si>
    <t>不好用 太后悔，孕期罩杯涨的快，没穿几次就小了，哺乳也不是很方便</t>
  </si>
  <si>
    <t>非常薄，不好 太次了，衬裤一样，非常薄。商品描述一点不清楚，直接被坑。</t>
  </si>
  <si>
    <t>用过最恶心的钢笔，严重飞白！ 严重飞白，无论怎么清洁都没有用，墨水从写乐、白乐、鲶鱼一直换到百利金，无一幸免！最搞笑的是自带的墨囊都飞白！出水时断时续，派克金笔啊，还不如百利金的钢尖啊！这素质也太差了！</t>
  </si>
  <si>
    <t>还不错 面料感觉不错，品质感觉挺好，全棉材质，挺舒服，就是尺码偏大，从下单到入手，从威斯康辛到我这一个多礼拜，物流还不错</t>
  </si>
  <si>
    <t>不挑剔的可选 性价比OK，180，85kg，L 抽绳很简易，皮筋也没包边，估计夏天穿了会痒吧</t>
  </si>
  <si>
    <t>鞋 基本和预计的差不多，就是颜色实物有点暗</t>
  </si>
  <si>
    <t>还是比较喜欢的 稍微大了一点，不过还好，话说鞋子是真心重啊，实物要比图片颜色深</t>
  </si>
  <si>
    <t>面料很舒服 面料柔软，棉质很好，感觉越南产地的版型，不够修身，偏宽松</t>
  </si>
  <si>
    <t>不错的 以前买过一个穿着特别舒服走路脚也不累这次看有活动又买了一双下单几天己收到了愉快的购物</t>
  </si>
  <si>
    <t>漂亮的盆 真有档次，真漂亮，用着真舒心</t>
  </si>
  <si>
    <t>物美价廉 很合身，颜色也喜欢</t>
  </si>
  <si>
    <t>表带有点僵硬，时间久了会不会有裂痕？ 打开的一刹那很漂亮</t>
  </si>
  <si>
    <t>好用 目前用过最舒适且能刷干净的牙刷。会回购的。</t>
  </si>
  <si>
    <t>不错 质量不错，美国码，比平时穿的小两码，大小正好！</t>
  </si>
  <si>
    <t>不足千元的监听耳机，性价比超高。 收到物品非常震撼，亚马逊的送货速度奇快，上午9点订单，下午4点就送到了。拜亚动力DT770 250欧原先以为难推，用苹果5S推，声音要比几百元的耳机好多了，高音不刺耳，人声突出，立体感很强，低音下潜虽然不深但很软，听了特别舒服。如配上个耳放网上找个信誉好点的，仿A1的耳放，五百左右的。性价比超高。</t>
  </si>
  <si>
    <t>值得购买 鞋子非常轻 也很好看 中性款</t>
  </si>
  <si>
    <t>衣服不错 170、70公斤，s号不错，里面还能穿厚点的衣服。衣服面料很舒服，软。领子袖口腰边不起球，很喜欢。</t>
  </si>
  <si>
    <t>按尺码表减2买就对了 鞋子很好很舒服280厘米的脚10码鞋刚刚好</t>
  </si>
  <si>
    <t>好穿耐穿 很好看，很喜欢</t>
  </si>
  <si>
    <t>颜色好正品 昨天收到的，物流超乎想象，鞋子品质跟实体店一样，舒适，颜色比照片好看</t>
  </si>
  <si>
    <t>感觉很好 很好的耳机，做工优良</t>
  </si>
  <si>
    <t>液体钙，好吸收 液体钙，好吸收，维生素D含量高</t>
  </si>
  <si>
    <t>杯子好用 这个杯子保温效果超级好，携带也很方便。</t>
  </si>
  <si>
    <t>有点意外 不知为何，这次的有异味，但是基于良好的保温性能，不退了</t>
  </si>
  <si>
    <t>和预想的一样好看 鞋子好看，穿的时候有点板脚</t>
  </si>
  <si>
    <t>很不错的维生素 很好，口味不错，孩子喜欢。</t>
  </si>
  <si>
    <t>无散落无磕碰 我的第二盒霹雳马 这次降价价格真不错 几乎是原来的一半价钱！质量没话说 软心色泽艳丽 笔触顺滑 就是美国人的包装不敢恭维……</t>
  </si>
  <si>
    <t>不错 最近买了一支笔，除了这支写乐其他的都很冷门。这支等了一个多月才发货，不过还是值得的，21k平顶外观漂亮，写汉字也的确好写，不过身材比较短小，和手里最大的m800比起来粗细差的不多但长短短了不少，手大的人估计用着费力。这支笔似乎现在不是很好买，tb好像都卖900多而且货不多，相比还是亚马逊价格比较实惠而且有保障。</t>
  </si>
  <si>
    <t>很好 非常好的麦克风 跟一两百的完全不一样 可以配合机架软件网上唱歌</t>
  </si>
  <si>
    <t>二🈚️产品？ 🈚️法亮显示屏；🈚️中文说明书(严重不足）</t>
  </si>
  <si>
    <t>价钱降了，东西上的标号与235元时买的标号不一样 价钱降了，东西上的标号与235元时买的标号不一样，质量是不是也不一样呢？？？？？</t>
  </si>
  <si>
    <t>一般般 黑色的，已经洗过了，但是穿起来还是有很多黑色的线屑。</t>
  </si>
  <si>
    <t>质量问题 高高兴兴收到快递，结果打开后才发现这件衣服居然没有吊牌，而且领口脱线，而且亚马逊退货有麻烦，真是非常无语</t>
  </si>
  <si>
    <t>质量不好 大小合适，不过这品质，这做工也太糙了吧，很失望</t>
  </si>
  <si>
    <t>还行吧 没有闻到塑料味，也不是太厚实</t>
  </si>
  <si>
    <t>满意 平时穿38或38.5码鞋，这款适合38码，脚宽的不适合。</t>
  </si>
  <si>
    <t>还可以 挺可爱的 勺柄很厚 但是质量没想象的好朋友包装不错 不锈钢勺子看着不光滑</t>
  </si>
  <si>
    <t>鞋子不错，尺码过大 43码还是过大了。Clarks的鞋子尺码很不稳定。买了很多双鞋，还是把握不准。平时买皮鞋42码，曾经买过同样尺码的Clarks，小了，不得不换。这次因为海外购，换货麻烦，就买了43码，感觉大不到哪里去，结果悲剧！这样的尺码，应该买42码才合适，哎~</t>
  </si>
  <si>
    <t>音质 夹耳，音质不错</t>
  </si>
  <si>
    <t>好评，海购比国内便宜好多唉 开声一般，慢慢听下声音好些，才听了一天，还要煲下。</t>
  </si>
  <si>
    <t>很好 从听音乐的角度，千元价位，直推，效果最好的大耳 缺点就是造型太low，舒适感稍差</t>
  </si>
  <si>
    <t>😜喜欢 在国内买不到合适的大小，买了这个，还不错，穿着舒服，尺码我觉得正好，又多了一个买内衣的心新途径</t>
  </si>
  <si>
    <t>美亚价格真便宜，不到国内的一半。鞋子完美 女鞋男穿，平时穿耐克运动鞋40.这次看了很多评论，最终选择女款的39，就是美码的8宽版，完美合适，主要因为男款的最小40也大了，只有买这个了。然后美亚发货非常慢，到北京总共花费了半个月15天拿到，其中发货就花了9天，最终运到手其实才六天，要是早发货，早就拿到了。然后说说鞋子，到手先把铁牌子取下来，因为男款没有，还有颜色和男款的有一点差别，女款更偏黄色。最开始没穿过这种鞋子，感觉有点硬，但穿两天就会好很多，现在很合适，主要是配任何裤子都好看，主要是要把鞋帮亮出来，好看，值了。</t>
  </si>
  <si>
    <t>好 小贵。我的心里只有我一个人</t>
  </si>
  <si>
    <t>很好 挺厚实，穿起来也很舒服，很不错。</t>
  </si>
  <si>
    <t>性价比高，不错 价格方面比天猫划算得多，跟C店比差不多，但是亚马逊胜在会有完整的售后，挺不错的。亚马逊的客服回复很及时，五星好评。因为是海淘，物流方面会稍微欠缺点，但是也能理解。</t>
  </si>
  <si>
    <t>SSD超好的固态硬盘 黑五活动买的，比国内便宜好多。替换现有的传统硬盘，三星的SSD速度就是快。</t>
  </si>
  <si>
    <t>不错 不错 5.1晚上定的货 2号就到了 送货的大叔态度极好 手表嘛 还不错 表盘清晰 表带是塑料的 但绝不是那种地摊上的低档货那种 继续支持卓越~~</t>
  </si>
  <si>
    <t>包包挺好的，就是拆开味道有点大 包包挺好的，就是拆开味道有点大</t>
  </si>
  <si>
    <t>Sony耳机 价格实惠，是正品，非常好用，续航时间也很长，很满意</t>
  </si>
  <si>
    <t>羽绒服 衣服很好，前几天零下5度里面羊绒衫，外面穿它就不冷，尺寸按正常买就好，160cm.53公斤买的s号。</t>
  </si>
  <si>
    <t>可以 180.90kg穿着合适，配色不错，保暖程度有待检验，英国送到北京6天，供参考</t>
  </si>
  <si>
    <t>衣服很不服 衣服很不错，孟加拉产的，质量和外形都很好，就是有点花哨，有点不合适我们这种半老头子穿，适合年轻人穿</t>
  </si>
  <si>
    <t>鞋子很有型 不错，没有买到合适的尺码，买了大一码的，鞋子很有型，喜欢。</t>
  </si>
  <si>
    <t>更换方便 很容易更换</t>
  </si>
  <si>
    <t>总体不错，适合当睡衣或者穿里面的打底衫 质量不错，中规中矩，面料比较薄，适合穿在里面或当睡衣</t>
  </si>
  <si>
    <t>满意 合适，164cm，132斤，M 做工比美版好 顺丰送达，很快</t>
  </si>
  <si>
    <t>保温，轻，真得太棒了 我家本来就4个保温瓶，但只有1个能保温。为了平时外出健身便于携带不得不再买这款，主要考虑的就是瓶盖不用脱离瓶身就可喝水。拿到手用了，感觉出乎意外的好，又保温又轻。我还不小心摔了在水泥地上，居然没看到凹痕，漆也没掉。果然名气不虚。</t>
  </si>
  <si>
    <t>很满意 不到一个星期就收到了意外，正好合适，不错</t>
  </si>
  <si>
    <t>压缩衣，质量很好 这款压缩衣质量很好，我175/85，穿着有些紧，当做减肥的动力吧！质量不错，很好</t>
  </si>
  <si>
    <t>很舒服，码稍大 很舒服，码稍大，可以选小一号</t>
  </si>
  <si>
    <t>袖口里面有塑料！！！ 袖口双层的部分里面有沙沙响 无奈拆开袖口揪出这么多的塑料！！！ 一面有粘性的那种！！！这是什么做工，怎么检验的？！强烈要求亚马逊给个说法！！！！</t>
  </si>
  <si>
    <t>有一点质量问题 这件衣服袋口部分没缝上线……</t>
  </si>
  <si>
    <t>掉色掉渣 拆封来洗，不止是掉色，简直是掉渣。洗了好多遍水还是个淡蓝色。印度产的不敢恭维w</t>
  </si>
  <si>
    <t>融化了 融化了都</t>
  </si>
  <si>
    <t>第一次在亚马逊购物太特么麻烦了 买大了，想退货重买，结果太麻烦，没有上门取货就算了打了标签，拿去寄别人都不知道寄哪里...非常不满意，</t>
  </si>
  <si>
    <t>差评 完全不明白这个白色的带子是干嘛的，内衬也不舒服，硬邦邦的，感觉不会再穿</t>
  </si>
  <si>
    <t>经典dt880了，现在600欧的价格降了 定位、解析同价位差不多最好的，比k701好，人声一般般，高频有点毛刺，低频弹性不错。要搭配合适的前端才行。还有就是头梁两边的耳机线设计不好，感觉容易断，而且很随意很难固定住。</t>
  </si>
  <si>
    <t>号大鞋小 号大鞋小，鞋型较瘦，肥脚不建议买</t>
  </si>
  <si>
    <t>一般般，可能吧 感觉我就是个木头耳，感觉还不如我魅族不到100的声音，可能是被宣传种草了吧，买耳套送耳机，个人不推荐</t>
  </si>
  <si>
    <t>号码标准 看了评论后以为号码偏小，所以订大了一个码。结果收货后发现买大了，只好退货。 鞋质量很好，穿着舒适，要按照标准号码购买。</t>
  </si>
  <si>
    <t>舒适 舒服，带子可能长时间穿后会松，因为类似蕾丝的材料。会回购</t>
  </si>
  <si>
    <t>衣服质量挺好的身高165体重65公斤M号大了 衣服质量挺好的身高165体重65公斤M号大了。</t>
  </si>
  <si>
    <t>声音很均衡 与我的K702比起来，DT880音乐味更浓，低频和中频演绎的都更好，同时也更容易驱动</t>
  </si>
  <si>
    <t>东西不错 我很喜欢，穿着舒服的很。</t>
  </si>
  <si>
    <t>物超所值 鞋子挺好的，就是从照片上看起来挺宽，实际还比较窄，比照片颜值高多了。有一点压足弓</t>
  </si>
  <si>
    <t>很好 很好，一直回购的款式</t>
  </si>
  <si>
    <t>满意 物流有点慢，价格给力，生产日期挺新的。</t>
  </si>
  <si>
    <t>很不错的东西 一次性买个这个要比零零散散的买强的太多了。</t>
  </si>
  <si>
    <t>值得购买 鞋子有点重，对于第一次穿的人来说也太硬了点，但是在它强大的防水功能面前，这些都可以忍，简直就是雨雪天气最佳鞋靴。</t>
  </si>
  <si>
    <t>相当不错 值得下手</t>
  </si>
  <si>
    <t>杯子很轻，颜色漂亮 杯子很轻，颜色很漂亮，只是在杯口处有黑点，也洗不掉，想想算了，不给亚马逊添麻烦了</t>
  </si>
  <si>
    <t>好货 很舒适，鞋子控已上脚就喜欢到不行</t>
  </si>
  <si>
    <t>不错，值得购 190，86，xl正好，质量款型俱佳</t>
  </si>
  <si>
    <t>光动能 秒针见光就走，还特别静音，不像美国的某牌子。外形也比较美观，适合休闲和户外，也比较适合青年人</t>
  </si>
  <si>
    <t>质量很好，包装箱找不到产地 质量很好，母上大人很满意，价格也实惠，产地包装箱上和容器上都没有，不过大家不用纠结了，推荐</t>
  </si>
  <si>
    <t>不费力小朋友就能擦的很干净 赶上一个强迫症的小朋友，一擦不干净就爆哭。。。用了日本橡皮之后这种情况改善很多</t>
  </si>
  <si>
    <t>宽松舒适 162，45kg，宽松舒适</t>
  </si>
  <si>
    <t>裤子 质量不错！该买什么号就买什么号</t>
  </si>
  <si>
    <t>质量不错 质量不错！前从不去评价，不知道浪费了多少积分，现在知道积分可以换钱，就要好好评价了，后来我就把段话复制走了，既能赚积分，还省事，走到哪复制到哪，最重要的是，不用认真的评论了，不用想还差多少字，直接发出就可以了，推荐给大家！！</t>
  </si>
  <si>
    <t>大 美版大一码</t>
  </si>
  <si>
    <t>很合适 大小正合适，这个比国内偏大一码，基本款，质量不错，洗了，没缩水变形</t>
  </si>
  <si>
    <t>Nice 试穿了下，感觉很好。It's very beautiful, I like it.</t>
  </si>
  <si>
    <t>划算 有点重和大，使用感不错，划算，不过久了会感觉3档力也不太够，而且很快没电呀</t>
  </si>
  <si>
    <t>滤芯漏黑粉 用是方便，但是那个滤芯漏黑粉出来啊，再换滤芯也是如此，这水还能不能喝啊</t>
  </si>
  <si>
    <t>袖子太长 合身，但袖子太长，全棉薄款，做工一般，线头不少。180cm，85kg，大码。洪都拉斯生产</t>
  </si>
  <si>
    <t>发热严重 在电脑上插一会儿，还没拷东西呢，就很烫了。。。</t>
  </si>
  <si>
    <t>存明显的色差 有色差，实物没有那么粉，是灰灰的</t>
  </si>
  <si>
    <t>过大，很大，做工质量很一般！ 过大，过大，过大，做工质量一般</t>
  </si>
  <si>
    <t>质量有严重问题 第一次写评论，买来给ps4做拓展用的，总共用不到30个小时，咔咔两声就坏了。之前评论里说5个月左右就坏。果然是这样。</t>
  </si>
  <si>
    <t>直筒锥形休闲裤 直筒锥形版，弹性面料，裤头也有弹性，舒适性一流，质量一流，适合上班休闲等，加一句，泡妞的话还得选个裤型修身一点的，哈哈</t>
  </si>
  <si>
    <t>老 款式很老气，适合四十岁以上的。</t>
  </si>
  <si>
    <t>四星半 除了贵，性价比太一般，鞋子本身无论皮质还是造型都接近满分，真的好看。</t>
  </si>
  <si>
    <t>尺寸正好 颜色有些少见。便宜买的二百陆。</t>
  </si>
  <si>
    <t>感觉有效果，家里两位老人都在用 正品，亚马逊自营商品一直很信赖。家里两位老人都在用这基础宽氨糖，其中一位说效果明显，关节疼痛缓解不少。此单是给朋友推荐的。刚收到货，希望她也得到想要的效果。</t>
  </si>
  <si>
    <t>16度刷头 很好用的刷头，就是不太耐用。</t>
  </si>
  <si>
    <t>上身效果好 上身效果好。颜色不错。</t>
  </si>
  <si>
    <t>很好 好用，bb睡着了也方便穿。</t>
  </si>
  <si>
    <t>舒适又好看。 舒适又漂亮的工装靴，完美。新百伦穿8.5 2e，这个穿8 2e 刚刚好</t>
  </si>
  <si>
    <t>舒适好衣 穿着挺舒服的，大小合身，161m.54kg.</t>
  </si>
  <si>
    <t>不错， 做工好，一看上去就很有档次的样子</t>
  </si>
  <si>
    <t>设计挺好 不错的鞋子。设计挺好。</t>
  </si>
  <si>
    <t>偏小一码，必须买大一码 这双看评论普遍偏小一码，耐克平时穿44这双买的45刚刚好，感觉还不一定有耐克44大，所以必须买大一码，大半码绝对不够。</t>
  </si>
  <si>
    <t>好吃 好吃，每天吃两颗实在是忍不住啊</t>
  </si>
  <si>
    <t>满意 脚长27mm，较瘦，9uk正合适，鞋子质量很好，比较捂脚，适合秋冬，穿着很舒服。满意</t>
  </si>
  <si>
    <t>好评 还不错，买来学英语的</t>
  </si>
  <si>
    <t>1111 很好的勺子，不能放开水里面煮，我的放开水里面煮了一下勺子头变形了。</t>
  </si>
  <si>
    <t>保温保冷效果不错，很好看。 黑色很好看，比内地还便宜，保温保冷都很好。因为我有用过，所以图片中杯子内壁有水珠。</t>
  </si>
  <si>
    <t>好 鞋子大小正好，皮质很不错，就底薄了点，总体满分。</t>
  </si>
  <si>
    <t>满意 还可以吧，海外狗放心</t>
  </si>
  <si>
    <t>挺好的 瓶口一个一滴，一个三滴，价格比国内便宜很多，一周就受到了，不错</t>
  </si>
  <si>
    <t>值得买 样子不错，穿着舒适！</t>
  </si>
  <si>
    <t>不错 感觉还可以，必须长期吃才行。</t>
  </si>
  <si>
    <t>好看 挺好的，就是我的手太细了，hold不住</t>
  </si>
  <si>
    <t>补充每日所需 孩子每天都需要吃，海外购买很快很放心</t>
  </si>
  <si>
    <t>鞋子脱色厉害 感觉鞋子脱色厉害，已申请退货</t>
  </si>
  <si>
    <t>无语 东西还行，拿到手就降了50块！n n</t>
  </si>
  <si>
    <t>怀疑不是正品 挺粗糙的，看着不像正品，慎重购买！第一次受到亚马的10000点伤害！</t>
  </si>
  <si>
    <t>假货 一直用这个型号的头，美亚的跟一个不同</t>
  </si>
  <si>
    <t>去年买的，今年坏了！ 看了一下后面的评价，跟我遭遇相同者不乏其人，都是用了一段时间“写保护”，不能使用了！实在令人气愤。诚实的讲，亚马逊的售后跟国内其他购物网站基本不是一个时代的，效率低、水平差，最可怕的是平台建设非常官僚，根本不考虑使用者的感受，长此以往，估计是第二个易趣。</t>
  </si>
  <si>
    <t>垃圾 垃圾。1年都不到，扣住扣好后多余表带的圈圈脱胶掉了，找亚马逊亚马逊喊自己找表的售后，这个海淘买的难道我还去找日本售后？售后太差劲，在售后方面多和京东学习学习。取长补短！售后体验极差。表质量也无语，居然自己脱胶吊了</t>
  </si>
  <si>
    <t>没有吸墨器 只配了一支蓝色墨芯，没有吸墨器，还要单独买。不过这个价钱也值了</t>
  </si>
  <si>
    <t>静电厉害 价格便宜，保暖，但是透气略差，静电厉害</t>
  </si>
  <si>
    <t>物流快 喜欢，质量很好，细节处显功夫</t>
  </si>
  <si>
    <t>还不错 还可以，这款我更喜欢华歌尔，但是我朋友更喜欢黛安芬。</t>
  </si>
  <si>
    <t>还不错 三个模式，分别是三股水流的按摩模式，普通直喷模式和雨淋模式，个人喜欢雨淋模式，冲在身上很舒服。儿子喜欢三股水流模式。</t>
  </si>
  <si>
    <t>不错 很棒的shirt，薄款，适合内穿</t>
  </si>
  <si>
    <t>蛮好的购物体验 比较满意，虽然有绒但略薄。春天穿不错。</t>
  </si>
  <si>
    <t>好极了非常不错 口感上佳，就是太刺激了！</t>
  </si>
  <si>
    <t>好用 电压没问题 需要英转中转换插头 调温度和风量的开关很有创意 阻尼有点大 外观不错</t>
  </si>
  <si>
    <t>值得入手 穿着很轻便穿了半天 不磨脚 虽然没有绒却很暖和  值得入手</t>
  </si>
  <si>
    <t>确实不错 确实不错 像个好东西</t>
  </si>
  <si>
    <t>物有所值，我身高176，不到70公斤，M号正好。 和预想的一样，面料和做工还可以，配得上这个价格，适合运动休闲时穿着，松紧带是弱项，感觉很松，缺少涨紧力。</t>
  </si>
  <si>
    <t>喜欢是喜欢，就是不会用 娃15个月。喜欢是喜欢，就是不会用……</t>
  </si>
  <si>
    <t>版型很棒 版型设计很棒，很有质感，颜色很喜欢。</t>
  </si>
  <si>
    <t>满意 音质很好，单元可以换，线可以换，很满意！</t>
  </si>
  <si>
    <t>可以信赖，简单方便 考虑这个比美德乐简洁好清洗，使用上也确实可以 要注意按压角度和力度 由于宝妈有点凹陷这个可以起到点塑性作用 配合储奶袋，现在母乳瓶喂真的方便很多  亚马逊海外购也可以信赖，转国内平台怎么也有点顾虑</t>
  </si>
  <si>
    <t>好 帮同事买的，用了飞利浦电动牙刷感觉非常好，就老安利给同事，亚马逊也有活动，非常好</t>
  </si>
  <si>
    <t>插头转换器 一直种草，买回来。唯一不方便的就是要买转换头。幸好出国时准备了几个。买时大家看好，英国的插头，国内要换转换器</t>
  </si>
  <si>
    <t>按出花朵的洗手液 可以，孩子看着就喜欢</t>
  </si>
  <si>
    <t>奶瓶很好 软软的，拿着手感很好。150ml正好适合小婴儿用。</t>
  </si>
  <si>
    <t>酷 红色很酷，老爸戴着很时尚。运动款，很不错。</t>
  </si>
  <si>
    <t>哎哟 不错哦～ 和原装的没有区别，效果很好 物流比较给力</t>
  </si>
  <si>
    <t>不错 裤子好看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</si>
  <si>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价实相符 比较厚实，做工不错，裤腰有弹性，偏小一码也能穿。</t>
  </si>
  <si>
    <t>外形漂亮大气，还没有安装使用 很重，很高大上，还没有装好，外观很漂亮</t>
  </si>
  <si>
    <t>比较偏大，这个衣服。 170CM  73KG  买的森林绿M，穿上大的不行，像个唱戏的。</t>
  </si>
  <si>
    <t>？？？ 我拍时注明要的是黑色替换装的，怎么发来的是白色替换装的？</t>
  </si>
  <si>
    <t>国产的 国产，不是图片的样子，光面皮，鞋垫是黑色的，皮质一般</t>
  </si>
  <si>
    <t>掉色还是褪色！ 挺快的，才五天时间，之前说是要7月25号才能收到，但是昨天17号就收到了，昨晚拿回去洗了下，发现水变色好厉害！不知道是不是正品呢！希望是吧，我这是第一次亚马逊的海购衣服！</t>
  </si>
  <si>
    <t>款式不好 款式太难看，不建议买</t>
  </si>
  <si>
    <t>收到笔尖就是歪的，上下不平 好气啊，本来懒得评论。写字的时候感觉很奇怪，特别挂纸。沙沙沙响，刚开始以为是笔没有磨合好用几天就好了，后来才发现笔尖是歪的，左右两片不平。这尼玛不是坑人嘛。售后就算了，麻烦死。自己用手掰了一下，没成功。后来用钳子夹，立马就是日系笔的顺滑，和我的88G差不多顺滑了.就是变形很难看。慎入，买回来的朋友记得看看笔尖，有问题就退吧，别给自己找麻烦。图就不上了，自行脑补</t>
  </si>
  <si>
    <t>材质比较舒适，尺码也和门店一样，符合预期 材质比较舒适，尺码也和门店一样，符合预期</t>
  </si>
  <si>
    <t>中国代工产品 Made in China！ 本来以为是日本地原产，没想到最后是中国制造，此产品感觉设计各方面还不错，入耳时间几个小时，耳朵也不会很痛！不过此产品降噪一般！</t>
  </si>
  <si>
    <t>长宽都偏大一个码 直筒 款式较肥。直筒的版型设计和33码32L比其他款大整整一个码 长度也长一个码 （Lee牛仔裤） 面料是防污免熨的。不贴身比棉质好打理！码合适的话应该挺好看。</t>
  </si>
  <si>
    <t>还可以 10月4号下的订单，到10月17号才收到，时间太漫长了。东西还是可以的，很薄，因为朋友特别喜欢这款，到货时发现相对于男表来说表面还是小了一点，总体来说性价比很高，CASIO专柜也没有这款，很实惠，样子也很简单。</t>
  </si>
  <si>
    <t>大小合适，穿着好看 大小合适，穿着挺好看，就是到货较慢。</t>
  </si>
  <si>
    <t>古典给力，不适合听流行 耳机是买来听古典的，不错。可能是自己耳放不够好，用笔记本接乐之邦06mx推dt880，但是也比hd439这样的耳机在古典上表现好很多。不过，在这张声卡直推的情况下，流行是不如hd439的。</t>
  </si>
  <si>
    <t>价廉物有所值 给家人</t>
  </si>
  <si>
    <t>众口难调 质量没的说，孩子不太适应。买奶瓶需要尝试。</t>
  </si>
  <si>
    <t>大小正好 大小正好</t>
  </si>
  <si>
    <t>符合我的要求 除了刚开始弄懂怎么挑时间之外，现在还有很多功能没捣鼓明白</t>
  </si>
  <si>
    <t>颜值高，小巧 颜值高，适合放手袋里</t>
  </si>
  <si>
    <t>舒服透气性好 舒服透气性好，之前一直想买</t>
  </si>
  <si>
    <t>不算贵的光能石英手表 表的外观与图差不多，还算好看，表的重量较轻。走时准确，值得购买。</t>
  </si>
  <si>
    <t>好 腰围，长短都很好，容易粘毛</t>
  </si>
  <si>
    <t>很好 舒适，保暖，时尚</t>
  </si>
  <si>
    <t>材质清爽、偏瘦长 样式好看、质地清爽、特别适合夏季运动后外穿。偏瘦长、向瘦高体形推荐！160、60Kg穿M的肥瘦可以、偏长，前面的拉锁会显得过长</t>
  </si>
  <si>
    <t>219买的，实惠，比双11，levis价格还低 平常也穿29/30，货到了确实如评论的略大半码。裤腿比较大一点，面料一般般。价格不算运费等219块，价格没的说，实惠。</t>
  </si>
  <si>
    <t>满意 版型挺好，大小标准，总体满意。只是看起来应该库存时间比较长，如果介意的话，就别剁手了。</t>
  </si>
  <si>
    <t>东西很0k 不错用了几次锅比较厚重但上火快</t>
  </si>
  <si>
    <t>质量好 质量好</t>
  </si>
  <si>
    <t>经济实惠 物流就不说了，嗖嗖嗖的，超快，同品牌同规格，亚马逊是最便宜的，网易考拉不含税还要215，这次正好两件商品凑单201，只付了24块钱关税，很划算的。 不过对于维生素来说，还是要长期吃吧，上了年纪，还是多保养保养比较好</t>
  </si>
  <si>
    <t>性价比超高的产品 超级舒服，适合徒步，足弓支撑非常好，性价比超高，关键是尺码和国内一致。</t>
  </si>
  <si>
    <t>性价比高的一款裤子 裤子收到了，个人觉得性价比很高，厚度适中，适合春秋，或者夏初穿，颜色也不错，老公178，70公斤，有一点小肚，腰围正好，裤长有点长，可惜没有32*31的，不然这个尺码应该更合适。</t>
  </si>
  <si>
    <t>满意 身高181cm，体重115kg，XL大小合适。纯棉的，柔软舒适。</t>
  </si>
  <si>
    <t>。 越看越好看，夜光功能可以忽略，表带沾水了颜色容易变深……</t>
  </si>
  <si>
    <t>快递速度快，表盘略厚 双十一买的，速度很快，整体还算满意，表带拆卸很方便。表盘感觉略厚了一点点</t>
  </si>
  <si>
    <t>不错 虽然之前的一双由于系统出了问题号码错了，但又买了一双还是令我非常满意的，尺码很准，阿迪耐克怎么穿这个就怎么穿，做工也不错，值得推荐</t>
  </si>
  <si>
    <t>有点鸡肋 三件里还真的是有一件小了一号的，而且领子的款式只适合当睡衣，穿不出门的</t>
  </si>
  <si>
    <t>没有色卡是真的吗？ 分辨不出真假，连色卡都没有，除了笔就是外铁壳，国内怎么还有个小说明书啥的，第一次买分辨不出来真假呀！</t>
  </si>
  <si>
    <t>做工太差 老美的东西做工也太差了，配件有毛刺，机器缝隙，包装简陋。</t>
  </si>
  <si>
    <t>推荐差太多了，偏大很多 M码竟然大了好多，推荐不对啊</t>
  </si>
  <si>
    <t>太修身了 很瘦，穿了都没法弯腰了</t>
  </si>
  <si>
    <t>有味，不开心 以前买的奶嘴一点异味都没有，这次大号的一股子胶皮味，郁闷</t>
  </si>
  <si>
    <t>小内内 不服贴，穿过几次就松了，材质好穿着舒适</t>
  </si>
  <si>
    <t>champion日版与美版的区别 日版相对美版，质地较好，尺寸略小，供参考。</t>
  </si>
  <si>
    <t>褪色 之前用的刷头都会褪色，这款不知道为什么不会褪色。</t>
  </si>
  <si>
    <t>尺码太小 鞋子质量很好码子太小不合脚，想退货太麻烦了。</t>
  </si>
  <si>
    <t>不错不错 比京东便宜，到货时间也要长很多。 拷贝速度在20M左右，实际容量1.8T，其实参数均可参见京东~ 不是很着急换硬盘的筒子们可以考虑哈。</t>
  </si>
  <si>
    <t>适脚 看评论说瘦脚穿比较好，我脚不算胖也不算瘦，穿着正合脚，就是如果长时间走路会累脚，稍微磨小脚趾。一句话很显脚瘦，鞋型很漂亮，以后买鞋就klarks了</t>
  </si>
  <si>
    <t>很满意 35码脚，一般运动鞋会买35.5的，这个买的4.5码的，松一点点，鞋底和鞋面比较软，上脚比较舒适</t>
  </si>
  <si>
    <t>不错😊 170 125 腰围79 修身不紧身 大小合适 有色差但在预期范围内</t>
  </si>
  <si>
    <t>很好用 很好用</t>
  </si>
  <si>
    <t>物美价廉 我点薄，还可以对得起这个价格</t>
  </si>
  <si>
    <t>挺好用的 第一次充电，指示灯闪了几下然后一直常亮。</t>
  </si>
  <si>
    <t>价格适中 穿着舒适 价格适中 穿着舒适  这个材质还是很舒服的</t>
  </si>
  <si>
    <t>满意 帮同事代购的，非常满意</t>
  </si>
  <si>
    <t>正品，快递很快 挺不错的，虽然买了之后正好赶上会员日降了80块钱，但依然感觉比较值，比平时的运动鞋码数大一码的 夏天穿有点烧脚</t>
  </si>
  <si>
    <t>四天到货。。。。 好大的一个盒子里面，好小一个瓶子，下单四天到货，没想到美国到中国这么快</t>
  </si>
  <si>
    <t>好好好 非常好，跟原装感觉差不多</t>
  </si>
  <si>
    <t>大小 大小合适，是正品，款式经典</t>
  </si>
  <si>
    <t>无敌马丁 真的不适合肥脚，穿个鞋要花一顿饭的力气</t>
  </si>
  <si>
    <t>物超所值 很帅！我162，112斤，选的XS码，刚刚好，没觉得袖子长，但确实是袖子肥。在广州这厚度足以过冬。没有特意搭配，怎么穿都好看。有评论说里面搭帽衫，我觉得搭帽衫显得臃肿。</t>
  </si>
  <si>
    <t>一分价钱一分货 一分价钱一分货…真心比某马牌好用啊…上色容易且细腻很多…好评！</t>
  </si>
  <si>
    <t>宝宝使用中 囤货中！bb现在还小，用小的！</t>
  </si>
  <si>
    <t>A little large 180cm/90kg It looks good except a little large，the price is OK</t>
  </si>
  <si>
    <t>质量很好 质量做工都很好，但是抗不住华南湿冷的冬天。在5度的天气下外加一条牛仔裤还是觉得有点冷。</t>
  </si>
  <si>
    <t>好喜欢 手感不错，不是厚的那种，喜欢这样的薄的内衣，估计保暖效果也不错</t>
  </si>
  <si>
    <t>穿着舒适 穿着舒适，第二次买了</t>
  </si>
  <si>
    <t>不会被呛到，好用 这个bbox的吸管杯，是我儿子最喜欢用，最不容易呛水的，就是要买里面的吸管，要天天刷经常换</t>
  </si>
  <si>
    <t>很满意很好 很舒适的版型好看 .非常划算</t>
  </si>
  <si>
    <t>大的很 这牌子适合胖子 鉴定完毕 同样是xs skins 比它短一挎 本来还怕太紧 其实完全没必要</t>
  </si>
  <si>
    <t>买64G的，显示只有31.6G 17年8月份买的64G U盘，（插口上也是显示64G容量），现在过大半年了插电脑才发现只有31.6G（以前一直没留意），是什么情况。。。用软件测了也说不是扩容盘</t>
  </si>
  <si>
    <t>便宜 一般般，价格便宜时下单。</t>
  </si>
  <si>
    <t>抓绒裤还是比较容易走型的 抓绒裤还是比较容易走型的</t>
  </si>
  <si>
    <t>辣鸡帽 很辣鸡，帽子做工很不好，歪的，真的别买，辣鸡中的战斗鸡</t>
  </si>
  <si>
    <t>裤子超大，跟尺码不符合。。。。。。 裤子超大，跟尺码不符合。。。。。。里面套秋裤。棉裤。毛裤都能穿进去。。。腰费的200斤以上穿都没问题</t>
  </si>
  <si>
    <t>帮朋友买的，说还不错 尺码合适，帮朋友买的</t>
  </si>
  <si>
    <t>并没有传说中那么好 买了又退了，并没有传说中那么好，个人感觉比不上sony 1000x和KEF M500，不过应该比AKG 1500以下的耳机都要好</t>
  </si>
  <si>
    <t>料子不错 裤子料子不错，相比图片裤筒有点肥</t>
  </si>
  <si>
    <t>整体还可以，性价高 快递速度飞快啊，5.22下单5.25就收到了，7.27T的容量，写入速度最高100MB/s的左右，不过不太稳定，时不时掉速，整个块头又大又重，电源是100v~240v的交流电，整体还算安静，确实时不时有磁盘擦写的声音，还可接收，希望能用久点吧。</t>
  </si>
  <si>
    <t>水压还是有需求 总体来说还是很舒服的，直接效果就是洗澡更勤快了……😝</t>
  </si>
  <si>
    <t>海外到货算比较快了，做工精致，手感舒适，五星好评先。 海外到货算比较快了，做工精致，手感舒适，五星好评先。</t>
  </si>
  <si>
    <t>很好 质量非常好！很满意！</t>
  </si>
  <si>
    <t>使用 很好用，最基础的款式就够了，比国内便宜多了</t>
  </si>
  <si>
    <t>完全达到预期效果！ 雪映蓝颜色太仙了！音质上重低音和环绕效果很明显，高音有点弱了，隔音效果很好，在正常音量下。耳麦不算软和也不夹耳朵，性价比和颜值都很高的一款。海外购的快递盒也很好看！不过这款天猫旗舰店双十一买比亚马逊上便宜。</t>
  </si>
  <si>
    <t>物流快，码数合适 八天就到了，一直关注价格，六百到手。尺码很合适，平时穿39  40 这个8码不会挤脚还有富余。满分</t>
  </si>
  <si>
    <t>保温能力好 有非常好的保温能力，保证长线旅途中每天一碗粥</t>
  </si>
  <si>
    <t>很不错哦！ &lt;div id="video-block-R2XRVAQXX2UK7V" class="a-section a-spacing-small a-spacing-top-mini video-block"&gt;&lt;/div&gt;&lt;input type="hidden" name="" value="https://images-cn.ssl-images-amazon.com/images/I/91HW71oIqTS.mp4" class="video-url"&gt;&lt;input type="hidden" name="" value="https://images-cn.ssl-images-amazon.com/images/I/815MlwsOiBS.png" class="video-slate-img-url"&gt;&amp;nbsp;很喜欢！泡沫印章很强大！</t>
  </si>
  <si>
    <t>便宜 便宜</t>
  </si>
  <si>
    <t>很合身 量一下腰围和腿长来对照尺码表买，很合身</t>
  </si>
  <si>
    <t>算是很不错的钢笔 很早就想体验下施耐德的钢笔，前几天我的LAMY AL-star F尖（也是在中亚买的，有几年了）不慎摔坏了，刚好现在中亚LAMY比当时贵了好多，所以直接入手了这只。现在说下感受： 1、施耐德包装不错，有笔盒，而且比较坚固耐用，但是传说中的笔袋没有了；LAMY的是个小纸盒，比钢笔略大一点，而且非常薄非常软，记得收货时已经略有变形了。 2、施耐德有两个墨胆，一个上墨器；LAMY标配上墨器，好像有个蓝色的墨胆，时间太久不记得了。 3、外观都不错，施耐德是环保塑料的，LAMY是金属的，当然价格也贵一倍。 4、这只施耐德书笔尖和LAMY F尖差不多粗，写起来比较流畅，但是LAMY的更流畅。</t>
  </si>
  <si>
    <t>按平时clarks鞋码买 评论里全是误导，这鞋子就一句话，平时clarks买多大，这双就买多大，千万别按运动鞋尺码买。</t>
  </si>
  <si>
    <t>好 不错，还可以!这款功能还行</t>
  </si>
  <si>
    <t>高于预期！ 下了订单还未发货时，看到了第3个评价说适配卡很差。 我完全是因为 SD 适配卡才选择从海外购买的，因为在不算运费和关税的情况下，这个64G的TF卡已经比国行2017款（红色）贵了，性能是一样的，保修还是问题。（2017款，红色，中国/美国版不带适配卡；只发现日本版带适配卡） 我赶紧又去美亚看了看评价，出于对三星产品的信任，还是等待到货了。  上午刚收到货。TF 产地菲律宾，SD适配卡产地中国。测试的 USB3.0 读卡器是金士顿的。 三星 64G的 TF卡，默认格式是 exFat ，可用容量 59.5G。  测试方法就是将一个 2G 的文件，分两次，从电脑复制到 TF 卡上。 第一次直接复制到 TF，写速度 65.6MB/s； 第二次使用了 SD 适配器,写速度 65.9MB/s；  结果显示，适配卡丝毫没有拉低 TF 的性能。  （注意，第二次使用 Fastcopy 时，我选择复制到上一次的路径，报错说无法复制，吓我一跳。后来才发现，第一次直接使用 TF 卡时，我的电脑默认其为 F 盘；第二次使用 SD适配卡时，电脑将其换成了 Ｅ盘。）</t>
  </si>
  <si>
    <t>比较低调的颜色。 玫粉色，比较低调的颜色。老阿姨喜欢。</t>
  </si>
  <si>
    <t>还不错。 东西还不错，就是没有写清楚软硬。</t>
  </si>
  <si>
    <t>非常满意 尺码刚刚好，和试穿尺码一样，质量很好，且价格非常实惠，值得推荐！</t>
  </si>
  <si>
    <t>舒适 非常舒服，一点也不勒紧。</t>
  </si>
  <si>
    <t>便宜好多 给同事买的 送人 打开基本没什么味道 非常好看 可爱</t>
  </si>
  <si>
    <t>质量不错 裤脚有些长了，比国内的大一码，黑色的第一次洗有少许的褪色。</t>
  </si>
  <si>
    <t>进口税 质量不错，宝宝自己拿着，不怕碰疼宝宝，就是快递包装有点简陋，亚马逊还是很不错的，进口税差价自动给我退回来了，赞一个</t>
  </si>
  <si>
    <t>不会让人尴尬的裤袜 感觉舒适贴服，显腿细。 遇外力钩起有洞，洞也不会扩散，好裤袜。</t>
  </si>
  <si>
    <t>一条墨西哥Mexico生产的LEE牛仔裤 多次购买，181CM体重94公斤。34/32正合适! 它只是一条牛仔裤，五星！</t>
  </si>
  <si>
    <t>秒针走走停停 这个包装也是没谁了，我感觉儿童手表也没这么随意吧，还好没有划伤，除了背面有点胶，另外秒针老是不动怎么回事</t>
  </si>
  <si>
    <t>袖子太长，领子太高 一米八零，一百四十五斤，穿s号可以。但衣服袖子太长，领子太高。不太喜欢。</t>
  </si>
  <si>
    <t>mini sized 小洗碗机用的</t>
  </si>
  <si>
    <t>估计是别人返修更换的 又拿出来卖 一只音箱螺丝有拧过的痕迹 高音单元好像也换过 音量按钮很松 另外一只就是一颗螺丝锁歪了 估计是别人返修更换的 又拿出来卖</t>
  </si>
  <si>
    <t>严重怀疑是假货，二维码都印歪了，而且是从香港发货非美亚直邮。现在亚马逊的客户体验越来越差了 严重怀疑是假货，二维码都印歪了，而且是从香港发货非美亚直邮</t>
  </si>
  <si>
    <t>很不怎么样 说实话，面料“很”糙，“很”厚，“很”不舒服，“很”长，良心评价</t>
  </si>
  <si>
    <t>颜色正好，尺码偏小一点 颜色跟描述相符，我很喜欢。美中不足的是鞋头有点圆，型差了一点。穿了再说。</t>
  </si>
  <si>
    <t>很好穿的一款内衣，不移位，不卷边，穿上毫无压力 很好穿的一款内衣，不移位，不卷边，穿上毫无压力，很满意，尺码合适，就是这类型的内衣穿上去过程的有点不太好穿</t>
  </si>
  <si>
    <t>比较薄 质量尚可，偏大。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</si>
  <si>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第二次购买 这是第二次购买，价格总在变，选一个合适的价格买的。质量挺好的，就是有点硬，但是穿上不觉得。</t>
  </si>
  <si>
    <t>还算OK 拆了包装后有点皱，洗后不知如何。</t>
  </si>
  <si>
    <t>尺码标准版式好看 裤子的黑色很正，不像有的黑色发乌。 尺码标准，裤长和腰围都很合适。</t>
  </si>
  <si>
    <t>穿起来感觉不错 尺码合适，质量真的不错，价格也不错，无限回购的商品。</t>
  </si>
  <si>
    <t>走时很准 这表我很满意，我不会上图片</t>
  </si>
  <si>
    <t>非常舒服的面料 面料很舒服，衣长稍微有点短，瑕不掩瑜。</t>
  </si>
  <si>
    <t>值得推荐！ 1333到手，身高176，体重76，胸围98，衣服胸围106cm，很轻薄和柔滑。穿着刚好。</t>
  </si>
  <si>
    <t>Alpha Industries 谢谢客户推荐的尺寸，172厘米，140斤，S号刚合适</t>
  </si>
  <si>
    <t>不错 面料厚实，这个牌子不错</t>
  </si>
  <si>
    <t>满意 做工一流，耐穿养脚，性价比高，各版形共买3双，这双五百多元就到手！</t>
  </si>
  <si>
    <t>东西不错 给宝宝屯奶是一个体力活。每次孩子娘吸好久，屯了不少了。</t>
  </si>
  <si>
    <t>物有所值 很不错的手工，很值得购买</t>
  </si>
  <si>
    <t>物有所值 用了三四天，是我第一次在亚马逊买东西，下单送到手上一共十天。这个厨师机种草好久了，对比了国行，代购，还是这里最划算放心，价格比国行便宜一半以上，海外购的价格是同步的，中亚试用会员免了运费，所以也比在美亚买便宜。机子包装完整，里面泡沫都没坏，机身无划痕，靠这个厨师机本人第一次出膜吐司拉丝很好。机器外观线条漂亮种草原因之一~非常爱。声音可以接受，揉面阻力大的时候机头有轻微摇动，打奶油蛋清类和搅拌就不会了。抬起机头调节机头下面那颗螺丝可以最大限度的减小机头振动的情况，揉面的钩子和插销扣紧锁上以后不是最紧那种，会有一定的空隙，不懂是不是正常就是这样设计的，以致揉面时候钩子和插销发生碰撞有咣当咣当的声音，另商品页面和说明书电压写的120v，咨询客服答是110v，变压器我就用110v的输出。里面的齿轮配件基本能在网上买到，自己打开机子也可以做基本的维护保养，感觉是物有所值的。</t>
  </si>
  <si>
    <t>不错 特别喜欢 平滑的水管 容易清理干净</t>
  </si>
  <si>
    <t>比想象的好 纠结于E4.5和E5，最终还是入手E4.5。自己不算发烧友，入E5的话要自己配线，想对得起E5的话又得至少配个iOne，即使E5做活动加起来这些也奔着2000+去了。入个E4.5，千元打住，效果也足够自己的小桌子使用。</t>
  </si>
  <si>
    <t>行 跟评论一样，包装有些简陋，但是是升级版的，滤芯过一次有颗粒，两次就没有了，是贵了点，但是喝的放心</t>
  </si>
  <si>
    <t>挺不错了 比较合身，长短也合适</t>
  </si>
  <si>
    <t>很可爱的小杯子 形状像极了以前的牛奶瓶，手感也不错。日亚包装的太精心了，一点磕碰剐蹭都没有。奶白色很耐看。350ml可不大，不太渴或不方便时用还行。男士就太迷你了。</t>
  </si>
  <si>
    <t>喜欢！ 价格便宜功能齐全。 加税包邮700多块，有电波有光动能，黑色好看又百搭，表盘不会太大对我来说刚刚好。 可以说是非常满意非常喜欢了!</t>
  </si>
  <si>
    <t>非常适合，第二次买了 这是第二次买这个尺寸的裤子W32x29，长度适合我这较矮的身材，不用改裤脚，不容易买到这样的尺码。</t>
  </si>
  <si>
    <t>不错 很大一瓶，真的很大。鱼油没有发生粘接，颗粒比较大，有鱼腥味。性价比挺高的。</t>
  </si>
  <si>
    <t>电器 很喜欢这个水壶，等了好久，还是这个价格，实在不能等了，买！</t>
  </si>
  <si>
    <t>起球，很薄 起球超严重，只穿了两次，就这样</t>
  </si>
  <si>
    <t>偏大，不推荐购买.真心不行，里面的绒掉的厉害，穿件打底衫上面全是黑毛，真是垃圾，洗衣机洗了一次，外面起毛球咯，怀疑是假货，这个品牌不该有这样的质量 买的最小码数的还是偏大，关键是质量不行，很容易起毛球，又容易沾灰，估计在一下水洗两笔直接没法穿了，一次失败的海淘，我讲真话，真没觉得比国内这个价位的卫衣好，</t>
  </si>
  <si>
    <t>偏大了 160 120的身材这裤子码数腰部大了一码 大腿处大了 裤长刚刚好</t>
  </si>
  <si>
    <t>骗人的 太大了，根本不是两个x比3个x还大</t>
  </si>
  <si>
    <t>抗议 太差了 注明是105cm长度 却发一个125cm的给我的太过分了 标签是别的皮带上撕下放上去的 这就是亚马逊吗？</t>
  </si>
  <si>
    <t>不满意 内裤有脏的地方，不检查就发货，感觉是次品</t>
  </si>
  <si>
    <t>便携但功能不如有线的。 牙线不错，便携，充电很酷。 但是不如有线的档位和功能多，力道好像也小些，水储存也较少。适合出差。</t>
  </si>
  <si>
    <t>总体不错 东西还可以，价格不贵，层次稍微差点，邮寄时间两周，还行</t>
  </si>
  <si>
    <t>冬鞋 厚的</t>
  </si>
  <si>
    <t>。 鞋子还可以，叫是我的这双右脚大摩指处会出现塌陷。。43脚uk8就可以了，8.5绝对大。</t>
  </si>
  <si>
    <t>值得购买 质量挺好的</t>
  </si>
  <si>
    <t>好 给老公买的，胖子一个，尺寸合适，裤形合适</t>
  </si>
  <si>
    <t>面料挺厚实的 版型偏瘦，冬天打底的话还是很不错的！</t>
  </si>
  <si>
    <t>版型很好 穿上很舒服，稍微大一些；</t>
  </si>
  <si>
    <t>德国购入，型号HX6960，可以用 依旧盲选，看说是通用，不过买的时候比之前要贵些，涨价了</t>
  </si>
  <si>
    <t>做工比起来算是粗的了，当然是正品。 二百刚出头的含税价格应该可以了</t>
  </si>
  <si>
    <t>相当简约 够小巧，不宽，这个码数基本就是跟着自己平时穿的裤子码数大一两个号买就行了</t>
  </si>
  <si>
    <t>性价比很高。 很好很强大，比HUB款更好。</t>
  </si>
  <si>
    <t>很好 看到这块表的时候终于明白了为什么那么多人说它压根就是儿童表——儿童表的表带也这样，且比正常男表小一号..但戴在手上感觉还好，而且表带没有塑料的味道，弹性也挺好（晕，居然有说表带弹性好..）。整体看上去做工很精致，或者说很细腻。里面没挖出来看，等待时间检验。</t>
  </si>
  <si>
    <t>绝对是海鲜锅的最佳选择 我一直觉得买锅具一定要在预算范围内买最好的，比如酷彩。 虽然价格相对昂贵，但通过和其他铸铁锅品牌或者不锈钢锅具对比，你绝对会庆幸你的选择。 酷彩的该款海鲜锅比他家的招牌荷兰烧锅实用，因为海鲜锅的铸铁锅盖更重，做无水焗海鲜的时候不会跑气，海鲜烹出来原汁原味。 它比你想象中更全能：除了无水焗海鲜，还可以做无水盐焗鸡，西班牙海鲜饭等，甚至......仅仅拿来拍照！可以说越用越爱。 你一定要在烹饪完成后直接将锅子端上桌，它的爆表级高颜值一定会吸引所有人的眼球，让你收获大批赞美！</t>
  </si>
  <si>
    <t>完全合乎想象 平時穿耐克阿迪44碼，綜合各個評論，賣了9UK的，大概能放進兩個手指的樣子，挺合適的，寬鬆有餘，MADE in China，挺讓人高興的，因為評論里大多數說產自多米尼加，不用說中國產的質量要更優秀。快遞上，16號下單，等到21還沒發貨，疑惑了好久，也打了好幾次電話催，慶幸沒有要求我英文交流，不然會讓我抓腳撓腮的，等到20號晚上德國科隆發貨，想著怎麼地也得幾天，結果21號晚上就到深圳海關了，讓人目瞪口呆，22號所有手續包括清關都搞完了，中午就到廣州讓我簽單拿貨，確實厲害的不行。質量上表面看上去沒有其他評論說的任何毛病，甚至比圖片好看很多，是幸運呢還是幸運呢？真假的話我覺得亞馬遜不至於騙人吧，清關兩三趟加上租運特快航班怎麼地600還是賺的少了吧？總之現在是第二天，一切都很喜歡，本人沒自信，就不爆照了。</t>
  </si>
  <si>
    <t>便宜好用的手表 价格不贵，电池寿命十年，还防水，可以很安心地用！</t>
  </si>
  <si>
    <t>典型欧美风衣服，整体偏长 181cm，80kg，m码肥瘦合适，肩膀合适，袖子稍长，衣服稍长一点点</t>
  </si>
  <si>
    <t>美国裤子，柬埔寨产 长短合适，裤头刚好。174，70。裤型有点肥，内有保暖层，回家过年刚刚好！</t>
  </si>
  <si>
    <t>喜欢 M码的胸围和优衣库瘦版xl码的polo衫一样大</t>
  </si>
  <si>
    <t>好 实惠 实用 外出用特别方便 密封性能特好</t>
  </si>
  <si>
    <t>非常漂亮 和之前在专柜试用的一样好，手感非常轻盈，听人声不错，交响乐略有点不足</t>
  </si>
  <si>
    <t>买了第三瓶了，价钱超值 买了第三瓶了，价钱超值</t>
  </si>
  <si>
    <t>性价比高 味道有点大，价格实惠，比起国内某些品牌便宜太多，质量很好，穿起来显老，性价比高</t>
  </si>
  <si>
    <t>米色有色差 有色差，不是肤色，不能直接当连裤袜穿，必须穿里面，实物更像是有点灰的米色，介于灰色和米色之间</t>
  </si>
  <si>
    <t>过大LL 我买的LL号真的太大了！不适合我 送给我妈了 只要是年轻人产后买M和L就够了</t>
  </si>
  <si>
    <t>亚马逊值得依赖 会一直在亚马逊买欧乐B的牙刷头</t>
  </si>
  <si>
    <t>以后不在亚马逊买鞋了，还是去店里吧！ 没有办法穿，穿了2个小时  。不是43是42的吧，  400块钱浪费了，  太顶脚了。</t>
  </si>
  <si>
    <t>肥 裤子不错，就是太肥了，比我预想的还要肥，我这190斤的大象腿穿着都肥。再就是包装太差了，寄过来裤子上全是沙子</t>
  </si>
  <si>
    <t>磨脚 平时nike 43码  穿这个有点小，伤脚，嫌麻烦，没办理退货</t>
  </si>
  <si>
    <t>挺好的 此类商品建议不要在海外购购买，蜡笔特别脆，到手后很大几率会断。买了两盒都有很多断的。</t>
  </si>
  <si>
    <t>不错的运动表 不错的产品，比较运动时尚</t>
  </si>
  <si>
    <t>漏奶 买了700个袋子 漏奶漏奶 好郁闷 又过了退货期</t>
  </si>
  <si>
    <t>颜色和图片不太一样 颜色不是像图片这样白的，有点淡淡紫的，还是图片好看。保温效果不错 外面漆被我划伤一块了</t>
  </si>
  <si>
    <t>第一次使用监听音箱 本来打算退了，因为同时买了 SAMSON的5SE5 和 Presonus的 E5，但是一接通后被声音震撼到了 觉得留下</t>
  </si>
  <si>
    <t>很硬的布料，洗了还是硬 很硬的布料，洗了还是硬</t>
  </si>
  <si>
    <t>嗯 侄女一直在用，所以买来囤货，应该蛮好用的，只是觉得在广东那边生产，感觉多余圈圈，还海淘</t>
  </si>
  <si>
    <t>还不错 还可以，属于肥大款，第二次买了</t>
  </si>
  <si>
    <t>日版中国制造略厚 日版、中国制造、略厚，176/68还好买的L码，夏天穿舒适略宽松，标都是绣标，不扎人，整体很好看。</t>
  </si>
  <si>
    <t>不错很好的一次购物 很好不错很好的一次购物</t>
  </si>
  <si>
    <t>合身 给爸爸买的，175cm，72kg，刚刚好，很合身。</t>
  </si>
  <si>
    <t>不错 裤子类似压缩裤，透气性很好，158/45kg穿s码，穿脱略微有点儿紧，上身之后挺合适。</t>
  </si>
  <si>
    <t>满意 海外购，运输速度快，价格合适，满意</t>
  </si>
  <si>
    <t>不错不错 夏天穿着，合适。179，150斤</t>
  </si>
  <si>
    <t>喜欢到家 非常棒，前后给宝贝买了五个杯子，都不爱用，结果一看到这个就爱不释手，咕噜咕噜喝了一大杯水，终于解放了妈妈的双手了。</t>
  </si>
  <si>
    <t>推荐 是薄款的，不可以加内衬，质量很棒，价格比国内便宜好多。</t>
  </si>
  <si>
    <t>花洒 还没有热水试一下，但整体非常满意！</t>
  </si>
  <si>
    <t>Casio Men's A168W-1 Stainless Steel Watch ...不错啦 这个表呢，就是简约大方啦，蛮喜欢的</t>
  </si>
  <si>
    <t>安抚 软，有点味道，关键是小宝不吃，没有起到安抚作用</t>
  </si>
  <si>
    <t>非常满意 容量3.7T，对于大文件如果单体较多的速度能达到350M+,小文件组成的大文件速度在20M+，包装良好，带有备份，安全，检测软件。好评！</t>
  </si>
  <si>
    <t>超值，亲肤 1800日元，含税75，超值，买了两件，后悔没多买几件，日产，每件衣裤都有衣架</t>
  </si>
  <si>
    <t>一直用 一直用</t>
  </si>
  <si>
    <t>健身必备 非常快，正品，口味也很好喝</t>
  </si>
  <si>
    <t>。 很不错</t>
  </si>
  <si>
    <t>精致的洒 手感超好！选择不同花洒形式仅需轻轻一按就能实现，开关花洒也仅需轻轻一按，简直神啦。。。。。一点也不滴水！调温旋钮操作简单，感觉温柔，不愧是红点设计大赛获奖产品。。。。。只是有点贵，花了哥们1万RMB。。。。。不过物有所值！</t>
  </si>
  <si>
    <t>不错 鞋子穿起来没有想象中舒服</t>
  </si>
  <si>
    <t>喜欢 570多入手，喜欢，上一个飞利浦剃须刀用了5年左右，希望这个也耐用！</t>
  </si>
  <si>
    <t>很不错 出乎意料的设计，很人性化，很适合给宝宝喂食</t>
  </si>
  <si>
    <t>保温很好 很好，保温效果好，轻便</t>
  </si>
  <si>
    <t>购买需谨慎 左脚鞋子面上有划痕，共7条间距差不多。歪果仁也不诚信么？</t>
  </si>
  <si>
    <t>有些小瑕疵 收货的时候自己认为亚马逊自营的商品应该不会有什么问题的，就没有检查收货了，等穿了一次回来发现有个划痕，不知道是否是原来就有还是穿了以后有的？亚马逊也做了些赔偿，但是觉得这个划痕应该是原来就有的，现在说不清楚，提醒大家收货的时候认真看清楚再收货</t>
  </si>
  <si>
    <t>蓝得像黑色 蓝得像黑色一样，样式不错，但非纯棉，适合春秋穿。作个参考，168cm&amp;amp;59KG 选S码合适。身材壮硕的应选大一码。</t>
  </si>
  <si>
    <t>辣鸡 亚马逊竟然也这么垃圾了。。。买了两只其中一只用一会就没电了。。充满了也用不了多久。。。还说是无法退货的货品。。。行了，不会再来了</t>
  </si>
  <si>
    <t>亚马逊居然也卖假货 lee牛仔裤真假辨别：拉链——正品lee牛仔裤的拉链（吊链）上一定有“LEE”的LOGO，凡是没有LOGO或是“YKK”的均是假货！“X”打枣线——正品lee规范有力，假货真线单薄或者干脆没有。“X”打枣线——正品lee规范有力，假货真线单薄或者干脆没有。ykk的拉链都不知道真假！做过也不怎么样！</t>
  </si>
  <si>
    <t>弹性布料，穿着比较舒服 裤子整体不错，算满意。颜色比预想的要深一点；大小算合适，有弹性的缘故，穿后有点松，但比国内的舒服。</t>
  </si>
  <si>
    <t>颜色布料都不喜欢。 因为是牛津布，所以穿起来不怎么舒服，领子稍微有点高。孟加拉国制造，细节不过国内产的。</t>
  </si>
  <si>
    <t>还行 跟实物还是有蛮大区别</t>
  </si>
  <si>
    <t>太大了，购买时要注意 174cm/85kg XXL太大了，第一次买欧版的衣服没经验</t>
  </si>
  <si>
    <t>尺码偏大 买的M尺码，仍然显大，面料和版型都不错。</t>
  </si>
  <si>
    <t>快！ 送货快。识别7.4T，声音略大，咔咔咔</t>
  </si>
  <si>
    <t>值值值 质量超赞，纹饰好看。</t>
  </si>
  <si>
    <t>货真价实 这个跟实体店一样，值得购买</t>
  </si>
  <si>
    <t>注意尺寸 没买好太短了，怪自己</t>
  </si>
  <si>
    <t>尺寸刚好 比预想的还要合适，纯棉的穿起来很舒服。</t>
  </si>
  <si>
    <t>大小正好 大小正好，速度超快，一个星期就到了，本人180,85KG选了34/32</t>
  </si>
  <si>
    <t>鞋子值得买 买大了，出给别人了。鞋子是值得买的。</t>
  </si>
  <si>
    <t>很棒 元月份买的，现在孩子一直在用。没有异味去过很多商场看过商场内很多奶瓶，感觉还是这个好。快要做爸爸，妈妈的同志们可以考虑哦！</t>
  </si>
  <si>
    <t>满意 挺好看的小白鞋。尺码略大，但还是建议按正常尺码买。减震好，很舒服。</t>
  </si>
  <si>
    <t>私密的选择 材质、手感都不错，值得推荐</t>
  </si>
  <si>
    <t>质量不错 买来给孩子出门泡奶的，保温效果很好。</t>
  </si>
  <si>
    <t>科技感，颜色也很好 确实很方便，温度过热就变成白色的，宝宝不会被烫了</t>
  </si>
  <si>
    <t>笔有些轻，但是很好用，值得推荐 笔有些轻，但是很好用，值得推荐</t>
  </si>
  <si>
    <t>颜色搭配的很好 产品很好，海外购的价格比国内低很多的，值得购买。</t>
  </si>
  <si>
    <t>好鞋！ 脚背高的话这鞋有点紧，但把鞋舌里面的那块布剪开，这双鞋就变得完美了</t>
  </si>
  <si>
    <t>good 很不错 但总体性价比来说 不如买纸盒装的 效果也很好</t>
  </si>
  <si>
    <t>🍼 孩子非常喜欢，爱不释手的</t>
  </si>
  <si>
    <t>价格便宜的瑞士表 还不错，做工对的起价格。</t>
  </si>
  <si>
    <t>多次摸索，找到合适自己的口感了 目前煮了两顿米饭，第一次选的硬米饭，40多分钟，完全不好吃，第二次精煮模式，72分钟，米饭口感q弹，可惜没有米香味，没有家里三洋的煮出来的好吃。唉，失望。菜单选项也多，我再慢慢摸索吧。第三顿第四顿用偏软饭模式，煮出来的饭自带香甜，真是太好吃啦！不晓得那些旗舰版的饭煲煮出来的什么味道，是不是好吃的连舌头都吞下去了</t>
  </si>
  <si>
    <t>质量不错 是预期一样的质量和款式，不是很厚款的，169身高穿大码合适</t>
  </si>
  <si>
    <t>好 176CM 83KG 穿L码正好 第二次买了</t>
  </si>
  <si>
    <t>1 1080到手，超值，就是不知道能扛多久，国内没保的</t>
  </si>
  <si>
    <t>盖子有塑胶味 盖子的胶皮味不好闻，用水泡了两天也没有减轻。一般不应该都是有股奶香味儿吗？但这个真的就是塑胶味道。保温效果还没有测试。</t>
  </si>
  <si>
    <t>味道重 长度稍短，味道很重，不知道是不是真皮</t>
  </si>
  <si>
    <t>呃～～～ 衣服还不错，不过穿了两次就掉了两颗扣子</t>
  </si>
  <si>
    <t>包装 包装不好。就两片纸盒夹着。</t>
  </si>
  <si>
    <t>布料 布料太粗糙了，穿在身上是要摩擦摩擦吗？当抹布还差不多…</t>
  </si>
  <si>
    <t>这个颜色真的是和图片色差比较大 不是很喜欢这个颜色， 颜色可以再真实一点吗</t>
  </si>
  <si>
    <t>黑色好看 黑色挺好看的、袖子比较长</t>
  </si>
  <si>
    <t>宝宝勺子 还可以，色彩鲜艳，不软不硬，准备囤货给宝宝辅食用，30多购入还算划算，勺子很轻便</t>
  </si>
  <si>
    <t>跟风买的 现在铺天盖地的宣传葡萄籽好，中年保健很吃香，也跟风吃，要说有什么效果，还真没有。</t>
  </si>
  <si>
    <t>稍大,跟专柜有点不同 专柜买的小一些,这次买大了只好送人,另外比较厚,不适合夏天穿</t>
  </si>
  <si>
    <t>好用 特别好用的一款，再也不会吃的哪都是，亚马逊的价格也十分给力！</t>
  </si>
  <si>
    <t>UA coldgear 中国制造，做工一般。是UA 的coldgear，面料带绒的。适合秋冬穿。本款略修身。174,70内衣穿s正好。</t>
  </si>
  <si>
    <t>号码偏大，质量不好。 有点大了，并且和我以前买的365那款相比，弹力太小了，基本没什么弹力。 穿了两天，有点恼火，这个内衣，一点弹力都没有，不如国内的CK，我都觉得这是不是假的？</t>
  </si>
  <si>
    <t>简单霸气 鞋面与鞋底软硬适中，我对皮革没有什么研究，感觉是磨砂牛皮，配条窄腿裤穿，有点粗犷气。</t>
  </si>
  <si>
    <t>Good 还没穿呢，，先给好评！！！</t>
  </si>
  <si>
    <t>很划算！ 趁PrimeDay活动买的 比平时划算不少 一次屯10支能用很久 方便省时</t>
  </si>
  <si>
    <t>很舒适 17年9月份买的，最近才想起来穿，看着不怎么好看，但穿起来好舒服。</t>
  </si>
  <si>
    <t>已拆，氦气盘 到手就拆，氦气盘，目前当外置硬盘用，声音能接受（可能是台式机声音太大）</t>
  </si>
  <si>
    <t>还好吧 还好吧 ，但不知产地是哪里。唉…… ，降价了，降了四、五十元。</t>
  </si>
  <si>
    <t>舒适 非常适合，36.5-37脚穿UK4-4.5，很舒服</t>
  </si>
  <si>
    <t>挺好的 上身非常合适 尺码刚好</t>
  </si>
  <si>
    <t>很好很合适 海淘退换货不方便，我尽量都要评论下。这双爱步样式很好很喜欢，又等了一周选了个相对优惠价格还是比较合算的，我平时穿39.5-40码鞋、这双买的40码稍大一点点，空了一个指头多一点，但如果选39码的估计会嫌紧，总体来说40码把鞋带系紧就可以了</t>
  </si>
  <si>
    <t>音质干净，简洁，质量做工很好 佩戴舒适，音质干净，低频足够，高频不破音，人声纯净无添加，日常使用足够，电话线没有想象的那样笨重，小巧，不影响携带，好评！</t>
  </si>
  <si>
    <t>出彩 时尚，好看，好搭，休闲感十足</t>
  </si>
  <si>
    <t>很好 肩宽49.胸围104.有肚子。穿XL 宽松，但是不会太大，应该L 也行</t>
  </si>
  <si>
    <t>不错的商品 也不使用一个纸箱包装一下，直接就使用原包装纸箱给邮寄过来了，而且也没有标明产地，不知道是哪里制造的。德式插头，还要购买一个转换插头才能在国内使用的了。</t>
  </si>
  <si>
    <t>塑料感重，但音质很均衡 均衡的音质，低音也比较足，比较突出乐器而非人声。</t>
  </si>
  <si>
    <t>鞋子不错 鞋子不错，略微有点瑕疵，左脚鞋头有个1毫米左右的白色油漆点擦不掉。价格很便宜，质量不错，鞋盒比较烂</t>
  </si>
  <si>
    <t>非常好 非常好的产品，包装，产品都很好</t>
  </si>
  <si>
    <t>非常推荐的勺子 这是第二次买这把勺子了。说实话宝宝出生后，买了七八种勺子了，不少都是海淘回来的大热款，但是只有这把好上手，非常推荐</t>
  </si>
  <si>
    <t>不错 保暖效果挺好的</t>
  </si>
  <si>
    <t>保温效果好 买来送给小侄子的，到货后试了下，保温效果不错，而且日亚这个价位比较合适，到手价263，我们去日本从机场买回来的还360呢</t>
  </si>
  <si>
    <t>不值这价 拿到的实物和图片展示的完全不一样，无论是款式还是颜色。而且看着像地摊货，不建议大家购买这款！</t>
  </si>
  <si>
    <t>性价比高 身高168体重56，S号正好，其实小一码紧身能更好看，和图片一样，性价比很高。推荐。</t>
  </si>
  <si>
    <t>包装不满意 包装不好，来到破损严重，也没做任何防护措施，还好手表没事。</t>
  </si>
  <si>
    <t>大腿根处很紧,前档稍小 大腿根处很紧,前档稍小,买的时候要注意</t>
  </si>
  <si>
    <t>质量差，慎买！ 质量太差，穿了不到一月，日常穿着而已，竟然发生断底的现象，这辈子第一次把鞋底穿断了！</t>
  </si>
  <si>
    <t>亚马逊也学会店大欺客了。 超级失望，有划伤，也有一些溢胶，而且没有clarks的弹性软垫，同时买的同款黑色的那双就有，品控太差，而且客服只为划伤给赔偿20%，完全不提物品不一样这茬儿，而且赔偿的20%，还只给你礼品卡。要不就自己去寄国际快递退回英国，然后再等英国那边收到了，再给你退物品的钱和垫付的国际快递。上一次买的鞋也是，特别简陋。以后还是别在中亚海外购买了，刚刚去看了，英亚同款的税前售价都在400以上，说是英亚发货但是觉得像是质量并不好的残次品。客服的意思就是，不想要你退啊，反正就是不承认东西有问题。</t>
  </si>
  <si>
    <t>严重质量问题，脱线！ 质量问题，脱线！虽然是中国产，但这质量太差了吧！</t>
  </si>
  <si>
    <t>还是买大了 真的很肥，偏胖但不是肥胖的按正常美码买就行，不要像我一样，穿上肩宽明显不够…</t>
  </si>
  <si>
    <t>推荐购买 Relaxed straight leg休闲直筒裤，做工不够精细，走线稀松，线头较多，裤腿偏大，我喜欢宽松点，还可以，偏胖者更适合。体型适中又需要宽松点且不要修身者建议选Regular fit类型。网购裤子感觉没有以前到美国买的质量好。。。</t>
  </si>
  <si>
    <t>我对欧美与中国的服装尺码不清楚，最好有个比较。 质量好，穿着舒适</t>
  </si>
  <si>
    <t>衣服质量一般般哈 对于我来说很合适</t>
  </si>
  <si>
    <t>还行 物流很慢，听说美版的要大些特意小买了一号不错不错</t>
  </si>
  <si>
    <t>为啥非得要个标题？又不是写长篇大论！ 买这个免得跟满街的红袋小狮子搞混，保温效果好，吸管的盖子容易被掰下来，上回去也很容易，不影响使用。</t>
  </si>
  <si>
    <t>尺码参考 身高177厘米，体重82公斤，Ｍ号正合适</t>
  </si>
  <si>
    <t>就这样 看样子本来可以多放2个，包装和美亚买的不一样</t>
  </si>
  <si>
    <t>非常漂亮 个人觉得手感非常舒服，但是穿的人不喜欢低腰。我也没有办法</t>
  </si>
  <si>
    <t>非常好的商品 给我妈买的。她腿关节不太好。她吃了一年多这个保健品了，挺管用的。至少不怎么疼了，走路也不那么瘸了。</t>
  </si>
  <si>
    <t>东西是很好 很好的东西，挺厚实，很结实</t>
  </si>
  <si>
    <t>很厚，要买小一个号 老公非常喜欢，颜色漂亮，绒毛很温暖，有些掉绒很正常，比平时买小一个号刚好</t>
  </si>
  <si>
    <t>好评？ 发货速度快，厚重的感觉，做工好，好评。</t>
  </si>
  <si>
    <t>最新款式，号码标准 穿着舒适，就是得经常刷洗，比商场便宜一半</t>
  </si>
  <si>
    <t>666 耐克穿43，看了评论买的8.5M，穿了以后还是感觉稍微宽松了些。鞋身有不少划痕，但是无伤大雅，工装鞋也不是娇贵鞋。</t>
  </si>
  <si>
    <t>很漂亮的帽子 帽子做工精致。 prime会员包邮，国内走顺丰，这个比自己海淘方便太多，对于体积大重量大的商品有巨大优势。</t>
  </si>
  <si>
    <t>很好 一直都在亚马逊海外购买宝宝的东西，一直很放心，也很满意！会继续的，希望能一如既往，保持正品，保持低价！</t>
  </si>
  <si>
    <t>鞋跟高度很舒服 鞋子颜色挺好看，国内码穿37码，买的US6.5，光脚穿稍微有些紧，穿丝袜穿合适..鞋跟高度合适，走几个小时的路也不觉得累.</t>
  </si>
  <si>
    <t>36的裤子配了40的皮带 36的裤子配了40的皮带，扣在了最里面的一个孔，看来下次选38的比较合适。做工不错，没发现毛病，印度生产。</t>
  </si>
  <si>
    <t>满意 凑单品，没想到挺好看，挺好用</t>
  </si>
  <si>
    <t>独立包装 大赞独立包装，防止交叉感染可以，不防霾应该，因为不贴合</t>
  </si>
  <si>
    <t>很实惠的一次购物 宝贝到手后比我预想的小巧精致，usb3.0的速度也很快。活动时候买的很合适！</t>
  </si>
  <si>
    <t>满意的海购 满意</t>
  </si>
  <si>
    <t>数码 很好，漂亮好用。关键是比某猫某东便宜很多</t>
  </si>
  <si>
    <t>尺寸刚刚好，实惠！ 非常合适，都穿了几个月，拍张照来给大家看看。</t>
  </si>
  <si>
    <t>鞋底是厚的 买大了 也没看好是高低的 伤心</t>
  </si>
  <si>
    <t>过大很多 过大不是一点点，比李维斯lee的整整大了两个号</t>
  </si>
  <si>
    <t>一般般 觉得太肥大了，长度还好</t>
  </si>
  <si>
    <t>太红 太红了，比西瓜红更浓</t>
  </si>
  <si>
    <t>发成了加宽版！！！偏大！ 买的9uk，发的9uk w 加宽版，宽的跟个大鳎嘛鱼一样，不退了，麻烦！偏大！</t>
  </si>
  <si>
    <t>质量很差 质量很差，跟原装比区别很大，刷毛还会时不时的掉下来，没用完，不想用了</t>
  </si>
  <si>
    <t>这个色差简直过分 千万不要买黄褐色！！！千万不要买黄褐色！！！千万不要买黄褐色！！！因为到货是绿色的！！！</t>
  </si>
  <si>
    <t>提示正确 根据提示选择M,正好合身。</t>
  </si>
  <si>
    <t>图案很可爱，当玩具来玩 小朋友吃饭不用，呵呵，就是当玩具</t>
  </si>
  <si>
    <t>很不错的帽子。 女生带上去英姿飒爽。</t>
  </si>
  <si>
    <t>开炸 这个炸开了哈哈哈</t>
  </si>
  <si>
    <t>手感好，无异味。 手感好，真有妈妈的感觉。比国内买便宜多了。</t>
  </si>
  <si>
    <t>袖子长 170 60kg, xs  上身显大，很宽松，跟图片一样，不是修身的。其次袖子稍微长了点，衣身又短些。线头之类的倒是没有，应该比较保暖吧。</t>
  </si>
  <si>
    <t>大小样式正好合适，满意 大小样式正好合适，满意</t>
  </si>
  <si>
    <t>性价比高 618日淘一共花了340左右，比国行便宜几十块。等了十天左右收到货，包装很简单，但也不缺什么。试听了一会，感觉素质不错，三频比较均衡，偏低频一些，中频非常饱满，耐听。总之，还是很超值的</t>
  </si>
  <si>
    <t>衣服没得说，好！但实在太大了！ 衣服没得说，好！但实在太大了！</t>
  </si>
  <si>
    <t>合身 面料不错，不大不小非常合适</t>
  </si>
  <si>
    <t>好好好 我的外面盒子一边一个封条完好，里面的盒子上没封口不过产品是好的，很满意，又入手了美容仪就快到了，哈哈</t>
  </si>
  <si>
    <t>雷克沙的卡和读卡器非常不错 测试虽然传输速率没有达到宣传的95M/S，但是也很快了，这个读卡器加上卡，真是非常值得，性价比很好。</t>
  </si>
  <si>
    <t>很满意，有质感 把家里其他盆子丢了，换了这一套很满意</t>
  </si>
  <si>
    <t>东西做工很好，很漂亮，并且很好用，声音也不吵 东西做工很好，很漂亮，并且很好用，声音也不吵，档位多，任意调。比手打方便多了！</t>
  </si>
  <si>
    <t>漂亮篮球鞋 特别漂亮舒适的一款大童篮球鞋</t>
  </si>
  <si>
    <t>速度快 颜值高 和路由器冲突 速度快，颜值高，轻巧，和电源同时插不影响。提醒一下大家，我的MAC出现了WIFI无法连接的情况，联系客服后排查完发现是优盘和路由器的波频一样，产生了干扰，把路由器频段从2.5改成5或者连接路由器前不要插优盘就可以解决。</t>
  </si>
  <si>
    <t>质量 颜色非常漂亮，质量不错，不过也是中国生产的</t>
  </si>
  <si>
    <t>保质期到2020年，很新鲜。 保质期到2020年，很新鲜。</t>
  </si>
  <si>
    <t>不错，好味 很喜欢这款咀嚼片。虽然没看到明显的效果，但是宝宝爱吃</t>
  </si>
  <si>
    <t>好鞋子 喜欢，平时穿42的鞋子，以为国外要大些所以买了41吗，结果小了点。还是42合适。鞋子小贵，很满意。小了当然要退了重新买</t>
  </si>
  <si>
    <t>效果不错 买給父母用，据说效果挺好</t>
  </si>
  <si>
    <t>大小合适，做工精致，好 精致，这款比大小合适</t>
  </si>
  <si>
    <t>很棒的WMF 非常好的不锈钢材质，做工好，厨房四件套很实用。</t>
  </si>
  <si>
    <t>不错的辅食剪 很多人都在用，比较实用。</t>
  </si>
  <si>
    <t>开胶鞋 太久没见到这样开胶的鞋子了，18年12月底买的，拿出来穿是19年春天，因为比较重，都没穿几次，刚刚发现，开胶了，两只脚都开胶，这质量也太差了。</t>
  </si>
  <si>
    <t>新款比老款容易胀气 新款活力点，但导气系统真心不如老款，可惜现在老款都没货购买</t>
  </si>
  <si>
    <t>PUMA suede 唉给我实在太太太太大了 但是鞋子本身还是属于标准码的 平时穿37没注意就直接买了美码8 38.5码的 懊悔 有需要的我可以转噢</t>
  </si>
  <si>
    <t>发 发错商品，穿了才知道！只有扔了</t>
  </si>
  <si>
    <t>这个手表我带了之后，手腕处皮肤出现了不良反应 带了这支手表后，我的手腕处出现了红肿的症状</t>
  </si>
  <si>
    <t>胡乱包装，很不专业，完全不顾顾客利益 对亚马逊非常失望！居然用包装文件的方式包装女式bra！如果是可以随意折叠的材质也就算了，但我没那么幸运，这次内衣被明显地折出了痕迹，像要断裂的树皮那种痕迹！祝亚马逊好运！如果连这样的事情都做不好，那再丢掉中国的海外购业务也不足为奇了！呵呵～</t>
  </si>
  <si>
    <t>参考皮鞋的尺码 鞋挺好看的，应该参考皮鞋的尺码，买大了😓退换又麻烦 凑合穿吧</t>
  </si>
  <si>
    <t>很不错 穿上合适，样子也很漂亮！</t>
  </si>
  <si>
    <t>还不错 印尼产的，做工只能说一般，好几处皮革裁剪的像狗啃过一样毛糙。穿的很舒服，尺码准确。总体值得推荐。</t>
  </si>
  <si>
    <t>不错 三个模式虽然够用，还是感觉偏少，总体不错👍</t>
  </si>
  <si>
    <t>满意 表还行，就是说明看不懂，全是日文</t>
  </si>
  <si>
    <t>合适 非常合适，国内是穿40的</t>
  </si>
  <si>
    <t>刚刚好. 大小合适.颜色多样.宝宝喜欢.</t>
  </si>
  <si>
    <t>应该是正品，值得购买 杯子稍微有点瑕疵不影响使用</t>
  </si>
  <si>
    <t>西部数据 WD My Book 8TB 非常好，非常满意。</t>
  </si>
  <si>
    <t>衣服不错 这件衣服质量不错，全棉的</t>
  </si>
  <si>
    <t>不错 很好，用料做工好。一天约快5秒。</t>
  </si>
  <si>
    <t>超值 常年穿这个牌子，相当于40元一条，纯棉的，很满意！</t>
  </si>
  <si>
    <t>宽松舒适经典 买了很多条lee，质量好，不喜欢带弹性的。</t>
  </si>
  <si>
    <t>很不错，时间很准 很不错，时间也很准，每天差15秒左右。</t>
  </si>
  <si>
    <t>非常适合 很满意 非常适合 很满意</t>
  </si>
  <si>
    <t>东东不错 东东不错，性价比高，噪音小，电脑拷贝资料过来可以到50多兆的速度。</t>
  </si>
  <si>
    <t>入门级别 价格实惠 一次性产品</t>
  </si>
  <si>
    <t>性价比超高 原来打算买wmf的料理机 无意中发现了这款 功能相似还多送一个杯子 收到货很惊喜 材质很好 颜色也好看 配一个转换插座即可实用 完美</t>
  </si>
  <si>
    <t>性价比高 音质挺好的 充满电可以用7-8个小时</t>
  </si>
  <si>
    <t>代买的，被另外的喜欢的截道了 帮别人买的，很喜欢才买的，不过又被另一个看到截道了，大家都喜欢。最主要是保温效果好，最最主要是不漏水</t>
  </si>
  <si>
    <t>5星好评 非常不错 质量保证 果然名牌</t>
  </si>
  <si>
    <t>好评满满 本人身高180，体重80。买的m号很合身。偏薄，现在穿很舒服。</t>
  </si>
  <si>
    <t>金属头不怎么好 质量挺好，金属头的材料不怎么好，会退色那种</t>
  </si>
  <si>
    <t>好 不错是正品</t>
  </si>
  <si>
    <t>送货神速，效果明显 四天到货！神速。吃了两次以后，由于运动过度引起的膝盖疼痛明显好转！</t>
  </si>
  <si>
    <t>173cm 60kg合适 本来看到评论里，说大的说小的都有，不过还好老公173cm 60kg（瘦型）穿着比较合适。可能有的是女生穿的男士，毕竟身材，所以50kg的穿M也合适的吧= =</t>
  </si>
  <si>
    <t>很好 满意，颜色饱和度高，容易上色。</t>
  </si>
  <si>
    <t>笔的质量一般 这个笔应该是德国产的，写起来感觉还不错，而且手感是塑料，比较粗，没有金属感觉。郁闷的是，我前一天买的，第二天就降价20多，我最喜欢的紫罗兰色甚至降价50左右。说到这里，我整个人都不好了，所以，评价的话，真的，很差。要知道，这样子做，只会贬低这个牌子，难道是卖不出去了吗？何必玩这种促销。</t>
  </si>
  <si>
    <t>只能说很一般，但对得起这个价钱 首先，到货速度比以往差一点。4天才到。 再来说说这个表。 表盘真的很小，太秀气了，觉得女孩子戴会更合适。我在收到货的时候就想把它送给堂妹。表盘的大小就和上面的图一样。直径37mm,厚度9mm。（觉得太小，特地量了一下） 然后表盘的盖子没有图上那么清晰。而且卡西欧应该也不止只有一张说明书吧，而且说明书做得还不是很好，就一大整页。手表袋上只有很普通的一个挂牌。包装盒子很小一个。 只能说一般啦，但卡西欧的手表还是对得起这个价钱的。 我反而建议女生可以买这款表，特别是小学5、6年级或是初中生，戴上这款表效果应该很不错。</t>
  </si>
  <si>
    <t>适合天冷穿 鞋子修长，脚比较宽的穿起来有点夹脚，鞋底比较硬，适合冬天穿比较保暖</t>
  </si>
  <si>
    <t>鞋子开胶 刚买回来的时候挺喜欢的  结果穿后的第三个月就开胶了 两边鞋子 都开了 这 什么质量？</t>
  </si>
  <si>
    <t>产品质量存在问题，亚马逊服务不合理 产品质量有问题，突然不能充电，找客服居然叫自己联系美国厂家，这什么意思，在亚马逊上买的东西有问题就要自己联系厂家，而且还是海外厂家，这就是耍流氓！看了评论原来很多人都遭遇了类似问题。希望大家以此为戒，并希望亚马逊能够负责海外产品售后维修服务。</t>
  </si>
  <si>
    <t>很好 很喜欢</t>
  </si>
  <si>
    <t>非常厚的衬衫 衬衫比我预想的要厚很多，这点让生活在北方冬天的我觉得很好。但是衬衫的面料显得太粗糙，大概就是我们以前叫平布的那种面料吧。不过对比国内动辄4-5百起步的衬衫，这个价位还算好了</t>
  </si>
  <si>
    <t>保冷专用！ 没写保冷专用！！！！！谁给孩子和喝凉水！！！！杯子好看 没毛病 包装也好 就是保冷的疯了</t>
  </si>
  <si>
    <t>基本款 质量还行 168/65kg，s码略小</t>
  </si>
  <si>
    <t>有欠缺 为什么配的鞋带一条长一条短，鞋子还是很好的。</t>
  </si>
  <si>
    <t>好 鞋子很好，穿着很漂亮</t>
  </si>
  <si>
    <t>还没换呢，但是感觉不错 还没换过，和过滤器一起买的，直邮中国</t>
  </si>
  <si>
    <t>合适 174，78kg，m码正好，但这个版型吧老觉得哪里紧不宽松，目前未见钻绒</t>
  </si>
  <si>
    <t>nice umm</t>
  </si>
  <si>
    <t>号码 160，98斤，穿S有些大，应该买xs好了</t>
  </si>
  <si>
    <t>值得推荐！ 日亚出品，设计简洁，做工精细，大小合适，低调实用，值得推荐！</t>
  </si>
  <si>
    <t>哈哈哈哈哈哈 不错，正好要的是复古样式的</t>
  </si>
  <si>
    <t>很满意 之前买过套头衫，这次买的帽衫送给外甥女，她很喜欢。我也想再买一件</t>
  </si>
  <si>
    <t>性价比高 性价比很高了，国内没有卖的，是日本本土版，就是我自己尺寸没量好，有点大了，建议各位去华歌尔专柜试好再买</t>
  </si>
  <si>
    <t>好评 按照商品标注尺码购买，大小合适标准，裤子品质出乎意料的物超所值适合这个季节穿着，80%的含棉穿着舒适运动方便推荐</t>
  </si>
  <si>
    <t>保真，特价 镇店之宝的价格，比海淘澳洲还要便宜，更重要的是保真，不担心买到假货，亚马逊的优势就是海外购，不用自己亲自海淘了</t>
  </si>
  <si>
    <t>完全合适。 非常好！是正版，扎实。</t>
  </si>
  <si>
    <t>摸着舒服 质量第一！很舒服！颜色不错</t>
  </si>
  <si>
    <t>质量可以；价格很好！ 按照腰围和腿长买衣服还是很合适的。</t>
  </si>
  <si>
    <t>质量好 现在宝宝七个月了，买了这两个，第一个用了六个月，消毒煮烂了，现在在用第二个，质量好</t>
  </si>
  <si>
    <t>不错 正，比想象的厚  以前从不去评价，不知道浪费了多少积分，现在知道积分可以换钱，就要好好评价了</t>
  </si>
  <si>
    <t>很棒的一次购物经历 宝贝很棒，曾经关注过西铁城的多款产品，包括exceed等等，这款有我最喜欢的表盘和夜光！！划痕是会产生一点，不过这样才会有一点感觉。很棒的一次购物经历。快递也算不错啦</t>
  </si>
  <si>
    <t>保温效果好，颜值高 轻巧好看，实在是太保温了。七八个小时了，水还烫的不能喝，第二天才刚刚好可以喝。也有可能现在是夏天的缘故。</t>
  </si>
  <si>
    <t>衣服不错 衣服质量不错，穿着舒服，身高173，67kg,m号正好，衣服薄，建议天气10-20度时穿</t>
  </si>
  <si>
    <t>传世珐琅锅 我从十年前就在用Staub，家里有两个Staub和一个LC的珐琅锅。相比LC清新活跃的色彩，Staub基本都偏向沉稳的色调。与厚重的铸铁完美配搭，完全符合日本厨师土屋敦在其博客上给Staub的评价：“男人锅”。 珐琅锅制造过程是都用砂模铸入铁水，冷却后打掉砂模，再进行修整、研磨和喷涂珐琅质。从这个意义上来说，每个珐琅铸铁锅都是独一无二的。 Amazon这次的品相和运输都十分完美。</t>
  </si>
  <si>
    <t>上身效果很赞 首先裤子上身效果很有型，3D裁剪很舒服，尺码稍大，我172/66，平时穿w30L30，这次选了W29L30合身，不系腰带感觉腰围稍微有点松，给大家参考！英国仓库发货，魔都差不多十天收到，物流还算可以</t>
  </si>
  <si>
    <t>孕期囤货 觉得还是要屯一个玻璃奶瓶的，贝亲的是很多妈妈的推荐，有口皆碑~~~很棒~~~~</t>
  </si>
  <si>
    <t>假货 感觉是假货，会生锈，之前在别的地方买过，不生锈很好用，这个买了用不了几天就生锈了</t>
  </si>
  <si>
    <t>不太满意！ 质量有些差，加绒的，面料很不好，最好的是袖子的刺绣！</t>
  </si>
  <si>
    <t>不知真假 这个不知真假，毕竟第一次买，因为是一家店，所以也不敢吃</t>
  </si>
  <si>
    <t>就是质量不好太差了 颜色大小都行，就是穿了不到一个月就坏了，质量有点太差了，让我很失望以后不能在亚马逊官网买东西了</t>
  </si>
  <si>
    <t>会跑带，不好穿 超级不好穿，吊带二边都会往下跑。胸围都合适，为什么会跑带？超反感，沒法穿，浪费了。</t>
  </si>
  <si>
    <t>又硬又不好用 又硬又不好用，真是买过的最垃圾的皮带，与图片相比，实物差得太多</t>
  </si>
  <si>
    <t>稍稍有点不满意就是有点短。 我比较瘦，173左右，常年58kg，穿这个衣服呢？s码袖子刚刚好，没问题，就是衣服短了一点点，不知道买l合适不？买l衣服合适了 袖子又长了吧？现在800多了不含税 我买的时候560不含税所以算了 不退货了。</t>
  </si>
  <si>
    <t>价格实惠 从这个价位来看这个耳机也算是不错了</t>
  </si>
  <si>
    <t>1.67/70公斤M合身，比较长 1.67/70公斤M合身，比较长，属于很显身材不遮肉那种</t>
  </si>
  <si>
    <t>硌脚背。 总体没什么毛病。 是我足弓高还是鞋子设计偏低？脚背硌得挺疼。 从新泽西寄过来，还是中国造，不爽。</t>
  </si>
  <si>
    <t>电 真的很保暖哎，但是静电太多了。</t>
  </si>
  <si>
    <t>料子好，穿着舒服 身高171，体重77KG,买了W33L30。腰围正好，裤腿略长。总体满意</t>
  </si>
  <si>
    <t>好 衣服挺好的，很便宜！</t>
  </si>
  <si>
    <t>非常好 尺码很准，上脚很舒服，比预计速度快。以后就亚马逊买ecco鞋了</t>
  </si>
  <si>
    <t>还行 产地是墨西哥。布料厚，适合冬季穿，性价比高。</t>
  </si>
  <si>
    <t>非常合适的价格 价格很合适，物流也很快，全新，未通电，盘是氦气盘，质保三年。</t>
  </si>
  <si>
    <t>试穿体验 有些神奇！第一次试穿，5公里配速、平均配速都刷新了记录。</t>
  </si>
  <si>
    <t>偏大一点点， 之前看了评论说偏大，然后我还是按正常买的，然后确实偏大点点，和李维斯差不多</t>
  </si>
  <si>
    <t>合适 挺可以的 大小合适 非常棒</t>
  </si>
  <si>
    <t>质量还可以 体重75kg身高180厘米穿L小了。媳妇身高172厘米，体重60kg穿这件正 好</t>
  </si>
  <si>
    <t>大一个码 大一个码吧，质量还行，价格实惠。</t>
  </si>
  <si>
    <t>无比舒适 非常舒适，有弹性，春秋季适合</t>
  </si>
  <si>
    <t>值得推荐比一般得冠军卫裤质量好太多了 质量非常好，因为面料编织工艺比一般的卫裤更加舒适，而且是中高腰设计拉长腿部，如果要说缺点：唯一的是腰部没有拉绳的，就觉得宽腰带显得有点松，但不影响穿着。推荐秋冬季节穿，有绒的</t>
  </si>
  <si>
    <t>很满意的额一次购物 材料厚实，耐磨，做工精细，我185身高，190斤，脖子正好，但是胸围偏大，给大家参考</t>
  </si>
  <si>
    <t>很有弹性，版型也很好 质量不错，性价比很高，很喜欢，172cm，70kg，买的31w*32L，正合身!</t>
  </si>
  <si>
    <t>很不错的T恤 纯棉，码号正合适</t>
  </si>
  <si>
    <t>挺好的，漂亮 表很不错，表盘不大，适合手腕细的男士，时间走的很准，真心不错。</t>
  </si>
  <si>
    <t>10tb硬盘性价比很高 不错，1180收到的，合算，亚马逊客服也很给力。</t>
  </si>
  <si>
    <t>东西很好 谢谢亚马逊平台，不管你们业务怎么样，我将一如既往支持，国内最信任的平台没有之一</t>
  </si>
  <si>
    <t>M已不是当初的M？需要买L！ 当心号码！现在不知什么原因，BOSS的号码突然变小，原来买M的号码合适，现在需要买L的！</t>
  </si>
  <si>
    <t>萌 衣服不错，领口比较大，可以接受。</t>
  </si>
  <si>
    <t>不错啊 175cm75kg穿M码的正好，本人肩比较宽，如果衣服再稍微肥点就更好了，早晚跑步穿性价比很高。</t>
  </si>
  <si>
    <t>比较失败的一次购物，不似厚木的水准 弹力不大，尺码比一般日系的L-LL要大，所以穿着不贴身会起皱。另外颜色真的是醉了，所谓的肤色大概是花样滑冰运动员才会穿的那种黄色。</t>
  </si>
  <si>
    <t>过大 过大！一般啦做卫衣还可以！过大要拿去改！情愿大好过细！大还有得救</t>
  </si>
  <si>
    <t>东西不错，物流包装方法急需改进。 东西是不错，可是到货以后外包装全部都烂掉了，没法辨别是不是全新品。虽然客服态度很好给予了补偿，但还是希望亚马逊能够大力改进国际物流包装问题，这样既能使消费者满意，又能减少企业损失，提高工作效率。</t>
  </si>
  <si>
    <t>就那样，一分钱一分货 大家看图，黑色脱毛粘一身都是，灰色发过来就破损，而且会一扯就加大那种，衣服合身很好，但质量就这样，价格摆那里，是家居服那种，上不了档次，别抱太大希望，</t>
  </si>
  <si>
    <t>肩部刺绣不是绣上去的，是贴上去的 总的来说质量不怎么样，很薄，粉色也粉的不太漂亮，看起来像超市二三十块买的汗衫。肩部的logo是刺绣的，但不是直接秀在衣服上的，是像胸口花纹一样贴上去的，看起来很假。</t>
  </si>
  <si>
    <t>质量一般 比国内大一码，质量很一般。</t>
  </si>
  <si>
    <t>不好用，家用的话买个200多的就可以了 只能用大橙子，小橙子的话榨不了2杯就过热保护停工了。而且做工用料方面一点都不值这个价钱。</t>
  </si>
  <si>
    <t>衣服评价 没有异味，内里反绒、很厚，是短款的</t>
  </si>
  <si>
    <t>塑料表体显得廉价 最便宜的指针光波表。放在房间内收波有时行有时收不到。</t>
  </si>
  <si>
    <t>还行 这款比其它的尺码要稍大一点，面料不错，不喜欢腰部宽边的用料，有点硬。</t>
  </si>
  <si>
    <t>评论 感觉一般，码数偏大，胸大有点兜不住。</t>
  </si>
  <si>
    <t>注意尺码！！！ US8买了UK8，整整42号啊！！！老婆穿不下只有我自己穿了，哈哈</t>
  </si>
  <si>
    <t>很棒的鞋子 平时运动鞋穿43这个买UK 8 完美</t>
  </si>
  <si>
    <t>请谨慎购买 此款产品没有多大弹性，而且穿着比较松动，纯棉面料，样子很漂亮。</t>
  </si>
  <si>
    <t>软硬适中，性价比高。 软硬适中，性价比高。</t>
  </si>
  <si>
    <t>好笔 笔书写流畅，是好笔。就是包装简陋盒子都压坏了。</t>
  </si>
  <si>
    <t>便宜！便宜！一般家用备份的话很值了 买来存备份照片的，没特意测速度，只是抽测了没有坏道。感觉传输不算慢，声音也不大，主要是便宜啊。</t>
  </si>
  <si>
    <t>乳清蛋白粉 是正品，非常好！很不错的一次购物</t>
  </si>
  <si>
    <t>很好 看好尺寸买的，版型宽松很舒服，样式不错的</t>
  </si>
  <si>
    <t>棒棒的 衬衫质量不错很贴身，穿着很舒服</t>
  </si>
  <si>
    <t>物美价廉 衣服很柔软，穿起来却很有型~喜欢~亚马逊很给力</t>
  </si>
  <si>
    <t>非常舒适 舒服极了，也没有肩带滑落的问题。</t>
  </si>
  <si>
    <t>不错，物流比想象的快 物流很快，裤子很有型，就是美码S蛮大相当于国内的M码</t>
  </si>
  <si>
    <t>舒服得很 可以说是非常舒服了！文胸原来可以这么轻这么薄~</t>
  </si>
  <si>
    <t>太大 应该买s号的，臀部太大了</t>
  </si>
  <si>
    <t>二代新品，价格不错 新一代的过滤芯，效果不错</t>
  </si>
  <si>
    <t>送货快，很合身 这次又购买了一次满意的商品，送货快，很合身</t>
  </si>
  <si>
    <t>合体 非常合身，物流也挺快的，就是颜色大家说有点像工作，我自己选的，怨不了别人。</t>
  </si>
  <si>
    <t>做工好 简单易用 2相插头和电压在国内可通用 做工挺好。附件包括说明书和一块用于锅底材质检测的磁性贴。说明书是德文的 看不懂 但面板按钮文字标注是英文的 所以也能快速上手使用。能被磁性帖吸住的锅底材质都能适用于该电磁炉 这个东东比较贴心细致。12档火力和12档温度控制 定时最长时间为180分钟。已能满足我的控制需求。很满意。</t>
  </si>
  <si>
    <t>尺码偏小 168，120kg，l的正好，想要oversize的去买美版，日本的尺码太小了，亚马逊都不送货上门了药丸</t>
  </si>
  <si>
    <t>很满意！ 我我我很满意啊啊！！</t>
  </si>
  <si>
    <t>是否正品！ 身高172cm,体重62kg。出了衣服袖子稍长了些，其他很好很合身很满意。</t>
  </si>
  <si>
    <t>东西不错 老妈说味道挺好的</t>
  </si>
  <si>
    <t>不错 质量可以，就是容易沾灰</t>
  </si>
  <si>
    <t>比较小 买的2-7岁的还是觉得很短啊，我娃现在才6个多月呢，根本穿不到那么大吧</t>
  </si>
  <si>
    <t>尺码标准 尺码标准，袖子偏长，很普通的t，外穿要谨慎。</t>
  </si>
  <si>
    <t>鞋子重 鞋子穿了两天，第二天下午脚已经开始痛了，鞋底有点硬，走路多了脚很累，整个上脚就很明显不对，舒适感不强</t>
  </si>
  <si>
    <t>包装很好，但货品不建议 自己看吧，感觉和图片差距太大，材质看起来很low</t>
  </si>
  <si>
    <t>尺码 真大……尺码一点不准。</t>
  </si>
  <si>
    <t>偏大 料子还算不错，但是还是挺肥的……特意买小了两码，本人183 75kg更像工装裤，不过倒是没有色差</t>
  </si>
  <si>
    <t>奇怪 没有密封，不知道正不正常</t>
  </si>
  <si>
    <t>无题 还可以，能当游泳裤穿了。</t>
  </si>
  <si>
    <t>还好 有划痕，打油之后基本没了，这皮质太容易出划痕了，舒服还是蛮舒服的</t>
  </si>
  <si>
    <t>非常满意 很厚实，比较宽大，正品，非常满意</t>
  </si>
  <si>
    <t>修身版 身高1.83体重78公斤选择的尺码正好</t>
  </si>
  <si>
    <t>胖子慎入 应该买m，这个衣服就不适合胖子，而且还是宽松型</t>
  </si>
  <si>
    <t>喜欢 总的来说还可以吧，再看看吧。</t>
  </si>
  <si>
    <t>还可以 腰带摸起来挺软 有涂层不会分辨是不是纯皮 要用用看看 有一点点味道 没有评论写的那么夸张味道很大 一般皮具都有点味道吧</t>
  </si>
  <si>
    <t>Hanes黑色卫衣 185 75买的L非常合适。稍微有一点掉绒，总体来说很舒适，简约大气</t>
  </si>
  <si>
    <t>满意 买了衣服裤子鞋子，最满意的就是这双鞋子了，穿上刚刚好</t>
  </si>
  <si>
    <t>推荐 舒适，好看，价格便宜，老婆喜欢。</t>
  </si>
  <si>
    <t>超级好用的奶瓶 超级好用的奶瓶，用过的几个品牌中，这个最实用，亚马逊配送真牛，美国直邮，下单到配送，6天</t>
  </si>
  <si>
    <t>好用 看起来很不错，电力充足，我买的第二个了给家里一个，包装简单，开放式的</t>
  </si>
  <si>
    <t>好好 鞋子很好看</t>
  </si>
  <si>
    <t>好喜欢！ 好好用，大促价格也很好，真的很喜欢啊！！！刚开始觉得震动大，但用了几天后感觉刷超级干净，特别是手动难刷的地方！！</t>
  </si>
  <si>
    <t>不错 很给力的快递，双十一下单第二天就送到。耳机很棒，戴上去不夹头，音效也很好</t>
  </si>
  <si>
    <t>好看 不错，对我来说这样的size合适了，，背在肩上包的底去到我肚脐（175）</t>
  </si>
  <si>
    <t>质量 很好用，放心，没假的。</t>
  </si>
  <si>
    <t>很好用 好用，小孩刷牙变得更轻松，而且刷得干净</t>
  </si>
  <si>
    <t>好 含量高</t>
  </si>
  <si>
    <t>很好 很好，比国内便宜一半的价格。</t>
  </si>
  <si>
    <t>不错不错 非常好 裤子里面带绒绒的 十月后可以穿了</t>
  </si>
  <si>
    <t>版型非常好的牛仔裤，值！比三福的牛仔裤还便宜 可能是我腰肥，比我海淘的李维斯30的腰要紧那么一点点，但是裤子版型真的非常好看，舍不得换31码，我要减肥</t>
  </si>
  <si>
    <t>奇葩的英亚包装，逆天的价格。爱恨交加 107不含税，好价，就是这散装的包装。。。寄到时已压破。听说英国装个小箱子好几磅，同志们就原谅他们吧，贵也是真贵</t>
  </si>
  <si>
    <t>颜色还不错 还不错，杯身比较软</t>
  </si>
  <si>
    <t>鞋子偏大，偏重，搁脚。 鞋子码数偏大半个号，又猛又重，而且有点搁脚。穿一次就收鞋柜不想穿了。不推荐入手。</t>
  </si>
  <si>
    <t>好鞋 鞋子很漂亮，尤其是刚上脚那几天，金光闪闪，还担心太拉风，于是脏了后刷刷就回归平凡了。用料扎实，里面也是皮的，舒适，因为重有一两天适应期，踩出来很有气势。不满意是没几天就有两处碰伤开皮了，也有开胶小细缝，但不进水，不影响穿着，能擂多久是多久。</t>
  </si>
  <si>
    <t>没有包装 没有包装，裸奔来的，也是醉了。</t>
  </si>
  <si>
    <t>不喜欢 扔给我爸了，觉得太粗糙</t>
  </si>
  <si>
    <t>麦克风不能兼容iphone6和macbook pro 2017 收获用了7天多，物流还比较满意。质量上感觉上当了，iphone6偶尔能用上麦克风，macbookpro 是完全不能用，怀疑广告兼容apple设备是不是最原始的apple产品。可能是我耳朵不好，听不出这耳机和小米99元活塞耳机有啥区别，但是做工远不如小米耳机，设计比较奇葩，延长线完全是累赘。可能在淘宝和京东买售后更容易些。退货太麻烦，只有认栽，后面需要买的可以参考。</t>
  </si>
  <si>
    <t>挺好看的，就是偏大了 挺好看的，就是偏大了</t>
  </si>
  <si>
    <t>好 很暖和，穿上它走路不自然</t>
  </si>
  <si>
    <t>第一次海淘，感觉还不错 鞋比较合适，走起路来很舒服，不过右脚后边稍微有些磨脚，然而左脚却没事，也许是我脚的问题。。  第一次海淘，感觉非常好！以后海淘就交给亚马逊喽</t>
  </si>
  <si>
    <t>舒适度 包裹不错，裸脚穿，舒适度👌。</t>
  </si>
  <si>
    <t>总体还行吧 盒子的USB口有问题，插不上，硬盘是氦气的，还行，具体啥性能不知道</t>
  </si>
  <si>
    <t>划算 国内专柜卖1599，这个款属于经典款，很少打折，现在挺划算的</t>
  </si>
  <si>
    <t>性价比很高，非常满意 送货快，正品。。。非常满意</t>
  </si>
  <si>
    <t>防滑性好 鞋子穿着很舒服，下雨天防滑性能很好，听朋友说ecco的鞋子防滑是挺好，名不虚传。</t>
  </si>
  <si>
    <t>有点紧不过还可以 质量不错 ，就是觉得有点紧还可以吧</t>
  </si>
  <si>
    <t>码偏大，不过我挺喜欢的 之前美亚转运回来的这款就比其他的舒服，N次回购了。</t>
  </si>
  <si>
    <t>值得购买。 亚马逊的品质有保障，由于是最新款加上关税，也比某东、某猫便宜。脚肥的男士建议买大半码的。由于是标准鞋型，没有4E款舒适，稍微有点紧绷。</t>
  </si>
  <si>
    <t>好，很好 经常购买的东西，很好</t>
  </si>
  <si>
    <t>一直在用 以前从不去评价，不知道浪费了多少积分，但是有一次看到评价，知道积分可以换钱，就特别去评价去评价了。可以换钱可吸引了不少用户。</t>
  </si>
  <si>
    <t>买小了，东东不错。 买小了，东东不错，厚实，穿这个冬天不怕冷了，买小了一号，准备送人再买一条，非常喜欢。</t>
  </si>
  <si>
    <t>速度快 就是有点点粘到一起了</t>
  </si>
  <si>
    <t>鞋子不错，款式超级棒，就是偏小一点点哦 ~推荐大家购买 很好，以前从不去评价，不知道浪费了多少积分，现在知道积分可以换钱，就要好好评价啦 鞋子不错，款式超级棒，就是偏小一点点哦 ~推荐大家购买</t>
  </si>
  <si>
    <t>干净卫生 干净卫生，收纳很方便</t>
  </si>
  <si>
    <t>直筒的裤腿好大！！！ 178 70kg 腰围84cm， 32×30正好，里面还能穿条秋裤。一是boss颜色略深，显老气，二是裤腿直筒，裤腿围40cm，如果是trapped leg版型应该能更好点。</t>
  </si>
  <si>
    <t>性价比高到出乎想象！ 比专柜要便宜一半都不止！正品！</t>
  </si>
  <si>
    <t>喜欢 耳机终于到货了，迫不及待地充满电，充电非常快，音质非常好，人声很清晰，除了低音稍弱一丢丢，别的都很好。好喜欢。</t>
  </si>
  <si>
    <t>好 储存辅食挺方便，一般是储存高汤类的，吃的时候放微波炉热下储存辅食挺方便，一般是储存高汤类的，吃的时候放微波炉热下</t>
  </si>
  <si>
    <t>很好 碗的质量非常好 ，规格齐全，设计贴心</t>
  </si>
  <si>
    <t>穿着舒适 很惊喜，裤袜的颜色不是很呆板的纯色，而是由灰、灰蓝、黄、紫交织在一起组成的雅灰色。这几天正好倒春寒，还好提前买了现在就穿上了。打算再买几条，以后春秋天气凉的时候可以穿。另外快递比预期早到了一个星期。</t>
  </si>
  <si>
    <t>全球电压 不错，全球电源电压110到240，不过充电电压实际上5.2伏，似乎2.4的镍氢充电电池。</t>
  </si>
  <si>
    <t>包装完好 物流超快 下单一周就收到货了，包装完好，没有破损或挤压。保质期 Exp0723不晓得是否为今年七月，拿到当天就开始服用，奔着调节肠胃胀气而选购，后续再追评。  ps吃的时候有股奶味，不讨厌，好像酸奶。  追评 服用一个月，排便更彻底了，不留宿便，而且成型。✌</t>
  </si>
  <si>
    <t>很不错 200快不到 可以搞个 西铁城 光动能，很值  外相不错，准确  不过 质感很像玩具，QQ 牌子一看就不值钱，要考虑啊，还是 卡西欧 同样低端的外面人看不出价格</t>
  </si>
  <si>
    <t>很好的笔。 好用，流利，弹簧手感佳。个人感觉0.5略粗了一点，可能0.3或者0.38更好。</t>
  </si>
  <si>
    <t>鞋子没什么好说的，要吐槽的是购物体验。。。 鞋子质量挺好的，就是太小了。。。长度刚好，但是宽度实在是太窄了，没法穿，给老爸穿了。。。 这里不得不吐槽下海外购的体验呀，你海外购又不像某宝某东，有小二啥啥的导购，不同厂家鞋子的质量及大小我只能通过其他顾客的评论作为参考。。。结果买来了，竟然还是偏小了。。。偏小就偏小吧，我要换货，想要大一码的，可是换货退货要将货物寄回美国仓库，并且运费要由顾客出。。。我查了下从中国到美国的运费。。。接近三百元啊！！我鞋子才四百多买的！！你让我怎么换，怎么退？？没有更好的解决办法？目前这样我肯定不会再在亚马逊买鞋啦。。。为什么不能在国内有个中转仓库呢？我寄到这个中转仓库，运费可以我出啊，你亚马逊集中一次再返回美国去啊。。。何况这些made in china的产品啊。。。</t>
  </si>
  <si>
    <t>好看，但有缺陷 鞋子很轻，也很贴脚，穿上感觉非常好，和索康尼差不多轻巧，但更包裹脚一些。然而最大的毛病是，本款鞋的前踢脚位置是稍微硬而撑起来的，穿两天后走路的时候就容易折起来，让脚趾被抵着非常不舒服，需要把鞋子脱下来重新推上去，郁闷得很，偏偏已经穿过后就无法退货了。</t>
  </si>
  <si>
    <t>失望 衣服不像正品，比去年美亚转运的产品早差，手感也不好，臀部有起毛，关键是退色很严重。</t>
  </si>
  <si>
    <t>做工一塌糊涂 很差，不太像真的，裤子拉链内侧全是线头</t>
  </si>
  <si>
    <t>存在严重质量问题#差评# 衣服内部为抓绒 纤维脱落严重 影响正常穿着！ 退货需要四天！我等不了退货 我需要出差！给个差评。</t>
  </si>
  <si>
    <t>一般 尺码偏小，有点紧，热天捂脚，没有想象中的软鞋底</t>
  </si>
  <si>
    <t>很流畅但是笔尖粗，像派克笔尖 中规中矩吧。看国内其他电商平台卖的威迪文的钢笔最低都要七八百块起，这只只要一百来块很便宜了。不过据说这个graduate型号是国产的。具体感受我都发在最后一张照片上。下水很流畅顺滑，不刮纸。但是笔尖较粗也没什么弹性，只能写连笔字行书还可以。不适合拿来写汉字硬笔书法。跟日系钢笔那种笔尖没法比，不是一个概念的。你要是只是拿来平时记录东西，追求写的快和流畅，不讲究写工工整整的正楷书法，那无所谓。试了一下，可以插施耐德钢笔的上墨器。</t>
  </si>
  <si>
    <t>等待 表不错，打磨精湛，质感好，厚重，就是物流太慢了，等了一个月</t>
  </si>
  <si>
    <t>不错 这个价格还是不错的，质量还行</t>
  </si>
  <si>
    <t>音质不错 耳机今天收到了，包装非常简单！正在煲机中，目前为止，音质很赞，完败BEATS挂耳式蓝牙耳机，吸铁式设计不错，便于收纳！遗憾的是没有配收纳盒，也没配备硅胶耳机软塞！期待煲机完成后的效果！</t>
  </si>
  <si>
    <t>非常美丽的骨瓷小碗系列 这套5只装的骨瓷小碗里面的五种不同的水果的图案，看了心情清爽，外面有轻微的编织感的高低纹路，拿在手里不滑好清洗，好看实用的设计，完美。</t>
  </si>
  <si>
    <t>没问题 哪有塑料味啊 晕死 我们一直用这个用得很好啊 储奶袋不能加热的是不是你们使用方法不对？</t>
  </si>
  <si>
    <t>很好很好 大脸盘子无敌大，跟拳头比简直了，这次是易客满运输，速度跟ups没法比，不过这次没裸着来……</t>
  </si>
  <si>
    <t>比其他款大半码 稍微有点儿压脚背，估计穿一穿就好了，其他方面完美！</t>
  </si>
  <si>
    <t>自己吃的 自己吃的</t>
  </si>
  <si>
    <t>东西不错 还不错吧，第一次买这么大的容量，实际7.2tb左右。</t>
  </si>
  <si>
    <t>好 今天收到了马上就榨了橙汁，声音轻，出汁率高。价格实惠连税共267元</t>
  </si>
  <si>
    <t>裤子有弹性 158，54公斤，买中码合适，按照臀围买比较合适，因为腰围是弹性的，腰围松紧因人而异，我喜欢有一定的紧感。</t>
  </si>
  <si>
    <t>衣服合适吗 衣服挺好的</t>
  </si>
  <si>
    <t>劳模 我跟你讲吼 ，真的还可以，就是起毛</t>
  </si>
  <si>
    <t>漂亮 帅气 舒服 精细 鞋子颜色深棕，沉稳，皮质柔软，手感超好，外形帅气，大方，经典，穿着舒适，比标准码稍大一点，比实体店便宜至少一半，非常推荐的一款。</t>
  </si>
  <si>
    <t>很好的硬盘 一直在用，速度不错1</t>
  </si>
  <si>
    <t>很好 吸管保温杯给小孩用的，本来就不能特别保温，这是基本常识，要保温就买杯盖款，写保冷也是处于安全考虑，看不过去一些人不懂还瞎评论。产品很好很满意</t>
  </si>
  <si>
    <t>很满意 给我老婆买的 她说非常合适（身高167cm 体重116斤）希望能给后来者以参考</t>
  </si>
  <si>
    <t>关于鞋号 运动鞋42.5，皮鞋41，买的7.5UK穿着正合适。挺舒服的，不过不适合北方的冬天穿，现在穿着有点小冷</t>
  </si>
  <si>
    <t>比较满意 亚瑟士42.5，nike.ad42.这款41（7.5uk，7U s）大小合适。新鞋压脚背，右脚磨后跟，厚鞋垫换其它鞋里踩了几天换回来然后问题消失，舒适感出现。中雨十多分钟GTX无压力，皮料厚实，款式一般，做工中肯（稍有溢胶），适合20度以下穿着。鞋底厚鞋垫厚，有增高效果：）。仅供参考</t>
  </si>
  <si>
    <t>偏大 还行吧</t>
  </si>
  <si>
    <t>挺薄的 我一脚踏空</t>
  </si>
  <si>
    <t>好穿，舒服！ 鞋子很舒服，鞋底是他家的新科技，非常满意！</t>
  </si>
  <si>
    <t>方便购物 宝宝吃了长的个高 方便购物 宝宝吃了长的个高</t>
  </si>
  <si>
    <t>质量很好 很好，41码，8D（M）合适，鞋子很轻。</t>
  </si>
  <si>
    <t>舒适的裤子 穿着舒服，165cm. 51kg穿2就行。</t>
  </si>
  <si>
    <t>我只想买原产的产品 鞋子质量感觉还可以，但很遗憾不是丹麦原产的产品，经海外购，从万里之外德国寄来的鞋子却是中国制造，让我失望，违背了我购买原产进口鞋子的初衷。</t>
  </si>
  <si>
    <t>还行 料子有点厚，袖口多了好多料，身高186体重97公斤胸围106厘米，合适</t>
  </si>
  <si>
    <t>瑕疵太多！鞋头部分皮质开裂！ 亚马逊这次太让我失望了！本想着clarks质量能好一点  现在看来  不过如此  那么多瑕疵！</t>
  </si>
  <si>
    <t>总体不错，产地是孟加拉，表面有一点小瑕疵！ 版型还不错，产地是国家孟加拉，细节处理上要稍逊于越南产的，皮面上有些小瑕疵，不过不影响穿着！</t>
  </si>
  <si>
    <t>质量不好 对比之前买的中号的奶嘴。手感做工差太多，硬邦邦的。严重怀疑是否是正品。</t>
  </si>
  <si>
    <t>质量有问题，有一边音箱经常没有声音 质量有问题，主音箱会突然没有声音，只有副音箱有声音，重启后又恢复正常，时有时无，搞到整个人都不好了。过了退货期才出现这种质量问题，千元买了两个垃圾。千万不要买！！！！！！</t>
  </si>
  <si>
    <t>千万别买 商品页面就有问题，拍下的46 结果发来47  根本没法穿。 客服和投诉端说话根本不算话，眼里根本就没有消费者，本来说打八折，又说能退款，到最后却只赔偿100 真的不知道亚马逊是怎么搞得这些规定，明明是自己出现了问题，却要消费者自己去承担费用。 反正再也不会从亚马逊买任何东西了 而且鞋子本身就和图片差距很大，感觉亚马逊真是坑消费者。</t>
  </si>
  <si>
    <t>还行吧，觉得价格稍微偏高 没有仔细看图，买回来才发现杯子没盖，但愿是正品</t>
  </si>
  <si>
    <t>舒服。稍微要按照最舒适的样式来采购啊。 很舒滑的感觉，贴身感觉很好的。</t>
  </si>
  <si>
    <t>棉质没有那么舒适 穿着还可以 没有muji的内裤棉质舒适 稍微粗一点的棉</t>
  </si>
  <si>
    <t>还行 只能说还行，做工一般。</t>
  </si>
  <si>
    <t>漂亮 挺好看的  就是价格有点贵</t>
  </si>
  <si>
    <t>时尚的雨衣 小雨天穿很合适</t>
  </si>
  <si>
    <t>完美的鞋子 合适，号码准确，鞋子相当轻，很好</t>
  </si>
  <si>
    <t>值得买 不错，偶尔拧不好会漏，拧好了没有问题，孩子一直用这个品牌的，打算用到3岁</t>
  </si>
  <si>
    <t>偏大 很好看，就是稍微大了点</t>
  </si>
  <si>
    <t>水壶 很精致，又分量。以前从不去评价，不知道浪费了多少积分，现在知道积分可以换钱，就要好好评价了，后来我就把这段话复制走了，既能赚积分，还省事，走到哪复制到哪，直接发出就可以了，推荐给大家！！</t>
  </si>
  <si>
    <t>服务非常好 帮闺蜜买了这个鞋子，她收到后发现有点压痕，她找了客服，很顺利的帮忙解决了。这个鞋子，质量好，闺蜜一直关注，她很喜欢。。</t>
  </si>
  <si>
    <t>偏大一码 料子舒适 L号怎么这么大啊。。。我平时穿L号 但这个偏大了 买小一码就可以了 已经拆了就凑合穿吧！料子很舒服 有点像大妈裤 但面料真的很好。</t>
  </si>
  <si>
    <t>polo 190加税200出头入手，M码对于我172身高78kg来说很合身，给大家参考。衣服100%棉，做工也很不错。</t>
  </si>
  <si>
    <t>值得入手的冲牙器 刚买回来觉得有点鸡肋，用了一段时间，觉得超级好用，刷完牙再冲一冲，还能冲出一些杂质。普通刷牙对于齿缝作用不大，刷完牙冲一冲，牙齿更加干净啦～</t>
  </si>
  <si>
    <t>很好的一次购物 比预想的好太多，这价钱买简直是简陋.。比去年买的boss点甩出一条街</t>
  </si>
  <si>
    <t>性价比超高 此衣，暖，柔，样版好，此价位就能到手实属惊艳</t>
  </si>
  <si>
    <t>使用方便 就是配套的切碎器、搅拌杯容量太小，需要重新购买大容量的</t>
  </si>
  <si>
    <t>挺好 还没用，希望宝宝会喜欢哈！！！</t>
  </si>
  <si>
    <t>有点大 真的大到不行啊！老公194、穿XXl都成长袖了</t>
  </si>
  <si>
    <t>非常满意 选小一个尺码就可以，夹薄棉的款式，秋天穿正好，非常满意的一次购物，</t>
  </si>
  <si>
    <t>舒适 难得想写个评价，就贡献这件了，确实性价比很高，质量很好，面料有弹性，很舒服，值！</t>
  </si>
  <si>
    <t>干货 什么值得买，这个就好</t>
  </si>
  <si>
    <t>厨师机不错。 厨师机很不错，开始还担心质量问题，用了三次，做的吐司面包很好，绞肉很细腻。</t>
  </si>
  <si>
    <t>好 颜值高，轻巧，好用，相信亚马逊海外购。prime会员省邮费。还会再买。</t>
  </si>
  <si>
    <t>很好 大码适合个高或胖的妹子，非常喜欢。</t>
  </si>
  <si>
    <t>不错 逛了一些商场，看了一些电商就亚马逊相对的即便宜又比较放心的了，不知道是不是美亚的原因外包装没有塑封，奶瓶没有味道，手感也不错，总体还是比较满意的。</t>
  </si>
  <si>
    <t>前头压脚 尺码合适，但是鞋头很瘪，压脚豆，送给了比我脚小半码的人穿正合适，也可能是因为我脚豆比较厚实吧</t>
  </si>
  <si>
    <t>没包装 亚马逊连个箱子都没有吗，产品包装袋外面缠个薄膜就发货了，紫色盘子里面有轻微划痕，其它还可以</t>
  </si>
  <si>
    <t>这次买大了、上次买小了！ 买大了、上次买一件M码的又小了一圈、真搞不懂怎么这样不标准！每个地方生产的码大小都不一样、以后不知道该怎样买了！</t>
  </si>
  <si>
    <t>变形严重，面料不好 面料和外面几十块的差不多。洗完变形严重。像假货</t>
  </si>
  <si>
    <t>融化了 拿到手全部融化了，不敢想象。售后倒是挺快，给退款退运费了。</t>
  </si>
  <si>
    <t>退货地址给我一下 不知道视频如何上传，所以就拍了图片，无法工作，时钟都在停止状态</t>
  </si>
  <si>
    <t>175/70，S，洗完大了 175/70，S，洗前可以，洗完有些大</t>
  </si>
  <si>
    <t>合身舒适 裤长略有点长，版型是比较粗的样式，活动起来很方便，粘扣非常近，做工比较细致。比Vertx的腰粗一点点，跟国内31的一样，买小半号到1号的刚好合适。</t>
  </si>
  <si>
    <t>裤脚偏大 西方人到底腿粗个大，这个短裤长度不用考虑，可是裤脚大了就像裙子了，哈哈。不过也无所谓，大了凉快。</t>
  </si>
  <si>
    <t>夏季服装 面料比较轻薄适合初夏穿着</t>
  </si>
  <si>
    <t>偏大一些 国外的码果然会大，我们家188斤180的个头穿L还有些大</t>
  </si>
  <si>
    <t>cute 这个狗盆真的很可爱，叉子和勺子也很圆润</t>
  </si>
  <si>
    <t>德国发货的法国制造 fissler大料的母版，比fissler专柜的少几个配件，不太重要的几个配件，需要买一个插座转换头</t>
  </si>
  <si>
    <t>描述详细。 衣服质感挺好，不好搭配衣服，颜色有点误差，175体重80公斤码数刚好。</t>
  </si>
  <si>
    <t>穿了几年了 刚买的时候很惊喜的 质量好 无瑕疵</t>
  </si>
  <si>
    <t>中间空心的。吸起来超可爱。 在母婴店买了好几种安抚奶嘴。宝宝都不怎么用。这一款挺喜欢。香草味。不过没味道应该更好。宝宝用的东西。无色无味感觉更放心</t>
  </si>
  <si>
    <t>东西很好非常喜欢 东西非常棒very good</t>
  </si>
  <si>
    <t>很好的帽子 帽子质量很好，很满意，代购都买到200+了，一直支持亚马逊～</t>
  </si>
  <si>
    <t>非常好 非常好！非常舒服。尺码按皮鞋标准。</t>
  </si>
  <si>
    <t>东西好，就是贵 商品很好，关注了很久。一到货拆开，宝宝竟然就懂得是餐具，捣鼓几天就会自己勺饭菜自己吃了。就是价格贵。</t>
  </si>
  <si>
    <t>刚刚好 裤子和国内一样</t>
  </si>
  <si>
    <t>满意吧 不要相信页面上的尺码表，误差大。要选大一码的尺码。一开始选错了，到手后发现根本没法穿，还好亚马逊的服务超一流，非常满意他们的解决方案和效率</t>
  </si>
  <si>
    <t>关于商品 给同事买的，挺好的。</t>
  </si>
  <si>
    <t>轻巧 容易清洗 挺好用的，轻巧，清洗方便</t>
  </si>
  <si>
    <t>物美价廉 非常好 物美价廉</t>
  </si>
  <si>
    <t>性价比高 性价比很高，电脑感觉能推动效果不知道，需要一个耳放对比一下，再买耳放成本就高了。。。。</t>
  </si>
  <si>
    <t>不错 免烫很方便，穿着也舒服。175CM，75kg，有肚子，34的很合适</t>
  </si>
  <si>
    <t>牛仔裤 裤子有点大，下次买小一号的！</t>
  </si>
  <si>
    <t>不错 还没用  不过价格合适  应该好用</t>
  </si>
  <si>
    <t>关键还是价格真便宜 说实话，觉得产品的确不错，在日本看到好像是13000日元，居然能便宜这么多。目前带着没有任何问题。</t>
  </si>
  <si>
    <t>有点小 70+ 有点小 白色比较透</t>
  </si>
  <si>
    <t>粗糙 做工为什么会这么粗糙</t>
  </si>
  <si>
    <t>合适 身高178，体重178，合身</t>
  </si>
  <si>
    <t>商品介绍存在问题 介绍说餐盘可以稳稳固定到餐桌上。以为底部有吸盘。结果非也。商品介绍存在误差。</t>
  </si>
  <si>
    <t>骗子 这条裤子我已经无语，比国内小摊的还要差，两条裤腿不一样粗，两条腿的颜色不同，表面有油污，最可恨的是我多次反应，至今没人理我！！！大家不要上当受骗啊！</t>
  </si>
  <si>
    <t>美国运来的服装垃圾 腿肥，做工极差，线头多得想吐，也不合身，懒得退了，不会再买这里的牛仔裤。</t>
  </si>
  <si>
    <t>稍大 掉色 棉质不错，少有点大，黑色有点掉色，其他不错</t>
  </si>
  <si>
    <t>耳机到手了，表示不会再带beats了！ 目前只入手了两个耳机，觉得馒头的声音很有空间感，还没有煲好，十分期待。不过快递有点坑，国通的，跟踪不及时，耳罩右下边运出了个坑，还好有弹性，包装上有一条很深的划痕。</t>
  </si>
  <si>
    <t>偏大，料子有点厚 160,  62的女生，买了L，太大了，主要是长。料子有点厚，夏天穿会热</t>
  </si>
  <si>
    <t>还行 聚酯的200块？有点贵了！平时出门可用，装个ipad什么的。</t>
  </si>
  <si>
    <t>卡西欧 商品的整体质量挺硬，就是按钮处有小小瑕疵，可忽略不计</t>
  </si>
  <si>
    <t>完美 ECCO的忠实客户，这几年一家人的鞋子都是它，靴子帅爆了，是我喜欢的风格，皮质细腻，脚感舒适，产自葡萄牙，买过一双印尼产的靴子是牛筋底，这款不是牛筋底了，好像这是唯一的遗憾。总体非常非常满意</t>
  </si>
  <si>
    <t>值得购买 这个品牌和价格非常值得！</t>
  </si>
  <si>
    <t>很好用 比前几年买的白色的型号好用，有5种模式，但是一般只会用1-2种。总体说很满意</t>
  </si>
  <si>
    <t>透气，不闷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</si>
  <si>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今天到手 今天非常开心，没想到今天就能拿到该硬盘，又可以无限存了，哈哈，超赞👍</t>
  </si>
  <si>
    <t>好 出差用，小而轻，机场高铁都很方便。</t>
  </si>
  <si>
    <t>我的花洒发布 期待，用了后再评价，</t>
  </si>
  <si>
    <t>宝贝很好穿 特别合适，很保暖</t>
  </si>
  <si>
    <t>好耳机 第一次买这么贵的耳机，带上一听很惊艳的感觉，不知道上放会怎么样。</t>
  </si>
  <si>
    <t>非常好 版型很不错，冷天穿的。里面有绒 ！身高180 体重81kg 穿m 很合适</t>
  </si>
  <si>
    <t>就是大了点 很喜欢这衣服。</t>
  </si>
  <si>
    <t>质量不错 用了一年多了，挺好的，没有什么特殊味道，就是当时发错货了，但是已经退款了，相当于白送一条皮带</t>
  </si>
  <si>
    <t>暂时还没有使用，表面看上去还不错 拆了一盒闻了下没有什么异味，看评价说有的漏奶，，希望我的不漏。美亚上看差评也有人评价说异味漏奶的，我估计东西应该是真的吧。这个新版的怎么连接吸奶器呢？又下了一个吸奶器，到了试试看</t>
  </si>
  <si>
    <t>颜色很特别。 很不错哦。</t>
  </si>
  <si>
    <t>很快，很合适，很满意。 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</si>
  <si>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替换装。 替换用，省得买新刮胡刀了。</t>
  </si>
  <si>
    <t>very good 我们全家最喜欢的鞋就是ecco，我自己都有快10双了，这次海外购的价格很美丽，给自己和家人又买了七双！哈哈，收到鞋的时候大家都说好舒服，尺码正，最重要的要说三遍，舒服，舒服，非常舒服！对于年纪大的人来说，穿上ecco走路就是一种享受，走一天都不累。大家都表扬我，帮他们买到了性价比最高的鞋！</t>
  </si>
  <si>
    <t>尺码 按照腰围、 腿长买就行。 我老公腰围33多一点点 ，腿长29，买的34 30穿上腰围送一点点 裤长刚好。33 30穿上就都是刚好了</t>
  </si>
  <si>
    <t>OK 不错的商品，我狠喜欢</t>
  </si>
  <si>
    <t>方便好用 很方便清洗，很好用，做工也不错，做点奶昔完全够用了，就是不知道能用多久；</t>
  </si>
  <si>
    <t>好 好，不厚不薄。</t>
  </si>
  <si>
    <t>nice 非常nice 表盘对女生来说有点大但是超好看</t>
  </si>
  <si>
    <t>太大 太大了，和同事一人买了一条，都太大没法穿，只好送人了</t>
  </si>
  <si>
    <t>太大了 我自己喜欢宽松的裤子，可是这条裤子实在是太宽了</t>
  </si>
  <si>
    <t>漆皮容易掉 写的很流畅，不过漆皮好容易掉，买来第二天放包里面，跟拉链挂了一下，然后就露出里面的黄色材质。</t>
  </si>
  <si>
    <t>垃圾 大家不要买，用不了几个月就坏了，质量很差。</t>
  </si>
  <si>
    <t>不太满意 质量太差，薄得很，没有刺绣，还有点脏，包装差物流慢，什么都没有，吊牌都没有，618搞活动这价格京东能买刺绣了</t>
  </si>
  <si>
    <t>不能买，收到坏的 买来是个坏的。刚收到没有检查，8月出去休假了，回来用了才发现，可是过了亚马逊的售后期，不能售后了</t>
  </si>
  <si>
    <t>差评 第一次在亚马逊买东西，太失望了勺子到处刮花擦伤，跟旧的一样，还有居然产地是广东感觉上当了再也不会来了</t>
  </si>
  <si>
    <t>还可以。 比国行便宜多了，但确实有点夹头，听听古典音乐不错，人声都没什么渲染。性价比不错，入门监听耳机</t>
  </si>
  <si>
    <t>CK不错 比国内买便宜，但是和国外相比价格略高，总体很好。 快递比预计到达日期要早！ 希望可以多些款更好！</t>
  </si>
  <si>
    <t>质量不错 做工好，质量目前用下来还可以。</t>
  </si>
  <si>
    <t>保温没有想象的好 商品看起来不错，保温效果一般般</t>
  </si>
  <si>
    <t>好好好 不错好，还得买一件。</t>
  </si>
  <si>
    <t>尺码偏小 尺码偏小 160cm49kg穿L码正好 宽松</t>
  </si>
  <si>
    <t>婴儿用碗 还不错，无异味，色彩鲜艳</t>
  </si>
  <si>
    <t>DEVICE BAGS DEVICE的小包款式很漂亮，国内就没搜到类似的包包呢， 还是海淘国外的款式好，赞一个</t>
  </si>
  <si>
    <t>非常不错 东西尺码精准，穿着舒服。整体上身效果不错，值得购买。</t>
  </si>
  <si>
    <t>滋润无味道 还是很不错的，比较滋润，而且没什么别的味道，给宝宝当唇膏也不错</t>
  </si>
  <si>
    <t>帅 一个字，帅，183，82公斤，L</t>
  </si>
  <si>
    <t>大馒头2 非常好，解析度很好。</t>
  </si>
  <si>
    <t>给大家参考 给大家个参考，平时穿运动鞋和皮鞋都是43码，脚偏肥一些。这双鞋直接选43eu ，长度稍微一点空余，宽度正好！总体舒服！</t>
  </si>
  <si>
    <t>他发错了鞋子 发错了鞋子，但是号码是对的，鞋带有一点破损，亚马逊进行了赔偿。我穿37.5的鞋子，uk4,us6合适，刚开始有一只一点压脚背，一个星期后就好了，冬天穿不冷，春天穿不热，很开心，皮质也很好</t>
  </si>
  <si>
    <t>性价比高 非常适合 穿着舒适 有型</t>
  </si>
  <si>
    <t>颜值高的耳机 耳机很好看，质量很好，搭配galaxy s7音质调节的也不错</t>
  </si>
  <si>
    <t>应该是正品！相信亚马逊的品质 应该是正品！相信亚马逊的品质。评论里说的有异味，那个应该是硅胶的味道吧！洗洗消毒后就没有了！</t>
  </si>
  <si>
    <t>推荐这款水龙头 非常好的一款水龙头，出水温柔，很有质感，接口啥跟国内都是通用的，带的两条水管确实短了，买了潜水艇的两根延长管接上了，很完美，推荐。</t>
  </si>
  <si>
    <t>价好量更足 厚实的牛津纺产地孟加拉国，较国内工厂稍显逊色。好价格日常穿着十分合适</t>
  </si>
  <si>
    <t>还不错 觉得还不错，刚刚收到了，等了很久。颜色漂亮！喜欢</t>
  </si>
  <si>
    <t>比同号码国内买的鞋要大 比同号码国内买的鞋要大</t>
  </si>
  <si>
    <t>特别好 特别好，好到我买了同款第二双囤着！！！我平时穿39号，这双5.5码正合适。</t>
  </si>
  <si>
    <t>符合预期 178/80，买的33/30，春秋款，裤长偏短一丟丟在预计内。质量符合预期，上身效果不错。</t>
  </si>
  <si>
    <t>高性价比的希捷5T移动硬盘，值得入手！ 已购入希捷5T移动硬盘，对产品非常满意，海量空间，兼顾工作、生活、娱乐！ 此次购物的物流速度也特别赞，仅仅用了5天时间，非常高效！ 总之，商品不错，物流给力，好评！！！</t>
  </si>
  <si>
    <t>高性价比 nice</t>
  </si>
  <si>
    <t>很舒服的鞋子。 鞋子非常好，穿起很舒适，价格比国内便宜，记住要买小一码。</t>
  </si>
  <si>
    <t>质量 第一次海淘.结果买回来的水牙线完全出不了水.后面打电话给客服解决方案是退了全款.这个水牙线也不用退回去了.但是留着一个坏的玩意也不知道可以干嘛.总之第一次海淘就这样失败了.乖乖回去某猫买.觉得海淘价格是便宜但是完全靠运气.运气不好的就像我这样淘个坏货回来.还是要谨慎.打两个星是因为处理的速度还有态度还是ok的. 就是希望亚马逊能加强质量保障也一块吧</t>
  </si>
  <si>
    <t>是什么季节的帽子 帽沿大短了，不是很理想</t>
  </si>
  <si>
    <t>鞋子品控有问题 同一天到货三双其乐，这双男款三瓣品控出了些问题。左右脚不对称，左脚鞋尖部位有点突出，突出部位一有些变色，根鞋面颜色不一致。右脚鞋跟部位有些毛糙，另外鞋面还有些划痕。</t>
  </si>
  <si>
    <t>包装太差劲 外面没有增加箱子，只有原包装，到我这包装都烂了，也不知道里面的东西受不受影响</t>
  </si>
  <si>
    <t>异味非常严重 异味非常严重，一开始不知道，孩子喝了几次，后来我想喝水，就拧了盖子，那股塑胶味，真的想吐了，我都怀疑是不是被发了假货，真的太大了，申请了退货。退到日本也要退掉，千万不要买</t>
  </si>
  <si>
    <t>红瓶跟蓝瓶药效不一样！能换吗 买的是蓝瓶的，为什么收到的是红瓶的！</t>
  </si>
  <si>
    <t>电池容量太小 其他OK， 电池容量太小，用几个小时就没电了，需要不停充电</t>
  </si>
  <si>
    <t>发货很快，耳机很酷 未拆封的，但是耳机感觉还不如我的7p耳机，不知道是不是正品，耳机英文提示杂音很重</t>
  </si>
  <si>
    <t>好锅 家里买过这个牌子的平底锅，可以使用金属锅铲，且使用很长时间涂层都完好。这个锅感觉材质上不如之前买的那个硬铝平底锅，涂层感觉也略有差别，期待使用效果。</t>
  </si>
  <si>
    <t>觉得不错 收到了，还没给小孩用</t>
  </si>
  <si>
    <t>很喜欢 价格合适，款式好搭配，就是logo比较难找</t>
  </si>
  <si>
    <t>不错 其实是医生介绍买的。</t>
  </si>
  <si>
    <t>总体不错 阿迪 索康尼 萨洛蒙穿42.5 亚瑟士穿42 脚略偏瘦 这个us8刚刚好 供各位参考 鞋底偏硬 新鞋有点磨脚跟 前端略紧 穿一段时间估计会好点 总体满意 不错的鞋子</t>
  </si>
  <si>
    <t>不错 不错 感觉很好 好傻哈哈哈</t>
  </si>
  <si>
    <t>好用 机器收到了，使用了一周来评价，很好用，还在使用中，用了小美的菜谱还有KRUPS的菜谱，下厨房app里也有菜谱，就是路上时间太长，一个月，同时买了蒸锅配件，很快就收到了，两个还不是一起发货的，就是不知道售后方便不</t>
  </si>
  <si>
    <t>很好 好用，后来自己又配了吸墨器</t>
  </si>
  <si>
    <t>很好 穿31的裤子，这个尺寸刚好，倒数第二个孔 量了下只有32mm宽</t>
  </si>
  <si>
    <t>…… 拿到还是比较惊喜，精致小巧，对音质没有特别高要求。一般佩戴一小时左右，目前没有感受到夹耳</t>
  </si>
  <si>
    <t>衣服不错 衣服比国内码数大一码，面料可以，就是很容易粘毛比较烦，我175,体重160斤穿M码合适</t>
  </si>
  <si>
    <t>非常好，很喜欢。 非常好！无论是工艺还是大小都很好。</t>
  </si>
  <si>
    <t>完美 细节考究的卡其裤，偏正装。 面料有弹性，穿着舒适。 布料偏厚，适合秋冬。 晾晒时注意一点即可免熨。 裤腿稍肥，喜欢包腿裤的慎选。</t>
  </si>
  <si>
    <t>好大一瓶，开始补充维生素 好大一瓶，开始补充维生素</t>
  </si>
  <si>
    <t>漂亮 特别好看，挺舒服的，比平时的运动鞋大半个号，就是现在打八折了，能保价吗？</t>
  </si>
  <si>
    <t>好东东 挺好的，大小合适，穿着很舒服</t>
  </si>
  <si>
    <t>五星好评 宝贝不错，很满意</t>
  </si>
  <si>
    <t>还可以 就是刚穿的时候脚面有点压 还可以 就是刚穿的时候脚面有点压</t>
  </si>
  <si>
    <t>舒服好看 手工痕迹有一点点，很有感觉，擦色很好看。靴口比较小所以穿裙子裤子都好看。平底很舒服适合走远路。就是后面黑五又降价了。还是买早了。。。还没穿呢。</t>
  </si>
  <si>
    <t>推荐一下 cat家的东西值得推荐，质量没话可说，够良心</t>
  </si>
  <si>
    <t>非常好👍 给5岁儿子用正好，小家伙因这个杯子更喜欢喝水了，方便装包，推荐</t>
  </si>
  <si>
    <t>THANK U AMAZON! 亚马逊送货员想的十分周到，恰逢中秋节收到手表。表的光泽十分赞，比原图的颜色更亮，最重要的是比市场价便宜。货真价实！感谢亚马逊</t>
  </si>
  <si>
    <t>大小适中 挺好，略微有些小，还是挺该再买大半号。</t>
  </si>
  <si>
    <t>很不错物美价廉 挺好的~质量有保证~。。以前从不去评价，不知道浪费了多少积分，现在知道积分可以换钱，就要好好评价了，后来我就把这段话复制走了，既能赚积分，还省事，走到哪复制到哪，直接发出就可以了，推荐给大家！</t>
  </si>
  <si>
    <t>鞋型好看 泰国的比老挝的鞋型好看多了，保税区那种都是老挝的</t>
  </si>
  <si>
    <t>一对 JBL 306p mkii 非常开心的一次购买，306p mkii 低音下潜足，最主要声音开得很小低音都能体现出来，声音解析清楚，值得推荐！</t>
  </si>
  <si>
    <t>价廉物美 一直关注这个，这次活动价格低立即出手，一个星期到货，测试结果满意。</t>
  </si>
  <si>
    <t>做工很一般 不如本地外贸裤子，做工很一般，裤腰用的一根绳，很粗糙。</t>
  </si>
  <si>
    <t>号码大 号码至少大一号，质量还行吧</t>
  </si>
  <si>
    <t>衣服尺码跟国内不一致 质量和包装还是不错，关键是衣服尺码比国内要大，需要购买的朋友注意，比你在国内买的小一号可能更合适。 本人身高176，70公斤，买了M号，结果太大，只能送人了。</t>
  </si>
  <si>
    <t>包太小了。而且退货还要自己寄 包太难看了。这么小还要自己退货。怪不得亚马逊在中国半死不活的</t>
  </si>
  <si>
    <t>颜色不正 颜色不正，想退还不方便</t>
  </si>
  <si>
    <t>质量很好 非常好的食品接触型钢材，厚实，碗里还有刻度，，方便挤压柠檬和橙子汁，是德国品牌，谢谢亚马逊。就是有点小贵。</t>
  </si>
  <si>
    <t>音源要好 一开始用手机，用btr3效果一般，挺想退的，后来换了用创新zen xtra一下子效果就出来了。后面还会尝试更好的dac 最大的特点就是低音不混，有力，高音不刺，声场分离度很好</t>
  </si>
  <si>
    <t>偏绿 颜色偏绿，没有图上的鲜亮，小遗憾</t>
  </si>
  <si>
    <t>比国内的运动品牌都便宜，性价比高 很好，比国内的质量好，又便宜。自己穿不错的。</t>
  </si>
  <si>
    <t>好鞋 非常不错！鹿皮材质，清洁时麻烦点～</t>
  </si>
  <si>
    <t>不错 我最喜欢他的一点就是宽口，好洗，奶粉不容易漏出来。但是喝奶的时候如果挤着奶瓶，奶粉会从排气孔漏出来。。。。</t>
  </si>
  <si>
    <t>非常好用 个人觉得非常好用，首先没有噪声，2种模式，多种力度可以选择，夜间起床不会打扰到宝宝，收到是全新的产品，自带两个奶瓶，电源是英标的插头，需要插头转换器。上手简单。</t>
  </si>
  <si>
    <t>东西不错 质量不错，号有点大，颜色比图片深，比较舒服。</t>
  </si>
  <si>
    <t>好评 鞋子穿着舒服，高大上</t>
  </si>
  <si>
    <t>很舒服 衣服很合身，98%棉和莱卡的，有弹性，本人181cm，体重102Kg，穿42/30的正好。</t>
  </si>
  <si>
    <t>价格实惠，棒棒哒 孟国产的！！品相完美！！发货一周就到了。就是穿厚袜子右脚还是有点大😂以及下单后看着价格降了30不过不后悔哈哈哈哈哈哈哈哈哈</t>
  </si>
  <si>
    <t>很不错的 首先要感谢海外购的客服，态度非常好。我2尺6的腰围，买的38的，觉得很合适，腰带性价比真的很好，国内肯定 买不到的，推荐购买，我在内蒙的农村，快递10天也到了，挻快的</t>
  </si>
  <si>
    <t>很不错、值 没想到这么快、表很好.第一次海淘、很顺利！以后继续</t>
  </si>
  <si>
    <t>质量不错，性价比高。 微弹力，33*32, 33对74公斤来说刚好，32对170高来说长了，这款30应该可以，无弹力款可选30.</t>
  </si>
  <si>
    <t>舒适 质量非常不错，穿着舒适，还会买</t>
  </si>
  <si>
    <t>酷酷的马丁靴 因为拍错了，不是女儿要买的那款，皮子有点硬。女儿说退货麻烦就将就穿了。她喜欢这种怀旧的感觉酷酷的！还有增高的效果。</t>
  </si>
  <si>
    <t>略大，建议买小一码 平常穿37码，这双穿37.5还稍稍大一点点，还挺舒服，也不怎么掉色</t>
  </si>
  <si>
    <t>面料有些硬 面料有些硬，很薄，整体还可以</t>
  </si>
  <si>
    <t>很好 柔软，手感很好</t>
  </si>
  <si>
    <t>挺好的 挺好的</t>
  </si>
  <si>
    <t>Good Good</t>
  </si>
  <si>
    <t>好评好评 非常好，包装精致，保温效果不错！</t>
  </si>
  <si>
    <t>切菜輕鬆多了 蔬果切片、切絲、切丁，碎肉(沒有碎肉機打得碎)，濃湯打碎，蕃茄打醬等一切都可以一分鐘內做好，還有碎冰跟碎干豆沒試，在這2個月內差不多隔天就用一次，因為實在太方便，以往要切半個至一個小時，現在用這料理機只要幾分鐘。連稅才1200，是我買了釨幾台料理機中性價比最高一台，所有刀鋒至今還是十分鋒利。</t>
  </si>
  <si>
    <t>非常棒 宝贝非常棒，用料厚实，穿着舒服！</t>
  </si>
  <si>
    <t>舒适度好，保暖性强。 穿着很舒服。</t>
  </si>
  <si>
    <t>好、快 非常好，达到预期效果，即使很远，物流也不算慢</t>
  </si>
  <si>
    <t>一般 到手感觉一般，不值得买</t>
  </si>
  <si>
    <t>尺寸问题 质量不错，胸围腰围大了，175，65kg。</t>
  </si>
  <si>
    <t>一般吧 外貌没问题，我就是看着好看才买的，但壶嘴设计有问题，倒水很困难，只有把壶身180度旋转，才能倒干里面的水。</t>
  </si>
  <si>
    <t>为什么不能退货 收到包装很简陋，没有防伪码，打开后比较难闻的塑料味，还不让退，差评</t>
  </si>
  <si>
    <t>亚马逊，这是要倒闭的节奏 我买的全新，为什么要发二手货给我？收到后包装保护膜没有，里面硬盘支撑泡沫只有一个！上机看了下使用八十九次，通电时间一千五百一十二小时！我以后宁愿在国内淘宝京东买都不在你亚马逊买！辣鸡！！！！！</t>
  </si>
  <si>
    <t>常备品 活动价格不错，刷头经常替换，需要常备</t>
  </si>
  <si>
    <t>还不错，布料一般。 布料一般，稍稍偏大一丢丢，184/75.</t>
  </si>
  <si>
    <t>质量不错 身高168，体重125，买的M码，偏大一点点，不过质量不错，样式也好看！</t>
  </si>
  <si>
    <t>合理的价格 合身的质感 快捷的送货 还没有穿。但是呢，确实面料有些硬，不知道洗过以后，是否还会如此。我的想法是，还要啥自行车。一百多买的lee，还要啥自行车。我知足了。随便穿就好了。173cm，77.7kg，选的34×32的，合身。穿着有种半休闲，半正式的感觉。除了硬，摸着面料手感还可以。</t>
  </si>
  <si>
    <t>不错 感觉比zoli的好！等bb大点用</t>
  </si>
  <si>
    <t>划算 价格挺好的，时间也不是很久</t>
  </si>
  <si>
    <t>很好 G-star裤子优点在剪裁</t>
  </si>
  <si>
    <t>beyerdynamic 拜亚动力 DT990 PRO 耳机 喜欢古典音乐的这耳机是个不错的选择，三频宽松平衡，无放各种机器都能用包括苹果手机，其它手机还未试验过，接台式CD机效果好。</t>
  </si>
  <si>
    <t>还没有开始用 我们现在还在用dr browns的奶瓶 这个comotomo的还没有开始用 没有什么包装盒 到手我捏了一下 还不错 至于奶嘴什么的我还不知道 宝宝会不会喜欢我也不知道</t>
  </si>
  <si>
    <t>很满意 尺寸很精准，找一条自己合适的裤子，按照图示，量一下，换算为英制，就买了！很合适！172cm74kg,34W32L，故意买长了点，自己去裁缝处弄短一点就好！主要是腰要合适！</t>
  </si>
  <si>
    <t>10t 超值的硬盘！不错</t>
  </si>
  <si>
    <t>很棒 包装不错，鞋子合适，国内价格比较高，这里三百多拿下，特别开心</t>
  </si>
  <si>
    <t>满意 比预计时间早了5天到货，超大的包装着实被吓到了。产品很给力，没得说！部件是大陆造，不过是在泰国组装的。</t>
  </si>
  <si>
    <t>质量好，原装进口 质量很好，不愧为瑞士原装进口的</t>
  </si>
  <si>
    <t>很好的表，戴了两年了，走时很准 防水效果好，功能多，到现在都没有用到所有功能。</t>
  </si>
  <si>
    <t>大小合适 185 75 m码正好</t>
  </si>
  <si>
    <t>满意 不错的裤子 材质剪裁都不错。我很喜欢</t>
  </si>
  <si>
    <t>划算的旅游点 直到衣服穿上身，不安的心里才稍有平复，毕竟3件。</t>
  </si>
  <si>
    <t>价格适中 喜欢，适合运动</t>
  </si>
  <si>
    <t>大爱海外购 一直就喜欢亚马逊，品质有保证，服务也非常好，以前都是在美亚买，现在直接海外购太方便了，以后活动还会来！</t>
  </si>
  <si>
    <t>一次愉快购物。 试过，挺合身。</t>
  </si>
  <si>
    <t>舒适 薄、柔软、舒适！推荐</t>
  </si>
  <si>
    <t>嗯 挺好看的，感觉某宝卖的假货太多，在某宝500多买的和这个质量完全不一样🙂🙂  宁愿多等亚马逊快递慢几天，也不想在某宝买鞋子了</t>
  </si>
  <si>
    <t>合适 贴身的衣服了L码就很好了，175/90</t>
  </si>
  <si>
    <t>比较薄 大小合适，质量不错。没有想象中厚，面料比较柔软轻薄，适合春秋不太冷的时候穿。</t>
  </si>
  <si>
    <t>很好！ 衣服有一点点长！性价比很高！</t>
  </si>
  <si>
    <t>质量差 174 64kg 男 。购入S，并不像全棉的，布料粗糙，直接上身有点儿糙庞皮，不舒服。另外长短虽然合适，但胳肢窝有点儿紧。</t>
  </si>
  <si>
    <t>不知道内包装袋上的字体为什么会掉色 包装粗糙，不知道是不是正品？之前海外购买的冠军的帽衫感觉质量也不好~持怀疑态度~</t>
  </si>
  <si>
    <t>刷毛做工粗糙 刷毛粗糙且不整齐，与以前购买的刷头比起来质量差距很大。</t>
  </si>
  <si>
    <t>积压的库存发给我们垃圾海外购闹心 不知道积压了多久的库存，很多灰尘，而且黑色的外套胸前的折痕颜色已经褪色成红色了。</t>
  </si>
  <si>
    <t>漏奶 给一星都是多的，十个有四个漏奶，袋子软趴趴的，一点儿都不好用</t>
  </si>
  <si>
    <t>一般 12月就过期，真受不了</t>
  </si>
  <si>
    <t>大腿处有点紧 大腿处有点紧绷，价格在海外购来说还是有点小贵，但ck的牛仔裤确实好穿，也比在国内买划算不少。</t>
  </si>
  <si>
    <t>净等发货 跑步时候带这个表应该不错， 基本上没有感觉 这个表盘很好看 有Classic的感觉， 我又返璞归真把电子表换成指针的了 不过什么时候才能发货啊 跑步时候就可以带一个iPod Shuffle+ CASIO这个表了</t>
  </si>
  <si>
    <t>整体不错 穿85C，买的36B，大小合适，防震效果没有想象的那么好，跑步还是会上下颠。胸部的布料很软，可能因此支撑力不够好，但是舒适度不错，整体偏满意。</t>
  </si>
  <si>
    <t>派克 货到手，看起来不错，笔重，有质感，但是送人的包装简陋，没有礼品袋</t>
  </si>
  <si>
    <t>码数正常 164，53KG，看评论买S，刚好，略贴身，袖子刷不起来，应该坚持买M的，会比较舒适，个人觉得国内穿什么吗就买什么码</t>
  </si>
  <si>
    <t>保温 超轻，保温效果好</t>
  </si>
  <si>
    <t>一般 东西还没用，不知道怎么样</t>
  </si>
  <si>
    <t>很好的产品 速度很快。好评的。东西比想象的要大很多。看着很好</t>
  </si>
  <si>
    <t>夏天空调房穿一穿也挺好的 薄厚对我来说刚好，本来就是买来夏天穿了，我比较怕冷，空调房要穿长裤，健身房也有空调，穿去健身也可以。</t>
  </si>
  <si>
    <t>好用 配合mac用，很合适。</t>
  </si>
  <si>
    <t>值得推荐 价格实惠，尺码合适，超赞</t>
  </si>
  <si>
    <t>好 很舒服 鞋头有点大</t>
  </si>
  <si>
    <t>非常好 非常好，非常好，非常好，重要的事情说三遍。</t>
  </si>
  <si>
    <t>比国外买还便宜 平时穿运动鞋41.5， ECCO买40（我的三双ECCO都买的40的），长度正好，但是这鞋的鞋垫很厚，所以穿起来有点偏紧，不能穿厚袜子，希望穿穿会宽松些。</t>
  </si>
  <si>
    <t>不错 性价比比较高，整体出色</t>
  </si>
  <si>
    <t>good 颜色没有那么亮，比较暗，很合适，太亮太骚也不好。从密封性看比较好，还没用，感觉不会飞白。</t>
  </si>
  <si>
    <t>大爱，特别重！ 买了两个不同型号，特别重，作为女生两只手拿都很吃力，特别好用，尤其是煎牛排。就是不巧刚买还没收到就便宜了八十，小郁闷。锅大爱。</t>
  </si>
  <si>
    <t>其乐的鞋很好 鞋子很好！满意的一次购物体验，价格也很给力！</t>
  </si>
  <si>
    <t>材质好，颜值高 材质很好，颜值也很高的一套餐具，宝宝用刚合适。</t>
  </si>
  <si>
    <t>挺好的 袜子已经穿了，质量不错</t>
  </si>
  <si>
    <t>.. 挺好的 就是大了点  而且扭开后分成两个放好麻烦</t>
  </si>
  <si>
    <t>方便 帮朋友买的 会员分分钟省下400多运费 prime真是值得一直续下去。朋友说机子不错，小朋友用起来也无压力，有送十几二十个胶囊。听说评论有积分，不知道积分能干嘛诶……</t>
  </si>
  <si>
    <t>不错 大小还可以，就是衣长有点短</t>
  </si>
  <si>
    <t>货真价实 日期很新鲜哦，我已经买了好多瓶了，相信美国亚马逊海外购。</t>
  </si>
  <si>
    <t>一年了质量杠杠的, 越看越喜欢 一年了质量杠杠的, 越看越喜欢; 经典, 时尚</t>
  </si>
  <si>
    <t>、好吃正宗不贵 感谢海外购平台，在好吃不贵保真的基础上买到很多心仪的产品。经过几轮购物，从130+到现在的100，之前的都买贵了，经验是该产品100左右价格可入</t>
  </si>
  <si>
    <t>物有所值 尺码正常，脚肥穿着稍紧。体重72公斤，感觉弹性很好，跟阿迪boost差不多。下次试试2e的</t>
  </si>
  <si>
    <t>缝隙大！ 感觉不贴合，很大缝隙！</t>
  </si>
  <si>
    <t>做工太差了 线头到处都是，内衬都已经水洗脱毛了，糟糕</t>
  </si>
  <si>
    <t>尺码偏大 尺码偏大太多啊，伤心</t>
  </si>
  <si>
    <t>走路时有咯吱咯吱声音 鞋子没问题，就是走路时一直会咯吱咯吱想，感觉是鞋垫没刷胶固定好</t>
  </si>
  <si>
    <t>感觉很山寨。 偏小，料暗。</t>
  </si>
  <si>
    <t>两只大小不一致 两只大小不一致…………真是郁闷</t>
  </si>
  <si>
    <t>品牌虚假 假的假的，这都能假，什么鬼</t>
  </si>
  <si>
    <t>nice 骚绿，还行</t>
  </si>
  <si>
    <t>热 挺热的，10度天气热的睡不着，有点想，北方应该适用</t>
  </si>
  <si>
    <t>合脚 我平时穿41码的鞋子，这款很适合，只是感觉稍显硬，其他算得上perfect。</t>
  </si>
  <si>
    <t>Blue Yeti USB麦克风 麦克风不错 声音很好 不足的是不能连接声卡 能连的话就完美了</t>
  </si>
  <si>
    <t>还不错吧 还不错吧，质量还算可以。男性（这款衣服看评论很多女的买），172cm，68kg，M码穿着合适，不是很紧绷的感觉，但也不松垮。</t>
  </si>
  <si>
    <t>合适 1米71，65公斤，小码合适。衣服略厚，但性价比很高。</t>
  </si>
  <si>
    <t>鞋子不错 不错不错，鞋很舒服，号码合适，我的脚算比较宽的，普通码没问题。另外里面未加棉的，不是棉鞋。外观也挺好，无瑕疵，葡萄牙产到手不到700，帅</t>
  </si>
  <si>
    <t>很不错 质感很好。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</si>
  <si>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非常舒适 非常舒适，跟没有穿一样，我国内穿85A都紧，这款80A的正好，有点弹力</t>
  </si>
  <si>
    <t>好 衣服比国内大一码，薄款冲锋衣，有可拆卸的抓绒衣衬里，有胶涂层的，什么叫坦克夹克，不明白，做工不错，亚马逊的各种质量好</t>
  </si>
  <si>
    <t>尺码合适 真心不错，性价比高，尺码合适。</t>
  </si>
  <si>
    <t>挺好的 一大瓶，挺实恵的！</t>
  </si>
  <si>
    <t>囤货 还不错的，买来囤货的。</t>
  </si>
  <si>
    <t>很好 7天到货，物流很快。包装完好，无穿着痕迹，显然是新货。上脚很轻，鞋垫舒适，皮质柔软不磨脚。完美的购物体验！</t>
  </si>
  <si>
    <t>舒服 质量非常好，码数正，CK的裤子一流，性价比高</t>
  </si>
  <si>
    <t>推荐购买 不怕摔，挺好的，孩子自己拿着喝奶完全没问题，难怪现在妈妈们全用这个</t>
  </si>
  <si>
    <t>尺码偏小一点点 尺码偏小。174cm/72kg,穿M码，里面不能再套厚衣服了。M码标签上写的是175/92A。感觉比国内的175/92A要小一点。穿其他牌子的美版衣服M码是偏大一点的，比如始祖鸟、山浩、狼爪、Adidas等。这个倒是偏小一点，有点怪怪的。</t>
  </si>
  <si>
    <t>非常好！ 180cm，78kg, 有点肚子，偏修身。质量非常好。衣袖也不会很长。推荐买。</t>
  </si>
  <si>
    <t>太有爱了！ 衣服非常喜欢，我刚看到衣服就换上了！简洁而又文雅。 快递速度也比我想象的快些，邮递员也比较负责任。 多亏看了大家的评论，衣服卖得较合身！</t>
  </si>
  <si>
    <t>物美价廉 物美价廉，方便实用！</t>
  </si>
  <si>
    <t>推荐尺码合身 一如既往的好，内衣只选CK</t>
  </si>
  <si>
    <t>合适 一米七三，八十六公斤，合适。</t>
  </si>
  <si>
    <t>颜色炫酷，价钱合适 特别满意。从颜色到鞋型，到价格。我就是系带皮鞋的重视爱好者。不能再满意。 鞋子属于细长款，显得脚瘦，一般脚型都可以进去，我脚长250毫米，这个长度下买号就有点尴尬了，5.5uk，裸脚刚好，不能穿厚袜子。因为幅面较低，估计多穿就好，又不敢买6uk的，所以，鞋号稍微有点点问题。 打算等价格合适再入一双棕色的。这个灰色特别显得神秘及气质。 喜欢。</t>
  </si>
  <si>
    <t>保暖毋庸置疑 买大了半码  很厚实 在北京穿完全无压力了这个冬天 就是开车不太方便</t>
  </si>
  <si>
    <t>宝宝很喜欢 宝宝很喜欢大小刚刚好合适宝宝手拿</t>
  </si>
  <si>
    <t>不错的一次购物 鞋子很好，是正品，尺码正</t>
  </si>
  <si>
    <t>非常好 皮鞋穿42，这个拍的8.5M正好，超级合适，完美的一次购物</t>
  </si>
  <si>
    <t>裤子质量 冲着厚木的牌子去买的，收到立马就洗了穿上，轻软是真的。但是腰部很松，才穿第二次松得都快掉下来了</t>
  </si>
  <si>
    <t>产地？ 还是找不到产地，包装上下都找了</t>
  </si>
  <si>
    <t>合适 size很准！给男朋友买的，因为成人款断货买的大童款，材质看起来是轻薄一点，不过也很好～ 选的特快，20号下单，26号到，感动到哭</t>
  </si>
  <si>
    <t>发错货，差评 买的37码的，发过来确是38的，太大，本来想退货，可要寄到英国，我一个带娃的人还得跑到邮局去寄，真是太麻烦了，退换货真心不方便！差！</t>
  </si>
  <si>
    <t>总体评价：好。 唯一的缺点是脚背面不是整张皮，怕雨天进水。有点夹脚脖子。型好，颜色好。</t>
  </si>
  <si>
    <t>不错的购物体验 质感不错，穿着很舒服</t>
  </si>
  <si>
    <t>颜色不满意 168cm身高，60公斤，稍微有点大，勉强可以穿。亚马逊有个巨大的bug：订单看不到下单时候的尺寸和颜色！！！衣服质量很好，但颜色不好看。</t>
  </si>
  <si>
    <t>磨脚 lowa穿43.5 其乐42 这次danner8.5ee 较为宽松舒适 整体感觉不错 缺点是脚踝上方 筋这里磨 而且看鞋子 左脚比右脚磨的严重 出血脱皮那种 必须厚袜子加邦迪 舒适比不上zephyr 透气性不错 能控制不出脚汗</t>
  </si>
  <si>
    <t>尺寸偏小 质量很好，但日本的尺码比国内小了，一定要买大一码</t>
  </si>
  <si>
    <t>不错的益生菌 口味不错，女儿很喜欢！</t>
  </si>
  <si>
    <t>合适 不错，好打理不起皱，性价比很高</t>
  </si>
  <si>
    <t>4、5度穿着都不冷 保暖效果好 就是容易起球</t>
  </si>
  <si>
    <t>尺码还是偏大 质量不错，就是尺码还是偏大，我170,体重80，也是看了别人的评价买了个m的，结果还是大了！不过穿着挺舒服，很轻很薄。我不知道这款是硬壳还是软壳，穿起来有沙沙的响声，这个有点不满意！</t>
  </si>
  <si>
    <t>非常好 价格合理，尺码合适，做工好，很舒服</t>
  </si>
  <si>
    <t>非常好，满意，提前一周到手 反正就是买了，很不错哦。非常好，满意，提前一周到手</t>
  </si>
  <si>
    <t>德龙咖啡机很好 德龙咖啡机一直在寻觅，可惜国内太贵，看到了亚马逊有赶紧下手，功夫不负有心人，很喜欢，不会操作，只能问国内的客服，还好，很热心的教导我，现在要感谢无意识中买了和国内一样的机型，不然买来也不会用！</t>
  </si>
  <si>
    <t>还不错 裤子材料一般，但对得起价格。</t>
  </si>
  <si>
    <t>鞋底比较硬 汗脚有点粘粘的，鞋底比较硬</t>
  </si>
  <si>
    <t>不要买错 是保冷的，买错了，小孩子感觉不需要保冷</t>
  </si>
  <si>
    <t>好穿 面料很舒服，很好穿。</t>
  </si>
  <si>
    <t>好 很棒，够宽松</t>
  </si>
  <si>
    <t>母乳宝宝的最爱 好用！母乳宝宝的最爱～</t>
  </si>
  <si>
    <t>希望好用 习惯性好评，希望用起来好！</t>
  </si>
  <si>
    <t>完美 从外包装盒到盒内包装乃至保温效果，完美。但是那个像香油碟的东西是干嘛的？</t>
  </si>
  <si>
    <t>适合牛仔裤风格 腰围89，穿迪卡侬88A的裤子，选34的刚好合适，用中间那个扣眼</t>
  </si>
  <si>
    <t>东西不错 网上很多人推荐，东西很乖，质量很好，不过宝宝还不能用</t>
  </si>
  <si>
    <t>给孩子买的 脚面稍紧，长短宽度都没问题。</t>
  </si>
  <si>
    <t>好东西 终于到货，迫不及待试了一下，第一耳就感觉到是高素质耳机，慢慢煲，手机感觉效果没出来</t>
  </si>
  <si>
    <t>鞋子不错 性价比高，样式不错，舒适</t>
  </si>
  <si>
    <t>不太修身 和我国内买的码数一样的，就是不太修身有心理准备，因为前在国外买过同型号的李维斯，性价比确实高</t>
  </si>
  <si>
    <t>很好 容量大.轻便，是我想要的</t>
  </si>
  <si>
    <t>不满意 很失望 老公穿没多久鞋子颜色就变了 感觉像盖了一层沙子  最近鞋里面一根什么管也跑出来 没办法只能剪掉</t>
  </si>
  <si>
    <t>袖子太长 为啥袖子辣么长，为啥袖子辣么长！</t>
  </si>
  <si>
    <t>尺寸 体重130斤，165高，买了XL，太大了，要退货！</t>
  </si>
  <si>
    <t>质量不行 这质量没法形容了，口袋漏的，接缝处开线。</t>
  </si>
  <si>
    <t>破表别买 劝大家别买了，戴了四个月就坏了，表带起毛，时针不走了，齿轮坏了，日历也坏了。真是无语</t>
  </si>
  <si>
    <t>搅拌棒磨损 今天打算使用才发现搅拌棒有几道很深的划痕，担心搅拌棒不是全新</t>
  </si>
  <si>
    <t>性价比还不错 166，50kg买的M，大小还可以，较为舒服透气，材质略薄，黑色的掉毛毛严重扔掉了别的颜色的还不错</t>
  </si>
  <si>
    <t>有待提高 皮带还可以，但是连个装的合子也没有</t>
  </si>
  <si>
    <t>比国内买便宜太多 试用了一下，衬衫还是效果很明显，厚一些的棉T恤就比较一般了；不过确实比家里的挂烫机节省空间，基本能满足需求； 配件只有接矿泉水瓶的转接头，没有毛刷，没有布套子，更没有防烫手套和挂烫板了；</t>
  </si>
  <si>
    <t>袖子和身过长。 袖子和身过长，其他都很好。180cm，80公斤，袖子和身有点长了。</t>
  </si>
  <si>
    <t>非常好 给老人买的，他们很喜欢</t>
  </si>
  <si>
    <t>高腰有点弹性 裤子面料比较软有点弹性，高腰的，2尺4的腰10s号裤长98cm，套保暖有点肥，可能小一号正好</t>
  </si>
  <si>
    <t>合身 和李维斯的34的一样大，本人高178，重190，穿着正好</t>
  </si>
  <si>
    <t>为啥会有这小洞 血迹非常逼真</t>
  </si>
  <si>
    <t>很好 很好，很薄，夏天穿正好</t>
  </si>
  <si>
    <t>大小合适 面料柔软舒适 大小合适 面料柔软舒适</t>
  </si>
  <si>
    <t>性价比很高 码数很准确，上脚特别舒服，春夏日常穿着很合适。</t>
  </si>
  <si>
    <t>各方面都无可挑剔，不过颜色似乎没有original正 original的颜色会更亮一些，这个有些磨砂或者说哑光的感觉，底没有很多人说的那么硬，连穿两天无任何不适，觉得不舒服的朋友估计是选错了尺码</t>
  </si>
  <si>
    <t>赞 很多宝妈推荐的产品，亚马逊做活动，入手很划算，拿到手看下，没有划痕，送货也很快，点赞！</t>
  </si>
  <si>
    <t>音质不错，对于我们不是发烧友来说 音质还是不错的，相信煲一下，会更好，这个价格还是满意的。</t>
  </si>
  <si>
    <t>鞋很漂亮 体重大者福音。不用担心真假，售后。这就是超值。</t>
  </si>
  <si>
    <t>最满意的保温杯 非常好，漂亮，最满意的保温杯</t>
  </si>
  <si>
    <t>早发现这个奶瓶就好了 真的太可爱，太好用了！之前买了很多奶瓶，头都比较硬宝贝都不爱吃，只吃这个奶瓶，大赞！</t>
  </si>
  <si>
    <t>还不错，索尼的品质有保证，亚马逊自营放心 还不错，索尼的品质有保证，亚马逊自营放心</t>
  </si>
  <si>
    <t>好 袖子偏长，可以卷起来，很干练的感觉</t>
  </si>
  <si>
    <t>质量不错 大小可以，适合。</t>
  </si>
  <si>
    <t>大了 本身169cm，70kg，腿算粗的，买的W32*L29 大了点，W31会更合适</t>
  </si>
  <si>
    <t>不错 加热很均匀，就是有点重，女的用有点困难</t>
  </si>
  <si>
    <t>舒服又保健。 内衣穿一ck的永远正确，我一直买这个品牌的内衣，没有失望过。</t>
  </si>
  <si>
    <t>好性价比豆子 新鲜，味道纯正，价格实惠。适合粗磨</t>
  </si>
  <si>
    <t>以前一直用这个牌子的 挺好的</t>
  </si>
  <si>
    <t>质量差 墨西哥产的，质量不行，有一股怪味。</t>
  </si>
  <si>
    <t>便宜但做工一般 从包装到做工比国产版本差了至少一个档次，好在价格便宜。</t>
  </si>
  <si>
    <t>耳机有点问题了 耳机右侧有时没有声音，不懂什么鬼。难道我买到了一个耳朵是真耳机，一个假耳机。</t>
  </si>
  <si>
    <t>磨脚！ 穿了一次暂停，磨脚跟，会起泡…</t>
  </si>
  <si>
    <t>严重掉毛 掉毛非常厉害，质量太差了，怀疑是否是正品</t>
  </si>
  <si>
    <t>质量很差，不建议购买 不建议购买，质量很差</t>
  </si>
  <si>
    <t>好看，但材质有点硬 我往小一码买了稍微有点小（袖子长还合适，但本人比较肥，所以觉得有点小），感觉稍微丰满一点点的就不需要往小一码买，瘦的人想穿成oversize也不要小一码了...面料比较硬，感觉摸起来手感没想象中好，但质量还不错，听说日亚会更舒适一些，下次试一试日亚的....</t>
  </si>
  <si>
    <t>感觉比较廉价 尺码合适，比较标准，符合到手40多的价格预期，不如优衣库，线头多，做工一般，布料纯棉还可以，胸标感觉廉价的很。</t>
  </si>
  <si>
    <t>有褶皱 寄到时里可能由于包装运输原因，有深深折痕，感觉面料受损了</t>
  </si>
  <si>
    <t>性价比不错 夏天穿的，98cm的腰围L码正合适。质量还可以</t>
  </si>
  <si>
    <t>感觉不值这个价 鞋底鞋面都跟软，帮做的不够细致，磨脚啊磨脚，水泡破皮......皮质也一般，打折出有了小鼓包，估计穿阵子就要破损</t>
  </si>
  <si>
    <t>准时15天到达 速度飞快 值得购买 黑五96R买的 ✺◟(∗❛ัᴗ❛ั∗)◞✺ 刚开始u盘没自动装驱动 所以速度慢 读写都只有45MB/s  后来自动装上驱动课后考电影写入100MB/S多 读取稳定在200MB/S 我电脑是闪迪的固态  ，后来用软件测试速度也比官方的速度快  ，总之十分满意的一次海外购ε-('∀｀; )</t>
  </si>
  <si>
    <t>CK牛仔服 CK牛仔外套很好超值</t>
  </si>
  <si>
    <t>值得推荐 一直喜欢的品牌，已经多次购买。值得推荐。尺寸比国内稍大。</t>
  </si>
  <si>
    <t>还没用，感觉应该不错的。 收到了，还没有实用，感觉应该不错的。</t>
  </si>
  <si>
    <t>很满意！ 鞋子除了有一点重，其他都十分满意！上脚十分好看！</t>
  </si>
  <si>
    <t>特别喜欢 特别好看，老公非常喜欢</t>
  </si>
  <si>
    <t>物美价廉 非常喜欢的一双工鞋，版型很正，穿着舒适</t>
  </si>
  <si>
    <t>好评 对我这个平常穿37码的人来说稍偏大 底好舒服ᶘ ᵒᴥᵒᶅ</t>
  </si>
  <si>
    <t>最爱没有之一 易清洗摔不坏，除了刻度不太好看及不好温奶以外，全家最爱</t>
  </si>
  <si>
    <t>低调的奢华 价钱跟惠威MK2差不多，但是比惠威看起来低调多了，同事看着问我是不是几十块的玩意，呵呵，买的Z实惠，有少少划痕，不仔细看不出来，买完后价格一天天往上涨，很快涨了一半多，怎么回事呢，不好的是亚马逊也不主动开个发票过来，还要去催，这不是浪费彼此的时间和金钱么 声音用一句话来说就是恰如其分，以前用惠威m200MK2感觉女声很腻，这个音箱虽然没有别人说的能听出吉他的松香味那么牛，但是能听出其冷静的态度</t>
  </si>
  <si>
    <t>ALTO 蓝牙通用可再充电蓝牙接收器，带有 XLR 连接器 设备非常使用。</t>
  </si>
  <si>
    <t>很好 实际商品符合产品描述，宝宝很喜欢抓握，出门都带着勺子。设计很合理。</t>
  </si>
  <si>
    <t>8926OB Pro Diver不锈钢自动手表 我订的8926OB PRO，图片上是波轮型外圈，结果送到后却是8926OB齿轮型外圈。不知是图片展示错了，还是亚马逊搞错了，或者我看错了。价位放在这儿，也就懒得说理了。特意佩戴一段时间再评论，用料还是比较扎实的，精度也还可以，戴了10天也就快了1分钟，性价比不错。</t>
  </si>
  <si>
    <t>好用 很好用，勺子放到热水里会变色，</t>
  </si>
  <si>
    <t>质量没得说，棒。 好。质量好，样式喜欢。</t>
  </si>
  <si>
    <t>非常好的商品 非常好的商品</t>
  </si>
  <si>
    <t>好好好 刚刚拿到手的时候以为鞋底会滑，结果很舒适，不滑。皮子软，鞋子轻便、有型。太棒了👏</t>
  </si>
  <si>
    <t>裤子质量不错，推荐购买 裤子还不错，只是看了评论说尺码略小就买了28，结果大了一点。 身高：174，体重：105</t>
  </si>
  <si>
    <t>音质很棒 在此价位来说，这款音箱的音质绝对是超超值的。</t>
  </si>
  <si>
    <t>不错的营养 儿子一直都在体育锻炼，现在用参加力量训练，要增加营养比例，选择了这款产品</t>
  </si>
  <si>
    <t>不比不知道 快递包装简单，就一个不防压的气泡袋，收到时一个吸塑包装已压开裂。U盘很好，头一次买亚马逊海外购商品，一比较，价廉物美。</t>
  </si>
  <si>
    <t>好评 不错，袜子穿着轻薄透气，10几度天穿没问题</t>
  </si>
  <si>
    <t>质量般般 积压很久的货，每次洗都脱绒！估计穿的个把星期就变莎裤啦</t>
  </si>
  <si>
    <t>太磨脚，穿过最难受的鞋…… 谨慎购买，一定要去实体店试穿下，外形不错，但是穿起来简直像脚镣，穿一上午就在脚脖前端磨出血……</t>
  </si>
  <si>
    <t>非常好 177.140斤，L非常合适</t>
  </si>
  <si>
    <t>不建议购买 用了半年，电池基本作废了，冲一次电只能用两三天，而且冲力很细了，刚冲满电用，那力度也像快无电的感觉，要死不活！不建议购买</t>
  </si>
  <si>
    <t>质量不好。 款式还行。就是质量太差，穿了三天到处开缝，不是我撑开的，小腿那开了那么大口子，就算国内二线品牌，或者网红品牌，也不应该这样吧。对这牌子放弃了。</t>
  </si>
  <si>
    <t>怀疑是二手的 裤子没有价签，而且充满了洗衣液的味道，真的怀疑是不是新的，必须退货！</t>
  </si>
  <si>
    <t>还行 用了一段时间了，开锅好几次还是容易有黄锈。只能说一般吧</t>
  </si>
  <si>
    <t>平时穿着玩儿吧 这个拿到以后，发觉这个条纹还是比较明显的，嗯，这个质量什么的就说是肯定跟ua还是有一定差距。</t>
  </si>
  <si>
    <t>小巧是真，声音一般 声音真的很一般吧，也没觉得女声好吧。</t>
  </si>
  <si>
    <t>comment 二十几天 在年末的最后一天终于到了 相比之前戴的G-shock要略显秀气 外观朴素 功能简单 价格一般 个人追求的不是经典 倾向外观和操作简洁的实用硬朗款式</t>
  </si>
  <si>
    <t>价格还行 容量大，价格比一般网商便宜，可惜不自带保护包。</t>
  </si>
  <si>
    <t>保温好 现在每天几乎都在用，瓶子很保温，每天的早餐不用愁了，我一般是晚上准备好材料，在锅里煮一下以后倒进瓶子里，到第二天早上都是很热，要凉一会儿才能吃，所以我很满意。</t>
  </si>
  <si>
    <t>和国外代购回来的一摸一样 衬衣非常好，和国外买回的一摸一样</t>
  </si>
  <si>
    <t>很好。 很好，一共买了三份，六盒。每两盒都用密封袋装好的，盒内还有减震空气袋子。发货也很快。</t>
  </si>
  <si>
    <t>基本符合预期 噪音有点大，其他还可以</t>
  </si>
  <si>
    <t>购买心得 相当满意  质量好  快递快</t>
  </si>
  <si>
    <t>衣服很不错 日版的衣服，适合中国人，按平时穿衣的码数就可以了。惟一 不足的是衣服有些味道，应该是封装和运输途中产生的，需要晒一下。</t>
  </si>
  <si>
    <t>质量不错。 颜色好看，质量可以。</t>
  </si>
  <si>
    <t>满意的腰带 86腰围，这款85尺寸的恰恰好，皮质较薄，更适合夏天。</t>
  </si>
  <si>
    <t>典型美式飞行夹克的style 衣服从美国直接发货，保证是正品。工，料不错，但主拉链粗糙，不如ykk精致。主要奔着品牌去买的，单从工，料上说，国内很多仿品不见得差，甚至有过之而无不及。买的是经典版M码，176，75，袖长ok，胸围，袖围偏大，上肢活动自如，无任拘束，下摆收紧，衣长编短，典型美式飞行夹克的style。</t>
  </si>
  <si>
    <t>非常好 表面简洁，质量好，值！</t>
  </si>
  <si>
    <t>扎实 合适贴身，面料扎实。</t>
  </si>
  <si>
    <t>音质不错 音质不错，收货时间略长</t>
  </si>
  <si>
    <t>很棒，喜欢！ 3年前买过同款的鞋子，既舒服又好看，质量还是杠杠的。到手703虽不很便宜，但也很值了！</t>
  </si>
  <si>
    <t>很好 很好，没有味道，用过了才来评价的，感觉海外购还是很方便的，价格也还可以，下次还会再来</t>
  </si>
  <si>
    <t>和原来的一样 包装很好，一看就是正品，和原配的没什么区别，运输也很快。非常满意</t>
  </si>
  <si>
    <t>不错的选择 面料做工都不错 以后买裤子 就它了 唯一不足就是价格来回调整 有些郁闷阿</t>
  </si>
  <si>
    <t>样子好 物流快 潮鞋样子不错 海淘速度快</t>
  </si>
  <si>
    <t>非常好！ 舒适实惠，简易选购。</t>
  </si>
  <si>
    <t>合适舒适 舒服极了，买的很合适</t>
  </si>
  <si>
    <t>👌 第二次买了，不错，满意</t>
  </si>
  <si>
    <t>舒适 soft 鞋子很软，舒适，脚看起来好小</t>
  </si>
  <si>
    <t>产品与宣传不符 严重怀疑产品 宣传是肖特玻璃 买回来是WMF GLASS 与描述不符</t>
  </si>
  <si>
    <t>坏的破的牛仔裤，超级掉色。 我为什么收到个破洞坏的？！穿半天才发现！10年来亚马逊自营第一次遇见，我以前以为差评都是假的，怎么这样啊？已申请退货，看退款情况。1，千万不要买黑色，掉色超级严重，跟黑墨水一样，质量太次。2，0 long相当于腰围26/30长度；163/48,腿长或者身材比例好适合买long. 3，弹力大，腰围合适，腿部宽松有富裕，非紧身。4，税后225. PS：那么多评论为什么没人提掉色严重的问题，是这款便宜所以这样么？可是CK就只是轻微浮色啊....</t>
  </si>
  <si>
    <t>颜色没有想像中浓 很顺滑，包装也没损坏，从7月23号下单，8月5号到的，但是为什么颜色这么淡？好像在网上看到的prismacolor不是这么淡。不是软芯吗？颜色淡让我不太高兴</t>
  </si>
  <si>
    <t>太长 衣服很长很长很长很长</t>
  </si>
  <si>
    <t>恼火 第一件改品牌衬衫偏小一些，这次选个M码结果堪比国内XL码</t>
  </si>
  <si>
    <t>脱色 这次购物真是糟透了，这件衣服掉色，昨天到了一洗把一起买的另一件浅色给染上了。。。。。 另外s内标签是165/84的  感觉和国内170/92一样大</t>
  </si>
  <si>
    <t>差评，极其差！ 简直就是辣鸡了，千选万选，还信赖亚马逊来着买，结果用了两个月不到开始漏水！！！真是失望，再也不相信了！</t>
  </si>
  <si>
    <t>包装破损 包装盒送达的时候已经破损了，无塑封，也没有额外的盒子包装下，只装了一个袋子，自用算了，送人的话没法送人的。希望以后改进包装！</t>
  </si>
  <si>
    <t>三荣水栓 淋浴喷头 雨淋金属 水流很细感觉不错，水质不好不知道使用长了会怎样</t>
  </si>
  <si>
    <t>尺码 和国内尺码相比，尺码大0.5-1码。</t>
  </si>
  <si>
    <t>舒服 污渍 鞋子很舒服，但鞋面有划痕，鞋底有污渍，像是样品</t>
  </si>
  <si>
    <t>还不错 衣服稍微有点薄，没有想象中厚。版型很好，适合亚洲人的体型，不像欧美版那么肥大。比美版贵一点</t>
  </si>
  <si>
    <t>性价比高 性价比挺高的，容易上色，做工没有日本三菱精致，也没有马可雷诺阿笔杆好，颜色鲜艳，我常用棕色系列，很不错，下面是用这笔画的</t>
  </si>
  <si>
    <t>不错 鞋子很舒服，不错的鞋型</t>
  </si>
  <si>
    <t>长短合适 冲着这个牌子买的，质量不错</t>
  </si>
  <si>
    <t>物美价廉 用了一个多月了，机器很好，在中亚买这种电器真的是价廉物美，也因此购买了中亚会员，以便买更多的进口商品。</t>
  </si>
  <si>
    <t>坚实耐用 非常非常好的宝贝。很好用，非常结实的感觉！</t>
  </si>
  <si>
    <t>很赞 特别好，帅气有型，料子舒服，不是那种硬硬的感觉</t>
  </si>
  <si>
    <t>浅蓝色扣，款式不错 还有条猛犸象的，鸟的帆布很厚不会打卷，但是比较紧，扣着不如大象的方便</t>
  </si>
  <si>
    <t>价格实惠，值得入手！ 菲律宾产，包装什么都很好，蛮精致的，关键150左右入的觉得很划算，因为几天之内价格一会儿到200多，一会儿又降下来，像坐过山车一样，亚马逊海外购的价格真心吃不准，只有每天看一看，便宜了马上入手！音质很好，音量稍微开中档周围已经基本上听不见声音了，很喜欢！希望耐用！</t>
  </si>
  <si>
    <t>喜欢他家的内衣 颜色款式大小都都很一直，很放心的购物体验，在亚马逊海淘真的很爽，总能发现好东西</t>
  </si>
  <si>
    <t>舒适 裤子很修身，尺码很合适。胖人瘦人都hold住，我又回购了一条。</t>
  </si>
  <si>
    <t>不错！ 不错，很舒适。1米70 ，  68公斤，s号正好。</t>
  </si>
  <si>
    <t>movefree 给母亲买的，是自营货。以前是托别人从海外带回的。和以前对比一下，应该是正品。日期很新，到2021年。保不保真吃上看效果吧，到时再来评论</t>
  </si>
  <si>
    <t>性价比非常高 性价比非常高，就是售后无保障。</t>
  </si>
  <si>
    <t>很喜欢 宝宝喜欢吃，就是有时拿不住，可能宝宝还小吧。 略微硬了些，再软点可能更好，或者硅胶的都这样？</t>
  </si>
  <si>
    <t>好穿 不掉裆，非常好穿，除了颜色有一点暗之外都很好，下次选个好的颜色</t>
  </si>
  <si>
    <t>东西性价比高 料子挺好，183cm,86kg，34W*32L正好，略修身版型，喜欢宽松的可以略大一点</t>
  </si>
  <si>
    <t>很棒 很棒，赶上折扣，加上税才300多人民币，物美价廉。今年10月生产，保质期到2018年。</t>
  </si>
  <si>
    <t>很好 22.5cm的腳，36M稍微有些長。整體不錯，喜歡，快速！</t>
  </si>
  <si>
    <t>好用 挺好用的 比国内买要便宜 而且放心 不过蓝牙的音质一般般</t>
  </si>
  <si>
    <t>尺码合适 非常棒的产品，满意</t>
  </si>
  <si>
    <t>不错 就裤脚太大 其他还不错</t>
  </si>
  <si>
    <t>好 不错哦，和美亚一样的。</t>
  </si>
  <si>
    <t>质量糙！ 我是女生穿，买的最小码，这个质量真的一般般，有点糙，穿着不吸汗，总之不舒服！穿了戳死我了……</t>
  </si>
  <si>
    <t>掉色严重 第一次洗掉色很严重！</t>
  </si>
  <si>
    <t>包装简陋 商品已收到，商品因插头问题还没用。英亚包装实在太简陋，就包一层塑料袋子就漂洋过海发来了…… 打开一看盒子果然已烂！我不知道它经历了什么… 在网上买了转换插头。到货后看看能不能使用………</t>
  </si>
  <si>
    <t>舒适感不够的蓝牙耳机 降噪效果一般。音质不错，续航时间很长，戴久会闷不适</t>
  </si>
  <si>
    <t>可怕的运输包装 套个塑料袋基本惯例，我也忍了，居然没盖好鞋盒盖就运送过来，可怕，搞得鞋子轻微，还好没大问题</t>
  </si>
  <si>
    <t>同样是BOSS品牌XL怎么不一样大小 买XL许多都合身，偏偏这款大了许多。而海外购退换货很不方便，只好压箱底了。</t>
  </si>
  <si>
    <t>不是羊毛 机翻的锅，不是羊毛，就是摇粒绒，207入手，会有点显胖，好像毛茸茸的小熊，挺保暖</t>
  </si>
  <si>
    <t>跟国内柜台价比物超所值 鞋子跟实体店一般大小，美中不足的就是左脚鞋面上有一点点瑕疵。运输时间短到惊喜，8天就送到手里了，非常厉害。</t>
  </si>
  <si>
    <t>钢笔 书写流畅，但须经常使用。偶尔笔尖会储水</t>
  </si>
  <si>
    <t>工艺差 做工差、线头多，面料厚不适合夏天穿。</t>
  </si>
  <si>
    <t>非常舒服 面料很舒服，弹性很大，170买的LL号，大了，长度够，腰的地方盖着肚子很舒服，不太厚，但很暖和。值得入手。</t>
  </si>
  <si>
    <t>一定要用纯净水 很好用，就是需要变压器，</t>
  </si>
  <si>
    <t>，，，， 很不错的一款手表，时间跑的很准</t>
  </si>
  <si>
    <t>物流快，正品 是美国直邮的，3月17号下单，26号就收到了，速度挺快的。100块左右比国内的便宜，奶瓶应该是正品，很软，摔了不会碎，还有淡淡的硅胶味(正常的硅胶都是有淡淡的味道)，奶瓶好可爱好Q，宝宝喜欢。😄😄</t>
  </si>
  <si>
    <t>质量挺好的 做工很细致，穿起来感觉也很好。比普通鞋稍微重一些。  我遇到的问题是鞋带很容易松开，可能跟我绑鞋带的方法有关吧。。。。</t>
  </si>
  <si>
    <t>码子合适，压脚背 平时穿41.5或42码，这个码子整合适。鞋子很好。不过脚背高的人穿，鞋舌会压脚背。</t>
  </si>
  <si>
    <t>裤子 很喜欢，这个宝贝很好。</t>
  </si>
  <si>
    <t>质量好尺码合适 买了两件都很喜欢</t>
  </si>
  <si>
    <t>速度符合 不错，速度一流，自带图像恢复软件</t>
  </si>
  <si>
    <t>质量不错 质量不错，性价比很好，号码偏大，平时买衣服是2XL的，买了一条XL的偏大没退，又买了一条Ｌ的正好</t>
  </si>
  <si>
    <t>好 好用。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</si>
  <si>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很不错 貌似第一次海外购，虽然慢了点，但扣完税比国内还便宜，值得购买，入手的第二个希捷</t>
  </si>
  <si>
    <t>不错 实物比图片好看</t>
  </si>
  <si>
    <t>胖子的福音 183 cm体重220的我穿这个正好，纯棉手感好，内加薄绒，没洗过不知道是否掉色。</t>
  </si>
  <si>
    <t>尺码偏小 质量尚可，尺码买小了，身高172，体重74，买s码长短合适，但过于紧身，基本被包裹住了</t>
  </si>
  <si>
    <t>好 舒适好看，国内一般穿37码，这个码大一点也还行。</t>
  </si>
  <si>
    <t>Calvin Underwear Cotton Classics 4 Pack Briefs Calvin Underwear Cotton Classics 4 Pack Briefs，穿着舒服。</t>
  </si>
  <si>
    <t>不错 很不错，目前穿不了，剖腹产要等伤口完全愈合才能穿！尺寸选择可以小一码，出了月子应该就正合适！</t>
  </si>
  <si>
    <t>高大尚 很好的质量，面料很舒服，有质感，有型</t>
  </si>
  <si>
    <t>性价比高 不错，很实惠，买给儿子用的</t>
  </si>
  <si>
    <t>鞋子不错 还可以，价格比实体店便宜很多</t>
  </si>
  <si>
    <t>如何保养铸铁锅 还没用，不过海外自营才下单3天就送到，速度蛮快的，为了煎牛排特意选的洛及，百年品牌，等用后再来追加评论！</t>
  </si>
  <si>
    <t>不好 为什么同样是一个型号，灰色的要比白色的长很多？感觉以后不会再买了。心好累。</t>
  </si>
  <si>
    <t>一套两把装，秒杀回来的。 秒回来的，价格还是很贵！但比较好用。可是剪刀套不能套错，要不然拿不到剪刀出来。</t>
  </si>
  <si>
    <t>真够硬的 168，体重122，s码长度合适就是有点紧，材料是真硬…</t>
  </si>
  <si>
    <t>假货 感觉是假货，就瓶底一点点，还有没有吸管，特别不好到，也不好往宝宝嘴里送，想买的自己考虑吧，从镇江发来的，根本不是海外购物</t>
  </si>
  <si>
    <t>衣服质量不好👎 衣服质量很差，掉毛，洗了好几趟水，还是掉毛.</t>
  </si>
  <si>
    <t>太大了 东西不错，但是太大了……</t>
  </si>
  <si>
    <t>尺码标准 和以前买的差些，柔和贴肤，上身舒服，就是面料有点单薄，估计耐用性一般</t>
  </si>
  <si>
    <t>和别的同尺码的腰和裆稍瘦一点 和之前买过的lee和其他牌子同尺码的对比，都是34*32的，但这个腰要瘦一点，裆也要浅一点，舒适度体验稍欠一点。不过裤子颜色还是挺不错的。</t>
  </si>
  <si>
    <t>好用 好用。做工一般</t>
  </si>
  <si>
    <t>还不错 软牛仔布料，穿起来很舒服，袖子有点长~</t>
  </si>
  <si>
    <t>lamy 2000 和预期的相符 选的ef的头，比较适合日常中文书写</t>
  </si>
  <si>
    <t>时尚流行之选，海外购便宜多了 这双鞋子最近几年非常红，到处都在穿，我已经买了6双，包括给朋友，亲戚带了好几双。 鞋子出奇的轻便，记忆棉的鞋底，非常舒适，颜色合适的话男生穿起来也没问题。</t>
  </si>
  <si>
    <t>衣服不错，亚马逊海外购挺靠谱的 挺好的，衣服大小也挺合适买了一个外套和一个衬衫。样式也挺好看，就是快递有点慢。做工确实也不错。不错👍</t>
  </si>
  <si>
    <t>好 保暖，舒适…虽然会起点球，但是总的来说很满意。</t>
  </si>
  <si>
    <t>你离你的特工梦，就差一个海盗船U盘😎 为了情怀！特别是看了谍影重重之后😄😄不过128G的280元到手还是物超所值，现在基本没有用，网盘太好用了，U盘估计不久也会成为历史了</t>
  </si>
  <si>
    <t>价格很实惠，相比钻石刷头硬了些。 价格很实惠，但相比钻石刷头确实硬了些，总体性价比还是可以的。</t>
  </si>
  <si>
    <t>bwt安装指南中再详细对废水管路安装和溢水管路安装做更明确的图片指导，便于自行安装。特别是这种从国外直邮国内无法提供安装服务的产品。 很紧凑小巧，效果不错，适合空间小的旧房水路改善。 对于3室2厅的房子由于常住人口少，冲马桶使用中水等原因，10bio应该是够用了。 bwt安装指南中再详细对废水管路安装和溢水管路安装做更明确的图片指导，便于自行安装。特别是这种从国外直邮国内无法提供安装服务的产品。目前，由于安装过两台应该是很有经验的。now，I have installed two bwt softeners ，so have many experience.</t>
  </si>
  <si>
    <t>lamy2000钢笔非常不错 钢笔书写非常流畅，设计简洁，大方漂亮</t>
  </si>
  <si>
    <t>比国内便宜 老爸喜欢</t>
  </si>
  <si>
    <t>裤子 裤子尺码很正，款式也是我喜欢的，比较厚不适合夏天穿</t>
  </si>
  <si>
    <t>G-Shock性价比之王 这个可能是G-Shock最便宜的一款光能电波表 优点： 1.非常棒的外观，金属圆框质感十足 2.光能电波实用性很不错 3.黑金配色很帅 4.卡西欧的表，质量不用多说 5.夜光非常亮 6.等等 缺点： 1.无法在国内保修 2.表盘刻度无荧光 （但在如此实惠的价钱下，这些缺点不算什么）</t>
  </si>
  <si>
    <t>品质和尺寸 这个品牌连续购了3条M码裤，前面2条薄的都110长(偏长)，最后这条加绒的长106最合适。</t>
  </si>
  <si>
    <t>非常好的一款立体声蓝牙无线耳机 用了一段时间非常好，同等价位没有其他可以跟这款耳机媲美，高中低音都十分出色，左右立体身格外分明！推荐！👍</t>
  </si>
  <si>
    <t>非常满意的一次购物 标注女款，感觉比较中性，就按照自己平时鞋号下单了，255脚长，选40正好，没收到时一直忐忑不安，到手后十分满意，八百多点性价比还是可以的，只是本人脚略肥，有一点紧，其它都好正品</t>
  </si>
  <si>
    <t>舒服 给家里人买的，穿上后很不错，挺喜欢的，以后有合适的会再买。</t>
  </si>
  <si>
    <t>小巧 能放下一个长款钱包，一把雨伞，一个相印的480毫升保温杯。做工还是不错的，还是小了点，再大点更好。</t>
  </si>
  <si>
    <t>合身 薄款，身高173，体重73kg，穿着合身，柔软很舒服</t>
  </si>
  <si>
    <t>不错 杯子不错 孩子喜欢 好用</t>
  </si>
  <si>
    <t>值得信赖的亚马逊 品质保证，性价比高，亚马逊值得信赖，客服人员服务到位，购物全程跟踪服务，贴心呵护，愉快的购物。</t>
  </si>
  <si>
    <t>套装划算 价格实惠，质量也很好。</t>
  </si>
  <si>
    <t>喜欢简单 黑白色的表面，纯黑色表带，夏天日常生活防水，洗手不用摘除，方便、简单、实惠。</t>
  </si>
  <si>
    <t>挺好的 还不错，使用起来挺好的</t>
  </si>
  <si>
    <t>吸管味道太大，小孩不愿意用 发货快，九月二十日下单，香港发货，九月二十二日就收到了。但是吸管用的硅胶太劣质了，一股味道，小孩不愿意吃。用过了也没法退货。后来者下单需谨慎。</t>
  </si>
  <si>
    <t>不推荐 弹力不好，往下掉，非常一般，搁置浪费了</t>
  </si>
  <si>
    <t>质量有严重问题，大家慎重选购。 穿戴一周后，皮带表层即现破损，可以说是非常后悔了。</t>
  </si>
  <si>
    <t>线头巨多，有的地方开线了。质量差啊 176身高，M合适。 线头巨多，有的地方开线了。质量差啊</t>
  </si>
  <si>
    <t>不值这个价 物流太慢，拖了好久，不怎么好用。还要配变压器，麻烦。贵了很多</t>
  </si>
  <si>
    <t>包装与工艺 到货包装两边都开了，无语了。刷头还行的，是17年11月生产的</t>
  </si>
  <si>
    <t>我的第一个大耳 其他还好，但是全封闭式如此的夹耳朵，带的稍微久一点，头晕，耳朵疼；我也是醉了。</t>
  </si>
  <si>
    <t>合身 衣服不错，我老公180身高，体重80穿这个码稍微大一点点，不过样子很不错，唯一缺点有点掉毛</t>
  </si>
  <si>
    <t>书写顺滑，价格不错 书写顺滑，价格便宜，就是不使用一段时间后，笔尖会有墨水渗出，弄脏笔握和笔帽</t>
  </si>
  <si>
    <t>算是不错的一款表 快递，虽然是在预订的时间送到的，但是呢，我看着订单跟踪是应该早就到手上的。 图片上的表盘是没有日期的，但是拿到手上之后是有日期的，不过，我还是比较偏爱有日期，算是一个小惊喜吧。 做工不错，表盘比想象的要小了一些，不过确实挺容易刮花的，上手两三天就被挂了一道，杯具、、 总而言之，这个价位来看的话，是一块比较好的手表，希望能多用几年吧。</t>
  </si>
  <si>
    <t>非常满意 买的时候8支装居然是最便宜的，神奇的价格，适用欧乐B电动牙刷</t>
  </si>
  <si>
    <t>标准型稍短 不错，质量很好，密封包装，快递也非常迅速。不足之处是标准版21k的笔身稍微有点短，大手建议直接上大型</t>
  </si>
  <si>
    <t>满意 大小合适，做工不错，常款体恤。</t>
  </si>
  <si>
    <t>很好 180cm 72kg L码的，肩部正好，就是有点长</t>
  </si>
  <si>
    <t>不错的耳机 煲了100个小时，音质还是很不错的，400元的耳机没有对手。</t>
  </si>
  <si>
    <t>产品很好, 符合预期 很喜欢这么小巧灵动的手表, 耐久性还未测试, 希望能够长久使用. 反显不太习惯</t>
  </si>
  <si>
    <t>非常超值的一根钢笔 之前在亚马逊买了根施耐德的BK402，优秀的手感和惨不忍睹的笔杆做工一样令人印象深刻，虽然作为书写工具已经足够了，倒是毕竟是要拿出去用的，有个看的过去的外观也很重要，正好趁着双十一施耐德做活动买了这跟BASE，乍一看，很有凌美范儿，用起来感觉也和朋友的凌美safari差不多，但价格只有凌美的三分之一，如果算上活动优惠，就只有凌美四分之一的价格了…这两年凌美炒的太凶，作为书写工具的性价比已经不高了，而且假货太多。总之，base是一根买得起，外观漂亮，书写手感好，性价比很高的一根钢笔。</t>
  </si>
  <si>
    <t>物美价廉，很满意 相当满意。164，60kg，M码很合适。袖子有点长，毕竟不是欧美人。价格很合适，加运费450不到。满意满意。</t>
  </si>
  <si>
    <t>不错不错 本人173cm，74Kg，穿M（40）码腰围肩宽都刚刚好，很合身，给要买的朋友一个参考。</t>
  </si>
  <si>
    <t>非常成功的一次海外购 大品牌的运动鞋，比国内市场上的那些同类产品不知道要好上多好！我脚长240CM买的是美码5-5.5。大小非常适合。</t>
  </si>
  <si>
    <t>放心海淘 尺寸正好 终于找到适合的尺寸 放心海淘了 174cm 74 kg 买的31w x 30l</t>
  </si>
  <si>
    <t>一般 做工一般，比较普通，和平时穿的码数一样，比不上李维斯的</t>
  </si>
  <si>
    <t>第一次尝试海外购PUMA的休闲鞋，非常喜欢 第一次下单海外购，4.1下单4.11上午拿到的，速度还可以。鞋子质量很好，反绒面料也比国内的软啊，鞋底也是软的，挺满意。我平时都是穿欧码38码的鞋，脚长24cm，对应选择美码7.5cm，337元多购入。</t>
  </si>
  <si>
    <t>质量服务都不错 很满意，穿着舒服</t>
  </si>
  <si>
    <t>味道好孩子喜欢吃 味道很好，孩子也喜欢吃。已经多次购买了。</t>
  </si>
  <si>
    <t>东西性价比不错 质量还不错，就是有些薄估计是夏款的，裤子长度刚好不用再剪裤脚，这个很好第一买了不用剪裤脚的，价钱便宜</t>
  </si>
  <si>
    <t>好看好用 很轻，保温效果非常好</t>
  </si>
  <si>
    <t>价格便宜，包邮 一下买两瓶，国际物流也很快，产品是真品</t>
  </si>
  <si>
    <t>榨汁机 不愧是德国产，真的特别好用，我家是卖水果的，家里的榨汁机，榨橙子的有十多个，什么手动的，电动的，原汁的，但唯独这个天天用，强烈推荐，买了不会后悔</t>
  </si>
  <si>
    <t>不错 170cm，75kg，选的m，很合适，就是螺纹收口袖口太紧了</t>
  </si>
  <si>
    <t>很好 质量好 一层纯棉的卫衣 米白色 百搭</t>
  </si>
  <si>
    <t>好看 鞋子很好看，皮较软。</t>
  </si>
  <si>
    <t>一般般不推荐 一般，差强人意 尺码标准，腰围偏大，我二尺三穿29的大</t>
  </si>
  <si>
    <t>制作很粗糙 不知道真假 因为制作真的很粗糙 而且还很旧，，</t>
  </si>
  <si>
    <t>衣服没吊牌吗？ &lt;div id="video-block-R3OWHW7ZGL244E" class="a-section a-spacing-small a-spacing-top-mini video-block"&gt;&lt;/div&gt;&lt;input type="hidden" name="" value="https://images-cn.ssl-images-amazon.com/images/I/91ufZjoL-DS.mp4" class="video-url"&gt;&lt;input type="hidden" name="" value="https://images-cn.ssl-images-amazon.com/images/I/91EZT62O3LS.png" class="video-slate-img-url"&gt;&amp;nbsp;我175 62kg合身，袖子有点点长，衣服总体不错，就是想问这个是什么动物。我喂桑叶他不吃啊</t>
  </si>
  <si>
    <t>lamy 包装被压坏了，太可恶了，本想要送人作为礼物的</t>
  </si>
  <si>
    <t>不建议购买 商品品质不如美国原装的。刷毛参差不齐，材质是透明的，比原装的软。 这不是第一次海外购产品品质出现问题，如果海外购的品质不能保障，售后物流基本没有，全靠客服解决问题。在中国市场是没有竞争力的。有比打折或者退款更优的解决方案。 建议海外购产品把好产品品质关。建立完善售后物流体系，因为售后物流是服务很重要的一部分。</t>
  </si>
  <si>
    <t>破烂玩意，亚马逊也不管，SanDisk售后也不管 破烂玩意，亚马逊也不管，SanDisk售后也不管，可惜不能发视频，要不给大家看看这个破烂玩意有多烂</t>
  </si>
  <si>
    <t>材质不明 布料很差，穿着不舒服，感觉像温州货</t>
  </si>
  <si>
    <t>款式不太好 尺寸没有问题，就是款式的问题，太板了。</t>
  </si>
  <si>
    <t>码数不好选 码数不太好选，其他还行</t>
  </si>
  <si>
    <t>凑合 塑料的</t>
  </si>
  <si>
    <t>物理给力 日本直邮，速度好快。机器非常不错，只不过开净化模式的时候有些缝隙漏水</t>
  </si>
  <si>
    <t>竟然码小了 要说好到哪里去是不可能的，价格摆在那里。但质量也对得起价格，所以给四星，如果单看质量不值四星。买之前看评论普遍说码大，于是买了两条s码的，结果瘦了，只能呵呵。更夸张的是，两条竟然相同码数大小不同，蓝的勉强能穿，黑色的只能天暖和了当单裤穿了。</t>
  </si>
  <si>
    <t>满意的海淘 非常舒适，质量非常的好</t>
  </si>
  <si>
    <t>千元以内很好选择 装修囤货，到手888元，没运费。包装很好。东西超棒，性价比很高</t>
  </si>
  <si>
    <t>声音 306从声音上来说中低频不错高频差一点点。在这个价位上非常值得购买。音箱电源线是美规插头可以买转换头。音源线可以买3.5转双卡农线可以的话买长一点网上很便宜几十块的就行</t>
  </si>
  <si>
    <t>不知道效果怎么样 保健用</t>
  </si>
  <si>
    <t>价格便宜质量好 173cm95kg买L的大小合适，袖子稍微有点长。快递神速。</t>
  </si>
  <si>
    <t>黑衬衫很完美。 lee的此款衬衫真是经典款。风靡世界几十年，经久不衰，版型很正，府绸面料舒适耐操。适合工作和出席正式场合或者当晚礼服穿。</t>
  </si>
  <si>
    <t>买大了 看别人的评论才看到有积分兑现活动 感觉错过了一个亿 买太多了一一评论不过来干脆复制这段话好了</t>
  </si>
  <si>
    <t>不错的鞋子 穿着很舒服，除了鞋舌上没有任何商标，低调。</t>
  </si>
  <si>
    <t>操作方便，家用足够。 好用，家用足够，操作简单方便，自动关机。 自带胶囊，一起买了Jacob胶囊，都可以用在本机上，不怕淡的可以多出几杯。我都是第一杯出大杯，加一点鲜奶，很好。然后再出一大杯，咖啡就淡了，当水喝。</t>
  </si>
  <si>
    <t>很合身 试穿了，看美亚评论说偏小，一直很担心，但试穿后觉得很合身，里面穿一件T恤感觉正好，不大也不小，本人160，55kg，只是有点长。</t>
  </si>
  <si>
    <t>还可以，囤货中 德亚海外购，实际是西班牙发的DHL，速度非常快四天到手。包装和龙头上看不出产地。喷头花洒模式开关是按不下去，要手长按住的，喷头自动收回没有磁吸是靠重力，下面挂一个配重块的。整体这个价格还可以了。</t>
  </si>
  <si>
    <t>着实物有所值！赞 光能驱动的，无需更换电池。戴在手上蓝色很漂亮大气，夜光指针。千把元的也不过如此。表带稍显宽算一不足。</t>
  </si>
  <si>
    <t>Casio Edifice 男式手表 EFV-540DC-1AVUEF 喜欢！</t>
  </si>
  <si>
    <t>很好很快 买很多次了。一如既往地好。</t>
  </si>
  <si>
    <t>性能，质量不错。 很满意的一次购物，物品完好，运行稳定，物流较迅速，比预计提前几天。</t>
  </si>
  <si>
    <t>性价比可以 身高158，体重92斤，m码大了</t>
  </si>
  <si>
    <t>令人满意的牙刷 软毛和细毛都名不虚传，质量非常好，令人满意，愿意再购买</t>
  </si>
  <si>
    <t>宝宝喜欢 还不错，宝宝还算喜欢。品质不错！信赖海淘亚马逊</t>
  </si>
  <si>
    <t>半入耳式耳机 产品真的不错，使用方便，蓝牙稳定。在亚马逊购买价格比国内其它网站要优惠很多。</t>
  </si>
  <si>
    <t>不错 平时穿36码的鞋，这双买的4.5m偏大了，应该买小一码比较合适。还有鞋子比想象中软一些。</t>
  </si>
  <si>
    <t>好 没看清，应该买个女士的，我爸拿去用了</t>
  </si>
  <si>
    <t>一般 味道很大啊！是不是环保材质啊？不敢给宝宝咬！</t>
  </si>
  <si>
    <t>还行 确实有弹性面料要舒服些，总体满意。缺点是裤裆短了些，有点低腰，裤腿肥了些，可能外国人腿粗吧。</t>
  </si>
  <si>
    <t>还没用 这个快递也太简单了，剃须刀没有任何东西包着，就放一个盒里，感觉相比，国内的包装安全点，</t>
  </si>
  <si>
    <t>太大了，太大了。 太大了，一米八，190斤，买大了一码。</t>
  </si>
  <si>
    <t>颜色差距 到手后颜色与照片不符？差距较大。</t>
  </si>
  <si>
    <t>有点大，质感也很一般 有点大，比国内的型号大一码，做工质感也很一般，感觉不怎么值，退货麻烦，丢在家压仓</t>
  </si>
  <si>
    <t>花贵钱，图安全 运费太贵了，东西一般，就图个安全</t>
  </si>
  <si>
    <t>好 颜值ok，下面的硅胶套很容易掉，保温效果很好，管子是普通直管，躺着喝会自己流出来，小宝宝，建议买直筒没提手的那款</t>
  </si>
  <si>
    <t>购物感觉 板型合适，布料比较舒服，适合微胖人穿着。制作工艺略显粗糙，不过还能接受，查看了原产地，来自墨西哥。 整体来说，这是一次不错的购物经历！</t>
  </si>
  <si>
    <t>水箱小 效果不错 但水箱太小 大概就15秒的水量 下次搞个大水箱的</t>
  </si>
  <si>
    <t>满意的切尔西靴 鞋型比较瘦，但是因为皮质很软，所以前脚掌宽的人也完全不会觉得紧，穿了两天非常舒适，平常是39码，这个6码前面还有一些余地，挺满意，就是显得脚好长</t>
  </si>
  <si>
    <t>性价比很高 很不错，跟官网比起来性价比很高</t>
  </si>
  <si>
    <t>轻软舒适，物有所值 很轻很软，柔软舒适</t>
  </si>
  <si>
    <t>好 很不错，用着舒服，包装严实</t>
  </si>
  <si>
    <t>好用，安全。 一直用这款产品，安全放心。</t>
  </si>
  <si>
    <t>不够舒服 感觉还是李维斯的舒服</t>
  </si>
  <si>
    <t>运动短裤 到的挺快的，地址不小心写错了也收到了，谢谢百世快递。运动短裤是棉的，口袋挺大没有偷工减料。 这里买服饰类的尺寸不太好掌握。</t>
  </si>
  <si>
    <t>很不错的刷头 之前用的原装刷头坏了噪音很大，这个刷头完美适配，装上就可以用，性价比也高，五星好评！</t>
  </si>
  <si>
    <t>超值 包装很用心，打开箱子，里面还有一个蓝色的礼品袋套在商品原箱外面，感觉想收到一个圣诞礼物。水槽完好无损，赞。</t>
  </si>
  <si>
    <t>不错，挺好的 目前用起来感觉不错，用来备份照片</t>
  </si>
  <si>
    <t>音质一流 只是我的电脑电源没接地（工厂的电工偷工减料），现在换上创新X7还是好明显的电源声。看来要等换个环境才能体现纯净的声音了。</t>
  </si>
  <si>
    <t>喜欢 平时穿鞋38码略小39码又大，不太好买鞋。脚属于宽肥。这款鞋子穿38，感觉略略一点小。但是可以穿。估计穿几次后会大一点了。所以还好买了38，估计39码会觉得大。鞋型挺好看的，也舒服。</t>
  </si>
  <si>
    <t>如何保修还是一个风险 用着还行，就是海外购的保修还是困难。</t>
  </si>
  <si>
    <t>shoes 非常喜欢，种草了很长时间，笔芯</t>
  </si>
  <si>
    <t>入了马丁靴的坑 4/9下单 4/17发货 4/23到手 DHL快递很给力 鞋子大小真合适 平时36.5和37都能穿 这双鞋穿着不挤脚 不过穿脱稍微有点费力 不过有点怀疑鞋面是不是皮的 摸起来太光滑了点 也没有皮革味……</t>
  </si>
  <si>
    <t>非常好 质量好，发货快，值得推荐</t>
  </si>
  <si>
    <t>满意的购物 尺码准确，价钱合适，物流比预想的快</t>
  </si>
  <si>
    <t>值得囤货 哇，好给力的一次购物经历，很优惠，质量没得说，多囤了两个</t>
  </si>
  <si>
    <t>小巧 轻便 小巧 轻便 而且很保温，放在包包里面随身带。</t>
  </si>
  <si>
    <t>完美 超值 非常好 比国内便宜很多 660到手 百搭 效果很好</t>
  </si>
  <si>
    <t>物有所值， 好鞋，做工精良，质量上乘，没有失望。。。</t>
  </si>
  <si>
    <t>很喜欢，希望质量可以保证 经过三个月的漫长等待，终于收到了。东西很好。配件很全。超值。我准备买亚马逊prime会员了。   亚马逊的服务超棒</t>
  </si>
  <si>
    <t>有划痕 一道长长的划痕，心塞</t>
  </si>
  <si>
    <t>衣服尺寸偏大，质量还行。 同事叫帮忙买的，衣服尺寸比正常尺码要偏大一些，可能是外国人的身形不一样，没办法，退不了只好让他当睡衣穿，哈哈哈</t>
  </si>
  <si>
    <t>一般 我身高177，体重73，买的s码，有些偏小。衬衣料子手感一般，看起来比较低端，做工也不行，有很多线头和脱线的地方，总之一分价钱一分货。</t>
  </si>
  <si>
    <t>退货 拿到手，玻璃全碎了</t>
  </si>
  <si>
    <t>假货！ 假的！跟我在专卖店买的差太多，很挤脚。现在根本不穿了！</t>
  </si>
  <si>
    <t>还不错，正在煲，不堵耳 拿回来音质还行，木耳的我也听不出来，塞也没换正合适，隔音效果很好，就是线太细了，还长，正在煲鸡中，稍稍好多了</t>
  </si>
  <si>
    <t>有点粗糙 皮带是西裤裤带的宽度，比较粗糙，但是头层牛皮。</t>
  </si>
  <si>
    <t>颜色和预想的不一致！ 和图片中的颜色不一致，要深了不少，本以为是近米白色，可是收到后发现是深卡其了，之前已经有好几条这样颜色的裤子了。</t>
  </si>
  <si>
    <t>鞋头略窄 各种评论对码数的意见分歧不小，我平时一直穿其乐，就长度来说正常，只是鞋头略窄，有些夹脚，如果自觉脚宽的，建议去商场试试或买大半码。</t>
  </si>
  <si>
    <t>黑五真黑 黑五打折购买，可能折扣力度太大，迟迟不发货，到3个月后收到。 牙刷不错，家庭用很合适。</t>
  </si>
  <si>
    <t>不错 不错，特价买的，背带也是这个牌子的，相信这个牌子，相信亚马逊</t>
  </si>
  <si>
    <t>白色冠军卫衣 白色的卫衣，还是不错的，喜欢</t>
  </si>
  <si>
    <t>此款是我近年难得一见的高性价比牛仔裤…… 真不错!非常适合我经常周旋于办公室和走市场的需求，裤款式经典（朴实、大方）舒适，更佳是材质具有非常优异的弹性，让我的双腿尽可能舒展，并能保持非常棒的下身身形（特别是瘦身效果优异），为此我连续下单采购，真是不可多得好裤子!!</t>
  </si>
  <si>
    <t>太Q了 还可以吧，比国内便宜，</t>
  </si>
  <si>
    <t>希望一直能包邮 终于等到包邮了，家里水质不好，必备品</t>
  </si>
  <si>
    <t>朝日的鞋子好穿 平时皮鞋38，运动鞋39，这个买的24.5稍大，应该24就可以了，按照皮鞋买。穿起来比匡威舒服，朝日的鞋子小孩子穿了好几双了，好穿，匡威比较容易开胶，朝日穿到破都不会开胶，性价比又高</t>
  </si>
  <si>
    <t>很合适 本人身高170cm，体重90kg，穿34*30非常合身。裤子是纯棉的，非常舒服</t>
  </si>
  <si>
    <t>好用 不错，吸水性强！夜用的很长。</t>
  </si>
  <si>
    <t>非常不错 沉稳大气，脚感舒适，440超低价入手，44码正合脚😎😎</t>
  </si>
  <si>
    <t>尺码合适 超级喜欢，尺码合适，从英国仓发货一周就到手，赞！</t>
  </si>
  <si>
    <t>還不錯 挺好的，看起來很舒服</t>
  </si>
  <si>
    <t>👌 读取写入速度很快，要用相机拍延时，原来的16G不够</t>
  </si>
  <si>
    <t>经典 第一耳就不会失望，没有感觉评论的那么冷，三段均衡，2千元级的经典之一，250欧的也可以直推</t>
  </si>
  <si>
    <t>物有所值 全新品，检测无坏道，快递也没有超时，实际可用7.27T，就目前看来，这是一次令人满意的购物体验。 使用时的声音好大，感觉好烦……</t>
  </si>
  <si>
    <t>不错 产品不错，还自带了削笔器</t>
  </si>
  <si>
    <t>效果不错，活动买很实惠 机子一直用的洗碗块，时间久了会有一点油脂清理不干净的味道，借活动买的，比较实惠，效果很不错。</t>
  </si>
  <si>
    <t>实用 很好用，宝宝喝汤喝粥都特别方便，可以自己拿着喝。</t>
  </si>
  <si>
    <t>很实用 第二次购买，很实用，开车比较方便</t>
  </si>
  <si>
    <t>的确不错 这表的确很不错，平面的镜片不容易划伤，很清晰，表盘很简约。做工很好，性价比高。 缺点：秒针好像总不太能对准数字，跳在数字之间，看着比较郁闷。</t>
  </si>
  <si>
    <t>非常好用 冲完感觉整个口腔都很舒服，就是舌头有些麻麻的，我一般刷完牙再冲洗，可能是刷牙比较彻底，每次冲出来的食物残渣不多~</t>
  </si>
  <si>
    <t>真的不错，适合产后 真的不错，特别适合产后，腹部感觉压力，大腿臀部都无压力不卷边。至于效果还需要坚持才知道</t>
  </si>
  <si>
    <t>刚上脚略挤，穿半天就好了 我有点拇指外翻，所以脚稍微有点宽。刚上脚侧面有点挤脚，但是穿了半天不到就松了，后续穿着很舒服！满意！</t>
  </si>
  <si>
    <t>没有想象中的那么好看 表盘太小，实际看起来没图片大</t>
  </si>
  <si>
    <t>有点鸡肋 挺鸡肋的，还不如满趣健。</t>
  </si>
  <si>
    <t>尺码比较准确 给三星的原因，是因为一共下单买了三件，分了两个包裹发，其中单件发来的衣服款式版型和商品描述中的完全不一致，吊牌锁在纽扣上，和原产的固定位置方式都不一样，颜色也和图片有明显不一致。本来光凭这些就只能给一星的，但是另外两件还是款式颜色一致，海外购退换货比较烦，亚马逊购物这么久，这还是第一次遇到。</t>
  </si>
  <si>
    <t>假货 好像是假的！！！</t>
  </si>
  <si>
    <t>彪马首次购买 产品还可以，算不上特别好。鞋码小了一些</t>
  </si>
  <si>
    <t>很怀疑是不是真的 买了两组，到货后看到是日本发来就没有仔细看，准备拿来用才发现包装和网页图片不符，与之前日亚自营买到的不一样，不知道是不是正品。这次包装标注限定版，外包装颜色较重，字迹有模糊感，卫生巾单片包装纸上没有乐而雅的英文字样，封口小蓝条wing字日亚自营为白色，海外购是透明的，日亚自营包装纸与卫生巾紧密贴合、有压痕，海外购的整体感觉就比较粗糙、不工整，且打开后卫生巾的白色光泽感比日亚自营的重。本来想退货的，结果客服说运费要自己承担。以后不会在海外购买了，也提醒下其他卖家慎重，尽量还是日亚自营吧。</t>
  </si>
  <si>
    <t>没有生产地，怎么回事啊 买了三瓶，瓶身上的标签歪歪扭扭的，其中有一瓶没有生产地，无语了，希望亚马逊给个说法。</t>
  </si>
  <si>
    <t>外观还行质量看起来也不错 6天就到手了比预计快很多还是日本寄来的搞不懂！新品里面应该是树脂涂层气味很大有点担心。保温效果是很好！</t>
  </si>
  <si>
    <t>东西不错 东西不错，不过宝宝不是很爱吸，可能还不习惯。</t>
  </si>
  <si>
    <t>经典款 很不错哎，去年黑五买的貌似。税有点让我无语，其他倒还好。</t>
  </si>
  <si>
    <t>还行 180，75，做工比我另外两件好。</t>
  </si>
  <si>
    <t>推荐 非常舒适，穿过这种文胸后其他的文胸都不想穿了</t>
  </si>
  <si>
    <t>号码偏小 鞋不错，号码偏小，一般穿42的，亚瑟士42.5，这鞋43的刚刚好，天猫旗舰店给的建议是44的</t>
  </si>
  <si>
    <t>完美 37的脚买的 4F UK，刚刚好。寄回来的时候包装完好，鞋子也完好。很满意的一次购物。</t>
  </si>
  <si>
    <t>质量很棒！ 非常满意的一次网购：质量很棒，面料很舒服，吸汗快干，适合户外工作活动。170cm，63kg，选择M，很合身。</t>
  </si>
  <si>
    <t>不错的衬衫 东西不错 就是我穿小了 我买的s码 仅试穿 想在闲鱼转出 需要的私聊</t>
  </si>
  <si>
    <t>质量不错，是正品 欧码的，买大了，送朋友了。海外购退货伤不起</t>
  </si>
  <si>
    <t>值 宽松一点点，好穿的美式工装裤</t>
  </si>
  <si>
    <t>颜色比图上深 这个有一些色差，实际是深色一点的，饱和度是高一些的，没有图上好看，但还可以。这一款的漆有点像我以前买的膳魔师的漆，要小心使用，相对容易掉漆，天气热的时候尤其要小心，不然很容易刮花， 甚至可以一片一片地撕出来~</t>
  </si>
  <si>
    <t>森海塞尔 e945 灵敏度高，声音清澈。</t>
  </si>
  <si>
    <t>超级合适 超级合适 增加了孩子刷牙的乐趣和积极性</t>
  </si>
  <si>
    <t>塑料材质安全吗？容不容易损坏 家里已经有了kitchenaid厨师机包括很多配件，也有破壁机，但是使用起来还是不够灵巧，有时候想做一个人的量时，总觉得兴师动众的！本想买个手持搅拌棒无意中发现这个，太好用了，噪音小，很全能，使用了和面，搅肉，榨汁都很好，方便！平时立着放在那里就好！不碍事！很顺手！</t>
  </si>
  <si>
    <t>非常mini，配送很快。 不到一周配送，速度很快，盒子很大，药片小到难以想象，4盒放到一盒，还不够一般，吃起来方便，哈哈。</t>
  </si>
  <si>
    <t>做工还行 尺码肥大，留着冬天套厚衣服穿，做工还行！</t>
  </si>
  <si>
    <t>挺好用的 需要用转换插头。不过如果家里面有那种孔很大的三插孔插座的话是可以直接用的。因为功率大，吹干的速度还比较快。不过我头发少，可能不太有参考价值。柔顺这块不知道是不是心理作用，我觉得是有的。</t>
  </si>
  <si>
    <t>物有所值的耳机 开声就很不错，基本上不用煲，佩戴也挺舒服的，耳朵不会疼。声音还不错吧，这个价位算是物有所值了，用手机效果差一些，用播放器会好很多。就是看上去很脆弱，希望能长命、耐用吧。</t>
  </si>
  <si>
    <t>喜欢 价格好便宜，买的M宽松些，舒适透气</t>
  </si>
  <si>
    <t>很舒服 内里标签是真的很长 很想拆掉</t>
  </si>
  <si>
    <t>性价比很高 已经使用了3-4次了。 1、包装完好。2、使用非常简单， 清洗也很方便。 3、完全可以DIY 理发， 省钱了。综上， 非常成功的一次购买。</t>
  </si>
  <si>
    <t>wow! 赞爆!!是为男票准备的新年礼物 已经迫不及待的想要送给他喇(๑•̀ㅂ•́)و❤️</t>
  </si>
  <si>
    <t>不错 买来运动穿的，料子非常舒服，很合适的裤子</t>
  </si>
  <si>
    <t>u盘速度快 比正常u盘 提升1.5倍速度 今天刚到 要比预期早 超级满意了 比京东便宜两百块</t>
  </si>
  <si>
    <t>囤货 囤货，这个牌子鞋都不错</t>
  </si>
  <si>
    <t>有过敏可能 建议先在专柜试用 专柜买的十全大补面膜用着挺好，但这瓶眼霜用了两次之后眼睛严重过敏，眼周发红之后又脱了层皮…第一次对护肤品过敏，不过也是第一次用这瓶眼霜，所以不知道是不是真货。</t>
  </si>
  <si>
    <t>不满意 39的脚穿着合适 但是鞋子质量明显不如之前买的同款记忆垫的 很硬 还有一股臭胶味 有溢胶的估计穿不久</t>
  </si>
  <si>
    <t>还可以 秒杀到的，第一次寄过来有一支断芯了，第二次寄过来的还行，比国产的牌子略好</t>
  </si>
  <si>
    <t>膳魔师的东西自然很好，可惜又是买完就促销。 东西很好给五星，毕竟买了n次膳魔师了 但是刚买完还在运送中就八折促销 心好痛，感觉损失一个亿 已经不是第一次遇到这种情况了 多来几次实在是不爽啊 而且中国亚马逊没有价保系统。</t>
  </si>
  <si>
    <t>补维D是一辈子的事情 从香港发的货，真假未可知。 现在亚马逊cn的东西变贵了不少，买的东西金额大考虑直接海淘转运比较划算。</t>
  </si>
  <si>
    <t>质量有问题 杯身发热不保温，还不如在商店买</t>
  </si>
  <si>
    <t>鞋子版型太瘦太瘦 长短合适，太紧了太夹脚</t>
  </si>
  <si>
    <t>囤货 还是无法判断真假，奶瓶倒没什么味道，但是奶嘴要比实体母婴店的奶嘴硬，母婴店的奶嘴很软很舒服，囤货中，希望以后宝宝好用</t>
  </si>
  <si>
    <t>为安德玛加油 连续播放的话15小时左右吧，蓝牙耳机就是听个响吧音质啥的都差不太多，最看重的是Ip4防水和国内质保一年。20191月28收获，1040购入</t>
  </si>
  <si>
    <t>中亚没有向消费者提供真实报税情况 我想知道我此单真实的报税信息(比如实际扣税多少），本单按照预估直接扣了150多税金，但是我的朋友购买一模一样用美亚实际扣税只有70，而中国亚马逊prime未能向我提供真实的报税信息，商品货物内没见有任何单据</t>
  </si>
  <si>
    <t>可以 尺寸小了点</t>
  </si>
  <si>
    <t>还行，有瑕疵 平时买踢不烂是11号，看别人的评论买10.5，还是稍微有点大，好在冬天穿厚袜子，还能接受。2E的型确实肥，建议脚掌不是特别肥的朋友还是买M的吧，另外，鞋底圏有断裂，虽说不影响穿着，但这就是便宜的原因，一等品和合格品的区别，另外实物与图有色差，图片有些红，实物深棕。</t>
  </si>
  <si>
    <t>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</si>
  <si>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合适 中国43.5码的脚适合穿，柔软，轻质，质量很好</t>
  </si>
  <si>
    <t>看到有3.5码的就买了，平时穿36的鞋，这个刚好，只能穿薄袜子 鞋是窄瘦型的，码正但是只能穿薄袜子了，如果是宽胖脚还需慎重购买。</t>
  </si>
  <si>
    <t>还可以 买的号码有点小了，有些夹脚</t>
  </si>
  <si>
    <t>亚马逊服务很好，解决问题很快！ 亚马逊服务很好，鞋子质量也不错！！！希望一直保持下去！把淘宝干掉！！！！</t>
  </si>
  <si>
    <t>喜欢 很好，时候喜欢清淡的，大小在房间刚好</t>
  </si>
  <si>
    <t>造型好看 相比美亚英亚德亚直接商品包装就发过来，不得不说日亚的包装确实用心，到手没一点磕碰，很棒。</t>
  </si>
  <si>
    <t>舒适 软皮，舒服。之前买过一双ecco小白鞋，很舒服。第二次购买。</t>
  </si>
  <si>
    <t>很满意 很精致。日本的瓷器不错。就是碗上的图案不是很鲜艳。</t>
  </si>
  <si>
    <t>挺好的 还是可以的，就是感觉贵了点</t>
  </si>
  <si>
    <t>Lee 性价比还行，纯棉布，总体还行</t>
  </si>
  <si>
    <t>真香 当年就是在中亚海外购入的183的5600，这次又没忍住入了5610，这价格真的很香了。感觉5610比当年的5600还要轻薄一点，反显确实在光线不足的时候可读性差点，不过有抬腕亮屏功能也还好。做工上感觉不如以前国产的时候，细节比较锋利毛糙，当然，不到500的光电小方块只能说真香。</t>
  </si>
  <si>
    <t>可以可以 如楼上所言此款净水器配有好几个不同口径的转换接口，安装后虑出的水至少没得氯味和异味，烧好的白开水也爽口多了，只是当时该买过滤15种物质那款，因为还是有水垢，总体还是很不错，推荐使用，从11月25日那天安装用到现在还有一格在闪烁，基本上每天虑6.7升水来用，估计还能再用几天换滤芯</t>
  </si>
  <si>
    <t>好 买了两个给宝宝喝奶用，质量不错，没有味道，方便清洗，不漏水</t>
  </si>
  <si>
    <t>价格实惠 活动价格非常实惠，一直用这个，很满意！</t>
  </si>
  <si>
    <t>不太透气其他都好 样式是没得说的，就是好密封啊有点不透气，冬天穿可以其他季节的话就是过热</t>
  </si>
  <si>
    <t>good 很好！全新nice! very good!</t>
  </si>
  <si>
    <t>美貌的保温杯 很喜欢  超级小巧可爱  宝宝也喜欢</t>
  </si>
  <si>
    <t>很舒服 以后认定这个牌子了，很舒服，穿上身也很美，虽然没圈，也不会走型</t>
  </si>
  <si>
    <t>大得超乎想象 5磅太多了，得吃一个季度吧，经常开盖会坏吧。</t>
  </si>
  <si>
    <t>性价比高 质量好，尺码也很合适，穿上也好看</t>
  </si>
  <si>
    <t>舒服 材料有弹性，如果你偏瘦，可以买小一码。</t>
  </si>
  <si>
    <t>完全不符！ 收到的裤子和图片的颜色，裤型都不一样，想着海外购退着麻烦，就这样吧！不愉快的一次购物！</t>
  </si>
  <si>
    <t>自己二次加工 码数大，袖子自己剪了，当短袖</t>
  </si>
  <si>
    <t>边角破损严重，里面的说明书都磨破了 压面机还没用，目前看上去还可以，就是包装太差了，连个泡沫垫都没有，边角破损严重，里面的说明书都磨破了，希望加强打包运输的质量。</t>
  </si>
  <si>
    <t>用了1年不到，主音箱接触不良。 1.用了1年不到，主音箱接触不良。 2.低频天生不足，容易糊。 3.个人认为此款不是纯粹的监听音箱，去掉音量调节差不多了</t>
  </si>
  <si>
    <t>差 太差了，洗了后在家穿穿吧</t>
  </si>
  <si>
    <t>彩铅开裂 笔开裂了，这种质量很不满意</t>
  </si>
  <si>
    <t>价钱合适的时候还是值得购入 美版还是比较偏大，而且布料材质和日版相比也较为粗糙。不过特价的时候还是值得购入一件的。毕竟保真。</t>
  </si>
  <si>
    <t>还没用呢，不过看着还行。 还没用呢，不过看着还行。</t>
  </si>
  <si>
    <t>总体还可以 表带舒适度一般，字体显示的很暗。电波光能很炫。</t>
  </si>
  <si>
    <t>厨师机配件 2016年11月27号下的单，到现在还没拆封，看到有人评价配件问题，我也好担心。因为新房子还没装修好，目前也没打算用，也过了7天退货日了，希望我的运气好，配件是没问题的</t>
  </si>
  <si>
    <t>号码偏大 我160，53kg，根本穿不了M，看样子以后得买小号的</t>
  </si>
  <si>
    <t>很好很舒服 很好很舒服，已经买过很多次了</t>
  </si>
  <si>
    <t>很棒，不错！ 只要你勤快使用就能看到效果，使用后毛发生长缓慢，毛发也变软很多</t>
  </si>
  <si>
    <t>好极啦 秒杀的，好极啦，和孩子一起学习铅笔画。</t>
  </si>
  <si>
    <t>脚背厚的人要慎重选择，会压脚 速度比计划的还早了一点点，整体很满意，码数标准，只是建议脚背较高的人最好不要买，很容易压脚背，其他都很好，脚感柔软，穿上就有一种沉稳安全的感觉，比专业的那些户外鞋舒服很多，防水性能还没试过，下次出去玩试一下</t>
  </si>
  <si>
    <t>不耐穿 不知道真假啊？穿了没多就有点磨破了，可能我的脚有问题😂以前从不去评价，不知道浪费了多少积分，现在知道积分可以换钱，就要好好评价了，后来我就把这段话复制走了，既能赚积分，还省事，走到哪复制到哪，直接发出就可以了，推荐给大家！</t>
  </si>
  <si>
    <t>非常舒服的裤子 小腿比较粗，很难买到合适的裤子，这款版型宽松，穿上感觉很舒服，看上去也大气，满意！</t>
  </si>
  <si>
    <t>速度还行 U盘速度还行，在usb3.0接口下，写入一个2g视频文件，能保持在170m/s左右，读出速度也在370/s左右。</t>
  </si>
  <si>
    <t>奶瓶 很好的一款奶瓶！宝宝很喜欢</t>
  </si>
  <si>
    <t>促销 多来点促销</t>
  </si>
  <si>
    <t>算是厚的，面料真心舒服 比较厚的，面料很舒服</t>
  </si>
  <si>
    <t>品质保证 一如既往的好，价格不错</t>
  </si>
  <si>
    <t>非常好 非常好，完全不粘，材质放心。 另外，包装单薄，只有一个纸盒。一次买两个锅的朋友最好分开购买。 希望亚马逊能提供分箱、合箱、加固包装的服务，收费也可以啊。毕竟美帝20块的锅我们买要300块。</t>
  </si>
  <si>
    <t>款式好，质量不错。 确实不是厚的，但在南方可以穿很久。款式很好看。身高176中等瘦S，几乎是刚刚好的恰如其分。质量还行。</t>
  </si>
  <si>
    <t>花洒质量很好 做工精细，包装很好，虽然还没有使用，但是感觉棒棒哒</t>
  </si>
  <si>
    <t>整体还是不错的 个头比较大，英标插头需要加个转换插头</t>
  </si>
  <si>
    <t>喜欢郡是款 买好几条了～颜色都非常漂亮~</t>
  </si>
  <si>
    <t>很不错 感觉很不错，戴了将近半年了，这次评论是看了卓越的提醒才弄得。适合学生一族带。感觉要是参加工作了，如果是时尚型的工作换凑合，其他的还是换成金属的好一点。走时很准。缺点就是，表壳是塑料的，盖子还是注意点吧，虽然不容易花，但是不注意的话，还是会划的。指针确实对的不太准，但是应该没问题。</t>
  </si>
  <si>
    <t>合适 摸索到适合孩子的尺寸，喜欢</t>
  </si>
  <si>
    <t>符合我口味 哈哈哈，大小适中。看起来很合适。很满意。</t>
  </si>
  <si>
    <t>人到中年该关爱关节了 240买2瓶，这价超级实惠了，prime会员还是值得拥有</t>
  </si>
  <si>
    <t>东西不够完美不开心 知道出厂时要蘸墨试写，可是就这样留着这么大一块墨斑也太不严谨了。另外笔虽然没什么瑕疵，但附带的上墨器端口有裂痕，担心使用时会漏墨，真是糟心。趁着黑五低价入手，果真便宜没好货吗？犹豫要不要退货</t>
  </si>
  <si>
    <t>质量一般 大小比较合适，但是质量一般，总体较薄，领口也不是很结实，洗了一次就开始变形了，相比boss家的v领汗衫差距不小</t>
  </si>
  <si>
    <t>没有立体声 没有立体声</t>
  </si>
  <si>
    <t>退货 开胶，很大的裂口</t>
  </si>
  <si>
    <t>派克完了 做工太差！</t>
  </si>
  <si>
    <t>差评 一大一小买了两个，中部壶嘴经常莫名掉落，使用非常不方便！！以前在日本买的象印杯子用了5年没有任何问题！这次在亚马逊的购买体验太令人失望！</t>
  </si>
  <si>
    <t>鞋垫硬滑，鞋子宽 鞋垫太硬了，败笔。鞋子有些薄，鞋子比较宽都可以接受，鞋垫又硬又滑，减少了摩擦力脚容易乱窜，脚底板与鞋垫接触面积小增大了压强。很不舒服@@@@；</t>
  </si>
  <si>
    <t>品质一般的皮带 用了没多久，皮层就有脱落的的，不是太好</t>
  </si>
  <si>
    <t>腰围太肥大 偏大，尤其腰围太肥大了。</t>
  </si>
  <si>
    <t>要配合专用的牙膏呀 第一次使用时不适应有些后悔买了，后面为了我的8个刷头坚持下来也适应了。开始配的marvis牙膏，觉得一般般，后面用的Regenerate才感觉出来不一样。话说这款哪里有停顿30秒换区功能啊？</t>
  </si>
  <si>
    <t>很好啊 很好，可能尺寸有点大。</t>
  </si>
  <si>
    <t>英文专用 手感很好，适用于英文书写，包装精美。</t>
  </si>
  <si>
    <t>这个码不偏小 穿着很舒服 我平常穿37或者37.5 脚长235 看评论说这个鞋子有点小 就买了38码 美码的6码 回来之后发现有点大 我的脚属于不瘦不胖的 可能买5.5的会更合适些</t>
  </si>
  <si>
    <t>挺好的 除了有点重之外，其他的都挺好的</t>
  </si>
  <si>
    <t>物美价廉 外观好看，夜光效果好，功能也不错，刚拿到的时候调了好久才调好了，不过还是觉得真不错</t>
  </si>
  <si>
    <t>这个太值了 好多个刷头，能用不少时间，真棒</t>
  </si>
  <si>
    <t>偏大 略微偏大，除了物流不给力，其余基本都还行。</t>
  </si>
  <si>
    <t>很舒适 这个牌子不错，很舒适，也贴身，肩带不容易掉</t>
  </si>
  <si>
    <t>男朋友很喜欢 在奥特莱斯试过，1599减200，在亚马逊看到只要500多还是应该直邮，加上税也才600出头，很划算啊！！！果断下手，一模一样是正品，特别好看，百搭！</t>
  </si>
  <si>
    <t>东西很好 转保很方便，已拆放改造过的蜗牛当NAS盘了，静音，很不错</t>
  </si>
  <si>
    <t>you shuang haoxie 不错的鞋子，good!穿着舒服大小合适，价格公道，值得购买！V</t>
  </si>
  <si>
    <t>合适 满意，比预计到的快，平时穿38，买的6.5合适</t>
  </si>
  <si>
    <t>好看的 喜欢呀，压脚背在预料之中了，硬的，不磨脚后跟就好</t>
  </si>
  <si>
    <t>好评 不错</t>
  </si>
  <si>
    <t>纯色 胸标 很喜欢这种纯色的打底衫，这个面料要比李维斯的纯色打底舒服，面料微弹，薄、透气。码数偏大，比平时穿的选小一码正好，买这种三件装的也很划算</t>
  </si>
  <si>
    <t>开心 Real开心 亚马逊就是我的黑五海淘快乐源泉！ 炒鸡便宜！ 踢不烂到手都不到600！</t>
  </si>
  <si>
    <t>挺好 非常好，价位合适，大小合适，我175/70，穿31/30L刚好，跟描述一样，合身，物流也不错。唯一需要注意的，是比较厚，不适合广东春夏穿。推荐。</t>
  </si>
  <si>
    <t>没有包装 图上什么样就什么样寄来了，真是服了。</t>
  </si>
  <si>
    <t>尺码参考 m号，男，175，80kg，胸围105，臂围38，肩宽记不得了，穿着刚刚好，举起双手不会露腰，三天就到了，价格给力。</t>
  </si>
  <si>
    <t>比较合身 本人184CM，88KG，买的日版的XL大小，比较修身，大小也合适</t>
  </si>
  <si>
    <t>好好好 很好啊，怕买到假的，所以来这里买，给宝宝买的，</t>
  </si>
  <si>
    <t>锅 太重了，牛扒容易粘住，不如不粘锅好用</t>
  </si>
  <si>
    <t>欧码的尺吋不是一般的大 太大了，囧，不包臀...不好穿，只穿过一次</t>
  </si>
  <si>
    <t>中国制造，后来者看清楚，不要买 没看评论就买了，果然是中国制造，就连包装不换一个，我劝给为不要买，我也是之前挺相信亚马逊的没想到也是垃圾，这不是欺负中国人吗？还是怎么样？尼玛，怒不可遏啊！</t>
  </si>
  <si>
    <t>包太小 这包哪有4L,这都不说，薄的很，质感凑合，可是没型，比起始祖鸟4L的差几条街，猛犸象这个品牌在我心里一落千丈</t>
  </si>
  <si>
    <t>性价比高，袖长比国内大不止一点 质量没的说！确实性价比挺高的！不足之处就是太大了最小码都大</t>
  </si>
  <si>
    <t>包装完好 产品没问题</t>
  </si>
  <si>
    <t>鞋子用料很棒 东西质量没得说，感觉有点买大了，鞋子属于不软不硬的皮子。垫个棉鞋垫不知道行不行。</t>
  </si>
  <si>
    <t>腰略大 165高 56kg。。腿长合适，腰大了一点点</t>
  </si>
  <si>
    <t>买了一年多感觉还是挺方便 18年6月实付四百出头买，把市面的官方胶囊都尝过，其实不是特别喜欢喝黑咖啡，还是喜欢带牛奶的。冬天时想喝热水的确很方便。买机器后记得不要囤一堆胶囊，新鲜感过后容易放到过期时。买机器后的好处就是不会那么想买外面的奶茶，而是努力把胶囊喝完。鉴于真空包装，感觉过期了还是可以继续喝。 当时寄过来也是没有任何额外外箱，直接包装盒上贴张单子，从荷兰到深圳好像只用了5天。</t>
  </si>
  <si>
    <t>棉，不适合运动 偏棉，穿的舒服，不适合运动穿</t>
  </si>
  <si>
    <t>这个牌子的净水器用了八年了，非常棒 超值，绝对超值</t>
  </si>
  <si>
    <t>CK牛仔裤 版型不错，比较柔软，偏薄，适合春秋穿</t>
  </si>
  <si>
    <t>尺寸，质量，价格 质量确实不错，买得放心，用得安心！</t>
  </si>
  <si>
    <t>效果很不错 补钙佳品，量也不少。</t>
  </si>
  <si>
    <t>皮带很结实 总体讲还不错。</t>
  </si>
  <si>
    <t>很棒的箱子 很棒的箱子，接主板集成声卡有底噪，上解码之后就好了</t>
  </si>
  <si>
    <t>性价比高 性价比相对于国内同款产品还是挺高的</t>
  </si>
  <si>
    <t>尺码问题 179cm，71公斤，穿S码如图。颈围稍稍小一点，其他合适。做工还不错，当然不可能和鸟比。</t>
  </si>
  <si>
    <t>喜欢 很好看又暖和，打底很好看</t>
  </si>
  <si>
    <t>物有所值 花洒面积大，水感柔和，很舒服。</t>
  </si>
  <si>
    <t>美美哒 餐盘很好看也很划算！</t>
  </si>
  <si>
    <t>鞋子 稍微紧了一点，东西还行。</t>
  </si>
  <si>
    <t>黑五特价买的 只是为了凑单，结果发现很好看啊 .</t>
  </si>
  <si>
    <t>非常满意，又到110的价格补了两件 172，68，m非常合适，掉坑里了，坐等短袖降价</t>
  </si>
  <si>
    <t>还行 偏大一些，红色有些暗。</t>
  </si>
  <si>
    <t>质量可以 180/150斤，正合适，加绒厚度中等，是想要买的厚度，主要价钱便宜，满意</t>
  </si>
  <si>
    <t>轻便舒适 36.5的nike脚，穿eu37。这个鞋不瘦。胖脚穿合适。</t>
  </si>
  <si>
    <t>给后来者一个参考：身高176，体重71KG，S码非常合适 亚马逊的海外购，尺码很坑，希望大家都行动起来，互相给参考</t>
  </si>
  <si>
    <t>尺码稍大 尺码稍大，如果脚瘦的话建议选小一码，鞋子很棒值得选入</t>
  </si>
  <si>
    <t>经典产品 看了很多网上的点评，确实是一款经典产品。还在煲机中。</t>
  </si>
  <si>
    <t>善存维生素效果不错 还是买会员划算，这款会员特价加上PRIME免运费很值，善存比那些SWISSE之类的牌子强多了，效果和成分都更实在</t>
  </si>
  <si>
    <t>很好 这个稍晚长一点，有尿尿的开口，舒适合身</t>
  </si>
  <si>
    <t>包装没包好，有划痕 龙头质感很好，就是运过来包装简陋，龙头多处划痕，图上那个金属卡扣那里没有包裹，估计就是被那个卡扣划的。  后面又下了一单，包装完好，金属卡扣也没划到龙头。之前包装破烂有划痕的应该是海关拆验了或者快递中途有打开，放回时没按原方式摆放，卡扣和龙头没有隔开导致。</t>
  </si>
  <si>
    <t>总之挺喜欢的 秒表为什么不准，不过夜光不错😊</t>
  </si>
  <si>
    <t>包装盒太烂了 这个包装真的不敢恭维，像是开过又封上的，皱皱巴巴的。</t>
  </si>
  <si>
    <t>鞋子严重脱胶 我刚穿了一个月，右脚内侧就脱胶了，超级严重，我还花了接近四百，让我严重怀疑是不是正品！</t>
  </si>
  <si>
    <t>尺码不合身 推荐尺码过大，袖长、肩宽、衣长。如何调换？</t>
  </si>
  <si>
    <t>不错 日码偏小，172 108斤，L码正好，款式不错。</t>
  </si>
  <si>
    <t>还算满意 还行，就是大了一点，</t>
  </si>
  <si>
    <t>还可以啊 刚穿一天，特来全面评价如下，先说优点： 1. 尺码还算合适啊，本人174，体重60kg，S号不算肥啊，因为里面还要穿个衬衫和开衫； 2. 迷彩色实物在不同光线下会变，可见图，不过感觉买黑色可能更好点； 3. 虽然不是羽绒的，重量还算可以接受，比羽绒服重一点，保暖性稍弱于羽绒服，这两天正好北京大降温，今天最高温零下2度，最低温零下9度，白天穿不冷。所以南方的朋友穿会更暖和吧。 缺点如下： 1. 线头有点多，但我还没遇到前面几位说的袖子都开缝 2. 袖子长，手可以全缩进里面了，不过不算大事 3. 吊牌那个塑料细绳居然是卡进袖子里的，所以当你剪断后，里面那小截是弄不出来的... 4. 保暖性略不足，零下10度时还是羽绒服更暖和</t>
  </si>
  <si>
    <t>质量还行 感觉有点一般，不过随便带带还好</t>
  </si>
  <si>
    <t>如下 大小刚刚好合身，发胖就可能要嫌小了，呵呵。</t>
  </si>
  <si>
    <t>很不错 很不错，没有异味，宝宝喜欢。就是容易沾上绒毛之类的东西，给宝宝啃之前都要洗一下。</t>
  </si>
  <si>
    <t>质感完美 完美 手感很重要等待安装效果</t>
  </si>
  <si>
    <t>略厚，大小合适，物美价廉 略厚，本人168cm，71kg，S号大小合适</t>
  </si>
  <si>
    <t>表述 货物很好，就是会褪色</t>
  </si>
  <si>
    <t>智慧的设计，是这个时代的前列者 佩戴轻便，使用方便，能同时听到公共区域的声音，以方便在户外时交通的安全。充电方便。智慧的产品。</t>
  </si>
  <si>
    <t>物美价廉 版型好，高腰直筒穿起来特别舒服。面料稍有点弹性。选的4码，已经是所有码里面最小的码了，上身效果合身。然而我国内优衣库穿27码的。</t>
  </si>
  <si>
    <t>绝对极品 说不好的都是不会使用的，松拓这款全黑造型的绝对是经典款，很多美国动作片男主角都带这块，比如《伸冤者》。我买来远行徒步适用的不错功能很好，指南针准，还能定位。</t>
  </si>
  <si>
    <t>看起来质量不错。 鞋码跟国内皮鞋差不多，皮鞋40码买的7.5M，可是因为是新鞋的原因，脚背部位卡的挺紧，鞋底是名副其实的硬，鞋垫也跟没有似的，再加一个鞋垫恐怕穿不进去了。做工的确扎实，不透气，春秋穿合适。 还没到货前发现是什么福建芝麻开门快递负责配送，网上评价很差， 不过还好我没遇到他们的奇葩快递员，顺利到手。下单到收货共5天。</t>
  </si>
  <si>
    <t>尺码准确、质量上乘。 178cm/80kg  腰围90cm  34w/30 刚好，臀部裁剪立体、裤管宽松舒适，薄厚刚好、适合冬天穿着，</t>
  </si>
  <si>
    <t>书写流畅 外观很喜欢，现在这个年龄不太喜欢金属外壳的钢笔。赶上打折入手。之前想支持国产买的英雄的，唉....每次下笔总是要划上好几次....这个出水流畅，不刮纸，做工也不错，很喜欢。</t>
  </si>
  <si>
    <t>大小适合 实物有点浅粉红色，之前还以为是米白色，大小刚好，预大了一点，很舒服</t>
  </si>
  <si>
    <t>备货的 买牙刷时配来的刷头将要更换前到货了，多买几个备货了。耐用，正品。</t>
  </si>
  <si>
    <t>颜值高 样子是真好看，可以另外一款带夹衣服上带子没有男娃m款，要不一样买一个，超级喜欢</t>
  </si>
  <si>
    <t>上身效果好 看着肥大，穿在身上效果很好。</t>
  </si>
  <si>
    <t>好笔 价格满意，可惜不能免邮费，现在好像可以了，215配重不错，笔尖好些，值得入手！</t>
  </si>
  <si>
    <t>不错的裤子 颜色比照片颜色浅一些，微带弹力，直筒裤，质量还不错。性价比要比国内的裤子好。</t>
  </si>
  <si>
    <t>满意 很好，prime免运费，很划算。鞋码准确，合适。比预期送达时间早，挺快的</t>
  </si>
  <si>
    <t>书写流畅，包装简单 1l装，可以用好多年，书写流畅</t>
  </si>
  <si>
    <t>比ck的要密实，感觉好些 中规中矩，觉得比ck的要密实舒适</t>
  </si>
  <si>
    <t>海外购商品描述不清晰，比如米粉是几段的 给孩子作口水巾，我喜欢物美价廉的东西</t>
  </si>
  <si>
    <t>颜值高好用 很不错哦，不疼，就是大了携带不方便</t>
  </si>
  <si>
    <t>过大 太大了  欧美人的身材真的和中国人不一样  只要不是太胖  s就够了</t>
  </si>
  <si>
    <t>衣服往上爬 穿着不太舒服，往上爬，真是超乎想象。没穿第二次。</t>
  </si>
  <si>
    <t>不值得 错信了楼上买过人的话，即使配飞雨E150或者puravida手持花洒，依旧有一个毫米的装配间隙，无法拧到底，还不如买个toto或者三荣的管子</t>
  </si>
  <si>
    <t>用了一个月 做工真心一般，声音表现不错</t>
  </si>
  <si>
    <t>矿物玻璃表面 矿物玻璃表面，不是蓝宝石，反正我的已经有两条划痕了</t>
  </si>
  <si>
    <t>次品，必须差评 次品，笔有瑕疵，几十块钱的东西也不可能退货了</t>
  </si>
  <si>
    <t>没多少钱，懒得退 短，36码的裤子，买36码的皮带，扣完最外侧的扣，剩下5cm左右，刚刚够长。内侧不是皮的，太烂了，这种皮带要是在国内淘宝买的话，必须退货加差评，这么远，不值得折腾了。但实在太差了</t>
  </si>
  <si>
    <t>觉得实用 看起来质量不错，觉得实用</t>
  </si>
  <si>
    <t>品质不错 品质不错。WRANGLER是知名的牛仔品牌，出品不错。尺码和常规的差不多，不过会略略比LEVIS的宽松一点点。</t>
  </si>
  <si>
    <t>还可以 国内42可以选42，穿着舒适。但是不容易打理是个问题。</t>
  </si>
  <si>
    <t>总体来说不太实用 款式材料等都非常棒，只是吸管设计的不易吸出水，孩子吸的很费力。当玩具了</t>
  </si>
  <si>
    <t>鞋码 物流挺快的，还是得买W我以为我瘦会大，穿了刚刚好，我250mm脚长，穿7W很合脚</t>
  </si>
  <si>
    <t>性价比超高的产品 性价比超高，175身高，体重78，尺寸刚好适合。颜色也是非常喜欢，质感柔软舒适。</t>
  </si>
  <si>
    <t>厚实 不错的衣服，料厚实！</t>
  </si>
  <si>
    <t>不错的 总体感觉不错，保温效果还没试。</t>
  </si>
  <si>
    <t>比国内便宜 加税都比国内便宜，日常消耗品，洗牙器蛮好用</t>
  </si>
  <si>
    <t>真心不错👍 第二次买，鞋子真不错👍符合美国佬一贯的作风，不注重细节但品质没得说，有一点小瑕疵也是可以接受的！特别表扬快递速度，绝对快！</t>
  </si>
  <si>
    <t>非常好！ 非常适合，而且送货很快。</t>
  </si>
  <si>
    <t>虽然是国产的但还是非常好 买之前一直在纠结是买这个国产的不锈钢WK600还是买捷克造的塑料的WK300，后来下决心买了这个，发现确实很不错。以前家里用过同样是德国牌子中国造的伟嘉也很不错。这个是用过的最贵的电水壶，还是一分价钱一分货，壶身非常厚重有质感，烧水速度非常快，沸腾时壶身几乎没有振动，有机会再买个WK300试试。</t>
  </si>
  <si>
    <t>外观 收到货看着还可以</t>
  </si>
  <si>
    <t>美 穿着舒适无感 也很漂亮</t>
  </si>
  <si>
    <t>很不错的裤子 质量、做工均为一流。</t>
  </si>
  <si>
    <t>打开新世界大门的好东东 虽然感觉没啥科技性，跟高压水管差不多，不过能有效清洁牙缝，价格也很实惠，推荐购买，可以全家使用。</t>
  </si>
  <si>
    <t>很好 180，74KG左右。32*32完美上身。偏厚，海蓝色修身版型。看评论颜色不一样大小也不一样</t>
  </si>
  <si>
    <t>入手价530左右 &lt;div id="video-block-R3190KBULUZAWL" class="a-section a-spacing-small a-spacing-top-mini video-block"&gt;&lt;/div&gt;&lt;input type="hidden" name="" value="https://images-cn.ssl-images-amazon.com/images/I/813cIKBqOuS.mp4" class="video-url"&gt;&lt;input type="hidden" name="" value="https://images-cn.ssl-images-amazon.com/images/I/A1gNXhdb7uS.png" class="video-slate-img-url"&gt;&amp;nbsp;太好用了,好划算啊</t>
  </si>
  <si>
    <t>精准的尺寸换算 物流很快，东西价格比国内专卖店便宜不少；东西不错，但尺寸换算不太好掌握。</t>
  </si>
  <si>
    <t>很好  打折7百多买的  就是里面穿帽衫 有点紧 173  68KG  S号 很好  打折7百多买的  就是里面穿帽衫 有点紧173  68KG  S号</t>
  </si>
  <si>
    <t>好 这个还没有用，煎鱼煎肉应该不错</t>
  </si>
  <si>
    <t>好 厚薄刚好，不加绒。164高123斤穿刚好，宽松</t>
  </si>
  <si>
    <t>CK牛仔裤版型不错 ck牛仔裤材质不错，比较软也不会过厚。本来只需裤长30，但价格比较高，这件32便宜不少，反正牛仔裤长点无所谓，可以卷起来也可以剪掉…其他都没问题，合适。</t>
  </si>
  <si>
    <t>物有所值 非常不错 非常好看 很值</t>
  </si>
  <si>
    <t>盖子有些难盖上 勺子和碗都不错，就是盒子有点难扣上，但扣上之后密封性很棒</t>
  </si>
  <si>
    <t>裤型不错 买了两 条，布料挺舒服的，就是灰褐色实物和图片严重不符，图片是卡其色，但是实物确实是灰褐色，不知道这算不算误导</t>
  </si>
  <si>
    <t>新品有掉漆 差评差评！存在明显的掉漆痕迹！！！</t>
  </si>
  <si>
    <t>太大了，完全穿不了 款式还是可以的，就是太大了，关键退货运费比退费还高，亚马逊基本买不了了</t>
  </si>
  <si>
    <t>款式没有想象中的好看 款式太旧，笨重。不建议</t>
  </si>
  <si>
    <t>排气孔不工作 感觉是假的，排气孔完全不工作，孩子喝几口奶就得拧开瓶盖放一下气。和我一样买的都不一样。</t>
  </si>
  <si>
    <t>不建议购买 质量很差 和国外买的clarks鞋质量差很多 不是退回去有邮费就退货了 什么垃圾呀 海外购也不能这么坑人吧</t>
  </si>
  <si>
    <t>坑爹的机器，坑爹的亚马逊 洗了好几次，揉面居然还有银黑色的颜色掉在在面团上，揉了4次了还是有，你这个不会是翻新的吧？声音巨大，揉10分钟机子就会发烫，还有就是，出膜的我想问下你们揉了多久？我半小时，还没揉出完整的手套膜，只有半成品吧，这玩意超级不智能啊有没有！揉10分钟，居然没成团，只能手动关掉，把面团聚在一起，再开始揉……最后，我要鄙视一下亚马逊海外，那天上午9点下单，没发货的情况下，10点我想退货换个色，结果一直不给我处理，点了退款，单子一刷新，就又在准备发货状态，然后下午三点给我发货了！我打电话给客服说了情况，客服说收到拒签再联系客服，会安排全额退款，我收到拒签，打电话给客服，她又说要扣掉进口税，不能全额退款，你们的原因导致发了货，现在还让我承担损失，我真的郁闷了，7.800的进口税，我是白痴？还没用就损失这么多钱，真的很坑爹，我和客服说我需要投诉那天发货时候我打电话咨询的客服，我说应该可能会被录音了，你们去查，客服跟糊弄的对我说，好的，然后就没音讯了，超级坑爹！劝各位要亚马逊买电器的，谨慎了，不然小心被客服坑！</t>
  </si>
  <si>
    <t>极铁平底炒锅 颜值还是不错，锅是30cm规格的，这个是连导流嘴一起算，实际锅只有29cm，连锅底一起高度7.5cm，适合1-2人，还是不算轻巧，有点分量的，至于开完锅粘不粘的问题，目前来看，还是蛮粘的，希望越往后用越好吧。</t>
  </si>
  <si>
    <t>它比较热 很便宜，注意，它很容易比较热。室温25度，43度。它需要风扇进行散热。</t>
  </si>
  <si>
    <t>买大了些 亚瑟士43.5买了9w大了一个手指。建议高帮买正好的，中低帮买大。另外一个问题，似乎感觉鞋底不平。</t>
  </si>
  <si>
    <t>Seral 码数偏大一点点，鞋子很重，不过不错</t>
  </si>
  <si>
    <t>不错。 有点夹脚，不过很酷，质量很好，不会脱跟后面包得紧紧的。满意。不得不加一句，童鞋真的很划算。图片在宿舍试的</t>
  </si>
  <si>
    <t>尺码，材质 原本觉得欧码会不会比国内尺码大，后来看了评论区，选择运动码，刚好合适，如果是买皮鞋，可能要选小一码。感谢所有人的付出，相当满意的一次购物。</t>
  </si>
  <si>
    <t>舒服 非常舒服，正品，品质个价格和在欧洲买的一样，价格比某东便宜多了！</t>
  </si>
  <si>
    <t>大小 178cm,89kg,买的XL，袖长正好，但瘦了一号，看样子得双X。做工不错，日版的号以后有参照了。</t>
  </si>
  <si>
    <t>第一次买ECCO 的鞋子 看了ecco的鞋子好久，国内专柜卖的实在太贵了，看到亚马逊上做活动，果断下手，发货有点慢，收到货迫不及待的开箱，包装比较简陋，鞋子看起来略让人失望，上脚试穿一下感觉还不错，特别是鞋底特别舒服，但是尺码好像有点偏大，不过不影响使用。ecco的鞋子越穿越舒服越喜欢，以后还会再买。</t>
  </si>
  <si>
    <t>靠谱的Lee 品质不错是正品，这个给儿子买的，小伙子也非常喜欢，还会继续买</t>
  </si>
  <si>
    <t>夹克合身170/68公斤，M号 牛仔夹克质地不错，带有弹性，很合身，袖子有点长，可能牛仔夹克都这样。总之，Lee，这价格，性价比很高了！</t>
  </si>
  <si>
    <t>很好，很实用 保温效果很好，把煮开的米加水倒入杯中，2、3个小时就米就都开花了，就是没有直接用火熬出来的那么粘稠，不过已经很好了。下次试着弄个排骨汤啥的，方便、不用看火，节约能源</t>
  </si>
  <si>
    <t>内衣 物有所值，穿着合适。物流也很快。</t>
  </si>
  <si>
    <t>nice boots 平时37-38码的 这双uk5/us7 稍微大一点 不过可以穿 加厚袜子应该刚好 黑五买很划算</t>
  </si>
  <si>
    <t>效果好，不错，正品，下次还来 效果好，不错，正品，下次还来</t>
  </si>
  <si>
    <t>好东西 非常的好，轻薄保暖，基本无静电</t>
  </si>
  <si>
    <t>很好，舒适度高 比国内的实惠太多了。 比国内lee，Levi's的尺码大一码，国内大部分都是34的，这个33的就刚刚好，裤脚稍微有点喇叭状。 有弹性，很舒服，稍微小点也可以的。适合腿粗的</t>
  </si>
  <si>
    <t>1米75，83kg，34W30L刚好 1米75，83kg，34W30L腰和裤长都刚刚好，非常满意。面料偏硬，有点厚，夏天穿会有些热，春秋和冬天OK。</t>
  </si>
  <si>
    <t>第一次买增肌粉，口感很好！ 第一次买增肌粉，口感很好！</t>
  </si>
  <si>
    <t>冠军 衣服适合春秋穿，衣服版型和卫衣有点不一样，衣服袖子长，肩膀宽，胸部宽，腰部偏小，适合没有奶油肚的人穿。</t>
  </si>
  <si>
    <t>可以推荐 以前都买27cm，这双选了27.5。可能袜子有点厚刚好。</t>
  </si>
  <si>
    <t>好 裤子的质量和款式都很好。碰巧优惠期间购得，很不错呢</t>
  </si>
  <si>
    <t>偏重，质量很好 英亚买来当雨靴穿的。鞋码并没有传说中偏大。7w 刚好。幸亏之前没有买7m 。唯一就是直邮费太贵了</t>
  </si>
  <si>
    <t>总之很好就是XDD 今天刚买感觉很不错，看评论以为会有瑕疵但并没有还担心了好久_(:з」∠)_ 虽然笔毫无瑕疵但装笔的皮套倒是有点磨损啦x 不过喜欢用百乐但是用了施耐德感觉真心好。 本来有一支三十的偏磨而这支偏顺总之可以根据手感选？？反正都不错XD 才不是因为是路德厨才评论的呢(๑•ี_เ•ี๑)</t>
  </si>
  <si>
    <t>尺码真的很小 球鞋42, 26.5非常合适。 大家可参考。</t>
  </si>
  <si>
    <t>买了一个 不是很满意 退了打算再下单一次 买了一个 不是很满意 退了打算再下单一次 笔尖是歪的 而且被用过了 用清水试笔的时候发现里面很多蓝色墨水 擦了一整张纸巾颜色都还有 明显是用过了 而且笔夹上的箭羽形 居然没有印全 中间的部分根本没印上 跟假的似的 很失望 退货很麻烦 到现在都没有完全完成 已经一个月了 要不是真的喜欢这个价格又真的便宜好多 真的就不想再买了</t>
  </si>
  <si>
    <t>本来是可以满分的！ 一直再用希捷的硬盘，这次是第一次从亚马逊的美国直接邮购回来的。发货 物流一切都很顺利。本来是要给5星好评的，但是有个问题很纠结，就是这块硬盘在使用中噪音非常大，这是之前我将近20年使用希捷硬盘并未发现过的问题。不知道是不是因为硬盘是泰国生产的问题，之前用过的都是中国产的。只能边用边观察再说，希望不要有什么问题吧。毕竟硬盘上有跟多重要的资料。</t>
  </si>
  <si>
    <t>还可以 布料很薄适合春末夏初穿，本人168，80KG，买的M号仍然略显肥大，而且袖子长。</t>
  </si>
  <si>
    <t>大了啊 太大了，剪裁没有什么修身的</t>
  </si>
  <si>
    <t>颜色差异比较大 尺寸非常大，不适合国人穿，颜色也不如意，比较差</t>
  </si>
  <si>
    <t>洋垃圾，掉毛严重！ 洋垃圾，掉毛非常严重！洗了二次还继续掉毛，直接回收站了。洋垃圾，掉毛非常严重！洗了二次还继续掉毛，直接回收站了。</t>
  </si>
  <si>
    <t>一般，不推荐 保温效果很一般，装满温水，几个小时就凉了，没有象印和虎牌的效果好，再见了膳魔师</t>
  </si>
  <si>
    <t>挺好看的! 快递刚刚送来,第一次这么晚还收到卓越的快递.表是给上初三的外外买的,刚才打开一看,挺好看也很轻,表带确实很薄也很软,白色的表盘配以黑色的指针和数字,觉得清晰,简洁,干净.不知道外外喜不喜欢,我自己倒是挺喜欢.至于质量还有待时间来检验.</t>
  </si>
  <si>
    <t>还好吧 中性款，男高170，60kg，买了L码，收到时试了有点松，洗了后缩了点水，变成刚好，就袖口有点紧了，腰围和臀围位置也贴紧了。黑色第一次洗会褪色，要多过几次水。</t>
  </si>
  <si>
    <t>颜色有点不好搭配 颜色有点不好搭配，一星就扣这儿了 除此之外 真的舒适度啥的很不错的 建议购买 看评论有的推荐华歌儿 因为我在某宝旗舰店买过一次 有奇怪的味道 所以对那个牌子失去信心 但黛安芬这个真心不错 赞</t>
  </si>
  <si>
    <t>来自中年老大哥的推荐 1，非常合身，我179cm，84kg，长腿粗腿身材，W33L32，简直是量身定做； 2，色差严重，图片是黑色，写明是black quartz，其实是深蓝； 总的来说物美价廉，200以下可以入手，160以下可以囤几条，直男首选。</t>
  </si>
  <si>
    <t>用着不错，12.31买的，到这会还比较好 rt，希望电量长久，用了8个月，到现在还电力十足。只是表门被我划了，你们用着要小心啊。卓越买过三星的碟，表，书，都还行。可惜不在北京了，享受不到了，哎……</t>
  </si>
  <si>
    <t>钱包 还好，比较轻，能放的钞票不多</t>
  </si>
  <si>
    <t>很不错 颜色很好看，用起来也很方便。值得购买</t>
  </si>
  <si>
    <t>挺好 挺好的，只是没有盖子不知道为什么。</t>
  </si>
  <si>
    <t>宽松舒适有弹性，很好 裤子好面料感觉不错有弹性，宽松舒适是我的追求，一如既往的好！</t>
  </si>
  <si>
    <t>不见了 用了两次，笔不见了，所以并没有什么感觉，最后用回英雄笔</t>
  </si>
  <si>
    <t>颜色美 很清爽 颜色美 看起来就清爽 也很舒服 好评</t>
  </si>
  <si>
    <t>相当不错 越南产的，做工很好，鞋型很正，舒服</t>
  </si>
  <si>
    <t>给小姐姐们搬新家 一个人瞎逛海外购时发现的，之所以会从海外购日亚直邮，是因为知道日亚的包装是全世界最最给力的。我相信这点也是大家所有人认可的，图中也可以看到。这次买的是6T大小，趁便宜没忍住，正好电脑里毛片不够放了，最终是六，贰肆入手的，比某东便宜了一半左右，心里真是乐开怀。小姐姐自从搬了新家，叫得也更给力了。最后用crystal硬盘测试软件看了下，全部正常，全部OK，而且，发热量也不高，真是太开心了。</t>
  </si>
  <si>
    <t>喜欢 犹如没穿的舒适感，要求身材好才穿的好看</t>
  </si>
  <si>
    <t>声音还不错的 d50直接推声音还是能听一下，大动态感觉非常吃力！</t>
  </si>
  <si>
    <t>第一次海外购，整整20天，不急着用时间长点也无所谓 容量大，传输快，就是块头太大，携带不方便，不过我win7系统，在这个硬盘中搜索文件时偶尔会死机</t>
  </si>
  <si>
    <t>性价比高 性价比很高 比国内版贝亲质量好 还便宜</t>
  </si>
  <si>
    <t>非常满意 非常棒，喜欢</t>
  </si>
  <si>
    <t>大小适合小女生 Ace代工，再大一丢丢就完美，适合小女生</t>
  </si>
  <si>
    <t>我很钟意 平时运动鞋42，这个薄袜子有点大，厚袜子正合适，之前海淘踢不烂翻车，这个很nice，我很钟意。</t>
  </si>
  <si>
    <t>挺好的 很亮的感觉质量不错 还没有安装</t>
  </si>
  <si>
    <t>划算 比在国内药店买的便宜，适合多买两瓶全家一起补充维生素。</t>
  </si>
  <si>
    <t>质量不错 种草很久了，预产期前购买的，生完太热，没用几次，质量是不错，效果没看出来，产后母乳喂养自然瘦，已经瘦到孕前了，骨盆也没变宽。这个信则有效果，不信就没效果。</t>
  </si>
  <si>
    <t>保质期挺新鲜，19年06月 好大一桶，给宝宝买的</t>
  </si>
  <si>
    <t>36脚选了6.5的。合适 很满意。海淘最怕退换货所以大小合适很重要。平时标准36脚，运动鞋37or37.5。这鞋买了6.5见图，很合适。比旗舰店质量好并便宜了几百元。赞</t>
  </si>
  <si>
    <t>好 应该是放心的产品，已经多次购买</t>
  </si>
  <si>
    <t>emmmm 美滋滋 目前还是不错的 正在接受天地灵气</t>
  </si>
  <si>
    <t>感觉一般般。 整体质量很好，但是没有在外包装看到亚马逊产品介绍说的星闪技术，这个价位还可以吧！</t>
  </si>
  <si>
    <t>笔记本可能不认盘 重发 发过评论项了 再发一次 之前购买过三星固态7mm薄盘，但插笔记本就是不认盘。但台式机却没问题，主板是昂达DDR3系列的。台式机能用笔记本不能，我的笔记本是DELL戴尔insprion的，是不是旧版的笔记本都不支持固态？</t>
  </si>
  <si>
    <t>质量太差 质量很差，差不多用了3个月就发现主箱高音喇叭时响时不响，亚马逊的售后真的不如京东</t>
  </si>
  <si>
    <t>皮带是什么皮？ 怎么皮带褪色的？本来这皮带的橙色就不深。</t>
  </si>
  <si>
    <t>裤子很好 大了但是能穿出不一样的感觉</t>
  </si>
  <si>
    <t>耳机 习惯好评 还可以外观精致 声音一般  入门级特征</t>
  </si>
  <si>
    <t>价格实惠，有点宽。 有点薄，胖的人不需要买大一码，有点宽</t>
  </si>
  <si>
    <t>有一个小磁铁扣会消银行卡磁性吗？ 够大的，看起来像真皮，可惜不是真皮。可以放文件，钱包，手机，名片。本来想购买来日常做生意天天背出门的。太大了。</t>
  </si>
  <si>
    <t>好大瓶 收到吓了一跳…… 味道倒是不错</t>
  </si>
  <si>
    <t>声音不错，但是底噪太大了。。 声音上是不错，真的很干净，但是！底噪太明显了吧（没接音源），70cm明显听到，而且是大白天，如果是晚上更安静，那就没法听了。。晕死，只要通电了就一直有“沙沙”声。。。你们的是不是这样？我找阿马逊换一个会不会好了？</t>
  </si>
  <si>
    <t>大小和标称一致 下单九天送达，boss的裤子，质量就是好</t>
  </si>
  <si>
    <t>宝宝喝水很方便 勺子头软软的，不伤孩子的牙龈，水的温度高了，勺子就变白了，常温颜色就变回来了，很好</t>
  </si>
  <si>
    <t>顺滑 没有上墨器要单独买，粗细合适</t>
  </si>
  <si>
    <t>特别实用，好清洗 两把，刚好家里一把，外出一把，划算好用。</t>
  </si>
  <si>
    <t>质量好，手感好 穿上很舒服～又买了两条。</t>
  </si>
  <si>
    <t>不错 海淘第一单，不错时间不是那么长就到手了</t>
  </si>
  <si>
    <t>一直在亚马逊上买，真的很好！没有味道！ 一直在亚马逊上买，真的很好！没有味道！</t>
  </si>
  <si>
    <t>满意 开水烫过无异味。放心购买。</t>
  </si>
  <si>
    <t>好看 颜色跟图片上有点点色差，刚拿出来觉得一般，上身蛮好看的，偏大</t>
  </si>
  <si>
    <t>包装太差 就是普通的ef尖自信而已，吸墨器没有，自己买一根就行了。不过包装是真的差啊。不是新闻说国外在亚马逊买车都会订做个大盒子的么？怎么这种就一个信封发过来了。</t>
  </si>
  <si>
    <t>物超所值 刚到货就迫不及待做了面条，非常好用，面片厚度随意可调，可以做饺子皮混沌皮，做出的面条很好吃。谢谢亚马逊提供这些优质产品。</t>
  </si>
  <si>
    <t>清洁效果好 清洁效果好，美中不足的就是博朗的电动牙刷声音太大，不过习惯了也就好了</t>
  </si>
  <si>
    <t>给老爸买的 不知道效果怎么样 让老爸坚持每天吃两颗</t>
  </si>
  <si>
    <t>适合台式机 我觉得挺好用的，洗的很干净，我看评论说有味道但是我洗完没有，而且油污洗的也可以，我之前用的quantum，但是是西门子6件套台式机，有点浪费，后来有人教我把quantum切开，怎么说呢，切开的不稳定，现在这个用了几天，非常适合西门子台式机使用。</t>
  </si>
  <si>
    <t>很喜欢 合适 去北海道哈哈</t>
  </si>
  <si>
    <t>很好 不错的商品</t>
  </si>
  <si>
    <t>德国产 我的790cc Pulsonic剃须刀是 2009年在美亚入购的，用了十年了。最近发现刀网有一窟窿，刮过脸有点疼。新刀网徳国制的，非常合适790cc-Pulsonic替换 ,刮的也干净,希望能用久点。快递很快，23日下单26日收货，比较满意。</t>
  </si>
  <si>
    <t>推薦指數四星半 日亞的包裝就是仔細啊。L號也沒問題。</t>
  </si>
  <si>
    <t>Lee值得拥有 手感很好，版型也不错，性价比超高，以后还会来看看有没有合适的裤子的</t>
  </si>
  <si>
    <t>ecco的鞋子很棒 之前去店里试了下，38码买的正合适，鞋子的舒适度很好！很满意！价格比国内专柜便宜三分之一！很不错</t>
  </si>
  <si>
    <t>百奥斯汀夏威夷虾青素 一直在服用虾青素，长期服用对眼睛有好处，物流也很快。</t>
  </si>
  <si>
    <t>质量一般 这个牌子，另一款上衣M合身，这件又肥又大，质量很一般。</t>
  </si>
  <si>
    <t>质量一般 裤子尺码准确，布料手感也不错，款式也还行，但是线头太多了，走线也很潦草，让我担心这裤子是否牢靠。总之质量不太好。</t>
  </si>
  <si>
    <t>一般 鞋子里面有点高，显得后脚跟不跟脚。</t>
  </si>
  <si>
    <t>太硬 洗了，退不了货了。昨天去奥特莱斯对比了下，实体店的海绵软很多很多，亚马逊的太硬，手感很差。</t>
  </si>
  <si>
    <t>差评 显有使用过的痕迹</t>
  </si>
  <si>
    <t>坏掉没保修 用的第三次就坏掉了，海外购没有保修，几千块打水漂，亚马逊对于保修提供不了实质性的帮助，请大家在海外购慎重购买贵重物品。</t>
  </si>
  <si>
    <t>还可以 还可以吧</t>
  </si>
  <si>
    <t>好评 很好 快递速度赞一个。比预计提前一周多。耳机也满意。</t>
  </si>
  <si>
    <t>有点小但和舒服 170，140穿S贴身！非常不错又追拍了M！喜欢宽松M，贴身S</t>
  </si>
  <si>
    <t>评价 满意，支持，样式也喜欢，大小合适，！！</t>
  </si>
  <si>
    <t>要变压器 需要变压器，注意注意。效果很好，刷完再冲依旧能有脏东西出来</t>
  </si>
  <si>
    <t>很不错 目前除了收波没成功各方面都很满意，很精致，指针准也没有积灰的情况，比国行便宜太多，实物比照片好看。另外表盘比泥王猫人小一号，比较适合手腕稍微细一些的人。</t>
  </si>
  <si>
    <t>暖和 172.76，买的S号刚好，到手价270，轻而暖，不过袖口和下面略收口的设计保暖而略没有型。</t>
  </si>
  <si>
    <t>到货超快，大小合适 41的脚，选的8.5尺寸，很合适。 鞋稍扁，刚开始几天有点挤脚，几天后穿开了就好了，脚厚的的人要考虑一下。 鞋底不像以前穿过的别的牌子板鞋硬，这个很舒服，基本不需要适应的时间，上脚就很舒服。</t>
  </si>
  <si>
    <t>注意看尺码 正穿在脚上，没有想象的那么硬，脚感还不错，尺码选择的时候要注意区分us和uk码，平时皮鞋41，255，选8.5的刚刚好</t>
  </si>
  <si>
    <t>速度尚可，体积与其它容量的一样 能用，已拿来保存照片了</t>
  </si>
  <si>
    <t>值得买 质量相当好，面料柔软，还没有静电，和100多点一件，值。177/75/m</t>
  </si>
  <si>
    <t>不漏活性炭 挺好的，没有看到严重漏活性炭的情况</t>
  </si>
  <si>
    <t>名副其实 功能强大、无可挑剔，电机连续2、30秒不发热无异味，使用之后清洗方便无死角。</t>
  </si>
  <si>
    <t>东西绝对正品但不带吸管买前需留意 杯子保温效果极佳，可以买的时候没有注意，没看到这个杯子不带吸管的，海外购的退货要陪运费太贵，没办法只能去单独配吸管，花了我120大洋好心疼。不过，这只怪我自己没看清楚商品介绍，不怪卖家，东西绝对是正品。</t>
  </si>
  <si>
    <t>穿前要熨一下 除了机洗后易周，没找到其他缺点。优点是含棉量高，舒适，没有侧缝，正身圆筒状且微显腰身。</t>
  </si>
  <si>
    <t>布料很厚实 很合身，180高，100公斤的胖子可以选购。</t>
  </si>
  <si>
    <t>东西很好 商品很好，保质期也新鲜。</t>
  </si>
  <si>
    <t>剃须刀 用到感觉还不错。</t>
  </si>
  <si>
    <t>收到很喜欢 颜色超喜欢，艳而不俗，杯子很轻，杯身不是很胖，方便手拿！大人孩子用都很方便，很满意！价格比jd和TB都便宜。</t>
  </si>
  <si>
    <t>很好用 综合网上对于Lamy Safari、Schneider Base和百乐同价位钢笔的评价最终买了Base，书写感觉很棒，F尖对于我来说正好。至于笔杆粗细的问题，我之前有使用过Schneider的钢笔，所以这次没有出现不适应的状况。</t>
  </si>
  <si>
    <t>价廉物美好东西 价格便宜，做工塑料感很强，不过声音不含糊。远超出这个价位的预期</t>
  </si>
  <si>
    <t>纯棉的料子不错 挺便宜的就买了 还不错的</t>
  </si>
  <si>
    <t>保温杯 挺好的，很大一个水瓶，暂时还没用会继续关注</t>
  </si>
  <si>
    <t>很好 图片里两种可以互换杯盖，都可以变成2way。就是保冷的那款杯子表面有一点点污迹，我买的两个同样的杯子在同样的位置有一样的污迹，所以就排除是退换货的，可能流水线什么的原因。</t>
  </si>
  <si>
    <t>感觉比国内的做工好点 感觉比国内的做工好点，包装也很好</t>
  </si>
  <si>
    <t>产品评论 很好的手感，但对于我来说有大了一点，亚洲人的骨骼要小点。</t>
  </si>
  <si>
    <t>质量好 质量好，长短合适，超紧身</t>
  </si>
  <si>
    <t>不建议购买 说实在挺差的，材质版型都一般，很浓的刺鼻味道，洗了两次才好一些，大概不会再买了</t>
  </si>
  <si>
    <t>尺码偏小 尺码偏小， 有点挤脚。</t>
  </si>
  <si>
    <t>一分钱一分货 第一次洗涤就褪色，贴身穿不是很舒服，略有显粗糙。一分钱一分货，200元三件和300元一件的BOSS，品质不一样的。还是得选掺一点莱卡的面料穿着比较舒服一些。</t>
  </si>
  <si>
    <t>乳液咋是黄色的 乳液书是黄色的，有问题吧，不敢给孩子用。</t>
  </si>
  <si>
    <t>不舒服 洗完了今天才穿 好生失望 特别扎人 刺痒</t>
  </si>
  <si>
    <t>120斤L码数袖子偏长但是不喜欢紧身所以刚好。很薄，暖和度过得去。 120斤L码数袖子偏长但是不喜欢紧身所以刚好。很薄，暖和度过得去。</t>
  </si>
  <si>
    <t>还可以 有点薄，装不了什么，有点硬，总体还不错。</t>
  </si>
  <si>
    <t>有效期不一致 纸盒上和瓶子上的有效期居然不一致</t>
  </si>
  <si>
    <t>大，送人了 72kg，171cm，买了M号根本不行，打了不少，S码应该合适。</t>
  </si>
  <si>
    <t>入门级产品 入门级产品，小朋友用用还可以。</t>
  </si>
  <si>
    <t>和图片一致 173.150平时穿33码裤子 穿着合适 裤子有弹性 和图片一致 穿着舒服</t>
  </si>
  <si>
    <t>物超所值 笔芯很软超好用，还有奶油香味哦</t>
  </si>
  <si>
    <t>鞋很棒！ 非常棒的一双户外鞋，号码很准！我脚量过是27厘米，定9EE的正好，估计还可以放一双略薄的鞋垫，鞋底很厚，穿上瞬间感觉增高不少！虽然还没有到户外实操过，但穿上这双鞋后感觉非常有安全感，估计应该能给脚很好的保护！</t>
  </si>
  <si>
    <t>海外购很不错 532块到手，1.72m,77kg,M号正合适。满意。</t>
  </si>
  <si>
    <t>电动洗牙器 还没有用，但是黑五有活动的时候买的，质量还不错，很期待</t>
  </si>
  <si>
    <t>不错 不错，相当皮实。穿着可以</t>
  </si>
  <si>
    <t>质量好 挺棒的，正品，质量很好，活动价格也实惠，特别的满意。</t>
  </si>
  <si>
    <t>好用 挺好用的。只是不知道还有一个不带刀片的东西是干什么用的</t>
  </si>
  <si>
    <t>想知道这款产品在不同国家的生产线，品质是否有区别。 一直使用这个产品有5年。目前使用情况良好。</t>
  </si>
  <si>
    <t>东西不错～ 洗的相当干净，独立子包装，好用方便。</t>
  </si>
  <si>
    <t>稍稍大一点 很宽松了，按照推荐尺码小一码都可以，不过穿着舒服，像没穿一样也挺好的</t>
  </si>
  <si>
    <t>170 140 斤 M 应该是有点大的，给我爹买的，打算回头给我娘也买的这个系列。我爹170 140左右，穿的m合适。但较国内的还是有点大的，给大家参考。我爹说舒服。但我买的时候200到手，价格一般。</t>
  </si>
  <si>
    <t>可以买 999元的有划痕！音质有活力低音有回弹，还是不错的。</t>
  </si>
  <si>
    <t>很满意，已经开始画了。 很满意，已经开始画了。已经推荐给了朋友</t>
  </si>
  <si>
    <t>支持亚马逊全球化便捷化！！ 绝对的五星，亚马逊还是可信的，本来等是28号到，提前到了，期间等不了了，某东搞活动买了b品牌的398大洋，感觉亏大了，真不如这款森海。我得想法把那个b的出了。继续支持亚马逊！！！加油，希望日后能买到更多国外享受的高品质东东！！</t>
  </si>
  <si>
    <t>价格很好 送给朋友的，趁着活动价格很好。我用的是上一代玻璃杯款的，个人还是喜欢玻璃杯。</t>
  </si>
  <si>
    <t>方便实用美观 很超值了，比国内行货便宜一半以上</t>
  </si>
  <si>
    <t>很好哦 平时38.5或39 买了7.5有一点点大 物流超级快</t>
  </si>
  <si>
    <t>以后买电话省钱了 太棒了，以后买手机不用买那么大容量了，赞</t>
  </si>
  <si>
    <t>值得拥有 煲机100小时以后，高频晶莹剔透，十分满意。与880走向不同，880一直感觉坐在台下欣赏台上的演出，990则感觉音乐环绕在身边四周。海淘价格比起行货很有优势，就是周期太长，从下单到拿到耳机花了20多天。</t>
  </si>
  <si>
    <t>很好，和五年前买的那款质量一样好，喜欢。 轻巧，防漏，性价比超高，速度很快日本直邮大概五天就收到了。</t>
  </si>
  <si>
    <t>国内的 国内制造的</t>
  </si>
  <si>
    <t>为什么总冲不上电？中国充电需要变压器吗？ 充电的时候没有指示灯，没办法判断是否冲上电，经常冲了一天电，还冲不上.....................</t>
  </si>
  <si>
    <t>不亏 用了一天，带着不疼，挺舒服，可能是我耳朵大。 音量真小，耳机本身调到最大也很小，因为不是入耳式的，所以在嘈杂的地方听着费劲。 音质我觉得和我99包邮的蓝牙耳机差不多，可能我是木耳朵。 续航还行，比之前的强。 挺帅倒是真的，颜值高。</t>
  </si>
  <si>
    <t>质量不好 质量太差了，线都走歪了，质地薄，透，地摊货</t>
  </si>
  <si>
    <t>质量差 鞋子没几次就坏了个洞，想起来的时候已经过了质保期</t>
  </si>
  <si>
    <t>请慎重购买！ 产品宣传页介绍为日本生产，再次同客服进行了确认，花了关税和高额运费收到的是“中国制造”耳机，耳机的工艺差那么一点点，有点被欺骗的感觉。请各位购买慎重！</t>
  </si>
  <si>
    <t>品质好 质量不错就是底太硬</t>
  </si>
  <si>
    <t>还不错挺暖的 写是紧身裤实际是袜裤，要看清楚内容</t>
  </si>
  <si>
    <t>料比较薄，仔细看金属表面有点瑕疵 料比较薄，仔细看金属表面有点瑕疵</t>
  </si>
  <si>
    <t>料子好 买大了，已退货。退货较繁琐且时间较长，一定要量好才下单</t>
  </si>
  <si>
    <t>还可以 还行 就是感觉会往上缩，另外领口大。</t>
  </si>
  <si>
    <t>正好 172 68 正好 不用裁裤脚</t>
  </si>
  <si>
    <t>跑步必备 170，64公斤m号（170，92）合适，跑步穿。</t>
  </si>
  <si>
    <t>亚马逊你的尺码可以准确些吗 前后买了十件ck才搞准尺码，难怪亚马逊怎么不垮出中国，亚马逊的尺码太不准了。172/73kg，这就ck尺码合适了</t>
  </si>
  <si>
    <t>很漂亮 很好，就是运输过程中鞋舌有点撅了</t>
  </si>
  <si>
    <t>比较相信WMF不锈钢产品 比较信任WMF不锈钢产品，外观也很好，就是汤勺不是很大，本来想买大一点的汤勺，就是看标注的尺寸很难把握究竟有多大，希望亚马逊在中国销售，有比较真观的标注方式，因为是进口的，按亚马逊的政策退货，不是质量问题，退货的费用是很高的，且要买家自己承担，如商品价格不是很贵，退货的运费甚至超过货品的价格，买家会进退两难，也影响购买</t>
  </si>
  <si>
    <t>鞋 码数刚刚好，比实体店划算</t>
  </si>
  <si>
    <t>沉稳低调的笔 轻重适中，粗细合手，重心靠近笔尖。标配两只墨囊，没有上墨器。好在国内马家店有包邮的。写感和欧美金笔略有不同。</t>
  </si>
  <si>
    <t>太大了 偏大太多，应该买L码的，底边是白色带字的，很好看，宽松点单穿也还好，177/78，太大了</t>
  </si>
  <si>
    <t>虽然是钢尖，但很弹软，书写体验也挺不错，用的4001的墨，粗细正合适，练字日用都是五百元档的首推吧 虽然是钢尖，但很弹软，书写体验也挺不错，用的4001的墨，粗细正合适，练字日用都是五百元档的首推吧</t>
  </si>
  <si>
    <t>添柏岚靴子评价 鞋子非常舒服，大小合适，由于尺码不熟悉，客服非常热心的解答，按客服的尺码下单，大小非常非常合适。 赞。</t>
  </si>
  <si>
    <t>性价比高 价格便宜，还便宜好多，就是亚马逊本土化太差，购物体验差，比京东差几个档次，或许是美国人的骄傲吧，东西蛮不错，值得肯定。</t>
  </si>
  <si>
    <t>初二女孩用，正合适 先买个试试，不错，女儿喜欢</t>
  </si>
  <si>
    <t>为什么要有多此一举的标题… 经典小方块，个性反显挺好看的。手腕细的戴着也不是很大，赞</t>
  </si>
  <si>
    <t>完美 买的男款s码，160cm 45kg，穿起来很宽松，显瘦。一直喜欢champion的简约T，满分！</t>
  </si>
  <si>
    <t>好 奶瓶不错哦，就是换奶瓶了她不怎么喜欢。没什么味道，直邮大概二十天左右到的</t>
  </si>
  <si>
    <t>很喜欢 正品无疑，是金笔不是镀金笔，上面18k-750写的很清楚,也有吸墨器，很棒。</t>
  </si>
  <si>
    <t>不错 产地是孟加拉国，比南美产的做工更细致，长度尺寸很合适，L号对于188/86的人来说，整体稍大了点，可能M更合适</t>
  </si>
  <si>
    <t>有小号的换吗 我买的m号在途，有小号的可以和我换.</t>
  </si>
  <si>
    <t>推荐 好用。真的能冲出脏东西</t>
  </si>
  <si>
    <t>价格优惠 海淘价格优惠太多了，比找代购或者旗舰店省了好多，用着感觉还行，就是怕影响孩子入盆，等生了以后再用吧</t>
  </si>
  <si>
    <t>货品与图不一致。 货品与图不一致，带头比图上这件看起来更像便宜货的感觉</t>
  </si>
  <si>
    <t>一般般!!!!!!!!!!!!!!!! 比原配的滤水速度快,分辩不出效果,只希望一样拉</t>
  </si>
  <si>
    <t>码子正 布料有点薄  不是厚实的那种</t>
  </si>
  <si>
    <t>买时注意尺码 买之前没有看评论，裤子过大，因为退货费高于商品价格未进行退换。</t>
  </si>
  <si>
    <t>褪色 不建议买这个黑色。褪色严重</t>
  </si>
  <si>
    <t>做工差 没体验到工匠精神，整个做工很差，安装时被封口刮伤了。</t>
  </si>
  <si>
    <t>怎么换小码 偏大一码</t>
  </si>
  <si>
    <t>卡西欧不错啊 表质量不错啊~没有以前评论那样容易划坏表面，走时也很准，我打球什么的，剧烈晃动也没什么问题，但是才用了一个月，不知道以后会怎么样~值得一提的是，表真的很轻~</t>
  </si>
  <si>
    <t>码数还好 180的穿m码还差不多 感觉偏大一点点 裤子很透！建议内内不要太鲜艳（笑）</t>
  </si>
  <si>
    <t>小巧玲珑，功能齐备。 给女儿的礼物，非常满意。</t>
  </si>
  <si>
    <t>总体上还是满意的 推荐 总体上还是满意的 推荐购买 有几个小问题 一个是抬腕亮表不太灵敏 有时候得抬好几次 还有一个就是普遍问题了 看屏幕要特定调调角度 经常看不清 习惯了也还好</t>
  </si>
  <si>
    <t>很好 价格便宜，之类也好，比较适合贴身穿着</t>
  </si>
  <si>
    <t>值得购买 防缠绕真是非常好用的！设计精良，可惜东西并不是完美全新，有些许磕碰，有点遗憾。</t>
  </si>
  <si>
    <t>性价比高 皮带属于宽款，这点是不错的，比大多数皮带宽，舒服，缺点是皮带末端容易翘，36的裤子买38的皮带，基本合身，穿了一阵后发现没有太多的畸形，性价比极高的产品吧。</t>
  </si>
  <si>
    <t>无话就是好 无话就是好</t>
  </si>
  <si>
    <t>好看好用 物美价廉。非常好看。</t>
  </si>
  <si>
    <t>东西好 经过漫长的等待，终于到了，大概十多天，比美亚多了半个多星期，63.5公斤，170上身偏瘦穿S号紧绷，穿M号很贴身，但压缩感就差很多</t>
  </si>
  <si>
    <t>比较满意的一次购物 参考评论，又去官网找个尺寸，尺寸选择合适，做工可以，较薄适合春秋。</t>
  </si>
  <si>
    <t>满意 感觉不错，就是一打三个一模一样，有点遗憾，别的都好本人179cm 93kg XL正好</t>
  </si>
  <si>
    <t>超值！ 我之前在天猫的非旗舰店买过（但也是挂飞利浦的名字），回来后牙刷把整个口腔都刷烂了，而且每次在国内电商买的牙刷头都和牙刷不是很契合。 这次在亚马逊海淘回来的刷头都能很好地和牙刷契合，相比国内还便宜很多。</t>
  </si>
  <si>
    <t>超级棒的卫衣，好看细腻 质量超级好，做工细致，包装也不错，超级合身，我116斤穿L很合适</t>
  </si>
  <si>
    <t>威迪文小智尊 笔尖开缝不是很正，书写下水顺畅，价格基本根据汇率一直在变，还在试用，笔尖无墨迹，应该是全新的，方形笔握特殊手感，不知道时间长了会不会搁手，目前没有挂纸和飞白</t>
  </si>
  <si>
    <t>购买商品没顾虑，能保证真货  ，就是网页上的商品少。 鞋很好 很满意  提个购物体验 我本想买大鹅远征系列服 首选你们平台 可是太让我失望了 搜出所有大鹅羽绒服只有三款 太失望了 只好去京东了 买了一件远征系列的羽绒服 不知道我的购物体验能不能起点作用。</t>
  </si>
  <si>
    <t>挺好的 CK中非常不错的一个系列，按正常腰围买没错，84CM腰围穿M号适合，CK内裤腰围跨度有点大，穿L号有点松，穿M号又有点紧，不过还是M号合适，毕竟到后面松紧带会松</t>
  </si>
  <si>
    <t>速度快，使用方便 全新产品，已经设置好，接上电脑就能使用，传输视频文件速度能上80-120之间，很不错，空间够大，这下备份照片不愁了。</t>
  </si>
  <si>
    <t>挺好 还行</t>
  </si>
  <si>
    <t>号码适合 衣服的性价比很高，我看的评价选择的号码M，稍小一点，但可以穿，173CM72Kg，L号合适。</t>
  </si>
  <si>
    <t>手感佳，出水流畅 手感好，出水流畅，送的墨管很好用，吸墨器也很实用，握笔的地方有一点点小瑕疵，但是不影响。 不过造型上真的是太中庸了一点，之前一直想买LAMY的一款，亚马逊一直断货，就买了这个，出去外观三星，其余满分！</t>
  </si>
  <si>
    <t>好用不贵 耐用，好清洗，蒸汽消毒无压力。唯一缺点容易发黄，宝宝自己喝0不担心摔坏</t>
  </si>
  <si>
    <t>功能齐全 东西还是很不错的，功能多，家用完全足够，各种花式咖啡几乎都可以。就是刚到货安装时调试了半天，说明书没有中文，研究再研究，好在研究出来了。</t>
  </si>
  <si>
    <t>质量好 质量好，价格实惠，穿的帅气，过一些日子重新评价</t>
  </si>
  <si>
    <t>很好的休闲鞋！ 质量很好，性价比很高，很喜欢！</t>
  </si>
  <si>
    <t>大很多 尺寸大了不是一点点，170cm,58kg，可以穿在棉袄外面，抓绒比较薄，春秋天穿的</t>
  </si>
  <si>
    <t>脚后跟磨坏了 大小买的合适。但是鞋子后脚跟的地方又薄又硬。。。穿了两天脚后跟都磨坏了。。。真是醉了。不知道为啥那么多好评。。。难道这里也和淘宝一样刷单么</t>
  </si>
  <si>
    <t>裤子成分标注不准确 裤子版型舒适，适合高大健壮的人。但不是棉的</t>
  </si>
  <si>
    <t>与下单不一致 物流太慢。笔的外观颜色不匹配。</t>
  </si>
  <si>
    <t>质量不好 很差  新衣服洗了4次 还一直在掉色掉渣，布料也一般</t>
  </si>
  <si>
    <t>还好 看评论180买的m码，稍微有点小，l码就好了，抓紧减肥吧。布料挺粗的，就买个牌子，也不要啥自行车</t>
  </si>
  <si>
    <t>还是有点渣的，整体不错 还是有点渣的，整体不错</t>
  </si>
  <si>
    <t>是2.4升中号壶哦 壶是2.4升中号的 爸妈用惯了大号还一下子不太适应。下单第二天就涨价了……</t>
  </si>
  <si>
    <t>稍微有些短 168cm以上穿会觉得有点短，而且页面没有选择尺码的地方，建议完善</t>
  </si>
  <si>
    <t>👟 样子挺喜欢 然后颜色比图片上白 但是鞋子味道比较大 希望质量可以吧</t>
  </si>
  <si>
    <t>还不错 保温效果不错，适合小宝宝用</t>
  </si>
  <si>
    <t>推荐购买！ 本人174cm，64kg，购买尺寸是30Wx30L，上身很合适。 海淘裤子尺码基础知识： 1、老美用的单位是英寸，所以要乘以2.54换算成厘米； 2、W指腰围，L指裤长，这里要注意的是老美的裤长L指的是裆部到裤脚的长度，不是整条裤子的长度！</t>
  </si>
  <si>
    <t>物有所值 使用了一段时间，确实如其表述，轻、易干、材质硬但不伤刀，且富有弹性。</t>
  </si>
  <si>
    <t>漂亮的圆胖子 已收到 漂亮的圆胖子 有点点味道 消毒下就没有了 好后悔没多入一个 希望宝宝不要排斥它</t>
  </si>
  <si>
    <t>值得购买 用了一年多了，日常装开水用的，非常保温</t>
  </si>
  <si>
    <t>不错 颜色和图片有点点色差，同事都说带着好看～不错</t>
  </si>
  <si>
    <t>值得入手的铸铁锅 八天到货，比预估时间早了三天。途中保护的不错，外观没什么缺陷。果真很重，得双手托着，就当锻炼臂力了。这款铸铁锅还是值得买的。</t>
  </si>
  <si>
    <t>挺好 挺划算的，做工质量都好</t>
  </si>
  <si>
    <t>还不错 买了2盒都破了，有点难过，不过售后处理还是蛮好的</t>
  </si>
  <si>
    <t>漂亮 31号下单5号到货，保温杯看起来不错，很秀气也很轻</t>
  </si>
  <si>
    <t>推荐购买 很不错的东东，值得购买</t>
  </si>
  <si>
    <t>奶瓶 孩子小时候一直用这个奶瓶，现在囤货给二宝，顺便帮弟弟小孩买</t>
  </si>
  <si>
    <t>宝宝必备品 很神奇，热了就会变白，用凉水冲冲，颜色恢复。解决了在手上试温度的反锁。勺子柔软，孩子不会用奶瓶，但会用勺子。</t>
  </si>
  <si>
    <t>Conair Hc900 平滑修剪理发器 就说下缺点吧：1想要剃得非常平整的话，要来来回回往返太多次，2充电后用不了45分钟，第二次再剃头的话，必须要先充电，3剃耳边与颈部后面的那些软发，基本上剃不动。目前就这些了</t>
  </si>
  <si>
    <t>还可以再便宜一些 价钱很一般，还可以再便宜一些</t>
  </si>
  <si>
    <t>大小合适，赞 含税八百多收到货，送给朋友的乔迁礼物，很不错</t>
  </si>
  <si>
    <t>好👌 要是有三🈴️合的就完美了，当然，价格比万古烧贵了许多</t>
  </si>
  <si>
    <t>舒适 大小合适，跟其它牌子的型号一样。穿着很舒服，不愧是CK。</t>
  </si>
  <si>
    <t>大小合适 没有偏大或者偏小，和之前穿的运动鞋差不多，一个鞋垫搞定</t>
  </si>
  <si>
    <t>可以 这裤子真的出乎我意料，200块钱的东西竟然这么舒服，果断再买两条其他颜色。</t>
  </si>
  <si>
    <t>送亲戚小孩的礼物 看小家伙已经用上了，很可爱，带勺子也方便</t>
  </si>
  <si>
    <t>good 轻便透气，made in indonesia，相同价位估计国内买不到。43码的脚买这个挺合适。</t>
  </si>
  <si>
    <t>和图片不符合 收到的衣服和图片不符合，没有logo</t>
  </si>
  <si>
    <t>尺码偏小 嗯 本人178，体重65 买的M码 穿着有些小 但款式很好看，给了我老姐了，又拍了一件L尺寸的 刚刚合身很好</t>
  </si>
  <si>
    <t>转速是5400转的，读写大概有120多M，中规中举不好也不坏，但贴近耳朵听每隔几秒就卡擦一声 转速是5400转的，读写大概有120多M，中规中举不好也不坏，但贴近耳朵听每隔几秒就卡擦一声，感觉不靠普，随时有崩溃的感觉，至于好不好用，慢慢再评价</t>
  </si>
  <si>
    <t>售后太差！！！ 东西用了1个多月，就破掉了。无法使用，售后消极还不负责，还告诉我自己去练习品牌售后。</t>
  </si>
  <si>
    <t>货发错了。 平常我都是买书。因为考试需要，我就尝试着买块手表，看看用的东西怎么样~没想到竟然给我发错货了。我定的是这款货，结果不知道因为卖完了还是怎么回事~送过来的时候，盒子的外包装是MQ-24-7B的。但表带子标签的货号~却是MQ-24-7B3LDF。手表也是MQ-24-7B3LDF。让我情何以堪。办理换货。。换不到。说卖完了，没货。明摆的欺负老实人么。我诚心想卖，你诚心不想卖。哎~气死我了。我不会再跟卓越有交集了。</t>
  </si>
  <si>
    <t>第一块citizen 目前感觉不错，外观漂亮，待着舒服，走时比较准，有点重就是。</t>
  </si>
  <si>
    <t>还不错 奶嘴在不吸吮跟碾压的情况下也会滴水，奶瓶因为是硅胶材质，不知道好不好清洗哦。不过奶嘴设计我宝宝确实会吃，还不错了。</t>
  </si>
  <si>
    <t>一般般 做工一般偏瘦小。款式不错</t>
  </si>
  <si>
    <t>小朋友喜欢，有点漏，有点漏！ 小朋友喜欢，有点漏，有点漏！</t>
  </si>
  <si>
    <t>马马虎虎 还可以，就是价格比较贵</t>
  </si>
  <si>
    <t>性价比高 性价比高，本来就显旧款，所以甭指望太干净</t>
  </si>
  <si>
    <t>裤子质量还行 裤子质量不错，就是裤管肥了一点，本人170.68。31/29腰围正好，长度可能30更好些。</t>
  </si>
  <si>
    <t>起球很厉害 版型不错，起球很厉害</t>
  </si>
  <si>
    <t>168/65小号正好 对中国人来说尺码偏大，168/65穿小号正好，一开始穿的确里面会有少量黑色的绒绒掉下来，洗过两次就好了，穿起来还是很不错的</t>
  </si>
  <si>
    <t>超级值 190/68公斤，肩宽，瘦，L号正合适，在国内不好买到合适的衣服，大牌还这么便宜，5天到。海外购真的很方便。</t>
  </si>
  <si>
    <t>博朗9087X 非常满意的购物经历，发货及时，货物完好无损。到手后，马上使用，非常棒。</t>
  </si>
  <si>
    <t>好东西，值得么 非常好，舒适，便宜，</t>
  </si>
  <si>
    <t>评论有误 价格不错，物流不错，质量不错。就是评论有错！！！哪个说尺码偏小？找出来走两步！明明一样的好不好！我家一直M，这款看评论后买L，大好多！！！</t>
  </si>
  <si>
    <t>质地好，无异味 无异味，非常可爱，质地柔软</t>
  </si>
  <si>
    <t>好笔 第一次用派克的笔，青黛蓝颜色很漂亮，F尖比一般F的略粗一点点，书写很流畅，有一点舒服的沙沙声</t>
  </si>
  <si>
    <t>烧水壶 亚马逊，我为你点赞👍，我还是会回到亚马逊！当心爱的水壶在运输过程中划坏之，传上图片后，心里堵得慌，我是不抱什么希望的，觉得只有自认倒霉，因为我没有时间去跟商家纠缠，但亚马逊却退回了全款，谢谢！这就是亚马逊，诚信经营！对每一个客户都会负责任！</t>
  </si>
  <si>
    <t>神速！表的外观很时尚 11.26下的单，12月1号就到了，神速！太开心了，就是稍微有点小，当时没看清除尺寸，还不错，也对得起这个价格了，关键是真货。</t>
  </si>
  <si>
    <t>还没有使用，这款据说是顶级的，应该好用吧。 拆开看了一下， 其中有一支有一根刷毛是弯的。不知道会不会有影响</t>
  </si>
  <si>
    <t>半价买的，亚马逊童叟无欺 配件丰富，功率有点欠缺，外观现代感</t>
  </si>
  <si>
    <t>裤子 收到宝贝好几天了，很满意！舒服就不要不要了超级喜欢👍</t>
  </si>
  <si>
    <t>ECCO Biom Venture Tr Gore-tex 男士徒步鞋 为冬天准备的，ECCO鞋子没得说，穿着舒服</t>
  </si>
  <si>
    <t>很不错 穿着不累，样子还很美。女人味十足，非常适合上班穿</t>
  </si>
  <si>
    <t>好用 一起还买了个360ml的，试了下，都很好！</t>
  </si>
  <si>
    <t>质量好 正品 看了好久 降价了来买 很划算 颜值也很高</t>
  </si>
  <si>
    <t>好鞋，足背略紧（高足背者留心） 平时穿42的，看评论说这鞋码大，买了41的。总体比较合适。  可能我的足背偏高，穿着足背比较紧。另外脚型关系，脚趾横向比较挤，前面还有富余。  大约穿穿会更合适。</t>
  </si>
  <si>
    <t>要是白底不泛黄就好了 好看，缺点是ecco的环保鞋底，只要穿一次就很难在刷干净，时间长回泛黄</t>
  </si>
  <si>
    <t>好 质量好＇下次还买小一号＼</t>
  </si>
  <si>
    <t>真的是太难喝了。。 真的是太难喝了。。味道太奇怪。。。</t>
  </si>
  <si>
    <t>海外购不推荐买电子产品 第一次给一星差评，之前在淘宝都没给过差评，没想到自己的第一个差评给了最信赖的亚马逊。贪图便宜，买了英亚的硬盘，包装无损，但用了不到一个月就出现不可修复的坏扇区，联系亚马逊客户就是一句冷冰冰的找厂家，再问不提供任何信息（也是第一次碰到这么高傲的亚马逊客服）。官网注册看到有2年保修，但只针对英国。自己尝试了各种修复办法，均无效。咋办，只能算自己倒霉，但，亚马逊这种涉及质保的电子产品建议还是别海外购了。 当日补充：通过再次换软件测试，损坏的扇区很多，也很分散，无法通过屏蔽来保持使用状态，再次拨打亚马逊客服，这次的客服人员态度很好，目前正在办理退货，随后会再次更新，先将评价改为三星，因为亚马逊的评论是国内唯一相对客观的评论了</t>
  </si>
  <si>
    <t>不是白鹅绒 是灰鹅绒不是白鹅绒，介意的勿拍。</t>
  </si>
  <si>
    <t>假的 这个是假的，买回来根本没法穿，因为看小孩太忙没退换。我买过真的，这个一折开就知道是假的，跟大女儿买的少女小背心（30来元）差不多——极小</t>
  </si>
  <si>
    <t>质量很差 之前买过CK的内裤，质量很好一点线头没有。这个内裤经常出线头就不说了，而且稍微一拉就扯了，有一条买了不到1个月左手边已经扯坏了</t>
  </si>
  <si>
    <t>装完后接头漏水 花洒装完后左边热水接头处漏水，外墙墙漆全部翘起，这是为什么呢？</t>
  </si>
  <si>
    <t>有瑕疵的鞋 以非常惊喜的物流速度收到了货，外包装完好，打开后，两只鞋均出现同样的瑕疵，如图所示，有明显的类似于刮痕的痕迹，同时有一种类似于皮革返潮后出现的渍痕。我原有的类似款的ecco凉鞋，在下雨天穿过后，才会有类似的痕迹。不知道是什么愿意造成这种结果。</t>
  </si>
  <si>
    <t>第一次购买，货品效期太近，不太满意！！ 看了产品介绍，第一次购买，效果无法评价。但货品有效期太近了，包装也有些污损，影响心情！</t>
  </si>
  <si>
    <t>还不错 鞋的做工不错，颜色偏棕红，买的UK6.5/7的码EU是40，跟以前买的哥伦比亚的户外鞋同码比要大至少半码吧，脚长245毫米平时穿球鞋40.5，鞋子垫了比较厚的鞋垫，穿厚袜子还有空间，脚长255毫米瘦脚应该是能穿的，适合冬天穿吧，气温超过15度会焐脚吧。</t>
  </si>
  <si>
    <t>Lee 实物跟图片比较接近，喜欢</t>
  </si>
  <si>
    <t>好评 鞋子很好看，但是码数还是买大了一码，平时穿41码，皮鞋买40码，这次买8M还是有点大</t>
  </si>
  <si>
    <t>产品质量不错 M号的对于身高180，体重75KG来说还是稍大了一点，但如果是S号会不会又太小了</t>
  </si>
  <si>
    <t>弹力牛仔裤 偏厚的适合春秋穿着，质地舒服，适合开机车</t>
  </si>
  <si>
    <t>可以的 &lt;div id="video-block-R26FDGQZUZXI5O" class="a-section a-spacing-small a-spacing-top-mini video-block"&gt;&lt;/div&gt;&lt;input type="hidden" name="" value="https://images-cn.ssl-images-amazon.com/images/I/91GLusNNo9S.mp4" class="video-url"&gt;&lt;input type="hidden" name="" value="https://images-cn.ssl-images-amazon.com/images/I/71XBVrYoxhS.png" class="video-slate-img-url"&gt;&amp;nbsp;真假不知！但是能手动收播成功！心里就稳了！2000这样买个电波表还是不错的！快递大概一星期就到了！神速！包装简单了点！一个盒子其他没有了！简单的一个吊牌！</t>
  </si>
  <si>
    <t>速度快，东西好！ 24号下单，6月6号就到了，速度真快！包装虽然简单，产品外就套了个盒子，但包装完好无损。牙膏是按钮挤压的，狠方便哦！</t>
  </si>
  <si>
    <t>超出预期 好好好好，十分完美！</t>
  </si>
  <si>
    <t>轻便 保温 第三次回购</t>
  </si>
  <si>
    <t>很好，不过中国人小两个码就好 质量很好，就是第一次买，码买大了</t>
  </si>
  <si>
    <t>亚马逊海外购太好了！ 材质舒适，薄款，杯罩、围度大小都正好，喜欢。</t>
  </si>
  <si>
    <t>很棒 非常棒，结实，舒适</t>
  </si>
  <si>
    <t>码正好看 衣服质量很好，颜色很正，穿着也很舒适，显瘦，非常好~</t>
  </si>
  <si>
    <t>PUMA 男式 Thunder Desert 休闲运动鞋 越南产，上脚效果好。其他品牌都穿us9，这双偏紧，可以穿，建议买大半号。</t>
  </si>
  <si>
    <t>挺好 鞋子很好，大小合适，还略增高</t>
  </si>
  <si>
    <t>容量大 东西狠不错,容量大，这样我就不要删除一些必要的文件了</t>
  </si>
  <si>
    <t>不错不错不错 不错 裤子号比较大 我上次买m长 这次换了s</t>
  </si>
  <si>
    <t>不错 码数很准的。内外全皮。</t>
  </si>
  <si>
    <t>质量很好 质量很好</t>
  </si>
  <si>
    <t>内层 内层比抓绒衣要薄一些，但是真的很好看！买大了一码，穿着更舒适</t>
  </si>
  <si>
    <t>很满意 一星期就收到了，大小合适，舒服。</t>
  </si>
  <si>
    <t>漂亮的手表 表真的很漂亮，感觉很值，戴上也挺舒服的，走的也很准</t>
  </si>
  <si>
    <t>绞肉机 小电器轻便，适用，好清洁。</t>
  </si>
  <si>
    <t>比较满意 裤子很喜欢，厚度、版型和裤腿宽度都符合期望，就是没有33寸裤腰的，本人买了2条，32寸偏紧，34寸又偏松。尺寸基本上符合英寸所表示的，本人腰围二尺六，裤长三尺一左右，买的是34x30。</t>
  </si>
  <si>
    <t>舒服 不是很厚，但是穿起来挺舒服的，质量很好，有四条</t>
  </si>
  <si>
    <t>不太好 质量不太好，做工也不怎么好</t>
  </si>
  <si>
    <t>有异响和电流声 不知道是不是正常的，很大的电流声噗噗的响不知道是该换还是？</t>
  </si>
  <si>
    <t>砂眼 海淘避免不了的瑕疵问题，铸铁珐琅锅多少都有些瑕疵，已经有心里准备了，锅盖完美，好歹有外面再套纸箱和气泡纸，包装算是改进些了，但是锅的外壁一个可以容忍的砂眼，内壁的砂眼有一粒东北大米那么大，和客服沟通后妥善处理，很不错，先用着吧，希望下次能买到更好的品相商品</t>
  </si>
  <si>
    <t>太磨脚了 太磨脚了，怎么办？都怎么处理的？</t>
  </si>
  <si>
    <t>鞋小 收到后和照片效果还是有一定差距的，看上去应该是别退的，250mm的脚，穿40的太小，前面夹脚，后面磨脚，不舒服，失败。41的可能会合适。</t>
  </si>
  <si>
    <t>衣服太大，还不一致。 大一码，而且货与图片不一致，图片是白色标志，到货是深色标志。</t>
  </si>
  <si>
    <t>一股再生塑料的味道！！！双层封口也比以前买的窄！强烈怀疑是假货！ 一股再生塑料的味道！！！双层封口也比以前买的窄！强烈怀疑是假货！</t>
  </si>
  <si>
    <t>款式/做工都可以的 因为之前在美亚海淘的ECCO正装皮鞋尺码小了些（主要是宽度）所以这次买之前反复犹豫尺码，俺皮鞋一般40或40.5就可以，最后还是入了7.5UK，昨天收到发现还是鞋长还是大了一厘米左右，宽度倒是刚刚好，也不会压脚背。</t>
  </si>
  <si>
    <t>鞋子不错 刚穿鞋底略硬，不知道穿一段时间会不会好些，平时clarks皮鞋穿Uk8码，阿迪，耐克穿43码，这款42码正合适，供参考。</t>
  </si>
  <si>
    <t>比国内买便宜些吧 春秋穿可以，夏天有点热。左脚有些磨脚后跟。穿几天就好了</t>
  </si>
  <si>
    <t>码数偏小 如图所示，码数偏小，发货快。</t>
  </si>
  <si>
    <t>不错 这个价位真的不错，国内至少要卖六百以上，就是外观一般，论音质值得购买，</t>
  </si>
  <si>
    <t>刷头挺好用的 不错，价格挺实惠的，就是包装有点儿戏了</t>
  </si>
  <si>
    <t>厚实 很合适，秒杀国内牌子，不掉档，不拉丝，好厚</t>
  </si>
  <si>
    <t>服务很好 耳机不俗，很经典，服务很好，下次再来。</t>
  </si>
  <si>
    <t>便宜 便宜又好用</t>
  </si>
  <si>
    <t>亚马逊 货品收到还没用，只是觉得这包装有点差劲</t>
  </si>
  <si>
    <t>很满意，热带雨林的感觉 水很旺，但是注意要买这个花洒前提是家里水压一定要够，再就是这个花洒非常有质感和重量，家里别花洒的那个卡扣如果松的话是别不住的！</t>
  </si>
  <si>
    <t>还算满意 s码有点瘦，不过还好！下次买m码试试，估计裤腿会长！抽绳设计的不错，还算满意。</t>
  </si>
  <si>
    <t>打折时买很确实很值 一次买了两个，小的是国产的，大的是越南产，500比以前480的多一个塑料的底座，应该更耐摔些吧，以前的480就摔的底有些变形站不稳了，也不太保温了。梦重力系列又轻又好用，一打折连专柜都下架了，为什么国内就卖那么贵呢</t>
  </si>
  <si>
    <t>味道 味道还可以，不恶心</t>
  </si>
  <si>
    <t>不错不错，替换装很方便。 不错不错，替换装很方便。</t>
  </si>
  <si>
    <t>鞋码大小 价格美丽，就是鞋码有些偏小。平时穿36码的，买了3.5UK的有点挤脚，这次去英国试了4UK的正好。</t>
  </si>
  <si>
    <t>很赞 很赞，不错的衣服，值得入手</t>
  </si>
  <si>
    <t>好 鞋子很轻穿着舒服。</t>
  </si>
  <si>
    <t>完美舒服！太棒了！！ 第一次购买哥伦比亚休闲裤，舒服，透气，还轻微防水，到手不到200块，太实惠了，因为舒服，再次又订购了两条其它版型的。</t>
  </si>
  <si>
    <t>刚到货 跟市面上的差不多的，真的不算是男表。我的同学戴也都是女生。对于男生，这表太小。因为没怎么用过，对于防水或者其他效果不敢妄加评论。过后我会增加评论的！</t>
  </si>
  <si>
    <t>好 挺好的就是孩子不爱用奶瓶吃奶</t>
  </si>
  <si>
    <t>176，73中码，略大，衣服比较长 176，73中码，略大，衣服比较长</t>
  </si>
  <si>
    <t>衣服偏大 衣服偏大</t>
  </si>
  <si>
    <t>东西不错 很好好好的</t>
  </si>
  <si>
    <t>轻薄，适合夏天锻炼 轻薄，适合夏天锻炼，大小也合适。老公非常喜欢</t>
  </si>
  <si>
    <t>没有想象中好用 内置软件一用就死机。。。然后我格式化了。。。然后为什么读写速度那么慢。。。</t>
  </si>
  <si>
    <t>一般般 中腰，卷边，舒适度差一点，不太亲肤</t>
  </si>
  <si>
    <t>还行 宽松型的，穿着舒适。裤兜里有粉末，不知是什么。洗了一次居然没洗净。</t>
  </si>
  <si>
    <t>有质量问题，退货居然要我寄回美国洛杉矶！ 锁定钻头之后，开2档和面，钻头会上下颤动。关机锁定钻头，用手上下摇动砖头，多摇几下钻头都会上下松动，证明是质量有问题，钻头无法锁死。申请退换货，要我退回美国洛杉矶，而且只退160元运费！这货这么重和大，寄回去没有一两千是搞不定的。对亚马逊的海外购严重失望！</t>
  </si>
  <si>
    <t>外国的月亮不一定圆 自己看照片吧，到货一个半月，也就用了不到10次，还真皮）～</t>
  </si>
  <si>
    <t>轻，弹性好 给老父亲买的，说鞋底弹性好，鞋子很轻，散步非常好。</t>
  </si>
  <si>
    <t>物流真快，质量一般。 260的脚长，脚肥入的8.5加宽。正好合适，做工一般是中国产的。牛皮的质量看上去挺好的。上脚有点重但是可以接受，还算满意吧。</t>
  </si>
  <si>
    <t>衣服总体满意，细节不够好。 身高175.体重69。s码合身。衣服表面没问题，内口袋缝线混乱，线头多。一看产地孟加拉国，难怪。国际大牌为了省人工不择手段，小心产品口碑。拍照上传失败n次，亚马逊也是奇葩。</t>
  </si>
  <si>
    <t>益生菌很好哦 收到了，益生菌很好哦，就是包装有点坏了，还好是自己用的</t>
  </si>
  <si>
    <t>不错 脚背那太低了，应该买大一码。鞋子不错哦，天猫双十一也要将近七百，这里加运费税才五百多，十天收到，赞。应该是正品。</t>
  </si>
  <si>
    <t>音质很好 音质很好，只是佩戴不是很牢固，晃头会掉。</t>
  </si>
  <si>
    <t>吸收快 吸收很快，味道稍甜，淡一些就完美了</t>
  </si>
  <si>
    <t>号码偏大，178，74kg穿M号 面料，做工都很好</t>
  </si>
  <si>
    <t>西铁城老字号，手表质量ok 物美价廉，质量OK。亚马逊海外购商品，日本原装手表。听说太阳能手表不能超过半年不充电（不见光线）。</t>
  </si>
  <si>
    <t>深灰色的那条最好 结论，很好。中度灰色那个，就是比最浅灰色深一些，比黑色浅一些的那个灰色，那才是最舒服的。比ck舒服不少。另外一条黑色也不错，浅灰色就是棉的。三条内裤三种材质，深灰色最适合春秋冬穿，很舒服</t>
  </si>
  <si>
    <t>修身版 和图片一样哈，是修身款。</t>
  </si>
  <si>
    <t>很赞！ 鞋子本身尺码偏小，建议选大一码。鞋面较软，后跟和脚踝的包裹不错。适合篮球入门小朋友穿着。</t>
  </si>
  <si>
    <t>很满意的一次购物 衣服的尺寸和颜色都十分合适，非常满意</t>
  </si>
  <si>
    <t>好评 降噪四档还是很有效果，音质解析很好，总之，老婆很喜欢，值了</t>
  </si>
  <si>
    <t>试穿后 250cm，买EU40，US7码M合适</t>
  </si>
  <si>
    <t>一般。 穿起来，无模特的效果。</t>
  </si>
  <si>
    <t>好用 第一次买的是坏的，这次的不错，价格也优惠，配了一盒刷头，很满意，刷的很干净</t>
  </si>
  <si>
    <t>很好的保健品 比海淘便宜还方便，海外购赞一个！</t>
  </si>
  <si>
    <t>使用方便 很好，自己很喜欢</t>
  </si>
  <si>
    <t>划算 不含税238的价格基本抄底了吧，赶紧给儿子重新买了一个，原先的那个用了三年啦</t>
  </si>
  <si>
    <t>方便 机器不错，小巧简便，和酒店的一样，快递无额外包装，，德标2孔插头可以直接插入国标插座正常使用，电压没问题，但由于没有接地了，有一点小风险。赠送的原装胶囊不错。清关到国内是转顺丰送的，很快。制奶泡、清洗都很好用，看好刻度不要过满，适合使用频率不高的人。</t>
  </si>
  <si>
    <t>布鲁克斯甘油17 哎呀妈呀，简直太喜欢了！</t>
  </si>
  <si>
    <t>可信赖的品牌 非常好，舒适，保暖性强</t>
  </si>
  <si>
    <t>最好小宝喝 唉……宝一岁时肯喝的。断货了......一岁半囤了货，不肯喝了......酸腥...</t>
  </si>
  <si>
    <t>连裤袜 质感很好，做工也很好，喜欢</t>
  </si>
  <si>
    <t>背心 面料柔软舒适，大小合适，最好的一次购物</t>
  </si>
  <si>
    <t>给大宝的小学礼物 大宝快上学买个水壶带去喝水</t>
  </si>
  <si>
    <t>机器有些脏，功能还没体验 目前还没用，拆开看了感觉有点脏，像是被用过以后擦了留下的水渍，哎</t>
  </si>
  <si>
    <t>滤芯并不完美，但本次购物体验不错。 水龙头滤芯做工根本不行，产品不如描述的好。客服态度不错，已经给出合理的处理方案，购物体验不错。</t>
  </si>
  <si>
    <t>不满意 一般，感觉不是正品</t>
  </si>
  <si>
    <t>绝对不是正品 和之前几条LEE不同的是，1口袋里的里布上有毛球 ，不知道是用翻新料还是有人穿过。2，后袋里的面料还破了一个洞，3.后面的皮标志用的不是真皮，颜色和内容都不对 ，4 吊牌也不是用之前买的哪种，只有一个塑料胶针。5，拉链处一般LEE都是用橙色里布，这件不，6，以LEE的大牌，一般不会有太多线头，要这条裤线头近10个，一大堆！综合评定，假货！ 不是因为买了一个月再收到，就算申请退货，估计也要来回2个月，算了，不换了，扔掉算了！</t>
  </si>
  <si>
    <t>不可思议的假货 不可思议！！！包装盒明显二次包装，这个包装明显不是一大一小，都是150毫升的，而且我之前买过这个奶瓶，里边是有隔层的，有图为证（最后一张是我以前买的），这个明显给撕掉了，到底真假呢？这个海外购也卖假的？！我要退货。</t>
  </si>
  <si>
    <t>薄款 稍微薄了一点，有时候还挺尴尬的</t>
  </si>
  <si>
    <t>性价比高 到手大约1个月了，说下使用感受，耳罩夏天用略闷热，音量偏低，比之前用的AKG要开高三分之一的音量，音质清澈，适合听纯音乐。第一次买拜亚的耳机，亚马逊海外购性价比极高，只有行货原价的一半，会员免运费大概一周收到。</t>
  </si>
  <si>
    <t>面料 面料稍差些</t>
  </si>
  <si>
    <t>宝宝很喜欢喝 宝宝很喜欢喝，一直喝这个产品</t>
  </si>
  <si>
    <t>弹性很足，布料摸起来也很不错，穿着也很舒服，但质量一般 大小正合适，但好像不怎么耐磨，没多久就挂了一个洞，色差比较大</t>
  </si>
  <si>
    <t>音质不错 接电视上用了一年半了，非常好</t>
  </si>
  <si>
    <t>很好的刷头 10个刷头，家里一起用一年够了，配合7000和9000用的</t>
  </si>
  <si>
    <t>尺码合适 200多元能买到hugo boss的皮带，超值！带身柔软，带扣做工精致。全牛皮，突尼斯手工制造。满意！85的尺寸是指带扣到第三颗扣眼的长度为85cm，皮带全长103cm。</t>
  </si>
  <si>
    <t>价格很优惠 合脚，US9=27cm，与正常运动鞋号码一致，价格才200多</t>
  </si>
  <si>
    <t>满意。 满意，面料微弹，腰部有松紧结构，稍微有点肚子穿的也很舒服。尺码正常。172、74kg  尺码32*30 直筒裤。裤脚能小一些就完美了。</t>
  </si>
  <si>
    <t>薄款，美码偏大 属于薄款，弹性一般，美国码偏大，170，74kg穿m太大了，s正好</t>
  </si>
  <si>
    <t>尺码 我真是机智，平时穿35码的皮鞋这个鞋我要了37码就是uk4，想着大了还可以垫鞋垫,感觉很合适，右脚脚踝处卡着骨头有点紧，要去撑一下鞋。穿上帅气，皮质很好，里面薄薄的有一层棉，冬天穿不冷。缺点就是试了一下容易起折横。挺满意的</t>
  </si>
  <si>
    <t>值得拥有 本人44.5的脚，脚面高且宽，选择了10.5码2e，不加鞋垫的情况下有点大，宽度正合适，1500左右的价格，相对满意，最近降至1400多，适合出手。鞋绝对是好鞋，期待磨合后的效果。唯一堵心的就是，鞋盒居然不是原装的！</t>
  </si>
  <si>
    <t>尺码刚刚好 第二次买了，尺码错不了。第一次买的建议先去实体店试试尺寸</t>
  </si>
  <si>
    <t>电源 很好 就是要匹配电源</t>
  </si>
  <si>
    <t>随意折的三瓣鞋 买前看过评论，果然是前掌比较宽，说的大半码也是也这个原因吧。这鞋子适合我们的脚型，皮子很软，活动也很轻松。</t>
  </si>
  <si>
    <t>三款详细规格如下 今天特意发邮件问了客服，客服帮忙查证告诉我这三款的规格是一个压面片儿的，和两个压面条儿的，规格分别是2mm粗细以及6.5mm粗细，因为页面没有详细写出来，大家可以参考下～</t>
  </si>
  <si>
    <t>很不错，刚好合适 很不错，刚好合适</t>
  </si>
  <si>
    <t>非常棒的造型和品质 造型漂亮，质量不错。</t>
  </si>
  <si>
    <t>穿上很帅气 版型不是很秀气，是帅气的那种。可能是由于有个宽边的缘故，显得脚好大。36脚买的US6，稍微大一点点，不过冬天穿厚袜子应该就合适了。</t>
  </si>
  <si>
    <t>CITIZEN 光动能手表 简洁大气，价格实惠。</t>
  </si>
  <si>
    <t>瓢虫也很好啊 瓢虫是送给外甥女的，小朋友喜欢</t>
  </si>
  <si>
    <t>鞋子尺码刚好合适，外表也没刮痕，挺满意的 脚长245，平时运动鞋穿us7.5，这双鞋买的7.0试穿了下，不垫鞋垫刚好合适，不过这款好像只有半截鞋垫，到底需要垫鞋垫不？</t>
  </si>
  <si>
    <t>支撑不错，戴久了也没有勒的感觉 东西确实不错，有支撑，戴久了也没有勒的感觉，有黑色的就更好了，白色不耐脏</t>
  </si>
  <si>
    <t>超值 含税450，超划算的，不过有几支开裂了。色彩绚丽，看着心情大好。7月6号收到，今天才拆包装看，满意</t>
  </si>
  <si>
    <t>衣服 袖子长了一点，其他还不错。</t>
  </si>
  <si>
    <t>腰围正 裤腿阔 给胖子买的 腰围尺码很正，裤腿太肥了，42码的裤腿口有50cm，太大了</t>
  </si>
  <si>
    <t>过大 大好多，只能送人了，</t>
  </si>
  <si>
    <t>码数偏小 平常皮鞋穿40码，以前买过ECCO的皮鞋码数偏大，以为凉鞋也会偏大，穿起来刚好还有点小，应该买41码的比较好。</t>
  </si>
  <si>
    <t>冠军的短袖 冠军的短袖我还是建议大家买日版的 美版的质量真的还不如国内的高仿。</t>
  </si>
  <si>
    <t>差评 和语气完全不一样，感觉不像真的，料子太薄，胸前的logo印的很low，退货要125的运费，坑人</t>
  </si>
  <si>
    <t>掉毛严重 非常失望。穿一次就掉一堆的毛。从来没买过这么次的打底裤。洗了三次依然掉个不停。严重怀疑亚马逊卖的厚木都是网店专供次品。</t>
  </si>
  <si>
    <t>快递态度特别差 包装不好，还未使用，就是物流方面不是很好，到快递点取快递，态度还那么差</t>
  </si>
  <si>
    <t>整体很不错，第一次买没经验，买大了点 整体很不错，第一次买没经验，买大了点。 老公一直想要这个牌子的鞋，选了很久，才选得这款。 穿上很帅气。</t>
  </si>
  <si>
    <t>很好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</si>
  <si>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hoppetta 购买了hoppetta跟grobag的睡袋，各有千秋。婴儿睡觉三件套必备的东西</t>
  </si>
  <si>
    <t>请加强包装喂德亚！ 比某猫上的同类产品低一千元。因汇率浮动可能有上下一百元的价格浮动。造型比入门款的精致，金属光泽显高级感。老公很喜欢～用过后再说哦！对了包装上也是醉了，德亚好省好环保，没有外包装，包装上破了个洞，但东西没有掉出来。一星就扣这点。建议德亚外面包几层缓冲气泡垫或上纸箱包装。如果送人的话，有个洞就尴尬了嘛～</t>
  </si>
  <si>
    <t>似乎有所作用 我闺女吃了以后，消化不好的问题有所改善，但还没有达到理想状态</t>
  </si>
  <si>
    <t>东西还不错 身高174，体重88，穿34w的正好，应该说比国内的版型大一点。另外布料比较厚，但是摸着手感还不错，应该比较经穿</t>
  </si>
  <si>
    <t>非常舒适 非常好，也很暖和，有暖气的冬天，穿这条就可以了</t>
  </si>
  <si>
    <t>售后服务必须五星。 八天收到货，会员免运费一共花了640元，收货后发现温度调节钮暴力运输给摔裂一条4厘米缝，客服投诉后告知可以退货或者本地维修，考虑退货麻烦本地维修收据开了290元，亚马逊给退款。产品没用不好评论，不过亚马逊售后必须五星。</t>
  </si>
  <si>
    <t>非常值得买。已经是第二双其乐了 物美价廉，大小选小一号。</t>
  </si>
  <si>
    <t>质量不错 原装线，质量不错，只不过最终还得断，那个是通病</t>
  </si>
  <si>
    <t>内裤男 洗了以后发现非常多的细毛，飘在水里，第一次一定要洗过在穿。</t>
  </si>
  <si>
    <t>中规中矩，不失美感 速度在预期范围内，挺轻的，很漂亮</t>
  </si>
  <si>
    <t>第二次购买 幼儿园必备，这个买来送给朋友家的小孩。</t>
  </si>
  <si>
    <t>满意 衣服大小合适，很满意！</t>
  </si>
  <si>
    <t>码数合适 162 116斤 m码合适 笔直布料</t>
  </si>
  <si>
    <t>very good！ 我们全家最喜欢的鞋就是ecco，我自己都有快10双了，这次海外购的价格很美丽，给自己和家人又买了七双！哈哈，收到鞋的时候大家都说好舒服，尺码正，最重要的要说三遍，舒服，舒服，非常舒服！对于年纪大的人来说，穿上ecco走路就是一种享受，走一天都不累。大家都表扬我，帮他们买到了性价比最高的鞋！</t>
  </si>
  <si>
    <t>very nice 真的特别舒服 非常满意</t>
  </si>
  <si>
    <t>32W32L 175厘米75公斤，32W32L的这条裤子很合身。 颜色也还挺喜欢的。 不过布料偏厚，应该是适合春秋季穿着的。</t>
  </si>
  <si>
    <t>ECCO不错 鞋不错，皮子很软，鞋底舒适，只是脚后跟有些磨，穿时间长后估计会好</t>
  </si>
  <si>
    <t>实用迷你包 小巧精致的尼龙包，隔层挺多，刚好能斜放一瓶矿泉水。定位夏天休闲</t>
  </si>
  <si>
    <t>三福霹雳马彩铅48色 不愧是三福霹雳马彩铅，叠色十分优秀，色彩艳丽，易上色，笔触很顺滑~虽然比较贵，不过因为是直接海外购的也比代购的便宜，值得购买！另外，包装的话还是比较严实的，里面填满充气袋，可能由于是美国那边发出的，又在海关查验折腾了好些天，原包装有被开过的痕迹，不过易客满有用胶带再次封好，里面的东西完好无损，这次是第一次海外购刚好遇到g20峰会，所以清关比较慢，咨询了亚马逊客服，服务还是不错的，无论是电话，邮件还是短信都是有回应，有帮忙解决问题，不会怠慢，希望继续努力越做越好。</t>
  </si>
  <si>
    <t>第一次在amzon买鱼油，体验不错 第一次在amzon买鱼油，体验不错，快递速度还好。 鱼油效果还需要使用后观察效果。</t>
  </si>
  <si>
    <t>666 从英国邮过来用了16天，质量不错，样式复古，看了下是摩洛哥产的，竟然用到了北非的产品..</t>
  </si>
  <si>
    <t>宝宝很喜欢 很实用。宝宝很喜欢，刚好可以抓住颈子啃的很欢畅，煮两回就好了，立马成为新宠</t>
  </si>
  <si>
    <t>好 还没有用过，颜色漂亮</t>
  </si>
  <si>
    <t>尺寸标准 尺码很标准，也没有色差，prime会员免运费很划算</t>
  </si>
  <si>
    <t>货已收到 东西保护的很好  吃吃看效果怎么样</t>
  </si>
  <si>
    <t>一般 订的Uk4，发成了4.5，将就穿吧</t>
  </si>
  <si>
    <t>还是想合适 有点紧</t>
  </si>
  <si>
    <t>尺码太大 賊鸡儿大，181，85公斤穿l太大了，前面有个评论误导人，估计m宽松点，s紧身点，不太适合国人身材啊</t>
  </si>
  <si>
    <t>买后心得 与想象的音质有所差距，最早买个4.5的在办公室听，感觉还行，现在这两只箱子低音有些散，声音比较紧，本来想退货的，想着周末在家看电影用着还可以。</t>
  </si>
  <si>
    <t>真假存疑 第一出于我对亚马逊信任，我收货后没有进行仔细对比。导致现在已经过了退货时限。第二为什么在亚马逊上买的和我在美国买的不一样，颜色上就不用说了，关键条形码上没有US PATENT的字样。（图片中外包装中有US字样的是我买的）打开外包装后瓶身上的字迹也很浅（图片中字迹颜色深的是我在美国买的）我希望亚马逊能给我一个合理的解释，不要失去我这个忠实的客户。</t>
  </si>
  <si>
    <t>左右音量不一致 半年后出现左右音量不一致，听诊器效果严重，只能靠挂耳的方式消除。</t>
  </si>
  <si>
    <t>缺配件。 货品不齐，货物中缺少了大圆锥刀片，该找谁？</t>
  </si>
  <si>
    <t>还可以 身高180，体重80公斤，xl码正好，质量一般</t>
  </si>
  <si>
    <t>太沉了 就是太沉了，而且原本的涂层，也就一次就掉了，后面还得自己弄涂层，比较麻烦，但是感觉这个锅真的可以传世。</t>
  </si>
  <si>
    <t>性价比不错 尺码稍微大一点在可控范围，质量还行，就是实物没有图片那么好看</t>
  </si>
  <si>
    <t>对得起牌子和价格 但是稍微有点大，已经买的M了，难道要买S？</t>
  </si>
  <si>
    <t>是正品 东西挺好，如果我买小一码就好了，我腿比较细</t>
  </si>
  <si>
    <t>买给爸爸的，说质量不错 适合秋冬季节穿。爸爸脚长大约26cm，买的42（UK8）说稍微大点，但是穿厚袜子应该就合适了。</t>
  </si>
  <si>
    <t>质量不错 克重不错，手拿拿很有质感觉……</t>
  </si>
  <si>
    <t>有点宽松 有点宽松</t>
  </si>
  <si>
    <t>很八错，喜欢^^ 特别润的感觉，颜色果然漂亮，搞活动的时候买了不同款的两套，特别喜欢～就是包装里面没有垫点缓冲的东西，有点怕里面的铅摔断，希望下次改进。</t>
  </si>
  <si>
    <t>质量不错，无异味 质量不错，无异味，瓶身手感不错</t>
  </si>
  <si>
    <t>脚感很舒服，适合天热的时候穿 脚感很舒服，适合天热的时候穿</t>
  </si>
  <si>
    <t>版型好，但有点掉毛 183 CM，86kg，M码刚好，就是有点掉毛，特别是流汗，粘了一臂毛。。。。。</t>
  </si>
  <si>
    <t>不错 给妈妈买的，感觉多少应该有的用吧</t>
  </si>
  <si>
    <t>海外购 总体还好，本来是11月23日到的，提前到了，装表的盒子盒子太简陋了，表在盒子外面的纸袋扔着，幸好表本身没问题，表带有点太硬，毕竟也就是二百多元的东西，走的挺准，夜光不咋地，手表的样子还算可以，产地没看到，不知道是不是回购。</t>
  </si>
  <si>
    <t>表冠 表很好看，就是表冠下面有个塑料得自己取，整了半天有点麻烦！</t>
  </si>
  <si>
    <t>不错 给朋友带的，不知道她用得怎么样。包装很好</t>
  </si>
  <si>
    <t>老爸很满意哈哈 老爸说穿着好舒服，他很满意哈哈 就是觉得太贵了，不过很值得</t>
  </si>
  <si>
    <t>349元到手值了 288加60多的税费，一共349元，用料可以，非黄色，走时精准。没有磕碰，值了</t>
  </si>
  <si>
    <t>日网的货不错比国内还便宜 日网的货不错比国内还便宜</t>
  </si>
  <si>
    <t>很好的裤子 品质很好，同样价格秒杀国产品牌。</t>
  </si>
  <si>
    <t>很好的羽绒服 价格比国内便宜太多，质量同样有保障，177CM/80KGS，稍微有点大，但可以接受，很愉快的购物体验</t>
  </si>
  <si>
    <t>正品可入 New Balance这款鞋整体很不错，脚感不软不硬穿着舒适很nice，包裹性目前很舒服的，好</t>
  </si>
  <si>
    <t>货真价实 因为是海外购吧，不过清关还算顺利，到货后货真价实，然后还是MADE IN USA 因为听说之前发货时随机的，主要是价格不贵吧，满意。</t>
  </si>
  <si>
    <t>物美价廉 就价格而言，非常好的购物体验，鞋本身也没什么瑕疵。支持amazon。</t>
  </si>
  <si>
    <t>非常好 非常好 大小也合适 价格便宜 身高171cm 体重77kg</t>
  </si>
  <si>
    <t>123 还不错吧，就是买大了一点点，脚背厚了点的穿着不舒服</t>
  </si>
  <si>
    <t>尺码不合适 尺码偏小，买大一码根本不够，起码两个码以上，脚背厚的2.5个码。</t>
  </si>
  <si>
    <t>舒适 太大了</t>
  </si>
  <si>
    <t>漏水 东西还是不错的。但刚使用三次，塑料圈密封圈总掉怎么办？漏水</t>
  </si>
  <si>
    <t>鄙脚不及鞋硬梆 价格公道，长相美丽，感觉不错，但稍微有点硬—相比于我的脚来说。</t>
  </si>
  <si>
    <t>假货 是假货吧?</t>
  </si>
  <si>
    <t>一般，很一般，太一般了。 和照片有色差，不是很大，适合孩子。</t>
  </si>
  <si>
    <t>有些肥大 有些肥大，料子还可以，，</t>
  </si>
  <si>
    <t>偏大 质量很好 偏大，大了一码</t>
  </si>
  <si>
    <t>鞋码偏大多了 鞋子偏大一码多，鞋码严重不准6uk24.6 厘米，说39其实有41码。鞋子质量皮质确实好，就是亚马逊这尺码太不靠谱了。</t>
  </si>
  <si>
    <t>音质不错，音场一般 小箱子音质不错，前置开关、AUX和耳机非常方便，低音稍微差些，音场肯定没大箱子的好。不知道跟E5比，会有多大差距？？  不过，配的线太一般，得自己重新买线。</t>
  </si>
  <si>
    <t>自营商品想说爱你不容易 这双鞋子让我很纠结，说不是正品吗，大老远从德国购进的，中间那个时间啊也吻合。说是正品吗，6月2日送达，今天22日，穿了20天，里面的那层底，靠近脚后跟的部位已经开始破损了，不是磨损哦，这可是亚马逊自营的商品哦，有时候真的是想说爱你不容易啊。4星吧，本来想1星的。如果是在国内购买还能申请退换货，在国外就算了，只能是自认倒霉了。</t>
  </si>
  <si>
    <t>非常实用 材质适合小孩子用 不怕摔 不锈钢材质冬天保温效果也不错 一个杯子或碗还可以拆成两个用 非常实用</t>
  </si>
  <si>
    <t>性价比高，喜欢 下单没几天就降了七十，小郁闷，不过好在比实体店便宜很多，样式皮质也很好，码数比平常休闲小半码就刚刚好，刚穿脚后跟有点磨脚</t>
  </si>
  <si>
    <t>性价比爆炸 性能还是很不错的！笔记本上用，数据还看得过去吧。就是不知道没发票保修好不好弄</t>
  </si>
  <si>
    <t>不错不错 质量很好，喜欢。脚面如果比较厚的可能穿得会紧。</t>
  </si>
  <si>
    <t>赞 尺寸合适，但颜色色差比较明显，实物是偏浅的灰，比较显花纹，以这样的厚度算是很保暖了，上海10度左右妥妥的</t>
  </si>
  <si>
    <t>很好的洗手液 出泡泡的方向是向上的，单手一按就会一朵小花在手心里，这个设计实用又有趣，深得小孩子喜爱。</t>
  </si>
  <si>
    <t>好用 好用的面霜，特别滋润</t>
  </si>
  <si>
    <t>连续读写速度快、而且稳定 我的是1TB的，带上关税还比国内便宜将近1000块钱。  本着”科技用品买新不买旧“的原则，等了好久终于入手这款3D SSD。虽然是TLC的，但是Sandisk的品质还是值得信赖的。  就性能来说，与我的上一款500G的某品牌SSD相比，Sandisk的这款3D SSD的一个明显的优势是持续读写速度快（持续读写大文件能稳定在300MB/s~400MB/s之间，而且不掉速。虽然没有达到550MB/s的鸡血性能，但我已经非常满足了。这种巅峰速度只有评测软件才能跑的出来，而且我的这个实测速度是与U盘间的数据读写，与优盘间的读写本身就不会太快）</t>
  </si>
  <si>
    <t>性价比不错， 162-53公斤买的28码 之前买过深色，再买一条浅色，结果浅色是厚款，有破洞。如果深色是厚款秋冬穿，浅色薄款春夏穿才对啊！</t>
  </si>
  <si>
    <t>舒服 很满意，舒服，比其他牌子大码能小一点点。</t>
  </si>
  <si>
    <t>喜欢 奶瓶很可爱，手感也很好</t>
  </si>
  <si>
    <t>大支又便宜。 xxxl很大一瓶。一共3瓶。太超值了。我的西门子洗碗机只认这种光亮剂。洗后餐具熠熠生辉。</t>
  </si>
  <si>
    <t>40 这一款含量是40的，一天吃一次就可以，不像20的，还需要吃两次，正在吃，不知道效果怎么样？希望好。</t>
  </si>
  <si>
    <t>。 很轻 目前看来可保温12小时的 就是说明书写着尽量不要泡茶或牛奶饮料什么的 稍微有点遗憾 以上</t>
  </si>
  <si>
    <t>可喜欢了 可好看了，复古典雅。因为插头是英式（港式）的，所以需要自己配一个转换插头。试用了一下，简单好用，时间到了那一声“叮”非常悦耳啊。不过感觉运行时声音稍微有点大。</t>
  </si>
  <si>
    <t>码子稍微有点偏大 码子确实比国内专柜买的大，八天就到手上了，神速…</t>
  </si>
  <si>
    <t>合身 没照片，但178cm/75㎏的合身</t>
  </si>
  <si>
    <t>物流 非常不错，第一次在亚马逊购物 开始担心很久才能收到货 不过比预想的提前了很多天 物流非常给力 包装也比淘宝精致</t>
  </si>
  <si>
    <t>不错 海外购10天到。音质初听不错，这个价格还要什么自行车！</t>
  </si>
  <si>
    <t>NOMADIC] 单肩包 质量很好，但太小了，使用不方便，使用有很大的局限。</t>
  </si>
  <si>
    <t>东西不错网站难用 东西不错，就是亚马逊太难用是真的，商品详情信息也超不全，纯冲着觉得商品货源应该安全</t>
  </si>
  <si>
    <t>评价 尺寸过大，还掉毛</t>
  </si>
  <si>
    <t>还可以 款式超级合适，料子很一般，不过champion这个价位的衣服料子都一般，主要是穿个样式，总体来说还不错～</t>
  </si>
  <si>
    <t>尺码大了。 我胸围96，腰围85，按照参照尺寸选了M号，试穿以后觉得肥大，尤其是袖子和下摆过长。如果选S号会好一点儿。</t>
  </si>
  <si>
    <t>差，超级差 超级长，腿超级瘦小，根本没办法穿，180都不行，估计给190.120斤的设计的</t>
  </si>
  <si>
    <t>差评 穿了不到两周脚趾就破了</t>
  </si>
  <si>
    <t>亚洲人尺码 就这么回事吧，日本的尺码符合亚洲人</t>
  </si>
  <si>
    <t>只能是德国货结实，哪个盒子破成这样了！耳机没坏 包装盒都烂了！这是有多暴力！懒得去退了！幸好耳机没坏！3.5金手指有用过的痕迹！</t>
  </si>
  <si>
    <t>不错 下单10天到手，氦气盘，性价比高，用做仓库盘</t>
  </si>
  <si>
    <t>常用 常吃常备常用，紫薯布丁</t>
  </si>
  <si>
    <t>good but a little bit too tight 质感好，可以插耳机分享的设计很有趣，但是因为偏紧带久了耳朵会疼</t>
  </si>
  <si>
    <t>一款轻巧的移动硬盘 很好！很小巧，不占地方！</t>
  </si>
  <si>
    <t>格式化后容量约3.65T，比普通的移动硬盘略厚，整体感觉非常不错 格式化后容量约3.65T，比普通的移动硬盘略厚，整体感觉非常不错。 配套的WD备份工具效率还是比较高的，建议有需求的用户用一下。</t>
  </si>
  <si>
    <t>老婆最满意的一双鞋 鞋子不错，皮面优质，大小合适，</t>
  </si>
  <si>
    <t>超值 500入手 之前一直700多  皮子细腻 好穿鞋 鞋跟处设计裂口 穿鞋不费劲  之前买了soft7低帮鞋 这个高帮比低帮的舒服  低帮的压脚背  穿了一天 磨的脚跟疼</t>
  </si>
  <si>
    <t>值得买 她家的鞋一如既往的很好满意</t>
  </si>
  <si>
    <t>舒适轻松款 非常柔顺！值得推荐。</t>
  </si>
  <si>
    <t>尺码合适，质量不错！ 当时下单的时候一直担心尺码问题，怕买大或买小，今天收到了，非常合适！平时穿运动鞋，阿迪或耐克都是43码的，这次也是买的43，刚刚好！爱步质量没得说，好评！</t>
  </si>
  <si>
    <t>保温杯质量好 由于在亚马逊买的东西太多，已经没有办法详细一一评论。为什么买的多，当然是因为东西好。不相信的可以看我买过多少东西，总体质量服务不错！这个保温杯真心好！！</t>
  </si>
  <si>
    <t>推荐购买 商品如预期的好，精致做工，面料超级适合夏天，无压力，透气，易洗易干，推荐购买！</t>
  </si>
  <si>
    <t>我相信你 老牌牛仔裤就是不错啊</t>
  </si>
  <si>
    <t>其实裤脚也不算窄啊 挺奇怪的lee，之前买的同品牌修身直筒裤34*34，裤子略长。这次特意买的34*32。怎么还是略长。和之前的长度一样。不过最最重要的腰身臀围都很满意。长一点问题也不大。</t>
  </si>
  <si>
    <t>正品，性价比高 质量很好，西铁城做工精细，性价比高，值得购买。比官网上便宜很多，亚马逊海外购还是很不错。一次完美的购物体验</t>
  </si>
  <si>
    <t>特别好。 特别好。孩子用着很好。</t>
  </si>
  <si>
    <t>喜欢这个牌子 还不错，蛮舒服，款式经典见仁见智</t>
  </si>
  <si>
    <t>很好 不得不说这个价格还是很值得的，很舒服。</t>
  </si>
  <si>
    <t>好评 第二天就送到了 发现实际已不是很大携带方便防摔功能什么的都很实用 好评</t>
  </si>
  <si>
    <t>非常好！ 不错，非常好，尺寸合适。做工细致！</t>
  </si>
  <si>
    <t>尺寸 大小合适</t>
  </si>
  <si>
    <t>價格，質量一樣好 非常不錯。第一次在亞洲這邊買這麼便宜的牛仔褲。</t>
  </si>
  <si>
    <t>停好的东西 一是尺寸比我想象中的要小；二是运行的非常安静，几乎听不到声音（一点都不夸张）；三是检测了一下没有坏道什么的。非常满意的购物。可使用容量大概9.1T（标称10T)</t>
  </si>
  <si>
    <t>自己理发蛮好用的 以前买的5530充不进电，买个新的用</t>
  </si>
  <si>
    <t>颜色很漂亮，戴上很舒服！ 质量很好，穿上很舒服！外出旅游照相很好看！</t>
  </si>
  <si>
    <t>漂洋过海来的就用塑料袋包裹？？？？！！！ 帽子质量没问题，蛮喜欢。 但是。。。 注意但是，这好歹是漂洋过海来的快递你好歹给我装个盒子啊！！！你就一个塑料袋就寄过来了？！！！！ 前面硬顶的部分折了2道痕不要太明显啊~！！！！！！！！！！！！！</t>
  </si>
  <si>
    <t>照片中logo是白色，实物是灰色 买的S号，没有发生偏大的情况，但是肩膀的地方有点皱不知道是小了还是版型的问题。 穿着很舒服，但是照片中logo是白色的，和黑底衬着很好看。实物却是灰色的，差评。</t>
  </si>
  <si>
    <t>裁剪不好 口袋老是外翻，很难看。</t>
  </si>
  <si>
    <t>我的评论去哪儿了 前几天对购买商品的尺码发表了评论，今天不知去哪儿了。问题没人解决或者答复，1颗星的评论倒是解决掉了。本人的本意是希望网站注意到问题的存在，如果消费者反映的情况属实，网站能够有所调整或者修改，对网站和消费者都是有好处的。</t>
  </si>
  <si>
    <t>运输都给运坏了 大家购买慎重啊，装修后安装了怎么都没反应，找师傅看，运输快递把里面配件都摔坏了，差评！差评！</t>
  </si>
  <si>
    <t>这质量挺让人郁闷的 这鞋穿了不到一个礼拜就开胶了，在亚马逊买了四款男鞋，只有一款的质量是令人满意的！</t>
  </si>
  <si>
    <t>围嘴 偏小，因为是海外购，也没法退</t>
  </si>
  <si>
    <t>牙刷很好，刷的也挺干净 充电的时候牙刷的灯会一直亮吗？第一次充电，放上去灯也不会亮（两只牙刷都是这样），不知道是不是牙刷有问题还是充电器有问题？</t>
  </si>
  <si>
    <t>比网上看到的有点大 刚拿到，简单试了试觉得还不错。有待进一步检测。就是比网上图片大多了</t>
  </si>
  <si>
    <t>颜色慎重考虑，鞋子很舒服 橡胶底非常舒服，质量很好，快递时间适中； 颜色比预想的要差一些，一直想买个裸粉色的puma，结果这个实物就是土黄色，心塞； 尺码比较合适，39瘦脚，8 US。</t>
  </si>
  <si>
    <t>洗牙器 洗牙效果一般。喷头有时候会脱落</t>
  </si>
  <si>
    <t>182cm，100kg，很合身，特别是脖子也不勒。 182cm，100kg，很合身，特别是脖子也不勒。</t>
  </si>
  <si>
    <t>很赞 衣服质量很赞，尺码正常。这个价格也就是买了prime会员后免运费，才能买的到。在国内专柜卖的很贵。已经成为亚马逊的忠实用户，没事就刷一刷，遇到划算的就果断下单。会推荐给身边的朋友来买。继续支持。</t>
  </si>
  <si>
    <t>挺好 一如既往地好</t>
  </si>
  <si>
    <t>物有所值 大小合适，行走舒服。</t>
  </si>
  <si>
    <t>原产地荷兰，刀头最关键 挑选了好久，最终选择了这款S5530，国内貌似没有这一款，有T+功能，双刀片，针对胡须并不是很茂盛的我，这样的配置够用了，之前用过老款的飞利浦剃须刀双刀头的，用了好几年一样很坚挺！盒子封口出圆塑料贴，撕下来后基本上没有粘性了，正品第一步毋庸置疑，产地荷兰，生产日期2019年2月份的，买之前担心会不会是囤货很久的，这一点顾虑立刻打消掉～原配鬓角修剪器，也很实用，总体来讲，性价比真的很高，动力正常，应该5系列都差不多，加速模式明显更强劲，关键是能买到原产荷兰刀头，很棒～国内经销商的价格就不说了呵呵哒～另外，这款配色也很赞，简约大气，商务范儿十足，用上五年妥妥的没问题了～最后，咨询了国内飞利浦客服，有英亚小票在国内一样有2年售后，最低的价格，最优质的产品，何乐而不为？亚马逊海外购这次很满意！</t>
  </si>
  <si>
    <t>舒适度 这鞋舒适度挺好的，皮质也不错。</t>
  </si>
  <si>
    <t>帅 水瓶真不错 烧水没声音 就是还要配个变压器 物流也很快 相比其他的海淘 亚马逊要安心靠谱的多啊</t>
  </si>
  <si>
    <t>很好，很满意！ 很合适，材质不错，性价比高！</t>
  </si>
  <si>
    <t>小支装 以前在美亚买过，很喜欢。这套装是很小支的，适合出门。</t>
  </si>
  <si>
    <t>很喜欢 日本亚马逊的包装很好，收到货很喜欢，稍有点味道，放放已无大碍，准备下周给小朋友使用，价格真心不错，买了两个249（到手价），希望可以多有一些这样的活动。</t>
  </si>
  <si>
    <t>做工精良 还是非常好用的，按照说明，首次使用加热清洁，现在每天用着很好。</t>
  </si>
  <si>
    <t>实惠，质量好 质量好，一直这牌子，从没失望过</t>
  </si>
  <si>
    <t>买了多次 很喜欢</t>
  </si>
  <si>
    <t>鞋子不错，合适 鞋子没有拉链，脚背高的人，脚胖的人一定要谨慎选择</t>
  </si>
  <si>
    <t>性价比很高，国内没有的款式 还不错，物有所值</t>
  </si>
  <si>
    <t>AKG经典耳机 国产的。用的第一款AKG耳机，声音特色非常喜欢，准备从森海转投AKG了。目前用focusrite的声卡直推，中频比较远，声音特点是清淡、不冲耳。慢慢煲吧，据说要煲几百小时才能煲熟。上了刺猬放之后，再入K701。</t>
  </si>
  <si>
    <t>亚马逊，海外购只认它～ 保质期到19年，不错！ 海外购，比某宝某东强的不是一点半点</t>
  </si>
  <si>
    <t>强烈推荐 音质好，个头小，平时通勤特别方便，颜值高。</t>
  </si>
  <si>
    <t>保暖 喜欢厚木的袜子</t>
  </si>
  <si>
    <t>奶瓶收到啦 奶瓶收到啦  还没用先囤货  感觉包装好简便啊，应该是正品吧</t>
  </si>
  <si>
    <t>小巧精致！ nice！比之前的潜99好太多，手机直推也能出好声音！就是导管几乎没有，线材也好柔软，害怕扯断了。</t>
  </si>
  <si>
    <t>质量很好长短合适！ 质量很好长短合适！</t>
  </si>
  <si>
    <t>8支装里面只有6支 买的两盒8支装的，拆开一盒里面只有6支</t>
  </si>
  <si>
    <t>耳机 包装不是很新，做工有点糙。</t>
  </si>
  <si>
    <t>发错尺寸 质量貌似不错，发错尺码了，m号变成xl了</t>
  </si>
  <si>
    <t>材质不行 布料不好，像那种浆染布，不透气</t>
  </si>
  <si>
    <t>不合身 已选择较小尺码了，但还是又长又大。</t>
  </si>
  <si>
    <t>质量不行 商标值钱吧，买之前看里层也应该是深色，结果是白色，舒适度和质量都赶不上优衣库，不洗之前里层的棉毛会粘在衬衫上，洗了之后全部变成小颗粒似的结在一起，外层会起球，有点上当的感觉，感觉粗糙乱制，越南的代工有问题还是本身这样</t>
  </si>
  <si>
    <t>没盖子用过的 有一拼盒子里居然没有盖子，药品裸着，太差劲了！</t>
  </si>
  <si>
    <t>还好 还好，就是布料很硬。剪裁是宽松款的，大裤脚。</t>
  </si>
  <si>
    <t>大容量实惠硬盘的最佳选择 买来拆机当NAS硬盘用，虽然速度慢一点，声音大一点，但稳定性还可以，目前还没有任何质量问题！比较可恶的是硬盘只能安装两个螺丝，鄙视</t>
  </si>
  <si>
    <t>合适 老婆认可，和柜台货基本一致，底不错，比较舒服</t>
  </si>
  <si>
    <t>有些长了。 176身高，166体重，肩宽48，买的l码。 衣服肩宽至少49，身长没量，但应该也长出至少4厘米。 质量不错。</t>
  </si>
  <si>
    <t>马马虎虎 外貌产品，超喜欢你的简单，价格稍贵，表带质量一般</t>
  </si>
  <si>
    <t>鞋是好些，尺码偏大～ 本人皮鞋41码，但考虑到是高帮，头脑发热买了欧码42，结果大一指左右，垫了UGG的鞋垫以后还算合脚；建议后买的朋友按自己正常的尺码下单就好！</t>
  </si>
  <si>
    <t>NIce Watch 非常喜欢这款极简风的手表，已经在亚马逊上买了三块Skagen手表了。</t>
  </si>
  <si>
    <t>好 快递很快，一周到货。很大一罐，一直吃巧克力的，这个还没尝。怎么查询是否被税？</t>
  </si>
  <si>
    <t>变色的 金属色，偏黄色，不同的光线有变色的感觉，很好</t>
  </si>
  <si>
    <t>性价比非常高啊 有底噪，在可以接受的范围内。箱体用料有点简单，单元之外的做工也欠考究，但绝对值这个价格。解析，三频，音场都可以的。</t>
  </si>
  <si>
    <t>非常漂亮的笔 书写流畅，握持感舒服，粗细合适，适合男士，造型优美，非常漂亮！</t>
  </si>
  <si>
    <t>好用好用好用 特别好用让我1哦就小</t>
  </si>
  <si>
    <t>划算推荐购买 身高185体重105kg，一次买了四件平均70多一件划算</t>
  </si>
  <si>
    <t>不错哦！ 铁人系列，款式简洁，功能齐备。</t>
  </si>
  <si>
    <t>值得购买 非常好的杯子，包装很好，不仅原包装完好而且外面还有包装且固定的很好，比之从美亚买的好很多。</t>
  </si>
  <si>
    <t>值 这个价格买到这个鞋也没啥可挑剔了的。530入的</t>
  </si>
  <si>
    <t>不错 499买的，还不错，夏天会热吧。。。</t>
  </si>
  <si>
    <t>舒服，合适 181 75kg M码非常合适，老公说很舒服，摸起来也很舒服，速干面料的</t>
  </si>
  <si>
    <t>非常喜欢 超级高大上的送人礼品</t>
  </si>
  <si>
    <t>非常好 非常好用的瓶子，用来给小孩子戒奶瓶，非常快就适应了。安全没异味，方便清洁，手洗方便，丢洗碗机也可以洗。而且入手很便宜，入手时只有国内半价。</t>
  </si>
  <si>
    <t>很不错，超值 感觉用起来手感比红环还好，但因为自动旋转笔头，应该不适合精细的绘画</t>
  </si>
  <si>
    <t>不耐脏，质感好 不耐脏，质感好</t>
  </si>
  <si>
    <t>棒棒哒。 很好啊，颜色好看，没问题。</t>
  </si>
  <si>
    <t>型号不一致 我收到的牙刷，我怎么看牙刷底部型号显示939B，和9357是一个型号吗</t>
  </si>
  <si>
    <t>不明白国内的替换刷头为什么价格那么高 刷头整齐，软硬适中，包装简单，质量还不错，关键价格实惠，还买个放心</t>
  </si>
  <si>
    <t>外观 手表很好，发货快，漂亮</t>
  </si>
  <si>
    <t>日本直邮，非常好！ 日本直邮，非常好！质量很好👍一次非常愉快的购物！</t>
  </si>
  <si>
    <t>第一次亚马逊购买不是很理想 鞋子有划痕 做工不是很精致线头胶印较多 不知道真假 左右脚感觉不对</t>
  </si>
  <si>
    <t>不建议购买 小腿不修身，裆过短，料子质量一般，退货运费要125忍了，不退了，不建议购买</t>
  </si>
  <si>
    <t>好鞋！但是黑五价格坑人 鞋是好鞋，各方面都很好，软皮的，穿起来也不磨脚。运动鞋43的，这个穿8UK很合适。但是！！但是！我是黑五期间买的，黑五一过就降价是怎么回事？？！专门坑黑五的买家呢？</t>
  </si>
  <si>
    <t>非常好 非常好，面料和款式，性价比最高，建议买国内平时穿的小一号</t>
  </si>
  <si>
    <t>改善服务 太肥大了，关键问题是不合适还不能换货，只能退货，还得出运费比国内差远了，海外购真不合适。</t>
  </si>
  <si>
    <t>还可以 尺码比较准，质量基本符合预期</t>
  </si>
  <si>
    <t>坏了的怎么处理 你好，可能在自己的搬运中坏掉了一个角，掉了的部分也找不到了，有什么其他方法补救吗？</t>
  </si>
  <si>
    <t>笔尖有墨水 写字还是很舒服，但是笔尖有蓝色墨水，用温水还洗出来很多蓝墨水。 问了美亚服务，说可能是出厂抽样了。 直邮时间有点长，一周多了。 收到货没有税单，结果问美亚，还不知道有没有税呢，要60天之后再知道</t>
  </si>
  <si>
    <t>好看呢 如果有红色的就好了~~~</t>
  </si>
  <si>
    <t>好👌 很不错很不错，直筒裤，面料柔软不紧绷</t>
  </si>
  <si>
    <t>满意。 尺码很合适，上脚也挺好看。</t>
  </si>
  <si>
    <t>好东西 低价时候囤几个，没毛病。</t>
  </si>
  <si>
    <t>鞋子挺好 鞋子很好，时尚简单大方，不过略有小划痕，可以接受，价格合理，满意</t>
  </si>
  <si>
    <t>质量 亚马逊上买鞋挺便宜的 是正品 有保障 物有所值</t>
  </si>
  <si>
    <t>好 很不错，自己配一个好的下水管，搅碎，妥妥的。</t>
  </si>
  <si>
    <t>不错 孩子喜欢，与美国带回的一样</t>
  </si>
  <si>
    <t>大小合适，颜色正 身高178，穿M号正合适。颜色挺正，不错～～～</t>
  </si>
  <si>
    <t>很漂亮 面料、样式和质量都没的说</t>
  </si>
  <si>
    <t>三菱铅笔 非常棒！除了贵，没别的缺点，不容易断，孩子非常喜欢。</t>
  </si>
  <si>
    <t>合适舒适 不错，跟图片 一样，比预计日期提前到达，平时国内一些鞋子穿39的，瘦脚，ecco38正合适，活动价格也实惠，百丽tata的单鞋也都四五百了，更觉得超值</t>
  </si>
  <si>
    <t>性价比高 性价比不错，很满意！</t>
  </si>
  <si>
    <t>So good. So good!</t>
  </si>
  <si>
    <t>以前从不去评价，不知道浪费了多少积分，现在知道积分可以换钱，就要好好评价了，后来我就把这段话复制走了，既能赚积分，还省事，走到哪复制到哪，直接发出就可以了，推荐给大家 以前从不去评价，不知道浪费了多少积分，现在知道积分可以换钱，就要好好评价了，后来我就把这段话复制走了，既能赚积分，还省事，走到哪复制到哪，直接发出就可以了，推荐给大家</t>
  </si>
  <si>
    <t>很宽很舒服 一直用日本的姨妈巾，很宽很舒服</t>
  </si>
  <si>
    <t>很适合 供参考，身高170，肩宽40，胸围100，体重140，L号。穿单衣加这个外套适合，穿太厚扣扣子，胸部会略紧。</t>
  </si>
  <si>
    <t>还不错。 173cm.68kg S码正好，袖子略长。第一次穿S码的衣服，哈哈哈哈哈。。。</t>
  </si>
  <si>
    <t>很好 东西用在我先生的博朗340上很合适。很满意。</t>
  </si>
  <si>
    <t>顺滑好用 顺滑好用，4盒，每盒36支。</t>
  </si>
  <si>
    <t>贵，但好。 质感好，使用起来也好。</t>
  </si>
  <si>
    <t>挺不错的 Great～比起国内便宜一半</t>
  </si>
  <si>
    <t>很喜欢 我喜欢修身款衣服，有很多修身款皮衣，买了这件牛仔夹克，换一种style，176,体重63公斤，XS 非常合身</t>
  </si>
  <si>
    <t>太长 比同尺寸裤长多5公分！</t>
  </si>
  <si>
    <t>尺寸偏大 173，73，穿M的还大，要买S的了。</t>
  </si>
  <si>
    <t>舒适，但是样式很老气 舒适，但是样式很老气</t>
  </si>
  <si>
    <t>there is a problem with my order? how can i contact the shop? there is a problem with my order? how can i contact the shop?</t>
  </si>
  <si>
    <t>下次不会在亚马逊购物了 手表质量真心一般般，表带质量差的很，联系几次客服，关键亚马逊还不给退货，</t>
  </si>
  <si>
    <t>二手手表！ 英亚发来的是个二手货，手表带有汗垢，并且说明书有折痕，联系售后需要退回英国，无语了。</t>
  </si>
  <si>
    <t>太长了 鞋不错，但是亚马逊这个尺码表有毒！完全不对呀。退货邮费贵，无奈挂咸鱼</t>
  </si>
  <si>
    <t>不错 优点：钢材可靠，外观简约冷峻 缺点：没有保温功能</t>
  </si>
  <si>
    <t>还可以 还可以，，，，，，，</t>
  </si>
  <si>
    <t>尺码 尺码偏小，身高168，体重105，L码刚刚好（个人觉得穿身上偏小一点点）要模特那效果，要买XL！</t>
  </si>
  <si>
    <t>腰太紧 我的天，腰那好紧，我按照尺码表买的....结果小了，已经送人了</t>
  </si>
  <si>
    <t>超值 的好东西 一直在用这个净水机，和滤芯。总之很好很好，用会员买还可免运费，真的很好，188元的会员费，买两次滤芯就挣回来啦</t>
  </si>
  <si>
    <t>很好的一次购物体验 裤型正合适，尺寸标的是31但实际尺寸似乎是32。这次物流稍慢了几天。</t>
  </si>
  <si>
    <t>有效 给老妈买的，吃了成感觉膝关节好多了。</t>
  </si>
  <si>
    <t>比国内类似产品便宜太多了，很好 已经装好了，两个万向支脚安装的时候多绕点生胶带，要么会漏水。比国内的toto类似产品便宜太多，多上点花洒龙头什么的就好啦……日亚海外购好像就三款 做工很好，喜欢带滤网的设计。国内恒温花洒一般没有滤网，调温阀肯定容易坏。</t>
  </si>
  <si>
    <t>棒棒得 173cm65公斤 选购30x30 合身 裤子比较修身 棉料舒适 价格也不贵 很棒 感谢亚马逊</t>
  </si>
  <si>
    <t>耳机听起来还行  ，挺喜欢 第一天下单，第二天收到，赞</t>
  </si>
  <si>
    <t>浴室配件效果安装点评 挺好的</t>
  </si>
  <si>
    <t>脱毛仪 蛮好用的 简单 作用比较慢 要长期坚持才见效吧</t>
  </si>
  <si>
    <t>不错 整体比价平衡，声音比较饱满</t>
  </si>
  <si>
    <t>蓝牙无线方便，但太紧了 戴久不舒服 我的有线索尼蓝牙耳机报废了，蓝牙款最大的特点就是无线，最大的缺点就是紧和海绵小、比我之前那个硬，索尼的新设计对我这种死宅不友好，对跑步者可能会友好点 不容易掉</t>
  </si>
  <si>
    <t>不错的皮带 平时穿34的裤腰，买的36，扣到最短的孔刚好。皮带有点硬，总长度偏短。质量看着不错。总体好评。</t>
  </si>
  <si>
    <t>刚收到 用了一周多的时间，快递速度还是可以的！手表表面容易留指纹，其它的都很棒，先用着吧！</t>
  </si>
  <si>
    <t>买了38有点长了 我176cm72kg，买的38长了，要拿去改一下，建议36就行了。至于性价比挺高的了，这样的价钱买到这样质量挺不错的皮带，可以了。</t>
  </si>
  <si>
    <t>总体来说很满意了 冲着这种类似苹果耳机的形状买的，到手价位很良心了，以这个价位来说音质挺让人惊喜的！戴起来比之前买的其他入耳式蓝牙耳机舒服很多，音质也好很多～AirPods平价替代品！唯一的缺点是耳机线有点太长了……</t>
  </si>
  <si>
    <t>裤子 赞赞赞赞赞赞赞赞赞赞赞赞赞赞赞赞赞赞赞赞赞赞赞赞赞赞赞赞赞赞赞赞赞赞赞赞赞赞墙裂推荐 好穿到哭的裤子 又买了一条给麻咪</t>
  </si>
  <si>
    <t>物流真是快 手表不错 赞 这物流真是快 10日凌晨下的单 13早上收的货 这可是从德国还是英国发的呀</t>
  </si>
  <si>
    <t>最好的OMEGA3补充剂 来来回回挑选比较了较多品牌的鱼油，从中也了解了鱼油的不同加工工艺，VIVA可以说是鱼油中高档货，甘油三酸酯加工工艺使得鱼油更易被人体吸收，每批次鱼油都可以从IFOS查证，能与VIVA一较高下也就是这品牌Nordic Naturals (挪威小鱼) ，先不同鱼油产品试用下</t>
  </si>
  <si>
    <t>很有效果 前面买的是红瓶，后来买了绿瓶带MSM的，老妈吃了以后觉得很有效，今后还要继续买</t>
  </si>
  <si>
    <t>使用方便 经过一番功课后决定买松下的这款装电池的便携洗牙器。便携式的洗牙器，不用插电，可以方便地放包里，公司出差随身携带，非常符合我的需求。</t>
  </si>
  <si>
    <t>实在 便宜，说是一次性的，也可以用两三天，上学路上戴</t>
  </si>
  <si>
    <t>好锅好锅！满意 好锅！满意。完全不粘。没有涂层</t>
  </si>
  <si>
    <t>彩铅笔很好 10天收到货，速度还是挺快的，铁盒有一边碰陷进去了，但幸亏彩铅笔没问题，很满意</t>
  </si>
  <si>
    <t>白皮妹子千万别买 买了最白的色号，还是比我肤色黄好多</t>
  </si>
  <si>
    <t>一般 太甜。完全就是糖果。</t>
  </si>
  <si>
    <t>表有问题，退货很麻烦～～～ 以很优惠的价格买的，可是表有问题，这个退货比较麻烦，不推荐～～</t>
  </si>
  <si>
    <t>袖子好长 给朋友买的，4个加300斤胖子都可以穿，但穿起来很不好看，袖子特别长，衣服也长，不太适合亚洲人身型</t>
  </si>
  <si>
    <t>质量不行 链条掉色 质量做工很差</t>
  </si>
  <si>
    <t>产品有异响 我觉得我买到假货了，第一次清洗之后，里面已经没有水了，但是摇动会听到有响声，在澳门买的虎牌就没有这个问题。之前看别人评论也有这个问题，以为是个例，没想到自己也遇上了，失望</t>
  </si>
  <si>
    <t>保冷杯就是保冷杯保温效果一般！ 杯子很好看，内置吸管确实有味道泡泡散散两三天就没有了，保温效果前一天晚上满装开水，第二天早上只是有温度，孩子喝的温水大概三四个小时久凉了，睡前到上温水半夜估计就凉了，可能和保冷杯有关系，杯子按扣处不是很严客服说是胶垫的原因，其他没有问题只能说是孩子够用！保温效果一般，家里有一个480ml和一个运动水壶大容量的开水装进去基本都可以保温三天！还有温度第二天早上大壶都是烫烫的不能喝！这款保温效果差容量小也有关系再有就是专业保冷，在意保温效果的还是看清说明有写保温效果时间的一般都很好！这个只有保冷效果时间！问过日本朋友保冷杯就是没有保温保冷杯，保温效果好！</t>
  </si>
  <si>
    <t>不怎么样 很硬。。。皮带头设计很不科学。。。不推荐</t>
  </si>
  <si>
    <t>大一号 偏大，质量还可以。</t>
  </si>
  <si>
    <t>冠军喜欢 很喜欢，冠军的短袖质量还是不错的</t>
  </si>
  <si>
    <t>软毛，缺点太大 刷头太大了，不喜欢，但毛确实软</t>
  </si>
  <si>
    <t>Seagate 希捷 Expansion 新睿翼1TB 2.5英寸 USB3.0 移动硬盘... 速度很快，好用，内存900多G。安静有点发热。</t>
  </si>
  <si>
    <t>作为入门级购买，性比价可以。 挺不错，包装挺好，没有破损，发货也快，比国内便宜些。使用起来很简单，儿童和简单需求可以满足，冲力也不错，1-5调节，可以冲到一些平时刷牙刷不到的地方。作为入门级购买。缺点是冲完一罐水，冲牙头会有点松，按一下即可，不是大毛病。性比价可以。</t>
  </si>
  <si>
    <t>好鞋 一直穿亚瑟士，但是一直穿缓震系。这次因为足底筋膜炎，试了支撑系，感觉还是很棒的。有机会再囤</t>
  </si>
  <si>
    <t>不错的夹克 衣服质地，做工都很好。版型属于合身的那种，想要修身效果的话，可以买小一码。</t>
  </si>
  <si>
    <t>nice nice</t>
  </si>
  <si>
    <t>冬季必备lee 款式属于经典直筒款，但厚实保暖，适合中年大叔，价格波动频繁，低于140就可以果断入手。</t>
  </si>
  <si>
    <t>封闭式，音质好 很不错的监听耳机，公司音编小哥推荐，封闭式在公共空间不影响他人</t>
  </si>
  <si>
    <t>效果 我的头发似乎变亮了</t>
  </si>
  <si>
    <t>good 蛮好的，冲力蛮大，清洁力度第一次使用，感觉蛮好，希望牙齿越用越health</t>
  </si>
  <si>
    <t>还可以 感觉有点紧，总体还可以。</t>
  </si>
  <si>
    <t>这款卡不错是正品 包装原厂密封的卡的外观做工精细看样是正品，价格也比实体店便宜，试测了一下感觉不错，现在已装在我的尼康D800中待用，希望今后不会出质量问题。</t>
  </si>
  <si>
    <t>很棒的咖啡机 这个真的超级赞！现在每天都喝！</t>
  </si>
  <si>
    <t>喜欢 很舒服  码正  很喜欢</t>
  </si>
  <si>
    <t>值得 帮朋友买的，朋友说还不错值得入手</t>
  </si>
  <si>
    <t>制作拿铁很好喝 太棒了。我喜欢先倒半杯鲜牛奶，在放咖啡进去，口感就非常好。</t>
  </si>
  <si>
    <t>鞋子 东西挺好，是我要的东西。</t>
  </si>
  <si>
    <t>看了评论选了S码 173CM,66KG,感觉袖子有些短了，夹克下摆也偏短，不知道M码会不会又偏大了，网购不好控制</t>
  </si>
  <si>
    <t>鞋比较轻，平常穿42这款42正合适 比较轻便，蛮好的，正常码选择</t>
  </si>
  <si>
    <t>简约如它 很好的表，戴这么久从没慢过。</t>
  </si>
  <si>
    <t>性价比 跟国内的比，价格相当的便宜。  跟国内的比，成份应该大同小异。</t>
  </si>
  <si>
    <t>偏大 裤子质量不错，但严重偏大，我平时穿30裤子，这30的大了很多，裤子也很长，这款裤角是小脚裤，应该比平时买小一码。</t>
  </si>
  <si>
    <t>偏大 M号对应身高170，本人172，买的M号明显偏大，主要是袖子长，衣服肥，长短还可以。</t>
  </si>
  <si>
    <t>不适合揉面 买来是揉面的，但很失望，吐司面团很难出膜。</t>
  </si>
  <si>
    <t>镇店之宝之后十天，降价400元 商品是可以打满分的，但是亚马逊只值两分，搞个什么primeday，还镇店之宝，下来4908，卖断货。仅仅10天补货后含税价格是4500，把顾客当猴子耍。还没有价格保护</t>
  </si>
  <si>
    <t>质量 垃圾亚马逊，买回来刚好30多天几天坏了。明显就是有质量问题，客服还不管，几百块钱就用几天，以后都不能买亚马逊东西，早点倒闭擦</t>
  </si>
  <si>
    <t>质量较差。 菲律宾产的，质量较差。</t>
  </si>
  <si>
    <t>非纯皮 后面买的谨慎了，不到一个月皮面就破了，不是纯皮的，而且很硬。。。</t>
  </si>
  <si>
    <t>挺好用的 每个家庭都需要一个这样的保温电热水壶 保温效果好像不太好 因为从外壳能摸到温度，以前那个虎牌没注意是不是夜这样 外观看起来很不错，比国行的好看，但是材质要是能提升一下就好了</t>
  </si>
  <si>
    <t>内衣 实物比图片尺寸偏大，使用舒服，又买了一件。</t>
  </si>
  <si>
    <t>舒服有型 舒服，显脚瘦。但是脚底鞋跟磨的比较快，也可能跟走路姿势有关。</t>
  </si>
  <si>
    <t>版型偏瘦 我173CM，74KG，有肚子，M码偏小偏瘦。</t>
  </si>
  <si>
    <t>很重的煎锅 适合西式煎烤，比较沉重。 煎牛排、羊排不错， 煎荷包蛋，那就算了吧。</t>
  </si>
  <si>
    <t>尺码请注意 还好老子心细买了大一码。按我clarks皮鞋的码来买估计脚要被挤炸。鞋子好看</t>
  </si>
  <si>
    <t>很划算！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</si>
  <si>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好鞋 鞋子质量不错，印度产的，本人赤脚长度27.3cm，脚背高脚宽，平时穿皮鞋43码或者us9.5，知道这沙漠靴压脚所以选择了us10 m的，上脚大小合适，稍微压面，脚尖部分空间富余，主要是鞋面低，又买大了一号。穿了一天，鞋底确实硬，样子非常帅。给后面的兄弟建议，买比自己平时穿皮鞋的尺码大一号，除非你的脚型瘦，脚背不高，可以按照平时鞋码买。</t>
  </si>
  <si>
    <t>很可爱 喜欢这个品牌的卡通设计 很可爱而且很安全 孩子不回自己吃饭 但喜欢咬勺子玩 厚厚短短的不怕会弄伤自己</t>
  </si>
  <si>
    <t>还不错，不冻脚踝了 尺码合适，确实不是特别厚，但是短时间冬天是没有问题的，零下二十°，外面走路20分钟左右</t>
  </si>
  <si>
    <t>保温壶 很好，足够量，可打开合上手柄很好用。平时在家做热水壶，开车出去旅游带上，冲热茶和咖啡都方便。</t>
  </si>
  <si>
    <t>感觉不错 平时穿阿迪41半，这款买了42的，孩子喜欢，比ultra boost 硬点。性价比还不错。</t>
  </si>
  <si>
    <t>精工的海购 很棒，盒子也很漂亮，日本的东西不得不佩服</t>
  </si>
  <si>
    <t>帽子不错吧~可以的 感谢亚马逊提供这么好的商品</t>
  </si>
  <si>
    <t>舒服 舒服样式简单搭配牛仔裤很好</t>
  </si>
  <si>
    <t>好，很好！ 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</si>
  <si>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精致，美丽，轻巧，舒服 精致，美丽，轻巧，舒服。比皮鞋号稍大一些，运动鞋款式一般都会宽松些，正常。性价比太高了！</t>
  </si>
  <si>
    <t>非常完美 已使用 非常的完美～ 打算再入个小的～</t>
  </si>
  <si>
    <t>便宜又好用 太棒了，晚上十点把米跟肉跟水煮沸之后倒进去，第二天九点半，米全烂了，不会特别烫，但还是挺热的，焖烧效果真的超级好！</t>
  </si>
  <si>
    <t>性价比很高的监听耳机 声音温暖，佩戴舒适耐用。解析一般。适合初烧配合耳放使用</t>
  </si>
  <si>
    <t>Timberland 大半个月才到，鞋子很好，平时穿220，这款5合适，还可以穿厚的袜子，不会显脚大</t>
  </si>
  <si>
    <t>英姿价爽 本人身高188，体重200斤，平时耐克46，卡特靴44。此款其乐靴在英亚由于尺码选择有限就买了uk11（46），基本hold住，因为不像卡特靴那般宽而晃，整体细窄长，若穿厚袜该会更加妥帖，如果一般薄袜或许uk10.5会更贴合。亚马逊物流十天从英资到社国，弔得一逼</t>
  </si>
  <si>
    <t>尺码准确 175，85kg，选L号，正好。</t>
  </si>
  <si>
    <t>非常好 红标boss！四天德亚就到了！正品，皮子好！就是一贯的包装简陋，哈哈哈！两百多的性价比还是很牛逼的！</t>
  </si>
  <si>
    <t>非常满意，很划算 商品非常好，很满意，天猫卖1199，一摸一样的！这个喷水是脉动的</t>
  </si>
  <si>
    <t>悲剧了，才用二十次左右，连接搅拌棒的轴居然断了 才用二十次左右，连接搅拌棒的轴居然断了，我有理由怀疑买到的不是全新机，联系凯伍德维修点，回复没这零件，找网上维修，说要换整个齿轮盘，报价1350元，还不知道是不是翻新的。</t>
  </si>
  <si>
    <t>超级好 超级好，号码合适，舒服</t>
  </si>
  <si>
    <t>不是很合身 尺寸没拿准，175/70，看评论买的S码，肩部和胸合适，袖子和下摆偏短，想买M码又怕大很多，有些失望。</t>
  </si>
  <si>
    <t>盖子有点问题 首先杯子不漏水，之前买的膳魔师漏水才决定换个，其次保温效果还不错。但是但是但是用吸管的时候盖子很容易掉，看了下，是盖子下面两个卡扣有点短，很容易盖子弹起来就掉了，不知是不是个例</t>
  </si>
  <si>
    <t>是真皮还是PU 很失望，不像真皮，一千多的鞋，而且还是知名品牌，居然还有线头 您好，我已按要求将货品原路退回半个月，至今未收到退款，请帮忙查查</t>
  </si>
  <si>
    <t>下垂 根本不能防下垂哦</t>
  </si>
  <si>
    <t>假货 假货哦，衣服洗了一次胸前logo退色了，假货可以要求索赔吗？</t>
  </si>
  <si>
    <t>过于肥大Lee mens 标准合身直筒牛仔裤 钛 28W x 30L 【Lee】 服饰箱包 - 亚马逊中国-海外购 美亚直邮  https://www.amazon.cn/gp/product/B01DXI695K/ref=oh_aui_detailpag 面料质量不错，但裤子过于肥大，没法穿！嗐。</t>
  </si>
  <si>
    <t>居然有漏工序 居然漏打了一个鞋带钉</t>
  </si>
  <si>
    <t>正品 150，100斤，有点胖，M的差不多，应该是正品</t>
  </si>
  <si>
    <t>很好 看了评价就决定买大半码了，大小合适。有一点点大了，发现鞋底好像有点滑，不知道是跟地板材质有关还是怎么样。</t>
  </si>
  <si>
    <t>还不错 春节期间购入,刚买还没3天就降价.无奈美国那边已出库.物流还是蛮快的.内裤很薄,做工还可以.(比EA的3盒装要好)</t>
  </si>
  <si>
    <t>lee牛仔裤 照着尺码换算的，略大些。冬天穿可以。关键长度合适，不用裁裤脚。这款颜色不太好看，洗了后就更难看了</t>
  </si>
  <si>
    <t>很保暖 有点长 上身效果不错，而且真的很保暖的样子，但可能稍稍有点长了。178cm、80kg，穿m还算合身。</t>
  </si>
  <si>
    <t>性价比高 性价比很高的移动硬盘，速度满意</t>
  </si>
  <si>
    <t>很适合自己 选的挺好</t>
  </si>
  <si>
    <t>稍微有些肥了 身高180，体重140斤，这个码有点肥了～感觉比李维斯大一个码。</t>
  </si>
  <si>
    <t>东西不错，就是太粘毛了，一会儿就要冲洗 东西挺好的，就是粘毛，一会儿就要冲洗一下再给宝宝吃，太粘毛了</t>
  </si>
  <si>
    <t>品质不错 之前看的两个购买记录都是差评，说破损了，本着对德亚的信任和多次良好的购物体验，毅然决定入手了，结果没让我失望，包装、产品都完好无损。</t>
  </si>
  <si>
    <t>不错，推荐购买 首先快递很快，到手一周左右。 低腰薄款，颜色与图片一致。号码合适。有点弹性。 推荐购买。</t>
  </si>
  <si>
    <t>超级好用 超级好用，顽固油腻一喷就有效！</t>
  </si>
  <si>
    <t>值得入手 水流很细，打在身上不疼，淋浴头带开关，给娃洗澡很方便</t>
  </si>
  <si>
    <t>38的脚5uk合适 240脚长，我是脚偏瘦的，大脚趾比较长比较大，平时都是38的鞋，一般前脚趾会顶着很难受。这双5uk的码刚好，前脚趾还有很多活动空间，脚的宽度也正好，也不压脚背，很合适，穿脱有点麻烦点。18号下单，25号收到，物流很快！买的时候价格是336，到手400以内还是很值的。</t>
  </si>
  <si>
    <t>物有所值 轻，保暖，贴身穿舒服。</t>
  </si>
  <si>
    <t>实惠 实惠、实用、价格可以接受，可以定期换牙刷头了。</t>
  </si>
  <si>
    <t>BRITA 碧然德 Maxtra +滤芯 一直使用它家产品使用更换方便，过滤后水质清澈。</t>
  </si>
  <si>
    <t>很赞。 很好用，锅身很重很重，很有质感，煎牛排必备。</t>
  </si>
  <si>
    <t>运动休闲 运动休闲</t>
  </si>
  <si>
    <t>彩铅 到手450元，先买了一盒自己用，后来又买了大概七八盒，帮画友能买的都买了，感觉这波还挺实惠</t>
  </si>
  <si>
    <t>好，只是2升有点大 昨天收到，虎牌保温瓶真的非常不错，昨天七点过装的开水试一下保温效果，今天七点左右依然烫手，希望能够经久耐用。</t>
  </si>
  <si>
    <t>冠军卫裤 超值之选，非常满意，一次愉快的购物。</t>
  </si>
  <si>
    <t>挺好 质量尚可，偏大。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</si>
  <si>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不错👍 手感柔软细腻光滑</t>
  </si>
  <si>
    <t>包装非常不好！ 很好今天安西门子洗碗机烟机的师傅说这个灶非常好和他家烟机完美！拍了照片！但是来的时候包装都烂了，快递员说姐姐检查看丢零件没有，担心丢零件！</t>
  </si>
  <si>
    <t>处女座表示很满意！ 真不错！特别是袖口设计，很贴合！ 赞</t>
  </si>
  <si>
    <t>一点都不舒服 谁说这鞋舒服的你出来，我保证不打X你，底硬的跟匡威一样，又不透气！</t>
  </si>
  <si>
    <t>图片物品不符 产品图片左下角有LOGO，实物却没有，看其他买家晒图包装和LOGO都和我的不一样，总觉得怪怪的？不过衣服觉得还可以，没洗也没穿呢</t>
  </si>
  <si>
    <t>鞋后跟处皮质脆弱 我的第一双鞋ecco是亚特兰大系列正装鞋，非常适合宽脚掌，改变了对皮鞋的认识。但这双鞋第一次穿的时候松开鞋带，往里穿的时候两双鞋的鞋后跟处皮断裂。建议用鞋楦。</t>
  </si>
  <si>
    <t>写入速度不到10MB/S 写入速度不到10MB/S 是这U盘的速度本来就这样么?</t>
  </si>
  <si>
    <t>导片故障 每次导片导到100张时就出故障，关闭重新再导也只能导100张。已超过退货期（今年一月份购买），但又见不到维修申请处。</t>
  </si>
  <si>
    <t>真假有点怀疑，很不满意 虽然已经给退货了，但还是对此次的购物体验非常不满意，这么贵的鞋，竟然有瑕疵！鞋垫都没粘好！这能是手工制作吗！ 我一共买了两双，8码的那一双有瑕疵退货了，这一双本来是给朋友买的，一对比，发现跟8码那双有两点不一样。第一，鞋底上没有made in spain，与商品图片和我那双8码的都不一样，虽说我不迷信进口，但这么贵的鞋连个产地都没有，我表示不理解；第二，鞋垫与8码的也不一样，一个是一体式的，一个是中间拼接的，一个有字，一个没字。这又怎么解释啊。综上所述，我很怀疑商品的真假</t>
  </si>
  <si>
    <t>没有弹性 裤子料子挺结实，可是没有弹性，平时锻炼需要买大一点，拉伸压腿什么的才不会绷着。</t>
  </si>
  <si>
    <t>低音确实不错！ 低音下潜确实不错，很扎实的感觉。直连CD机把耳朵贴近喇叭才能听到轻微的sisi声。</t>
  </si>
  <si>
    <t>中规中矩 纯棉的面料预计穿几次要起球</t>
  </si>
  <si>
    <t>不错 一直用贝亲的奶嘴，比较软，有吸母乳的感觉</t>
  </si>
  <si>
    <t>太太太小了 太mini 了</t>
  </si>
  <si>
    <t>令人惊讶的三寸监听 非常满意的选择，没想到3寸单元具有如此有能量的声音，完全满足我卧室0.5-1m的近场聆听需求，另外背板上desk flat lf hf的不同调节搭配，可以调整多种声音取向，满足不同情况下的需求，最后必须要讲一下这个令人难忘的低频，量感和下潜超出想象，只是解析稍弱。</t>
  </si>
  <si>
    <t>不错呀 很便宜了  还要什么自行车！</t>
  </si>
  <si>
    <t>太阳能手表能用多长时间？ 漂亮的经典款太阳能手表，送老人一定会喜欢的。</t>
  </si>
  <si>
    <t>孩子喜欢 第二次买了，奶瓶很好，孩子从生下来就用的这个奶瓶，奶嘴仿真度让孩子很喜欢，因为混合喂养，母乳、牛奶随时自由切换，而且我好像还发现孩子好像更喜欢奶瓶喝奶的感觉。</t>
  </si>
  <si>
    <t>”没有中间商赚差价“，值得购买！ 个人情况：身高180，体重78Kg，腰围大约是83cm。  这条 CK 牛仔裤，吊牌价$69.50；厚度适中，适合春秋季；产地毛里求斯，拉链YKK；W31L32，不穿秋裤时，腰围非常合适；裤长其实选L30也可以，我喜欢长一点的，站着显得长一点，但坐着还能盖住脚踝、袜子。  原本是想买Levis或Lee。某次在本地一家新开业的大型 ShoppingMall 吃饭后逛了一家 CK Jeans 专卖店，导购员说该店的 CK 牛仔裤 ￥1600元起...。 我想国内的 Levis 或 Lee 卖得再比国外贵，也不会卖到 ￥1600元起吧？  大约10年前，本地一家媒体采访服装批发市场（也做零售），说由于铺位租金上涨，进价￥100的服装要卖￥300。现在装修高档的 ShoppingMall 估计进价￥100的要卖￥500了。就是说￥1600的CK牛仔裤，他们的进价在￥300多。亚马逊这条CK 牛仔裤到手不到￥300，堪称“没有中间商赚差价”了。</t>
  </si>
  <si>
    <t>赞 看上去不错，烧水很快</t>
  </si>
  <si>
    <t>弹性好 弹性很大，比较舒适</t>
  </si>
  <si>
    <t>看起还不错 还没有开始喝，过几天再来评价</t>
  </si>
  <si>
    <t>不错 这个还真没得说，还不错</t>
  </si>
  <si>
    <t>满意 轻巧，携带方便，送给家人，很满意。</t>
  </si>
  <si>
    <t>合适 大小合适，喜欢</t>
  </si>
  <si>
    <t>满意 不错，很满意。</t>
  </si>
  <si>
    <t>略大但不影响 平时穿31，略大些，宽松款很值得购买</t>
  </si>
  <si>
    <t>很合适 合适，很舒服，价格便宜</t>
  </si>
  <si>
    <t>穿上又舒服有好看 穿上又舒服有好看</t>
  </si>
  <si>
    <t>适合瘦脚 鞋很漂亮，适合瘦脚，宽的需大一码</t>
  </si>
  <si>
    <t>包装完好 很好 老爹很满意 大牌信得过</t>
  </si>
  <si>
    <t>推荐 便宜，好喝。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</si>
  <si>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很可爱，价格也不错，买了跟同事一人一个，很好 很可爱，价格也不错，买了跟同事一人一个，很好</t>
  </si>
  <si>
    <t>鞋子不错。 鞋子穿了几天，感觉不错。比实体店便宜很多，下单后，鞋子降价了，又便宜了几十块钱。</t>
  </si>
  <si>
    <t>很实用 储存宝宝的菜泥 肉泥很方便，简单易取。</t>
  </si>
  <si>
    <t>推荐购买 墨囊方便好用！颜色不生硬，推荐购买。</t>
  </si>
  <si>
    <t>正常身材不合适 正常身材不能穿，M号1米75，100公斤才合适。</t>
  </si>
  <si>
    <t>产品没有做任何保护措施 这个产品还没有使用，整个包裹的外包装是完好的，整个包裹里面只有两罐产品和一张写满英文的纸，但两瓶产品没有任何保护，这么长时间的运输过程中，产品外观只是有一些轻微碰撞的痕迹，但幸运的是产品塑料外壳没有破损，我想是不是生产厂家对这两罐的材质是不是有特别的自信，我想应该相不相信这个产品是不是由美国发货过来的?如果是，居然没有做任何保护措施，让人看到太揪心了，如果亚马逊的产品的保护措施能做好些，我想产品购买者们更加愿意看到，也相信亚马逊的服务态度和产品.产品的使用者也更加放心些</t>
  </si>
  <si>
    <t>没有国内行货舒服！ 鞋底不透气！穿着不舒服！没有国内行货舒服！</t>
  </si>
  <si>
    <t>无保修 买了两块红盘做NAS，在保修期内两块盘几乎同时出现坏道。国内无保修。 建议硬盘不要海淘，有坑。</t>
  </si>
  <si>
    <t>亚马逊购物体验失败 做工粗糙，线头裸漏在外太多，感觉就像假货，衣服尺码偏大，退货需要支付巨额邮费，退回来只剩下36元，果断放弃当抹布不错的选择，对亚马逊失望失望失望，删除软件，一次很烂的购物体验，小伙伴们慎重购买吧</t>
  </si>
  <si>
    <t>裤子大腿部分有点大了 裤子大腿部分有点大了</t>
  </si>
  <si>
    <t>品质不错，码大了些 品质不错，稍微大一码，我平时都是M，这次明显大了，送人。</t>
  </si>
  <si>
    <t>效果一般 只能闷小米，当保温壶用了</t>
  </si>
  <si>
    <t>舒适，肥，鞋底滑 鞋子有点大，彪马的鞋子版有点肥，鞋底沾水后有点滑，但是穿起来很舒适。</t>
  </si>
  <si>
    <t>实在的铁锅 经历了快一个月才拿到，被海关查验。美国人果然够随便，一个锅赤裸裸的躺在一个破箱子里，还好这锅够结实，耐摔，但真的好重，需要两只手拿才能拿起来。用过几次有点粘锅，现在每次用完后就养锅，希望越来越好。</t>
  </si>
  <si>
    <t>高仪龙头质量好 第一次买高仪的水龙头和角阀，质量还不错。德亚活动价格比较实惠，物流速度非常快，有优惠还会继续购买的。</t>
  </si>
  <si>
    <t>像狗盆 给闺女囤的狗盆子。。。搞活动比较划算</t>
  </si>
  <si>
    <t>有型，实惠 本人186高，82公斤，选了xl，很合适，面料不是纯棉但基本和纯棉没区别，这样的好处就是以后穿着水洗不太容易变型，很喜欢，</t>
  </si>
  <si>
    <t>做工不錯，杯子輕巧 一直想買的杯子，國内的活動價也一直比這個高，就入手了。一直擔心亮面的會太耀眼，拿到手感覺還是蠻喜歡的，比較低調的顔色，拿在手裏很輕，做工沒得講，好評了，很愉快的海濤體驗。</t>
  </si>
  <si>
    <t>好看，到手蛮小巧的 不错，实际到手蛮小巧的</t>
  </si>
  <si>
    <t>满意 非常好用，直接套在吸奶器上，可以少刷一个瓶子</t>
  </si>
  <si>
    <t>很不错的夹克 买的第二件，不错，满意。</t>
  </si>
  <si>
    <t>完美尺码 之前看评论，说尺码偏大，但试穿后觉得尺码非常合身，我身高179，体重68公斤，领围39.5左右，完全贴合，尤其是袖长，非常符合我的标准。这款衬衣偏薄，且有点透，建议春夏穿着。</t>
  </si>
  <si>
    <t>满意 合适 满意</t>
  </si>
  <si>
    <t>不错的 应该买那款绿色的，这个太冰了，效果还不错的，会回购</t>
  </si>
  <si>
    <t>东西不错 Good</t>
  </si>
  <si>
    <t>东西不错，没有保价，很不满意 东西收到了，不错，很满意。不过啊不过，买了之后价格就降了，而且1000降到938，这个有点多了，20块以内是能接受的。问了客服，说是可以先拒收再买，可是呢，周六没送直接给我签收了，今天周一才送到，根本没法拒收。。。</t>
  </si>
  <si>
    <t>合身 本人身高170米,体重62公斤，选择31X30，非常合身</t>
  </si>
  <si>
    <t>完美 非常师傅，柔软的很，周末休息穿穿平时上班都不穿。就是白边比较会脏</t>
  </si>
  <si>
    <t>买小了 买小了</t>
  </si>
  <si>
    <t>不错 很不错，就是尺码偏小</t>
  </si>
  <si>
    <t>RMB493入手 反显B格高，入了两块，很喜欢，给亚马逊海外购赞一个！</t>
  </si>
  <si>
    <t>低音有点重 说是和7506一样，但我觉得真不一样，低音重一些，没有7506清晰，耳罩深度不太够。</t>
  </si>
  <si>
    <t>亚马逊购物靠谱 厨房用具都是WMF家的，18/10不锈钢用起来放心。亚马逊海外自营物流很快，下单时预计时间长，实际上北京下单正好一周的时间就能收到。这款水壶质量很好可以入手。</t>
  </si>
  <si>
    <t>非常好 很好！这次是帮同事买的，特意选了德亚！毕竟是原产地的更让人放心！同事用着觉得很好！价格也很合适</t>
  </si>
  <si>
    <t>颜色漂亮 颜色很漂亮，保温效果虎牌一向不行。</t>
  </si>
  <si>
    <t>保质期太短，疑惑是不是长时间热环境下储存运输导致质量有问题 收到打开密封锡纸盖里面充满了气，跟开香槟一样一声巨响液体跟可乐一样涌出来，很迷惑本来应该是这样的吗？还有7月的现在买的保质期到18年12月短了点吧……</t>
  </si>
  <si>
    <t>可以 挺喜欢的，做了薏米，外观很漂亮，但保温效果一般。</t>
  </si>
  <si>
    <t>味道太重 假货无疑，味道非常重，刺激性味道</t>
  </si>
  <si>
    <t>质量很一般 内存卡用了不到一年，已经坏了。</t>
  </si>
  <si>
    <t>退货一个多月，没有收到退款 不喜欢，裤脚过宽，不修身，11.30已经退货，到现在也没有显示收到退货和退款，而且投诉无门。</t>
  </si>
  <si>
    <t>尺码总是看不好 在亚马逊上买东西总是看不好尺码，尺码对照表完全不符合国人的阅读习惯，产品尺码标注的实在看不懂。也没有模特试穿信息，所以买的服饰总是不适合，已经好几件都尺码不对了，下次真不能在亚马逊上买服饰了。给大家参考，这件XL号，身高180或者185的人穿的应该合适。</t>
  </si>
  <si>
    <t>凑合 凑合，没预想的舒适，跟一般品牌差不多，配不上这个品牌。</t>
  </si>
  <si>
    <t>稍微小了 袜子质量不错的，查看尺码表说均码，其实不太是吧，脚长还是短了19_22cm的，一般不都是25_27吗？扯扯也还能勉强穿吧，这样怕是容易坏。</t>
  </si>
  <si>
    <t>总体来讲满意 颜色漂亮，比较轻，携带方便，保温效果很好。但是做工不是特别好，内胆上有个小水滴状的印子，漆面是亮面，而且比较软，容易划伤。</t>
  </si>
  <si>
    <t>码子适合瘦长的人 我感觉S码最适合的是173CM体重65公斤左右的，买的时候要注意了。</t>
  </si>
  <si>
    <t>好鞋子 款式，质量都很好，透气网格，适合脚热的人，99分吧</t>
  </si>
  <si>
    <t>很好 非常好，好看，舒适！</t>
  </si>
  <si>
    <t>感觉很不错，好看 感觉很不错，好看</t>
  </si>
  <si>
    <t>软铅，混色自然，到手价495 很全很完整，还没使用不知内芯邮寄怎么样。颜色非常好，混色自然！非常优秀！</t>
  </si>
  <si>
    <t>舒适棉料 写了黑亮其实是墨绿色系，舒适棉料，质量还可以！</t>
  </si>
  <si>
    <t>这价格不亏 美国的小号相当于我们的中号。我173，140斤，s号合适。质量不错，中国生产。</t>
  </si>
  <si>
    <t>炒鸡棒 炒鸡棒。。。价格也很不错，大赞。毕竟派克啊，入手后来不小心摔过那么几次，出水还是很顺畅。</t>
  </si>
  <si>
    <t>不错 从下单到收货，正好七天，美国海外购这个周期还算OK。很大一罐，保质期到2021年。药片很大一粒，浅薄荷绿色，还不错吧，应该是正品。</t>
  </si>
  <si>
    <t>马丁大夫 研究了很长时间 终于买到适合自己的皮haí啦 不错</t>
  </si>
  <si>
    <t>完美！超值！ 首先这件皮衣皮质和做工那是杠杠滴！其次就只能用完美来形容穿上它以后老夫那难以名状的激动了，帅呆了，姐妹们，上身惊艳，帅的不要不要的！168，L码，仿佛量身定做！开年最完美的一次购物😊棒棒哒👍</t>
  </si>
  <si>
    <t>非常好 鞋型比较秀气，穿起来也比较舒服，做工不错。</t>
  </si>
  <si>
    <t>lee 价格不错。腰围86厘米,买的30w，刚刚好。</t>
  </si>
  <si>
    <t>不来脏 已经安装了，用起来很方便</t>
  </si>
  <si>
    <t>好用好用 质量很好 很赞 儿子很喜欢</t>
  </si>
  <si>
    <t>质量不错 材质没有异味，研磨个水果很轻松很方便，给小宝宝做辅食的好工具</t>
  </si>
  <si>
    <t>满意 挺好的。用了一个，宝贝还算接受，可能是一直都用奶瓶的原因，这个奶嘴和乳头相仿，奶嘴短了点，一直咯噔咯噔的碰孩子牙床，但不影响使用，看着还漂亮</t>
  </si>
  <si>
    <t>不错 面料手感不错，适合夏天穿，大小正好，170，68公斤</t>
  </si>
  <si>
    <t>173cm 90kg L码正好 做工还不错，挺厚实里面有加绒. L码正正好好，裤腿也没有过长。胖子福音 :D</t>
  </si>
  <si>
    <t>东西实惠，用起来方便 东西实惠，用起来方便</t>
  </si>
  <si>
    <t>东西已收到 不知效果如何.......... 东西已收到 不知效果如何..........</t>
  </si>
  <si>
    <t>176  70KG M号刚刚好，宽松舒适！ 176  70KG M号刚刚好，宽松舒适！</t>
  </si>
  <si>
    <t>注意：不是10361，海外购模糊推荐，差评！ 想要买这双鞋的一定要注意看，这款不是经典款10361，我当时买的时候从亚马逊搜10361给我推荐这个，我当时也没有仔细看，选好尺码就买了，回来一看鞋帮上的logo不对，仔细一看不是10361，是个其他型号，要买的一定要注意。</t>
  </si>
  <si>
    <t>不适合购买 鞋子前面勒脚背，鞋码对于我来说并不小，看评论买大半号，反而鞋子偏大不合适了。</t>
  </si>
  <si>
    <t>飞利浦剃须刀 用了一段时间，使用还是比较便捷，但是刀头不够锋利，没有我买的博朗好用！飞利浦这款价格有点偏高，性价比差了点。</t>
  </si>
  <si>
    <t>一般 硬盘比较小巧，容量够大 速度一般，慢的时候才30M多点 为了照片的存放，不经常存取东西，可以忍受吧 还没到手就降价，还没有价保，现在又涨回来了</t>
  </si>
  <si>
    <t>垃圾，两个月就不能充电了 垃圾，两个月就不能充电，维修要自己联系飞利浦，飞利浦要提供发票，亚马逊说海外购不提供发票，无解。</t>
  </si>
  <si>
    <t>有异味，已要求退款 和美国海淘的盒子质感不同，买的时候显示是美国货，实际是香港发货。仔细闻了下味道，和美国转运回来的的确有差异。不建议购买。</t>
  </si>
  <si>
    <t>不好 海外直邮兵不是海外直邮，一直珊评论，或者不给通过</t>
  </si>
  <si>
    <t>森海塞尔 还不错，跟预期差不多，中国制造的，比奶东便宜200元</t>
  </si>
  <si>
    <t>保暖 稍大 稍长 保暖 稍大 稍长  内含绒平滑</t>
  </si>
  <si>
    <t>注意洗涤说明！ 173cm，95kg，臂展略长，M号臂长肩宽正好，腰部太大。衣服保暖OK很好。注意按洗涤说明洗，不能用柔顺剂，不能烘干！因为填充物超级细，用了柔顺剂再烘干后充上静电会钻出来！！！</t>
  </si>
  <si>
    <t>已购买 该商品步料有弹性，想穿紧身点的可以买小一码。</t>
  </si>
  <si>
    <t>想知道怎么加墨 笔刚到，第一次用活塞上墨钢笔，还不知道怎么用，是直接笔尾向里转来加墨吗，请求各位大神帮忙，拜托了！</t>
  </si>
  <si>
    <t>满意 虽然是台湾产，但是读写速度还不错！物流超快！</t>
  </si>
  <si>
    <t>有效果 增强腿部力量，效果明显</t>
  </si>
  <si>
    <t>这个价格是非常不错了，到手87一盒，非常满意，囤货 这个价格是非常不错了，到手87一盒，非常满意，囤货，唯一小遗憾有一盒稍微有点凹痕，不过不算严重，美帝包装太环保了</t>
  </si>
  <si>
    <t>时隔多年再次使用钢笔 写了这么多年的中性笔，突然很怀念小时候钢笔的写感，就下单了。德国品牌德国生产，包装比较精致也很实用，笔外观比较普通，不过旋转式负压 吸墨方式倒是很新颖，附送一个墨胆。颜色方面相比其他彩色，毫不犹豫选择了黑色，钢笔就应该是黑色或者其他类金属色泽的。因此也有一点小小不满意，如此价格的一支笔，使用塑料外壳确实有点不应该</t>
  </si>
  <si>
    <t>便宜好用 刚需，特价购入，够很长时间用了</t>
  </si>
  <si>
    <t>爱它 虽然说，帽子上的D与婷哥的不相符吧，但依然爱这顶帽子</t>
  </si>
  <si>
    <t>不错的硬盘 1、容量大，这个比较爽； 2、如果从休眠中唤醒，噪声比较大。。。。。。。。</t>
  </si>
  <si>
    <t>尺寸 172 65 买的S码 刚刚好合适。用prime会员划算 就免运费😄</t>
  </si>
  <si>
    <t>好鞋 确实有点硬，应该穿几天就好了，这价格绝对值</t>
  </si>
  <si>
    <t>轻薄柔软 挺舒适的，轻薄柔软合身</t>
  </si>
  <si>
    <t>舒服 买过的最舒服的一双鞋子了</t>
  </si>
  <si>
    <t>碧然德 到货用了两个月了，现在来评价，家里的水质不好，水壶里原来总是很多水垢，在评估了各种净水器以后最终选择了碧然德，事实证明选择对了，省去了安装改造各种麻烦，现在家里的水壶里再也没有水垢了</t>
  </si>
  <si>
    <t>舒服 穿起来非常舒适，皮质柔软，鞋底不硬，关键价格是专柜的一半不到</t>
  </si>
  <si>
    <t>质量不错 质量不错</t>
  </si>
  <si>
    <t>瘦版鞋 鞋很瘦，也标注了EU，脚瘦的建议买，脚肥的不建议购买。</t>
  </si>
  <si>
    <t>效果不错 收到当天就服用了，之前脚抽筋比较严重，现在脚没有在抽筋了。</t>
  </si>
  <si>
    <t>值得一买 东西包装很大，很不错</t>
  </si>
  <si>
    <t>质量还不错 袜托很高，秋天冬天穿的</t>
  </si>
  <si>
    <t>漂亮的款式 平时穿40的皮鞋，这次入了40EU，大小合适，款式很酷，也不算贵。</t>
  </si>
  <si>
    <t>nice 物流很快，24号下单，31号就收到啦~ 本人脚长265，宽9，选了8码 W，很合脚，其他人可以参考下 颜色和配图比显得有点淡，没有图上那么亮，做工还行，穿着比较舒服，就是味道有点大，以上~~</t>
  </si>
  <si>
    <t>好玩儿的洗手液 小宝很喜欢，泡沫丰富绵密</t>
  </si>
  <si>
    <t>刚穿搁脚，一星期之后穿着就很舒服了 质量、皮质都很好，刚穿的时候稍硬，有些搁脚，磨合一星期之后穿着还是很舒服的，建议配厚些的袜子。</t>
  </si>
  <si>
    <t>尺码过大 尺码根本就不准，大了好多</t>
  </si>
  <si>
    <t>還算不錯吧 有些過大了，但是穿起來很舒服</t>
  </si>
  <si>
    <t>购买 跟我在国内育婴店里买的不太一样，比我买的小一点</t>
  </si>
  <si>
    <t>质量一般 正面（棕色）皮质尚可，使用无裂痕。背面（黑色）皮质较差，有裂痕，掉色。</t>
  </si>
  <si>
    <t>假货 今天收到货 单从包装来说特别佩服！德国直邮能安全抵达的确厉害！太假了吧！</t>
  </si>
  <si>
    <t>时间慢 真的太垃圾了 买回来没用多久 时间总是慢几分钟</t>
  </si>
  <si>
    <t>终于到货了 终于收到货了，帮人买的，感觉超神奇。送货过程可谓一波三折，每天盯这UPS的实时数据，在HK因为电池原因被扣了好几天，眼看着妹子的预产期就快到了，几乎要放弃这款产品了，突然UPS快递小哥告诉我到货了，那感觉颇意外，也算是惊喜了吧！至于产品本身，绝对的nice.</t>
  </si>
  <si>
    <t>颜色正皮质好 但是尺码偏大 颜色正，皮质好，但是真大，买的4.5刚收到货，完全大了1手指，有4码要更换的吗联系我</t>
  </si>
  <si>
    <t>除了好看，其他一般 用了几周，手表的表盘很好看，就是太厚了可能有14mm，跑起来感觉有点不方便，颜值可以掩盖一切。感觉计时有问题，好几天后才搞懂六点眼表盘才是秒针一直在走，大表盘的秒针是计时的时候才转，三点眼和九点眼有点迷糊，简单来说计时功能就是个鸡肋。夜光表盘看不到日历，只能看时间，还行吧，没我想象的那么完美。新手表拿到手没有保护膜啊这些，光溜溜的一块表，还（以为是那边的退换货），调时按钮还卡了个白色塑料环不把它弄出来手表走不了时（那应该就不是了^O^），搞了好久才弄出来。小心翼翼哈哈!总体来说还是不错的，走时挺准的，主要是好看!好看!好看!对于售价来说看个人吧，我觉得也就差不多吧!（朋友说这个表盘亮起来像以前七八块钱的电子手表一样😂，好像还是挺像的）!</t>
  </si>
  <si>
    <t>尺码偏大 衣服尺码偏大，177/82，L码偏大，穿起来很松跨！</t>
  </si>
  <si>
    <t>物有所值 600以内购入，推荐购买，40的脚US7.5刚好，鞋带可能会让你觉得有些短。不适合增加添柏岚鞋垫。</t>
  </si>
  <si>
    <t>随便穿穿... 面料做工确实一般....样子其实可以...质量好点就好了...身高176体重160...m的有点小了供参考...</t>
  </si>
  <si>
    <t>物超所值 图案精美，质量很好。保温效果一级棒</t>
  </si>
  <si>
    <t>博世料理粉碎機MMR08R2紅色 優點：博世小家電中的著名料理神器，俗稱小紅帽；德標兩項插頭，可以直接使用，無需轉換插座；電壓220V-240V，適合中國大陸使用；斯洛文尼亞製造，真正的進口產品；做工極度精良，用料充足，完美無瑕疵；標配兩個刀頭，刀頭A可以打碎各種肉、各種蔬菜、各種水果，刀頭B可以打奶昔和果醬之類的；比國產品牌強萬倍，製作餡料的神器，包子和餃子從此不再麻煩。缺點：其實并沒有真正的缺點。由於原配刀頭就是打碎末用的，所以只可以打成碎末，不能打成粉末。</t>
  </si>
  <si>
    <t>總體不錯 摸起來挺舒服的 洗的時候也不會掉絨 挺暖的</t>
  </si>
  <si>
    <t>秒杀的，有发票 价格不是最便宜的，勾起了小时候喜欢画画的心，一时喜欢就买了。包装还行，先用用</t>
  </si>
  <si>
    <t>省心 给妈妈买的。货真价实，还省心。</t>
  </si>
  <si>
    <t>好东西 性价比高，码子正确，做工可以，上脚舒适，最爱的爱步品牌</t>
  </si>
  <si>
    <t>穿着舒适，大小正好。 送货快，穿着舒适，正品。</t>
  </si>
  <si>
    <t>好评 质量很好，穿着很舒服，款式好看</t>
  </si>
  <si>
    <t>合适 全网最低价，太合适了。</t>
  </si>
  <si>
    <t>衣服很好 衣服不错，就是网上标注的号码正常有问题，拿到手还是大</t>
  </si>
  <si>
    <t>推荐 孩子上幼儿园的室内鞋首选</t>
  </si>
  <si>
    <t>得体 还是一件合身的衬衫，不过袖口多个纽扣就更好了</t>
  </si>
  <si>
    <t>音质不错，连接方便 价格适中，听歌音质不是特别好，但是觉得也够用了，iphone连接速度非常快，这一点很满意</t>
  </si>
  <si>
    <t>质量很好 不错，鞋跟的地方磨的气球，总体质量还不错👍 非常有弹性，很密实，有绒</t>
  </si>
  <si>
    <t>好用的摩卡壶 以前有个小的，这次再买个大的。产品本身就不多说了，经典就是经典，非常好用。</t>
  </si>
  <si>
    <t>颜值高宝宝也爱用很不错 很棒很好很实用小手抓握舒服</t>
  </si>
  <si>
    <t>koss ksc75 非常好的耳机，低端神器</t>
  </si>
  <si>
    <t>是不是太复杂的机器不适合长途跋涉 打蛋效率确实很高，不飞溅，蛋白绵密，但是打了一次蛋白，中途停下之后就再也启动不了了。。。国内无品牌维修，只能找私人，售后很不好，有电机无法空运无法退货，以为是碰巧赶上，又买了台新的，，，问题更严重，电机噪音严重不正常，蛋白有残留，转头处还有机油露出来。。。wtf</t>
  </si>
  <si>
    <t>东西有点贵 贵公司的东西比人家的贵很多，下次买东西时候我会货比三家的</t>
  </si>
  <si>
    <t>男装当女装来穿 质量没有想象的薄，还算不错，就是作为女装来穿的话，这件男士短袖太长了，直接过臀。</t>
  </si>
  <si>
    <t>我不知道是不是真的 水胶的味道很大。材质很硬，和别人买的差很多。我真是不知道该怎么说了。感觉很对不起孩子，刚开始没发现，后来尝一口水大人都受不了那味。</t>
  </si>
  <si>
    <t>裤子太宽松 太大了，臃肿</t>
  </si>
  <si>
    <t>很实用 玻璃的材质放一些肉质很放心，辅食盒盖的密封性很好，经常使用也不容易折坏，自重比较重</t>
  </si>
  <si>
    <t>太大 物流很快，挺薄的，全棉。就是有点太大了，M的估计得180高的人能合适。</t>
  </si>
  <si>
    <t>略小 除了略小一点外基本符合预期，一条穿个3个月不成问题。平时休闲裤牛仔裤29到30，正装裤38，S号贴身。</t>
  </si>
  <si>
    <t>给其他买的人一点建议 身高体重187cm/86kg，尺码XL。 牛仔夹克非常的柔软，穿在身上感觉很舒适。肩部的剪裁比较宽，下摆的地方比肩部要收了许多，衣长比较短，穿起来刚刚到穿裤子的腰带上方。袖子比较长，不过也不至于挽袖子。本人穿起来稍微比较松，更适合倒三角，体型比较壮的人。</t>
  </si>
  <si>
    <t>衣服质量不错，但是太大 衣服确实如大家评价的那样太大了。180/100kg，太大没法穿</t>
  </si>
  <si>
    <t>很好，推荐 很好，很合适，还会继续回购。孩子看到很喜欢，买的舒心，用着开心，知道放心。服务真的很好，一次很愉快的购物经历。以后还会继续买买买。大家可以放心买买买哈。推荐推荐推荐，强烈推荐。赞赞赞！！</t>
  </si>
  <si>
    <t>很满意 因为自己腰粗  国内几乎买不到42得牛仔裤  这里可以买到42的 重要是大小合适  很满意  面料很厚  合适在国内秋天或者冬天穿~~~</t>
  </si>
  <si>
    <t>好 结侄儿的，应该挺满意的</t>
  </si>
  <si>
    <t>很好，推荐！ very good briefs 非常棒的，材质好，做工也好！</t>
  </si>
  <si>
    <t>氦气盘 希望这个氦气盘耐用</t>
  </si>
  <si>
    <t>舒适 穿着舒适，做工良好。就是全棉的洗了几次后，缩水变小了一点。</t>
  </si>
  <si>
    <t>很合适的户外1防水靴 这次在德亚连续买了四双爱步，这双陆吧吴，起脚轻便，防滑性好，比我的赞贝拉和拉斯的登山靴轻便不少，全皮很软，可惜不是Yak皮 ,带戈尔泰的鞋平时下雨套牛仔裤穿肯定很酷。值得拥有。</t>
  </si>
  <si>
    <t>推荐购买 女儿身高165厘米，体重65公斤正好合适，，漂亮，薄款。</t>
  </si>
  <si>
    <t>裤子 还不错，比较保暖，价格合理。</t>
  </si>
  <si>
    <t>东西挺沉，是新的， 东西12月23日下单，1月19日收到，20多天才收到，回来试了试，挺好用，收到时的包装箱是简易的黄色包装箱，不会是翻新机吧！希望不是！打了橙汁和苹果汁，有点稠，泡沫挺多，其他功能正在研究中！希望能做出更多好吃的！还希望用的可以久一点！</t>
  </si>
  <si>
    <t>实用 很好用，容易脱落，辅食必备</t>
  </si>
  <si>
    <t>橡皮擦 不錯，擦🉐️沒那麼費勁</t>
  </si>
  <si>
    <t>喜欢 质量很好，手工不错，用料结实。好评，推荐！</t>
  </si>
  <si>
    <t>舒适度一般。 还好吧，就是面料不够柔软，舒适度欠缺。</t>
  </si>
  <si>
    <t>好 不错，就是布料比较粗，不知道是不是好棉</t>
  </si>
  <si>
    <t>值得购买 很有气质的一款手表，带了好久了</t>
  </si>
  <si>
    <t>GOOD 性价比很高，平均1个1块不到点，比国内买划算很多，推荐</t>
  </si>
  <si>
    <t>Timberland PRO 男式40 mm 工装皮带 Brown/Rivet 34 82cm的腰围，正合适。</t>
  </si>
  <si>
    <t>感谢 相比于国内其它热闹的购物网站，亚马逊一直都是这么专业而又低调，安静的像个老朋友，默默的注视着你，没有套路只有真诚。 这么多年了，连网页风格也是数十年如一日，古朴简单甚者有些不加修饰。 每次一打开，瞬间感觉时光又回到了2014……2012……2010……再一次点赞，好评。</t>
  </si>
  <si>
    <t>不错 挺好的，一下买了三瓶送人，日期很新鲜，到19年5月，大概到手90一瓶，自从有了prime 手就开始不受控制了</t>
  </si>
  <si>
    <t>大小合适，颜色比图片上的好看 平时穿6.5码，瘦脚，这个牌子第一次买，买6.5码刚好合适，颜色比图片浅，比图片好看。</t>
  </si>
  <si>
    <t>满意 包裹的很严实，完全没味道，很满意的一次购物！</t>
  </si>
  <si>
    <t>不好 好长，质量与地摊货差不多</t>
  </si>
  <si>
    <t>掉色严重 比平时的小一码，鞋底偏硬，比较单薄，适合春秋穿，不过才穿一天就掉色，不知道是不是质量问题</t>
  </si>
  <si>
    <t>太大了 这尺码太大了，M码的胸围都上120了。</t>
  </si>
  <si>
    <t>太小了，身材不好别买 小了，修身，有肚子别买</t>
  </si>
  <si>
    <t>慎重购买，十个月报废了 十个月使用报废了！传输数据中烧盘了！完全报废，我的数据！欲哭无泪！寿命真的是太短了，让我怎么办啊</t>
  </si>
  <si>
    <t>excuse me（黑人问号脸.jpg） 有点晚来评论  先说这个鞋盒 其次没吊牌 我也不想说什么了懒得上虎扑 自己看图</t>
  </si>
  <si>
    <t>钢很亮，好用 好用，很不错，孩子喜欢用</t>
  </si>
  <si>
    <t>会缩水 洗过会缩水，全棉，其他还好，不够柔软</t>
  </si>
  <si>
    <t>最感人的一次送货。。。 虽然是prime会员，但海外购从未在一星期内收过货，我还以为亚马逊抽风了。说正题：怎么降价了？！好吧，第一次用森海塞尔的耳机，我知道这是低端机，不过同样200块左右的手机耳机，我坏掉的sony低音要稳得多，这个低音有点瓮声瓮气，希望多听一段时间会好点，没办法，本人超爱徐小凤和蔡琴。另外，我耳朵小，这款只有大小两个耳塞（才看到商品描述，明明有大大小小4个型号的，我到底遇到神马鬼了？！）小的戴上去也略大。</t>
  </si>
  <si>
    <t>价格还合适，还没用，就是看着印刷很模糊 价格还合适，还没用，就是看着印刷很模糊，不知道真假</t>
  </si>
  <si>
    <t>过大 178/68 M码撑不起，应该买S才行</t>
  </si>
  <si>
    <t>不错的修身款 此商品为修身款，比其他款式尺码略瘦，174cm，75kg，m码比较合身，肩膀处略窄，影响不大，穿上很修身，肚子大者慎买</t>
  </si>
  <si>
    <t>物美价廉 烧水声音很小可以忽略不计，没有蒸汽，使用方便</t>
  </si>
  <si>
    <t>物流快，东西是正品 我家宝宝一直吃的ddrops,一滴就搞定很方便。</t>
  </si>
  <si>
    <t>值得购买 下单后六天就送到了。非常厚实，加热后温度保持的很好，轻松煎出条纹。</t>
  </si>
  <si>
    <t>非常舒适 非常好非常好，已买第二件。不过已经洗褪色了</t>
  </si>
  <si>
    <t>质量非常好 质量非常好，书写感觉细腻，不会挂纸。颜色较中华要深一些，书写柔韧性很不错！</t>
  </si>
  <si>
    <t>很不错 很好，之前买了一个300ml的，需要一个更小的，方便携带</t>
  </si>
  <si>
    <t>出汗了 不错，出汗很多</t>
  </si>
  <si>
    <t>对睡眠有帮助！ 亚马逊自营的天维美。。。相信是正品、真货。。。其价格实惠，对睡眠比较有帮助！较有作用、较好的褪黑素产品。。。</t>
  </si>
  <si>
    <t>正品！非常满意喜欢！ 太好了，功能很多，开始不会用，后来去官方网站下载中文说明书才会用！正品！游泳时戴着太好了！非常喜欢！看快递国外邮来的，有点慢等了十天！着急！</t>
  </si>
  <si>
    <t>简约T恤 身高170、体重65kg正合身，简约的款式很满意。</t>
  </si>
  <si>
    <t>牛仔裤27，L刚好。 160/104/梨形身材有肚腩，牛仔裤27。L刚好，棉的面料，肚腩加厚，比莫代尔啊无痕啊滑溜溜的那种舒服。</t>
  </si>
  <si>
    <t>合适划算。 觉得买的很划算啊。刚好有我的尺码。包装的很细致，收到后就洗了，也不掉色。</t>
  </si>
  <si>
    <t>号码偏大 身高174，体重74公斤，感觉比较贴身</t>
  </si>
  <si>
    <t>漏了 一瓶变半瓶，如果套上塑料袋，起码也得套个没洞的把，要不然有什么意义。</t>
  </si>
  <si>
    <t>雾灰色绝美。 雾灰色，近看接近肤色，远看又被一层烟灰笼罩。隐约中极美。</t>
  </si>
  <si>
    <t>喜欢 看着不错</t>
  </si>
  <si>
    <t>评论 一小块块的，很方便使用</t>
  </si>
  <si>
    <t>舒适 有点像大妈裤，但是穿着真的是舒适</t>
  </si>
  <si>
    <t>高性价比 音质相当好，值得拥有</t>
  </si>
  <si>
    <t>很好 很好啊，一直回购的产品</t>
  </si>
  <si>
    <t>东西很好 已经开始用了，很好，很给力，而且朋友都说很漂亮</t>
  </si>
  <si>
    <t>怀疑是残次品或运输过程中磕碰明显 今天刚刚收到，不得不说 11.28 有货发货 12.4日便到了 亚马逊运输牛B，这双鞋有一只背后划痕很明显，甚至怀疑是磕碰痕迹，知道是不是运输过程中出现的问题。还有一只是前面凸起了一小块，不知道为什么，这是残次品么？大小的话 3.5码，好多偏大了些，平时穿靴子 36，这双需要穿厚一点的袜子，薄薄的丝袜还是偏大半码。脚背上有些肉，但不多。网购买鞋需谨慎 😢</t>
  </si>
  <si>
    <t>没有外包装箱，破破烂烂就发来了 没有外包装箱，破破烂烂就发过来了，下了两单，第二单强调一定要有外箱，依然不予理睬。开箱后蔬菜泥配件的螺旋桨脱落，塑料泡沫碎裂，严重影响心情，本来想退货，一想实在太麻烦，作罢。</t>
  </si>
  <si>
    <t>坑坑坑，不实惠啊 坑，居然是换笔芯的，不是吸墨的</t>
  </si>
  <si>
    <t>颜色太浅了 评论里说颜色比图片深，其实一点也不深，特别浅，不太喜欢</t>
  </si>
  <si>
    <t>鞋子开裂，质量差 质量非常差，穿了一个月都没，鞋子就脱胶开裂了。</t>
  </si>
  <si>
    <t>收到的货跟下单不一样 图2是下单的颜色，图1是收到的货，无语，只能 退。</t>
  </si>
  <si>
    <t>假货 感觉是假货 退货退款又不方便，线头巨多我用火机都烧了半小时</t>
  </si>
  <si>
    <t>不错的批发套装 编号hx6016/26，半硬塑密封，不错。 美国生产。 从英亚发过来6天左右到手。</t>
  </si>
  <si>
    <t>还行。 尺寸正是自己想要的，可以装下iPad mini。不过我以为材质会硬实一些，放东西会板正，实际上材质太柔软。而且没有专门放手机的位置，包里只有一个隔断。总之不符合预期。</t>
  </si>
  <si>
    <t>(๑• . •๑) 没有图片显示的这么好，就算做旧，也太久了，没有吊牌还以为穿过呢</t>
  </si>
  <si>
    <t>还行 有色差，能接受。似乎有点掉绒</t>
  </si>
  <si>
    <t>注意颜色，其他👌 鞋子没什么问题，有点小溢胶，主要是颜色不是图片上的，实际是棕色🏾</t>
  </si>
  <si>
    <t>束身裤 不错，蛮束身的。就是拉链顶端会有点搁肉</t>
  </si>
  <si>
    <t>橘色相当漂亮，保温性能也一级棒！ 保温性能很好，测试过下午两点放入开水，第二天一早依然烫口。类似的500毫升买过，就是掉在地上容易瘪和掉漆，估计这个也一样，不过实物橘色相当漂亮，印象中淘宝无此色！</t>
  </si>
  <si>
    <t>很好 第二次购买了，很好！！</t>
  </si>
  <si>
    <t>便宜啊 比国内官网便宜。12支感觉要用好久。虽然电动牙刷算下来比一般的手动牙刷贵，但真的比手刷的干净</t>
  </si>
  <si>
    <t>有用，有效 这个很好的，给长辈买了，一个星期就通畅了</t>
  </si>
  <si>
    <t>价格太给力了 这个价格太给力了，种草很久很久，终于称心如意了。但是，冷色调偏多，蓝色绿色很多，红色不够</t>
  </si>
  <si>
    <t>。 比较薄，面料做工都还不错，173，64 kg 胸围略宽s号应该没问题</t>
  </si>
  <si>
    <t>非常满意 鞋型偏瘦，款式及质量非常好</t>
  </si>
  <si>
    <t>买的非常划算，满意。 黑五买的非常合算，按照评论买的尺码，S码，173 59 很合适。商品标题是全拉链，图片是没有拉链的，以为商品就是图片那款没拉链的，收到货是有拉链的，更喜欢有拉链的卫衣，感觉赚到了，第一次海外购，就是海外购收货时间长点，总体非常满意。</t>
  </si>
  <si>
    <t>壕气 为了我的信仰，必须买！</t>
  </si>
  <si>
    <t>还不错 好评 正常尺码 大小合适 看起来不错 好评</t>
  </si>
  <si>
    <t>推荐 裤型很不错，163cm，57kg，28W30L真好，长短也合适。</t>
  </si>
  <si>
    <t>帽沿小 是窄帽沿，脸大的人带着显脸更大</t>
  </si>
  <si>
    <t>gshock不错 不错，拿来搭配衣服很好啊。</t>
  </si>
  <si>
    <t>刷头 划算，一下买了二十多个头</t>
  </si>
  <si>
    <t>评价 非常非常好，快递只用了4天就来到广州，比去香港买还便宜，一百个赞👍</t>
  </si>
  <si>
    <t>性价比极高，声底干净无底噪 关于感受就不写了，优点网上很多。我的pc接解码器，不到1000元的解码器，没有底噪，没有他们说的什么接地造成啊，没有！待机也好干净。放无损和DSD文件非常好的音质。另外是选E5还是E8？谈一点个人看法，如果像我一样来拿它听歌家用，不是职业搞音乐人士，建议接电脑就买5寸，接电视就8寸。放家里客厅如果你只买一对音箱的话，强烈推荐8寸。我超爱8寸，开始买了E8但是最终换了5寸来接23.8英寸的台式电脑，因为电视我有5.1音箱设备。好了，就啰嗦这些，就是看它的质量，使用寿命如何了！</t>
  </si>
  <si>
    <t>漂亮的休闲表 适合休闲场合佩戴。特别喜欢两地时间互换的功能，出国时很方便。</t>
  </si>
  <si>
    <t>很满意 尺寸正好，很满意</t>
  </si>
  <si>
    <t>带劲 鞋很轻，时尚，鞋型好，鞋码标准</t>
  </si>
  <si>
    <t>Lee 男式现代系列极限运动修身直筒牛仔裤 Hype 34W x 32L ... 我个人的标准：满分100.做工90（略有可接受的小瑕疵）.弹性85.厚度80（偏厚），身高181CM，体重90KG，34W32L非常合适。并且因为有弹性可以在里面套一条打底裤。</t>
  </si>
  <si>
    <t>尺码差别太大 尺码差别太大了，按照正常尺码买的，感觉最起码差了两个码</t>
  </si>
  <si>
    <t>期待值太高 送的墨条是蓝色的，感觉很一般。。。</t>
  </si>
  <si>
    <t>质量不错，款式真的很一般 款式很一般啊，鞋底上翘，没型，穿着不好看，土土的。</t>
  </si>
  <si>
    <t>容易沾染灰尘，白茫茫一片 容易沾染灰尘，白茫茫一片</t>
  </si>
  <si>
    <t>中国制造 海外购，买的是中国制造的商品，真的是有病，买中国制造的为啥还要从日本邮？不是日本制造的，欺骗消费者，早知道中国制造就买国内版本就好了！</t>
  </si>
  <si>
    <t>商品及服务超差 这家衣服再也不敢买了，历时一个半月才到手里，一波三折的剧情不愿再说，货品质量太一般般，没有物有所值，绝对不会再买，一次管够</t>
  </si>
  <si>
    <t>鞋子手感不错，鞋垫太差，内里掉色 鞋子穿着感和观感都非常好，也很轻，但是鞋垫实在太差了，开始都觉得买到假的了，之前的另一双鞋鞋垫品质感超级棒这个感觉街边60块的鞋子的鞋垫，穿上5分钟袜子就被染了，不知道以后会被染多久</t>
  </si>
  <si>
    <t>码数比国内大好多 183身高 体重95公斤，看过评论后，还好买了L号。除了领口稍微紧点，很合身</t>
  </si>
  <si>
    <t>竟然没有包装 连个塑料袋都没有，，就裸寄了，还好都没有破损。。。。看到还是很不舒服</t>
  </si>
  <si>
    <t>还不错 使用几次感觉还不错，就是耳朵周围头发不好剃。</t>
  </si>
  <si>
    <t>挺好的 没看好是美码的。。。太大了。。。料子不错。。。日码和美码一定要看好了</t>
  </si>
  <si>
    <t>走时准确 质感不错，走时准确，很喜欢</t>
  </si>
  <si>
    <t>很好 很舒适，老公满意</t>
  </si>
  <si>
    <t>太大了。。。 质量还是非常不错的，细节啥的都ok，不过确实大的离谱。本人180cm，85kg，穿L码基本上整整大了一码，懒得换送人了，下次老老实实买M</t>
  </si>
  <si>
    <t>效果不错 效果不错，价格小贵。</t>
  </si>
  <si>
    <t>很好 不错，很好，帮朋友买的，朋友很满意。</t>
  </si>
  <si>
    <t>有点紧 适合瘦脚 有点紧 适合瘦脚 真的很好看</t>
  </si>
  <si>
    <t>挺好。适合175左右身高 不错</t>
  </si>
  <si>
    <t>正品，值得拥有 大小合适，穿着舒服。</t>
  </si>
  <si>
    <t>非常满意。款式大小都合适！ 非常满意。款式大小都合适！</t>
  </si>
  <si>
    <t>舒服 非常棒的一次购物，柔软轻薄，到货比预测的早五天，我173，82kg，穿L合适，国内的码子我要穿XL</t>
  </si>
  <si>
    <t>很不错 很好，新机器至少要经过2个月的研磨才能适合自己的脸型，噪音还可以接受，430入手，一小时快充很好</t>
  </si>
  <si>
    <t>鞋不错 一直想要一双休闲鞋，这双鞋买了两次终于才买到大小合适的，一开始有点卡脚踝，穿了半天后基本适应了。顺便吐槽一下第一次退货，亚马逊退货流程有点复杂。</t>
  </si>
  <si>
    <t>方便 很好用，剪食物很方便</t>
  </si>
  <si>
    <t>物美价廉 物美价廉，又可以用很久了。</t>
  </si>
  <si>
    <t>不要看那些评论 不要看那些评论按正常码数买就行,我就是看了评论买小了</t>
  </si>
  <si>
    <t>直邮速度还是很快 小瓶的可么多么还是很可爱的，国外的包装都很简单，保护环境，不像国内的商品，包装一层又一层。说实话有一点小味道。可么多么是美国品牌，韩国制造。是正品。</t>
  </si>
  <si>
    <t>不知道那个产地是不是正宗日本厂无？ 还可以吧，还未用。</t>
  </si>
  <si>
    <t>大黄靴 很好 很好 很好的鞋 不知道是脚的状态不一样还是怎么样 感觉比在店里试的鞋要舒服 还没正式穿 穿上在家走 没有磨脚的感觉 很舒服 沉 但是也是很舒服 能增高 很棒的鞋</t>
  </si>
  <si>
    <t>穿着舒适 合适，穿着舒适，质量好</t>
  </si>
  <si>
    <t>合适 第一次买日版的，日版的还是好，主要合身，180  70公斤，我上身不胖，XL刚合适。质量也不错了，洗了下 没啥变化</t>
  </si>
  <si>
    <t>符合期望值 量很多</t>
  </si>
  <si>
    <t>不推荐买家购买 特别薄，布料希套。肥大，夏天穿的。身高171.体重108斤买S号长短还行太肥了不改没发穿。做工只能说马马虎虎，能怎么简单就怎么简单地做，价钱便宜的原因，只能买个牌子吧！</t>
  </si>
  <si>
    <t>对质量存疑 这个使用感受很不好，我一直四个奶嘴同时用。之前买奶瓶带的M的奶嘴从不到三个月用到七个半月一点问题没有，这个L买来用了不到半个月就破了，只好又再用回M。不知道是什么原因！</t>
  </si>
  <si>
    <t>恩 里面的面 不是纯白的 有一点米白 恩 里面的面 不是纯白的 有一点米白  如果 我买完发现的 根本就不是纯白 是米白 好感度下降= =</t>
  </si>
  <si>
    <t>made in china 不是皮的，还超级硬 made in china 不是皮的，还超级硬，没有专业的打孔器，估计都安不上。海外购也不科学呀。</t>
  </si>
  <si>
    <t>马上过期 7月份买的8.9号到货就啥都不说了。 11月到期是几个意思?！ 宝妈谨慎购买吧。</t>
  </si>
  <si>
    <t>对得起它的价钱 还蛮喜欢的   就是表盘真的很容易刮花  心疼啊   o(╯□╰)o   所以买了以后要好好保护(⊙o⊙)哦</t>
  </si>
  <si>
    <t>舒适度百分百 我买大一码，鞋子穿脱费劲，但是上脚舒适度百分百。</t>
  </si>
  <si>
    <t>好 从鞋的做工和皮质上看，应该不是假的，但是穿着和国内专柜的还是稍有差别。感觉国内专柜的要轻一些。但穿着还是有ECCO的舒适感。</t>
  </si>
  <si>
    <t>买小一码 很不错，无论外观还是舒适度，nike41，这个6.5</t>
  </si>
  <si>
    <t>和页面展示包装不符 页面所示和以前在日本买的一样，但收到的是贝亲网站所示的包装，希望能一致</t>
  </si>
  <si>
    <t>很好！ 裤型非常好！有弹性，是很满意的一次购物体验！非常棒！</t>
  </si>
  <si>
    <t>性价比不错 十多天就收到了，还好看了评论，确实不是蛇皮，是普通的黑色。皮质还不错，除了内侧有一块都有很多皱纹。39码表示uk6正合适，第一天穿有点压脚背，希望能够磨合。</t>
  </si>
  <si>
    <t>给岳父 给岳父买的，但本来是想着给爸爸买</t>
  </si>
  <si>
    <t>值 质量和款式都非常好，值</t>
  </si>
  <si>
    <t>不错的蛮好看的 不错的</t>
  </si>
  <si>
    <t>合身 合身舒适</t>
  </si>
  <si>
    <t>鞋码 买的大半码，OK</t>
  </si>
  <si>
    <t>我在卓越购买的第二块卡西欧 喜欢这个手表的原因是因为周杰伦在头文字D里面戴过，我是卡西欧的FANS也是JAY迷。当然，我本人是非常的喜欢这款手表！</t>
  </si>
  <si>
    <t>非常满意 这个牌子的保温杯都是公认的好～快递也相当给力！</t>
  </si>
  <si>
    <t>合身 非常合身，穿着自由。</t>
  </si>
  <si>
    <t>不错 质量很好，价格便宜。身高173，体重90。还比较宽松。</t>
  </si>
  <si>
    <t>修身版ck 裤子不错，修身版，穿上刚好。价格比国内优惠太多！</t>
  </si>
  <si>
    <t>好锅 价格便宜，东西也是一级棒！</t>
  </si>
  <si>
    <t>合适的家用机 29.660机小巧功能齐，价格适中，是家用合适的机型，适合家中二三人制咖啡。但亚马逊价格变化太多，下单后没几天又降价了。</t>
  </si>
  <si>
    <t>123 大了，女生头围多少买多少就行，男生买小一码更利索更潮。</t>
  </si>
  <si>
    <t>鞋很满意 有些偏大，但不影响穿。亚马逊自营商品质量很好，不是第一次购买他们的鞋了。</t>
  </si>
  <si>
    <t>男鞋 第一次选的鞋码居然丝毫不差，码非常正！</t>
  </si>
  <si>
    <t>舒服 穿着舒适，质量好</t>
  </si>
  <si>
    <t>实用，容量大。 虽然薄，但韧性很好，写最多放180ml，其实200多也能放，没有异味。</t>
  </si>
  <si>
    <t>非常好 非常合适，感觉很好</t>
  </si>
  <si>
    <t>不建议购买 快递太差了，收到包都漏出来了，外包装划的不像样，没法送人，只能自己留着。属于特别小的那种，装一个小钱包就满了，装手机都觉得太拥挤，炒鸡迷你，不实用。</t>
  </si>
  <si>
    <t>还行 170  68公斤，s码，瘦长，是弹力的面料，把肚腩显露无疑，适合身材好的人。</t>
  </si>
  <si>
    <t>失望 查了好多资料 都说好 而且买的是高强度支撑的 没想到最多最多只能算低中强度 想跑步根本不可能 原地跳都晃动很厉害 而且不知道是不是背后有塑料垫的原因穿的好热 真是失望</t>
  </si>
  <si>
    <t>肩带太长，整体偏大，退货又超级麻烦 肩带太长，整体偏大，退货又超级麻烦</t>
  </si>
  <si>
    <t>地摊货 面料就是地摊货，完完全全的上当</t>
  </si>
  <si>
    <t>特别好 168，110斤大家可以参考</t>
  </si>
  <si>
    <t>尺码 不能按尺码表买，尺码表36围的选s买的m还是小。</t>
  </si>
  <si>
    <t>办理退货太难太繁琐，两个月了未见退款！ 有些大了，总体还行，习惯性好评。</t>
  </si>
  <si>
    <t>ecco皮质很差 同价位的推荐美国小众品牌greats和koio</t>
  </si>
  <si>
    <t>贝亲最好！！！比别的好！ 日常囤货，但玻璃的真的好重推荐塑料的也耐高温。</t>
  </si>
  <si>
    <t>好 便宜，就是加上运费，还是比国内outlets的价格，还优惠，就是要9天时间。做工很好，大小合适。&lt;a data-hook="product-link-linked" class="a-link-normal" href="/Calvin-Klein-卡尔文·克莱恩-男士-3条装弹性棉小型三角裤-蓝色-灰色-S号/dp/B00JQRSCHG/ref=cm_cr_getr_d_rvw_txt?ie=UTF8"&gt;Calvin Klein 卡尔文·克莱恩 男士 3条装弹性棉小型三角裤 蓝色/灰色 S号&lt;/a&gt;&amp;nbsp;以后还会买。</t>
  </si>
  <si>
    <t>相比于监听更适合听音乐 低频下潜够力，中频解析的细节很好，高频也不差。但还原度相比较770或者AKGK6-K7系列，要差一些。还是带了渲染。不过不多，也可以做监听，问题不大。总之，是非常好的一款耳机，这次打折买得很划算。剁手党们加油。</t>
  </si>
  <si>
    <t>用户评论 用过几次适应了，效果非常不错，电池续航稍差，不确定是否可以水洗。</t>
  </si>
  <si>
    <t>好 3个月一支，两个人一年的够了。</t>
  </si>
  <si>
    <t>真的很棒！买了不会后悔的耳机！ 等了好久才等到特价毫不忧郁下了订单，听了差不多一个月才来评价！DT880可以说是买了不会后悔的耳机，250欧很好，我是用千龙盛无损播放器推，真的一个字:爽！音质真的太好啊！1499元真值！亚马逊真给力！</t>
  </si>
  <si>
    <t>质量有保证 质量不错</t>
  </si>
  <si>
    <t>不错 给老公买的 洗了两次了 还不错 不变形 好穿 质量也还可以 就是觉得很贵啊……再便宜些多好</t>
  </si>
  <si>
    <t>good 很赞的品牌，色靓，鞋轻，耐看</t>
  </si>
  <si>
    <t>满意 老公和妈妈都说不好看，但这个名字就是“狗盘”，哈，好用就行</t>
  </si>
  <si>
    <t>顺滑程度 很滑很好写</t>
  </si>
  <si>
    <t>ecco户外鞋很好 很合脚，特别是脚掌的弧度，很防滑</t>
  </si>
  <si>
    <t>不错的手表适合手腕比较粗的人群 手表很重尺寸够大，外圈黑色刻度不耐磨，不知道有没有替换的卖?走时每天慢5秒，潜水功能待测试，好手表</t>
  </si>
  <si>
    <t>嗯，真香 不错，挺好的</t>
  </si>
  <si>
    <t>很好 很漂亮的卫衣，适合春秋，但尺码偏小，172,108斤L码刚刚好。，</t>
  </si>
  <si>
    <t>很保暖 170厘米，68公斤穿着这个型号正好，保暖效果不错</t>
  </si>
  <si>
    <t>没发现红点有用 使用效果还好，清洗方便，只是没发现红点的作用</t>
  </si>
  <si>
    <t>大了 质量没得说，就是尺码大啊！</t>
  </si>
  <si>
    <t>好！ 朋友们看了都说漂亮！就是等收货等的我急</t>
  </si>
  <si>
    <t>不错 真的有用，感觉口气好多了</t>
  </si>
  <si>
    <t>开始服用 开始服用不久，需长期服用方能显示效果，至少现在未出现不适</t>
  </si>
  <si>
    <t>相信是正品 相信亚马逊海外购，帮同事买的，比我以前从日亚买了直邮回来要划算。</t>
  </si>
  <si>
    <t>补充维生素效果差 为什么吃这个维生素，运动过后还是长口疮？而吃其他品牌贵点的维生素的就不长口疮？</t>
  </si>
  <si>
    <t>尺寸偏大 尺寸偏大，1.63米，90斤。实物胸前无logo，里面有绒，但是很薄</t>
  </si>
  <si>
    <t>质量一般 一直穿lee的31x30牛仔裤，但这条裤子明显尺寸偏大。膝盖位置磨白太明显。</t>
  </si>
  <si>
    <t>挺好 穿着舒适，尺码非常合适</t>
  </si>
  <si>
    <t>卡西欧f-91w 有色差！是姜黄色的，而且很小的一个.</t>
  </si>
  <si>
    <t>简直是太垃圾！ 衣服没吊牌、做工差、想二手的，布料差而且薄感觉一撕就破那种</t>
  </si>
  <si>
    <t>c 辣鸡产品，请千万别买…</t>
  </si>
  <si>
    <t>扣一星给客服 鞋子挺好，脚长260穿8码合适，可以伸进一根手指。脚背有点压 有点烦的是订单的事，联系过4次客服，因为下单后两周没发货。第一次客服说我支付有问题，几天后第二次客服说没问题正在配货，我这边看不到而已，几天后第三次客服才靠谱点说后台系统有点问题让我重新下单，态度很好还给我补差价，主要是前两次客服有点气，还跟我说没问题 exo me</t>
  </si>
  <si>
    <t>保暖运动衣，质量不错 保暖的，质量不错，套了一下有点大，M码适合国人170 胖一点的或180偏瘦的。</t>
  </si>
  <si>
    <t>舒适 穿起来很舒服，大小合适，就是怕难打理</t>
  </si>
  <si>
    <t>不错 钱包是皮的，不过皮质一般，里面的证件夹是死的，如果是活的就好了，礼盒装的，挺上档次，送的钥匙链没什么用。是印度产的。</t>
  </si>
  <si>
    <t>脱色严重 衣服还可以，就是线头多，脱色严重，盐水泡过洗了几水还是很厉害，水都黑了</t>
  </si>
  <si>
    <t>不错 据说是最好的美版量子，可能现在的碗都不是特别脏吧，和德亚的量子没感觉到啥不太一样的地方</t>
  </si>
  <si>
    <t>完全和我想的一样，包括偏大的尺寸 比国内GAP的尺码再小两号买的，不得不说，因为美国人越来越胖，他们衣服的尺寸都开始跟着变了，必须留个心眼。总之最后正好合适，颜色，柔软度也都不错，价格没赶上黑五的超低价，但和国内买CK Jeans比肯定是值了的。</t>
  </si>
  <si>
    <t>建议选择原装进口 实用不贵 原装进口 颜值担当 同类商品建议选择海外购 功能齐活</t>
  </si>
  <si>
    <t>电吹风 今天收到了，应该还不错</t>
  </si>
  <si>
    <t>怎么没有客服 买了鞋子和衣服都不好穿，鞋子小了，衣服大了，</t>
  </si>
  <si>
    <t>C 不错，175 75 可以的 只是版型不是修身而已 袖子略长 但是能hold住 不错啦</t>
  </si>
  <si>
    <t>好音箱 也不太懂什么声场素质啥的，听起来很舒服</t>
  </si>
  <si>
    <t>很好 很棒的短裤，透气，柔顺</t>
  </si>
  <si>
    <t>好穿的内裤 大小合适且穿着舒适，非常好穿。建议大家购买。</t>
  </si>
  <si>
    <t>很棒的鞋 样式休闲好看，穿着运动舒适，价格实惠</t>
  </si>
  <si>
    <t>这是哪里生产的，， 平时43-43.5的鞋码，脚背高。这双9-9.5（43码）非常合适</t>
  </si>
  <si>
    <t>价格比国内便宜 老公穿刚好，价格美丽</t>
  </si>
  <si>
    <t>龙头不贵 龙头不贵，但是需要配的2个4转3的角阀（100元），还需要加2根延长管（高仪原装的190元，杂牌便宜），这就多花出去了将近300元，哈哈，总体下来感觉不便宜了......</t>
  </si>
  <si>
    <t>是正品 鞋子很舒服，不错！</t>
  </si>
  <si>
    <t>1 东西还是不错的  就是图片的颜色和实物不一样 实物颜色比图片的深</t>
  </si>
  <si>
    <t>好 很不错。很小巧，有很多分隔</t>
  </si>
  <si>
    <t>超好 孩子使用非常好。很好</t>
  </si>
  <si>
    <t>物美价廉 到手貌似185左右。5号下单，十号到手。 杯底不同于保温杯，是外加一圈塑料垫的，不怕杯底的漆刮花。 杯内没有涂层，不知道会不会有异味产生。有涂层的保温杯和烧水壶，里面水放久了也不会有异味。 杯口是普通的旋转打开方式。 颜色是深可可色，没色差，和KB48的经典深可可色一样的质感。 750ml单手拿合适，没有提绳。 象印的东西，保温就不用多说了。</t>
  </si>
  <si>
    <t>不错的价格 标准更换头，看来两年不用买了</t>
  </si>
  <si>
    <t>宽松版型，适合胖子穿着。 170cm，90kg，穿L码合适</t>
  </si>
  <si>
    <t>不錯 帽子稍大了一點點，其它沒什麼不滿意。</t>
  </si>
  <si>
    <t>还可以嗯嗯 还没用，看着不错，质量挺好</t>
  </si>
  <si>
    <t>皮带铁扣掉漆 皮带铁扣掉漆，真是大失所望</t>
  </si>
  <si>
    <t>裤子价格不错，质量也好，就是太大了 裤子老实说收到质量还是很好的，运费也便宜，就是记得选了34的尺码，莫名其妙怎么就变成36了，退货运费太贵，只好低价淘宝处理掉了</t>
  </si>
  <si>
    <t>洗了一遍，水变色好厉害！ 不知道是不是正品，昨晚洗了一下，发现水变色好深，不知后面会不会褪色很厉害！</t>
  </si>
  <si>
    <t>尺码过大 太大了  美版的比平常穿的要大</t>
  </si>
  <si>
    <t>价格虚高的东西 买贵了，几天就跌500元，以后不碰JBL 的东西</t>
  </si>
  <si>
    <t>madeinchina 运输速度还是满意，32的腰，这个皮带倒数二个扣，廉价感十足，包装就一个塑封袋子，诺帝卡动不动就上千的衣服品牌不符，买的时候没看评价，懒得退了，100多块的东西</t>
  </si>
  <si>
    <t>很满意 大小合适，手感好，本人170cm，65kg，比较薄，适合内穿</t>
  </si>
  <si>
    <t>偏大 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</si>
  <si>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还行 平时穿阿迪达斯38的鞋 ，这款穿37.5刚刚好，女生穿。至于真假不会判断，大家自己斟酌，标签上越南产的。这鞋侧面看还是美美的。价格不到六百搞定了，黑五买的，欧亚的</t>
  </si>
  <si>
    <t>易用好清洗 夏天爱吃西瓜，无奈一次1/4还吃不完，买了这个简便的榨汁机，简单好用易清洗。 应该是用来做沙冰的，有空试试～</t>
  </si>
  <si>
    <t>身材还对不起这衣服 材质一般，紧身衣肚子显得太大，努力减肥好对得起这衣服。</t>
  </si>
  <si>
    <t>买的1TB，价格较JD，TT便宜近1000，很值。 15年双11在TT买了一个240G的东芝固态硬盘，笔记本上唯一硬盘使用，一年不到损坏数据丢失，无法维修，另外同学同一时间买的前段时间也报废，从此决定以后买固态硬盘选择大容量，并且告别TT，说真的TT上买电子产品心里一点谱没有，买什么坏什么，内存条，固态硬盘等等。 说下这个固态硬盘吧，我的笔记本是12年买的富士通LH772，4G的1600MH内存，i5-3210CPU，测评就那样吧，你们可以做参考。 这个硬盘，说真的，商品就只有一个固态硬盘，我装笔记本里面还要那个东西支撑下，这里两张1元RMB折叠。 上面闪迪公司写的，全球联保，3年保修。</t>
  </si>
  <si>
    <t>质量不错 折旧时趁机购入，一次入手了8支，质量很好，与随机配送的刷头比没感觉出不一样的地方，总体来说值！</t>
  </si>
  <si>
    <t>好 合身、面料舒服质地好!</t>
  </si>
  <si>
    <t>辅食勺子 宝宝才两个多月，为以后添加辅食囤货。</t>
  </si>
  <si>
    <t>推荐放心购买 新款，很美，超轻，超保温，适合女孩儿学校使用，也适合外出or办公！大牌又便宜，推荐，已经买了N个</t>
  </si>
  <si>
    <t>做工不错 做工太好了，细节很到位</t>
  </si>
  <si>
    <t>实惠 好用价格实惠，比国内优惠200</t>
  </si>
  <si>
    <t>起球 尺码合适，料子很薄，穿着很舒服，就是洗了几次起球了</t>
  </si>
  <si>
    <t>很好的马拉松装备 原来买过甘油15，已退役，16价格也非常合适。准备跑全程，所以买大了半码。</t>
  </si>
  <si>
    <t>洗完一次以后就不防水了吗 东西很好，但是洗一次之后就不防水了吗？</t>
  </si>
  <si>
    <t>非常满意 马丁的2976切尔西比1460穿起来舒服太多了，已经上好油了就等秋冬的到来了，非常满意的一次海外购，好评！</t>
  </si>
  <si>
    <t>我的评论 我觉得非常的好和满意</t>
  </si>
  <si>
    <t>可以 好穿，软，走长路脚不会不适</t>
  </si>
  <si>
    <t>还可以 壶是塑料的，烧过几次水没味了，价格确实便宜</t>
  </si>
  <si>
    <t>弹性很好的面料 第一次买就成功了，国内码是27码，穿这条2short的非常合身，160的身高，长度到脚踝这样。这条牛仔裤弹性非常不错哦，面料也很舒适。就是有点线头，孟加拉国产品。总而言之还是很值得的。</t>
  </si>
  <si>
    <t>挺漂亮 孩子喜欢，未找到产地</t>
  </si>
  <si>
    <t>很好的外套 做工精细，价格比国内便宜太多。平时XL，这次L足够了，但肩部偏小</t>
  </si>
  <si>
    <t>很好 没有掉色，大小正好</t>
  </si>
  <si>
    <t>日本保暖裤打底裤 颜色很漂亮，上身非常舒适没有一点紧绷的感觉，轻、薄。很喜欢</t>
  </si>
  <si>
    <t>用了很久了，靠谱！ 现在有4个莱斯的东西了，这个品牌很不错。</t>
  </si>
  <si>
    <t>挺好的 颜色挺好的不是轻量款</t>
  </si>
  <si>
    <t>质量不好。 萨尔瓦多产的，质量真的超差，穿一次就起球了。</t>
  </si>
  <si>
    <t>肥大 工装裤的感觉不好称衫</t>
  </si>
  <si>
    <t>绝对不是新的裤子！ 裤子还可以，料子也很好，就是这个裤子刚拿到手的时候觉得不知道已经被退了多少次了！所有的纸都是皱着的不像样子了！</t>
  </si>
  <si>
    <t>冒牌劣质 知道为什么没有星星吗？冒牌伪劣产品，掉毛脱色到了污染皮肤的程度。简直就是垃圾。呼吁不要再买了。我直接垃圾桶了。</t>
  </si>
  <si>
    <t>为什么要叫羊毛背心！ 一点羊毛都不含，为啥叫柔软羊毛背心？？？</t>
  </si>
  <si>
    <t>化了 化成一坨</t>
  </si>
  <si>
    <t>尺码、颜值符合预期。 黑五拍的黑色光滑，到手竟然是巧克力色的…老美工作做的真粗糙… 嗯，尺码建议：我脚长255，耐克穿41，国内皮鞋40，这双鞋研究了半天，买的US7.5，穿上合适。穿着体验：确实有点压脚背，证明是正品哈哈…不过穿一两天就好了，皮鞋会根据脚型有适应能力。鞋底偏硬，但是鞋秀气好看，硬一点又怎样。</t>
  </si>
  <si>
    <t>小 帽子偏小，给小孩带可以。懒得退了！</t>
  </si>
  <si>
    <t>性价比高 穿起来挺舒服</t>
  </si>
  <si>
    <t>好用的儿童食物剪刀 非常推荐的儿童食物剪 很好用！唯一的问题是乌发带上飞机，只能托运，切记了。</t>
  </si>
  <si>
    <t>皮带美观、质量好。 商品美观、质量好，做工精细。</t>
  </si>
  <si>
    <t>象印保温杯 这款水壶超轻便，保温效果非常不错</t>
  </si>
  <si>
    <t>质量好，不过稍微大了些 本人177cm,82kg 质量好，不过稍微大了些 本人177cm,82kg</t>
  </si>
  <si>
    <t>使用体验 收到货了，值这个价钱。</t>
  </si>
  <si>
    <t>超值 收到，表很好！不过可惜不是蓝宝石玻璃的！</t>
  </si>
  <si>
    <t>很好 感觉不错，今天第一次穿</t>
  </si>
  <si>
    <t>等着看价格 前段时间刚买了一块，又来秒杀了，下午看看价格，买来送人，呵呵，蛮不错的说</t>
  </si>
  <si>
    <t>很满意 比淘宝便宜，关键保真！保温效果很好</t>
  </si>
  <si>
    <t>值得收藏。 很喜欢水人的设计，尤其是海韵系列，值得收藏。</t>
  </si>
  <si>
    <t>非常不错 保温效果很好，外表是亮晶晶的，太阳或者灯光下很好看</t>
  </si>
  <si>
    <t>品牌 非常喜欢的品牌，品质很好！</t>
  </si>
  <si>
    <t>降价可回购 较满意，和想象中的CK差不多。莫代尔很舒服</t>
  </si>
  <si>
    <t>正品合适 买了两个，一个自己戴一个老公戴，花了大概一周收到了。大小挺好的，做工也精致，一看就是正品无疑</t>
  </si>
  <si>
    <t>可爱又好拿 很可爱，不锈钢的洗的干净，把手很大拿着很方便，买了几种餐具，这个比较满意，唯一不足就是没有盒子，出门带着不方便，总体推荐购买</t>
  </si>
  <si>
    <t>第一双danner 厉害了、趁着降价买的，到手价不到1600，感觉赚到了…鞋子穿了一个星期，磨合的还不错！</t>
  </si>
  <si>
    <t>脚长265 uk8码非常合适 三线小城，从下单到到手大概8天 觉得挺快的。 下面说下鞋:买的白色 到手觉得跟图片差别不大 就是鞋头很肥 从上面看可能有点丑 不过出街的话侧面看很棒。白色很不太挑搭配 也不会像黑色穿出布鞋的感觉。 鞋面是单层皮 很软 不是纯白 有点偏奶白这样的感觉 恐怕很容易脏 下雨天一定不能穿出门 平时也要勤打理 下面是翻毛皮 浅灰色 一样很软 鞋底是v底 想必大家都知道 就不用多介绍了吧。总体来说穿起来还是很舒服 轻，软。最后说下尺码 我脚长265 穿uk8码非常合适 希望这条评论可以帮到大家</t>
  </si>
  <si>
    <t>下次还买 味道不错，酸甜味，量也足。</t>
  </si>
  <si>
    <t>好评 穿的很舒服，一点都没有味道</t>
  </si>
  <si>
    <t>赞 便宜好穿，轻薄舒适</t>
  </si>
  <si>
    <t>建议按内长买 女鞋男穿，610的价格拿下感觉很合理了。平时nike穿40，adidas穿39.5，内长245的鞋穿着正好，这款买的8码c/d内长标注250，比较合适稍有余量。上脚皮质有点硬，鞋底很硬很正常，穿了半天感觉皮质逐渐变软，相信后面再磨合一下会更合脚，总体很满意！</t>
  </si>
  <si>
    <t>Emporio Armani 男士 UNDERWEAR 黑色 X-Large 非常满意，很合身，质量不错</t>
  </si>
  <si>
    <t>及其便宜 这个价格买一打在家休闲太划算了</t>
  </si>
  <si>
    <t>尺寸严重不准，太大了 双11活动买的，太大了，不能换货，以前不知道，以后不能盲目购物。。。</t>
  </si>
  <si>
    <t>脚踝太紧了 脚很舒适 但鞋子的脚踝松紧部分很紧能勒出印子 所以穿着也很难受</t>
  </si>
  <si>
    <t>裤子还没有穿 178，68kg。买了两条牛仔裤，都是32/32的尺码。这一条腰围刚好，裤长刚刚好。另一条裤腿长不少。</t>
  </si>
  <si>
    <t>简单大方 白色偏米，性价比低。</t>
  </si>
  <si>
    <t>太大了 国外码，太大了，而且料子有点硬。</t>
  </si>
  <si>
    <t>衣服标注号太大了 太大了</t>
  </si>
  <si>
    <t>样子不错 摸起来挺舒服的 有一点灰尘 不过不碍事 就是有点窄。</t>
  </si>
  <si>
    <t>不错 买了3瓶 相信亚马逊自营的品质 给孩子吃的 不错</t>
  </si>
  <si>
    <t>可以 可以 尺码偏大 我166 150 m 可以当oversize穿</t>
  </si>
  <si>
    <t>值得购买 机器收到几天了，今天拿出来试用了一下。总体来说还是满意的，配了一个变压器（购买功率合适的变压器），成功的制作了面包和蛋糕，解放了自己的双手。噪音在可以接受的范围内，唯一的缺点就是机器确实有抬头的现象。海外购价格比国内购买便宜许多。</t>
  </si>
  <si>
    <t>风力很强劲 吹小狗用的，很好，六种温度和风速组合</t>
  </si>
  <si>
    <t>不错的鞋 不错的鞋，稍微穿了下，感觉很轻，底也很软.</t>
  </si>
  <si>
    <t>好！ 177/120 m码挺宽松 手感挺不错的！</t>
  </si>
  <si>
    <t>不错 很好，和美国买的一样，东西保质期也很新。到18年6月的。</t>
  </si>
  <si>
    <t>好用。 很好很满意，物美价廉的，希望能用很久。没什么毛病</t>
  </si>
  <si>
    <t>有点大，但是很便宜 价格划算，也比较舒适。其他ck款式穿L都是正好的，这一款有点大了</t>
  </si>
  <si>
    <t>挺好的 像是羊毛衫的料子 羊毛混纺？内衣加绒 起球是正常的  穿champion主要是穿它的版和款 大小还是m175 L180</t>
  </si>
  <si>
    <t>不错 不错，保温效果很好。</t>
  </si>
  <si>
    <t>舒适透气  柔软细腻 合适舒服！</t>
  </si>
  <si>
    <t>不错！ 不错的！</t>
  </si>
  <si>
    <t>鞋码合适，穿着舒服。 样子好看，穿着舒服，难得一次Clarks的鞋码这么标准的。亚马逊的价格是最实惠的，就是物流大不如以前，要5天时间，以前都是当天最多次日就到的。</t>
  </si>
  <si>
    <t>笔挺好的，写字写得很顺畅 笔挺好的，造型挺优美的，写字写得很顺畅，不漏墨，用了1个多月了，感觉挺好用的。 说说缺点，塑料感太强了，感觉有点不值这个价格。后盖子不是很紧，现在摇着有点松动。 可以评价为5颗星。</t>
  </si>
  <si>
    <t>包装比较好 包装比较好，效果待用后一段时间才能知道</t>
  </si>
  <si>
    <t>保暖鞋哟 刚收到就来评论了，妈妈喜欢。38码跟平时一样合适。</t>
  </si>
  <si>
    <t>亚马逊的服务令我放心购买 本来想买33w*30l，但考虑夏天穿，故买了32w*30l，试穿一下正合适。</t>
  </si>
  <si>
    <t>满足 现在流行这个，很重但舒适，冬夏合适。</t>
  </si>
  <si>
    <t>有点大 质量好做工精致满意即使他大了不少  大了一个码</t>
  </si>
  <si>
    <t>好看 喜欢，就是薄了些，但是包装很好，不会热！</t>
  </si>
  <si>
    <t>降价时候买的，但是之后发现还是150的划算 价格波动很厉害，不知道这笔的真实价格到底是多少。有时候150的比132的还要便宜，可是总赶不上活动。。 笔是很好用的，但整体色调发灰，需要结合其他笔一起使用，还有，就是用的好快。。。</t>
  </si>
  <si>
    <t>日亚的包装比美亚强 比预计时间快了3-4天，日亚的4T盘比国内的1T要薄5毫米，也轻些。到手需要先格式化，格玩可用空间有3.6左右。我把新的和以前的一个1T的插在一个硬盘座上，考数据，速度只有几十兆，难道硬盘座是2.0的？有空挂台式机里试试，当仓库盘也没啥要求。希望用的住。还有日亚的包装比美亚的强太多了。</t>
  </si>
  <si>
    <t>一款不错的小音箱 一直想买套音箱放在卧室，关注有源多媒体、有源监听，也考虑过无源小箱子配功放，最后在特价时选择了这套入门的，感觉表现够了，卧室10多个平方，高音清晰，低频足够。</t>
  </si>
  <si>
    <t>非常准 用了一段时间才来评论，真的很好，又漂亮走时又准确，用了好几天才快了几秒钟，真是没想到！</t>
  </si>
  <si>
    <t>鞋码 里面鞋底竟然是皮的……比较意外。码数有点大，还好</t>
  </si>
  <si>
    <t>美国码太大了，177-80KG M码过大，建议180以下选择S码 袖子巨长巨肥长了，长了约10公分，真如网上所说，适合长臂猿穿</t>
  </si>
  <si>
    <t>有股淡牙膏味 拿开水烫了之后，给宝宝不吃，自己舔了一下，感觉有点怪怪的，不舒服。仔细闻了一下有股牙膏味。不知道是不是正品。已经送到了，亚马逊上还显示的是在途中，预计几天后到达…………</t>
  </si>
  <si>
    <t>包装简单，一个角磕碰严重 包装过于简单。就一块硬盘简单包了两层泡沫放在一个很薄的纸盒里。发现硬盘一个角有磕碰痕迹。目前在慢扫看是否有问题。已经发现异响。</t>
  </si>
  <si>
    <t>差差差 2017年8月15日买的，现在才11月10号就这样，质量不行</t>
  </si>
  <si>
    <t>退了 有异味，投诉了，给退款了，说是厂家个别商品会出现问题，不知道怎么还有这种情况，但是有问题给退款的态度是好的，还值得继续来亚马逊</t>
  </si>
  <si>
    <t>尺码合适 鞋子到得比预期中要快几天，合成革，难以穿脱，鞋面及鞋底硬，习惯穿球鞋的话，不推荐购买。</t>
  </si>
  <si>
    <t>便宜，就入手了 pro很方便，线材都是类似电话线的卷曲型，防止我带着走抻坏，直推声音也比monster好好几个档次...适合出街各种重低音</t>
  </si>
  <si>
    <t>不错～ 183，85KG，L号稍大，质量还不错～</t>
  </si>
  <si>
    <t>性价比不高 虽然做得看起来精致，但有些细节并不好，让人感觉地摊，唯一担心的是表盘会不会容易刮花，总体还行吧</t>
  </si>
  <si>
    <t>这是第二件 身高178，体重100公斤，第一次选的xl,买大了，寄回来后又胖又大，完全不能穿，因为是海外购，无法退货，只好准备送人。因颜色好看，无奈又拍一件L码的，这次可以穿了。成本有些高</t>
  </si>
  <si>
    <t>以为要漫长等待，结果提前5天送到，开心 第一只森海塞尔，满意~以后慢慢来吧</t>
  </si>
  <si>
    <t>非常不错，一如既往的舒服 非常不错，一如既往的舒服，夏天很舒服</t>
  </si>
  <si>
    <t>质量很好 鞋子很正！去实体店一样，但做工材质有很小区别，可能是不同国家做工材料有区别的原因，但是质量没得说！还是很喜欢的！</t>
  </si>
  <si>
    <t>棉质厚实舒适 衣服棉质厚实，买了偏大，效果还不错！</t>
  </si>
  <si>
    <t>经典 不错，不愧为PUMA的经典款，穿着显瘦。</t>
  </si>
  <si>
    <t>尺寸正好，质量不错。 尺寸正好，质量不错。</t>
  </si>
  <si>
    <t>非常好 这个非常好穿，就是号千万别买大了，刚顺产完穿正好，那时肚子还有点大，现在偏松了，但面料舒服，弹性又好。推荐！</t>
  </si>
  <si>
    <t>舒适 正合适，做的尺寸较为标准，不错，款式也好。</t>
  </si>
  <si>
    <t>很好用。 好用、方便，无味。相信这个品牌。</t>
  </si>
  <si>
    <t>173 77KG M合身，就是比较薄 173 77KG M合身，就是比较薄</t>
  </si>
  <si>
    <t>雷克沙64G存储卡1066X 第一次在亚马逊上购物，以为会很长时间才能收到货物，但为了能买的美国产品，我会等，因为以前买的都是国内工厂生产，看看美国本地生产的怎么样，反正心里觉得放心。没想到2月3号就收到了，试了一下很好。赞一个。以后还会买的。</t>
  </si>
  <si>
    <t>很好 很不错，大小合适。</t>
  </si>
  <si>
    <t>非常好的徒步鞋 包裹性非常好，重量也合适，鞋底软硬适中，配色简单，运动鞋穿42，这款41正好</t>
  </si>
  <si>
    <t>味道不错，当作零食适当补充 如题。看起来吃起来都像软糖。有点点q。</t>
  </si>
  <si>
    <t>好 真的好舒服，国内1300，这里加税750的样子，一点味道也没有，女生，162，55公斤，完全没有问题，给大家参考吧。</t>
  </si>
  <si>
    <t>挺好 可能是美码的原因吧，165，53kg穿s稍稍有些大，宽松。 衣服是软牛仔，颜色什么的也都挺好的。</t>
  </si>
  <si>
    <t>价廉物美，送货快 好用，现在这是我家使用频率最高的厨电</t>
  </si>
  <si>
    <t>正品彩铅 非常棒，好喜欢哦，是正品</t>
  </si>
  <si>
    <t>质量好 质量挺好的  比想象中大很多</t>
  </si>
  <si>
    <t>质量不错 料子比较厚实，质量不错，比优衣库之类的要好。</t>
  </si>
  <si>
    <t>没想到这么大容量的硬盘能以这个价格买到！ 之前自己已经有两个外接硬盘了，但是容量都是2T的，放了资料之后就感觉不是很够了，经常要去删减掉一些内容，但是容量大的又贵，无意中逛亚马逊看到了这个，8T加税只要1000多点，要知道我那两个2T的硬盘都要600多一个了，试用了prime之后还能包邮，从美国发货4天就到了，使用了几天，感觉写入速度不是很快，但是可以接受，硬盘尺寸比想象中小，因为容量较大，需要外接电源，我平时移动硬盘使用场景也都比较固定，所以不是很需要便携性，所以如果你也需要一个大容量的机械硬盘，这款非常推荐！！！</t>
  </si>
  <si>
    <t>正品没问题，表盘颜色比图片要深。 应该是正品，就是表盘颜色是深蓝的，比图片颜色要深</t>
  </si>
  <si>
    <t>不推荐购买 身高174 体重77 m号大了两号穿不了送人了</t>
  </si>
  <si>
    <t>牛仔裤 一个星期左右很快就收到了。不知道是否真的是美国直邮。 4也好大好大 不知道到底是怎么和国内的尺码对应 但裤子质量还可以。</t>
  </si>
  <si>
    <t>刷毛不太好 质量不是非常好 简约版 刷牙感觉差不多了 毛比较参差不齐</t>
  </si>
  <si>
    <t>大了 裤子做工不错，但是太大了</t>
  </si>
  <si>
    <t>味道大 吸管味道超级大的 怎么洗 放 味道还是在</t>
  </si>
  <si>
    <t>手小者不易开盖 奶瓶瓶身很软，不过媳妇的手比较小，打开盖子比较有难度！对了，自带的是两滴的奶嘴……整体很划算</t>
  </si>
  <si>
    <t>明明订单定的时候写的是1000W的机器，收到的确实700W的机器！！ 冲着1000W买的，收到确实700W，我家手持的料理机都是750W，客服让我退货，等有1000W的时候再买。。。</t>
  </si>
  <si>
    <t>商品评价 鞋子不错，价格实惠。</t>
  </si>
  <si>
    <t>不错 价格美丽款式中规中矩但型还是有的</t>
  </si>
  <si>
    <t>生产日期 生产日期被磨掉了</t>
  </si>
  <si>
    <t>做工还可以，比同时买的puma男袜，有些细节不是很棒 做工还凑合，logo处里面的线缝的很乱。脚趾处比较厚，船袜所以脚腕处很低几乎没筒。包装的塑料线绷太紧拆的时候容易钩起线来，颜色比较鲜艳，厚度适中吧</t>
  </si>
  <si>
    <t>做工精细 做工精细。身高193上衣略短，应买46加长规格。</t>
  </si>
  <si>
    <t>需要标注明确的尺寸，方便选择！ 买的比推荐的尺码大一码，有点大了！</t>
  </si>
  <si>
    <t>重点是性价比高 比国内便宜很多。 cross action确实刷的干净，配合oral b漱口水的使用，智齿上黑色的牙菌斑慢慢变少了。 不过终归还是要拔牙的，拔牙等待期的临时策略吧。</t>
  </si>
  <si>
    <t>完美的选择 强烈推荐买MF尖，日用一流，之前有支白乌龟F尖，那个粗呀，出水又大，写完还要晾一下才敢翻页，这支写乐完美解决，唯一遗憾的是没有上墨器，小问题，买了一个。第一次用亚买逊海淘，没想到这么好用，PRIME会员性价比无敌</t>
  </si>
  <si>
    <t>可以，号偏大一码 性价比可以，就是买大了一号。</t>
  </si>
  <si>
    <t>小细节好是很不错的 面料无异味稍薄，缝制也不错，大小合适</t>
  </si>
  <si>
    <t>很帅 安踏穿41，这个7.5D刚刚好，很阳刚很拉风</t>
  </si>
  <si>
    <t>第一次下单感觉还不错 给还没有出生的宝宝囤的，拿到闻了下有股硅胶的味道，希望是正品，两个很划算，第一次在亚马逊买东西挺好的，15号下单26号就到了，很不错了</t>
  </si>
  <si>
    <t>好评 还没有用呢，不过口碑一直都不错的，而且邮递速度很快！</t>
  </si>
  <si>
    <t>很好 书写流畅，上墨以后，笔明显便重了，还是不错滴。</t>
  </si>
  <si>
    <t>物超所值 功率那么小，打蛋清却只要两分钟，揉面更不用说了，完全解放了我的双手，做馒头做蛋糕做面包做面条，四口之家足够用了。和传说中一样好用。</t>
  </si>
  <si>
    <t>适脚感棒 非常满意的一双鞋子，首先价格比专柜便宜。最重要的是舒适度,非常的合脚，穿久了脚也不累真的很棒。</t>
  </si>
  <si>
    <t>东方人穿着有些肥。 老美穿合适，东方人穿着比较的肥。布料比较硬，舒适度一般。</t>
  </si>
  <si>
    <t>质量不错 孩子很喜欢</t>
  </si>
  <si>
    <t>非常满意 从美国寄到拉萨，包装很细心，鞋子更是完好无损。这是迄今为止最满意的一次海淘经历，真是感觉赚到了！</t>
  </si>
  <si>
    <t>又靚又正！ 保温效果好，如果有其它容量的就好啦！</t>
  </si>
  <si>
    <t>挺好的 下水确实比较汹涌，适合签字，或者写写唐诗宋词，练字之类的，如果是学生写试卷，或者做作业，就不要买了</t>
  </si>
  <si>
    <t>皮革是否是真皮 鞋面皮革，不知道和专柜卖的材质是否一样，专柜是牛皮。除了这一点疑问，其它都很满意。</t>
  </si>
  <si>
    <t>推荐购买 第一次海外购，因为看到国内某些网站上的价格和官网差太多，虽然不知道原因但是如果买的话感觉略虚。首先，物流速度较快共六天。其次，产品质量很不错，书写粗细非常适合日常使用，手感顺滑没有其他评论中刮纸的情况发生，加上自带墨胆书写体验非常棒。 没有上墨器，需自行购买，如有购买意向请注意。 用了一段时间后发现一个问题，有时如果写字多了就会发现出水比干刚开始写的时候要少一些，造成墨色有点淡，而且写快了甚至出现断墨的情况。不知道是用的纸有问题还是怎么样，总体来说这款钢笔的书写体验还是不错的。</t>
  </si>
  <si>
    <t>好看 炒鸡好看了啊，他超级喜欢的。我忍不住带了一下，但是我觉得女生可以买一个粉色，这个男生带炒鸡酷。这个发来时间都调好了，很棒。无法用言语表达。</t>
  </si>
  <si>
    <t>比较普通，没有大牌的感觉 腰围比国内同号小一点，做工粗糙，面料厚实，168cm,75kg,32的腰偏紧，要宽松的可以大一号。做工很一般，穿着比较舒适，纯棉面料还不错。</t>
  </si>
  <si>
    <t>第二次买 优惠时买的，妈妈吃后反馈不错。</t>
  </si>
  <si>
    <t>Champion男士网眼口袋短裤 黑色 S码 做工好，薄透气，真的不错。</t>
  </si>
  <si>
    <t>不修身 快递包装很仔细。但不修身，上下一样大，特别是穿上后脚和脚踝处很大。还没有国内品牌设计好，失望，但海外购退货不方便。建议厂商改进</t>
  </si>
  <si>
    <t>啊啊啊啊啊 不建议买肤色，我买了，颜色太深，除非你皮肤真的又黑又黄！</t>
  </si>
  <si>
    <t>说是男式手表，单表盘极小，表链也短，12岁以下的男士使用吧 说是男式手表，单表盘极小，表链也短，12岁以下的男士使用吧</t>
  </si>
  <si>
    <t>罩杯杯型设计太差了 罩杯太差了，杯型是扁平的……跟欧美系的比起来胸型差太多了，欧美系一样是自然型文胸，杯型做的要好很多。</t>
  </si>
  <si>
    <t>背心式的穿久了会觉得勒 轻薄透气,但是穿久了会觉得勒.由于肩带不能调,老是会掉,总要伸手去衣服里拉一下.</t>
  </si>
  <si>
    <t>还未使用，但是收到后实物图和广告图色差严重 根据广告图片挑的蓝色和橘色，到手后却觉得好难看，好low的颜色啊。哭！不好看。所以还是要多看看买家秀，广告照片都是磨图过的。</t>
  </si>
  <si>
    <t>口味不错 口味也不错，性价比很好，国内貌似不流行</t>
  </si>
  <si>
    <t>够肥够大 是夏天穿的，比较薄，质量不错</t>
  </si>
  <si>
    <t>鞋码真的大 鞋码真的大，平常穿42.5，这个穿着能塞两个手指头，估计41可以，垫个鞋垫能好点。</t>
  </si>
  <si>
    <t>实用 简单实用，好搭配，日常通勤足够应付</t>
  </si>
  <si>
    <t>挺好 尺寸合适，穿着舒适。</t>
  </si>
  <si>
    <t>添柏岚大黄靴 鞋子非常合适，舒适，耐穿。</t>
  </si>
  <si>
    <t>好 衣服很薄很轻的，很不错</t>
  </si>
  <si>
    <t>奶瓶 非常不错的宝贝，非常喜欢！</t>
  </si>
  <si>
    <t>尺码正好 挺好的，再下一单。有一些弹性，稍薄适合春夏秋穿，177cm/75kg买的w33l32正好。</t>
  </si>
  <si>
    <t>很好 试穿了一下，确实很舒服，值得购买。</t>
  </si>
  <si>
    <t>设计感很强的裤子，尺寸稍稍偏大，但不影响穿着 之前实体店买的G star牛仔裤是W31L32的，所以这条裤子也买的相同尺码，收到之后发现确实如其他人评论的那样稍稍有些偏大，但是并不影响穿着，不系腰带也并不会掉下来，裤子一如G star的3D剪裁设计非常有型，口袋很多非常适合不习惯带包的人，需要注意的是包装时因为把裤脚都卷了起来的原因所以裤子刚刚收到非常皱，建议洗一遍烘干了之后再穿。</t>
  </si>
  <si>
    <t>灰色 均码 帽型很好，戴上很好看。</t>
  </si>
  <si>
    <t>很不错，简洁大方 很不错，简洁大方，非常喜欢</t>
  </si>
  <si>
    <t>身高194，体重175，穿L码正好 身高194，体重175，看之前评论选了L码，正好，蓝色颜色很喜欢</t>
  </si>
  <si>
    <t>还不错 货真价实，就是买小了</t>
  </si>
  <si>
    <t>女儿喜欢 很好的款式谢，女儿非常喜欢，穿着舒服</t>
  </si>
  <si>
    <t>非常好 机车款，帅气。材质设计都完美，不娇气。只是我身高才160，稍显衣长，搭配受局限。165以上姑娘穿不要太美。</t>
  </si>
  <si>
    <t>耳机很棒 用了6年的KSC75有一个耳机不响了，这次又重新买了一个，美亚发过来的，价格比以前便宜很多，音质一如既往地好！</t>
  </si>
  <si>
    <t>宝宝的奶瓶 很好的说，运送时间也不是很长，通关也快，就是刻度有时不太好看。</t>
  </si>
  <si>
    <t>商品评价 亮面儿的鞋会起折痕，在脚尖处，这双鞋偏瘦，鞋面儿微硬</t>
  </si>
  <si>
    <t>品质保证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</si>
  <si>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运动鞋 很合脚，40码的，正好，舒服，孩子喜欢</t>
  </si>
  <si>
    <t>very good 弹性牛仔裤，挺舒适的。</t>
  </si>
  <si>
    <t>鞋号精准，穿着舒适 没等黑五，从下单到收货9天时间，还算是比较快吧。 鞋号比较准，不需要额外加鞋垫，穿几天后可能会宽松一点。鞋面是皮革，本身防水性能应该就不错，前尖部分是翻毛的。适合秋冬季节穿着，包裹性和支撑性比较好。 鞋盒里没有合格证之类的，不知道是哪里生产的，比较遗憾。</t>
  </si>
  <si>
    <t>不推荐买 衣服偏薄，质量不好，袖长也很不合适</t>
  </si>
  <si>
    <t>性价比高 性价比高，穿着舒适，就是糜皮会掉色</t>
  </si>
  <si>
    <t>不确定是否正品 第一次在亚马逊买保健品 感觉外包装比较粗糙 商标贴的有鼓起 不能确定是不是正品</t>
  </si>
  <si>
    <t>超级大 硬到无以附加，感觉穿的不是裤子，是纸壳板。想改改长短，发现剪刀剪坏了。</t>
  </si>
  <si>
    <t>破玩意 如果这个鞋是新的，我把它吃了！</t>
  </si>
  <si>
    <t>做工差！ 没想到等了一个月才到的裤子，合计三百多了，收到一看，做工竟然是劳保工作服的水平。以后千万得谨慎购物。</t>
  </si>
  <si>
    <t>同样的37号码，穿着穿着就大了 在商店里试穿的时候37码刚刚好，不磨脚脚后跟特别舒服。但这双鞋刚上脚的时候就觉得脚后跟磨，还是夏天穿的浅口袜，直接就磨破了，不过两天后就好了。然后就越穿越大，现在脚后跟都能放下个手指了。确实好看，耐穿舒服。洗过一次，清洁起来也不麻烦，清洁完也没有变形之类的问题。</t>
  </si>
  <si>
    <t>轻薄的防风夹克 面料不如预期，其他还好</t>
  </si>
  <si>
    <t>有个问题，大家的机头晃动很厉害吗？像视频里这样？ &lt;div id="video-block-RPXH5NAP2ZBD" class="a-section a-spacing-small a-spacing-top-mini video-block"&gt;&lt;/div&gt;&lt;input type="hidden" name="" value="https://images-cn.ssl-images-amazon.com/images/I/91FdWqUdv1S.mp4" class="video-url"&gt;&lt;input type="hidden" name="" value="https://images-cn.ssl-images-amazon.com/images/I/B1dc1uomhrS.png" class="video-slate-img-url"&gt;&amp;nbsp;用揉面钩的时候机头上下动的比较厉害， 不用的时候，机头晃动也比较明显，请问大家都是这样吗？</t>
  </si>
  <si>
    <t>笔很漂亮，包装太不行了 包装太粗暴，跟上次买的一样，连个防撞泡泡都舍不得放一个，盒子两个角都凹进去了</t>
  </si>
  <si>
    <t>评价 尺码不错样子不错，建议亚马逊要搞一个尺码对照表给大家看</t>
  </si>
  <si>
    <t>不错的靴子 不含税199。老婆瘦脚，一般都是39码，净脚长大概24.4cm，下单uk5.5，到手后发现刚好。鞋子用料扎实，做工不错，脚感也不错。颜色一般吧，老婆总体满意。</t>
  </si>
  <si>
    <t>合适 试穿在了一点点，不过加个鞋垫后就刚刚好，脚大不好买鞋，国内的最在45码有些磕脚，只发了海外购了</t>
  </si>
  <si>
    <t>喜欢，支持亚马逊 第二双在亚马逊海外的靴子了，这双很美，超低价460多到手</t>
  </si>
  <si>
    <t>划算 这个划算，刚好用一年.</t>
  </si>
  <si>
    <t>好用 没味道，摔不烂，用起来很方便</t>
  </si>
  <si>
    <t>质量可靠，性价比高！ 使用了有半年多，主要是用来练字，虽然是M尖，但字迹没有想象中那么粗；目前是个人所有钢尖钢笔中最好用的。自己配的吸墨器，用的凌美蓝黑墨水，其下水系统很稳定可靠，既不会漏墨，也不会干尖。当初是260多块时入手的，感觉超值，同等价位还想不出有什么敌手。</t>
  </si>
  <si>
    <t>1 今天收到的，配6730也可以。很实惠，推荐！</t>
  </si>
  <si>
    <t>还比较满意 物流速度很快，虽然正值清明节，焖烧杯做工很好。泰国代工的，杯外体好像是塑料材质唯一不满意的是外包装破裂。</t>
  </si>
  <si>
    <t>价格太合适了 宝宝一直用这个奶瓶，没发现不好的地方。亚马逊海外购的价格全网最合适</t>
  </si>
  <si>
    <t>好 在亚马逊买过很多东西，也有过看了别人差评拒买的经历，后来发现一些差评可能是不客观的，所以我决定以后再买东西，如果好就给打个分。往高尚了说，历史记取社会的最大悲剧不是坏人的喧嚣，而是好人的沉默；往低了说，我希望亚马逊能得到公正的对待。</t>
  </si>
  <si>
    <t>好用 好用</t>
  </si>
  <si>
    <t>很好的体验 东西很正，尺寸合适，价格便宜😊</t>
  </si>
  <si>
    <t>质量 打开后很惊喜，不错，第一次戴卡西欧手表，满意。</t>
  </si>
  <si>
    <t>好用又好看 体验感很好，变压器配了个大的，又能带电饭煲又能带热水壶。 就是容量小了点，还是喜欢5L的，3L一天得加两三次水，无蒸汽很喜欢，烧3L水大概得20分钟左右，烧好后可以设置几个温度，也可以断电保温 颜值也很高，强推。</t>
  </si>
  <si>
    <t>很喜欢 非常喜欢！惊喜，很牛仔风！尺寸很合适</t>
  </si>
  <si>
    <t>挺有个性的 第一次海淘感觉还是不错的，十一天到货，鞋的尺寸，款式颜色都非常好。应该感谢亚马逊，给了我们更宽的选择，希望增加更多的优秀产品。但是我还不敢买裤子，那个对比号码，太难搞明白了。</t>
  </si>
  <si>
    <t>7天收到的 第一次海淘，订购以后就很迫不及待地等待收到包裹，看着很小巧不过很好用，声音很小搅拌起来很稳，非常喜欢！</t>
  </si>
  <si>
    <t>东西不错 裤子质量和裤型都不错，本人很喜欢！只是买大了一号，退货费用太贵，放弃了，果断小一号再下一单！本人178cm，80kg，下的36W32L，长短合适，腰围偏大，因此34W32L应该是我的码！</t>
  </si>
  <si>
    <t>喜欢 非常舒适，又暖又透气，长度刚刚好。</t>
  </si>
  <si>
    <t>很喜欢 面料防水防风，薄棉款，样式简洁大方，口袋的设计很实用，大小正合适，180,83</t>
  </si>
  <si>
    <t>很舒适的鞋子 很舒适的鞋子！老公脚比较宽，很难买到特别舒服的鞋子，总算遇到了。皮质柔软舒服 考虑过些天再买一双同款换着穿。推荐！</t>
  </si>
  <si>
    <t>175cm 买 S码基本合适 尺码可以，但是，质量不咋地！</t>
  </si>
  <si>
    <t>好大的码子，悲催，还Underwear，更要贴身 好大的码子，悲催，还Underwear，更要贴身</t>
  </si>
  <si>
    <t>码比国内大 东西质量很好，但是太大的，我国内CK都是买38B或38C，这次买38B,感觉罩杯和底围都大了，估计36B才合适。</t>
  </si>
  <si>
    <t>脚厚的无缘了 尺码偏小很多，完全穿不了。</t>
  </si>
  <si>
    <t>质量不行 身为贴身衣服掉毛非常严重，粘在皮肤上一层。就这做工还是换隔壁ck吧。</t>
  </si>
  <si>
    <t>大小 东西很不错  唯一就是底子有点硬</t>
  </si>
  <si>
    <t>很舒服 样子不错 很舒服 我怕小买大了一号 其实码很正的</t>
  </si>
  <si>
    <t>好用 很好用...第一次用蓝瓶的..比绿瓶的要甜一点.</t>
  </si>
  <si>
    <t>还是有点作用 妈妈年纪大了，有时走路时间稍微长点，就会脚疼，她的朋友介绍了这个药，就上来亚马逊找下，6天左右收到货，专门等妈妈吃了一个多星期才来评论，听她说有点效果，等吃完了，应该会再买的</t>
  </si>
  <si>
    <t>做工没那么好，只能说价格合适 裤子腰围合适，长度有点长，或许我选的码子有问题，182cm，75kg，选的32/34的，裤子的做工真的不好恭维，和国内的lee有差距</t>
  </si>
  <si>
    <t>不错 173CM，体重75KG，M码刚好，有点薄，春秋合适</t>
  </si>
  <si>
    <t>推荐给爱听音乐的你 第一次用森海塞尔的耳机，本人不是发烧友，只是喜欢听歌，个人觉得音质挺好，物有所值！！</t>
  </si>
  <si>
    <t>我想说我是来晒图的 老牌保健品了，相信会有用</t>
  </si>
  <si>
    <t>很赞 我的最爱，轻便，娇小，去哪里都随身携带。</t>
  </si>
  <si>
    <t>尺码正好！ 平时穿运动鞋41码，穿过clarks us7.5码，rockport us8码，这次这双鞋码正好，但鞋背稍低，高脚背可能会紧。 ecco确实有特色，传说中的“瞬间合脚”！ 鞋底偏硬，但鞋子非常跟脚， receptor技术不是白给的，长时间走路脚也不感觉累。</t>
  </si>
  <si>
    <t>质量很好？ 质量很好。推荐购买。</t>
  </si>
  <si>
    <t>弹力修身的，比平时买小一号就完美了 牛仔裤五星，想买的要买比平时穿的号小一码，因为是弹力修身的，本人171斤67公斤。平时穿31.这款要是买30就完美了。亚马逊购物有点尴尬，没办法直接和卖家交流尺寸大小</t>
  </si>
  <si>
    <t>手表 实物比图片帅气，挺喜欢</t>
  </si>
  <si>
    <t>皮带比较硬，颜色很好看 价格很合适，颜色也不错，这个价格用上一年也很满足了</t>
  </si>
  <si>
    <t>经典 东西不错，6天到也很好。</t>
  </si>
  <si>
    <t>喜欢 适合夏天穿，腰围2尺6，体重73.5公斤，身高173，穿31/30的刚好</t>
  </si>
  <si>
    <t>价格 快递太给力了！29号下单4号就收到货了。尺码也正好和平时穿的一样44，价格是真心的便宜和实体店差很多，加税到手550很不错的一次购物。写评论是不是可以给积分能顶💰用啊！有字数要求没啊！</t>
  </si>
  <si>
    <t>注意尺码 才用了十天左右就收到了。鞋子很漂亮，质量不错，主要是尺码问题，犹豫了很久。好在选的码数还合适</t>
  </si>
  <si>
    <t>颜色超靓 别人推荐的，还没有用，备着</t>
  </si>
  <si>
    <t>皮带很好用 不错，很合身，应该是正品的</t>
  </si>
  <si>
    <t>不错 厚度 中，直筒，175  81公斤有点肚子，33/30长度103公分，腰围紧一点点穿穿就松了，裤腿自我感觉正好。</t>
  </si>
  <si>
    <t>性价比高 弹性十足，性价比高</t>
  </si>
  <si>
    <t>质量倒是好 我买小了 只好送人 以前从不去评价，不知道浪费了多少积分，现在知道积分可以换钱，就要好好评价了，后来我就把这段话复制走了，既能赚积分，还省事，走到哪复制到哪，最重要的是，不用认真的评论了，不用想还差多少字，直接发出就可以了，大家也试试</t>
  </si>
  <si>
    <t>我想打一个十分可以吗？ 18号下的单，19号发的货，26号拿到的鞋子，这个速度相当不错了，之前在亚马逊英国也买过一双鞋子，效率一如既往的好；没拿到鞋子之前一直担心鞋子小了穿不了退货还麻烦，毕竟这款属于童鞋类，现在看来是我多虑了。今天拿到鞋子后，就迫不及待的试了一下，喜出望外的是这个码子简直是按照我的尺码量身定做的一样，大小刚刚合适，比我到实体店买的鞋子还合脚，本人脚偏瘦，驾驭这款还是可以的，鞋子属于M款的，相当奈斯，强力安利一下，性价比相当高，虽然属于低配版，但是价格决对给力，下次再买一双7孔的，质量完全没问题，唯一吐槽一下的就是鞋带有点细，其他完美。</t>
  </si>
  <si>
    <t>颜值高 炖肉省时，蒸米饭特别好吃。很好用颜值很高的锅。喜欢！</t>
  </si>
  <si>
    <t>喜欢！！！ 樱桃红皮革，货号11822600。平常穿37/38，aj穿37.5，脚长235，瘦脚。买的uk4/us6，非常合适。买之前做好心理准备会很磨脚，结果还好啦，就鞋帮最高的地方磨小腿后侧有点疼，把鞋带系松一点会好些的，慢慢磨合吧。不过每个人磨脚部分不大一样可能。喜欢喜欢，硬皮太帅了，有型！亚马逊太速度了，下单后7天英国直邮到手。比某猫便宜好多，某猫一双的价格亚马逊可以买两双。</t>
  </si>
  <si>
    <t>希望物有所值 希望物有所值！马上秋天了</t>
  </si>
  <si>
    <t>如内容 码数合适，皮质也不错，就是鞋底太硬，膈脚疼，没办法穿，另外，脚面高的人不建议购买，海外购退货麻烦，不然就退货了</t>
  </si>
  <si>
    <t>图片不符 货不对版，上面功能的字没有颜色，刚打开看以为买到山寨了。要对着阳光才能看到，只能开了才能看到白色的字</t>
  </si>
  <si>
    <t>海外退换货时间长 看评论说鞋子码子大，就买小半码，结果收到有点小了，只能退货。海外购的原因时间很长，退款金额还错了，好在客服服务不错，最后给我在新订单中抵扣了。海外购需谨慎！</t>
  </si>
  <si>
    <t>居然是中国制 收到货，居然是中国制，真应了笑话了。</t>
  </si>
  <si>
    <t>一般 和实体店的有差距</t>
  </si>
  <si>
    <t>粗糙的地摊货 做工粗糙，看标签价格二十五美元，在美国就是地摊货，尺寸巨大，据说退货邮费超过商品价格，直接投入小区废旧衣物回收箱，花钱买教训了，</t>
  </si>
  <si>
    <t>质感很好，穿上小腿部分过于宽松 这让我瘦子情何以堪，裤子小腿部分和大腿部分一样粗，结果小腿根本撑不来，只好自己去改了，有一小处破损，但无伤大雅不想退换了</t>
  </si>
  <si>
    <t>就那样，纯棉Polo 颜色不是太鲜艳，有点儿旧旧的感觉，设计不错，面料就那样</t>
  </si>
  <si>
    <t>裤子有弹力，按照平时的尺码购买！ 看到前面的评论，还以为裤子偏大呢！ 我160，48kg，平时穿25的裤子，就买了26×30的，然后刚好大了一个码子，也长一点点 …… 不得不给别人了，哎。</t>
  </si>
  <si>
    <t>物超所值 皮质非常好，穿着也很舒服。适合春秋传，鞋型非常好。唯一美中不足鞋底有小瑕疵</t>
  </si>
  <si>
    <t>效果需要时间？ 短期看不到明显效果。可能需要时间的考验？</t>
  </si>
  <si>
    <t>推荐 非常漂亮，同系列的配了一套</t>
  </si>
  <si>
    <t>质量很好 很好质量，能使很久。</t>
  </si>
  <si>
    <t>非常漂亮舒适 200多买的，很舒服的鞋～39码的买美码8合适</t>
  </si>
  <si>
    <t>K240S 雅登查询了，正品无误。耳机挺轻的，包耳式，没有夹头或夹耳朵问题（我自己还在眼镜），煲机中~~~~~</t>
  </si>
  <si>
    <t>小巧实用 用了很长一段时间，质量没得说，只带少量东西出门的时候这个包是相当方便和舒服</t>
  </si>
  <si>
    <t>应该还行 给未出生的小宝贝购买的，还没使用。之前购买过替换的奶嘴，结果吸过之后容易瘪进去，希望这个没有这种现象</t>
  </si>
  <si>
    <t>价格便宜 准备当仓库，保存数据。</t>
  </si>
  <si>
    <t>很棒的水杯 大小合适，宝宝拿在手里刚刚好好，不会漏水，也很耐摔。之前买了一个国产的，一开始好用，后来就吸不上了。宝宝很喜欢。一口气买了全套，很棒~！</t>
  </si>
  <si>
    <t>虎牌保温杯 送给自己的保温杯，小巧，轻，体积小，可放在包中。喜欢这款粉色的杯子，值得购买。</t>
  </si>
  <si>
    <t>值得购买 煲了2周，声音有所改善，听交响乐很不错，声音震撼，解析力不错，三频比较均衡，但比较880和990还略微逊色，不过这个价位值得推荐，美国还要199美元呢，千元内的耳机绝对不二选。</t>
  </si>
  <si>
    <t>值得购买 产品设计非常科学，做工质量很好。自重可以接受，装满水对于学龄前儿童略重。保温效果很好，晚上装入可以入口的热水，第二天早晨还略有温度。</t>
  </si>
  <si>
    <t>吸收好 没看清楚一粒钙片的钙的含量，一粒含钙400多mg，一瓶不大。还有一种一粒含钙640mg的大瓶装。朋友推荐这个牌子的钙片，吸收好，怀孕和产后一直吃的。买了4瓶送给外婆吃。</t>
  </si>
  <si>
    <t>海沟刷头 价格非常实惠，值得购买。</t>
  </si>
  <si>
    <t>透气舒适 衣服材质类似快干的布料 夏天透气性好</t>
  </si>
  <si>
    <t>合适 光线暗一点就不容易看清楚了，可能是我的眼睛不好吧，大小合适，不是主流的大表面，跟我的手上戴的比较一下，我要做一个买得起万国，戴的了卡西欧的人</t>
  </si>
  <si>
    <t>36*30的，合适，身高176CM  体重88KG 36*30的，合适，身高176CM  体重88KG。质量很好，也挺暖和。</t>
  </si>
  <si>
    <t>棉的，很舒服 对比了同款最后选了这款是棉质的，质量不错，穿上舒服，码数标准。中国制造哦，那些以为海外购就全是海外造的咖们不用考虑这款了。</t>
  </si>
  <si>
    <t>质量不错，价格波动大 衣服质量不错，尺码按照胸围选择也很合适，只是这价格波动太闹心，下单还未收货，降了小一百</t>
  </si>
  <si>
    <t>款式新颖，脚杆一级棒 我属于脚稍胖的，穿这款鞋前头稍稍紧一点，穿穿就好了，我平时穿37码，这个特意买了3.5uk前头还有量，幸亏没有买4uk，瘦脚的一定比平时的小一码</t>
  </si>
  <si>
    <t>读卡器很好 2月21日下单，3月1日收到货。 读卡器很小巧，好看，跟附带的32G搭配起来测速的话，大致见图</t>
  </si>
  <si>
    <t>不占地方易清洗 看了大家的评论才买的，确实不错，切胡萝卜，洋葱，大蒜丁再也不用费事了，点几下就搞定了。有点小瑕疵就是盖子上有两道不知道是划痕还是裂了。貌似不影响使用，先看看情况再说。</t>
  </si>
  <si>
    <t>大小合适 185cm 82kg L的很合身 样子也还不错 颜色和图片一样</t>
  </si>
  <si>
    <t>呵呵 裤子可以给四星，亚马逊定价只能给一星，一周之前下单据说是黑五，228元，现在就变成171元。非价格欺诈而何？再也不会在活动期买东西！这条裤子是墨西哥生产，做工不如尼加拉瓜生产的。</t>
  </si>
  <si>
    <t>质量不错 东西挺好，是进口，不足是无下水器转接器、冷热管偏短，要自已购买。</t>
  </si>
  <si>
    <t>一般般 一般般，效果还没有看出来</t>
  </si>
  <si>
    <t>太重了。。。 这线实在太沉了，戴在头上，脖子都要断了</t>
  </si>
  <si>
    <t>伤心 Sad 我是中国买家，我很喜欢这双鞋子，但是在中国的电商平台上怕买到假货，虽然价格较贵但是还是选择了亚马逊海淘。 快递很快送到，我是按照亚马逊推荐的码数买的，但是试了一下感觉太大了，想退货。我提交了申请，拿到了退货的指南和单据，先尝试了第一家快递公司，亚马逊提供的信息无法填充完整这家公司的表格，无法寄出，于是我来到第二家公司，而这家公司的快递费用是五百元人民币，已经超出我能拿到的退款的百分之六十，我觉得太不值得了，就没退。 现在我有一双我穿不了的鞋子，很伤心。  I am a Chinese buyer. I like these shoes very much, but I am afraid of buying fake shoes on the e-commerce platform in China. Although the price is more expensive, I still choose Amazon Haitao. I got the shoes very quickly. I bought it according to the size recommended by Amazon, but it is still too big for me and I want to return it. I submitted the application, got the guide and documents for the return, first tried the first courier company, the information provided by Amazon could not fill the form of the company, could not be sent, so I came to the second company, and this The courier fee of the company is 500 yuan, which is more than 60% of the refund I can get. I don't think it is worth it,so I cancel the returning. Now I have a pair of shoes that I can't wear, I am very sad.</t>
  </si>
  <si>
    <t>失望clarks 对于这款鞋子的皮质我非常的失望，好皱的皮质。</t>
  </si>
  <si>
    <t>舒适和国内专柜尺码一致 内裤穿着舒适，本人腰围85，之前按推荐尺码国内专柜买的M，但裆部太紧，因此diao大的慎选。这次买的L大小正好。除了有几处线头，其他完美。</t>
  </si>
  <si>
    <t>M码略大 男 179 72kg 买的是M码还是略大一些 应该买S码的 希望能帮到你！</t>
  </si>
  <si>
    <t>质量尚可 商品面料柔软，色泽纯正，做工中等偏上，略有弹性，样式不错，不足地方就是针线缝制的地方容易漏针眼</t>
  </si>
  <si>
    <t>价格还行 买早了半天，多花了70多。太厚了，很怀疑里头放了2块盘而不是多盘片</t>
  </si>
  <si>
    <t>恩 质量还行就是表带太容易坏了 工程人员不建议买</t>
  </si>
  <si>
    <t>非常好的塑形内裤 超级好！生娃一年才让我发现这个好东西，希望还来得及，慢慢塑形矫正盆骨。</t>
  </si>
  <si>
    <t>Welcome to CHINA 每天告诉自己要努力，即使看不到希望，也依然相信自己。压力不是有人比你努力，而是比你牛叉几倍的人依然在努力。每个优秀的人，都有一段沉默的时光。那段时光，是付出了很多努力，忍受孤独和寂寞，不抱怨不诉苦，日后说起时，连自己都能被感动的日子。唯累过，方得闲。唯苦过，方知甜。</t>
  </si>
  <si>
    <t>含税215元购入 某宝上一直种草，最后还是选了这里直邮，本来就知道不是保温的，壳和内里也可分层，所以收到这些都不是问题，外壳也没有划痕，很满意，含税215购入，这点最满意。</t>
  </si>
  <si>
    <t>需要好的解码器和耳放 需要好的解码器和耳放，一般mp3和电脑声卡只能出声，效果一般</t>
  </si>
  <si>
    <t>便宜，合适，舒适 按照国内的尺码买刚刚好，顶配非常舒适</t>
  </si>
  <si>
    <t>性价比很高 奶泡功能清洗有点复杂，偶尔用之，颜值非常高。</t>
  </si>
  <si>
    <t>天美时 表不错，物美价廉，尼龙表带适合夏季。这款是远征军系列的表，军表风范。</t>
  </si>
  <si>
    <t>值得购买的一款商品 今天刚收到，锅看上去不错，美国人的风格，结实，厚重。 就是物流有点慢，从11月23日下单到12月16日收货，但亚马逊很厚道，约定的到货时间迟后了，给我退了运费和关税。我只是去电询问约定时间为啥还没有到货，确定一下什么时候可以送到，亚马逊公司主动给我申请了运费和关税的退款。我想也是一家大公司商业原则，虽然客户也没有提出更多的要求，但亚马逊遵守规则，这种契约精神值得赞赏 我想，亚马逊有这种商业原则，在这里购物更加放心。</t>
  </si>
  <si>
    <t>超级软 特别软，纯粹满足自己的喜好买的</t>
  </si>
  <si>
    <t>送朋友的，喜欢。 虎牌的杯子买了好多了，喜欢，就要是日本产就更好了。</t>
  </si>
  <si>
    <t>好 质量杠杠的</t>
  </si>
  <si>
    <t>挺好 看着挺秀气的鞋却很装脚，我脚肥脚面高，这双鞋初步试了试脚背处和脚尖处都正好，不挤，不知长时间穿着会怎样，鞋带很轻。</t>
  </si>
  <si>
    <t>great 目前一切正常，噪声比以前买的2TB版本小多了。</t>
  </si>
  <si>
    <t>不错的 重音挺好，小巧，就是戴时间久了夹耳朵</t>
  </si>
  <si>
    <t>拥有多种配色的经典款式 一切都在预料之中。很经典，脚感也很好。可休闲，可运动。开车的时候穿puma也很合适。</t>
  </si>
  <si>
    <t>被前面的评论误导了！ 被前面的评论误导了，裤子的码数很标准。我平时34W30L，看到前面有人说码数比较大，就买了32W30L，回来发现小了，由于腰带是伸缩的，可以勉强穿，但是里面不能加任何内衣了，甚至衬衫都不能掖进去。 裤子厚且重，夏天穿不住。码数建议原来从穿啥码就啥码，不要买小了。</t>
  </si>
  <si>
    <t>很满意 非常满意的一次网购，鞋的质量没得说。尺码很准</t>
  </si>
  <si>
    <t>满意，速度快，包装完美，颜色漂亮。 保温性不错，说明书一看，比象印稍稍差些。不过就是难以清洗。不知道会不会和膳魔师一样，放过牛奶之后，塑料垫子会不会发黑。</t>
  </si>
  <si>
    <t>安装方便 安装方便。还没来得及饮用净水。</t>
  </si>
  <si>
    <t>是2E宽度的鞋子 侧面完美，鞋子前面有点宽不好看，没注意是2E宽度。穿着挺舒服的</t>
  </si>
  <si>
    <t>爱步鞋 爱步工作鞋，穿着很舒服，非常满意。</t>
  </si>
  <si>
    <t>赞 是正品，而且比代购便宜，希望继续保持</t>
  </si>
  <si>
    <t>杯子質量一般 杯蓋有問題，蓋不緊的！</t>
  </si>
  <si>
    <t>厚，不建议入手。 优点：有型、精神。缺点：厚，30度往上就不能穿了。白色的透点。总之，一般。</t>
  </si>
  <si>
    <t>健身房跑步机用，从性价比看不算高 买来健身房跑步机用，从性价比看不算高，考虑到牌子的溢价因素尚可。</t>
  </si>
  <si>
    <t>二次销售的产品 的确是二次销售。原来的贴纸位置还跟新贴的不在同一位置。而且贴纸有点脏了。想下个APP查看下别人用了多少次。但不知道怎么下。</t>
  </si>
  <si>
    <t>非常不好，差评差评差评 如果可以一星都不给，货不对版就不说了，客户服务就是一个忽悠拖拉</t>
  </si>
  <si>
    <t>夹脚 这双鞋做工不错，和同款其他同号不同色比较起来，严重夹脚修脚，穿一会儿疼死。</t>
  </si>
  <si>
    <t>冲的很温和 我的牙齿不太好，有点稀疏，牙龈也不太稳固。之前买了飞利浦的冲牙器，力度太大，有时候会把牙齿冲流血。所以又买了这个。由于洗手台不宽敞，就买了便携式的。这个三档水流，均匀的冲洗，冲完牙齿很舒服。当然要用温水冲，不然冰冰的挺难受的。唯一的问题是，有时候冲不动。这时候还是需要用飞利浦的那个帮忙弄一下。</t>
  </si>
  <si>
    <t>很好  很合适 我177高  86腰  合适  长度够  90腰左右 都合适  透气  价格实在  各方面极好</t>
  </si>
  <si>
    <t>还好 欧美版型较大，裤子比较薄，裤长很长，质量摸着还可以吧</t>
  </si>
  <si>
    <t>还不错 正好试用prime免运费买的，最近瘦了，本人身高178cm、66Kg，买的S号，挺合身的！</t>
  </si>
  <si>
    <t>推荐 酸酸甜甜的水果味，吃起来很方便</t>
  </si>
  <si>
    <t>鞋号偏大 一直喜欢其乐的鞋，舒适合脚，穿上走路不累.鞋很轻。只是这双鞋比预想的大.，大出近一号，有些遗憾。</t>
  </si>
  <si>
    <t>闪迪大牌 自己鉴定正品无疑，质量不错。</t>
  </si>
  <si>
    <t>合身 175公分高65KG，M码合身。面料柔软，好。</t>
  </si>
  <si>
    <t>物有所值 很合适，做工布料都好，物有所值，比平时要小一码正好</t>
  </si>
  <si>
    <t>好看上档次 超级好看上档次的贵有贵的道理 很多小细节设计很贴心 包裹盖子打开的声音都感觉很厚实高级</t>
  </si>
  <si>
    <t>紧身 有些紧身，需要渐渐啤酒肚了</t>
  </si>
  <si>
    <t>很好很棒 很舒服，非常，快买吧！</t>
  </si>
  <si>
    <t>皮带 此条皮带质优低廉，就是购买时短了点。</t>
  </si>
  <si>
    <t>， 太大了，建议买小两个号</t>
  </si>
  <si>
    <t>不错的 加上运费才200元，用了一段时间，速度还是超快。</t>
  </si>
  <si>
    <t>尺码最满意的一次 非常合身，裤子稍微长一点。</t>
  </si>
  <si>
    <t>推荐购买 内裤很舒适，很满意</t>
  </si>
  <si>
    <t>很不错的裤子 尺码合适，本人180,85KG，33*32，很合适，略微修身，但是弹性很好，舒服</t>
  </si>
  <si>
    <t>速度周期挺快，就是味道大了一点 made in china  挺好的鞋子，就是橡胶的味道大，尺寸正好</t>
  </si>
  <si>
    <t>好评 帮朋友买的，更有很满意</t>
  </si>
  <si>
    <t>厨购 福腾宝的汤勺还是很不错</t>
  </si>
  <si>
    <t>太好用了！ 太好用了，太阳能热水器的绝配。这么好的东东应该早点发现。因为好用，立马又买了个，把家里的全换了。</t>
  </si>
  <si>
    <t>必备的消耗品 洗碗机必备，囤货</t>
  </si>
  <si>
    <t>价格实惠  配送快  有防伪标签  吃着感觉和原来买过的一样 价格实惠  配送快  有防伪标签  吃着感觉和原来买过的一样</t>
  </si>
  <si>
    <t>正合适 37的脚，买的6.5WD，正合适，非常好</t>
  </si>
  <si>
    <t>鞋子与销售宣传的外观不一致 鞋带样式不一致，客服也没能给出合理解释</t>
  </si>
  <si>
    <t>退货不易 亚马逊上买衣服一定要谨慎看尺寸，我这衣服标价就200多，按平时买的尺寸拿来试了没想到太大了，这一来一去关税和运费一起就没了200多，哎～</t>
  </si>
  <si>
    <t>没森海一贯的音质 不属于应季产品，戴出去很热，出汗很难看.音质没现有的MX760好，价格还高了一倍</t>
  </si>
  <si>
    <t>很粗犷，美式做工！大小很合适！ 很粗犷，美式做工！大小很合适！</t>
  </si>
  <si>
    <t>好看百搭 鞋子很早就收到了，平时国内38码的鞋子买的us7.5正好，本人宽脚，打开有一点味道，整体还不错，值得购买，不贵</t>
  </si>
  <si>
    <t>疑似二手货 像開封過的！盒子兩邊各貼了兩張貼紙，另一邊封口貼紙只剩半截，在它上面又疊加了一張，另一邊也是像粘貼開過的。太惡心了，難為我那麼信任亞馬遜。以后不会再来。</t>
  </si>
  <si>
    <t>性价比ok，尺码偏大。 本人173，65kg，胸围91，s码偏大，仅供参考。</t>
  </si>
  <si>
    <t>一分钱一分货 怎么写评论呢？一分钱一分货吧，想要淘到宝是不可能的。这个价格质量也就这样了吧。不像是timberland的做工，但是偶也听说不同产地质量差别很大。但是这个质量，外表还行，内测完全都是毛边，倒是不像其他评论的粘手，但是不知道是不是带一阵子天一热就该粘手或者掉色了。总之先这么带吧。也不贵。暂时不太相信是timberland的质量，美国也有山寨吧？</t>
  </si>
  <si>
    <t>尺码偏大 海外淘最大的优势就是价格不贵，但是这个尺码真的是拿捏不准，亚马逊的对照表提供不了准确的参考，我老公42的脚，ecco专柜试的41，这双41只能垫鞋垫才能穿……懒得退了，而且鞋子有瑕疵，客服打了九折？</t>
  </si>
  <si>
    <t>还行，进口的 还行，进口的</t>
  </si>
  <si>
    <t>一般般 这个磨出来比较粗 月龄大的宝宝比较好用 月龄小的不够细 总之还是辅食机一劳永逸</t>
  </si>
  <si>
    <t>很好 很棒，但是海淘，不送刷头</t>
  </si>
  <si>
    <t>很不错 非常棒，配送速度也很棒！</t>
  </si>
  <si>
    <t>超值 声音大气，物超所值；看电影一流。</t>
  </si>
  <si>
    <t>质量不错，性价比可以 质量不错，很厚实，相比国内便宜太多了，对得起价格。</t>
  </si>
  <si>
    <t>合适 大小合适，是桶织的，还不错，比预想的好</t>
  </si>
  <si>
    <t>第一次还海外购 我第一次海外购 最困惑的就是 衣服尺码和快递配送时间这两件事。  我身高182，体重66公斤，买的m的（参考的之前各位的评论，谢谢了），感觉比较合身（当然这裤子样式好像就是裤腿有点粗）。  配送预计时间是28天送到，实际只用了9天，感觉还是不错的。  衣服材质和做工感觉也还好，正好秋天跑步的时候穿的。  补充： 胖瘦很合适，但是稍微有点长，走路脚后跟总会踩到裤子，后来自己握了下裤脚，就很合适了。</t>
  </si>
  <si>
    <t>方便卫生 带盖子的剪刀比较卫生 随身携带也方便干净</t>
  </si>
  <si>
    <t>瘦了一点 尺码可以，只是瘦了一点</t>
  </si>
  <si>
    <t>嗯 好看，但是小了点可以按正常的尺码买</t>
  </si>
  <si>
    <t>舒适 非常舒适，胸围90，L码也不松，就是显胸小，哈哈哈。</t>
  </si>
  <si>
    <t>尺码合适，非常舒服 非常舒服，有弹性尺码合适，非常舒服</t>
  </si>
  <si>
    <t>已经用了，味道不强烈，下次试下蓝色的 质量好，味道不刺激，舒服</t>
  </si>
  <si>
    <t>很合适。 下单后两天发货，物流用了7天，很快。250mm瘦脚，穿女鞋意外的合适，us8.5M长度宽度都正正好。脚宽的可以选w的。</t>
  </si>
  <si>
    <t>可爱，方便使用 老婆非常喜欢！</t>
  </si>
  <si>
    <t>It's good 阿迪运动鞋41码，这个鞋子8稍稍稍大了一点，但是影响很小，日常使用基本可以算作很适合</t>
  </si>
  <si>
    <t>物有所值 睡袋很柔软，洗后不变型。宝宝穿着舒适，不影响翻身。已经推荐给朋友了。可惜涨价了。还是要看准了就下手呀！</t>
  </si>
  <si>
    <t>鞋子很好 比预计到货时间早几天，买的6码，大一些，5.5码应该正好，38的胖脚只能买大不买小，穿着轻便舒适，而且显脚小，第一次海淘鞋子，价格实惠，十分满意。</t>
  </si>
  <si>
    <t>值得期待 从英国寄过来，时间1周，还很快的，初次听不怎么样，有点闷，几个小时后有较大的改善，特别是低音有力，不会有轰头的感觉。期待宝鸡后的效果。耳机线很长，换了一根森海的线，效果挺好。价格比国行便宜不少。</t>
  </si>
  <si>
    <t>很好很不错，大小合适。 很好很不错，大小合适。</t>
  </si>
  <si>
    <t>性价比高 性价比高</t>
  </si>
  <si>
    <t>保温效果略差，不过孩子用正好 一直使用</t>
  </si>
  <si>
    <t>非常舒服的鞋子 物流不到7天，已经很满意了，鞋子舒服，专柜1400元+，正常穿37.5码，买的39，大了些，不过能穿</t>
  </si>
  <si>
    <t>尺码偏大 尺码偏大，比较宽松。</t>
  </si>
  <si>
    <t>太小了 173，标准身材！一直海外购s码，为什么这裤头这么小，好紧，不舒服，买小了！</t>
  </si>
  <si>
    <t>做工堪忧，多米尼加产的 要不是在这里买的，都怀疑是假货。各种线头和溢胶飞起，还是我天朝的质量好。之前有这个牌子的另一双中国产的，堪称完美。</t>
  </si>
  <si>
    <t>不要买，国内无处修。 用了不到一年坏了，国内只能修国行的，这个不能修，亚马逊也不给修。这个产品废了.大家不要买，无售后太可怕了。</t>
  </si>
  <si>
    <t>皮不行 质量不行，皮很硬 ， 使用半月 ，皮破了 。😓</t>
  </si>
  <si>
    <t>走路的时候硌脚面 外观、做工、样式都很好，缺点是鞋面缝合处太硬，走路的时候硌脚面，太难受了。</t>
  </si>
  <si>
    <t>东西还好 这个表日常防水应该还可以，我经常戴着洗手水龙头冲的，洗衣服伸进水里（约有7-8CM当然不是很久），没事。就是表盘因为塑料的比较容易磨花。月差约有5-7秒。</t>
  </si>
  <si>
    <t>。 外观我觉得满分，就是蓝牙模式有点砂砂的声音</t>
  </si>
  <si>
    <t>杯盖单薄 杯盖单薄，担心时间长了会盖不紧！</t>
  </si>
  <si>
    <t>里面拉丝的 收藏后降价一百元，就下单了。盆内面是拉丝的，可能考虑耐磨吧</t>
  </si>
  <si>
    <t>还可以。 洗了几次，手感略显差了些。大小比正常略大一小点儿，但整体合身。</t>
  </si>
  <si>
    <t>总体满意 水壶大小适合小宝宝，带把手也方便小宝宝自己拿着喝水，保温效果一般，毕竟是吸管杯</t>
  </si>
  <si>
    <t>鞋子很棒 比预计的到得快，中间出现了一点小差错，不过最后还是顺利拿到鞋子。第一次在亚马逊买鞋，运动鞋一般穿36，其他鞋子穿35；买的4M US big kids（35.5）刚好合适</t>
  </si>
  <si>
    <t>值得购买 质量很好，用了半年多了，满意</t>
  </si>
  <si>
    <t>很好 大小合适，面料好，超低腰，穿着很性感。</t>
  </si>
  <si>
    <t>尺码 尺码准确，正品，海外购从来没有翻过车</t>
  </si>
  <si>
    <t>很好 运送速度快。便宜。东西没开过封但里面的包装袋撕烂了奇怪。没啥其他问题了。</t>
  </si>
  <si>
    <t>值得推荐 收到后看了下简介，加拿大产，很大一瓶，促销价买的划算。给长辈吃，要看一段时间吃的效果了，补充日常蔬菜、水果、蛋白摄入不足的维生素应该OK的，非常多的微量元素，值得入手。推荐！另外还买了50岁以上男性的善存，对比结果是增加了大比重的红细胞相关维生素，都可以试试。</t>
  </si>
  <si>
    <t>低音很棒 非常喜欢款耳机，低音很震撼。</t>
  </si>
  <si>
    <t>真货 一看就是真东西，比买假货的某宝要好很多很多！很有质感！</t>
  </si>
  <si>
    <t>好 我非常喜欢，穿着舒服。</t>
  </si>
  <si>
    <t>保温效果好 不错，喜欢</t>
  </si>
  <si>
    <t>设计合理 宝宝自主进食推荐，设计合理</t>
  </si>
  <si>
    <t>实惠便宜 当做资料盘用，平时读写很少，够用就行了，关键比国内便宜很多</t>
  </si>
  <si>
    <t>好用，比暖壶保温还好！ 买了好几个备用，非常好用。</t>
  </si>
  <si>
    <t>弹性好，舒适 还不错，只要是不抽丝，耐穿，暂时不起球。弹性好。不掉档。符合价格预期</t>
  </si>
  <si>
    <t>很好的T恤 174-85选XXL合身，面料柔软</t>
  </si>
  <si>
    <t>超值 这个价格买到K240S行货超值，听感很特殊，人声很近很暖非常舒服，低音散散的对我来说听起来也很好，最棒的是声音的结像简直太棒了</t>
  </si>
  <si>
    <t>薄 没有图片上感觉的那么厚实。留着4、5月份再穿吧。181,87穿L的刚刚好。</t>
  </si>
  <si>
    <t>170/60kg 30＊30正合身，裤子真心好好评，有种运动裤的舒适感相对于国内大部分牛仔裤各种裤裆紧 170/60kg 30＊30正合身，裤子真心好好评，有种运动裤的舒适感相对于国内大部分牛仔裤各种裤裆紧</t>
  </si>
  <si>
    <t>26厘米脚买41 网购鞋尺寸难把握，我脚净长26厘米，买这款41很合适，鞋不太宽，供参考。黑色软皮蛮有质感，满意</t>
  </si>
  <si>
    <t>好看 100多块钱入手的！！！简直超值！sg系列很好看。做工也非常好</t>
  </si>
  <si>
    <t>外观有瑕疵 噪音小效率高，用下来感觉比国产同类产品质量好。只给二星是因为外观有瑕疵。外包装一点问题都没有，只能说明产品在发货的时候瑕痴就已经存在，明知道有瑕疵还漂洋过海的发货？</t>
  </si>
  <si>
    <t>失望 贴纸两边都有些发黄粘了些纤维啊尘的 闪光也总是不灵敏 胳膊有的地方都不闪</t>
  </si>
  <si>
    <t>不怎么样 我觉得 过大 过厚  夏天买毛圈袜 也是醉了</t>
  </si>
  <si>
    <t>误导消费的典范 这款皮带是用碎皮压制的，绝对不是天然牛皮带！！！耐用性不知道，估计不会太好。亚马逊真是学到了“入乡随俗”的真髓。</t>
  </si>
  <si>
    <t>走的不准 表走的不准，盖子封闭有问题，感觉不严，真假不知</t>
  </si>
  <si>
    <t>好好 做工质量好</t>
  </si>
  <si>
    <t>果然修身 １７１ｃｍ，７５ｋｇ．身材偏胖就别买，修身型，还好我肚皮不算大，能穿。</t>
  </si>
  <si>
    <t>很简洁的造型 很简洁的很大方的造型，只是送给孩子让孩子给搞坏了。   好可惜的，不知哪里能修理这款机器。</t>
  </si>
  <si>
    <t>不放便 电源开关与中国不符合，要转换。没有充电杯</t>
  </si>
  <si>
    <t>鞋子颜色比较亮，要是稳重一点就好了 鞋子挺轻巧的，比较适合胖脚丫，走起路来挺舒服！</t>
  </si>
  <si>
    <t>杯子比较轻 杯子还是蛮轻的，不错</t>
  </si>
  <si>
    <t>漂亮 样子很喜欢，终于买了</t>
  </si>
  <si>
    <t>重点推介 性价比超级高，真心划算</t>
  </si>
  <si>
    <t>性价比高 很不错，挺喜欢，9天就到了。</t>
  </si>
  <si>
    <t>亚马逊值得信赖 第一次在亚马逊买东西，货物质量杠杠的，到国内顺丰承运的时间有点长，整体可以打90分。</t>
  </si>
  <si>
    <t>携带方便保温杯 很轻哦，外层耐磨，不是很薄的那种。保温效果很好</t>
  </si>
  <si>
    <t>滤芯 挺好的，使用也非常方便。</t>
  </si>
  <si>
    <t>舒适，价格实惠。 使用效果很满意，雨滴模式很赞，而价格只有实体店一半不到。</t>
  </si>
  <si>
    <t>不错。 海外购买东西全靠运气， 运气不好就有点剐蹭什么的少配件，买了2次运气还好。混水阀质量很不错。外壳材质也不错。</t>
  </si>
  <si>
    <t>相信自己的选择 食物拿到后，确实很经验，对于手表，我觉得最重要就是看时间，什么三针都没什么实际意义，这个表实物绝对比照片看的有质感，而且皮带我个人感觉很软，不想别人说的很硬</t>
  </si>
  <si>
    <t>性价比之高 皮质很好很好，就是偏长，宽度正好。</t>
  </si>
  <si>
    <t>很好的衣服 很不错的衣服，我很喜欢。170身高，体重80公斤。L码合适</t>
  </si>
  <si>
    <t>好 声音很不错。</t>
  </si>
  <si>
    <t>希望是正品 这支笔在购买前看了很多有关钢笔的知识！实物收到后！还是很不错的！也符合所有网上的特征！但是做工看起来不是特别精细！毕竟不是高端！挺满意的一次购物！唯一不明白的就是为何只有派克的笔国内外差价这么大！其他品牌就没有！</t>
  </si>
  <si>
    <t>性能佳，颜值高，包装严格，值得买！ &lt;div id="video-block-RSSPDC41J70WK" class="a-section a-spacing-small a-spacing-top-mini video-block"&gt;&lt;/div&gt;&lt;input type="hidden" name="" value="https://images-cn.ssl-images-amazon.com/images/I/A1XB-YRy4oS.mp4" class="video-url"&gt;&lt;input type="hidden" name="" value="https://images-cn.ssl-images-amazon.com/images/I/814ZARBvqgS.png" class="video-slate-img-url"&gt;&amp;nbsp;这款饮水机很好用，可以做到既热和3-8秒出水。温度调节功能很好用，泡面、沏茶、温水都可以覆盖，非常实用。颜值也很高。性能方面做的也不错，已使用1个月，未出现任何问题，唯一的不足就是设定温度越高流水速度越慢，流量会不稳定，不过这可能是既热饮水机的通病。总体来说还是值得买。</t>
  </si>
  <si>
    <t>升级明显 相对二代，耳罩更大更舒服了，音质也有一听就听出来的进步，海外购价格加上税也便宜。</t>
  </si>
  <si>
    <t>三八码的脚很舒服 三八脚，舒适。颜色不是最满意的，不过价格比较美。</t>
  </si>
  <si>
    <t>始祖鸟的品质  亚马逊的服务 1.始祖鸟的品质  我们北京，中度寒冷的冬季，人人都是羽绒服。本来，想买一件羽绒服，在街上遇到过两个退休的大叔，穿着始祖鸟的LT轻薄羽绒服。问了一下，都是抱怨：哎呀真的太热，没有想到，这么薄，这么轻的羽绒服，竟然热得要死......询问购买原因，两个人的说法一样：都是女婿买的，不告诉我们价格，也不解释这么轻薄，能不能扛住北京的冬天。所以，都没好意思询问女婿，因为女婿买的肯定都是好的。于是，我买了这件C棉的棉服：轻薄，手感极佳，夜里零下10度没有问题。世所公认的名牌，绝非虚得其名。不知道大风的时候，是不是管用。总之，这件棉服的抗寒能力，相当于国产的中或厚羽绒服，重量则类似国内的轻薄羽绒服，面料手感类似丝绸。 2. 亚马逊的服务水平，世界第一无疑，但是，由于难以开展国内业务，所以，退换服务时间太长，被诟病，被京东等挤压。最近突然发生巨大改变：销售，服务，都在向亚马逊的英美德日亚马逊靠拢。希望亚马逊早日进入中国，也就是说，亚马逊中国正式启动中国市场。</t>
  </si>
  <si>
    <t>实用性强。 再买一个。</t>
  </si>
  <si>
    <t>郡是 不错的秋裤哈，给孩子买的。</t>
  </si>
  <si>
    <t>brooks新一代缓震 BROOKS新一代顶级缓震！吸收了其它牌子的优点，与14代相比缓震更加明显，样子更好看。就是贵了点…另外，我买了2E的，略较旧款常规宽松一点，原本穿27码，实际26.5码也可以了。</t>
  </si>
  <si>
    <t>质地软弹柔滑，价格实惠 质地棉柔丝滑，上身舒爽软弹，尽显高端</t>
  </si>
  <si>
    <t>拿到手有些失望，大家注意别再跳进来了 不推荐买，材质拿到手不太行，自身裂纹加太细。</t>
  </si>
  <si>
    <t>注意尺寸 一直买的中号，不想这次确小了一个号。</t>
  </si>
  <si>
    <t>好大的领子 发货挺快的，欧洲S码，正合适。尺码相对偏大那种。本人174，69。一般亚码我穿M或L。衣服料子很厚实，但是穿在身上却感觉很凉爽。亚马逊货品价格很有说服力。领子太大了，穿在身上平常穿不如圆领的舒服，买来就扔柜子吃灰了。再也没穿过。</t>
  </si>
  <si>
    <t>刺鼻的气味 有刺鼻的气味，可能是假的。</t>
  </si>
  <si>
    <t>差差差 本想着亚马逊比某宝应该更靠谱，结果却是最失望的一次。从下单到收到货差不多花了一个月时间，其中还电话催了三、四次。东西还有一股浓浓的气味。</t>
  </si>
  <si>
    <t>破损烦人 每次收到都是有破损，让人无语，要不是需要用，真的嫌麻烦，邮寄三次连续破损，跟快递应该有很大关系，请考虑换快递公司。</t>
  </si>
  <si>
    <t>还可以 刚开始用有点塑料的味道 空杯子晃起来有沙沙的声音 但是保温效果很好 一下午水还很烫 杯套和贴纸都很精致 能背起来很方便</t>
  </si>
  <si>
    <t>Marshall脑残粉 价格在那里，音质不做评价。Marshall脑残粉一枚。试用prime服务，提前一周送到办公室。超级赞</t>
  </si>
  <si>
    <t>中国制造 中国制造的，摸起来还不错</t>
  </si>
  <si>
    <t>这款鞋比上一双1180元买的新款国内2799的明星同款更舒服，更耐操！ 皮鞋国内40码，脚长25，宽9.8，ECCO皮鞋40码有合适的，也有偏大一点点的！运动鞋Nike41.5或者42码，阿迪41码，脚宽背肥，一般ECCO运动和休闲鞋40码长度刚好，但偏窄，41码宽度刚好，但往往长度有出入。这款鞋子在专卖店试过，41码刚好，长宽简直量脚定制，长宽都合适，所以选择了这款性价比不是很高，也不是最爱的这双鞋子！刚试穿了一下，美美哒，舒服，厚重，冬天配牛仔裤一定拉风！价格还是偏高，没有高腰的看起来有气势！这双鞋子在国内已经出新款的，折扣下来2000多一点，不过图便宜吧，现在1/3价格买新款是不可能的！只能买这款去年款！更想买的是国内标价3599那款黑色款，在6月底1100多价格时犹豫了，犹豫的原因是实在不想要更多的黑鞋白底的运动鞋了，半个月后猛然涨到2000元，一直不见掉下来，没有耐心等待，其实，这款高腰鞋价格在1000左右的话性价比更好！两款鞋都不错，价格也都美，最终选择这款鞋子的一个重要原因是这双鞋全黑色，真的抗冷！不过买来没几天又降价了，亚马逊买东西实在是无语了！</t>
  </si>
  <si>
    <t>铝合金的螺纹耐用度是个问题 表面阳极氧化的黑色不耐磨。螺纹拧几次就变白了，估计时间一久会磨平。 其他方面都不错吧，主要冲着外观买的</t>
  </si>
  <si>
    <t>V-MODA crossfade 1代 挺不错的耳机！ 刚开始戴会有点压头顶和夹头，但戴了差不多一个月左右就好多了。 在天气热的时候买的，路上不能戴，太热！在室内和坐地铁时听歌很好。 貌似没有降噪功能，没有放歌的时候，旁边人说啥都很清楚。因为耳机旁边有透气孔，歌曲声音大一些，旁边人也听得很清楚…(￣(工)￣) 耳罩材质挺好，而且六边形的设计很好看，不压耳朵，我那个beats的solo3已经不用了，因为太夹耳朵了。主力用这款V-moda。 人声清晰、重音不算特别大，开到最大也不会轰头，中音均衡。 不算特别出色，但，我很满意。 而且，耳机造型，在路上几乎不会碰见同款。 可以的话，白色帽子也不错。 当然啦，期待crossfade II，合适的价格入一个。 不好的是： 1、电池容量小，用8-10个小时左右，在手机上显示的电量100%，一小会二就会跳到80%。…………所以关注电量的就考虑别的吧。 2、按键，塑料感比较强，就是那种硬塑料，播放和音量键挨得很近，要用一段时间才熟悉。 but，如果耳机没电了，插上耳机线，音质也挺好的。</t>
  </si>
  <si>
    <t>纹路织法和以前的袜子确实不同 下次还要尝试再厚一些的袜子，这个性价比我很满意，准备去日本的时候再入几件</t>
  </si>
  <si>
    <t>穿着舒适 挺舒服的</t>
  </si>
  <si>
    <t>invicta 8932 手表不错，质量过硬，防水性能好，外形好看</t>
  </si>
  <si>
    <t>够大 就是要买个大号的，踢球自带大量白开水！果然很大，很高，但是很轻，好用！</t>
  </si>
  <si>
    <t>满意 非常不错的衣服，价格也很满意！</t>
  </si>
  <si>
    <t>还不错 拿到手本想测个坏道，但实在是太大了要好长时间。因为我电脑不支持usb3.0所以也没法测试速度。总之价钱在那摆着，性价比很高了。但在中国没有保修很蛋疼。</t>
  </si>
  <si>
    <t>棒！赞！ 质感很好，穿着很舒服，尺码合适，值得推荐！</t>
  </si>
  <si>
    <t>好 性价比相当高</t>
  </si>
  <si>
    <t>尺码刚好 176cm 60kg 选了30wx30l 长度刚刚好 腰围穿秋裤刚好</t>
  </si>
  <si>
    <t>这家的碧然得滤芯值得购买。 包装非常用心，仅这点就值得点赞。产地为德国，英国，卢森堡。</t>
  </si>
  <si>
    <t>很棒的购物体验 除了包装有些简陋以外，锅本身没有任何瑕疵，现今入手不算最低价但也是很不错的价格了，总共用了十一天，希望以后运送效率和包装能提高些，总体很满意</t>
  </si>
  <si>
    <t>棒！ 笔手感很好，书写滑溜，喜欢它的粗细和做工，棒！</t>
  </si>
  <si>
    <t>不到1k入手。值不 买给女朋友的，首先抵触颜色，后来被音质折服。</t>
  </si>
  <si>
    <t>还可以 看上去还是可以的，就是有点小。本来要买43的，42脚穿这个正好</t>
  </si>
  <si>
    <t>性价比最高的产品 极好的一款产品：质地好、款式简洁大方、做工精细。唯一的缺憾是给我发错了颜色，但一点不影响我对这款产品的评价！</t>
  </si>
  <si>
    <t>nice shoes The size is perfect, normally I take Ecco shoes for 43</t>
  </si>
  <si>
    <t>英弗他0075手表 英弗他手表做工精湛，用料十足，表盘大气，佩戴效果面子十足。</t>
  </si>
  <si>
    <t>完美 完美，超帅</t>
  </si>
  <si>
    <t>音质不错 音质不错，品牌质量可靠，考虑给孩子也买一个</t>
  </si>
  <si>
    <t>很舒服 久仰CK内裤的大名很久了，这是第一次买CK的内裤，让我很有些惊喜，布料柔软，轻薄，完全颠覆了我印象中莫代尔的概念，或许以前买的都是假莫代尔吧，这次运气很好，我腰围77CM,选的M码非常合适，不松不紧，很贴身，裁减很好，基本没有普通内裤那种需要时不时调整下的情况出现，只是这裤子太贵了些，哪天能打个五折就好了，迟些买几条便宜点的试下</t>
  </si>
  <si>
    <t>好评 应该是正品，只是颗粒太多，不好吞服</t>
  </si>
  <si>
    <t>做工还行 面料有些一般 做工还行 面料有些一般</t>
  </si>
  <si>
    <t>面料一般 面料一般，美版的没有买过，听说更差，不知道差成什么样。</t>
  </si>
  <si>
    <t>250欧的版本不推荐 990还是要买600欧的版本才行</t>
  </si>
  <si>
    <t>bumanyi 四件衣服四个国家出品  尺码还都不一样  都选的M号  但是衣服有大有小  不满意  关键还不给换只能退  邮费等于衣服的价格  bumanyi</t>
  </si>
  <si>
    <t>很失望的一次购物 黑色的竟然掉毛还掉色 谁能相信这是正品？穿了真多年CK 买黑色的重来没遇到过这种问题 亚马逊海外购难道不应该给我们一个良性的购物平台么？很失望 还是去店里买更放心！！！</t>
  </si>
  <si>
    <t>只能质保30天 今天是我收到的第70天，指示灯坏掉了。客服表示海外购商品只能质保30天，所以无法解决。</t>
  </si>
  <si>
    <t>还行吧 174，65，S码刚刚一身，估计M码更合适一点，质量一般吧，不过不失</t>
  </si>
  <si>
    <t>还行吧 167 50一般买m或者l的码数，这个买了xs正好哈哈，裤子里面的黑毛掉的多，布料挺软的</t>
  </si>
  <si>
    <t>一直喜欢clarks的鞋，做工好 有点难穿难脱，松紧好紧，质量没有问题，没有气味，样子看起来很好，就是我把码数买大了</t>
  </si>
  <si>
    <t>还不错的包 包还不错，不过那个logo有点逼格不高，毕竟现在背的人不多，不怕和别人撞包，就是有点偏大。</t>
  </si>
  <si>
    <t>不错 质量挺好的，就是包装盒有点脏</t>
  </si>
  <si>
    <t>舒服 穿着很舒服，布料很好，有弹性</t>
  </si>
  <si>
    <t>好像很难焖熟 试了一下焖绿豆稀饭，一夜时间，七成熟。</t>
  </si>
  <si>
    <t>有色差 照片颜色跟实物有点不同，应该是偏灰色一点的</t>
  </si>
  <si>
    <t>裤袜 很好，弹性好，舒适</t>
  </si>
  <si>
    <t>功能 平时休闲穿着，我170、68公斤长了点</t>
  </si>
  <si>
    <t>性价比很高 全自动的，非常方便，用了几天研究了一下，咖啡新鲜浓郁，不过即便把磨豆调到了最细级别，从咖啡渣来看好像也不如之前用磨豆机磨的那么细。另外油脂不是很厚，不知道是不是也跟豆有关。性价比非常高，天猫专卖店价格贵一倍</t>
  </si>
  <si>
    <t>金色飞贼 我和孩子都很喜欢。质量不错，做工也算细致，不过之前查看商品的时候真没注意有标注made in China 。拿到一看，中国制造，首先感谢我们的制造业，其次想问国内有售吗，从米国转回来挺费事的。</t>
  </si>
  <si>
    <t>比想像中好，二代音箱更值得入门者使用 这个音箱不错。本来就是中国制造的东西，还要从美国那边购买。不过也没有办法， 中国内还没有行货可以买到。 我也是无意中看到的，买了就无货了。 希望中亚上多点好货。 数码产品类的。</t>
  </si>
  <si>
    <t>腰太大，太长。 这个款偏大，腰太宽松，太长，我身高1.58米，体重66公斤，购买中号才行。刚刚拿到顺丰快递的时候，开心极了。穿上正好合适。舒服！自己去改短了裤脚，太长了。</t>
  </si>
  <si>
    <t>好用的奶瓶，推荐哦 家里两大两小4个贝亲轮着用，宝宝很喜欢用</t>
  </si>
  <si>
    <t>很不错 正品。我是买来送朋友的，到手后不带墨水试写了一下，非常顺滑，是LAMY2000的手感。值得一提的是日亚的包装非常专业，比美国亚马逊的包装专业太多了，各种保护非常到位。</t>
  </si>
  <si>
    <t>颂拓手表 功能很强大，款式，质量都很好，很喜欢</t>
  </si>
  <si>
    <t>90千克，175cm，很合适 90千克，175cm，很合适，里面有绒，还不错</t>
  </si>
  <si>
    <t>质感不错 86的腰围 选32号完美 蓝色很正 中国制造 做工很好 整条腰带很有质感 分量不轻 3.5的宽度且较厚 价格比起国内实体店实惠多了</t>
  </si>
  <si>
    <t>超值 性价比超高  制作精良 大品牌</t>
  </si>
  <si>
    <t>一次不错的购物 大小很合适，穿着很舒适。物流也蛮快的</t>
  </si>
  <si>
    <t>还好 很好，以前从不去评价，不知道浪费了多少积分，现在知道积分可以换钱，就要好好评价了，</t>
  </si>
  <si>
    <t>卡西欧 价格便宜，但质量一般，一分钱一分货！</t>
  </si>
  <si>
    <t>会继续购买 半年购买一次，挺容易安装</t>
  </si>
  <si>
    <t>真的很不错 裤子跟图片描述一致，穿起来也挺舒服的，一次愉快的购物</t>
  </si>
  <si>
    <t>性价比高 性价比来说还是很划算了，之前去逛了上海的3家店，价格虚高，不是很理解为什么进入国内市场后一下子提高了这么多钱。这件衣服的产地是洪都拉斯，线头是比较多，里面是薄薄的一层绒，不厚，秋天穿合适。这个价位这个质量可以。S号衣服160女穿稍微有点偏大，但是喜欢这种宽松的感觉。另外，表扬一下快递，2号下单，8号就到了，很迅速。</t>
  </si>
  <si>
    <t>千万别买 衣服明显偏大，质量也很差，和地摊货差不多。</t>
  </si>
  <si>
    <t>体积较大，比较重 体积硕大，拿着有点重，还好声音不是特别大，负离子的顺滑效果肉眼看不出来。</t>
  </si>
  <si>
    <t>挺好的，不过有个破洞 衣服挺好的，这个价格也很实惠，不过有个破洞，像刀刮了一下的那种口子</t>
  </si>
  <si>
    <t>海外购三天就能到手！！！！这真不是梦啊 我不知道是喜还是悲！买条裤子的话，至少15天才能到手！但是这个保健药三天就能到了！真神奇！好担心买到的是国内山寨货！真是处处都充满陷阱！</t>
  </si>
  <si>
    <t>呵呵 半个月左耳就坏了，呵呵</t>
  </si>
  <si>
    <t>该死的尺码对照表  亚马逊就不能精心一点  太小了  根本穿不了 三个码都是L  尺寸差的不是一点  偏偏我按大码选的  却发过来最小的码  L的区别这么大  设计者是怎么想的</t>
  </si>
  <si>
    <t>随意穿 面料比较粗糙，掉色的很厉害，洗了几遍还是掉。。其他感觉都不错</t>
  </si>
  <si>
    <t>好看，容易松 皮带好看，好用，但是会松一点，没有巴塔家的开瓶器皮带紧实</t>
  </si>
  <si>
    <t>三条内裤 人入中年，s是small了唉</t>
  </si>
  <si>
    <t>效果 还没用，用后再追加评价</t>
  </si>
  <si>
    <t>鞋子偏大 鞋子收到是新的，就是太大了，建议比平时买小一码</t>
  </si>
  <si>
    <t>挺好 盘子的确像狗盆，不过叉子勺子不错</t>
  </si>
  <si>
    <t>保暖 挺保暖的，不过也没觉得比国内一般的保暖内衣强哪儿去。袖子的设计很好，内穿不露。</t>
  </si>
  <si>
    <t>运动套装 汗衫布的面料 初夏穿着早晚披一下很适合 也很舒适</t>
  </si>
  <si>
    <t>实用价值 很好用，水很好喝</t>
  </si>
  <si>
    <t>时尚追求者 今天才收到新鞋。和我想向中的一样。款式质量都不错挺好的。</t>
  </si>
  <si>
    <t>很好啊 挺好的，小叉子里面的齿有点点边，不影响使用，好评百分百，么么哒</t>
  </si>
  <si>
    <t>满分 哈哈哈到货速度超级快 感觉买大童款598值哭了 耐斯！</t>
  </si>
  <si>
    <t>很好，还带弹力 面料居然带弹力，很舒适。比预想中颜色深些。</t>
  </si>
  <si>
    <t>非常棒 非常喜欢</t>
  </si>
  <si>
    <t>品牌信赖，质量过硬 很给力的产品，性价比高</t>
  </si>
  <si>
    <t>近乎完美! Danner的鞋质量完全不需要讨论. 这双Mountain Light确实是一整块牛皮打造的. 中亚说明有误, 因为在官网被归为登山鞋. 亚马逊这边没有普通和加宽的尺码好选, 但是如果是亚洲人只要你的脚不是超级瘦, 都要选择宽一码的(本人是个不折不扣的瘦子, 宽一码的正好). 要说这双鞋有什么缺点. 就是磨合期太长. 跟Danner其他的鞋一样, 至少穿上它头2个月, 创可贴是必不可少的随身物品. 但是一旦磨合, 你绝对不会后悔.</t>
  </si>
  <si>
    <t>很不错！ 177CM 75KG 美版穿M宽松，日版穿L修身 做工上来说，日版强太多了，不过价格也贵一倍就是了</t>
  </si>
  <si>
    <t>质量 做工精致，质量好，值得购买。</t>
  </si>
  <si>
    <t>好评 质量不错，穿的很舒适</t>
  </si>
  <si>
    <t>非常好！ 亚马逊海外购的这块硬盘是全网性价比最高的。 买回家第二天就从将近一米高的桌子上摔倒地上，外壳磕了个坑，但是毫无问题。 不是最薄的移动硬盘。</t>
  </si>
  <si>
    <t>特别好 特别好，从日本购买的物流速度堪比国内，商品质量也赞！</t>
  </si>
  <si>
    <t>很好，小孩合适 这种小头对于小小孩还是很合适的，方便刷里外面</t>
  </si>
  <si>
    <t>鞋子很好，自己买错了尺码 协议很好，穿了很好看，就是自己买错尺码，买大了，心塞</t>
  </si>
  <si>
    <t>降价了 东西很好，很适合我，今天一看，好难过降了一半，现在才53，好亏好亏好亏</t>
  </si>
  <si>
    <t>比国内实惠多了！ 黑色星期五海淘，时间比预计快了将近一周，太惊喜。含税后价格比国内还优惠。自重很大，因为我的nas目前只有一块，没法做更多的测试，但希望它稳定。</t>
  </si>
  <si>
    <t>perfect 177cm，76kg，腰围91cm。选择M号正好。 码数稍大。建议买小一号</t>
  </si>
  <si>
    <t>确定是新的笔吗？ 新的笔用清水洗鼻尖居然能把一杯水染成蓝色</t>
  </si>
  <si>
    <t>包装极差 滤水壶没问题，包装极差，仅有滤壶本身的软纸盒包装（因为prime会员不收运费吗），不敢轻易在海外购下单了</t>
  </si>
  <si>
    <t>My Comment 造型可以，声音太大，质量不好</t>
  </si>
  <si>
    <t>假货，准备删app了，太差 假货，鞋子竟然是用塑料袋装的，你当买菜呢？穿着极度硌着脚，根本不能穿，给退了。没想到自营也售假，真的是没法买了。</t>
  </si>
  <si>
    <t>退货 麻烦 号码与对应号码不太一样  两条全部过大 退货换货告知麻烦 所以慎重购买</t>
  </si>
  <si>
    <t>送货速度不错 和别的几样一起送的货，三天就到，挺快 买来戴着玩，比较轻，戴着没重量感，比较朴素大方，感觉这个价钱，这样的表算是价廉物美了。如果对表没什么要求的，买它还行，如果有一定要求建议去买其他的。</t>
  </si>
  <si>
    <t>金色飞贼 金属材质，较有质感，有官方授权，翅膀不能回收。作为儿童玩具尚可，当钥匙扣不大实用。Made in China</t>
  </si>
  <si>
    <t>保温效果一般，很貌美。 颜值高，保温效果一般的。</t>
  </si>
  <si>
    <t>正品，未穿 天气冷了，没有打开穿</t>
  </si>
  <si>
    <t>包裹感很好、 还可以吧，因为体重大买了这双鞋、目前还没踩开、比平常国内运动鞋大一码就行，穿上正好留个手指、比较宽松。夏天比较热（习惯的另说）。舌头容易跑偏不知道是设计缺陷还是个人问题！总体不错！</t>
  </si>
  <si>
    <t>科技感、实用，物美价廉 虽然电波表上市多年，但这款太阳能免去了换电池的麻烦，千元以下的价格也十分亲民。 中文说明书可以到CASIO官网去下载PDF电子版的，输入机芯号5444。 手表收到时如果是北京时间就不用调整。 如果是快一小时的东京时间，参照说明书上“本地时间的设定”，选中北京时间BJS即可。</t>
  </si>
  <si>
    <t>蛮好 非常不错  这价格很合适啊  到手不到300</t>
  </si>
  <si>
    <t>最满意的一件衣服 大小刚刚好，质量不错。</t>
  </si>
  <si>
    <t>舒适合身 面料柔软有弹性，穿上没有紧绷的感觉，活动自如，不错的一件牛仔服</t>
  </si>
  <si>
    <t>不错 质量很好，其实是国内生产并非进口，但是无异味，玻璃的放心，性价比高，还会回购，稍稍有点占地方</t>
  </si>
  <si>
    <t>499特价入的，物超所值 原来手头只有一副大耳，天龙D1100。两者相比，各有特点。240明显高频更出彩，整体声音明亮。D1100声场更大，低音过分了（煲开了正常很多，在可接受范围内）。240声音更通透，听王菲不错。总之，这个价位必须好评。</t>
  </si>
  <si>
    <t>超值的裤子，Lee 裤子很厚实，不是修身款，宽松版，裤脚很大，穿着得体大方，200多块钱买Lee超值，重要的是保真</t>
  </si>
  <si>
    <t>很棒的餐具 实物很漂亮，宝宝可以用到很大，包装有个小礼盒💝很精致的。日亚配送很快，瓷器也很安全送达，还有几件需要买的继续购入。比淘宝优惠些。</t>
  </si>
  <si>
    <t>非常合适，穿着舒服。 平时买美码的牛仔裤12码的人可以放心购买，大小正好。和国内裤子的码数比是偏大的，这也是美码的特点。</t>
  </si>
  <si>
    <t>虽然是中国造，绝对物超所值，质量没得说，速度比年中时快多了，只要了十天就到了。 质量蛮好的，价格适中</t>
  </si>
  <si>
    <t>物有所值的一个煲 英国亚马逊直邮，prime会员免运费，价钱比在商店买便宜好多，用来煮汤或者炖肉都还不错，用中小火水分基本不会流失，当然煲很重，也要小心加热时比较烫。</t>
  </si>
  <si>
    <t>36码，美观，瘦脚穿 价格合适，36码合适，比较适合瘦脚穿，鞋底版相对硬，其他还不错，穿起来挺好看的</t>
  </si>
  <si>
    <t>好评 面料材质柔软，大小合适，很不错。</t>
  </si>
  <si>
    <t>不错 长期服用对皮肤过敏有帮助。</t>
  </si>
  <si>
    <t>完美的裤子 货收到，非常好，下次还买。</t>
  </si>
  <si>
    <t>帮朋友~~ 帮朋友下单的~~很小巧很轻~~~容量就是小孩子用用~~</t>
  </si>
  <si>
    <t>勺 现在女儿用的是小勺 挺好的 她很喜欢用</t>
  </si>
  <si>
    <t>奶瓶 很可爱，但是会有味道，希望用热水消毒后没有味道，这里的价格是最优惠的。还没使用，囤货中</t>
  </si>
  <si>
    <t>不错 很不错，合身，看起来很厚，但传上去非常凉</t>
  </si>
  <si>
    <t>厨房必备 没想到这么快就到货了，查标签似乎是从意大利发过来的。收到后马上试用了一下，感觉很顺手。博朗的产品设计是没得说。好评！</t>
  </si>
  <si>
    <t>很好的衣服 衣服很好看、我184高、200斤、穿XL刚好！就是味道大一点、洗洗再穿！总体很满意。</t>
  </si>
  <si>
    <t>很好购物体验 物美价廉，布料非常舒适，尺码非常标准，很好的购物体验，感谢亚马逊！</t>
  </si>
  <si>
    <t>质量好差 穿了一次 就破了个洞，质感也很一般</t>
  </si>
  <si>
    <t>颜色 这个颜色太重了， 买的时候看到的图片又没有那么重， 想退运费吓死人，不到现场试穿的购物，还是体验不好，一般般质量</t>
  </si>
  <si>
    <t>保温好 色差有点大</t>
  </si>
  <si>
    <t>欺骗消费者 最低只能一星了，而我想给0，衣服和图片严重不符，不仅仅是颜色，连款式都不一样，甚至还带了上衣兜。我真是见了鬼了。</t>
  </si>
  <si>
    <t>买到假货 我所购买的是lamy lx系列，但不光笔尖不对，包装也是恒星的包装，颜色与金色不同，笔尾末端是恒星系列。同时笔尖不是专用的笔尖。一看就是残次品。包装并非lx系列专用笔筒，金属旋钮转不上</t>
  </si>
  <si>
    <t>还可以 还好，不过真的有点小，装一百人民币也装不了很多，皮质还行</t>
  </si>
  <si>
    <t>美码偏大 165cm，50kg 买的xs腰围稍大，其他没毛病。日常穿着舒服</t>
  </si>
  <si>
    <t>产品 关于整体，银色的外观比较经典，重量也不是太重。关于笔尖，笔尖是M尖的大概对应0.7mm，更适合写英文，但是我用来写汉字感觉也很好，可以接受。但是没有提墨器，只有一个墨囊，需要另外买提墨器。</t>
  </si>
  <si>
    <t>尺码偏小 尺码偏小，鞋型较窄，平时37，买4.5UK，感觉还是有点紧，要把鞋垫拿掉才行。</t>
  </si>
  <si>
    <t>杯子漏水 真没想到这个杯子会漏水啊！出门带了点儿汤，竟然漏了，而且保温效果也不好</t>
  </si>
  <si>
    <t>包装太差了 这次要吐槽包装了，只是在商品本身的盒子上封了几次胶带，盒子有多处破损。盒子里面的滤水壶还是蛮好的</t>
  </si>
  <si>
    <t>质量好 质量上乘，做工精细，非常棒的一个杯子</t>
  </si>
  <si>
    <t>尺码合适 根据脚长选尺码非常合适～就是清关花费了很长时间</t>
  </si>
  <si>
    <t>价格便宜，衣服质量棒棒！值得拥有！喜欢！ 价格便宜，衣服质量棒棒！值得拥有！喜欢！</t>
  </si>
  <si>
    <t>总体还好 大小刚好合身 穿着舒适 就是两只袖子 稍微长一点 不知道为啥</t>
  </si>
  <si>
    <t>完美契合！ 以前买的Lee裤子从未像这次一样合身。长度和肥度都刚刚好，170cm加72公斤，不需要扦裤边。穿着感觉非常舒适，面料厚实，有点分量，估计穿个三年是没问题了。</t>
  </si>
  <si>
    <t>很好很满意 穿了一段时间很合身，非常喜欢。</t>
  </si>
  <si>
    <t>颜值高 颜值爆表，鞋偏瘦脚宽建议大一码，鞋底前部偏薄不建议长时间走路。</t>
  </si>
  <si>
    <t>不错 不错，下次再来，谢谢1</t>
  </si>
  <si>
    <t>还可以 用的比较少，质量可以</t>
  </si>
  <si>
    <t>国产的  还行 还好不是越南或者老挝的 还行吧</t>
  </si>
  <si>
    <t>很有弹性，穿着舒适 很有弹性的裤子，腰部也是超有弹性，175/62 选30W/30L刚好。有点厚适合春秋冬穿，美国🇺🇸UPS直发，苏州4天到货，单子显示美国售价35美元。</t>
  </si>
  <si>
    <t>It fits well I like it.</t>
  </si>
  <si>
    <t>实物外形一般 速度可以，加上otg比较方便</t>
  </si>
  <si>
    <t>漂亮~好用~ 漂亮~好用~就是体积巨大~略有不便~</t>
  </si>
  <si>
    <t>合身，很好！ 很合身，高170重63，不紧不松，推荐买。</t>
  </si>
  <si>
    <t>值得信任 手表很漂亮，走时精确。</t>
  </si>
  <si>
    <t>还行吧 保温效果还是很好的，用了几天还没发现掉漆</t>
  </si>
  <si>
    <t>东西还没用都屯着，都屯着 东西还没用都屯着，都屯着</t>
  </si>
  <si>
    <t>好东西 性价比超高，开心😊</t>
  </si>
  <si>
    <t>美美哒 比我想象中大也✌️。。颜色完全是满足麻麻的少女心。哈哈哈</t>
  </si>
  <si>
    <t>质量很好，价格公道 不像楼下几位说的，货物做工还是可以的，烧水声音也不大，我就搞不懂，为什么国产的就一定要说的这么不好，说话要客观点。千万不可崇洋媚外</t>
  </si>
  <si>
    <t>舒服 还不错，价格很实惠。穿起来也还舒适。</t>
  </si>
  <si>
    <t>质量一般 用了一年就有数字显示不出来了，质量不行啊</t>
  </si>
  <si>
    <t>性价比不高 普通厚度，跟gap一百多的卫衣差不多，颜色没图片亮，尺码偏大，有点后悔</t>
  </si>
  <si>
    <t>鞋子太笨重，太笨重！ 造型、品相可以，可是真的太重了，稍微有点偏大，应该是包裹性的问题，建议买小半码，准没错</t>
  </si>
  <si>
    <t>音质还行。佩戴反人类。 佩戴太奇怪了，用一会儿时间就耳朵疼。即使想要日常出街用也戴不久，戴一会儿就得拿下来。 音质的话还是可以的。低频量一般，解析很不错。听女生和ACG应该可以。听EDM和R&amp;amp;B差点意思。</t>
  </si>
  <si>
    <t>太硬里 穿一次鸡腿没有再穿的想法了</t>
  </si>
  <si>
    <t>千万不要买 太硬了 如同纸箱的材质 根本没办法穿</t>
  </si>
  <si>
    <t>人间真实恶心 真实恶心。客服口口声声说不存在二次销售，也拿不出是海关开封检查的证据，试问海关拆开检查会出现第一层贴纸完整内里包装贴纸撕毁的情况？上传照片打了几次电话说会给回复，最后是系统发了条短信说请放心使用，我放心你bibibi，要干这种事能不能在出售页面标注说明？这种私人护理产品搞这种幺蛾子，真的是被恶心到了，亚马逊一生黑</t>
  </si>
  <si>
    <t>挺喜欢的 就是有一块掉漆了 有点瑕疵 挺喜欢的 就是有一块掉漆了 有点瑕疵</t>
  </si>
  <si>
    <t>质量很好，有点味道 家里有三个宝，一下买了三个，有点味道，煮了一下，晾了好几天。</t>
  </si>
  <si>
    <t>不错 挺好，大小合适（175、74）</t>
  </si>
  <si>
    <t>不错 款式不错，偏厚</t>
  </si>
  <si>
    <t>还不错 做工挺精致的，就是包装有点难看</t>
  </si>
  <si>
    <t>舒适型家居内衣 无刚圈，轻松自在；贴身性稍微差一点</t>
  </si>
  <si>
    <t>柔软 小了半码，皮质柔软，鞋子轻盈。</t>
  </si>
  <si>
    <t>还可以 有一点点的味道，泡了两天水就没了，保温效果很好，总的来说还是很满意的。</t>
  </si>
  <si>
    <t>锅子可以 买小了 锅很好 买小了  一次只能煎一块牛排 两块略挤  至于有评论说粘锅的 对技术表示怀疑 小火放油 热锅到一定程度 再放牛排或蛋 高温短时间内把外面一层煎焦变硬就不会粘锅 锅温度不够 急冲冲的放东西 放什么粘什么  先烧锅再小火煎活鱼不掉皮一个道理  其他就是包装简陋 一个裸锅放一个小箱子里  还好无损 物流10天到  海关不卡一下8天到  可以接受</t>
  </si>
  <si>
    <t>2个一组的价格实惠。希望好用。 2个一组的价格实惠。希望好用。</t>
  </si>
  <si>
    <t>棒 很好看，不错</t>
  </si>
  <si>
    <t>象印保温杯 买来给宝宝的，东西挺好的物流也挺快，出去使用很方便，已经推荐了很多朋友买。</t>
  </si>
  <si>
    <t>太好了 牌子过硬、用料大方，有松紧功能，极为满意。前后买了三条。</t>
  </si>
  <si>
    <t>还不错 鞋头和鞋后跟处是硬的，其他地方是软软的，穿了两天了，慢慢合脚了，我39的脚，大脚趾外翻，所以鞋子长短刚刚好，宽窄稍挤脚，不过穿起来真的帅气！</t>
  </si>
  <si>
    <t>价格实惠，版型稍差 价格很实惠，国内都是二三百起……只是版型有点尴尬，袖子超长，其他都合适……可能外国人手臂比较长吧……</t>
  </si>
  <si>
    <t>性价比没得说，还有丰富的接口。 性价比没得说，还有丰富的接口。  分频器很好用，方便外接低音炮。接口非常人性化   只能算半有源音箱</t>
  </si>
  <si>
    <t>不错 有种塑料质感太强烈，不过很喜欢简约的表。</t>
  </si>
  <si>
    <t>性价比 性价比较高，美中不足表带很硬，西铁城皮带表普遍都有这个问题？</t>
  </si>
  <si>
    <t>good 多次买这个品牌的了，做工精细，看着很不错。发货很快，满意的购物!</t>
  </si>
  <si>
    <t>可以的 还可以吧，我178 75身材不胖不瘦，看评论买了m码，正好，比国内普遍大一码…</t>
  </si>
  <si>
    <t>大赞的大黄靴 纠结了好久鞋码的问题，最终还是买了36码，无论垫不垫半码垫大小都刚刚好，拍37就一定会大了，等了半个多月的物流，还好鞋子没有让我失望，除了包装太简陋，其他都好，非常喜欢！没有其他评论说的很硬，穿起来很舒服，大赞！</t>
  </si>
  <si>
    <t>强烈推荐 从大老远运来就只有咖啡机自身包装盒子，再多个包装都没有，好在盒子够结实，机器没有损坏。国内电压能用，做出来咖啡风味很好，噪音有点大，亚马逊价格还是很有优势的，强推。</t>
  </si>
  <si>
    <t>宝宝出行必备物品 出门给宝宝带非常方便！超赞</t>
  </si>
  <si>
    <t>称心 185cm79KG  W31L34完美契合。 嗲～价格合适，冬天也可以穿</t>
  </si>
  <si>
    <t>名符其实的耳机 不错的耳机。一只耳机能卖20多年，很能说明问题了。日亚发货，包装很稳，运送算快的。做工的确很一般，感觉很结实。拿09PLUS推的很好，解析好，声场小点。适合流行，特别适合欧美流行，乐器独奏也行，交响乐就算了。虽然70欧，一加五也能听。</t>
  </si>
  <si>
    <t>满意。 物美价廉，简单好用。难得没有用产品包装盒直接运送。</t>
  </si>
  <si>
    <t>不建议购买。 该款笔外观设计可以。但是材质不好，太轻，没份量。笔尖太粗，与描述的不符，。让人失望。且退换货手续复杂。不建议购买。</t>
  </si>
  <si>
    <t>电池耐用，音质普普通通 音质不是太突出，同价位当中算普普通通，调节音量和切换歌曲的时候会有“嘀”的一声提示音，非常不喜欢，电池确实是超级耐用，整天整天的听下来不成问题</t>
  </si>
  <si>
    <t>美式連帽衫 面料不行，重在便宜，</t>
  </si>
  <si>
    <t>很满意！ 很合适！很舒服！质量很好！</t>
  </si>
  <si>
    <t>质量非常差，极其不推荐 质量很差，估计和爸爸9.9包邮差不多。这个价格要想买到专柜同质量是不可能的，不知道怎么会这么差，到处是线头，完全是不合格产品</t>
  </si>
  <si>
    <t>性价比还可以 第一次买，比较窄，长短刚好</t>
  </si>
  <si>
    <t>有香味，皮质为全皮 标牌36，皮带38也是醉了。不过长短合适，夏天再打个眼即可。到手皮带扣做工厚实，皮质为全皮，手感好，而且有一股奇特的香气，以前买的皮具都没有过。非常好。</t>
  </si>
  <si>
    <t>身高180腰围96的请选择33w或34w的 直接输入身高180体重90会推荐38w的，精确调整腰围96cm后推荐选择33w30l，试穿了下，腰围稍微有点紧，但基本算是比较合适，可以接受</t>
  </si>
  <si>
    <t>裤子偏长 腰围尺码稍偏大，裤长明显偏长，32L实际有109cm</t>
  </si>
  <si>
    <t>到货快，轻薄，服帖 有点像丝袜的质地，很轻薄，服帖，一星期左右到货</t>
  </si>
  <si>
    <t>超级好的关节保健品 Move Free真的一生推，跟腱拉伤之后一年多都不舒服，隐隐作痛。抹了药膏什么的都没用，吃骨维力吃了一瓶左右不痛了，吃完两瓶我才来评论的。这个绿的适合伤后恢复，现在我又买了红瓶作为日常保养关节。还给妈妈买了白金版。</t>
  </si>
  <si>
    <t>做功课很重要 ಥ_ಥ第一次拿到手不知道自己看，才发现要先充电再可以使用，我都已经使用了几次了</t>
  </si>
  <si>
    <t>为何一定要标题？ 很好用，好上色好混色，性价比很高</t>
  </si>
  <si>
    <t>价格便宜 这个牌子的以前没喝过，100多元1公斤包装，很便宜。</t>
  </si>
  <si>
    <t>NICE 用着挺好的，音质感觉比之前的好点，半入耳带着舒服，时间长了不会难受！配送时间一周不到！比显示时间短很多！续航也满意！</t>
  </si>
  <si>
    <t>很可爱的餐具 非常喜欢</t>
  </si>
  <si>
    <t>喜欢象印焖烧壶 象印焖烧壶保温效果好，做工细致，大小合适，朋友看了马上让我帮下单了一个</t>
  </si>
  <si>
    <t>高大上的鞋子 第一次穿其乐的鞋子，质量很好颜色正，信赖亚马逊</t>
  </si>
  <si>
    <t>买了还几条，很好 衣服比实体店便宜，物美价廉，非常好！</t>
  </si>
  <si>
    <t>不错 确实挺不错的，这个可以用好几年。</t>
  </si>
  <si>
    <t>很好 很舒服，无边，大一码会好一点</t>
  </si>
  <si>
    <t>非常满意 一直买奇乐的鞋子，第一次在亚马逊购买，价格比专柜便宜很多，made in india，鞋偏硬，应该穿穿就会好。 平时穿40的皮鞋这次买的39码的，正好，供参考。</t>
  </si>
  <si>
    <t>好吃健康 东西不错，就是盖子不好开</t>
  </si>
  <si>
    <t>不错。紧身效果可以。就是袖子衣长稍长一点点 还是袖子感觉稍长些。同一款买了总共三件到了两件。这回价格比较实惠。之前买的时候好像没注意到打折的券没去领，有点亏大了。</t>
  </si>
  <si>
    <t>不错 是圆头的，图片上没看出来，不过还是挺好看</t>
  </si>
  <si>
    <t>大小合适标准40 这双鞋比较满意，大家都知道亚马逊买东西就是看运气，鞋码差异太大，不过这双鞋不错，我穿40码英码6.5非常准确。</t>
  </si>
  <si>
    <t>东西不错 质量不错</t>
  </si>
  <si>
    <t>质量很好 材质做工不错，有些薄。</t>
  </si>
  <si>
    <t>舒适贴身 大小合适，很柔软，面料有点亮亮的，穿上去很暖和，舒适贴身。</t>
  </si>
  <si>
    <t>不错 包包看着挺迷你，但手机钥匙钱包啥的全装下完全ok,男生用很方便，男朋友背很帅哦</t>
  </si>
  <si>
    <t>供大家参考 供大家参考，身高168，体重75，不算胖，比较结实没有肚腩，买M号肩膀合适长度合适。</t>
  </si>
  <si>
    <t>好胖的裤子 实在是穿不了，真心太胖了~</t>
  </si>
  <si>
    <t>不是预想的那样！真的只是个云！ 东西设计很精致，小巧，也还算比较安静。但是，我希望用的是以在线同步备份为主的，但这个东西，只能通过云的方式操作！不能直接与计算机相连，同时，这个东西虽然连接在我的路由器上，但访问它要从互联网绕一下，导致同步文件的速度极低（有线的话可以达到4MB左右，无线只有几百KB），若要同步上GB级的内容，将耗费大量时间！我要把我机器里130GB的历史照片备份转移到Mycloud Home Duo里，需要12个小时以上！不错，它的云应用设置导师很方便，但是，把内容放上去太太太太费时间了！！！！！原来计划选用Mirror Gen2的，没想到区别这么大？欲选择NAS的请注意应用需求。他们的产品介绍真的太模糊了。</t>
  </si>
  <si>
    <t>鞋底太滑了 话说这鞋子一点都不防滑，地上有一点点水都刺溜刺溜的，更别说这几天武汉下雪，那简直就是溜冰鞋。这样的鞋底怎么户外嘛，还不如几百块滑雪靴。本来准备买了下雨下雪穿，滑不说，一穿就带一小腿泥，而且特别多，这可怎么是好……鞋码按正常大小买就行，鞋子有一点点压脚背，脚背高的要注意。</t>
  </si>
  <si>
    <t>有色差，跟屏幕上的颜色不同 电脑上看的是黑色的，到手了发现是墨绿色的</t>
  </si>
  <si>
    <t>和实际不符合 以后慎重买国外的，退货运费要120多，实在不划算，感觉哥伦比亚的东西不划算，以后不会再买了</t>
  </si>
  <si>
    <t>垃圾 质量巨差！血的教训！ 东西太差！绝对是瑕疵品！质量有问题！ 买来一个月零几天开不了机！无法工作！找亚马逊 他们不负责售后！！看了评论发现大家都有这个问题！这绝非偶然！这是有预谋的出售瑕疵品！</t>
  </si>
  <si>
    <t>挺好的 非常好。十天就到了。还在琢磨食谱中。豆浆十分细腻，比豆浆机好太多。不知道收关税了没有，箱子里也没有交税的明细。</t>
  </si>
  <si>
    <t>性价比不错，比德国59系阉割了半金属机身 与德国59系不同的是没有采用半金属机身(塑料机身感觉过不够结实，且分量不足)，但配件很全(部分配件鸡肋)，对的起优惠时的价格。搅拌杯大小够2人份的，我家烤箱较大，如果要做4、5人份的要两次揉面。有资金的话直接上MUMXX系列的吧，功率，做工都有了。</t>
  </si>
  <si>
    <t>超级亮眼 夏天用超级亮眼，就是有些后悔应该买了大一号的。夏天不够喝</t>
  </si>
  <si>
    <t>神奇的设计 最近看了一篇科普，统计表明欧洲人的头比亚洲人小，所以这个帽子给欧洲人戴也是大的出奇！我戴着我的神太特么大了，把后面调小倒是合适了！但是后脑勺部分是空的，什么鬼！前面看着效果理想，从后面看岂不是一个二货，后脑勺部分的帽子可能会是瘪的，笑死爹啊！把设计帽子的设计师抓出来打一顿！话说这运费可以吃人了！</t>
  </si>
  <si>
    <t>还行 皮带还行，质感很好 皮带孔太少了，我只好找街头的裁缝摊给打了几个眼 三个眼打歪了俩 还收了我2块钱</t>
  </si>
  <si>
    <t>维生素 孩子吃这个维生素不费劲儿</t>
  </si>
  <si>
    <t>合适，性价比高，穿着跑个步不错 合适，性价比高，穿着跑个步不错</t>
  </si>
  <si>
    <t>不错 腰围合适，裁个裤边就行！</t>
  </si>
  <si>
    <t>很不错，质量好，合身 很不错，质量好，合身</t>
  </si>
  <si>
    <t>德国品质！ 用了两个月，现在听古典太爽了。耳机适合听交响乐，流行也可以，摇滚或吵的音乐切勿买它，便宜的耳机反而适合，推荐张专辑pink floyd的The Division Bell,第8首可以听到那种柔美而又有弹性的鼓声。发烧音响如果要听到这种感觉，起码要花三万以上的东西才行</t>
  </si>
  <si>
    <t>表白你 表白你～太好看的马丁靴，不仅好看，最重要的是好穿，看到很多评论Dr martin马丁靴不好穿，今年ecco就出了这款马丁，还防水，下雨也不怕啦，超满意</t>
  </si>
  <si>
    <t>64G卡 搭配我的D800E使用很好。</t>
  </si>
  <si>
    <t>给家人吃 比较相信亚马逊，这个性价比很高！又买了3瓶！</t>
  </si>
  <si>
    <t>一如既往的合适。 一直买他家的裤子，尺码规范合适。</t>
  </si>
  <si>
    <t>穿的舒服 性价比不错 喜欢这个牌子的鞋</t>
  </si>
  <si>
    <t>安装 没问题 可以自己安装 非常方便</t>
  </si>
  <si>
    <t>特价入手，非常超值 特价入手，非常超值，发货花了点时间，整体都挺不错</t>
  </si>
  <si>
    <t>非常好，比自己海淘便宜，正品好用、 非常好，比自己海淘便宜，正品好用、</t>
  </si>
  <si>
    <t>非常舒适 就是这么完美，刚好合脚。39，6uk。clarks</t>
  </si>
  <si>
    <t>值得购买 比国内便宜太多，东西一样的好</t>
  </si>
  <si>
    <t>有型的一款衣服 面料柔软，抗皱，洗后有型，略厚。</t>
  </si>
  <si>
    <t>鱼油 价格合适</t>
  </si>
  <si>
    <t>质量不错 泰国产 快递不算慢，一周不到就到了。杯子很轻 总体质量不错</t>
  </si>
  <si>
    <t>Wrangler牛仔裤 非常满意，本人173,80㎏，买的34W/29L，很合适。同样是美亚买的Lee的34就大了一点，感觉Wrangler比Lee的裤子的尺码要小一号。</t>
  </si>
  <si>
    <t>买大了 买大了  25的脚  平时穿38  作死买了8.5的  穿上长了点  全新仅试穿一次没下地  有8码的想换吗😰😰😰</t>
  </si>
  <si>
    <t>推荐大点儿宝宝用 小瓶阵亡了就顶上了，本想等宝宝大点儿再用。现在和新买小瓶轮流使用。单独买的ss奶嘴完美适用。</t>
  </si>
  <si>
    <t>质量不好 质量不好，不推荐，是挺好看的</t>
  </si>
  <si>
    <t>盖子白色滤嘴内栓很松 &lt;div id="video-block-R3NJDYMV1O0HFL" class="a-section a-spacing-small a-spacing-top-mini video-block"&gt;&lt;/div&gt;&lt;input type="hidden" name="" value="https://images-cn.ssl-images-amazon.com/images/I/91aUhm2fXaS.mp4" class="video-url"&gt;&lt;input type="hidden" name="" value="https://images-cn.ssl-images-amazon.com/images/I/81L-C4nQszS.png" class="video-slate-img-url"&gt;&amp;nbsp;我不知道我遇到的这个问题是不是普遍现象，我搜了下评论，倒是没有人反应这个问题。  我个人遇到的情况，盖子的白色内栓，是卡扣式的，虽然能卡上去，但是我觉得很松。尤其是盖子的上盖如果改下来，那就有可能弹出来。可以参见视频。  我以前也用过膳魔师的，他嘴盖也是可拆卸，但是没有遇到这样情况。当然，不同品牌，可比性比较弱。我就不知道其他人用上这款是不是也是这样。  因为我已经把外面的包装盒给拆了，所以也没申请退货。</t>
  </si>
  <si>
    <t>太大了，太大了 176/80㎏，挺胖的了，但买了M号还是过大，送老丈人穿了，袖口很大，感觉是给老年人设计的。明显不修身，还叫修身款！</t>
  </si>
  <si>
    <t>质量一般 收到后暂时没有用，但是发现锅底有点凸起的颗粒（有一元硬币大）。应该是影响使用！</t>
  </si>
  <si>
    <t>typs-c 用过几次，今天发现小口（typs-c）插到手机上，有个面能用，翻转面不能有，是有故障还是就这么用，搞不明白</t>
  </si>
  <si>
    <t>做工差质量差 速度是挺快的，可是这个质量和做工真不像一个大牌应有的。实在是不敢恭维。  今天穿了一天，发现右脚有空气响声..........</t>
  </si>
  <si>
    <t>一直用 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</si>
  <si>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还不错 这款上脚后比图片上显示的要粗旷点，稍显脚大。ecco 一如既往的轻和柔软，鞋垫不是真皮的，由于偏向户外采用的是那种比较吸汗的毛毡材质。中国造，做工还可以。上脚试后感觉带狗膜的没想象的那么不透气。运动鞋穿US9一42.5,这双选42很合适。免运费700到手，觉得600左右才算合适的价位，但对比国内专柜的杀猪价还可以。要说缺点的话由于是环保底，耐用性差了点，穿个两三年就降解了。</t>
  </si>
  <si>
    <t>不错 秀气，样子好看，有些点硬。</t>
  </si>
  <si>
    <t>国内很少有此版型 衣服轻薄，面料一般，173高63公斤14.5合身，修身款适合偏瘦的买家，国内的大多身宽合适袖子短，正常或偏壮的人还是国内购买衬衫吧，总之版型很适合我</t>
  </si>
  <si>
    <t>还可以 衣服领口有点皱巴巴的，下口商标很脏，直接剪掉了再穿</t>
  </si>
  <si>
    <t>尺寸建议 买比牛仔裤尺寸大2即可。比如牛仔裤尺寸穿32腰的，买34就好。我买了36，要能扣最紧的一个眼儿。买34的话选择就很多。买32的话就是扣中间一个眼儿。长度是不可以剪短的要注意。</t>
  </si>
  <si>
    <t>最好买大半码 这次买了双UK8.5的，比较宽松，适合徒步的时候穿。平常穿42的，UK8，之前也买了双这个码数的同款退掉了，有点紧和挤。可以参考一下。这个配色的外观实在是无可描述，不过徒步穿也无所谓了，V底和gtx应付普通强度足够了。</t>
  </si>
  <si>
    <t>大小合适，软硬合适 我穿海淘的运动鞋一般是４３的，看大家的评论，我选的９Ｅ，加宽的版本，穿上很合适，皮也是软的，零度上的天气，穿和厚袜子也可以出去。鞋是有些重量，但是比想象的轻些，本来高度还可以，穿上又加高了。</t>
  </si>
  <si>
    <t>很好，性价比很高！ 非常实用的机器！发货也很迅速！颜色很漂亮，非常满意的一次购物！！</t>
  </si>
  <si>
    <t>手表 表很好不错的一次购物</t>
  </si>
  <si>
    <t>康卒乐 商品收到内外包装都很好，里面更是包得仔细，等吃了再观后效，但愿不负我所望</t>
  </si>
  <si>
    <t>瑞典 BABYBJORN 婴儿 餐盘 汤匙和叉子(粉色/紫色... 很可爱，自己喜欢就觉得女儿喜欢了  呵呵</t>
  </si>
  <si>
    <t>非常好的衬衫 175/ 80公斤，M号正好，布料厚实，非常好。</t>
  </si>
  <si>
    <t>不错 不错，软弹，确实能媲美金尖了</t>
  </si>
  <si>
    <t>脚长25.8CM，8EE正合适。 脚长25.8CM，8EE正合适，有点压脚背，鞋舌易跑偏。</t>
  </si>
  <si>
    <t>物超所值 水流很舒服，有点增压效果。很好。</t>
  </si>
  <si>
    <t>颜值高。勺子很好用 勺子用来学吃饭，很好用。</t>
  </si>
  <si>
    <t>乐而雅 F系列 棉柔丝薄透气 特别量多夜用护翼型卫生巾 40cm 7片装*3包 非常透气，呵护着，推荐</t>
  </si>
  <si>
    <t>很好 小巧，质感好</t>
  </si>
  <si>
    <t>挺好的表 到货了，挺精美的，就是国产货，但都是日文的说明书，也能看懂</t>
  </si>
  <si>
    <t>满意！ 机子使用正常，物流很快。</t>
  </si>
  <si>
    <t>面料不错，穿着舒适 轻、薄、软，手感好，还挺保暖。</t>
  </si>
  <si>
    <t>推荐 很好用，又方便。也好洗，推荐使用</t>
  </si>
  <si>
    <t>不错 一直买LEE的裤子，尺码标准，值得推荐</t>
  </si>
  <si>
    <t>306P MK2很值 音质非常好，2.0的音箱低音能达到这种程度实属难得！秒杀10000以下所有音箱了！</t>
  </si>
  <si>
    <t>好 穿着很舒服，我很满意</t>
  </si>
  <si>
    <t>大  大  大 真的是太大了，买平时小1码的还有点大，裤子特别特别肥，本人身高188 体重200斤</t>
  </si>
  <si>
    <t>马丁靴 买了几双马丁靴了，这双是最差的。鞋虽然是新的，但做工粗糙，缝线竟然皱皱巴巴的！鞋面和鞋舌还有很多灰土，尤其是系鞋带的扣眼周围，沾了很多黑泥，不可思议？！用微湿的软布才擦掉。询问客服，退货还要自己找快递公司寄回英国去，他鉴定认为是质量问题，才给报销运费。他要硬不承认呢？相距那么远，我怎么跟他交涉？！况且还要浪费我时间和精力！希望亚马逊改进，应该像中亚一样，退货给你们，由你们鉴定，或由你们和英亚协调交涉，减少客户的麻烦。 这次购物很不满意，最多给三星。</t>
  </si>
  <si>
    <t>太大了 同样是m的，这个大的没法穿</t>
  </si>
  <si>
    <t>垃圾，不要在亚马逊购物了 18年7月购入，19年4月报废，刚开始有坏道，现在直接不读盘，亚马逊海外购就是个坑</t>
  </si>
  <si>
    <t>舒服 如标题介绍，背部是很舒服。尺码很标准。</t>
  </si>
  <si>
    <t>2TB卖1900，3、4TB卖600多，这是什么定价策略？ 看不懂！</t>
  </si>
  <si>
    <t>整体还不错 有色差，以为是棕红色，实际上是真正的棕色，显老气。印度尼西亚产，皮质和手工还不错。码数算标准，穿厚袜子有点紧。</t>
  </si>
  <si>
    <t>看码不如按脚长买 码号看的头晕结果买小了，得按脚长厘米数买。</t>
  </si>
  <si>
    <t>速度快，质量好，尺码准 物流速度超快，国内顺丰小哥态度很热情，尺码很合适，很舒服。真不错！</t>
  </si>
  <si>
    <t>超美舒服 超美，舒服</t>
  </si>
  <si>
    <t>大小合适，使用方便 杯子很可爱，大小正合适，孩子用起来也很上手，而且盖子两边的孔是一大一小不会担心装反，涉及人性化</t>
  </si>
  <si>
    <t>超值 出街利器，活动价绝对超值，音质也不错</t>
  </si>
  <si>
    <t>正好 ，做工很好，手感好，非常轻，不是纯黑色该叫炭黑色，太薄了点还没穿不知道保暖性如何。身高178体重120斤S码正好</t>
  </si>
  <si>
    <t>施耐德钢笔整体质量很好。 特别喜欢书写的感觉、对书写工具比较挑剔。现在国产英雄等品牌钢笔几乎在签字笔的围剿下质量每况愈下，失去往日的风头。一直以来想拥有一支质量上乘的钢笔，特别是长期使用签字笔之后更有此想法。经网友反馈和个人实际使用后认为施耐德钢笔是性价比较高的选择。   昨天下单，今儿收到实物，有点小兴奋，及时试用。初步感觉是造型比较厚重，适宜男性的大气。装上墨囊，书写感觉较舒适，流畅不断续，笔锋表现完整，F笔尖粗细相较普通的金万年签字笔0.5稍显细些，没有网友反应的较为粗重的感觉，黑色墨水比较淡，偏灰色（也许是初用，墨水尚未充盈）。蓝色墨囊没试用。总体感受很好，耐用性有待进一步考验，但愿不辜负德国造^_^</t>
  </si>
  <si>
    <t>有弹性 而且会越穿越大 不适合冬天 有点薄</t>
  </si>
  <si>
    <t>东西真心不错，很喜欢 东西真心不错，很喜欢</t>
  </si>
  <si>
    <t>很好的裤子 物超所值，裤子面料厚实，应该很耐穿。 墨西哥产，100%棉。</t>
  </si>
  <si>
    <t>裤子还不错 和Levi's的相比，CKjeans的裤子要长一些，所以如果Lee和Levi's穿32的，CKjeans要选择30的。 裤子就那样吧，牛仔裤都差不多，合身，舒适，身材比较瘦的就选择修身款。 价格嘛，税和运费还是太高了，这些裤子本身在美国就是很普通的。只是在国内卖的太无聊了。 CK选择比较少，就那几款直邮。希望多些选择。 如有需要还会再买。</t>
  </si>
  <si>
    <t>很好 大小合适，价格便宜。</t>
  </si>
  <si>
    <t>合适 37的脚买7码正合适，包容性和舒适度都非常不错，配色和谐，满意，希望走起长途来不会有问题</t>
  </si>
  <si>
    <t>性价比还是蛮高的 1）用料和做工不错，不愧是大品牌 2）佩戴不夹头并且能全包耳朵，几小时后耳朵也没不适感，不过有点热，而且由于头梁有点细和硬、耳机较重，压头感比较明显 3）音质：HD 4.40已经是我用过最贵的耳机了，只能和HD202 II和Earpods比较；听了两天总结下来，HD 4.40中高频解析力还是不错的，感觉明亮，低频有力有弹性并下潜明显，不过佩戴时有否包好耳朵对低频影响非常明显；另外声场方面比较广，且定位比较准备，听交响乐和看电影感觉比较震撼； 总的来说这款耳机绝对值这个价。</t>
  </si>
  <si>
    <t>卡西欧gw-7900b-1er 非常出色的卡西欧手表 实在是说不出它不好的地方 功能很多 我也搞不清楚 性价比很高 喜欢卡西欧的建议购买</t>
  </si>
  <si>
    <t>裤子 不错，身高185体重185斤XL的正好，有点哈伦裤的赶脚。</t>
  </si>
  <si>
    <t>香 咖啡壶煮出来咖啡，整个家里都飘香，所以浓缩壶比其他方式萃取的要更香。</t>
  </si>
  <si>
    <t>还挺满意 配了变压器~网上买的十几块~水牙线很好 冲的出刷牙后残留的东西~有的牙龈略疼，可能是有炎症吧~总之很满意啦~382入的（税另算） PS 我看网上说 这个东西不要连续使用两分钟以上，脉冲比较伤机器~所以一般也就自己一个人用~</t>
  </si>
  <si>
    <t>鞋子很好，非常喜欢 收到实物比照片好看，很喜欢。鞋码很正，41码选了7.5uk，超级合适。一口气买了三双。。。是国内一双的价格</t>
  </si>
  <si>
    <t>不错的设备 Made in china 很亮很强大</t>
  </si>
  <si>
    <t>好东西，值得买 东西是好东西，就是谁能给我个说明书！！！师傅弄丢了！！！现在不会装了</t>
  </si>
  <si>
    <t>正品放心购买 觉得是正品，口感也不错。包装都很好。</t>
  </si>
  <si>
    <t>胸围太大了 文胸很薄了 胸围太大了 文胸很薄了</t>
  </si>
  <si>
    <t>质量可以 但发错颜色 身高177 体重52kg 特瘦的类型，拍的m码，稍微有些宽松，产地洪都拉斯，不满意的就是颜色发错，拍的swiss blue，实际收到的是Hotline Blue，不过售后很完美</t>
  </si>
  <si>
    <t>竟然有使用过的痕迹 竟然有使用过的痕迹，如果这样的话，我直接买京东二手货了</t>
  </si>
  <si>
    <t>这尺码完全失控 宽松到始料不及</t>
  </si>
  <si>
    <t>质量真的不好 腰带试戴一次就明显的褪色，将一条裤子染上黑黑的一圈印记，而且有很浓的刺鼻的味道，不仅如此，腰带还有两处明显的疤痕。很不满意的一次海淘。</t>
  </si>
  <si>
    <t>杯子坏的少了一个配件 杯子少了一个心子</t>
  </si>
  <si>
    <t>东西还不错，挺合适的 耳机很轻巧，但是降噪不太好，出街声音的时候街上的声音听得很清楚，容易影响听歌，手机比较难推，需要放到很大的声音才可以，音质挺好，乐器听得比较清楚打游戏也用挺好的。</t>
  </si>
  <si>
    <t>整体还行，没有传说中的那么神 瓶身的小猪为啥要用贴纸啊？？？整体还行，没有传说中的那么神，毕竟就是一个喝水的杯子，希望杯子越改进越好。</t>
  </si>
  <si>
    <t>防水不知有没有100米 这款表不知没有100米的防水功能，表盖上，写着weter resistant 10bar  而说明书上写100M weter resistant才是100米防水。</t>
  </si>
  <si>
    <t>不错 不错不错不错不错不错不错不错</t>
  </si>
  <si>
    <t>达到预期 175cm，80kg，M号大小合适</t>
  </si>
  <si>
    <t>售后服务好 产品效果不知道。售后服务好。产品只发了一排三粒，，少了二排。开始售后说退三分之二，提出异议后，主管爽快地全部退款。</t>
  </si>
  <si>
    <t>超值 尺码W30的LEE牛仔裤，用34码的皮带，刚刚好。32也行，但要用到倒数第二个孔了。</t>
  </si>
  <si>
    <t>很喜欢 买了L码，大小正好合适。160cm，47kg。</t>
  </si>
  <si>
    <t>非常好 很好，很合身</t>
  </si>
  <si>
    <t>可以购买 很不错的一款表！价格变动！低价格购买！！！到货10多天后停过一次！晒太阳后一直走到今天</t>
  </si>
  <si>
    <t>达到预期 质感不错，没用过其他品牌和型号的电动牙刷，不好评论，不过主观感觉刷牙比手动好，快递速度还挺快的</t>
  </si>
  <si>
    <t>值得购买 买大了一码，也能穿。脚感非常舒适。值得再次购买。价格比国内专柜优惠很多。</t>
  </si>
  <si>
    <t>包装盒 未封装耳机，音质没问题。</t>
  </si>
  <si>
    <t>非常划算的一次购物 买了电动牙刷后，刷头成了必需品，淘宝价格太贵真假难辨，从这上面买放心得多，2周左右就收到货了，给力 关键是便宜，合39元/个，完爆淘宝货，吼吼~~</t>
  </si>
  <si>
    <t>价格实惠 价格确实很便宜，同档次的品牌都还要贵一些。质量也不错，大小合适。款式上本身就是衣短袖长的设计，所以不要在意衣服过短了。</t>
  </si>
  <si>
    <t>好鞋子，就是有些大 国内42的脚买大了不少 好鞋子，就是有些大 国内42的脚买大了不少</t>
  </si>
  <si>
    <t>合适 合适，有弹性。唯一就是偏厚了点</t>
  </si>
  <si>
    <t>非常完美 经过10天终于从美国到了手上，打发很好，声音比国产小多了，如果价格再完美点更好了</t>
  </si>
  <si>
    <t>5分！ 可能是我2018年买的最喜欢的产品。几块gs啦，虽然也有机械表，但是大部分出门的装备都会选择gs</t>
  </si>
  <si>
    <t>很好的袜子 袜子超好，超舒服，超好看，可能是我穿的太暴力了，感觉已经被胀大了。•﹏•</t>
  </si>
  <si>
    <t>肥短型钢日版的新颖 喜欢 属于宽度超过长度的肥短型的薄型的 新型 日版包装好</t>
  </si>
  <si>
    <t>挺好的 材质做工都挺好的</t>
  </si>
  <si>
    <t>和韩国带回的一样 看了别人评价很担心，收到货发现很好啊，没有气味，一样柔软，和我从韩国免税店带回来的品质一样，但是更划算呢</t>
  </si>
  <si>
    <t>很不错的裤子 质感没法和200-300元的addias媲美，不过还算可以，这价位是值了。</t>
  </si>
  <si>
    <t>号码与平日的板鞋不同，还是去实体店试过再买。 鞋子挺好看的。如果是D版更好看一些。M视觉上有些宽了。这个号码还能伸进一根指头，一点点偏大，平日NB穿43供参考。</t>
  </si>
  <si>
    <t>卡西歐計算器手錶CA-53W-1Z 優點：彩色紙盒包裝，密封口全新品；雖然是中國製造，但是做工還是很好的；紙質說明書沒有中文，可以從卡西歐官網下載電子版中文說明書；超薄錶盤，可以輕鬆放進袖子裏；簡約實用，手腕上的計算器；鬧鐘、雙時間、星期、24小時制，這些基本功能都有的。缺點：按鍵非常小，需用指尖按鍵；此款是低端產品，沒有背景燈，黑暗環境看不見屏幕。</t>
  </si>
  <si>
    <t>太大 太大了，照着欧码小一号买就可以了</t>
  </si>
  <si>
    <t>一般 穿着舒适像不是很高，特别是洗了之后</t>
  </si>
  <si>
    <t>褪色 第一次清洗，脱色严重。第二次第三次依旧褪色！严重怀疑产品的真假，仔细看看，线头很多，不想是大品牌的衣服。真怀疑，亚马逊的东西，特别是中国亚马逊到底是不是在卖假货！</t>
  </si>
  <si>
    <t>难溶解！ 和美国版相比，欧洲版太难溶解了，必须要摇摇杯或者搅拌很久，下次还是买美版的了</t>
  </si>
  <si>
    <t>包装被打开了 包装被打开了，颜色没有图好看</t>
  </si>
  <si>
    <t>感觉只有5ml，效果很一般 首先不说效果，我感觉我们对15ml的大小是有误解的。用了也就是半个月，就压不出来了，拆开以后发现容量只有如图这样。瓶底下有个小片，抠开发现整个瓶子其实都是空的，感觉10ml的玻尿酸也比这个多呢。 另外效果呢，真是鸡肋，就是跟牛油果眼霜差不多吧，但是价格差的要几倍了吧。</t>
  </si>
  <si>
    <t>偏小 小了一码，建议买大一码</t>
  </si>
  <si>
    <t>不错 还不错，腰长92厘米买的36号能扣到第三个扣(一共五个扣)，做工有点粗旷</t>
  </si>
  <si>
    <t>还不错，300元时推荐购买 外观5星，低音5星，舒适度4星，隔音3星，高音2星。</t>
  </si>
  <si>
    <t>脚踝处磨出血 左右脚有色差 脚踝处磨出血 左右脚有色差，物流很快，希望不是洋垃圾</t>
  </si>
  <si>
    <t>包装很好，保质期新鲜！ 提前给宝宝囤货，保质期很新鲜，期待宝宝降生。</t>
  </si>
  <si>
    <t>尺码偏大 178cm，65kg衣服有点长到臀部了，而且衣服的材质是那种有弹性估计是会越洗越大的那种。</t>
  </si>
  <si>
    <t>好货 很好，日本版型确实好。</t>
  </si>
  <si>
    <t>买对了 买了用作系统盘，安装了win10，运行起来比原来的明显快了，我也没测速度，觉得买对了。</t>
  </si>
  <si>
    <t>好 这个好用，不锈钢的安全</t>
  </si>
  <si>
    <t>全棉 全棉袜子，不会臭脚，很好</t>
  </si>
  <si>
    <t>低价正品超快 亚马逊半价，不声不息的半价，正品，真是觉得有了亚马逊世上没有买不起，买不到的东西，完美，忠诚度爆表了我。</t>
  </si>
  <si>
    <t>非常透气 非常透气 ，舒适感好，追求聚拢的妹子就不要买了</t>
  </si>
  <si>
    <t>外观帅 可以，很帅，走时很准，功能挺多的。</t>
  </si>
  <si>
    <t>衣服 做工有些粗糙，其他还好，对应价位还能接受</t>
  </si>
  <si>
    <t>喜欢简约一点的强烈推荐 喜欢穿宽松一点的，身高一米七七，体重七十四公斤，L号，袖子感觉略略的有点偏长衣长非常满意，料子是我喜欢的那种，手感好，柔软，版型很好看，性价比高，，值得购买，有购买第二件的冲动。</t>
  </si>
  <si>
    <t>综合素质佳 第一次海淘耳机，美亚直邮的，物流过了二十天到。打开耳机收纳盒的配件不错，一根通话的独享线，还有一根可以插别的耳机的共享线，足够坚硬的收纳盒。耳机的做工也很好，基本不会损坏。 音质方面，本人爱好电子，三频均衡，低频和中频表现不错，煲机一段后高频也悦耳了。 总的来说，这款耳机性价比好，综合素质佳，质量过硬，是一款不错的耳机。  但是用了差不多半年之后，接口处的螺丝出现了脱落，可能是需要注意的地方吧</t>
  </si>
  <si>
    <t>不错 擦得很干净。非常不错，就是感觉小了一点点，再大一点就完美了。</t>
  </si>
  <si>
    <t>挖果泥很方便 挖果泥很方便。一头硬的一头包了软胶。</t>
  </si>
  <si>
    <t>值得推荐 颜色无差，版型好，无可挑剔了。</t>
  </si>
  <si>
    <t>超值 给孩子买的，这价格没什么可挑剔的</t>
  </si>
  <si>
    <t>秀气，轻软 平常运动鞋42，鬼冢虎41.5，这双7.5非常合适，显脚非常秀气，轻软，目前最满意的一双鞋子，谢谢亚马逊</t>
  </si>
  <si>
    <t>666666 还不错面料有点粗</t>
  </si>
  <si>
    <t>呜呜 没有用几天U盘丢了.....</t>
  </si>
  <si>
    <t>我胖了，需要锻炼身体了 我胖了，需要锻炼身体了</t>
  </si>
  <si>
    <t>杀机取盘，好盘，没螺丝，焊接的，应该是氦盘。 好，盘速度很快。徳国直邮的。到了后就重新分区格式化。然后杀机取盘放电脑上把小姐姐搬进大房子了。要想电脑认盘有两点要做，第一先删除分区格式化，然后杀机取盘，然后将电脑的电源线的橙色3.3V的供电线断开（我直接从插头里把线和接触角拔出了，以后还能塞回去）搞完两点电脑就认盘了。不然电脑不认盘的。</t>
  </si>
  <si>
    <t>保暖 脚底部位稍微有点掉毛，不起球，冬天穿室外活动不多的话完全足够保暖</t>
  </si>
  <si>
    <t>做工精细 做工精细！</t>
  </si>
  <si>
    <t>产品描述是黑色，实际是暗红色 颜色跟描述不符，实际是暗红色</t>
  </si>
  <si>
    <t>质量不是很好 这T恤的质量真不怎样，全是买牌子吧</t>
  </si>
  <si>
    <t>东西不错，送货堪忧 包装裂开，样子和设计还不错。叉子和勺子，方便抓握。</t>
  </si>
  <si>
    <t>尺寸并不过大。 请按自己实际尺寸订货。尺寸并不过大。款式是slim fit，所以很紧身。  退货很坑人，货款125.39人民币，退货费用125人民币，只能领回三毛九分。</t>
  </si>
  <si>
    <t>感受不好 竟然第一次收到没有外包装盒，把奶瓶都压扁了</t>
  </si>
  <si>
    <t>质量堪比地摊货 发现这个牌子的质量是真的差，买卫衣嘛，洗两次就垮掉还全是毛球，裤子嘛穿了两次才发现屁股后面有个洞！！！之前就这么穿了一整天，再也不买了</t>
  </si>
  <si>
    <t>少了小配件 少了一个小零件，盖子前面的小三角形活动盖，与同事对比后才发现</t>
  </si>
  <si>
    <t>很好 有点厚，其他都很好，身高170体重70，S码合适</t>
  </si>
  <si>
    <t>没有弹性，比正常裤子小一码 裤子没有异味，黑色很黑，几乎每天弹性 脚踝的地方穿脱不是很方便，正常ck32的裤子，我是用来冬天穿的，但是这条光腿穿都有点紧尤其是大腿和腰的位置！还好没买31，😄还没洗不知道会不会掉色！</t>
  </si>
  <si>
    <t>很轻 这个鞋子很轻，孩子穿着稍微有点紧</t>
  </si>
  <si>
    <t>东西还不错 发现Amazon有黑色星期五，一直盯着1T的SSD，于是买了这个，加上税2100米左右，快递的时间比计划的要快，但是后来发现某东上面同样容量的这个东西的价格，和税前价格是一样的，所以买这个东西没有惊喜的感觉。 关于数据方面的东西没有问题，一分钱一分货，可以啦！</t>
  </si>
  <si>
    <t>比较合适，尺寸要细心研究 尺码比上次的合适多了！这偏大偏小的咱也不知道啊，也问不明白啊！</t>
  </si>
  <si>
    <t>一如既往，美中不足的casio包装纸盒让人觉得很拮据 东西是正品，刚拿到货 戴手上有点沉 是中国产的 还是感谢卓越低廉的价格和优质的服务 casio包装纸盒让人觉得很拮据</t>
  </si>
  <si>
    <t>不锈钢  保温闷烧杯闷烧罐 750ml 番茄红 1.材质安全 2.做工精良 3.保温效果好 4.焖烧功能弱 5.日亚包装赞物流快</t>
  </si>
  <si>
    <t>包包还不错，就是略贵。 还行做工不错，就是略贵了点！</t>
  </si>
  <si>
    <t>大小合适 做工不错 贴身合适 amazon的尺寸推荐到位 非常满意</t>
  </si>
  <si>
    <t>尺码选错了 180/71 32-32点腰围大了，下次选31-32</t>
  </si>
  <si>
    <t>超值 一口气买了4支，很好。没有吸墨器。</t>
  </si>
  <si>
    <t>很满意 穿着很舒适，非常满意！</t>
  </si>
  <si>
    <t>尺码正，合脚 平时皮鞋42买uk8，舒适度好</t>
  </si>
  <si>
    <t>划算 挺不错的，可以代替清洁剂</t>
  </si>
  <si>
    <t>够大的，尤其是壶盖，倒是方便注水 够大的，尤其是壶盖，倒是方便注水</t>
  </si>
  <si>
    <t>非常满意 保暖 很喜欢 厚实 前面加厚 保护肚子 这款xl，中国穿l</t>
  </si>
  <si>
    <t>精致的流行音乐耳机。 200出头的价格，挺精致。低音比Earpods量小，不适合挺动次打次的歌。音场比较小，听流行歌曲很适合。再听一段时间，也许煲来了会更好听一些。</t>
  </si>
  <si>
    <t>很好 这款过了4个月才发货，都忘了买过，笔是很好的^_^</t>
  </si>
  <si>
    <t>保温很好 很好</t>
  </si>
  <si>
    <t>质量相当好 穿着舒适，大小合适，第二件了。</t>
  </si>
  <si>
    <t>好评 对自然之宝钙片十分满意，包装很漂亮，钙片精致。</t>
  </si>
  <si>
    <t>码偏大 适脚舒适 码偏大 平常穿37 uk4很合适</t>
  </si>
  <si>
    <t>海蓝色海鲜锅 颜值在线，26cm的确不大。整体还行，砂眼之类的小问题也是有的。一周到货，速度挺快，整体比较满意。</t>
  </si>
  <si>
    <t>好 在专柜试穿过，一模一样，超值</t>
  </si>
  <si>
    <t>很好很喜欢 很喜欢这个表，不过这个表蒙子不耐磨，建议大家贴个膜。这个表的表带比较厚，戴起来不方便</t>
  </si>
  <si>
    <t>裤子一般 总体很一般，裤子很薄穿起来没型</t>
  </si>
  <si>
    <t>实物皮质与图片不符 太宽了，而且实物皮质与图片不符，实物皮质没有图片里那种柔软荔枝纹理</t>
  </si>
  <si>
    <t>不好 盖子用两次就打不开，孩子根本不会开，是出水口那个按钮，这已经是我第二个此问题的象印了</t>
  </si>
  <si>
    <t>英国制造 英国制造，不是德国的，没有外包装。</t>
  </si>
  <si>
    <t>Too low 简直了，这么差劲👎的。海淘了这么久头一次收到这么差劲的包装。亚马逊美国就是这么low的吗？ I can't believe when I saw the parcel. Was it really sent by Amazon ? It is too low.please look at the photo.</t>
  </si>
  <si>
    <t>质量还行 裤子稍长，质量还好。</t>
  </si>
  <si>
    <t>尺码非常正！ 喜欢这个物流服务！很快很到位！鞋子嘛，比想象中厚一些，至于是否正品，无从判断，希望亚马逊上全是正品吧……舒服还是很舒服的，尺码也刚好合适！鞋底也比想象中厚一些~</t>
  </si>
  <si>
    <t>满意 简洁实用，价格合适，可以推荐</t>
  </si>
  <si>
    <t>Boss 红标 做工还行 皮质有点硬符合红标档次 3.5公分宽 比商务休闲点比休息商务点 在合适价格入手还算值</t>
  </si>
  <si>
    <t>还不错 色差比较大，没图片那么貌美，噪音觉得还是大了，但据说这是三款比较好的进口厨师机里噪音最小的，也问了用凯伍德的朋友，特意发了小视频给我，噪音的确更大，赞一下发货速度，26号拍下，1号到手，海淘的速度里真是最快的了！</t>
  </si>
  <si>
    <t>便宜好用 亚马逊的价格真是跌宕起伏，当下单发现价格便宜了，但是再买一单的画退款太麻烦了，东西不错 是正品，大概半个月的样子收到，之前找朋友带了一个，。价格差不多</t>
  </si>
  <si>
    <t>不到uk4码 注意尺码是uk3.5-4，相对4码偏小。其他很满意。</t>
  </si>
  <si>
    <t>评论 这款短裤比较一般，面料质地不是很好。</t>
  </si>
  <si>
    <t>做工款式都很好 很不错的皮带，170cm/55kg  32正合适</t>
  </si>
  <si>
    <t>不错 不错，还没用，用后再评价</t>
  </si>
  <si>
    <t>还可以 比正常的码偏大一些。</t>
  </si>
  <si>
    <t>不错 170cm.67kg。正合身。衣服不错。</t>
  </si>
  <si>
    <t>舒服，漂亮 很舒服的一双鞋，比国内便宜很多。平时穿37，38的鞋，这次买的38刚好。凉鞋千万别买小了。</t>
  </si>
  <si>
    <t>价格变化 很不错 老年人吃的</t>
  </si>
  <si>
    <t>宽松 200斤36的还是有点大，质量没的说，穿上也很舒服</t>
  </si>
  <si>
    <t>孩子和我一起用 孩子和我一起用 每一个都有独立包装 非常实用卫生</t>
  </si>
  <si>
    <t>特别好使的橡皮 mono橡皮特别好使，孩子一直用这牌子的，习惯了已经</t>
  </si>
  <si>
    <t>品质之选 皮质感觉很柔软，鞋底弹性好，穿着舒适，唯一缺点就是希望把包装好好弄一下，毕竟跨境运输，需要转几次快递，而且时间比较长，弄得快递员都不放心了</t>
  </si>
  <si>
    <t>很漂亮 很漂亮，女儿喜欢</t>
  </si>
  <si>
    <t>买给妈妈的礼物 偏大半码 印尼产的 没有明显瑕疵 和国内的没区别</t>
  </si>
  <si>
    <t>鞋子 正合适。买的41的小一码正合脚穿着很硬</t>
  </si>
  <si>
    <t>推荐 尺寸合适，质量也很好，夏季短裤专配</t>
  </si>
  <si>
    <t>东西很好 刚到手。看起来蛮好看的，开始还不会调时间，百度了一波</t>
  </si>
  <si>
    <t>一双让我有点难过的鞋子嘤嘤嘤 本人女  平常穿37码  也就是235 买的big kid5码  是用男朋友的账号买的  然后稍微有一点点大  刚好放个鞋垫  因为这双鞋子的底真的有点硬 我买的时候加关税689  买的经典款黄色  结果今天刚收到看价格加关税变成了510  我真的有点想哭 鞋子挺好没有问题  亚马逊不实行价格保护政策了  问了客服也不可以退差价  想买的现在赶紧下手吧！</t>
  </si>
  <si>
    <t>你喜欢的我都喜欢 十分喜欢，版型舒适是我想要的，推荐给大家，宽松型非常棒。</t>
  </si>
  <si>
    <t>还行吧，用于囤货，还没用，先给个好评 看着质量还行吧，用于囤货，还没用，先给个好评</t>
  </si>
  <si>
    <t>尺寸 我的脚37.5，本来想买大半码就好了，可是穿薄袜子还是感觉有点挤，如果是穿厚袜子最好还是买大一码。</t>
  </si>
  <si>
    <t>领口小 领口很小，布料很厚实，舒服</t>
  </si>
  <si>
    <t>适合小块的研磨 开始用了几次。后来改辅食机了。</t>
  </si>
  <si>
    <t>一般般 虽说是德国进口，但是质量不及原装刀头，而且是简配版本，5个刀头可以买一个剃须刀，也是坑爹</t>
  </si>
  <si>
    <t>网红款不适合平民 网红款不适合平民，自行理解</t>
  </si>
  <si>
    <t>很差 很差，气球沾灰，根本没发穿。</t>
  </si>
  <si>
    <t>假鞋？ 刚买完就降价两百多我也不说什么了，收到货包装就一个光板白鞋盒，上面什么字和商标都没有，里面也没有吊牌，严重怀疑是假鞋</t>
  </si>
  <si>
    <t>海外购出问题无质保 如果可以打0就好了。买了两个月，手表不动了，给亚马逊电话，说海外购的不负责维修没有质保，要找发出国。给了个西铁城的400电话，西铁城直接拒绝，说不负责亚马逊的单子。2000打水漂。</t>
  </si>
  <si>
    <t>良好 带子确实太细有点勒，但做工不错，实用性高</t>
  </si>
  <si>
    <t>加绒的，比较长， 绒的，比较长， 码数正常吧 ，</t>
  </si>
  <si>
    <t>尺寸参考 172/82，选的m号，合身。</t>
  </si>
  <si>
    <t>好看，但小遗憾 颜值高。容量大。但属于老款式电水壶，温度也不可控，小失望</t>
  </si>
  <si>
    <t>大小适中，纯棉，中国制造。我还以为是日本制造的，但穿上舒适透气！下次会买小一码。 大小适中，纯棉，中国制造。我还以为是日本制造的，但穿上舒适透气！下次会买小一码。</t>
  </si>
  <si>
    <t>弹力好，舒适。 身高181cm，体重72kg。买 W34/L32，秋冬穿合适，腰宽松一点点，喜欢！弹力布料。</t>
  </si>
  <si>
    <t>值得购买 到货的速度快了很多，Magimix 5200XL食品加工机 非常好，绝对的厨房神器，价格也是美，操作很容易，值得购买。</t>
  </si>
  <si>
    <t>面料有待改进 很合身，但是面料差一些，有点塑料雨衣的感觉，如果是在实体店肯定不会买</t>
  </si>
  <si>
    <t>还行，孔比较大 180cm，220斤，篮球短裤，稍有点大，短裤材料是网格的那种，孔稍微大点，穿深色内裤看不出来。</t>
  </si>
  <si>
    <t>物美价廉 非常好，这个价格很是划算！</t>
  </si>
  <si>
    <t>满意 很满意，质量样式都很好！</t>
  </si>
  <si>
    <t>鞋子不错 穿了几天，鞋子不错，与预想一致。只是Gotex真心不便宜。</t>
  </si>
  <si>
    <t>还行吧，便宜 变色其实不是特别明显，有点硬</t>
  </si>
  <si>
    <t>满意 尺码超合适。之前穿的40码运动鞋，换算下就是6.5uk，我还白担心了会儿会偏大不，结果非常合脚。鞋底微硬，影响不大。</t>
  </si>
  <si>
    <t>赞 款式质量非常棒！腰围稍大！</t>
  </si>
  <si>
    <t>很好的表 功能正常，价格很便宜</t>
  </si>
  <si>
    <t>一定要看！！！！ 这个插耳机孔的接头一定要插尽  不然麦克风会说不了话！！ 最好拿纸巾包着插 完全插进去手会有完全插进凹凸的手感。 搞了一天 麦克风没声音。才发现这个问题。</t>
  </si>
  <si>
    <t>好 很小一个。质量很好</t>
  </si>
  <si>
    <t>推荐购买 很满意，之前买的clarks的切尔西，太窄！但是他家沙漠靴就可以，这个踢不烂就很宽，右脚大姆脚趾稍微有点顶，整体可以接受！鞋底舒服，推荐！平常43-44的阿迪耐克，43偏多，买的9w，参考一下！</t>
  </si>
  <si>
    <t>很好的 日期很新鲜，之前看评论以为是临期的，没敢多买，有点后悔……价格很优惠一盒总共150左右</t>
  </si>
  <si>
    <t>正品 东西非常好用，感谢🙏</t>
  </si>
  <si>
    <t>好 帮同事下单的，相信原产货</t>
  </si>
  <si>
    <t>超赞的小狮子杯 儿子一眼就选中了该杯，家里有好几个膳魔师的杯子了；这次，Tiger的杯子也很好！</t>
  </si>
  <si>
    <t>厨房必备，健康饮食利器 可以把食物打得很碎，到几乎没有渣滓的地步；不同种类的、比较难以咀嚼的食材可以方便地混在一起一饮而尽，增加食物摄入的多样性和摄入量；附赠的食谱也很有借鉴的意义；皮实耐用，易于清洁；虽然发的不是彩箱包装，但也不是二手翻新货，不过有一点疑问，说明书中没有写保修的年限，而官网下载的说明书是有warranty这一项的，保修期也是7年。 不足之处：电压是120V，要用变压器；声音似乎比电钻还大。</t>
  </si>
  <si>
    <t>总体很不错，性价比高 很不错，基本没毛病。</t>
  </si>
  <si>
    <t>赞 商品不错，大小合适，款式非常硬气。</t>
  </si>
  <si>
    <t>感觉不如国内买的好 裤子的颜色比较暗淡，布料的手感不如国内商场中的LEE的手感好。尺寸基本一致。</t>
  </si>
  <si>
    <t>裤子布料很一般。 剪裁属于欧美，布料极其一般，真是一分钱一分货</t>
  </si>
  <si>
    <t>为什么包装是打开的呢？！ 看上去还可以，但是为什么包装是打开的呢？！</t>
  </si>
  <si>
    <t>最差劲的一次网购 收到后用变压器不能启动，找客服说不能换货（我购买之前已知这点）不能退货，很好奇不能退货的理由是什么，因为我仔细看了一下商品介绍页和海外购政策，第一个客服和我说您的订单是10月20几号下的超过一个月了，当时我不记得具体哪天下的，就没说什么，再看了一下发现实际上11月10日才下的单；第二个客服和我说因为这是口腔卫生用品所以不能退，但是我所能找到的亚马逊网站上的相关信息都没有显示这项规定。谢谢这次体验让我可以放弃使用亚马逊。</t>
  </si>
  <si>
    <t>产品质量有问题 质量有问题，无法格式化，海外购退货太麻烦，第一次买也是最后一次买，垃圾平台，一星都不想给，垃圾，垃圾，垃圾。</t>
  </si>
  <si>
    <t>挺好看 样式不错，171 48kg穿xs有一点点大</t>
  </si>
  <si>
    <t>面料不错，但衣服偏大，相当于国内L码 本人买的S码，相当于国内175/92B。</t>
  </si>
  <si>
    <t>希望更完美点 做工没有想象的完美，总体还是不错的，快递吃了好几天才发货但是还是比预计快收到货，收到鞋子心情还是蛮好的，客服也很nice</t>
  </si>
  <si>
    <t>裤腿太瘦了！ S码168，54穿着有点长，小腿处紧绷，活久见的设计</t>
  </si>
  <si>
    <t>四盒 还可以吧，圆珠笔，笔帽不是很容易拔下来。</t>
  </si>
  <si>
    <t>值得购买 很满意，便于携带，可爱的杯子。</t>
  </si>
  <si>
    <t>舒适 鞋型不错，柔软舒适！</t>
  </si>
  <si>
    <t>评价 挺好的，就是宝宝不爱用。大概是缘分不到吧</t>
  </si>
  <si>
    <t>推荐 保温好，做工好。给孩子往学校送饭，非常方便。强力推荐！</t>
  </si>
  <si>
    <t>还行 和预期差不多吧 没什么特别的美好</t>
  </si>
  <si>
    <t>夏天会太厚 比较厚实，偏硬</t>
  </si>
  <si>
    <t>不错 料子很舒服，尺码也合身。174cm，74kg</t>
  </si>
  <si>
    <t>衣服挺好的很舒服 挺好的。。。面料有弹性。。。很舒服&lt;a data-hook="product-link-linked" class="a-link-normal" href="/dp/B071VTC9L8/ref=cm_cr_arp_d_rvw_txt?ie=UTF8"&gt; （冠军） [[ASIN:B071VTC9L8  （冠军） Champion 圆领卫衣 C3&amp;nbsp;- ls050&amp;nbsp;[ 男款 ]  黑 L&lt;/a&gt;</t>
  </si>
  <si>
    <t>给老妈买的，老妈非常喜欢 东西确实从美国寄过来的，很给力啊，很牛逼的样子，确实不错</t>
  </si>
  <si>
    <t>衣服质量不错 本人1.75m，81kg，买16.5~32-33，正常版，尺码有些偏大没有，修身版应该更合适。衣服是印尼产的，质量很好，比较薄。推荐。</t>
  </si>
  <si>
    <t>打底衫 保暖，真的很好，又买了一件。</t>
  </si>
  <si>
    <t>就是有点薄 我是雷锋  ，我XXXL 的 裤子 买 L刚好  3尺的腰围，大家可以参考</t>
  </si>
  <si>
    <t>非常完美 很大，保温效果很好，日本过来超级快</t>
  </si>
  <si>
    <t>s码 小了 衣服挺好的，就是买小了。177cm 75kg 应该买m</t>
  </si>
  <si>
    <t>好宝贝 喜欢，一如既往的喜欢，就是喜欢。</t>
  </si>
  <si>
    <t>很适合老年人 质量不错很适合老年人。</t>
  </si>
  <si>
    <t>好 高腰，包贴好，棉质，舒服</t>
  </si>
  <si>
    <t>移动硬盘 收到货测试了一下，没坏道，传输速度也有80MB/S，插路由器上用。</t>
  </si>
  <si>
    <t>奶瓶的硅胶很软。 奶嘴摸着比贝亲的软，瓶身的硅胶特别软很满意这个奶瓶。</t>
  </si>
  <si>
    <t>购物快捷方便 质量好.尺寸等同国內L码.身高175cm体重75KG.  L码真好</t>
  </si>
  <si>
    <t>价廉物美质量一般颜色很正 按照平时标准穿衣尺码买！产地波多黎各</t>
  </si>
  <si>
    <t>好穿脱 舒适，我觉得很好穿脱。</t>
  </si>
  <si>
    <t>很一般 很软糯  也很薄 另外就是起球严重</t>
  </si>
  <si>
    <t>不建议购买 很多线头，标志绣的不好，看着像假货.</t>
  </si>
  <si>
    <t>款式有点老气，质量不咋地 款式有点老气，质量不咋地</t>
  </si>
  <si>
    <t>皮质很长已经破掉 皮质很长已经破掉了。。。</t>
  </si>
  <si>
    <t>味道特别大 味道特别大，根本没法用，用水烫完味道还是特别大，肯定是假的</t>
  </si>
  <si>
    <t>中规中矩 首先，质量很好，对得起这个牌子。第二，收货这些天平均气温-15摄氏度，导致墨囊漏墨了，好在不严重还能用。第三，笔尖有些涩，没有预期的顺滑，但是我不排斥，写英文比中文舒服些。第四，f尖并不粗。</t>
  </si>
  <si>
    <t>弹性大 厚，弹性大，布料柔软，但是比尺码表上大啊，按表买不准</t>
  </si>
  <si>
    <t>总体而言还是很值得入手的 买给妈妈的，非常美貌，皮质很好，很有质感，和图片呈现出来的一样，就是稍稍有点大，是硬底的</t>
  </si>
  <si>
    <t>总体还不错 平时穿AD41.5或者42的。这个买的7.5UK大了一点，7应该最合适。样式好看，不过有个地方被磨了一点，退换货麻烦，将就穿了</t>
  </si>
  <si>
    <t>还行吧。。 衣服摸着料子不错，不过容易越洗越大，还容易皱。。</t>
  </si>
  <si>
    <t>不错的海外购物！ 物流速度很快，颗粒很细也很香，货比国内要好(国内也不知是否正货)。</t>
  </si>
  <si>
    <t>值得入手 不错，好评，既可以插数据线当有线耳机，也可以开蓝牙当无线，轻松切换，NFC迅速连接，音质也不错，值得入手</t>
  </si>
  <si>
    <t>物超所值 第一次用专业录音耳机欣赏音乐，解析力很强，感觉完全体现音源的录音质量。直插D100听DSD，感动！！！</t>
  </si>
  <si>
    <t>Vely nice pen 比旧款好了太多太多，全新的笔尖。F尖比旧款细了很多，也十分顺滑。唯一不足的是这个颜色是指纹收集器，可以加钱买磨砂版本的。总之值得购买。</t>
  </si>
  <si>
    <t>已购买 一直在用，好不好要问儿子。不过他是很喜欢</t>
  </si>
  <si>
    <t>小满意而已 柔软的真皮，上乘的质量，海外购有意想不到的惊喜。只是。。。再便宜一点就好了！</t>
  </si>
  <si>
    <t>要啥标题，就是吐糟一下 说瘦的同志们太坑啦，156-54kg，穿起来紧绷绷啊</t>
  </si>
  <si>
    <t>一次放心的选择。 很好，确是原装新品，亚马逊购物放心。</t>
  </si>
  <si>
    <t>33裤头36皮带 这个价格这种质量不错了，我平时33的裤头，36的皮带刚刚好</t>
  </si>
  <si>
    <t>好看的背心 漂亮的背心，舒适，真的很便宜</t>
  </si>
  <si>
    <t>质量过关 喜欢，非常好</t>
  </si>
  <si>
    <t>便宜。 比其他牌子便宜些，粉末细，干燥。建议买其他口味，此款口味太甜了。</t>
  </si>
  <si>
    <t>热，不适合夏天，不过确实很经典，瞬间拉长退，显脚胖 热，不适合夏天，不过确实很经典，瞬间拉长退，显脚胖</t>
  </si>
  <si>
    <t>。 鞋子很好看，也是正品，穿着很舒服。</t>
  </si>
  <si>
    <t>囤货 还没用，保障完整，囤货</t>
  </si>
  <si>
    <t>很好，性价比比较高的。料子比较薄 很好，性价比比较高的。料子比较薄</t>
  </si>
  <si>
    <t>好用 主要是买刀片的，看到这个含刀架的价格也很便宜就买了。刀架比我之前买的好一点，搞不清楚吉列fusion的各种刀架，接口一样就行了。刀片用起来很好，价格便宜，囤了几年的量</t>
  </si>
  <si>
    <t>好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 这条评论对您有用吗?</t>
  </si>
  <si>
    <t>热奶费劲 缺点是隔热啊 热奶太费劲了！</t>
  </si>
  <si>
    <t>衣服大了一点点 买的小码，但是拿到手标签上写的是180的，在国内也是大码了，穿上去肚子腰围这块还可以，袖子有点像扭秧歌那样，卷起来才可以，材质摸了对比下，与线下专柜买的稍有区别，不过也挺舒服的，标签二维码显示都是正品。另外黑五买是真优惠哦。</t>
  </si>
  <si>
    <t>东西不错，会回购。 味道好，孩子爱吃，有效果，孩子排便顺畅了。</t>
  </si>
  <si>
    <t>独立包装 干净卫生 独立包装 干净卫生 而且大小也何时 国内买的儿童版总是比较大，这个小巧</t>
  </si>
  <si>
    <t>厨师机没中文说明书 试了一下也不觉得哪里好，早知道买国产的了，最郁闷的是收到货没几天就降价了400多，联系客服说没有价格保护，只能自认倒霉了，建议大家在亚马逊买东西多观察再买，价格浮动很大，这个真的很影响心情</t>
  </si>
  <si>
    <t>压的耳朵疼。 压的耳朵疼。佩戴舒适感远不及hd598。</t>
  </si>
  <si>
    <t>穿着没有看起来舒服 没有看起来舒服</t>
  </si>
  <si>
    <t>ems坑爹啊 买的e300，到货的时候已经被ems拆箱了，外箱体被干了一个洞，手持花洒没有丝印，汉斯格雅客服说正常不会这样，可能是很旧的库存品、怀疑是工程样品之类的东西，想换货</t>
  </si>
  <si>
    <t>不满意 衣服很一般，还很长！</t>
  </si>
  <si>
    <t>不知道知道奶瓶是不是正品 这个奶瓶我买了以后才发现不是亚马逊直接销售是第三方销售的不知道是不是正品，大家觉得了</t>
  </si>
  <si>
    <t>材质不怎么样！ 材质很是僵硬，还是牛仔裤比较合适，口袋很浅！</t>
  </si>
  <si>
    <t>商品很不错，软件不给力 硬件没话说，很不错，设置也很简单。但是西数的软件更新太慢了，更新最新的固件之后，电脑上的软件没办法进行远程连接，真是要命啊！</t>
  </si>
  <si>
    <t>家里水压过低的不要买 家里水压算正常，感觉没完全发挥出花洒的特色，所以家里水压过低的千万不要买 买了后用了快半年 花洒芯断了 联系售后换了一个 售后电话不好找 按照商品页面的电话打过去后 给了另一个电话 然后另一个电话又给了另一个电话 然后让加了qq处理的 电话号码只打过一次忘记了 qq号码是2748305165</t>
  </si>
  <si>
    <t>包装破损 还没用，没有其他包装，盒子破损严重，好在不影响使用。</t>
  </si>
  <si>
    <t>鞋带部位卡脚，穿了半年还是卡脚 尺码没问题，大小合适，就是鞋带部位卡脚，穿了半年还是卡脚，</t>
  </si>
  <si>
    <t>日版冠军小包 斜挎小包正品无疑，日版款式国内没有。包包的大小正合适，装个钱包，手机，日常小零件没有压力。</t>
  </si>
  <si>
    <t>170-150斤，L码略紧身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</si>
  <si>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很酷 穿着舒服，买的鞋号稍微有点大了，但是穿脱起来就很顺畅，也没有压脚背的感觉，鞋底厚实。穿在脚上真心显大。</t>
  </si>
  <si>
    <t>收不了自己的手...... 1.16号下单，17号订单通过审核，然后22号收到货（中间还有一个周末），我只想说物流快得6666  2.厚重，用料很足，女孩子单手估计拿会蛮重的，对我等男士不成问题；  3.不知道是物流还是个别，拿到发现锅的边沿有点刮痕，幸好都不在中间或者锅底  绝对好锅！Prime买的，省了250+多的运费（运费居然和锅一样价格了）......</t>
  </si>
  <si>
    <t>买到了！ 国内265的价格实在是太伤天朝人民的心了，这个价格一次买到两个，开心爆了，质量好！！就是感觉好大，现在比宝宝头还大，哈哈哈，硅胶的手感就是好捏~</t>
  </si>
  <si>
    <t>很好👌 物流很快！衣服颜色很喜欢</t>
  </si>
  <si>
    <t>质量不错！ 比较厚实，适合秋冬穿，本人170CM 65kg 穿s码大小刚合适，仅供参考！</t>
  </si>
  <si>
    <t>中国39码这款穿7码 纠结这个码数纠结了很久，有点看不懂，最后我39得脚买了7码，性别女，一直很忐忑怕穿不了，结果7码39穿刚好</t>
  </si>
  <si>
    <t>质量不错 质量非常不错，价格合适，可惜买的稍微长了一点点。不能减肥了</t>
  </si>
  <si>
    <t>完美 很好，速度快，完美收到了。</t>
  </si>
  <si>
    <t>177、63kg，最终选了S吗～ 被推荐M，但是比较了好久还是觉得S就可以了。相比较优衣库的UPJ那个系列，相同的衣长袖子要长一些，而且还阔。但男生啊除非是极瘦的男生可以学女生oversize，否则还是选小码好看一些呢，码数太大了感觉容易像米其林呢！</t>
  </si>
  <si>
    <t>推荐购买，好评 噪声有点大，而且也有像别人说的隔几秒钟有个咯咯声，不过总的来说降速氦气盘真是性价比很高。</t>
  </si>
  <si>
    <t>满意 运动鞋穿43的，这个欧码42.5正好或者有一点点大 表面有点划痕，但是不影响 很满意</t>
  </si>
  <si>
    <t>舒服 舒服，大小合适</t>
  </si>
  <si>
    <t>大了点 唯一不方便的就是对尺寸把握不好，这次买大了，还好是卫衣大就大点穿</t>
  </si>
  <si>
    <t>好东西 好东西，以后再买一些</t>
  </si>
  <si>
    <t>good 身高178，大小尺寸刚好</t>
  </si>
  <si>
    <t>非常好，大小合适穿起来很舒服 非常好，大小合适穿起来很舒服</t>
  </si>
  <si>
    <t>鞋子很舒服 喜欢ecco鞋，穿着舒服，款式时尚。</t>
  </si>
  <si>
    <t>比卡西欧强 我喜欢这个，比卡西欧强多了，争取不买日本的东西</t>
  </si>
  <si>
    <t>很好 质感很好，很舒服！！</t>
  </si>
  <si>
    <t>质量低于预期 &lt;div id="video-block-R1QGKNH9O46XF5" class="a-section a-spacing-small a-spacing-top-mini video-block"&gt;&lt;div tabindex="0" class="airy airy-svg vmin-supported airy-skin-beacon" style="background-color: rgb(0, 0, 0); position: relative; width: 100%; height: 100%; font-size: 0px; overflow: hidden; outline: none;"&gt;&lt;div class="airy-renderer-container" style="position: relative; height: 100%; width: 100%;"&gt;&lt;video id="7" preload="auto" src="https://images-cn.ssl-images-amazon.com/images/I/91cUzu6nbAS.mp4" style="position: absolute; left: 0px; top: 0px; overflow: hidden; height: 1px; width: 1px;"&gt;&lt;/video&gt;&lt;/div&gt;&lt;div id="airy-slate-preload" style="background-color: rgb(0, 0, 0); background-image: url(&amp;quot;https://images-cn.ssl-images-amazon.com/images/I/91RyirbIJ+S.png&amp;quot;);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center;"&gt;0:00&lt;/div&gt;&lt;div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value="https://images-cn.ssl-images-amazon.com/images/I/91cUzu6nbAS.mp4" class="video-url"&gt;&lt;input type="hidden" name="" value="https://images-cn.ssl-images-amazon.com/images/I/91RyirbIJ+S.png" class="video-slate-img-url"&gt;&amp;nbsp;做工一般，操控扭用力嗯有结合部位因不铆合而发出的塑料撞击咔哒声。</t>
  </si>
  <si>
    <t>鞋码偏大，不是全新 平时37这个对应码数大了，建议选小一码，而且鞋子不像新的，像穿过的，前面有褶皱。不满意</t>
  </si>
  <si>
    <t>无法开始 一直有个开锁按钮在闪是什么意思？按开始键没有用。</t>
  </si>
  <si>
    <t>小了点 除了小了点其它都好，问题是安德玛没有给尺寸说明，只能凭感觉买，本打算退货，后来亚马逊客服解决办法，也算满意吧</t>
  </si>
  <si>
    <t>尺码不对 亚马逊尺码写的太含糊，当大孩子的鞋买，却是小孩子的尺码，折腾退货到美国，很是麻烦，伤财伤神！</t>
  </si>
  <si>
    <t>买了4个月不到就降价了，171元的差价可以退吗？请问！ 东西是好东西，宝宝辅食都靠它了，2014年8月6号买的，当时买的价格是520元，买了4个月不到，价格就跌到349元了！仅仅4个月，价格就差了171元啊！亚马逊能退差假吗？！心疼啊！</t>
  </si>
  <si>
    <t>不值这个价，差 好烦，计时的小盘指针归零后，根本没法对在0上，日期跳转的也不对，差评</t>
  </si>
  <si>
    <t>[郡是] 无钢圈文胸 太松，带子变形。</t>
  </si>
  <si>
    <t>还可以 177cm，75kg，穿m号稍稍长一点点，肥瘦合适。本人不喜欢修身款的。</t>
  </si>
  <si>
    <t>还不错 手感很柔软顺滑，就是稍微大了点</t>
  </si>
  <si>
    <t>无吸墨器 价格合理但无吸墨器 不方便</t>
  </si>
  <si>
    <t>物有所值 海淘很便宜，一百出头的价格。手表很不错，表壳和表带是合成材料的，表镜是玻璃的，十年电池。功能强大，100米防水，多时区，倒计时，多组闹铃，模拟表盘，灯光，静音模式等，满足一般日常使用。亚马逊自己的海淘，绝对信得过。</t>
  </si>
  <si>
    <t>有点短 稍微短了一些，建议买大一号</t>
  </si>
  <si>
    <t>神盾同款 神盾局同款，大爱，读取速度和写入速度也都还不错</t>
  </si>
  <si>
    <t>好看 手表已收到，很漂亮，开盒针就走，不知是不是真的，说明书是英语也看不懂没有办法查真伪，不过相信亚马逊自营商品</t>
  </si>
  <si>
    <t>980买的绝对值 980买的绝对值，声音中频稍有点凹，其他都很好</t>
  </si>
  <si>
    <t>如何选尺码 110斤  165cm small刚刚好，如果要当睡衣什么穿 ，可以买大一号  衣服也没有很惊艳的感觉 是全棉</t>
  </si>
  <si>
    <t>解析力强 价格比官方便宜好多，性价比超高。</t>
  </si>
  <si>
    <t>满意，质量好，价格实惠 象印的焖烧罐很满意，我并不是用来焖烧，只是用来盛汤和面条，保温效果很好，早上做的，到晚上还有温度，很满意</t>
  </si>
  <si>
    <t>太好了 换上这件裤子，又舒服又暖和</t>
  </si>
  <si>
    <t>评论还要标题 在e5和这货中间纠结了一段时间，看到899的神价还要啥e5呀，果断秒杀还用了10元券，实际889。音质总体满足需求，比原来的m200mk2清淡一些，听着不腻。开关音量调节在前面也很方便。底噪靠近30厘米挺明显，不过实际使用没影响。有个小问题，音量从最小开始往上调的时候，有一个点位主箱没声音，副箱有，过去这个点后又恢复正常。不知道是不是电位器有问题。换货挺麻烦的，先用着吧，希望能像m200一样造个七八年。</t>
  </si>
  <si>
    <t>给孩子用不错 给孩子用很好，，，，</t>
  </si>
  <si>
    <t>最好的价格 比门店便宜了一倍，经久的传统样式</t>
  </si>
  <si>
    <t>有生命的彩铅 以前有辉柏嘉绿盒和马可雷诺阿的油性彩铅，想尝试下美国的这个三福。下单一周收到了，马上试了一下，发现非常的软滑，非常适合图画阴影，颜色很自然，鲜艳里又带着柔和，饱满的色调又不显得突兀，画在纸上有种作梦般的手感，它是蜡基的，很软，然而有很容易叠色，可以叠色的不必担心的计算它的极限。它的画纸上的留痕上还散发幽幽奶油香，好像有它的生命。小遗憾是盒子在运输中两处凹伤，还有几只笔杆在隐隐的裂开，让人有些担心它们的未来。</t>
  </si>
  <si>
    <t>很喜欢 鞋跟合适，皮子挺厚实，透气性好。码子正常。</t>
  </si>
  <si>
    <t>精致 质量很好，款式新颖，设计也合理，有宝宝握住的地方。</t>
  </si>
  <si>
    <t>好用 需要配个转接头，声音不是特别大，好用</t>
  </si>
  <si>
    <t>大小合适，质量不错，发货一周，比预期要快 大小合适，质量不错，发货一周，比预期要快</t>
  </si>
  <si>
    <t>性价比很高 衣服感觉不错，值得推荐</t>
  </si>
  <si>
    <t>值得入 回购了几次 出牙损耗高</t>
  </si>
  <si>
    <t>挺好 容量大，保温好，可用久了感觉不太保温了〒_〒</t>
  </si>
  <si>
    <t>好 看了好久才下单的，给宝贝屯的，质量好，价格优惠。</t>
  </si>
  <si>
    <t>尺寸合适 这次买的尺寸刚刚好，U.K. 4.5,相当于36.5-37的样子，祈祷鞋底不要降解。</t>
  </si>
  <si>
    <t>稍微有点小 买的4.5的，平时穿耐克是36.5 NB是37，本来说puma鞋偏大所以买了4.5没想到还有点挤脚，而且鞋底稍微有点不舒服，不过也算是物美价廉了，就是等得好着急，我想给五颗星，但是给点成2个半了，好伤心</t>
  </si>
  <si>
    <t>潮一国际名品专营店的商品慎买 潮一国际名品专营店的商品慎买</t>
  </si>
  <si>
    <t>不锈钢生锈了 和预想的一样，性价比高，只不过这个304不锈钢一不小心生锈了，虽然锈的不厉害</t>
  </si>
  <si>
    <t>东西还行，就是退回关税退了4个月！！！ 东西一般，毕竟价格在这，多付的关税，4个月后才给退，不用原来的支付帐号了，还不能换帐号，也就是退回的关税也收不到。以后不是必要，不会在亚马逊买东西了。</t>
  </si>
  <si>
    <t>收到个二手的耳机 收到货，发现明显是旧的，盒子的密封胶带被撕开过，耳机的充电口明显有多次插拔的痕迹。德国佬不地道，劝大家最好别买了。</t>
  </si>
  <si>
    <t>感觉是假货 大失所望，首先号偏大但可以容忍，可是里外都掉毛真是惨不忍睹，我买过很多牌子的卫裤，包括高仿的从没出现这样的情况，感觉亚马逊卖的假货，赶紧下架吧</t>
  </si>
  <si>
    <t>版型舒适 版型不错的，但面料一般，容易起球</t>
  </si>
  <si>
    <t>我最想知道的是商品是质量好的真货。我最要提防的是汉奸欺骗。 商品与宣传的相符合，以后还会购买。</t>
  </si>
  <si>
    <t>质量一般；价格还算合理！ 168cm/77kg偏小！</t>
  </si>
  <si>
    <t>尚可！ 东西还可以，就是这表带有点操心，挂扣处太紧了，不知道一两年后还能不能这么结实！</t>
  </si>
  <si>
    <t>版型很好 真的版型超级好。所以穿着会很硬。码数挺正的。平时36/37买了37。稍微大一点点穿着比较舒服。鞋子显脚大</t>
  </si>
  <si>
    <t>好 很好用，刚开始抱着试试的态度</t>
  </si>
  <si>
    <t>氦气盘 买来nas用的，是氦气盘</t>
  </si>
  <si>
    <t>很舒服的鞋子 非常舒服的一双鞋，一如既往的结实，鞋底抓地牢固。刚刚穿着的时候，微微有些硬，一天以后就很舒服和贴合。</t>
  </si>
  <si>
    <t>国内能不能保？ 挺不错，一个星期快了三四秒左右，颜值高。国际保证书，国内不确定能不能保，得由北京验证，但售后给免费截了表链，总的来说还算满意</t>
  </si>
  <si>
    <t>穿着确实很舒服，很喜欢。 穿着确实很舒服，很喜欢。</t>
  </si>
  <si>
    <t>可以不错的衣服 厚度适中，适合在初冬或者春秋天使用，内部还有一层网状内衬。总体而言满意！</t>
  </si>
  <si>
    <t>运动鞋和商务衬衫 鞋的大小正合适，穿着比较舒服。</t>
  </si>
  <si>
    <t>赚了 尺寸合适，面料款式都不错。关键价格不错还送腰带，感觉赚了</t>
  </si>
  <si>
    <t>DT240Pro 唯一不足的是包装上破了一个洞，让强迫症的我好难受。</t>
  </si>
  <si>
    <t>为孟美岐下单！ 孟美岐#我爱礼#，山支大哥精心挑选的冷帽，必须get，亚马逊很给力，海外直邮很快就收到了，价格也很良心，会经常回购的！</t>
  </si>
  <si>
    <t>我终于有双NB鞋了 一直想要买双new balance 的鞋子，亚马逊价格非常合适，快递有点久，但是值得等待。品质我也相信，支持</t>
  </si>
  <si>
    <t>合适 很贴身的袜子，质量好，</t>
  </si>
  <si>
    <t>基本满意，蓝色不明显 &lt;div id="video-block-R363C07MBHFTHL" class="a-section a-spacing-small a-spacing-top-mini video-block"&gt;&lt;/div&gt;&lt;input type="hidden" name="" value="https://images-cn.ssl-images-amazon.com/images/I/81PbCGKJWLS.mp4" class="video-url"&gt;&lt;input type="hidden" name="" value="https://images-cn.ssl-images-amazon.com/images/I/91nJ9FFmqPS.png" class="video-slate-img-url"&gt;&amp;nbsp;请注意：实物的蓝色没有图片这么明显，普通光线下更像是暗灰色。家在北京附近，收货后强制收波成功，之后自动收波正常。是日本机芯，不是日本造。180g略重，大小啥的都好。</t>
  </si>
  <si>
    <t>非常不错的铅笔 这款铅笔很顺滑，书写流畅，非常不错，如果其他牌子用B的，这款只要用HB就可以了，小孩用的很好</t>
  </si>
  <si>
    <t>适用性强 这个超级适合3个月以上的宝宝，锻炼宝宝的抓握能力，同时满足宝宝咬的需求</t>
  </si>
  <si>
    <t>网购卡西欧手表 已经第三次在贵网站购买手表了。手表外观新颖霸气，本人十分喜欢，一次非常满意的网购体验。给五分好评！</t>
  </si>
  <si>
    <t>性价比很高 很不错，穿着合适，面料厚实，适合冬天穿，主要价格还便宜，比专卖店便宜的很多！照的不好</t>
  </si>
  <si>
    <t>大小合适 L号现在穿正合适，价格合适。</t>
  </si>
  <si>
    <t>利快MarcatoAtlas分体式原色压面条机150mm（意... Marcato 很完美的压面机收到立即开始做了面条～一点不沾按他的配方和面～做出来的面条很劲道～绝对是面食利器，我是用五档压的面片～太喜欢了，质感很好</t>
  </si>
  <si>
    <t>收到了 鞋是在实体店里试过才买的。跟店里的一样。就看穿过后怎么样了。</t>
  </si>
  <si>
    <t>便宜实用 家居用，大小不是重点，质地舒服，比睡衣好穿。</t>
  </si>
  <si>
    <t>很满意的一双老爹鞋 不显脚大 配色无敌少女了 就是鞋帮有点高了  不穿长袜会有点磨脚踝</t>
  </si>
  <si>
    <t>不推荐。 性价比低。皮质一般，透气性一般，鞋底应该是由于是PU材质，比以前的鞋硬不少。唯一让人感到欣慰的是，鞋的颜值保持了ecco一贯的丑的水准！</t>
  </si>
  <si>
    <t>PRO工作专用鞋？ 收到的鞋子外观有瑕疵（不是皮面像带有男人味伤痕的那种瑕疵，是真的瑕疵），还有PRO的感觉真的是适合工作专用的鞋，那粗旷又随性的做工，穿着脚感也没大黄靴那种舒适。平常穿的话以后还是安安心心买Timberland的，不带PRO的那种。个人本次购物感受，仅供参考。</t>
  </si>
  <si>
    <t>商品描述不全面 其实还不是最薄的那种，比较紧身，春秋天穿合适，商品描述不全面………</t>
  </si>
  <si>
    <t>太恶心了，欺负我付不起退货运费吗 没有标签，没有包装，还有股杀毒水还不知道洗涤剂的味道，穿都不敢穿，退回运费要160，真的是垃圾的没话说</t>
  </si>
  <si>
    <t>不要买太次了！ 打开有异味！掉色！洗过穿身上还有黑色的细末！太次了</t>
  </si>
  <si>
    <t>一如既往的喜欢 这个牌子的袜子是我穿过这么多品牌的袜子中最好穿的，没有之一。有个不好的地方是厚度标示没有，买了好几个厚度，没有标示难辨认</t>
  </si>
  <si>
    <t>商品香精放的太多了 商品香精放的太多，太香了，其他没什么</t>
  </si>
  <si>
    <t>经济型水牙线 买洁碧是冲着牌子，为了放心。之前用的是很大个儿的那款欧乐B，用很久换代一下。作为一款充电式水牙线，洁碧这款冲刷力度较小，但是冲击效果很舒适。异形的身材使得实际用于出差携带不是很好收纳。个人后来又买了一个国产未豆冲牙器，感觉比这款性价比高。推荐看一下。</t>
  </si>
  <si>
    <t>效果一般 吃了10多天还看不到什么变化，膝盖还是会疼</t>
  </si>
  <si>
    <t>好鞋 鞋子很好，就是42码怎么这样大</t>
  </si>
  <si>
    <t>品质上乘，德国原装 德国原装进口，外观漂亮，价格实在。亚马逊很棒！</t>
  </si>
  <si>
    <t>正常国外尺码 穿着比较舒适，透气性也还可以。并没有像有几款Lee的上衣那么宽松，而是正常合身，袖子比一般长袖略细一些，也可能是因为棉质比较多，弹性不如锦纶材质的，感觉小一些。</t>
  </si>
  <si>
    <t>碗很小，买之前要注意尺寸 挺好看的，就是买之前没有很关注尺寸，收到发现是那种很小的碗。这个大小这个价格，挺贵的啊</t>
  </si>
  <si>
    <t>外观漂亮，好用 外观漂亮，好用</t>
  </si>
  <si>
    <t>鞋子很棒 鞋子很棒，做工很好！超值！</t>
  </si>
  <si>
    <t>实惠 正品！大小合适</t>
  </si>
  <si>
    <t>perfect！ 完美！发货超级快，直邮5天就到了，德标插头不用转换。用了一阵子，感觉秒杀之前所有直板夹。赞赞赞！perfect！</t>
  </si>
  <si>
    <t>外观不错 就是味有点大，防盗但是自己拿就不那么方便了</t>
  </si>
  <si>
    <t>可以 不错，穿起来很舒服。</t>
  </si>
  <si>
    <t>虎牌不错，膳魔的不是假货就是不合格。 一次从日买了两个，这个虎牌的质量挺好，很轻，无味。但是另一个THERMOS 膳魔师 真空隔热不锈钢保温杯350ml 的质量就出奇的差，味道浓重，放置几天也没有用（不是假货就是次品），已经退货，但是好慢啊，天津仓库收到货快十天了吧，仍然没有联系，也不知道什么时候能退。</t>
  </si>
  <si>
    <t>不错，选对码满意 不错，36脚，选的big kid 4.5（W）完全OK～～😊😊😊😊就是压线不是跟成人版一样，是胶线款，内里是布不是皮，不过也可以啦，等价交换，又不跋山涉水</t>
  </si>
  <si>
    <t>好 衣服穿的好看，也合适</t>
  </si>
  <si>
    <t>正品 容量够，质量好，好评</t>
  </si>
  <si>
    <t>待机时间不错 时间长了有点夹耳朵，这个价钱对音质不能有太高的奢求……待机时间不错！</t>
  </si>
  <si>
    <t>喜欢铸铁锅！ 锅很棒！飘洋过海的来到身边，完好无损！就是把手内侧的珐琅单薄一些！</t>
  </si>
  <si>
    <t>做工 稍微有点大，做工不是很好</t>
  </si>
  <si>
    <t>特别喜欢特别合适！ 特别喜欢日亚的冠军</t>
  </si>
  <si>
    <t>盖子晃动，不漏水，保温效果好，方便 盖子有一点松，但目前没有发现漏水的现象，设计细节也都很贴心，保温效果不错，快递一周左右，总之很满意，会好好喝水哒</t>
  </si>
  <si>
    <t>好看 这价格还行了。质量也还可以</t>
  </si>
  <si>
    <t>实物很重，质量不错，还没开锅 实物很重，质量不错，还没开锅。目测没什么瑕疵。就是24cm其实没多大呀，还是26-28cm可能更适合炖肉？等特价再入手个28的汤锅吧。</t>
  </si>
  <si>
    <t>很好的睡袋 很好，宝宝也不反感。推荐</t>
  </si>
  <si>
    <t>很锋利 设计的很科学，刀刃很锋利，值得购买。</t>
  </si>
  <si>
    <t>颜色版型都跟描述有差异 图片是亮卡其色收到却是图片中的灰褐色，不过人家颜色名称确实是灰褐色，只能怪自己太相信亚马逊的图片展示了。版型也不像标题写的修身版，等了那么久就收到这样的产品太失望了。</t>
  </si>
  <si>
    <t>一般， 一般，性价比不高，还是实体店买的好。</t>
  </si>
  <si>
    <t>性价比极低 质量不理想，刚用了一个月就开裂了。想要退货了。</t>
  </si>
  <si>
    <t>质量做工太差 严重怀疑是不是真的从国外寄过来的，当时显示预计11月7号到货，结果10月29号今天就到了，质量跟地摊货差不多，做工太差，以后都不会在亚马逊买了。</t>
  </si>
  <si>
    <t>差评，辣鸡 质量非常差，图片和实物天和地区别。亚马逊官方也是乱来，乱扣会员费！</t>
  </si>
  <si>
    <t>很不错 还不错了，总体满意，虽然不是最优价格买的，唯一遗憾的不是红圈</t>
  </si>
  <si>
    <t>物有所值 总的来说不错，但是没想到这么秀气。</t>
  </si>
  <si>
    <t>有点紧 买的L-LL号，感觉有点紧不是很好提，而且屁股那块有点透，上身还是很舒服。</t>
  </si>
  <si>
    <t>(ｰ̀дｰ́) 笔盒有些破旧,估计有些年头了😑,但是笔写起来挺顺畅,水枪一只.笔尖有一点歪😒  但是！！！我下了订单的第二天就便宜了50RMB！！虽然没多少但是不爽啊！！！不爽！</t>
  </si>
  <si>
    <t>速度一般般 安装方便，但是不太清楚软件的使用</t>
  </si>
  <si>
    <t>物有所值 &lt;div id="video-block-R1RNRQ2PZTBLJ" class="a-section a-spacing-small a-spacing-top-mini video-block"&gt;&lt;div tabindex="0" class="airy airy-svg vmin-unsupported airy-skin-beacon" style="background-color: rgb(0, 0, 0); position: relative; width: 100%; height: 100%; font-size: 0px; overflow: hidden; outline: none;"&gt;&lt;div class="airy-renderer-container" style="position: relative; height: 100%; width: 100%;"&gt;&lt;video id="7" preload="auto" src="https://images-cn.ssl-images-amazon.com/images/I/91QKJTwcVSS.mp4" style="position: absolute; left: 0px; top: 0px; overflow: hidden; height: 1px; width: 1px;"&gt;&lt;/video&gt;&lt;/div&gt;&lt;div id="airy-slate-preload" style="background-color: rgb(0, 0, 0); background-image: url(&amp;quot;https://images-cn.ssl-images-amazon.com/images/I/A1zvBvQMopS.png&amp;quot;);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center;"&gt;0:15&lt;/div&gt;&lt;div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 style="width: 41.1499%;"&gt;&lt;/div&gt;&lt;div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value="https://images-cn.ssl-images-amazon.com/images/I/91QKJTwcVSS.mp4" class="video-url"&gt;&lt;input type="hidden" name="" value="https://images-cn.ssl-images-amazon.com/images/I/A1zvBvQMopS.png" class="video-slate-img-url"&gt;&amp;nbsp;整体感觉很好，和预想一样，休闲旅游都不错，好鞋，舒适。</t>
  </si>
  <si>
    <t>整体满意 材质做工一流，号码也很准确。就是略显脚宽</t>
  </si>
  <si>
    <t>一如既往的好！ 正品！</t>
  </si>
  <si>
    <t>很不错的产品 包装很严实，非常好，就是时间有点久，差不多有10来天吧</t>
  </si>
  <si>
    <t>Fast delivery, very good product, thank you! Consistent with the description.</t>
  </si>
  <si>
    <t>国外的衣服号不是都偏大吗 衣服有点偏小了</t>
  </si>
  <si>
    <t>老的过滤壶加新的滤芯效果 该产品主要是获得更有质量保证的饮用水。目前还没有使用，因为原来购买的未用完，现在只是备用，待使用后评价新的品质。</t>
  </si>
  <si>
    <t>很满意 年轻态  衣料好  款式好看</t>
  </si>
  <si>
    <t>适合大鸡鸡的内裤，哈哈 很合身，不错的内裤，小弟弟很舒服</t>
  </si>
  <si>
    <t>供参考 脚长24，平时穿37、38，纠结完选择了37.5，脚背较高，选这个码合适，价格实惠加税418入，鞋型经典上脚秀气好看</t>
  </si>
  <si>
    <t>保温好 质量超级好，轻，保温也超级好，温水可以放一天</t>
  </si>
  <si>
    <t>划痕 右脚鞋子明显被试穿的痕迹，有一道三厘米划伤，还有一处凹陷，太麻烦也懒得换了</t>
  </si>
  <si>
    <t>太好用了，这个真是超级高的性价比。 感谢亚马逊带来超级好的购物体验，非常非常好用的水龙头，每天洗澡都是一种快乐。谢谢！！！！</t>
  </si>
  <si>
    <t>尺码要注意一下，偏小 衣服质量不错 我身高162体重110 买的S号，结果根本纽扣扣不上。 S号的肩膀大约一尺多的样子。 买的时候建议看一下尺码表。</t>
  </si>
  <si>
    <t>特别好 买大了😬弹力非常大，腰围特别肥，下回一定要买小两码的</t>
  </si>
  <si>
    <t>焖烧杯 之前买过象印的产品，所以看到就又买了，还是很不错的产品，闷烧锅，我喜欢的，特爱收集此类家庭厨房的小东西~</t>
  </si>
  <si>
    <t>东西我很喜欢 声音很自然，基本没音源，佩戴非常舒服，我是带上了，就不想摘下来。有HIFI要求的不推荐</t>
  </si>
  <si>
    <t>东西不错，价格实惠。 东西不错，价格实惠。</t>
  </si>
  <si>
    <t>174，70kg，合身 内有网夹层，适合20度以上的气温。 174，70kg，合身</t>
  </si>
  <si>
    <t>非常有用 我这几年时不时会犯滑膜炎，医院也开过药，去一次医院几千块钱。后来吃这个，本来以为就是保健品，没想到真管用啊</t>
  </si>
  <si>
    <t>大大大大 衣服本身品质还有性价比是没有问题的～～真的是很大～～以后要多做功课再出手</t>
  </si>
  <si>
    <t>好评 法国原装，制作精良</t>
  </si>
  <si>
    <t>尺寸有变化 买了32x30和33的好几条，这一条裤子的尺寸是最不标准的，首先裤长比33x30的长，臀围其实是33的，这是怎么回事？</t>
  </si>
  <si>
    <t>没有真皮鞋垫，不能给好评 外观就是经典的S7，还是比较喜欢的。但是为啥不是真皮鞋垫呢。头一次遇到不是真皮鞋垫的ecco，舒适性大打折扣。难道还让顾客再单买鞋垫不成</t>
  </si>
  <si>
    <t>透气，可是质量不高 容易开线，线头不少</t>
  </si>
  <si>
    <t>雅灰限量款吗？ 雅灰限量款！咋跟人家限量款不一样，头箍那人家限量款也是灰色，我收到咋是黑色！而且只有两根线！你知道真假啊……2017年的货！真晕，价格算下来也比国内电商差不多了...这次挺失望的...唉... ...</t>
  </si>
  <si>
    <t>不建议购买 极其不舒服。建议不买。感觉设计有问题。但是之前买的不是这样，假的？已经扔了</t>
  </si>
  <si>
    <t>表带11个月就坏了 购买后表带11个月就断了，网上搜索很久找不到相同表带及型号。</t>
  </si>
  <si>
    <t>差评 很糟糕，用了才一个月就坏了，然后现在客服人员告诉我亚马逊是销售方，不是产品方，没有办法提供解决方案！店大欺客1勉强写的一颗星</t>
  </si>
  <si>
    <t>很增高 就一鞋盒，标签都没一张。两只鞋皮革完全两种风格，一只皮很软很皱，另外一只很正常。</t>
  </si>
  <si>
    <t>雨衣似的面料 根据亚马逊自己智能推荐给的码数来选会偏大。但穿上挺好看的，面料还凑活，能当雨衣穿，防雨防风。主要还是便宜啊！并且亚马逊有保障，保真最重要。</t>
  </si>
  <si>
    <t>看上去还行 有弹力很正常。不肥大粗犷而已，稍收敛没修身。 腰围臀围腿围没有不宽松的。一点不紧，但也不松垮难看，版型设计的不错。 —————————————————————————————————— 这牌子从衬衣开始就一贯偏大——比通用的美码还大半码。 比方说，国内裤子32的，美码裤子31正好。这个31的里面塞毛裤都行。 再如，衬衣美码M的，腰围32~34左右，就他家S码接近32了。</t>
  </si>
  <si>
    <t>太硬 健身腿粗的我觉得很紧，虽然已经买大了一号。下次不敢买这种很硬的面料了。比牛仔裤还硬。适合大腿细一点的人穿。</t>
  </si>
  <si>
    <t>不错 质量挺好的，拉链ykk，第一次中亚买东西，还好没翻车，刚买涨了100软妹币</t>
  </si>
  <si>
    <t>超好用！ 这个牙刷是今年买的感觉最超值的东西之一了 本来老公给我算了一笔账，买这个牙刷的钱可以买普通牙刷刷一辈子了，可是我还是忍痛买了 原因是，孕期喝铁元牙齿被染色黑的跟个鬼一样，拍孕照都不敢张口，平时怎么用力刷牙都没用 这个牙刷才用了一个星期，黑色去掉了80%，起码省掉了我跟老公出去洗牙的钱呀，简直太开心[嘿哈][嘿哈][嘿哈][嘿哈]良心推荐！！</t>
  </si>
  <si>
    <t>很满意 做工很好，面料舒服，不是很厚实的那种，穿在身上很轻巧。158厘米，55公斤，L号很合适。</t>
  </si>
  <si>
    <t>可爱性价比高查理布朗迷收藏物 &lt;div id="video-block-RELKPLRGU8D7N" class="a-section a-spacing-small a-spacing-top-mini video-block"&gt;&lt;/div&gt;&lt;input type="hidden" name="" value="https://images-cn.ssl-images-amazon.com/images/I/71UEeeX1d2S.mp4" class="video-url"&gt;&lt;input type="hidden" name="" value="https://images-cn.ssl-images-amazon.com/images/I/71djzBBUGPS.png" class="video-slate-img-url"&gt;&amp;nbsp;性价比极高...便宜到死居然那么好看就是版型适合手小的手大的肯定带不上去的！反正就是非常可爱</t>
  </si>
  <si>
    <t>水龙头接头不匹配 东西收到，但不能用，接水龙头的接头是英制的，国内没法使用。</t>
  </si>
  <si>
    <t>锅很轻，很好用 包装真简陋，锅子真漂亮，重量非常轻，炒菜特好用。</t>
  </si>
  <si>
    <t>买给老妈，老妈很喜欢 东西不错，就是包装简陋，就一层牛皮纸箱子，还好东西没有损坏。老妈很喜欢。</t>
  </si>
  <si>
    <t>愉快的购物 超值惊喜</t>
  </si>
  <si>
    <t>一直穿wrangler 比Levi's性价比高，比lee有个性。布料厚实，耐磨，舒适。</t>
  </si>
  <si>
    <t>尺码略小 品质不错，柔软。尺码略小</t>
  </si>
  <si>
    <t>舒适感强 第一次买其乐的运动鞋！之前都是皮鞋，单鞋，真的舒适感很强。推荐！</t>
  </si>
  <si>
    <t>味道可以 物流前后十天到上海，可以接受。草莓味道很清淡也不甜，是我喜欢的款，好评</t>
  </si>
  <si>
    <t>质量不错 全棉布料的跨栏背心，质量正常</t>
  </si>
  <si>
    <t>厨师机 1000瓦，图上的配件都有，还没用，英标插上转换插头应该就能好用。很漂亮，很精致，揉面应该耐用</t>
  </si>
  <si>
    <t>final e3000极具性价比！ 好耳机，价格便宜，300不到就买到了，声音真的还不错，卖500档次都完全没问题！睡前使用，上街使用都合适</t>
  </si>
  <si>
    <t>舒适，合脚 样式很可爱，码数稍偏大，这双过两个月应该可以穿了，三分之一处很容易弯折，便于宝宝走路，满意</t>
  </si>
  <si>
    <t>还不错 牛仔夹克还可以，男士176/75公斤，穿l合适</t>
  </si>
  <si>
    <t>很满意的一款腰带 最近超粉始祖鸟，一下买了很多东西，这款腰带适合休闲时穿，做工不错，穿着很舒服。</t>
  </si>
  <si>
    <t>建议大两码 做工不错，价格实惠，32腰围大一码买的34，扣第二个扣眼太紧，第一个扣眼可以，还是建议大两码买。</t>
  </si>
  <si>
    <t>一直在吃这个 一直在吃这个，大牌有保证吧</t>
  </si>
  <si>
    <t>奶瓶很好，硅胶耐摔 同事买过，就要了网址拍了一份，送给即将出生的小外甥。硅胶奶瓶抗摔，能用好久。几乎没有气味，很喜欢。</t>
  </si>
  <si>
    <t>满意的一次购物 平时穿耐克阿迪的话 买小1到2号就可以了 很帅 快递很快 不到一周就到了 上面预计时间比较长…… 应该是正品吧 亚马逊的海外放心！</t>
  </si>
  <si>
    <t>完全没有任何包装，几个杯子就裸着防在同一个纸箱，互相磨损了。 完全没有任何包装，几个杯子就裸着防在同一个纸箱，互相磨损了。  如果不是海淘退货麻烦，就不要了。  最后还是留下了。  不如Thermos Foogo的杯子，那个是有简单包装的。</t>
  </si>
  <si>
    <t>没买就别买了，买了也别退了 不好看，尺码略小，或许是款式的原因，退货的运费就125退不退也没多大意义，到底是没听网友的话，还是买了，买了就后悔了。品质真的很差</t>
  </si>
  <si>
    <t>一般般 还没吃，不知道效果如何； 但是包装很一般般，纸箱送到的时候都压的不成样子了，装蛋白粉的瓶子也被挤扁了，瓶子一拧就开，没有任何防护，不知道在运输的过程中有没有受潮；</t>
  </si>
  <si>
    <t>不支持网络功能 黑五买的，次日即跌价客服回复不支持保价，试问黑五促销的意义何在？收割韭菜？ 关于产品：只能备份本机上的数据，在共享时代，一台电脑的数据备份是不够的，理应要有一个网络备份概念即可以内部局域网上的所有数据！另外该设备也不支持很多路由器的即插即用，家里如有多台电脑只能不断得插拔！</t>
  </si>
  <si>
    <t>尺码对照表和工具数据都是错误的 &lt;div id="video-block-R5TU1L34TNG98" class="a-section a-spacing-small a-spacing-top-mini video-block"&gt;&lt;/div&gt;&lt;input type="hidden" name="" value="https://images-cn.ssl-images-amazon.com/images/I/815PYYxnlSS.mp4" class="video-url"&gt;&lt;input type="hidden" name="" value="https://images-cn.ssl-images-amazon.com/images/I/B1b5pWwBzKS.png" class="video-slate-img-url"&gt;&amp;nbsp;衣服本身质量没啥可挑剔的。  但商品尺码完全是大坑，犯了海外购大忌，这种尺码不合适退货算谁的？  L按尺码对照表胸围是106cm，实测128cm！  输入身高体重胸围，工具也建议说70多%人选择的L码。</t>
  </si>
  <si>
    <t>掉了一小块 买回来打开就发现掉了一小块，这东西是铁的很坚硬，不知道怎么磕碰的，也搞不懂为什么新话筒为什么会这样！</t>
  </si>
  <si>
    <t>实用。 蛮好的，夏天蛮实用。</t>
  </si>
  <si>
    <t>无 再大点点就更合适了</t>
  </si>
  <si>
    <t>海淘，有风险。 真的很忧伤很忧伤，硬盘坏咯，亚马逊说因为时间有效期过了，不能够协助办理调货，国内售后因为不是中国境内卖出的，也不给售后，然后 呵呵哒，没法维修。。。</t>
  </si>
  <si>
    <t>长版的 啊，我155，47kg，穿上大小还可以接受，有我要的垮的感觉。缺点是太长了，而且前面有口袋，厚厚的堆在那里，不太好看。</t>
  </si>
  <si>
    <t>一天一块钱/宝宝 方便，每滴含量比一般多一半，以前400IU/滴的，都是喂2滴，这个1滴搞定。</t>
  </si>
  <si>
    <t>轻巧方便 特别轻巧，随身装在包里，随时都能喝上热水，特别是大冬天外出时真是太棒了</t>
  </si>
  <si>
    <t>挺好的。 还不错，适合秋季穿。大小合适</t>
  </si>
  <si>
    <t>99分，那1分不给怕骄傲～ 老婆大人的完美添置 大小合适，款式中意，简直完美～</t>
  </si>
  <si>
    <t>博朗的东西就是好看 博朗的东西就是比较简约，送人用的，朋友特别喜欢，石英走时也精准 包装也不错</t>
  </si>
  <si>
    <t>性价比好 质量和防水真的没有话说，就是使用说明看不懂，表带的质量有待之后验证</t>
  </si>
  <si>
    <t>促睾产品 为了促睾，刚开始吃，希望吃了后精神好。</t>
  </si>
  <si>
    <t>好看！ 身高180体重140，肩膀稍微宽，穿起来刚好不大不小。给你们做个参考。面料是薄的，美版的我穿M，日的比较小，穿大一码的就够了。</t>
  </si>
  <si>
    <t>鞋质量很好，尺码偏大 鞋子质量很好，唯一遗憾的是尺码偏大一码到一码半，鞋底柔软，做工也不错，很喜欢。</t>
  </si>
  <si>
    <t>手感好 笔本身比较沉，握在手里很稳，写字流畅，舒服。推荐</t>
  </si>
  <si>
    <t>大而美 好东西，速度快，质量稳定，容量大而美！</t>
  </si>
  <si>
    <t>一级棒 有腔调的产品。舒适合脚又百搭。</t>
  </si>
  <si>
    <t>手柄套子做工好 比我想象中大点，胶皮套子比柄长点，里面有条条齿防滑，比把手长点，可以隔热。 略有点沉，小两口应该8英寸（能摊两鸡蛋）就够了，能轻点。</t>
  </si>
  <si>
    <t>看着像正品的样子…走线还行。。 挺薄的，透气  海外直邮挺快的，8天就到了。</t>
  </si>
  <si>
    <t>好顶赞 现在下载的资源越来越大，原先配2t的硬盘远远不能满足 这个10t在5年内完全够用了 声音安静，刚通电运行的时候有点滴答声，后面就很安静了</t>
  </si>
  <si>
    <t>舒适 码数很正，质地柔软，舒适</t>
  </si>
  <si>
    <t>好的 用了感觉还是不错的</t>
  </si>
  <si>
    <t>日版感觉不错 非常适合</t>
  </si>
  <si>
    <t>完美的理发工具，匈牙利产的 非常适用，特别是可旋转刀具头，可以个人剃头修边，匈牙利产的，棒！</t>
  </si>
  <si>
    <t>很好的衣服 这是个外套，里面有一层绒，有一定的保暖性，领子部分里面加了一层薄棉。介绍可以防水，我觉得不像防水面料，等下雨天试试。春秋穿挺好。</t>
  </si>
  <si>
    <t>这衣服太娇气了，只能穿三次 老妈洗了一次就领口完全变形了。</t>
  </si>
  <si>
    <t>很挤，建议买大1个号 脚长265，买的9码，270脚长，但是前面太挤了，穿了两天挤的脚巨疼，放到一边吃灰了。</t>
  </si>
  <si>
    <t>太大，低于一米七的女孩不要买 大大大大，主要是袖子直径太大了。167，58公斤，属于肩宽的体型，平时穿国内男款170号无压力的我，觉得这个都过大了。质量很一般，能看到明显线头，当然这个价格也就这个质量了。主要是尺码，女孩子买要慎重啊！</t>
  </si>
  <si>
    <t>牛仔裤问题反馈 有如下问题:1、实际颜色和商品图片完全不一样，没有水洗效果，颜色也深很多。2、褪色，严重褪色，洗出来一盆一盆的水都是深蓝色的水。3、码偏大，裤型偏宽。</t>
  </si>
  <si>
    <t>质感还可以，就是质量担忧 拆开发现有一条压线没压到，有个口子</t>
  </si>
  <si>
    <t>很失望 这是第一次在亚马逊购买用品 感觉很失望 先不说商品本身怎么样  首先发货就没有质检 这么远给我发来一件次品  商品本身也是差的不能再差  一碰就一个痕迹  还以为在这里能买到好货  真是够了。</t>
  </si>
  <si>
    <t>平时买啥腰围就买啥 1.）187 85  2尺七的腰，平时买的34号裤子，2.）买的33*32 腰围偏小，长短可以，但是有弹力可以穿 3.）和我上大学时候买的唐狮的175/84A 33尺码的裤子一样。但是现在明显腰小了点 结论:再买大一个尺码好了，多大腰买多大裤子，裤长可以测量一下。注意是内侧裤长，给大家个参考</t>
  </si>
  <si>
    <t>大了送人了 m最小码都大很多，不是胖子别买了，注意只是美码。</t>
  </si>
  <si>
    <t>酸但是不会过敏的完全水解奶粉 我家宝宝鸡蛋过敏++，牛奶过敏++++，孩子很可怜，各种不能吃。这款完全水解奶粉喝了不过敏，总算是可以补充点营养了。可是宝宝喝了一口怎么也不喝，我自己试了下，全无奶香，也不甜，更要命的是，还很酸。这个是氨基酸的味道，所有的氨基酸奶粉都这味道吧。无奈。买了白糖加入其中，还是要哄着宝宝一点点喝，虽然艰难，还是高兴的。相比各种海外代购，还是更相信美亚直邮，品质和日期都有保证。有需要的，还是建议先少量购买，确定能吧这个味道调整到宝宝能接受，再多买。免得买了宝宝不吃又浪费。</t>
  </si>
  <si>
    <t>挺合适的 鞋子款式很好看 就是鞋面有一点点划痕 但是瑕不掩瑜 不错</t>
  </si>
  <si>
    <t>书写顺滑 书写顺滑。 质感稍差偏轻，感觉档次不高。最大的问题是只带一支一次性墨水胆，用完后还要另购匹配的上墨器才能继续使用。</t>
  </si>
  <si>
    <t>95真的划算的 好合适，95抢购的。基本款，说不上有多好，就喜欢，国内可是很贵的</t>
  </si>
  <si>
    <t>很完美!喜欢！不错！ 很完美!喜欢！不错！</t>
  </si>
  <si>
    <t>囤货中，手感很错 蘑菇颜色很漂亮，摸起来很有手感，质量不错。正给宝宝囤货中，希望宝宝出生后喜欢。</t>
  </si>
  <si>
    <t>非常好 绿色的非常漂亮，做工也很精细</t>
  </si>
  <si>
    <t>2代的音质棒极了！ 好极了！这音箱听起来好好听！比好多无源音箱的音质都好很多！</t>
  </si>
  <si>
    <t>完美 鞋标uk4.5 eur37.5  ，平时38脚穿起来很合适</t>
  </si>
  <si>
    <t>奶瓶 囤货中，快递10天吧，还行，奶瓶没有其他的味道，握感也不错，朋友介绍的，很喜欢！</t>
  </si>
  <si>
    <t>很轻便 很轻便</t>
  </si>
  <si>
    <t>很好 快递特别快，很划算。</t>
  </si>
  <si>
    <t>不错！ 材质版型非常好！175cm，80kg，上身壮，尺寸正合适！</t>
  </si>
  <si>
    <t>包装不错 商品不错 包装不错 商品不错  料子也挺舒服的</t>
  </si>
  <si>
    <t>说明书还需要仔细看 不错，就是好多设置还没搞定</t>
  </si>
  <si>
    <t>东西还不错，价格也不错 东西还不错，价格也不错</t>
  </si>
  <si>
    <t>推荐 已经用过两瓶了，对调节血脂有效果！</t>
  </si>
  <si>
    <t>已购买 一直就在用，很好</t>
  </si>
  <si>
    <t>好 号码偏小</t>
  </si>
  <si>
    <t>很喜欢 很满意，还可以单独调日历哈哈，虽然只是单向，以前都是直接调时间，那个累呀</t>
  </si>
  <si>
    <t>心心念念的锅终于到手了。 非常满意，颜色是我喜欢的，第一次做了剁椒鱼头，非常方便，做好了直接上桌就可以了。</t>
  </si>
  <si>
    <t>尺寸偏大 腰部过于肥大 穿上后容易掉</t>
  </si>
  <si>
    <t>很好 本来是40的脚以前买7号的脚面有点紧  这回买了7.5号的穿上很舒服</t>
  </si>
  <si>
    <t>奶头有点偏长 宝宝不怎么爱吃，适合大一点的宝宝</t>
  </si>
  <si>
    <t>做工不错，材质舒服 很好的一件牛仔服，送老婆，好评如潮、</t>
  </si>
  <si>
    <t>量足1200L，直接装龙头上，很好用 很好呀，上一个朋友从德国带回用了一年半。旋在龙头部位坏了，这个新买的，装上很好用，跟朋友带回的一样一样的。同期买了4个替换装。这下不用每次再麻烦朋友啦。</t>
  </si>
  <si>
    <t>还好 鞋面容易脏  发白</t>
  </si>
  <si>
    <t>大家都没有吊牌吗 略大，而且没吊牌的是什么鬼？</t>
  </si>
  <si>
    <t>质量一般 国内海澜之家的水平，没有任何惊喜。</t>
  </si>
  <si>
    <t>次品 一看就是假货，懒得退了！</t>
  </si>
  <si>
    <t>不是美国直邮，是香港免税仓发货 页面显示美国直邮，收到后扫描二维码发现是香港免税仓发货，真假不确定，还不给退货，买多大时候要小心</t>
  </si>
  <si>
    <t>推荐 收音很好，性价比不错，但是底座做工略粗糙，像路边的地摊货，好在功能都有了也还不错</t>
  </si>
  <si>
    <t>总体来说值得入手 质量好，暖和。有范儿，好看。就是有一点，后摆太短，春天无所谓，冬天可能会冷。减掉一颗星。</t>
  </si>
  <si>
    <t>包装太简陋了 一个纸箱子揣着口锅漂洋过海就来了....连抗震的塑料泡膜都没有放......看给磕的....幸好没磕裂。。。勉强收下吧-.-</t>
  </si>
  <si>
    <t>质量靠谱 质量很不错，硬盘有够大的噢</t>
  </si>
  <si>
    <t>很舒服 很舒服，没有束缚，价格也实惠。</t>
  </si>
  <si>
    <t>合适，实惠 鞋子收到，马上试穿了，很合适</t>
  </si>
  <si>
    <t>拼单买的，相信日亚自营保真。 包装只服日亚，商品效果可以聊胜于无，但包装是始终出色的。</t>
  </si>
  <si>
    <t>什么面料 质量手感都很好，穿着贴身很舒服173-140穿m</t>
  </si>
  <si>
    <t>性能 很好用，推荐给朋友，一共买了5个</t>
  </si>
  <si>
    <t>值得购买 一脚试进去就知道是正品，压脚背的那种感觉是他家独有的，非常漂亮，价格也非常漂亮，买了一周后收到，速度很快</t>
  </si>
  <si>
    <t>体验 不错质量好而且有替换管</t>
  </si>
  <si>
    <t>维骨力 价格实惠，东西好~~~</t>
  </si>
  <si>
    <t>颜色很自然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</si>
  <si>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材质很好，大小也合适 材质很好，大小也合适</t>
  </si>
  <si>
    <t>喜欢 很好  很喜欢  先给孩子囤的  要是有配件就好了</t>
  </si>
  <si>
    <t>满意 还是比较满意的$44.95买的，超市品质。</t>
  </si>
  <si>
    <t>这个相当划算啦！ 这个相当划算啦！10支装用到现在还没有用完，挺好用的。很喜欢！</t>
  </si>
  <si>
    <t>这款商品值得入手 作为新手可以入手这款，这款耳机性价比比较高，没有听诊声音，耳机精美细致，耳麦按键兼容安卓系统。我买耳机也是搜索了好久，最终决定买了这款，挺喜欢，</t>
  </si>
  <si>
    <t>合适 运动鞋穿43号，这个买的42号正合适</t>
  </si>
  <si>
    <t>鞋子很舒服 平时穿运动鞋40，买了uk6（39.5），穿厚袜子正好，鞋子是瘦长型的，确实显大，不过很轻，皮子也很软，穿着舒服，很满意</t>
  </si>
  <si>
    <t>鞋前脸偏窄 鞋没啥问题就是鞋型前脸偏窄，给大家提个醒。</t>
  </si>
  <si>
    <t>很好，软硬适中，满意 很好，软硬适中，满意</t>
  </si>
  <si>
    <t>很漂亮 质量很好  大小合适  价钱便宜</t>
  </si>
  <si>
    <t>真心的不错 质量不错，造型漂亮</t>
  </si>
  <si>
    <t>质感很不错，设计简约 质感很不错，设计简约。 发货也挺快的。赞。</t>
  </si>
  <si>
    <t>不好喝 乳化剂太多，太稠就导致泡不开。太甜，那种很腻的感觉，恶心。以后不会再买了。</t>
  </si>
  <si>
    <t>奶嘴头好大 奶嘴头好大，宝宝一点都不喜欢</t>
  </si>
  <si>
    <t>脚踝包裹性不好。 昨天收到的货，鞋面很软，鞋底也很舒服，但是脚踝处缺乏包裹性，对我这样喜欢运动的人来说，不是很合适，只能遗憾的推掉，重新再选一双。</t>
  </si>
  <si>
    <t>不怎么 物流速度挺快， 便宜，品质一般般，没有以前用的西铁城应有的品质，就像地摊货一样，没有质感，也没有手感，便宜没有好货</t>
  </si>
  <si>
    <t>尺码不准 明明拍的是英码5号，发来的是根本不是！我怀疑就是乱发货，退货很麻烦，只能送朋友了。</t>
  </si>
  <si>
    <t>滤芯出水有明显沉淀颗粒 以前用的2500，这次有明显沉淀</t>
  </si>
  <si>
    <t>衣服偏大 中国人购买时需与正常号码小两号购买，衣服偏大，质量还行</t>
  </si>
  <si>
    <t>好评 还不错的购物，比国内要便宜很多，质量也不错！</t>
  </si>
  <si>
    <t>还算小巧精致，不过挂扣那边的塑料，能撑多久呢，要是做成类似金士顿那样金属一体化，不是更好么？ 速度也还行。 还算小巧精致，不过挂扣那边的塑料，能撑多久呢，要是做成类似金士顿那样金属一体化，不是更好么？</t>
  </si>
  <si>
    <t>非常合适！ 我身高178cm，体重约84kg，常健身，腿粗。我选择本款裤子36W*30L的尺码非常合适，供其他消费者参考。</t>
  </si>
  <si>
    <t>不错，喜欢，吃完考虑继续购买 味道好，吃起来很方便，一家人可以一起吃！</t>
  </si>
  <si>
    <t>好物！ 很有性价比的鞋子！脚长250毫米买了uk7，稍微大一些穿厚袜子应该正好！喜欢穿薄款袜子的话应该uk6.5就可以了！鞋子外观及做工及皮质很不错！价格不贵值得购买。另外这双鞋是防水鞋。</t>
  </si>
  <si>
    <t>Casio F-108WHC-7ACF 不知道电池能用多久。</t>
  </si>
  <si>
    <t>太漂亮了 太漂亮了！方便快捷。</t>
  </si>
  <si>
    <t>还不错 质量什么的还可以，做工稍微有点瑕疵，但没大影响，此鞋适合脚型偏瘦的人，脚胖者请绕行！</t>
  </si>
  <si>
    <t>非常满意 这个比国内版本好用很多，刷完的碗和玻璃杯都特别的亮！</t>
  </si>
  <si>
    <t>超级好用的漱口水 超级好用，一直用这个漱口水，虽然有点小贵，但是对得起这个价格，用的非常舒服，以后也会一直用</t>
  </si>
  <si>
    <t>味道酸咸！ 买了一罐，原以为宝宝不会喝，毕竟味道怪怪的。没想到他居然喝的津津有味。后续要大量购买了</t>
  </si>
  <si>
    <t>断奶神器 非常不错。宝宝喜欢吃这个奶瓶。断奶神器。</t>
  </si>
  <si>
    <t>吸管杯 听说象印保温杯做工比较好，而且只有这款是吸管杯。在别的网站上看这款杯子评价不错就买了两个。希望在亚马逊买的比代购靠谱。</t>
  </si>
  <si>
    <t>和描述的一样 超市里去买个50元的背心不如买这件了</t>
  </si>
  <si>
    <t>还好 36脚，单鞋穿6bm，厚靴子穿6.5。这双怕小买了4uk，是夹皮靴子所以大了，37脚的人试穿合适，我应该买3.5uk。鞋底虽然硬质但内部较软，穿着舒适。靴筒也比较松，不磨脚。鞋型侧面好看，正面显得太长。</t>
  </si>
  <si>
    <t>满意 东西很有质感，很满意。</t>
  </si>
  <si>
    <t>尺码合适，质量不错，性价比高 本人身高175，体重75KG，M码正好合适，买的时候以为是薄外套，收到了才知道是夹棉的，产品展示不清晰，这是亚马逊需要改进的地方，衣服线头有点多，中国制造</t>
  </si>
  <si>
    <t>其实不错 评论里有说不是真正CITIZEN的，确实是旗下Q&amp;amp;Q的没毛病 手表很轻（表镜为合成树脂，表带为国产不锈钢），因此带上去比较舒适 整体外形不错，表盘为黑色，如果是蓝色的就更好了，简洁大气，很满意</t>
  </si>
  <si>
    <t>爽朗购物 质量很好，正品，在亚马逊上买爱步真牛</t>
  </si>
  <si>
    <t>买了第二条了 中腰的裤子，材质舒适，</t>
  </si>
  <si>
    <t>喜欢的 喜欢穿宽边的，舒服！</t>
  </si>
  <si>
    <t>除了有点贵，其他都好 虽然有点小贵，但质量，做工都很好。这个款确实偏小半码，而且鞋底是收脚型。脚宽的注意了。皮料质感厚实，而且还很轻。防滑，减振，透气都全面。防水效果暂未知。是登山徙步的不二之选！值得推荐！</t>
  </si>
  <si>
    <t>舒服 很舒服，合脚，就是稍稍有点大</t>
  </si>
  <si>
    <t>值得购买 包装很结实，杯子也没有异味。很好</t>
  </si>
  <si>
    <t>不满意 这个鞋质量很好，但鞋码偏大至少在1-1.5码，客服告知不能换只能退，但未告知不能退关税等。退货的结果就是鞋没得到却损失了170元，很不满意。下单需谨慎。</t>
  </si>
  <si>
    <t>比预期小 一般美码衣服穿M码合适。但这款稍微有点小</t>
  </si>
  <si>
    <t>不是很合适，不贴合，背部也不是很舒服。很失望 不是很合适，不贴合，背部也不是很舒服。很失望</t>
  </si>
  <si>
    <t>残次品 鞋面一堆坑，退货麻烦，懒得退了</t>
  </si>
  <si>
    <t>亚马逊上不再买有售后的产品 我这U盘从收到只用了两次，第二次就坏了（有提示），我联系了客服，让我寄回美国，鉴定后会赔我快递费。也就是说买家在美国鉴定我在中国听消息，搞不好又贴里快递费了。</t>
  </si>
  <si>
    <t>辣鸡货 差评，臀围过小，面料垃圾得一批，国内某些20+短袖秒杀美国冠军</t>
  </si>
  <si>
    <t>价廉物美 重庆，星期一订，星期四早上拿到，外包装还行，打开包装，保证书、发票看起来正宗，实物表盘跟照片一样很好看，简洁清晰，但是皮表带看起来确实太休闲了。</t>
  </si>
  <si>
    <t>太甜 太甜了，不晓得有没有效果。先试试吧</t>
  </si>
  <si>
    <t>没有包装直接贴了一个快递标签就寄过来了牛批 海外购和美亚转运各买了2块，发现拆出来的盘标签不一样，塞nas里面海外购的2块盘110m/s转运回来的2块有150m/s，速度差的有点多不知道为什么</t>
  </si>
  <si>
    <t>不错 加上税200不到入手。面料单层，不是厚重那种，女孩子160正好穿，肩膀宽一点穿就比较合适，适合运动体形。孩子说学校穿champion的可多，大众款。</t>
  </si>
  <si>
    <t>防水保暖挺不错。 耐克篮球鞋穿43到43.5穿这9.5M后跟还能插入半个手指的空间。穿上厚袜子估计正好。收到上海正好雨天，穿着出去玩了半天里面一点没潮湿感，也不闷。越南产，有点胶水印，希望不至于短期内开裂。</t>
  </si>
  <si>
    <t>好东西 和面解放双手，结实！</t>
  </si>
  <si>
    <t>好东西 半个月东西到手，研究了半天调到英语模式，默认好像是德语的，百度了中文说明书，做了一杯拿铁，味道还是蛮正的！</t>
  </si>
  <si>
    <t>有点小 看评论都说偏大，结果孩子170，62公斤买的小号，感觉有点小了。</t>
  </si>
  <si>
    <t>物有所值 国际名品，果然不负所望。加上关税将尽700大洋，虽然小贵，但买到喜欢的东西还是值得的。</t>
  </si>
  <si>
    <t>好 非常棒，包装完好，很漂亮的钢笔</t>
  </si>
  <si>
    <t>好用不贵 方便，直接在锅里搅拌</t>
  </si>
  <si>
    <t>推荐购买 价格比国内便宜，而且大小合适，比预想的小。实际使用3.63tb</t>
  </si>
  <si>
    <t>舒服啊 舒适实惠</t>
  </si>
  <si>
    <t>好 我和女儿都吃这个牌子的</t>
  </si>
  <si>
    <t>很好 维生素人人家，此款口感好，宝宝喜欢它</t>
  </si>
  <si>
    <t>买的是非全新品，但是收到很意外，很新，很值得。 买的是非全新品，但是收到很意外，除了包装被打开重新封口外，产品很新，看不出任何损伤，初听也很满意。但是不配音频线和音箱垫，高音喇叭有轻微噪音，但是不影响听歌，1360元，太超值了，感觉捡到了大便宜，呵呵，隔音棉把导相孔塞住了，影响声音更影响散热，南方夏天估计要烧掉元件的，自己拆开用剪刀剪出洞口，这样就可以通风了。</t>
  </si>
  <si>
    <t>满意 很好，老婆很喜欢，有一点偏小</t>
  </si>
  <si>
    <t>Expensive ！ Expensive ！</t>
  </si>
  <si>
    <t>好 很好，舒服</t>
  </si>
  <si>
    <t>便宜就好 料子是一般薄款软壳的料，稍微有点硬，有防风拨水的效果，近一百六不到含税入的，和国内tb海外旗舰店一千出头的售价比可以说性价比太高了，当然比标注的8900日元+税售价也便宜不少，由于腿短，图片八分我九分，比起美版差的不是太多。臀围100以下没有问题。本来想入深蓝色，可惜价格比这款色高出两倍，逐贪便宜入了此色，其实上身还好，毕竟有点沙漠色，春秋雨季穿没啥大问题。</t>
  </si>
  <si>
    <t>做工好 质量不错</t>
  </si>
  <si>
    <t>性价比很高 买了几件，价格很好，质量也不错啊，我170高，75公斤重属于偏壮实类型身材，穿L号合适。亚马逊的物流速度也超级快的，3天就到货了。衣服整体别要求太高，冠军的性价比还是很不错的。</t>
  </si>
  <si>
    <t>高仪龙头 龙头上的商标印字有点歪，跟国内该品牌的类似。龙头很重，开关顺滑。淘宝配了个转换头跟橡胶环。</t>
  </si>
  <si>
    <t>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 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</si>
  <si>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霹雳马彩铅名不虚传好用 48色买的有些少了，现在在关注132色或150色。等价格合意再下手。</t>
  </si>
  <si>
    <t>非常好看 非常好看，唯一的遗憾是跑道上有红线，应该是产地差异</t>
  </si>
  <si>
    <t>国外的新衣服没有吊牌吗？ 170，80kg，选M码合适稍宽松；面料质感一般，含税250+，性价比一般，胸围122，袖长67；薄型夹克，内衬居然是绒布的！智能推荐L码，一点都不智能！最后一点，衣服没有吊牌，想问一下经常海淘的朋友，正常吗？</t>
  </si>
  <si>
    <t>尺码偏大 硬邦邦的 材质不怎样 甲醛太多 洗了几遍 海外购的衣服感觉跟超市货差不多  本人180  85穿m差不多 肚子大宽度正好</t>
  </si>
  <si>
    <t>一般…一般 实物质感一般，不是皮质</t>
  </si>
  <si>
    <t>品质很差，购物体验差 鞋子质量不行，还没穿就发现坏了，还不给退换或者修理，购物体验很差。</t>
  </si>
  <si>
    <t>裤脚会自动收起，不推荐购买该产品 传一会裤脚就缩到膝盖了</t>
  </si>
  <si>
    <t>东西不错，袖子偏长 东西不错，就是衣袖比较长，希望能出一些适合中国客户尺寸的衣服。</t>
  </si>
  <si>
    <t>以为勺子是感温的 勺子不是感温的，碗密封效果还不错，碗盖不好扣</t>
  </si>
  <si>
    <t>就是个肥 适合肥胖的大叔穿，小鲜肉不要下手，弹性非常大！M码，洗前肥大，洗后长短縮水后适合本人！主要是肥肥的，！172/81公斤，没有大肚子，穿M的都肥啊！有大肚子的大叔们可以买进</t>
  </si>
  <si>
    <t>吸力还可以 个人感觉大碗用不上，现在用的小碗，吸力还可以</t>
  </si>
  <si>
    <t>内衣很漂亮，简单舒服。就是我买大了 我买大了，做工精细。很舒服的</t>
  </si>
  <si>
    <t>价格便宜，穿着舒适。 爱步的鞋子穿上脚舒适，海外购鞋子外观稍微有点瑕疵，皮面和鞋底都有点，但是瑕不掩瑜，脚感舒适就好，十分满意。</t>
  </si>
  <si>
    <t>可么多么 奶瓶材质不错，手感很好</t>
  </si>
  <si>
    <t>很好 很喜欢 送朋友 很喜欢  真品 正品</t>
  </si>
  <si>
    <t>puma 很喜欢啦，非常漂亮，38.5</t>
  </si>
  <si>
    <t>非常好 本人有金属过敏，但这表表带完全包围手腕真好。值得购物。</t>
  </si>
  <si>
    <t>还不错 造型很喜欢，希望能够像造型一样结实。</t>
  </si>
  <si>
    <t>买了L号给老公 自己买的S号 完美 买了L号给老公 自己买的S号 完美</t>
  </si>
  <si>
    <t>价格能便宜就更好了！ 家里一千多的花洒都没这个好，换下来后一打开花洒，感觉就像坐了辆动力澎湃的车启动加速时的推背感一样，花洒一直往后仰。水速快了多，打在身上的力度刚刚好，200元就可以享受到天天五星级酒店的淋浴效果。</t>
  </si>
  <si>
    <t>很棒的機器 圖片不能上傳，之前買的博世的機器，這個機器因為德國產，特意體驗，加熱快，出水量可以自己控制，在國內使用需要加裝轉換頭，可以更好的延長機器壽命</t>
  </si>
  <si>
    <t>good 厚，里面加绒的，胳膊上粘好多毛，颜色鲜艳。</t>
  </si>
  <si>
    <t>美亚购入1460黑色光面皮 没有国内黄色鞋带赠品，没有吊牌，正品无误，平时穿运动鞋41.5、CAT添柏岚靴子41的，这次买的UK7，加了个后更贴刚好。</t>
  </si>
  <si>
    <t>很好用，为小孩准备的 很好用，但是奶嘴不知道什么样的婴儿才能用，反正刚出生的感觉用不上了，死活吸不出来</t>
  </si>
  <si>
    <t>方便 一岁以上。一滴。方便。</t>
  </si>
  <si>
    <t>尺码合适 很好，自用！</t>
  </si>
  <si>
    <t>很值 好大呀</t>
  </si>
  <si>
    <t>很满意 质量不错，身高170cm，体重59KG，买M刚好，</t>
  </si>
  <si>
    <t>很棒 运动鞋42，clarks40正好，脚偏瘦，供参考</t>
  </si>
  <si>
    <t>非常好 保温性能一流，价格便宜</t>
  </si>
  <si>
    <t>深咖色 果真是深咖色，不是黑色！舒服，质量不错👍</t>
  </si>
  <si>
    <t>颜色有点丑，性价比不错 保温性能好，颜色太丑了。像一坨屎</t>
  </si>
  <si>
    <t>适合春秋季节，不算太厚 适合春秋季节，不算太厚</t>
  </si>
  <si>
    <t>面料一般 面料比较硬，真是工作服。</t>
  </si>
  <si>
    <t>价格比较合适 价格比较合适，德国品质。</t>
  </si>
  <si>
    <t>尺码很烦恼 很划算，很轻薄，很柔软；但是尺码真的是偏大。181CM，91KG，穿L的都很宽松。尺码很头疼，亚马逊的细化工作太low了</t>
  </si>
  <si>
    <t>快过期了 快过期了。。有点无语。。19年7月过期。</t>
  </si>
  <si>
    <t>非常生气，真假掺着卖，还生锈了 我买了第二次，第一次买的应该是正品，很好用，后来丢了第二次购买，剪刀非常难用，还生锈了，非常生气，这种真假掺着卖的电商应该早点倒闭，母婴用品居然卖假货，良心何在</t>
  </si>
  <si>
    <t>求客服解疑 配件有问题么？不是不锈钢，但泡水里一会后会出现一层白色像气泡一样的东西，泡洗两遍了还有，正试第三遍，感觉不应该这样啊！请求客服回答。货品来源正宗么？？本着亚马逊才买的啊。另外，不会是二手或翻新机吧?</t>
  </si>
  <si>
    <t>日版尺码太小 L的男生180+根本不能穿。然后女生160+，45KG，穿着大了些，M的估计刚好。。</t>
  </si>
  <si>
    <t>产地说明不一致 东西质量没有问题。就是在我下单时说是德国产的。但是实际收到的东西是英国产。</t>
  </si>
  <si>
    <t>过大 裤子质量不错 很舒服 但是太大了 16号的 我妈88kg的都能穿下。也还是能接受</t>
  </si>
  <si>
    <t>32 Ounce 物流挺快的（约7天）。到手时可以说没有包装，就是产品本身的纸箱子，而且还挺脏的。不过拆开后各项都很齐全（干杯、搅拌棒、食谱、使用说明书），分别打了黑豆、黑芝麻，个人觉得效果很好，应该是正品。家里的料理机是Pro750，放上干杯运转时，干杯会自己移动，猜测是因为干杯的齿轮比机器的稍小的缘故吧，（产品的外包装上印着的图案表示此干杯是通用的，）不过也不影响使用。总体满意~</t>
  </si>
  <si>
    <t>我买小了，有没有觉得买大的，可以找我换。 我买小了，有没有觉得买大的，可以找我换。</t>
  </si>
  <si>
    <t>不错 颜色款式都不错，而且不是窄版的，脚背比较高，脚有点胖的也不用担心</t>
  </si>
  <si>
    <t>购物评价！！ 宝贝不错，非常合身！160cm，52kg穿着合适！！</t>
  </si>
  <si>
    <t>合适 大小合适也好看之前买错码买了xl闲置</t>
  </si>
  <si>
    <t>还行 规格不大，在夏天比较适用。</t>
  </si>
  <si>
    <t>质量非常好，没有任何瑕疵 优点 1.有一定的防水效果 2.刚刚拿到手没有任何线头，没有一点点线头 3.YKK的拉链，拉的时候非常有力度 4.2层设计，第一层可以放手机钥匙这类小东西，我的三星大S8刚刚放的下，里面那层可以放500毫升的水喝雨伞类，里面还有一个小隔层可以放公交卡类 5.还是我大中国制造，为什么出口的东西那么好 缺点：贵</t>
  </si>
  <si>
    <t>还可以，不错 本人175高，体重84公斤，腰围2尺6至2尺7（牛仔裤32-34），穿L，略大一点点，但是不会掉下来，当然，洗过几次之后会不会更大，就不知道了，不过看着面料不错，还很舒服，总体不错</t>
  </si>
  <si>
    <t>不错 码数和国内同品牌同型号的长了一些，腰合适的。</t>
  </si>
  <si>
    <t>手表 刚收到比我预计的要快，本来说是27号到的，今天才25号，亲自动手调整链子后，戴上感觉很好，性能要让时间去验证</t>
  </si>
  <si>
    <t>小清新的耳机 声音是小清新的感觉 是我喜欢的风格 加魅族耳放效果不错 价格还便宜 很满意</t>
  </si>
  <si>
    <t>不错 比预期早到一星期，42.5的鞋码选9w的刚刚好，这次选鞋号选的挺正确的。鞋子做工不错，挺轻的出乎意料。东北穿没问题，比较厚实一点。</t>
  </si>
  <si>
    <t>总之值了 素质两千元价位，做工设计和包装两百元价位</t>
  </si>
  <si>
    <t>好极了 好极了，很合适的商品</t>
  </si>
  <si>
    <t>给即将出生的二宝买的，这个之前买过一个了，这个依然是非常好！ 给即将出生的二宝买的，这个之前买过一个了，这个依然是非常好！</t>
  </si>
  <si>
    <t>鞋子很喜欢 第一次买这个牌子的，先看了CAT的再看的这个，最后犹豫了一下还是买了这双，大小合社，我的脚宽，买了加宽的，穿上之后也不挤脚。</t>
  </si>
  <si>
    <t>挺不错的东东 本人身高172㎝，64kg。之前买过一条29w30L的有点紧，这次选择30W30L很合身，黑色的有些似休闲裤，比较喜欢。</t>
  </si>
  <si>
    <t>偏大一点点，总体很好。 偏大一点点，总体很好。</t>
  </si>
  <si>
    <t>好用的笔 很好用的笔，值得购买。</t>
  </si>
  <si>
    <t>鞋子不错 天阴手机照片白平衡不准，有点偏黄，实际颜色要浅、也更好看。质量不错，老婆很喜欢！</t>
  </si>
  <si>
    <t>有促销活动吗？主要是指鞋子 非常满意！感觉应该很耐穿。颜色虽然与照片不大一致，或许还更喜欢。</t>
  </si>
  <si>
    <t>稍大，质量一般 比正装裤子要大要长，建议选购的时候比正装小一号</t>
  </si>
  <si>
    <t>有些大，质量普通吧 167 cm 身高买 M 尺寸，基本上不能穿，可能需要再买小一号。  退货则很麻烦，因为是海外购，而且还需要扣挺多钱，所以就没有退。  有裤兜，质量一般，不好不坏。</t>
  </si>
  <si>
    <t>一一般 不厚，不是很紧身到手八十几，性价比不高</t>
  </si>
  <si>
    <t>尺码 尺码列表里面2个相同的美码太误导消费者了，亚马逊的工作人员太不负责任，非常不愉快的一次海外体验</t>
  </si>
  <si>
    <t>超级偏大 衣服严重偏大，超级偏大</t>
  </si>
  <si>
    <t>不好 不是想象的那么好！全是英文！密码设置不了</t>
  </si>
  <si>
    <t>做工不够好 做工不够细致，脚面不平整，感觉不好</t>
  </si>
  <si>
    <t>安德玛中比较有款的一种 优点和上述同学说的差不多。 问题是，我这件是库存货吧，咋有点旧，和图片的感觉没了。。。 这牌子款式大多保守，以示运动专业范。 这件POLO还不错，有型有款。</t>
  </si>
  <si>
    <t>正好 裤腰低，低裤腰个人觉得会暴露内裤18090公斤整好吧！腰围稍微肥点，小码估计会瘦，大长腿最好买长32的</t>
  </si>
  <si>
    <t>还不错 质量跟价钱确实成正比～十天左右就到了。看着其实挺小一块儿，时间太难调了...研究了半个小时才弄好</t>
  </si>
  <si>
    <t>挺帅的 买之前看了评论，知道这款码数大，nike43码，脚肥，这款买8.52E正好。就是这税费飘忽不定啊，刚买完税费就降到几十了，相当于买贵了100元</t>
  </si>
  <si>
    <t>BRITA我非常信赖的净水产品 这款产品用起来很方便，价格也是很满意</t>
  </si>
  <si>
    <t>喜欢 已经用上了，这个套装核算。</t>
  </si>
  <si>
    <t>好评 宝贝收到了，跟想象中的一样，买来给爸爸妈妈用的，大小合适，外观好看，这个牌子的保温杯效果都杠杠的，好评</t>
  </si>
  <si>
    <t>好用 囤货中，被朋友提前征用了，据说很好用。</t>
  </si>
  <si>
    <t>不错，相当好 ecco的户外很好，鞋底稍硬</t>
  </si>
  <si>
    <t>很好 很好，不是特厚的那种</t>
  </si>
  <si>
    <t>好 笔很好。出墨流畅好写。快递包裹的也很仔细</t>
  </si>
  <si>
    <t>质量 质量不错</t>
  </si>
  <si>
    <t>鞋子太大了，已经送人了 整整大出了1码多</t>
  </si>
  <si>
    <t>挺好 尺码合适，棉质布料，较薄，穿着较舒适，没有冰丝的舒服，耐久性有待观察。优势在于价格便宜，三条还不到国内专卖店一条的价格</t>
  </si>
  <si>
    <t>尺寸刚好 很好的鞋子，穿上去比之前买的休闲鞋舒服。</t>
  </si>
  <si>
    <t>完美 完美，最好的料理机，没有之一！</t>
  </si>
  <si>
    <t>买大了 商品质量很好，价格也便宜，我低估了美国人民的体型，号买大了，换太麻烦送朋友了。我173CM，98G，XXL的过大了。</t>
  </si>
  <si>
    <t>厨房利器 德国厨房设备提高生活品质。</t>
  </si>
  <si>
    <t>学生戴着很合适 质量很好，一年没任何问题</t>
  </si>
  <si>
    <t>酒友之友 多年前用过oral 入门级的产品， 觉得不怎么样， 无法持续用。 到用完刷头还是电池用完的时候， 就果断丢弃了。 一直对飞利浦情有独钟，觉得产品设计好人性化， 质量可靠。 家里洗手间的小家电基本都是飞利浦的， 比如吹风机，女士去毛器，以前现在这一款最新的电动牙刷。 前一阵去洗牙， 牙结石牙垢等很严重，有时刷牙有血。 后来还是想也不能老来洗牙，况且我还经喝咖啡喝红酒， 这些都会留下色渍，还是得要一款好的电动牙刷，日常清洁到位， 不用等洗牙的时候才去除这些色渍。。。 这一款在会员日的时候购入， 加是进口关税 683元， 将近 700元， 真的很划算。 感谢亚巴逊英国站。</t>
  </si>
  <si>
    <t>物有所值 出水流畅，粗细适中。</t>
  </si>
  <si>
    <t>衣服不错 175 64kg S码很合适，颜色和款式也不错，加上这个价格，简直完美</t>
  </si>
  <si>
    <t>好鞋 好鞋，暖和，走路不累，穿着也帅，北京的冬天足够。39码的脚，足弓略低，7M不挤脚。</t>
  </si>
  <si>
    <t>很好的毛衣 厚度适中柔软，就是领子偏小。希望洗后不缩水。</t>
  </si>
  <si>
    <t>辅食碗 质量不错，给宝宝做辅食很方便</t>
  </si>
  <si>
    <t>好 面料做工都很好，穿上很凉快顺滑，腰围80厘米不到买的S。这是国内现货吗，四天就到了分明是国内的发货速度！</t>
  </si>
  <si>
    <t>皮质不行 你怎么样，不如国内小牌子，不知道是不是皮质问题</t>
  </si>
  <si>
    <t>吸不住啊 都推荐这个碗，但是吸不住啊，貌似下面吸盘太小了</t>
  </si>
  <si>
    <t>很松的文胸 适合胸小的，很软的带子，没有勒感。</t>
  </si>
  <si>
    <t>裤腿肥 腰正常，裤腿是真的大，个子不高的不推荐，1米7的穿起来像1米5.。 裤子质量还行，中规中矩。</t>
  </si>
  <si>
    <t>为什么是拆封的？？ 打开包装居然是拆开过的？？？</t>
  </si>
  <si>
    <t>新裤子居然有窟窿 居然有个窟窿？这品控，简直了，不值我的会员费</t>
  </si>
  <si>
    <t>太大了 亚马逊商品页面尺码表根本是误导人的，W31腰围不到82公分，结果拿到手实物接近86公分了，不系皮带根本没法穿</t>
  </si>
  <si>
    <t>涨价了 裤子质量，款式都很满意，扣掉的一分是因为价格，比上次买的同款贵了几乎一倍！</t>
  </si>
  <si>
    <t>细节比较毛糙 鞋子挺软和，重量也还好，比我之前买的一双踢不烂轻了好多，穿着也走了挺远的路了，脚不酸不疼。唯一的缺点就是细节太毛糙了，线头多，鞋帮那里的垫材有小部分都露出来了。</t>
  </si>
  <si>
    <t>还是满意的 物流快，大大快于预期。粉日期新，上个月的。亚马逊，我还是相信的。prime免运费，划算了。</t>
  </si>
  <si>
    <t>表带不好 表不错，就是表带不好。只有我一个人觉得硌手吗？</t>
  </si>
  <si>
    <t>听乐器确实屌，人声一般般 听乐器确实屌，人声一般般，还有左边连接处有点掉漆是什么鬼啊！！</t>
  </si>
  <si>
    <t>鞋不错 很不错，特别舒服。和国内码没啥区别</t>
  </si>
  <si>
    <t>物美价廉 和实体店的一样，没有啥差别。便宜太多了。值！</t>
  </si>
  <si>
    <t>非常合适 很合适，袖长，衣长，衣服的肥瘦都很合适，除了袖子感觉稍微肥了点。本人身高191cm，体重90Kg。欧版对我来说真是太好了。</t>
  </si>
  <si>
    <t>跟风买的 很好，虽然不常戴但是很喜欢</t>
  </si>
  <si>
    <t>看起还不错 效期再新鲜一点就更完美了</t>
  </si>
  <si>
    <t>穿着舒服也很好看 布料不厚，穿起来很舒服，夏天穿也不错。</t>
  </si>
  <si>
    <t>煎牛排神器 自家厨房用这个锅做的牛排应该算得上最高品质的了，锅的高温可以锁住肉的汁，能够保证食物的原味，如果方法得当能做出很好的牛排，唯一的问题就是这样的锅清洁不易</t>
  </si>
  <si>
    <t>很好看，不夹头 其实没有很夹头，只是耳朵有点热，不知道戴长了什么感觉，木耳听不出音质，看颜值买的，我的头围59cm</t>
  </si>
  <si>
    <t>很轻的鞋 鞋码正常，鞋的重量非常轻，兼具运动鞋的舒适和正装鞋的感觉，喜欢！</t>
  </si>
  <si>
    <t>质量好 买过很多个了，送家人一人一个，保温性能很好。</t>
  </si>
  <si>
    <t>性价比很高哦！ 值得购买！</t>
  </si>
  <si>
    <t>很好 很不错，和想象一样好，穿着比较舒适</t>
  </si>
  <si>
    <t>益生菌 还好吧，还在吃，但是还么见到成效！</t>
  </si>
  <si>
    <t>舒适度 怎么说呢，鞋底是比较柔软，不过前脚掌的感觉太差了，没有抓力，跑久了脚软，这就很尴尬了，还没有耐克阿迪的休闲鞋跑起来爽、而且穿这个鞋走上坡路简直是折磨，不抓力，后面换一下袜子试试。不过买还是值得的，跑坏了再换其他款</t>
  </si>
  <si>
    <t>好锅！！！ 买了七套九个锅，lodge的，感觉都很好！又尤其这个！！！ 第二次买，送家里人用。 亚马逊也是见到的唯一不诱导给好评的购物网站，难能可贵。</t>
  </si>
  <si>
    <t>同事说很好 同事说写字很顺滑。 里面送的是一个墨水管，蓝色的。 没有抽水的墨囊，得自己再买。</t>
  </si>
  <si>
    <t>厚实的铸铁锅 老美的锅质量杠杠的，比某易某选的好很多。价格低廉，预热时间漫长，但加热均匀，部容易糊锅底。</t>
  </si>
  <si>
    <t>推荐，颜值高.实惠 颜值高，很好用，一家三口人手一个！就是买的刷头不是跟原装一样有硅胶，要再寻觅一下刷头..</t>
  </si>
  <si>
    <t>不错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</si>
  <si>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好 漂亮，保温性特好！</t>
  </si>
  <si>
    <t>性价比高 鞋子质量不错，大小同比普通运动鞋，最好买小半码，皮质还行，价格还可以。</t>
  </si>
  <si>
    <t>舒服，适合，潮 一般运动鞋43码，这款42码正合适，很舒服也很潮</t>
  </si>
  <si>
    <t>不保温 一点都不保温，失望！</t>
  </si>
  <si>
    <t>很薄，适合春秋 还行，很薄很薄，没有下摆松紧</t>
  </si>
  <si>
    <t>丑哭 轻的不行，我那块2T莱斯的一块顶这5块重，背面丑哭，被正面蒙骗，数据还好，算正常速度</t>
  </si>
  <si>
    <t>质量一般 裤型没有照片好看，面料有点硬</t>
  </si>
  <si>
    <t>裤子太大，太大 裤子太大太大了，平常穿M的，这个M完全有XL的感觉。。。本来想退货，运费125元，够再买一条了，还是算了吧。。。</t>
  </si>
  <si>
    <t>没有任何包装，太过分了 没有任何包装！国际运输，直接在外盒上贴个标签就寄来了！一个滤芯挺易碎的，居然没有任何保护措施，连胶带都没粘。太过分了！</t>
  </si>
  <si>
    <t>可以 耳机还行，音量开到一半。</t>
  </si>
  <si>
    <t>。。。 身高167，105斤，s码合身袖子偏长，总得来说还不错。</t>
  </si>
  <si>
    <t>评价 178cm144kg  small号袖子偏长，面料偏厚，束身，偏紧，只能打底穿。</t>
  </si>
  <si>
    <t>寻找一种——年少时的一点小冲动的感觉 尽管购买前在网上对它有了基本了解，到手后还有些小激动。 功能和样式也是我想的。 不足的话——戴着有时会夹汗毛——痛！</t>
  </si>
  <si>
    <t>颜色非常漂亮 特别喜欢，拿到手养了锅，然后炖了一次黄豆猪蹄，做了一次黄焖鸡，都特别好，我觉得可以再入一个22cm的，对我们家来说24cm略显大了些</t>
  </si>
  <si>
    <t>很棒 从德国发货，忐忑不安，担心会磕碰。亚马逊一贯的简单包装，竟然一点都没磕碰，完美！加关税不到1200，太满意了！</t>
  </si>
  <si>
    <t>非常合适，喜欢 穿着非常适合，感觉穿了一段时间脚垫都减少了，满意</t>
  </si>
  <si>
    <t>不错 很不错的衣服，面料很舒服。性价比很高</t>
  </si>
  <si>
    <t>鞋子很暖 鞋子穿上很舒服，后跟两边有点卡脚可能是新鞋的原因。穿几天看看，</t>
  </si>
  <si>
    <t>标题 鞋头饱满有型，除了西裤基本可以搭配所有颜色和材质</t>
  </si>
  <si>
    <t>第一次美亚购 第一次在美亚买东西，收到的货真的从美国寄来，很不错，还退了部分税款，小惊喜。</t>
  </si>
  <si>
    <t>好用 容量合适，温度合适，断电后保温和出水也方便，冬天随时都能喝上热水了。这次运送特别快，价格也比代购便宜很多了。越来越喜欢亚马逊了！</t>
  </si>
  <si>
    <t>二次购买 第二次购买了，价格给力，功能齐全，便于清洗。是德龙最佳性价比之选了</t>
  </si>
  <si>
    <t>穿着舒适透气轻便，跑步很好 穿着舒适透气轻便，跑步很好</t>
  </si>
  <si>
    <t>非常好 一如既往的好，专柜穿多大就买多大，价格比专柜便宜太多，</t>
  </si>
  <si>
    <t>满意的一次购物 物流超级快，商品非常满意，非常愉快的一次购物，推荐大家购买</t>
  </si>
  <si>
    <t>很好用 很好用，颜值高！宝宝很喜欢</t>
  </si>
  <si>
    <t>看好文字配色 鞋子很舒服，不过购买前看好配色，图文不符哦，这款鞋面是粉色，鞋帮是白色。</t>
  </si>
  <si>
    <t>码数偏小 产品还可以，感觉码数偏小，希望穿一段时间能合适。</t>
  </si>
  <si>
    <t>看起来很好 按照之前的经验用起来也应该不会差。锅预先养的很好，家里就缺个珊格煎锅了</t>
  </si>
  <si>
    <t>性价比很高的皮靴 送货速度一般 十多天到手。 款式比较简洁大方 没有花哨的设计风格 有gore tex涂层这个大家都懂。适合亚热带冬季穿着 尺寸也比较标准 考虑到其售价 应该算很值</t>
  </si>
  <si>
    <t>便宜 比国内便宜很多，一直用ob啦。常备这种刷头很棒。</t>
  </si>
  <si>
    <t>大赞 挺不错的，赶在了关税大涨前买的，逼格满满</t>
  </si>
  <si>
    <t>值得回购 柔软舒适保暖，已经回购了。</t>
  </si>
  <si>
    <t>满意 喜欢，这款比他家其他款要轻一些，适合最近膝盖不舒服的我</t>
  </si>
  <si>
    <t>跟牙刷附带的刷头差别很大 看着很廉价 印刷字都是突出的 跟牙刷附带的刷头差别很大</t>
  </si>
  <si>
    <t>味道难闻 味道不好，有一股如某种橡胶的怪怪得味道，不会再买。</t>
  </si>
  <si>
    <t>不如预期的好 面料不如预期的好，尺码明显偏大</t>
  </si>
  <si>
    <t>里面为什么有块塑料 里面有一块塑料，不喜欢</t>
  </si>
  <si>
    <t>质量很差 穿一次就脱胶，这质量真的是很差 ，还不如国内几十块的鞋子质量来的好</t>
  </si>
  <si>
    <t>not bad 还不错，挺好的，帮别人买的，也许上脚会更好看些</t>
  </si>
  <si>
    <t>尺码对比供后来者参考。 没有感觉到磨脚，即使是穿很薄袜子的情况下。  亚瑟士穿44码，选了10D，加垫了一个鞋垫以后依然稍微有些松。要是选了9.5的就好了。</t>
  </si>
  <si>
    <t>还可以 质量还行，也不像很多人评价看较硬，只是比较厚，得天凉了穿，亚马逊快递员服务态度真的得好</t>
  </si>
  <si>
    <t>这价位可以买，打折更好了 质量真不好说.料子有点硬.厚度不怕冷可以冬天当打底.然后一件厚外套就可以.我的穿法..20号下单.22发货.25号收货.速度可以说非常快.我166.46公斤穿m码BF风.有白色肯定还会买.但s码可以</t>
  </si>
  <si>
    <t>没体验 应该还行，给父母买的</t>
  </si>
  <si>
    <t>Sennheiser 森海塞尔 CX 3.00 黑色 入耳式耳机 价格实惠，质量满意。</t>
  </si>
  <si>
    <t>好东西 这个刮胡刀很好用，就是有些功能还不太明白，但是刮的是真干净</t>
  </si>
  <si>
    <t>很好 是正品，但是我还没掌握好哈哈</t>
  </si>
  <si>
    <t>帮别人买的，不知道如何 帮别人买的，不知道如何</t>
  </si>
  <si>
    <t>不错 送货很快，吃了有效果，挺满意的。</t>
  </si>
  <si>
    <t>舒适合身 物美价廉穿着舒适合身</t>
  </si>
  <si>
    <t>不错 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</si>
  <si>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无 裤子非常不错，唯一的缺点就是小裤腿有点宽。面料很舒服，很透气，非常适合夏天穿。</t>
  </si>
  <si>
    <t>满意 质量不错，面料柔软，微弹，穿着很舒服</t>
  </si>
  <si>
    <t>好 价格便宜</t>
  </si>
  <si>
    <t>喜欢 很漂亮，价格也好可爱</t>
  </si>
  <si>
    <t>耳尖的选择 音质不错  耳尖的选择。</t>
  </si>
  <si>
    <t>实用 很好，喜欢这款机器。</t>
  </si>
  <si>
    <t>好评 剪刀很锋利，回弹设计很人性化，对于不太用剪刀的人来说，很有帮助。</t>
  </si>
  <si>
    <t>很好 非常棒很好很好非常好</t>
  </si>
  <si>
    <t>真好... 除了价格比国内专柜价格便宜太多让我不踏实外，其他都很踏实……</t>
  </si>
  <si>
    <t>舒适度 挺喜欢的，可以折叠了放进包里，而且不容易褶皱</t>
  </si>
  <si>
    <t>稍微有点小 小了上点，质量还是很好的，做工及手感都不错。</t>
  </si>
  <si>
    <t>很轻巧 满意. 轻巧的杯子 方便夏天出门携带.颜色略有发青 也挺好看</t>
  </si>
  <si>
    <t>真的好 很好很好，无异味，，拿来装汤或者肉都很不错</t>
  </si>
  <si>
    <t>便宜好用！ 亚马逊海外购价格很实惠，配上prime会员比其他家日本代购便宜多了！使用效果很好，适合水压一般的情况。秒杀国内600同价位花洒。</t>
  </si>
  <si>
    <t>好 不错，挺厚实，适合初秋季节</t>
  </si>
  <si>
    <t>钢笔怎么样 买这只笔是因为看到一篇文章说它获得过日本什么文具大奖，拿到手质感一般，做工还凑合，书写还没用，这个价位的钢笔用的不锈钢笔尖，最让人不满的就是笔尖基本是光秃秃的，没花纹什么的，而且划痕特别多，也不知道是不是新的，和88G比起来价格是人家的三倍，各方面都不如人家，奉劝不要买</t>
  </si>
  <si>
    <t>尺寸和中国通用的不一致 尺寸和中国的通用标准不一致，到建材市场找了好多家变径的，均不合适，没法使用！</t>
  </si>
  <si>
    <t>声音太大 声音太大！外观还可以</t>
  </si>
  <si>
    <t>及其差，花钱买教训吧。 不通电。接电后没任何反应。申请退货需要自己支付运费。怎么办？</t>
  </si>
  <si>
    <t>货不对版 发错货了，图案都不是这个图案，也懒得退了。扫兴</t>
  </si>
  <si>
    <t>千万别买料子涤纶 一碰就起球 千万别买 料子一会就起球 还是涤纶的那种球 而且特别薄 特别次  地摊都算不上 和淘宝假代购卖的一样 真怀疑是不是国内小作坊伪造假坑人 拉链是小服装厂最次的那种白塑料 无语了 版型还特别恶心 连服装批发市场都比不上</t>
  </si>
  <si>
    <t>飞利浦6系列电动牙刷可以用 牙刷头更小，但是震动感更强烈，应该是清洁力更强吧！</t>
  </si>
  <si>
    <t>奶瓶到啦 看着还不错，还好买的早，邮寄了快1个月呀，坐等宝宝出生</t>
  </si>
  <si>
    <t>。 与原装头的差别有点大，字体都不一致，不知道是不是正品</t>
  </si>
  <si>
    <t>可以 181 M号。穿上正好。还是不错的。比较舒服</t>
  </si>
  <si>
    <t>是sleep wear 是sleepwear，家居的。穿出去也不是不可以，但知道了就会觉得有点怪。我觉得这个应该注明是sleep wear。拍下一周后发货，十五天之内收到。</t>
  </si>
  <si>
    <t>满意 面料舒适，满意的体验</t>
  </si>
  <si>
    <t>不可错过的无线降噪耳机 这款索尼WH-1000XM3 无线降噪立体声耳机，不愧出自名门望族，一见面就让人钟爱不已。绵软耳罩，长时间贴紧耳部舒适而不累，隔绝了嘈杂外界，带来清清净净的咅乐谛听世界。与索尼nw=zx300搭配，听一曲老熟悉的越剧伴奏却犹如头一遭际会伴奏现场，听得如醉如痴。乐曲中各类乐器的声音细节清晰可辨，音色品味无可挑剔。 右侧触屏的设计，让是否获取环境声简捷可行 。30小时续航太给力了，真值得恭维！</t>
  </si>
  <si>
    <t>好评 喜欢，但是，果然没有赠送的胶囊</t>
  </si>
  <si>
    <t>和合适，价格实惠 穿了一次，挺好的，比同是购买的ralph rauren 好，那件有个跳针的洞，是出错的次品</t>
  </si>
  <si>
    <t>好 明年本命年就是它了。</t>
  </si>
  <si>
    <t>整体满意 比想象中的小，但作为通勤包可以了。皮质比较舒服，背带设计的略微别扭。</t>
  </si>
  <si>
    <t>像商场陈列的产品 不算太新的感觉</t>
  </si>
  <si>
    <t>质量不错，我很喜欢。价位也合适 质量不错，我很喜欢。价位也合适</t>
  </si>
  <si>
    <t>质量不错 质量不错，尺码过小</t>
  </si>
  <si>
    <t>不错 不错 感觉还是有点小 应该买30的</t>
  </si>
  <si>
    <t>建议购买 很好，价格实惠，款式新颖。</t>
  </si>
  <si>
    <t>腰围2尺6的进2格 材质做工都很不错！</t>
  </si>
  <si>
    <t>笔头粗出水顺 需要另配吸墨器，EF比78G+的F还粗一点，不影响平时的书写要求，但是买过lamy家的logo系列的F，他们家笔头确实粗，F尖可以拿来练字，但是记笔记什么的呵呵呵，但是书写的顺畅度比78G+好的不止一点两点啊，而且真的耐用，logo用了五年了质量杠杠的，希望这支safari也可以撑很久很久。</t>
  </si>
  <si>
    <t>质量 简装版，对得起他的价格。</t>
  </si>
  <si>
    <t>合适 一米八三，一百四十多斤，W31L32,非常合适，裤子中腰的</t>
  </si>
  <si>
    <t>很合适 165/75kg，很合身，下摆比较长，其余尺寸都很不错。很满意。</t>
  </si>
  <si>
    <t>不错 还行，收到了。</t>
  </si>
  <si>
    <t>OK 合适，略薄</t>
  </si>
  <si>
    <t>总的来说 很满意 177 62kg 买的m码 大小很合适比预想的有些肥 后来发现可能就是这种松垮版型吧 因为肩宽的很离谱 但是衣长 袖长都很合适</t>
  </si>
  <si>
    <t>很棒 这个价格能买到这个容量，除了声音大点真的是没有缺点了</t>
  </si>
  <si>
    <t>nice 很好，很合身，穿着也很舒服，nice</t>
  </si>
  <si>
    <t>极度舒适 拿到产品前几天才第一次穿 ， 真的对的起“极度舒适”这4个字， 产品中文翻译给个赞 ！给产品个大赞 ！！长短，肥瘦 正好， 作为一个上肢肥胖的人，非常难得的尺寸。</t>
  </si>
  <si>
    <t>谨慎购买 只是为了配水龙头，角阀做工一般，图片很具有欺骗性，别抱太大期望，谨慎购买</t>
  </si>
  <si>
    <t>太大了 这款比我一起买的一盒五个的ck窄边的至少大两个尺码。太大了，放图片对比一下。白色的尤其大，比黑色还大一点点，而且布料摸上去也一般。还是那款好一点。这个又不能退货的郁闷</t>
  </si>
  <si>
    <t>封条封不严，有漏奶 之前买的都还好，这次的部分储奶袋两层封条儿中透明的那层边缘封不严，漏奶，好在有两层封条，还能用</t>
  </si>
  <si>
    <t>这么大怎么穿 过大 怎么穿 按照常规码数买的</t>
  </si>
  <si>
    <t>假货 假货，胶外露严重，质量差</t>
  </si>
  <si>
    <t>包装盒很不好 盒子没有封条，可随意打开，里面就是两个单独放的奶嘴，奶嘴用小塑料袋包一下烫牢的，不知道原本是不是就是这样的风格包装，但我看着觉得实在太随意，用起来感觉先就不好了</t>
  </si>
  <si>
    <t>杯子有缺口，漏水 杯子有缺口，导致漏水。这种质量让我赶上了，实在无语...... 而且我这是送人的！</t>
  </si>
  <si>
    <t>这款产品在美国属于什么性质，为什么没有美国食品药品监督管理局的审核 好大一粒，没有吃出鱼腥味，就是吞下去后感觉喉咙里有点卡，为什么没有美国食品药品监督管理局的审核标志呢？</t>
  </si>
  <si>
    <t>初体验 刚到手，包装很简陋，胶味很重但不难闻，尺码偏小，但很包裹性很强。只是没有体验到踩屎感，鞋子刚穿很硬，偏重。第一次买，也不晓得这是K25的特点还是A货。网上说是要跑开了才有减震感，昨天10公里后还是没发现。有点不放心，进一步观察吧。</t>
  </si>
  <si>
    <t>面料 面料极其普通，秋冬穿着。买来试号码的，也就是100-200价位的东西。</t>
  </si>
  <si>
    <t>尺码标准。快递很快 还可以，尺码很标准，ups快递也很快。穿上比较有型。听别人的评论。买长了一码，结果华丽的长了。</t>
  </si>
  <si>
    <t>尺码还行，就是选错了 选错码懒得退了，xxs应该一米五的小孩子穿的</t>
  </si>
  <si>
    <t>不错的 给老公买的，很喜欢😘</t>
  </si>
  <si>
    <t>尺码合适 十天不到的时间收到货，包装比较简陋，鞋盒快烂了，还好鞋子没受影响，平常穿36的码，此款正合适</t>
  </si>
  <si>
    <t>价格优惠 非常好，价格也非常优惠。到手价250多。可以水洗，也很方便。</t>
  </si>
  <si>
    <t>满意！ 秀气又漂亮，超值，满意的商品！</t>
  </si>
  <si>
    <t>值得推荐！ 本人177 75Kg买的小号。肩，袖，胸和肚子正好合适。颜色很正，面料不错，做工也很精细。至于价格，青浦奥特莱斯也不会比这便宜。</t>
  </si>
  <si>
    <t>很好 轻柔保暖，越南产700蓬85%鸭绒。可惜不是鹅绒。170/150可穿s码，再胖就不行了。</t>
  </si>
  <si>
    <t>尺码 跟皮鞋一样的尺码</t>
  </si>
  <si>
    <t>大小刚好，速度好快 比估计的早了三四天。试了试，很合脚。鞋面摸着也很舒服。这是偶滴四双danner了。danner的款式说真的不咋地，主要看中它的质量。</t>
  </si>
  <si>
    <t>舒适 舒适而且还有形</t>
  </si>
  <si>
    <t>The North Face 女士 Tanken Triclimate 夹克 颜色款式正如预期，号码很合适。</t>
  </si>
  <si>
    <t>相信亚马逊就对了 性价比真的 很高。几天就到了，超赞。</t>
  </si>
  <si>
    <t>好看 码数合适 穿起来很舒服</t>
  </si>
  <si>
    <t>很漂亮的奶瓶 prime会员买的，很不错，送货速度还可以，这个是软壳的奶瓶，和玻璃的搭配用。</t>
  </si>
  <si>
    <t>保暖性很好，穿着很舒服。 保暖性很好，穿着很舒服。</t>
  </si>
  <si>
    <t>到货速度很快！ 发货速度可以，到货速度真的非常快了！简直被震惊到了～孕期囤货，很多孕期妈妈都推荐犬印的骨盆带，就在亚马逊上买了，价格也很不错，总体满意，希望后期使用的时候效果会不错</t>
  </si>
  <si>
    <t>尺码准确 质量不错尺码蛮准的，运动鞋穿美码8.5这款鞋是英码选了7UK41码，合脚款式也不错。</t>
  </si>
  <si>
    <t>正品便宜好穿 买了好几次了，老公的ck都在这上面买，便宜正品，从不敢相信代购微商假货太多，毕竟亚马逊是全球的，都超过比尔盖茨了，信任亚马逊十余年</t>
  </si>
  <si>
    <t>不错，很透气 小礼物</t>
  </si>
  <si>
    <t>质量不错。 使用简单，回来后，没出去剪过发了。哈。</t>
  </si>
  <si>
    <t>手表款式不错 很好看，很喜欢。</t>
  </si>
  <si>
    <t>尺码选择需谨慎哦 运动鞋42  脚长260  买了41.5的  穿进去可以塞一指半</t>
  </si>
  <si>
    <t>太小了 东西不错，就是太小块了，小贵</t>
  </si>
  <si>
    <t>确实压脚背 平时37.5或38码，瘦脚，脚背也不算高。UK5码大小合适。昨天穿出门一天，不磨脚，走路和站着的时候都算舒适，神奇的是坐下来不活动时候反倒难受，特别压脚背，回家一看都红肿了。体验还是不太好。</t>
  </si>
  <si>
    <t>太大太大，和国内码子完全不一样，也没参考 太大了，没有衣服码子，退掉麻烦，运费130+，裤子有码子，衣服没有，损失大了</t>
  </si>
  <si>
    <t>可能有假 鞋底磨脚，做工粗简，怀疑是否真品！</t>
  </si>
  <si>
    <t>怀疑是真的吗 上面都是划痕，拍的不太清，表面是划痕</t>
  </si>
  <si>
    <t>不错 低音可以，不过线太硬，容易断</t>
  </si>
  <si>
    <t>不错，不过没有之前法鳄好看 190.100，买的XL的正好。留给人参考。有点短，老婆说没有之前法鳄的好看</t>
  </si>
  <si>
    <t>还行的 不错的，180cm，72kgs穿m号正好！没穿几次就开线了！</t>
  </si>
  <si>
    <t>搅拌机 机器很好用，如果在总公司购买还有工具四件套赠送哦，这里没有给赠品哦。</t>
  </si>
  <si>
    <t>袜子 穿着舒适</t>
  </si>
  <si>
    <t>棒 老公很难买裤子。属于腿特粗的那种二百斤大胖子。这个裤子穿着显瘦舒适</t>
  </si>
  <si>
    <t>拉夫劳伦的毛衣给我带来了惊喜 拉夫劳伦的这款毛衣给我带来了惊喜，穿着非常舒适得体，给五颗星。</t>
  </si>
  <si>
    <t>不错 舒服，棉质软</t>
  </si>
  <si>
    <t>好用水龙头 性价比超高，家里水温不稳定换了这个以后完全不一样了，洗澡真的是享受了。</t>
  </si>
  <si>
    <t>比三叶草的绿尾好看、舒服！ 比三叶草的绿尾好看、舒服！尺码和之前买的ecco一致，全新的一点试穿的痕迹都没有，非常满意！</t>
  </si>
  <si>
    <t>与实体店一致 帮朋友买的，她在实体店试了觉得喜欢，打折下来800+，我就说帮她看看亚马逊有没有，加关税500不到，省了很多钱钱，她说穿上刚刚好。</t>
  </si>
  <si>
    <t>干净 挺快的，顺丰转运，刮的干净，有劲，就是没有小刷子。</t>
  </si>
  <si>
    <t>收到 质量很好偏大</t>
  </si>
  <si>
    <t>性价比挺高 裤子不错，性价比挺高，我身高185，体重190斤，属于上身偏肥的。选尺码34×32。长度刚好，腿宽刚好，略略窄，所以下身肥的请注意一下。</t>
  </si>
  <si>
    <t>很棒 鞋型很好看，圆头不臃肿，颜色是黄色，图片拍的有点深，穿起来很舒服，鞋内有海绵，冬天穿厚袜子应该能过冬，鞋内尺码是3.5UK，美码6，CN36（1.5），我平时36.5的号，穿着正合适，不偏码。</t>
  </si>
  <si>
    <t>质量好 现在感觉，比CK的更好一些CK是目前质量最差的，甚至比不上Disel，汗。</t>
  </si>
  <si>
    <t>好评 大小合适，布料柔软舒适。好评</t>
  </si>
  <si>
    <t>优质，合身 176公分，95公斤，L码，比较宽松，长短合适，细节过硬，颜色很正。29号下的单，一个星期左右就到了。</t>
  </si>
  <si>
    <t>漂亮的花洒 还没用，拿到手里有惊喜的感觉，十分喜欢，给新家准备的</t>
  </si>
  <si>
    <t>物超所值 轻便好用，保温效果非常完美</t>
  </si>
  <si>
    <t>很不错 很好穿 尺码合适 性价比高 平时一般穿38码 脚背偏高 这款5UK基本合适还有一些空间</t>
  </si>
  <si>
    <t>质量还好 还好，就是没有在大一号的</t>
  </si>
  <si>
    <t>非常好 油皮，相当好，不像硬皮那么拉脚。martens的鞋确实比较大，平时43鞋，穿这个8UK正合适。不过我穿鞋费鞋底，几次下来后跟有点磨下去一点，赶上打折，价格合适。</t>
  </si>
  <si>
    <t>质量不错 颜色不错</t>
  </si>
  <si>
    <t>不错的鞋子 很好！舒服！非常轻便！</t>
  </si>
  <si>
    <t>性价比高 衣服可以的，我175，130斤穿着合适，就是袖子稍长一些。两百多买到，很划算</t>
  </si>
  <si>
    <t>合适 160cm，98斤…s正好…非常便宜</t>
  </si>
  <si>
    <t>不实用 很软是真的，但是清洗蒸煮很麻烦，有些部件不能高温，谁说有颜色的一圈不高温不要紧不接触奶液？？？？怎么可能不接触奶液。奶嘴消毒好还要安装回去，很容易污染。刻度晚上看不清，喝到最后整个奶瓶都要竖起来，不然喝不到。只是好看柔软而已，不推荐。</t>
  </si>
  <si>
    <t>轻 好看 除了轻和好看别的什么也没有</t>
  </si>
  <si>
    <t>總體滿意。 估計是幾年前的貨，比較舊，款式也較老，是孟加拉國生產的。物流算是快的，前後5天就從芝加哥到廣州，海購還是最相信亞馬遜。</t>
  </si>
  <si>
    <t>非常差的亚马逊购物 怎么能把马上要过期的产品发给顾客呢？在亚马逊的这次购物体验非常之差，到19年1月份到期，距离现在不到六个月的时间，以这么贵的价格卖给客户，这就是亚马逊的服务吗？所有的人请擦亮眼睛，不要在这里购买，以免再次上当受骗。</t>
  </si>
  <si>
    <t>质量很差的说 非常不好的一次购物体验，水壶买来一个礼拜就开始底部漏水，联系了卖家竟然让我直接到厂家售后维修，这种对待客户的态度令人非常不解。</t>
  </si>
  <si>
    <t>不好👎别买 非常差，颜色与图片差别很大，做工不好👎退货要贰佰多运费。所以没退货，心痛啊，心痛钱啊</t>
  </si>
  <si>
    <t>版型好看 蛮喜欢</t>
  </si>
  <si>
    <t>第一梯隊的速度，但還不到極致。 三星SSD一貫的高水準質素，但最為三星固態硬碟的老玩家，速度還沒有達到極致，和自己換下的960相比，並沒有被驚艷到。</t>
  </si>
  <si>
    <t>timber 38码的脚 但是左脚较宽 应该买大一码会好点了鞋子没有很肥 上脚超级好看 很修脚型</t>
  </si>
  <si>
    <t>非常舒适 纯棉的，厚度适中，打底穿不错，172cm，65kg，穿s正好，修身</t>
  </si>
  <si>
    <t>尺码偏小，配送很快 172cm／64kg，L号正好，可能日版的尺码偏小吧。下单后1周送到，海外购也挺快的。好评。</t>
  </si>
  <si>
    <t>固定的吸碗 可以固定在桌面上，是宝宝吃辅食时候的好工具。</t>
  </si>
  <si>
    <t>不错 一直购买，价格、款式、面料都不错</t>
  </si>
  <si>
    <t>储存宝宝的辅食用 质量不错，用了一段时间，每次辅食的量分开放，挺方便的</t>
  </si>
  <si>
    <t>长度合适，鞋子稍微有点重 鞋子尺码很合适，脚掌处稍微有点紧，穿着几次应该会合脚。鞋子稍微有点重。总的来讲还是很好，不枉费等了这么久</t>
  </si>
  <si>
    <t>非常棒的产品 买的时候价格优惠很大，质感也很好，大小适中。就是不知道表带经不经用，皮质表带配高防水感觉很矛盾。</t>
  </si>
  <si>
    <t>德国原产，实力不凡！ 这个非常好用，德亚买了一个，用了5年了，如新！</t>
  </si>
  <si>
    <t>吸管 换吸管，孩子用的还是亚马逊比较好</t>
  </si>
  <si>
    <t>做工精致，书写流畅 就书写感受来说，和普通圆珠笔并无不同，做工不错</t>
  </si>
  <si>
    <t>鬼12  一如既往 鬼12感觉鞋底的弧度很大， 鬼控制最好的就是弹力和回馈，既不过分卸力又保持回弹，同时重量比asics控制的好，透气也出色，320-430选手必备训练鞋 鞋带系统是不是该升级一下，从鬼9开始一直这样</t>
  </si>
  <si>
    <t>实物开箱盒照 专业级硬盘，两买两台，性能相当的不错，在使用中，待观察</t>
  </si>
  <si>
    <t>冲击力很强大的花洒 之前对比了多个日本品牌的花洒，推测可能实际效果不会相差很大，之所以选择这款是因为金属质感颜值还不错，实际到手价格接近300，个人认为性价比并不高。家里一直用的是高仪系列，为了装这款三荣花洒，自己特地接了出水三通，这样就可以同时使用高仪和三荣两个花洒。对比这款花洒来说，这款的特点确实出水细，但是因为家里水压比较大的缘故，出水力度很大，如果靠近花洒出水口的话，脸部和嘴唇会有明显的针刺痛的感觉，正常使用需要间隔较远距离比较合适，或许这也是这款花洒比较适合低水压用户的缘故。当然，冲击力强的优点就像外面高压水枪洗车的样子，冲洗头发和身上的泡沫效率很高，效果也不错，感觉最近冲凉的时间都缩短了。最后总结一下，高仪也好，日本花洒也好，亲身体验过之后感到并没有很多人评价的那样出类拔萃的舒服感和享受，理性看待就好。</t>
  </si>
  <si>
    <t>品质非常好。 手感很好，从日本过来的就是包装到位。如果男士有肚子，最好还是再买大一号，如果没有这个号就挺好。</t>
  </si>
  <si>
    <t>舒服 200不到买的 海外购10天到货 180 90KG 平时腰围90CM 34 W*32 还可以 稍微带点弹力 穿着感很舒服 厚度适合秋冬天穿</t>
  </si>
  <si>
    <t>喜欢 可以有，一直安利的奶瓶</t>
  </si>
  <si>
    <t>赞赞赞 价格还不错，而且是日本进口（东西小小，包装盒很大）的，感觉很值，赞！</t>
  </si>
  <si>
    <t>不错。 老公173，150斤左右，M码略微有点长，衣服和袖子都有点。但身体部分胖瘦合适。老公肩膀宽，健身的那种身材。</t>
  </si>
  <si>
    <t>奶瓶 已收货～东西想当不错～</t>
  </si>
  <si>
    <t>不错 等宝宝到一岁以后用的 很可爱</t>
  </si>
  <si>
    <t>是我想要的 买给妈妈。舒服，弹性好。做工精致。</t>
  </si>
  <si>
    <t>合适、结实 合适：笔尖的粗细比较合适（大概是0.5的吧），手持感觉很好，携带方便。  结实：不担心会轻易坏掉，很可靠的工作笔。  遗憾：摘掉笔帽后，习惯套在笔尾，却插不紧，难道我out了？</t>
  </si>
  <si>
    <t>安装 买这款要谨慎 买之前必须要联系该品牌技术部门 看是否能支持所在地的安装服务 因为带置物台的安装比较特殊 一般的安装师傅是安装不了的 我就是因为安装问题最终被迫退货了</t>
  </si>
  <si>
    <t>舒适度差一些 鞋码偏小 平时35.36码的脚这款3.5顶得满满的。好看，但和我其他的户外鞋比舒适度比较差。留下来平时穿穿，远行徒步就别穿了！</t>
  </si>
  <si>
    <t>买的就不是质量，只是外观，但码数不准，小失望！ 物流挺快，10天就到了！码数绝对偏大的，平时穿39的鞋，这双38.5都大很多！耐克的鞋子买40的也没有这双38.5的大</t>
  </si>
  <si>
    <t>一般 包装简陋，打开盒子已经完全破开，还好壶没有问题，看评论说没有黑炭颗粒才买，过滤第一遍壶底全是黑炭颗粒，反复过滤几次稍微好了一点，跟国内买差不多</t>
  </si>
  <si>
    <t>没有正规包装，随意一个毫无关系的塑料袋 没有正规包装，随意一个毫无关系的塑料袋</t>
  </si>
  <si>
    <t>鞋面有划痕，鞋底硬 鞋面有划痕，鞋底非常硬，穿上很不舒服</t>
  </si>
  <si>
    <t>还可以吧 不知道是不是正品，感觉还可以，和正品对比过，基本没什么味道，毕竟是胶的，不敢放太烫的水。</t>
  </si>
  <si>
    <t>玻璃碗可能不耐用 用了两次，和好面团玻璃碗就有点紧了，貌似玻璃碗用久了确实会发生问题。</t>
  </si>
  <si>
    <t>海购十几天 第一次海购，确实等待时间很长，有十四天左右。穿着还算不错。稍微有点小。不过总体还是满意吧</t>
  </si>
  <si>
    <t>中亚客服好评，商品好评，英亚差评 走了这么多年的亚马逊，不小心中招了……收到包裹，打开取出主机后，发现不锈钢盆没有在应有的位置，是处于于一个错位的状态放置于主机上……初步推断：由于错位的方式卡在主机上，导致主机机身收不锈钢盆的边缘磨损，最终导致主机身受损掉漆，同时底座也有破算，详见图片。  后经仔细检查外包装，也发现外包装的一边其实也是有破损的。不得不质疑这么一件境外购货品，如此长的寄送路程，为何只有原包装，没有附加防撞防潮的额外包装进行保护措施呢？也不得不佩服英亚的心大！   之所以任然评价4星，是因为商品本身值得购买，同时中亚客服及时受理，帮我解决了问题，直接退了全款，也不需要我再回寄退货了……面对结果不知该喜还是该忧？不过处理的态度和方式都值得称赞，因此值得4星。英亚嘛！不说了……</t>
  </si>
  <si>
    <t>挺好的 穿上觉得有点沉，大小合适，只是脚踝处要是皮质的就完美了。</t>
  </si>
  <si>
    <t>Mid 非常不错的选择，比国内便宜好多，而且正品无疑！</t>
  </si>
  <si>
    <t>好评 喜欢，好评</t>
  </si>
  <si>
    <t>我很喜欢 很满意，物流很快，在没买之前我一直在其他网站咨询，包装完好，里面该有的都有，然后我看产品说明书，图片对比，应该是正品。这款表手感不错，表有点厚，刚开始戴有点不习惯，扣比较多，白天带的时候还没啥感觉，晚上我在路灯下行走，发现这表晚上很好看，很时尚，然后它还有夜光功能，真的很耐思</t>
  </si>
  <si>
    <t>可爱值得购买 很可爱  还没使用 没味道  试了一下虽然会滑动但是不容易打翻</t>
  </si>
  <si>
    <t>非常喜欢他的设计 very nice design</t>
  </si>
  <si>
    <t>满意 防水，尺码也很标准，穿起来很舒适，不错</t>
  </si>
  <si>
    <t>合身 非常合身，喜欢宽松的可以稍微买大一点点</t>
  </si>
  <si>
    <t>质量好，好用 比国内便宜的质量好的多，也好用，很好。</t>
  </si>
  <si>
    <t>很好 一直信赖亚马逊，保质期到2021年，非常棒！一瓶122元！</t>
  </si>
  <si>
    <t>质量可以，尺码合适 穿着舒适 质量可以，尺码合适 穿着舒适</t>
  </si>
  <si>
    <t>终于等到了，绝对不会让你失望！ 终于等到了，绝对不会让你失望！</t>
  </si>
  <si>
    <t>还不错 177cm，80kg，M码很合身。跟之前跟德国买的差不多。价格略贵了一点</t>
  </si>
  <si>
    <t>产品中含糖应说明 产品中含糖，应该在介绍时明确说明。</t>
  </si>
  <si>
    <t>正宗品 看外包装的规整程度比国内其他海淘平台要好很多</t>
  </si>
  <si>
    <t>棒棒 东西必须不错，很快，很好用，就是从us发货比较慢</t>
  </si>
  <si>
    <t>漂亮的耳机 最突出的特点是漂亮。折叠起来小巧的很。 音质，开声不理想。稍微煲煲好一些。听摇滚还行，我觉得摇滚乐对音质要求不算高。 蓝牙十分方便。耳机铜按钮功能全面。比有线耳机方便很多，有时候我就直接用它听古典。 缺点是戴久了耳朵压的疼。</t>
  </si>
  <si>
    <t>实用 比以前刷得干净多了，产品质量不错。</t>
  </si>
  <si>
    <t>喜欢 买给爸爸妈妈的，一家人都总的象印膳魔师，应该没问题</t>
  </si>
  <si>
    <t>亚马逊自营 三荣水栓质量很好，中国制造不出来。中国只会粗制滥造。</t>
  </si>
  <si>
    <t>很好 有点小瑕疵，尺码偏大1.5码，平时运动鞋穿43，ecco的42码还有点大了，如果有半码的就好了</t>
  </si>
  <si>
    <t>质量不怎么样，掉毛，还有一个小洞 买回来没看，过了一段时间才穿，发现侧面内侧有一个刮天的小洞，目前已经洗了两次，还是要掉很多的毛</t>
  </si>
  <si>
    <t>质量一般 盖子老掉。弃用了。</t>
  </si>
  <si>
    <t>有点味道 有点味道</t>
  </si>
  <si>
    <t>垃圾，坏了，没有售后 &lt;div id="video-block-R1OY7PODMA2T0X" class="a-section a-spacing-small a-spacing-top-mini video-block"&gt;&lt;div tabindex="0" class="airy airy-svg vmin-supported airy-skin-beacon" style="background-color: rgb(0, 0, 0); position: relative; width: 100%; height: 100%; font-size: 0px; overflow: hidden; outline: none;"&gt;&lt;div class="airy-renderer-container" style="position: relative; height: 100%; width: 100%;"&gt;&lt;video id="7" preload="auto" src="https://images-cn.ssl-images-amazon.com/images/I/81dnY7sDItS.mp4" style="position: absolute; left: 0px; top: 0px; overflow: hidden; height: 1px; width: 1px;"&gt;&lt;/video&gt;&lt;/div&gt;&lt;div id="airy-slate-preload" style="background-color: rgb(0, 0, 0); background-image: url(&amp;quot;https://images-cn.ssl-images-amazon.com/images/I/81PXjNEv2+S.png&amp;quot;);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center;"&gt;0:00&lt;/div&gt;&lt;div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value="https://images-cn.ssl-images-amazon.com/images/I/81dnY7sDItS.mp4" class="video-url"&gt;&lt;input type="hidden" name="" value="https://images-cn.ssl-images-amazon.com/images/I/81PXjNEv2+S.png" class="video-slate-img-url"&gt;&amp;nbsp;垃圾，垃圾，垃圾 噪音大，买了没一年，没怎么用就坏了，垃圾 网上很多坏了的评价。亚马逊还不管售后，垃圾！  噪音大，买了没一年，没怎么用就坏了，垃圾 网上很多坏了的评价。亚马逊还不管售后，垃圾！ 噪音大，买了没一年，没怎么用就坏了，垃圾 网上很多坏了的评价。亚马逊还不管售后，垃圾！</t>
  </si>
  <si>
    <t>品质为什么是这样硬 非常非常差，面料硬邦邦像纸板一样。</t>
  </si>
  <si>
    <t>不合适 裤子号码极其不靠谱。买的XL的太大，L的又太小！丫抓住顾客的嫌海外购退货运费高的心理，发些质量有问题的货，上次买了件女士针织衫居然还有浓浓的香水味！黑五花了好几千在丫，买的衣服没一件合身的，对丫失望极了！</t>
  </si>
  <si>
    <t>很可爱！ 质量不错！很是好用！</t>
  </si>
  <si>
    <t>非常不错的选择 一直喜欢990  2014年在亚马逊美国买过一双  转运回来的  去年退休了  一般在国内或海外都要RMB1500左右  这次搞活动买的 可能是选尺码的关系  我平时穿运动鞋41码 这款选择8.5D(M)  脚的长度足够  我脚背也不高 不宽 但感觉略微窄了一点  质量非常好  好评</t>
  </si>
  <si>
    <t>没有图片那么长，而且面料比较硬的不太服帖，穿起来有一种膨起来的感觉，不是太好看 没有图片那么长，而且面料比较硬的不太服帖，穿起来有一种膨起来的感觉，不是太好看</t>
  </si>
  <si>
    <t>东西不错 很好穿，南方出太阳的冬天一条就好，日亚的东西就是包装很好，国内配送物流差评</t>
  </si>
  <si>
    <t>洗水颜色漂亮 洗水颜色漂亮，下摆收腰再多一点就好了，因为是弹力布，明显一点的收腰更能体现倒三角的版型，总体来讲还是满意的。T T：181 胸围107 L码很合适</t>
  </si>
  <si>
    <t>十分满意 很合身，一直想买件牛仔衣，180、70选了大码，穿上如同订制般合身，自身臂展较长，十分满意</t>
  </si>
  <si>
    <t>非常舒服，性价比很高 非常舒服，性价比很高</t>
  </si>
  <si>
    <t>很不错的一款手表！ 买到了历史最低价，活动价的基础上又打了75折，只花了1101元，非常简洁经典的一款手表，走时也很准，非常喜欢！</t>
  </si>
  <si>
    <t>合理的长度 很好用，舒服的质感，超赞</t>
  </si>
  <si>
    <t>舒服又有型，nice 商场专柜只有original生胶底那款，这款没试买了平时的号竟然很合适，不磨脚夏天穿不算太闷，很满意，运输速度很快。</t>
  </si>
  <si>
    <t>感谢评论区地先锋们 在亚马逊之前有过不太好的购物体验，但这次仔细研究了评论区的意见，果断改选尺寸，171cm,86kg,腰围94cm,选了34*26，回来一试，简直就是完美，物流竟然还提前了5天，不得不赞一个，希望我的评论对其他消费者有帮助。谢谢！</t>
  </si>
  <si>
    <t>不错 日亚的包邮比美亚好太多了 后者经常一件衣服直接装个快递袋寄过来  这件稍微修身 特别是手臂与腰部 衣领有点小 质量还行</t>
  </si>
  <si>
    <t>好 挺好，发货也超快。应该是香港备货仓发出的。</t>
  </si>
  <si>
    <t>满意 很可爱的小餐具，给宝宝囤货中，39秒的</t>
  </si>
  <si>
    <t>感觉不错，挺帅的 这双鞋挺满意的，之前一直纠结尺码的问题，还好穿着刚好。说一下尺码，仅供参考。 我的脚长是260mm，平时穿newbalance是41.5码，这个我选择了8.5，本来想选ee的，没darkbrown，只好选了8.5m，穿上前脚趾略有空位，适合冬天穿厚袜子。 鞋子很帅，适合搭配深色休闲裤，外观很像一般的运动/登山鞋，防水性能目前没有测试。 如果是广东那边穿的话，肯定会热，会感觉脚掌发热。如果是华东华中区冬天穿，感觉还行，当然北方肯定又不够暖和了。 建议大家购买时量好尺码。</t>
  </si>
  <si>
    <t>功能正常 容量大，稍微有噪音</t>
  </si>
  <si>
    <t>很好 一直用，舒服不过敏</t>
  </si>
  <si>
    <t>很实用 设计合理，孩子用很好</t>
  </si>
  <si>
    <t>推荐 买了两个，送给小孩的，小学生用大小刚刚好</t>
  </si>
  <si>
    <t>买买买，别犹豫 我都没想到快递这么快，水杯没毛病，暂时没发现有问题，一块买的别的还有，除了到国内配送没有物流信息之外，没毛病，但是国内基本第二天就到了，我这还是在很偏远的地方，挺不错的体验</t>
  </si>
  <si>
    <t>产地葡萄牙 生产地是葡萄牙！总体还算满意</t>
  </si>
  <si>
    <t>一双不错的鞋子 挺合脚，价钱也很漂亮，希望女款早日有货。</t>
  </si>
  <si>
    <t>不错 不错，宝宝爱不释手，就是每次宝宝喝水不知道剩余水量，也没有什么味道，很好。就是容量小了点</t>
  </si>
  <si>
    <t>超级好用 超级好用的奶瓶，用过的几个品牌中，这个最实用，亚马逊配送真牛，美国直邮，下单到配送，6天</t>
  </si>
  <si>
    <t>非常好 从小红书上看到的这款，感谢美亚，高效的物流体系，非常漂亮的鞋子，尤其这款白色</t>
  </si>
  <si>
    <t>合适，正品 样子不错，平时帽子56-58，稍微调整一下就合适，帽子也比较深，大头应该也没有问题</t>
  </si>
  <si>
    <t>便宜，正品 不错，比EB50柔软一些，关键是便宜，广发卡活动优惠完100块8个很超值</t>
  </si>
  <si>
    <t>味道很重很臭，不健康，不建议买 味道很重，很不健康，大人用都不适合，更别提小孩了。</t>
  </si>
  <si>
    <t>失望。。 货物包装不是很好。。基本就是纸盒 对于硬盘来说太过简陋。。。并且磁盘检测有坏道 不是很满意</t>
  </si>
  <si>
    <t>一次买了3条，面料还是不错，但这包装确要好好吐槽一下！ 我偏瘦（175，60KG，腰31），因为以前买过CK的所以这次还是买的S码，尺码刚好合适！ 毕竟是莫代尔面料，体感还是不错的，弹性也可以，比较适合夏天穿，比较凉爽！ 但是但是但是。。。。这包装太垃圾了、档次太低了！！！超市30块钱一条的内裤包装都比它好上百倍！！！</t>
  </si>
  <si>
    <t>一般 很硬很硬的面料。穿着不舒服</t>
  </si>
  <si>
    <t>垃圾 越南制造的，质量之差令人发指，衣袖的走线歪了！</t>
  </si>
  <si>
    <t>商家骗子 被骗了，照的图片跟颜色相差太大，寄过来的看起都很旧的那种，裤脚大的吓人，被忽悠了</t>
  </si>
  <si>
    <t>款式简单，面料还行 码数合适，按平时自己穿的码数买。面料还是舒服的，款式简单。</t>
  </si>
  <si>
    <t>总体还能接受 凌乱的缝针 线头太多 172买的s号的大小合适 就是有些偏长</t>
  </si>
  <si>
    <t>女生购买 165女生穿最小码应该合适了，面料不是纯棉的感觉，比棉偏硬一点点，袖口会比较大，衣服洗完穿过之后会更随身一点。</t>
  </si>
  <si>
    <t>三星半 挺舒服的 日产冠军做工也确实好 但是性价比太低 将近300 也就比优衣库强点</t>
  </si>
  <si>
    <t>很不错 物流快的没话说，东西也很精致。很喜欢。</t>
  </si>
  <si>
    <t>挺好用的 因为之前的麦坏了，就说买个好点的用下。然后买了之后才发现大家都用来做主播或者弹唱什么的，用来打游戏的我，非常的惭愧。但是真的很好用，人声很清晰，而且就一条线，非常的整齐。就是有个问题，就是收音很容易把我的鼠标和键盘的声音收进去，打吃鸡时候给队友造成了不少的麻烦啊。</t>
  </si>
  <si>
    <t>很好，质量好款式好！ 很好，质量好款式好！就是Under Armour 的衣服尺寸都偏大，衣长和袖子偏长！169，122斤，S码</t>
  </si>
  <si>
    <t>西铁城光动能手表 手表8天左右就到货了，试戴了一段时间，感觉做工精细，质感很好，跟图片一模一样，很喜欢这种风格的手表！</t>
  </si>
  <si>
    <t>非常满意 样子很好看，也挺舒服的，物有所值</t>
  </si>
  <si>
    <t>鞋是正品 做功马虎，线条没踩高，胶水没得牢</t>
  </si>
  <si>
    <t>穿着舒服 159cm50kg,s码刚好。最赞的是袖子刚刚好到手腕处，材质不错，穿着非常舒服。</t>
  </si>
  <si>
    <t>性价比高 质量不错，穿着很舒适，性价比很高。</t>
  </si>
  <si>
    <t>感觉蛮好的 这个size在国内电商平台没有得卖，价格也算还不错，就是颗粒会比较大，所以下咽时候不是很舒服</t>
  </si>
  <si>
    <t>漂亮 很喜兴的颜色。剪刀有质感、看着不廉价，毕竟还是有品牌保证的</t>
  </si>
  <si>
    <t>码偏大 身高173，63KG，买的S号，还是大了，洗标上显示是180/92，不过面料很舒服，还行吧</t>
  </si>
  <si>
    <t>合适，继续 很合适，性价比高。会继续海淘。</t>
  </si>
  <si>
    <t>质量不错 衣服质量还是不错的，对于尺码纠结的可以参考我的信息：平时穿国内180/104的，穿L码的正合适。</t>
  </si>
  <si>
    <t>还不错 料子不错，软软的舒服。买的M码，衣服肩宽41，胸围98，袖子没量，不过好长，我167身高穿上袖子要褶两次才刚好，想要修身的买S码好一些</t>
  </si>
  <si>
    <t>价格实惠 面料一般般</t>
  </si>
  <si>
    <t>性价比很高 太阳能加电波精准又省心，价格实惠。支持购买</t>
  </si>
  <si>
    <t>衣服偏大 升高174，体重144，国内尺码175/96A，之前买的m偏大，退了</t>
  </si>
  <si>
    <t>一开声我就知道买对了 某东买了漫步者S1000，听着不爽退了。然后又买了惠威X3，听着软绵绵一点力气没有，失望又退了。再然后买了这个，一开声我知道买对了，就是它了。</t>
  </si>
  <si>
    <t>尺码标准 正常尺码，国内买L就买L，适合180正常体型</t>
  </si>
  <si>
    <t>迄今穿过的最舒适内裤 第一次买了两条灰色的，这次又买了两条黑色的。这款高腰内裤用料讲究，是高支数全棉柔软舒适，洗了多次不走样，与国内品牌比好太多，特适合中老年男士。</t>
  </si>
  <si>
    <t>还算不错 175 cm身高，63 kg体重，中码合适。 的确长度比较长，听说会缩水，那样就不会担心了 质地不错，也不算薄，质量挺好的</t>
  </si>
  <si>
    <t>不错的选择 一手握杯子，携带方便</t>
  </si>
  <si>
    <t>不喜欢 起球，扎人，不值这个价</t>
  </si>
  <si>
    <t>鞋面卡脚，一定买大一号才行 鞋面卡脚，号小。</t>
  </si>
  <si>
    <t>产地问题 我的是法国产的 不知道跟德淘产品是否不一样</t>
  </si>
  <si>
    <t>坑人！ 飘洋过海的给我一条有破洞的裤子，就仗着东西便宜邮费贵，以为我就会吃暗亏？哼，你赢了</t>
  </si>
  <si>
    <t>超大码，无法使用 超大码的，无法使用，</t>
  </si>
  <si>
    <t>质量太差了 质量太差了</t>
  </si>
  <si>
    <t>速度不错，个头够大，用着很顺，但噪音不小。 8T，买来挂AC68U上当简易片库用。 AC68U官方声明最大支持4T外挂硬盘，买的这个8T挂上一样用，未见异常，型号容量提示都对。 ***一定要注意，不要用AC68U的“查看磁盘健康状态”功能，那个会报错，还会尝试修复，有可能损坏数据***。 挂在AC68U上用了大半个月，还行，不看电影的时候盘很快就进入休眠状态。需要摘掉硬盘的时候一定要进AC68U的设置里弹出，避免直接拔线损坏数据。  盘本身震动大，但并不直接发出声音，仅读盘有轻微的咯咯声。如果把盘直接放在桌面上会出很大的嗡嗡声，是桌面变成了一个声音辐射器，出声音的是桌子，不是硬盘。处理办法是在盘下面垫一张软垫，吸收震动，声音就不那么明显了。</t>
  </si>
  <si>
    <t>过大 好，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</si>
  <si>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性价比不错 替换了旧的刷头，感觉不错，要是刷毛可以再软些就更好了</t>
  </si>
  <si>
    <t>一般 都说日版质量好，也就是国内一百多块的帽衫而已。相对于接近三百块的价格来说，衣服一般。不如添几十块买FILA，或者少花点买迪、耐都比这材质好做工好。上身效果还是挺好的。</t>
  </si>
  <si>
    <t>第一次体检，还好 第一次体验，对尺码和大小的把握不是很准，但是能穿上去，还是不错吧</t>
  </si>
  <si>
    <t>蛋白质 性价比非常高，信誉有保障，很值得信赖，我很喜欢。</t>
  </si>
  <si>
    <t>好评 相当好的裤子，毛里求斯产，薄款！</t>
  </si>
  <si>
    <t>OK 好，Ok</t>
  </si>
  <si>
    <t>价格优惠，好用 价格优惠，买下来含税800出头，之前刚刚在某东买贵了近200元，心痛的领悟啊，盘很好用，买过几个了没毛病，现在海外购10天就收货了，速度杠杠的，非常满意</t>
  </si>
  <si>
    <t>喜欢 小奶瓶好可爱，好喜欢，给自己外甥女买的，她还是小小的一只。粉粉嫩嫩最可爱</t>
  </si>
  <si>
    <t>提升免疫力最佳 搭配着Jarrow Formulas葡聚糖显著提升免疫力，葡聚糖再结合Nature's way益生菌已连续服用一个月了，效果非常好，益生菌赫氏消亡反应三个月周期已顺利过关了，有益菌肠道定植成功，葡聚糖同时也作为益生元纤维提供了非常好的载体，这次加入了乳铁蛋白正好连成一体了，后续继续观察效果后再更新此评论</t>
  </si>
  <si>
    <t>很喜欢 做工和样式都满意，欧美号码偏大一码，</t>
  </si>
  <si>
    <t>1 手表真的是好的没话说，快递也挺快的。</t>
  </si>
  <si>
    <t>一直给宝用的，味道很喜欢 一直给宝用的，味道很喜欢</t>
  </si>
  <si>
    <t>三百不到还是可以的，同款天咪双十一1399 低腰，中等厚度。尺寸正常。180，95KG穿32，30刚刚好</t>
  </si>
  <si>
    <t>尺码合适，味道也没那么大 耐克运动鞋43这个买42正好（盒子上英国码是8），专门闻了一下味道还可以接受，没有其他人说的那么大，可能是某一批次的问题吧。 试穿了一下，皮确实有点硬，看起来也有点廉价，虽然盒子上写的确实是牛皮革。不过这个价格买到其乐感觉还是物有所值的。</t>
  </si>
  <si>
    <t>大小 183高，95公斤，穿着偏大</t>
  </si>
  <si>
    <t>非常好，性价比高 很好！性价比高，唯一缺点就是夜光效果太差了........</t>
  </si>
  <si>
    <t>值得信赖 推荐购买 操作简便 做工精致 能通过蓝牙连接手机 记录检测数据</t>
  </si>
  <si>
    <t>满意 很满意，赶上折扣买的，质优价廉。最喜欢的一双爱步</t>
  </si>
  <si>
    <t>还好 寻盘慢 可能是容量问题</t>
  </si>
  <si>
    <t>真心很棒！很漂亮 到手五百整，价格比专柜便宜好多。尺码颜色都很正，除了穿进去费力些（建议用长一点的鞋拔），别的方面无可挑剔。个人觉得素面的切尔西靴比起经典的8孔更能展现马丁靴的经典楦型。8孔的鞋头实在太短，显得有点呆，而且非常磨脚，而2976完美解决了1460的所有问题。不过提醒一下，脚背高的应该确实不适合这款鞋，脚宽的问题不大，鞋头横向空间比较富余。</t>
  </si>
  <si>
    <t>很合适的商品 有弹力，适合冬季穿，里面可以穿秋裤或棉裤。</t>
  </si>
  <si>
    <t>MOVE FREE joint 健康，氨基葡萄糖软骨素 不来虚的，给大家一个最新资讯：一瓶2020年12月到期；一瓶2021年2月到期。2018年8月7日订的，一个星期到货。</t>
  </si>
  <si>
    <t>用后感受 电脑用无压力，高音部分不错 低音感觉还是少点，估计在保保看，换根线可以试试看效果。</t>
  </si>
  <si>
    <t>帮妹妹买的，说除了到货慢其他都好 帮妹妹买的，说除了到货慢其他都好</t>
  </si>
  <si>
    <t>太大，太大，太大，裤腿太宽了 腰还合适，做工还可以，裤退实在是太大了，亏本转给别的同学了</t>
  </si>
  <si>
    <t>Fine headphones, but they need a better balance to gain the full five stars. For: great definition, the presence of the upper mids and highs are significantly more pronounced.  Against: weak bass, If you are familiar with some like Apple's Earpods.</t>
  </si>
  <si>
    <t>失望 容易脱丝，穿了一次就发现有个洞，太失望了</t>
  </si>
  <si>
    <t>吸不住 吸不住 下面吸不住 基本没用过 不好用</t>
  </si>
  <si>
    <t>这是次品么 送礼物的，幸亏拆开看一下，不可去掉的杂质，怀疑是次品</t>
  </si>
  <si>
    <t>体验超级差 作为一个亚马逊Prime资深会员，我又一次跳坑了 买了条超肥大的裤子 吐个槽吧：亚马逊的工作人员真的不走心，驴头不对马嘴的尺寸，是我选不准的主要原因 更可气的是，不能换货，只能退货回海外原仓 退货运费差不多就是裤子的价格</t>
  </si>
  <si>
    <t>偏小 衣服很舒服，就是稍微偏小了一些</t>
  </si>
  <si>
    <t>制作精良 制作的细节很到位，做工很好，就是有一件衣服上面有黄色斑点，洗不掉</t>
  </si>
  <si>
    <t>码太大 裤子还行吧，就是码太大，166，50kg，m号太大</t>
  </si>
  <si>
    <t>有点薄，买了XL，腿部宽了点 有点薄，买了XL，腿部宽了点</t>
  </si>
  <si>
    <t>质量好，但是鞋号偏小。 这个鞋做工很好但是鞋号偏小，买的话要注意，比锐步鞋要小半号，想买的话一定要注意。</t>
  </si>
  <si>
    <t>号码不偏 里面带一层薄绒，挺好的，号码不偏，我161，95斤穿xs 正好，里面只能加单衣，毛衣都穿不下，跟国内尺码差不多。</t>
  </si>
  <si>
    <t>谢谢亚马逊为我提供的购物服务 总体而言，非常不错</t>
  </si>
  <si>
    <t>满意 黑五特价买的 没想到美版的lee修身直筒裤穿起跟国内普通直筒裤差不多</t>
  </si>
  <si>
    <t>还不错 很不错，就是买大了，懒得退了</t>
  </si>
  <si>
    <t>亚洲脚建议买W加宽的。 物流比想象的要快，国内换了顺丰，速度提升了不少。本次买了8w，平时穿41的运动鞋，这个穿上比较宽松的，可以加个舒适的鞋垫穿，完美规避了鞋底硬的问题。我买这款反毛皮还是比较柔软的，试了试并不磨脚，就是鞋带看着非常脆弱。但愿秋天穿的时候不太快开胶，哈哈。</t>
  </si>
  <si>
    <t>衣服质量还是可以，偏软。就是有点漏电。 衣服到了，质量还是很舒服，有点软。就是有点透，露点了，我难道要整对乳贴？。</t>
  </si>
  <si>
    <t>挺好的 挺好的，提前一天到，包装是个大盒子。颜色比图示颜色深一点，但还行，我挺喜欢的。没想到的就是杯面是磨砂触感，我还以为是光面呢。挺好用的，从付了钱就很期待，没让我失望。</t>
  </si>
  <si>
    <t>很好 很好的一款净水机，安装方便出水量也很足。</t>
  </si>
  <si>
    <t>小盆友的最爱 儿子很喜欢，质量也不错</t>
  </si>
  <si>
    <t>合适，但对于亚洲人鞋面低，但皮质好，穿着穿适。 合适，但对于亚洲人鞋面低，但皮质好，穿着穿适。</t>
  </si>
  <si>
    <t>还不错 把鞋垫抽出来就不硬了，皮子很软，正面看有点丑</t>
  </si>
  <si>
    <t>不会用 表收到了，感觉物有所值，就是不太会用，也没个客服能解答一下</t>
  </si>
  <si>
    <t>尺码 耐克42这个买的41，刚刚好，穿穿会大一点，舒服，物流真他么快。最快的海外购了，4天到货，赞👍🏻</t>
  </si>
  <si>
    <t>很好 买了两种颜色的，这种衬衫就是盲狙，结果181cm87kg穿L正合适，而且版型就适合强壮点穿的，但是别人说显老……</t>
  </si>
  <si>
    <t>尺寸适中 尺寸正好，颜色也不错</t>
  </si>
  <si>
    <t>效果好 保温效果非常好，产品又精致，值得购买</t>
  </si>
  <si>
    <t>真皮皮带，质量不错。 第一次海淘，还是有点忐忑，怕尺寸不对，怕品质不好。皮带是按腰身尺寸买的，收到后试了下，能扣到倒数第二个孔，感觉略短了些。但是总体很满意，看以后使用下来效果看是否值得再次购买。</t>
  </si>
  <si>
    <t>超赞！ 超赞！高大上加超高性价比的靴子，买之前看了天猫的添柏岚官网，这款地球守护者要1890。靴子的外观和功能都十分满意，于是过来美亚搜，果然搜到了，运费＋关税不到一千，二话不说下定。十天左右到货，包装相当简单，就一双鞋子和一张单据在鞋盒里。我平时穿41码，美亚上对应的尺寸都是7.5M，靴子刚刚好，前后左右都略有余量，特别是这款6.5英寸的靴子很轻，一点不觉笨重，靴带长且有弹性，我为了穿脱方便空了二行扣，骑单车的时候包裹很舒服。本想发个照片，懒得发了，多码些字吧，最后五星好评！</t>
  </si>
  <si>
    <t>喜欢的。值 东西很不错。研究了一段时间中国江苏无锡对波成功。</t>
  </si>
  <si>
    <t>好用推荐 蛮好的，处理实物快捷方便</t>
  </si>
  <si>
    <t>还不错 用了一次，揉面试了试，做的土司跟我以前做的口感有提升，就是震动有点大，桌子感觉都在地板上蹦了。 ==================================================== 用了一段时间了，烘焙必备，我家面包吃的比较多，早餐的主食，这个出膜很快，一个土司的量10分钟就出膜了。做饼干打发黄油也很省事，几分钟吧，然后加各种料进去，非常省事啊。我还买了一个3夸脱的杯子，做蛋糕的时候用来打发蛋白，大杯子用来搅拌其他的料，然后在大杯子里混合，做了乳酪蛋糕，奶油乳酪搅拌的非常均匀，大大缩短了制作时间。</t>
  </si>
  <si>
    <t>款式很合适 按照平时自己买的皮鞋鞋尺码来买就可以了，我平时穿阿达，耐克41码数的，这个40码数的刚搞好，颜色要比图片上的鲜艳点，镇店之宝买的时候，加上税不到600元，比实体店便宜很多</t>
  </si>
  <si>
    <t>三条装 盒装变形不好看，如送人的还是实体店放心</t>
  </si>
  <si>
    <t>还行 包装都把我惊呆了 就在风筒原装盒贴个快递签就邮来了 盒子还没完全烂掉 马上检查风机和配件有没有碎的 还好没坏 使用感就还行 没觉得多快多顺 反正380到手倒是划算</t>
  </si>
  <si>
    <t>与期望效果较大出入 没型</t>
  </si>
  <si>
    <t>好好好 不错价格公道，童叟无欺！</t>
  </si>
  <si>
    <t>慎重购买 才用了两天就不能打开了，退货和维修都比较麻烦，需要寄到美国去，因此我就是白花了钱。。。。。。</t>
  </si>
  <si>
    <t>味道大 味道大，可爱挺可爱的</t>
  </si>
  <si>
    <t>有一些不同 穿起来和图片上效果不同，图片上是直筒长裤看起来有一点修身效果，实际穿在身上属于休闲宽松效果，裤腿很肥</t>
  </si>
  <si>
    <t>基本满意 裤子收到了，从下单到收货12天，还是比较快的，毕竟从美国直邮！产地是墨西哥，厚度够，但做工略显粗糙，细节处理的不太好！我180，80kg，买的36x32.略长！</t>
  </si>
  <si>
    <t>质量还不错，但订单确认时间太长 2月5日下单，20日才订货成功，这个时间也太长了。还好快递给力，24日就收到了。除了包装比较简陋，就一个纸箱，移动硬盘在里面晃荡，拆开试过，没发现问题。商品不错，给个好评！</t>
  </si>
  <si>
    <t>值得买 颜色没有照片亮，发旧蓝色。舒适性满意！</t>
  </si>
  <si>
    <t>好 舒服，漂亮，质量好，厚实</t>
  </si>
  <si>
    <t>还不错 比较结实</t>
  </si>
  <si>
    <t>宝宝很喜欢 超级好用，携带方便</t>
  </si>
  <si>
    <t>不错 保暖性不错，郡是的质量一直不错</t>
  </si>
  <si>
    <t>价格合适的话，值得拥有 这回德国亚马逊发的货，速度飞起来，一个礼拜不到就到货了， 东西不错，主要就看看剧，听听广播，没啥太大的音质要求绝对够用， 拆封电量就是满的，用了3,4个小时还剩1/3吧，等第一次充满电看看是不是还能用更长时间， 就是充电口外面没个自带的胶皮保护塞，总觉得差点了神马，万一碰到点水不知道会怎么样</t>
  </si>
  <si>
    <t>实用的包，满意的购物体验。 发货很快，海关卡了3天，还是在预计时间内收到了。日本发货很仔细，包装厚实。背包不错，容积比较大，很满意。</t>
  </si>
  <si>
    <t>孩子喜欢 添加了锌，试一试。孩子成长，营养要均衡</t>
  </si>
  <si>
    <t>性价比高 黑五买的虽然不是最便宜，但是结合199-80实在很合算</t>
  </si>
  <si>
    <t>完美 181CM体重93KG LL正合适，舒适柔软。</t>
  </si>
  <si>
    <t>喜欢 喜欢  不过颜色已经旧了 不是那么正了  还是容易脏</t>
  </si>
  <si>
    <t>评论 买过几次了，质地不错，价格实惠</t>
  </si>
  <si>
    <t>质量很红 送给小孩的。这个价格可以了。质量还不错。</t>
  </si>
  <si>
    <t>裤子很有弹性 性价比很高，人民币二百块钱买的超值，料子很厚很有弹性。</t>
  </si>
  <si>
    <t>很合适 衣服基本刚刚好，除了我的肚皮比较鼓，必须得吸口气以外。165/75kg。很不错。</t>
  </si>
  <si>
    <t>可爱的奶瓶 质量很好，没有味道，手感很好</t>
  </si>
  <si>
    <t>喜欢 很好好喜欢</t>
  </si>
  <si>
    <t>是正品 宝宝吃得还行，跟之前人肉带回来的没啥区别。</t>
  </si>
  <si>
    <t>很保温够大 很喜欢</t>
  </si>
  <si>
    <t>很好用的彩铅 老师推荐的彩铅，很好用，只是亚马逊简陋的包装长途运输之后难免断芯，有只一笔没画就削掉了一半，桑心！</t>
  </si>
  <si>
    <t>好👌 机械硬盘的替代方案。</t>
  </si>
  <si>
    <t>非常好 亚马逊的服务第一，感觉音箱很好，就觉得比自己10年前的300多音箱好太多。小白以一个，哈哈</t>
  </si>
  <si>
    <t>袖子有长短 好无语啊，袖子有长短，衣服味道有点大，布料是还可以，棉的</t>
  </si>
  <si>
    <t>餐盘 不适合我家的餐椅，太大了，放不平</t>
  </si>
  <si>
    <t>对包装非常失望。孔打的位置太靠外。 漂洋过海寄来中国，只是装在一层泡沫纸里，没有可靠的保护措施。扣子和皮带感觉还不错。只是孔打得太靠外，使得我又找人打了两个孔才能用，破坏了原来的外观。</t>
  </si>
  <si>
    <t>码数稍小 码数有点小。平时穿40.5还稍稍大的，这一双40.5竟还顶脚了。鞋外观看起来也小</t>
  </si>
  <si>
    <t>穿了没几天就跳纱了，质量不过关 穿了没几天就跳纱了，质量不过关</t>
  </si>
  <si>
    <t>千万不要买！！！全是同一种故障！！ 由于买之前浏览过所有买家评价，发现好多位买家都遇到机器故障问题，便留了个心眼，发现一月内有质量问题可以退货，于是买来考验下人品，结果！！评论里的故障全被我遇上！！主要两种：1-使用半个月时，充不进电（新机时充过一次电），即使电池常亮显示已充满，一开机，运行1秒立马自动关机，电池灯闪烁，不再能开机，再充电也充不进去，且电池部位发烫；2-有次使用时，插入喷头，一开机，喷头整个喷射出来，换个喷头依然如此，于是放了两天，再用又好了，难道用它要看它心情？！3-洁碧对非国内销售产品没有质保政策，如果买了的同学不幸在一个月零一天的时候发现机器坏了，那么只能当钱丢了。。。。由于以上两种故障我在之前的买家评论中都见过，而且竟然自己全部中招，有绝对的理由怀疑这款产品质量不合格，墙裂建议亚马逊下架！目前已开始走退款程序</t>
  </si>
  <si>
    <t>掉色严重，做工粗糙，到处线头。 掉色严重，做工粗糙，到处线头。</t>
  </si>
  <si>
    <t>感觉还行，就是大了点 平时穿运动鞋都是穿41和41.5的，穿CAT的靴子40码刚好，这个鞋子我选的第二小的码，感觉还是大了，加了个鞋垫</t>
  </si>
  <si>
    <t>时间长了掉色了变成灰色了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</si>
  <si>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一分价格一分货 紧无弹，硬可立。lee相同尺码最小的，追求舒适请绕道</t>
  </si>
  <si>
    <t>中意 质量好，品质保证</t>
  </si>
  <si>
    <t>不错 有点长，该买350的就合适了。made in China,质量可靠。</t>
  </si>
  <si>
    <t>确实是皮 质量不错，穿了一段时间，皮革质量好，平时穿36的裤子，流1个孔</t>
  </si>
  <si>
    <t>非常好 拿到手发现非常轻，方便携带，速度非常快，品牌保证</t>
  </si>
  <si>
    <t>很帅的 真的很帅气。176 95公斤。m刚好合适。长年健身。传上去很明显的倒三角效果。赞赞赞</t>
  </si>
  <si>
    <t>好快啊 昨天下单，下午4点几就到了啊！！！！音质当然没得说咯.k240s就是k240s，反正我很喜欢！！！！和朋友凑单1000-200，超抵！！！就是买来到家时不小心摔了一下，心疼啊！！！！</t>
  </si>
  <si>
    <t>可以代餐的保健品 我的吸收比较好！反应也比较明显！吃了一个星期就感觉有效果了！肌肉明显紧致了！口味变得不太想吃饭！精神还不错！希望没副作用！</t>
  </si>
  <si>
    <t>尺码合适 还不错</t>
  </si>
  <si>
    <t>顶级产品 德国进口，质量没话说，促销时比德国亚马逊还便宜，我都舍不得用。</t>
  </si>
  <si>
    <t>小孩很喜欢的口味 好吃又可以补一点钙，很不错！</t>
  </si>
  <si>
    <t>穿着很舒服，物流速度也还是能接受的 和之前买的大小一样的，但这次买的穿起来有点儿小，但穿着还是很舒服的</t>
  </si>
  <si>
    <t>贴心设计的内衣 非常满意的内衣，面料很舒服，包边特意处理不突出，贴身穿更舒服，还是商家想的周到，领边是单层，外面套穿其它衣服不留痕迹，太贴心。</t>
  </si>
  <si>
    <t>粉粉嫩嫩 很可爱的颜色，粉粉嫩嫩的。宝宝爱不释手。</t>
  </si>
  <si>
    <t>还可以 我这耳朵也听不出来什么，就还是别买太贵的耳机了。 这个还行把 ，戴着不难受</t>
  </si>
  <si>
    <t>非常喜欢 国产永远做不出来这种好产品</t>
  </si>
  <si>
    <t>ok 平常运动鞋穿39码，这次选7.5W脚感有一点点长，不过宽度正好。有一个让我奇怪的地方是鞋子上应该有皮吊牌，但是这双没有，看上去是正品。，有一点溢胶是正常现象，其他都还不错，快递速度很快。产自多米尼亚。</t>
  </si>
  <si>
    <t>速度快 速度很快！小巧，就是担心太小了容易找不着！</t>
  </si>
  <si>
    <t>超值 比国内购买划算太多，虽然配件很少，奇怪的是配件比说明书里标注的还少了2个。寄到的时候已经开过箱了，但仔细看了没有使用过的痕迹。使用体验还不错，非常方便也适合以后旅行时携带，唯一的缺点是太重，我烫了一件衣服感觉手就酸了。总体来说很喜欢，好在是这个价格买到的，如果按照国内1000多的价格那我就觉得不值得了</t>
  </si>
  <si>
    <t>胖子的福音 衣服做工和材质都不错，本人身高176CM体重110KG,,买的是2XL稍大。</t>
  </si>
  <si>
    <t>质量很好，尺码偏大 质量和描述一样，CK的内裤普遍尺码偏大，180cm的魁梧身材，XL都大，这次买的L刚刚好</t>
  </si>
  <si>
    <t>正品 刚刚到货，正品，低音效果好</t>
  </si>
  <si>
    <t>终于肯喝奶瓶了 前面换了4个牌子的奶瓶，换到这个奶瓶宝贝终于肯勉强喝点了，还是给这个母乳实感点赞了！</t>
  </si>
  <si>
    <t>确实不错 以前买过HX6962，用了二年多，有一支牙刷启动不了，看到这款粉红色，忍不住拍了下来，目前用了几次，比6962震动要柔和点，刷得感觉也更干净</t>
  </si>
  <si>
    <t>防臭效果挺好的 夏天穿着很舒服 重点是防臭效果很好 另外：会员日活动的  日亚方面的会员优惠都没同步过来</t>
  </si>
  <si>
    <t>无鞋垫？ 为什么没有鞋垫呢，不是都有的吗？</t>
  </si>
  <si>
    <t>码数偏小 日版的衣服，买了L号，穿在身上是修身款，而且有点短，本人162，平时上衣穿s码，特别修身剪裁的由于肩宽比较厉害也就M码。</t>
  </si>
  <si>
    <t>6码求和5码交换 没想法马丁家的鞋码偏大！5码应该刚好，现在买了6码整整大了一码 垫了鞋垫还是偏大，有没有需要交换的？</t>
  </si>
  <si>
    <t>听诊器效应太强 森海的音质无可挑剔，只是这款的的设计和线材有缺陷，听诊器效应很严重，不用线夹出门基本别想，我现在是放床上用的。</t>
  </si>
  <si>
    <t>瑕疵品，希望加强出货前质检 买了3件不同颜色的，结果就最喜欢的是瑕疵品，有洞，有污渍。</t>
  </si>
  <si>
    <t>二手机 之前看到这么多人说可能是二手的，我还抱着侥幸心理买了，结果是真的，别人用过的机器，就算质量没有问题，那次数肯定是不足15w次了啊！！！</t>
  </si>
  <si>
    <t>速干 透气速干</t>
  </si>
  <si>
    <t>码子偏大 东西不错 码子偏大  其他都还不错</t>
  </si>
  <si>
    <t>没穿呢,裤型很好 这个裤子不错,口袋被蹭脏了有些遗憾,穿之前恐怕要先洗洗。我喜欢美国尺码的裤子，大小合适，同一尺码一致性也好。</t>
  </si>
  <si>
    <t>不错 还不错，240d冬天用还是算薄</t>
  </si>
  <si>
    <t>气味好闻 宝宝喜欢这个味</t>
  </si>
  <si>
    <t>还不错 一直用老款的电动牙刷，最近总是出血。看到活动换个升级版本，刷了一次没有出血，继续使用。就是不知道会不会像上面评论说的，换了修不了。</t>
  </si>
  <si>
    <t>好 很薄，适合运动与胸大的用</t>
  </si>
  <si>
    <t>物流很快！ 美国发过来三天就到了，不是一般的快啊，硬盘没问题，好用！</t>
  </si>
  <si>
    <t>大小合适，上脚比较舒适，性价比不错。 大小合适，上脚比较舒适，性价比不错。</t>
  </si>
  <si>
    <t>非常给力的耳机 不要太相信80欧姆和250欧姆好推与不好推的区别，只要声卡靠谱，高阻的声音绝对是棒的</t>
  </si>
  <si>
    <t>很好 很时尚 很好看 大气 很好 很时尚 很好看</t>
  </si>
  <si>
    <t>总体满意，包装一般 品相完美。之前买过一双是按照皮鞋尺码买的，不仅压脚背，而且还比较短，这次按照耐克的尺码买的，长了一点但是不压脚背，宽度合适。自从亚马逊把国内包裹在半之后，这包装就没顺心过。</t>
  </si>
  <si>
    <t>开心购物 很满意的一次购物，样式好看，穿着舒服，我非常喜欢的一双鞋。</t>
  </si>
  <si>
    <t>不错 面料非常好，版型好看，标准码！物美价廉</t>
  </si>
  <si>
    <t>完美，我希望amazon.cn不要黄 完美，我希望amazon.cn不要黄</t>
  </si>
  <si>
    <t>愿意再次在亚马逊国际代购 非常喜欢和满意，品质和商场专柜的一摸一样。期待再次合作。</t>
  </si>
  <si>
    <t>鞋子穿着很舒服 鞋子穿着很舒服，很包脚</t>
  </si>
  <si>
    <t>还不错 写了一下，挺好用的，但是包装真心不太好，纸盒都压扁了，物流比预估的快。说明书什么的都是日文，应该是正品吧！第一次购买lamy，感觉还不错。</t>
  </si>
  <si>
    <t>功率大烧水快 虽然是入门款，但烧水依然很快，功率大。只是海淘电器日后的保修是个问题</t>
  </si>
  <si>
    <t>价廉物美 包装不错，做工不错，面料舒服。左胸logo是刺绣的。</t>
  </si>
  <si>
    <t>30W29 这裤子有点弹性，这裤子很适合我172CM，70KG。这裤子是标准直筒的，我小腿比较粗壮穿起来绝对的满意，超级合身。最后想说的是裤子的产地是墨西哥的</t>
  </si>
  <si>
    <t>收到货就拆了，放黑群NAS里，2019年产，氦气盘，是新型号，不用贴金手指就可以用。 收到货就拆了，放黑群NAS里，2019年产，氦气盘，是新型号，不用贴金手指就可以用。</t>
  </si>
  <si>
    <t>挺不错的 产地约旦。面料一半棉一半化纤，穿上感觉很舒适，做工没啥可说的。本人175cm75kg中等亚洲身材穿M的肥瘦长短都很合适，不知道有些评论怎么选的号码。厚薄适中，北京春秋季非常合适。</t>
  </si>
  <si>
    <t>非常喜欢 非常喜欢，15年出国玩的时候就家里人手一双。舒适跟脚显脚小。</t>
  </si>
  <si>
    <t>物美价廉，好东西，值得购买。质量真心不错 物美价廉，好东西，值得购买。质量真心不错</t>
  </si>
  <si>
    <t>合适 棒极了，很合适，质量也很好，十分满意。</t>
  </si>
  <si>
    <t>尺码偏大，选小一号 版型是长款宽松的。穿着是宽松的。选尺码的时候注意了。面料比一般纯棉的厚，应该挺耐用的。图案是胶印的，我妈二话不说拿去洗，然后商标就洗碎了！！！！！！碎了！！！！！我一次都没穿啊，这是做旧工艺吗？</t>
  </si>
  <si>
    <t>太小，太小，太小 太小，小朋友用正好不适合成人。</t>
  </si>
  <si>
    <t>买大了 买大了</t>
  </si>
  <si>
    <t>与之前的产品不一样 这次买的商品跟以前的有区别，没有之前的好，而且包裹胶囊的外皮味道也变了。如果以后还是这种味道不会再购买了。</t>
  </si>
  <si>
    <t>差评 做工有点地摊货的感觉……</t>
  </si>
  <si>
    <t>有点夹耳朵 低频烘托是我用过的拜亚里最强的，确实适合流行向，唯一不适合我的是，我耳朵大，正好夹得有点疼，没有几年前用过的森海的舒适</t>
  </si>
  <si>
    <t>还可以 效果还可以，与价格相符</t>
  </si>
  <si>
    <t>尺码偏大 颜色好看，内里起球，尺码偏大不少，174CM80kg穿M码大，主要是见太宽袖子太长。美码M对应亚洲码XL，感觉S码更合适。另外，就偏大的穿着效果，女穿比男穿好看</t>
  </si>
  <si>
    <t>衣服 M号，还是大了，价格实惠</t>
  </si>
  <si>
    <t>表带一般 样子很漂亮，就是表带一般，走起来声音较大</t>
  </si>
  <si>
    <t>超级好！！！！ 特别特别喜欢，拿回来做了几次了，需要配一个变压器，淘宝200多块钱吧，已经做过很多次了，没有问题</t>
  </si>
  <si>
    <t>很棒 朋友很喜欢，五星好评啊哈哈哈</t>
  </si>
  <si>
    <t>不错，很舒服 165,65kg,xs合适</t>
  </si>
  <si>
    <t>很合适 我181cm，78kg，M码正好合适，衣服质料很舒适。</t>
  </si>
  <si>
    <t>性价比非常高！ 商品设计、做工、内涵均上乘，性价比非常高！亚马逊的海外购真棒</t>
  </si>
  <si>
    <t>中国产品 物流是真慢啊！用了10天！到国内转的中通快递！外包装差了点，已经开口了，还好里面有一层塑料膜固定！测试一下没有问题！价格比国内便宜了300多！还有，硬盘上写的中国产品！</t>
  </si>
  <si>
    <t>正品价格优 闪迪全球联保，买回来就直接注册了，价格相比国内优势很大，Prime会员很值，要是亚马逊海外购的售后能再好一些，竞争力就不一般了啊，门槛也会降低很多的。</t>
  </si>
  <si>
    <t>千元内最强耳机 首先标题里的电脑直推是误导，至少集成声卡是绝对不行的 前端用的hud-mx1，效果很棒</t>
  </si>
  <si>
    <t>东西不错的说啊，物流也不错。 东西不错的说啊，物流也不错。两套杯子，很不错的说啊。儿子很喜欢。</t>
  </si>
  <si>
    <t>舒服保暖 很好，很舒服，买了两条，南方冬天可以过冬</t>
  </si>
  <si>
    <t>很不错 吸力很强 不怕摔碰 有利于训练</t>
  </si>
  <si>
    <t>舒适 很舒适的内衣，穿上没有束缚感</t>
  </si>
  <si>
    <t>舒服 穿的很舒服，印度产的</t>
  </si>
  <si>
    <t>大小建议 我身高170，偏瘦！感觉喜欢紧身效果买xs，宽松效果买s</t>
  </si>
  <si>
    <t>质量不错 裤脚有点小，但是穿着还算舒服</t>
  </si>
  <si>
    <t>喜欢 我家宝喜欢用可么多么的，应该是正品吧。</t>
  </si>
  <si>
    <t>买到好运 强烈推荐，买到赢家。</t>
  </si>
  <si>
    <t>不错 质量不错，价格也合适</t>
  </si>
  <si>
    <t>非常舒服 不知道什么原因一直没确认配送 联系过客服才正常发货了 虽然等了那么久才收到 但拿到手觉得值得 日亚包装超好 睡袋做工手感都无可挑剔 舒服的自己都想要一个</t>
  </si>
  <si>
    <t>做工好 价格不贵，不锈钢材质很好</t>
  </si>
  <si>
    <t>耳机刚刚入手，还没煲期待好效果，。 物流相当快，力挺，耳机音质还没仔细去听，期待有好的效果，性价比很高的东西，耳机的耳罩上有点小瑕疵。</t>
  </si>
  <si>
    <t>色差严重。 别的不说，这块色差瑕疵太严重了。</t>
  </si>
  <si>
    <t>大腿包裹不行 大腿的包裹很差，穿两次已经包不住大腿了。和在米果购买的感觉不是一回事啊</t>
  </si>
  <si>
    <t>懒得退货，嫌麻烦 基础款内衣，不聚拢，效果很一般</t>
  </si>
  <si>
    <t>退货 太大了，</t>
  </si>
  <si>
    <t>跟我以前买得粉不一样，而且都是在亚马逊买的。 我以前买的罐子高点，现在矮点。包装变了，以前的粉是粉红色现在是奶白色，以前的有防伪现在没有。是卖假货吗？</t>
  </si>
  <si>
    <t>开胶很严重，而且没有售后！ 鞋子很垃圾，开胶很严重，后来的姐妹千万别买，买就踩雷！</t>
  </si>
  <si>
    <t>整体还好 裤子真的很硬，易脏不好打理</t>
  </si>
  <si>
    <t>太大太大 面料纯棉，手感不错，就是太大了，本来是给老公买的，他173.78kg穿国内ck的l是合适的，这个巨大，请看同样l的对比差异……只好送给我182，90kg的哥哥了</t>
  </si>
  <si>
    <t>推薦指數四星半 春秋穿合適 感覺上身效果比買的另一款拉鏈的好！</t>
  </si>
  <si>
    <t>略长 皮质不错，价格一般，平常穿W29-30的裤子，这个扣最紧的一个洞还是有点松</t>
  </si>
  <si>
    <t>尺码正好 尺码正好</t>
  </si>
  <si>
    <t>工艺、读写速度很棒! 工艺质量、读写速度很棒!</t>
  </si>
  <si>
    <t>功能貌似很强大，待我研究下 露个脸，配色低调，看起来很复杂，高颜值让我欲罢不能。等带个妹纸去海边儿看潮涨潮落！</t>
  </si>
  <si>
    <t>质量好，合身！ 质量可以，171Cm/69kg，31/30比较合适，稍长了一小点，先穿一段时间再说！</t>
  </si>
  <si>
    <t>满意 比较薄，正适合夏天穿。越南产，质量还行。168、85公斤体型，L号（实测胸围106，衣长71）非常合身。亚马逊海购有一定的风险（退换货太麻烦），卖家大多没有详细准确的尺寸描述（这个问题给亚马逊提出过多次、长期的意见，几乎没有改进）。</t>
  </si>
  <si>
    <t>棒 大小非常合适，质量好</t>
  </si>
  <si>
    <t>还行！ 本人没小孩，送朋友的，反馈还行！</t>
  </si>
  <si>
    <t>确实很好用。 很好用的炖锅，汤不会溢出。有点压力锅的效果。另外，外貌也美啊。</t>
  </si>
  <si>
    <t>完美的电脑音箱 我想中美人民的生活质量差距就像是¥160的dostyle和$160的e4.5，都是月薪几千块，生活仅差一耳朵。 快递太暴力，两层箱子都透洞，音箱包装袋子已有裂纹，好在音箱没事，配上电脑完美，未发现底噪和电流声，伪烧友之路至此暂停，再升级就要等先我买个别墅了🏡</t>
  </si>
  <si>
    <t>真的好看 很喜欢 很好看 国内没这个色</t>
  </si>
  <si>
    <t>很棒的鞋子 鞋子很好，很舒服，下雨天可能多多少少有水印，干了就好了。</t>
  </si>
  <si>
    <t>奶瓶非常的好 我家宝宝还在接受奶瓶中，给朋友宝宝用人家都在吃了，我家宝宝真是挑，奶瓶真的很不错，自营都是正品。</t>
  </si>
  <si>
    <t>满意 非常满意的一双鞋，大小正好，颜色喜欢</t>
  </si>
  <si>
    <t>一件值得信赖的牛仔裤。 质量不错，大小合适。</t>
  </si>
  <si>
    <t>不错 鞋子不错，亚马逊海淘速度也挺快的，25号下单,一个星期左右就到了，比买的稍大一点儿，我是270mm的脚，买的102E，应该d就够。</t>
  </si>
  <si>
    <t>全五星产品 非常好用 颜值也高 价格很不错 比国内专柜便宜</t>
  </si>
  <si>
    <t>版型不错 颜色比介绍里比起来更深。</t>
  </si>
  <si>
    <t>值得推荐 非常喜欢，价格合理</t>
  </si>
  <si>
    <t>好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</si>
  <si>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很不错 已经是第二次购买了!依旧很好，你值得拥有！Good！</t>
  </si>
  <si>
    <t>非常好用 轻薄好吸收，味道也很自然，具体效果还需要时间验证，不过因为朋友介绍才买的，她说淡化细纹效果不错。</t>
  </si>
  <si>
    <t>不错 非常棒，物超所值</t>
  </si>
  <si>
    <t>色差严重 色差太大了.实物根本灰色</t>
  </si>
  <si>
    <t>感觉有点偏大 衣服质量不错吧。但是感觉还是偏大了点呐。男朋友身高188cm，体重83kg，可是还是大了好多，只能当睡衣穿。</t>
  </si>
  <si>
    <t>比预想的差强人意 外观好，但是不隔热。按钮比较粗糙 有些松。made in china。按钮上的字，不到一个一个星期就掉了。质量实在一般，不推荐。</t>
  </si>
  <si>
    <t>性价比一般 这个勺子感觉一般，说是能测温度，其实不是很灵敏，有时候温度不高了，勺子颜色还变不过来，实用性不高</t>
  </si>
  <si>
    <t>差 别买，二十就值，硬到没法穿，还特别肥</t>
  </si>
  <si>
    <t>和随机自带的不一样。 和随机自带的不一样。</t>
  </si>
  <si>
    <t>不建议买 硬盘品质差，退货受理慢</t>
  </si>
  <si>
    <t>运动服很不错 经典款的运动服，出去旅游穿不错</t>
  </si>
  <si>
    <t>质地不错 码数大 鞋子挺好的人怕水 英国码 好大 简直大了一个码</t>
  </si>
  <si>
    <t>太大了，和商品描述有差别 太大了，应该再买小一号</t>
  </si>
  <si>
    <t>稍微有些大（整体） 稍微有些大（整体），但领口尺寸似乎稍小</t>
  </si>
  <si>
    <t>很好很划算 很喜欢，在专柜试过，打完折要1250，亚马逊海外购太划算了。只是这个皮质有一个不好，很容易皱，才穿了一次就有痕迹了。</t>
  </si>
  <si>
    <t>不错 包装太简陋了，简直惨不忍睹。上脚太惊艳</t>
  </si>
  <si>
    <t>到底是生存了10多年的耳机，经典的声音啊。 上o2+odac煲机中，如果不追求至极，上个普通外置声卡就可以了。千元以下难逢敌手！</t>
  </si>
  <si>
    <t>非常舒适 非常合适，款式轻盈，喜欢！</t>
  </si>
  <si>
    <t>尺码合适，有些偏窄 尺码合适，有些偏窄，质量不错</t>
  </si>
  <si>
    <t>品质不错 比一般的美款修身，可能是打底衫的缘故吧。</t>
  </si>
  <si>
    <t>最重要还是坚持锻炼 差不多喝了两个半月了 还没喝完 肌肉有点显现出来 至于说是锻炼的结果 还是蛋白粉的促进作用 说不清楚 不过喝习惯了 基本有锻炼就喝</t>
  </si>
  <si>
    <t>CF卡 64G对于单反来说，基本够用了，储存速度快。</t>
  </si>
  <si>
    <t>很好用，性价比非常高。 很好用，性价比非常高。</t>
  </si>
  <si>
    <t>舒服 很不错的表，就是有点硬，搞得手有点疼</t>
  </si>
  <si>
    <t>两个杯子一套组合装 颜色鲜艳，还不错。比较喜欢。</t>
  </si>
  <si>
    <t>挺好的，是日本发过来的 日本到南京，四天收货，比想象中的块。这款240ml的奶嘴是M号的，160ML的奶嘴是SS号的</t>
  </si>
  <si>
    <t>合适匹配 老剃须刀重新焕发活力了</t>
  </si>
  <si>
    <t>不错 不错，挺喜欢的！就是发过来包装太烂了！</t>
  </si>
  <si>
    <t>舒服 鞋子跑步很舒服，很有包裹感，不错，价格也适惠。</t>
  </si>
  <si>
    <t>很不错 东西好，物流也不错，包装也完整，👌</t>
  </si>
  <si>
    <t>好评。 全五分好评。不需要单手开盖的话，这个水杯很完美。枚粉色，颜色也很好看。当时不到100买的。不含税。</t>
  </si>
  <si>
    <t>一直用 姨妈巾也能直邮，太方便了</t>
  </si>
  <si>
    <t>合身，质量不错 颜色好看，穿着合身，物流还可以，10天左右就到了</t>
  </si>
  <si>
    <t>东西很好，不过有点重。 东西很好，煎荷包蛋都不用油。不过有点重，老婆不爱用。</t>
  </si>
  <si>
    <t>很有格调，米饭松软可口。 很有格调，做的米饭也松软可口。</t>
  </si>
  <si>
    <t>尺码很合适，平时穿42，看了评论特意买的8码，超级合适 鞋子是真舒服，比10061舒服多了，轻软，踩上去有SHI感，比较满意。唯一不是很满意的地方就是颜色跟图片比明显深了很多</t>
  </si>
  <si>
    <t>尺码太大 尺码太大，其他牌子我都买的34/30，可这条又大又长，根本穿不了，退货要125元运费，只能送人。</t>
  </si>
  <si>
    <t>做工比较粗糙 穿着比较舒服，但做工比较粗糙，表面还能看到胶。</t>
  </si>
  <si>
    <t>胶圈气味大 没想象中的好，尤其是中盖上的密封胶圈，气味不好。保温效果个人觉得一般</t>
  </si>
  <si>
    <t>样子非常好看，但是质量一般 如果想要追追潮流，不在乎质量，绝对推荐，因为式样超好看，两种鞋带可交替使用。但是puma鞋子质量真的和阿达耐克不能比。质量控慎入~我平时36.5-37的脚，美码一直6.5 这双刚刚好，很合适</t>
  </si>
  <si>
    <t>一团糟的售后 盘体质一般，没有物流包装，商品包装被压变形。同时仍然失望客服，忽悠买家，捣浆糊到客户头上了。</t>
  </si>
  <si>
    <t>质量太烂 才跑了几次就开胶了，这质量太烂了，还没有之前的gt2000耐草，穿起来也没2000软</t>
  </si>
  <si>
    <t>还算满意 鞋子本身是好鞋，但收到货后发现有瑕疵，向客服反馈后很快跟进处理，第一次感受亚马逊的售后，还是满意的。鞋的缺点是自带鞋垫偏硬，但也不是不可接受。</t>
  </si>
  <si>
    <t>好看 好看的！很暖和</t>
  </si>
  <si>
    <t>还行 质量不差也没想的那么好！身高176，体重90kg，肩膀宽，合身略紧</t>
  </si>
  <si>
    <t>大! 表面很漂亮。不过，实在是太大了，是又厚又大。</t>
  </si>
  <si>
    <t>看着不错  效果好追加 收到货了  在超市  效果好来追评</t>
  </si>
  <si>
    <t>还好 颜值高，看到的同事都说好看，马上要了链结。平时36码，买的6长度ok，就是脚宽，套进去有点紧（穿的丝袜），同事说可能为了保暖故意这样设计，希望穿穿能松一点就完美了</t>
  </si>
  <si>
    <t>皮质略硬 鞋型完美 百搭款 皮质略硬 穿两天需要换一双缓一缓  好打理 赢在外形</t>
  </si>
  <si>
    <t>很喜欢 非常好 尺寸款式都很合适</t>
  </si>
  <si>
    <t>靴子有些紧 因为怀孕脚胖了，平时穿39的，这次也买的39的，除了特别紧号码合适，只能等生完孩子在穿了，靴子也很轻。</t>
  </si>
  <si>
    <t>尺码合适 本人177,66公斤，s码完美，穿着舒适，不错。</t>
  </si>
  <si>
    <t>narumi从未失望 和多年前买的同系列17寸蛋糕碟完美搭配，尺寸是我喜欢的，小巧精致</t>
  </si>
  <si>
    <t>大小合适  非常薄  质量挺好 183cm， 86kg  大小合适  非常薄</t>
  </si>
  <si>
    <t>不错，母乳，和奶瓶喂，宝宝都要吃，奶瓶清洗很方便 不错，母乳，和奶瓶喂，宝宝都要吃，奶瓶清洗很方便</t>
  </si>
  <si>
    <t>值得买 非常好，买来游泳正好，防水效果好。</t>
  </si>
  <si>
    <t>好的剃须 机器不错造型也好，使用也顺畅，不再用十年买的双头的了；价格不到1200，打折时买的，只是运输有点慢，半个月后可可能到货。</t>
  </si>
  <si>
    <t>亚马逊的尺码对照表是错的，害我买大一码 赶紧更新吧亚马逊。 舒适度肯定没话说，关键是这个尺码对照表太垃圾了。  我上传了从 Timberland 官方找到的对照表。</t>
  </si>
  <si>
    <t>衣服略长 很柔然，没有束缚感，衣服有点长。标签放在衣角处很贴心，不像一般的衣服都是放在脖子处，每次买衣服回来还要费劲的剪掉，不然会弄的脖子不舒服。</t>
  </si>
  <si>
    <t>效果不错，价格美好 给老妈买的，效果很不错，比之前同品牌的效果还要好，价格太美好了，必须回购</t>
  </si>
  <si>
    <t>心水很久，终于拔草，还这么划算 很好，很舒服，棒棒哒，速度也很快，码子也适合</t>
  </si>
  <si>
    <t>评价 质量很好，很实用的宝贝</t>
  </si>
  <si>
    <t>亚马逊价格真香 马勺三在国内大名鼎鼎，拿到手第一感觉比想象中的小巧，第一耳用手机试听新裤子的歌，感觉没有惊喜，后来用松下的随身cd机听，好一点了，不是发烧友，太专业的不会说，就觉得这声音以亚马逊的价钱来说是值得的，国内电商卖1K个人觉得是不值的，亚马逊不到五百真香，外观是真的满好看的，摇滚情怀，推荐购买！</t>
  </si>
  <si>
    <t>试试美国原装进口的维骨力 试试美国原装的的，与国内售出的相比，瓶子略小，价格略高，药物吃起来味道沒什么区别，看看效果吧。</t>
  </si>
  <si>
    <t>中国制造很强大，自豪的中国人 东西应该还可以吧！只是看到标签上的Made in China，心里还是有点不舒服，第一次在上面买东西，那么长时间又复杂，以为会是进口货，我这个土鳖，没文化真可怕，倒也不是崇洋媚外，只是感觉兜一大圈还报关什么的买回来一个自己国家生产的东西有点无奈，中国制造太强大了，早知道就不那么麻烦了。</t>
  </si>
  <si>
    <t>很好 之前买过一件，好穿得不得了，后来一直缺货，现在有货了，马上买了两件</t>
  </si>
  <si>
    <t>不错 价格不错，包装也很好，无损到手，支持亚马逊海外购，鄙视利时洁，永远不给大陆地区上高端产品。</t>
  </si>
  <si>
    <t>超级舒服 舒服的不要不要的，喜欢，物流超级快。</t>
  </si>
  <si>
    <t>太薄了 太薄了，垃圾衣服</t>
  </si>
  <si>
    <t>包装 买来囤货，包装太简陋了，看起来好不干净</t>
  </si>
  <si>
    <t>大大 大得太离谱，这是什么码?</t>
  </si>
  <si>
    <t>起球很严重 刚穿两次，大面积起球，基本不能穿了，在日本买的不会这样，不知道是不是真的，差评</t>
  </si>
  <si>
    <t>图片与发出来的货不一样 为什么图片是紫色盖子，发出来的货确是白色盖子？与实物不符我不满意，我在美国本地买的都是和你图上一样的紫色盖子</t>
  </si>
  <si>
    <t>挺好的 挺好看的，男朋友说我买的小了。。。。</t>
  </si>
  <si>
    <t>产地不同，产品不同 买了4种颜色，两个产地，做工，材质和版型都略有差别。感觉尼加拉瓜比墨西哥的做的好。尼加拉瓜的更加修身点，材料上更加有弹性点。另外，double black这个颜色的裤子比其他颜色要更宽松写，裤腿下沿比其他颜色要宽。</t>
  </si>
  <si>
    <t>手感不错 还没用，手感不错，不知道宝贝喜欢不</t>
  </si>
  <si>
    <t>鞋 还不错的……可是为啥送货的盒子里没有吊牌呢</t>
  </si>
  <si>
    <t>鞋子很不错 大概是我穿过最舒服的clarks鞋子了.皮料很柔软，很轻薄，夏天穿都不热。运动鞋穿40码的 这鞋子买的uk6的。本以为会有点长，因为以前买过几双clarks的uk6 我穿都有点长，结果这个刚刚合适。太棒了。而且这次物流也很快，感觉比美国快很多 比预期早到一个星期</t>
  </si>
  <si>
    <t>好东西 比我在国内买的酸多了，可能是太纯了吧，看不懂英文，不知道生产日期。</t>
  </si>
  <si>
    <t>渔夫帽很美 帽子很不错，戴上合适！在国内的专柜买不到了，才在亚马逊上买的，米色夏天很百搭，线头基本木有哦</t>
  </si>
  <si>
    <t>赞 很漂亮，超级合适，平时都穿40的，6.5uk。唯一缺点就是鞋垫太光滑了。穿了几周有点变形，因为皮子特别薄特别软，脚细长穿起来就不会走形太多，肥脚，脚面高的，建议仔细斟酌</t>
  </si>
  <si>
    <t>笔中佳品 👍，书写流畅，出墨笔锋佳，很满意。</t>
  </si>
  <si>
    <t>braun 很喜欢这种经典的腕表，家里有好几只手表，最喜欢这款</t>
  </si>
  <si>
    <t>备用以后看效果 买回来备用，好便宜啊，国内买个滤芯就要1000了</t>
  </si>
  <si>
    <t>很好 正试用中，感觉挺好的！</t>
  </si>
  <si>
    <t>很适合夏天，很舒适 很适合夏天，很舒适，没有紧勒感，也不会滑脱或移位，包装也考虑了细节，已继续购买了。</t>
  </si>
  <si>
    <t>不错 款式不错，与预想的一样挺合身。</t>
  </si>
  <si>
    <t>好 好看，舒服，大小合适</t>
  </si>
  <si>
    <t>物超所值 材质非常滑顺轻柔，贴在皮肤上很舒服</t>
  </si>
  <si>
    <t>是一款比较实惠的家居服。 比较肥大，非常适合做家居服。</t>
  </si>
  <si>
    <t>很给力 习惯了过滤一次才煮水喝，这是第二个了。</t>
  </si>
  <si>
    <t>1 174.140斤穿s正好，美版袖子略长</t>
  </si>
  <si>
    <t>慢慢适应 宝宝习惯了zoli的杯子！一开始有些抗拒</t>
  </si>
  <si>
    <t>推荐购买 这双鞋采用了CUSHION PLUS 科技，官网解释：精确定位、采用针对性结构的双密度缓冲技术，可缓解前脚掌压力，符合自然行走时足部的生物力学特点，让双脚保持舒适。鞋面材料皮革，鞋里材料主要是织物，鞋口有一圈羊皮，鞋底为橡胶，鞋型较宽，推荐脚型短宽人士购买。</t>
  </si>
  <si>
    <t>设计科学 特别科学，很好用，不漏奶</t>
  </si>
  <si>
    <t>好 奶瓶传热很快，手感好，奶嘴不容易产生乳头混淆</t>
  </si>
  <si>
    <t>一如既往的好用 不错，包装仔细，一如既往的好用～一下整了俩！</t>
  </si>
  <si>
    <t>很好 做工精细，材料厚实，不错。以前买过一个不锈钢的要用滤纸，这个完美不需要。说是六人份，一个马克杯都倒不满。</t>
  </si>
  <si>
    <t>尺码偏大 尺码有些偏大，181cm86kg经常健身穿L码感觉大了，太宽松了</t>
  </si>
  <si>
    <t>满意 去专柜试过才来买，要买小一个码数，这个有点偏大！很舒服很轻，价格很美！从日本寄过来也只有几天时间！超级满意的一次购物了！</t>
  </si>
  <si>
    <t>买小了！ 修身版、纯棉、稍微有弹性、有点粘灰、172、70公斤买的小了！更适合中等身材、年龄大点的人吧！</t>
  </si>
  <si>
    <t>塑料部分是败笔，开裂后漏水就不能用了 壶很好用，烧水快，材质安全。不过就是塑料部分开裂，寿命太短了。</t>
  </si>
  <si>
    <t>码小！标的不清楚 码太小！儿童的吧 155高90斤左右可穿</t>
  </si>
  <si>
    <t>走进科学之我是如何花钱买了一件垃圾 新拆封。真的很糟糕，线头特别多，料子特别差。这是商家的谎言，还是道德的沦丧？欢迎收看本期《走进科学之我是如何花钱买了冠军牌的垃圾裤》。附图。一星都嫌多。</t>
  </si>
  <si>
    <t>R U KIDDING?! different color…</t>
  </si>
  <si>
    <t>样子不错，跑步减震可以，不适合平时穿，板脚、累、不舒服 样子不错，跑步减震可以，不适合平时穿，板脚、累、不舒服</t>
  </si>
  <si>
    <t>上手好看 灯不够亮，持续时间太短，产品问题，与亚马逊无关</t>
  </si>
  <si>
    <t>好 比想象的大 很好看的黄色</t>
  </si>
  <si>
    <t>想保温的慎买 不漏水，但是真的一点也不保温</t>
  </si>
  <si>
    <t>太大了 颜值高，质量也不错。</t>
  </si>
  <si>
    <t>比淘宝便宜很多 喜欢，第一次海购，就是关税太贵，没办法国内造不出来</t>
  </si>
  <si>
    <t>描述详细。 衣服和预想的评价一样，比较硬，不过不会皱，穿一段时间就会习惯，会有点起毛，价格很亲民，本人175身高，60公斤，穿这个码数刚刚好。</t>
  </si>
  <si>
    <t>质量不错 东西质量还不错的，就是有点小了，挺薄的，长得算秀气，物流很快，比较满意。</t>
  </si>
  <si>
    <t>睡衣 领子不挺，外穿不合适，只能做睡衣</t>
  </si>
  <si>
    <t>包包瞒好的，瞒喜欢的 是真皮，皮质柔软耐看，外观设计也很好，大小适中，可能男性用有点偏小。总体来说，还可以，瞒好的。</t>
  </si>
  <si>
    <t>裤筒比较肥大 腰围和长度都是和我选的号很匹配，就是裤筒感觉比想象中要肥的多</t>
  </si>
  <si>
    <t>鞋子鞋子很好看，上脚舒服很好看，上脚舒服 鞋子很好看，上脚舒鞋子很好看，上脚舒服服鞋子很好看，上脚舒服</t>
  </si>
  <si>
    <t>很喜欢 宝宝很喜欢，可以转移宝宝注意，减少吃手手。美亚直邮也比较放心，嘴里的东西实在怕买到假的。</t>
  </si>
  <si>
    <t>漂亮 柔软的面料，很舒服。</t>
  </si>
  <si>
    <t>以前都不去评价 东西真的好！ 比国内 不知道便宜多少相当于3折！很好然后评价完哈可以拿积分！ 以前都不去评价 东西真的好！ 比国内 不知道便宜多少相当于3折！很好然后评价完哈可以拿积分！</t>
  </si>
  <si>
    <t>有点大 稍微有点大，做工很好</t>
  </si>
  <si>
    <t>合身，不错，正品 很好，布料柔软，手工剪裁不错，属于标准型。我188㎝，86㎏，选了L，刚好。</t>
  </si>
  <si>
    <t>秋裤一样薄！！ 太太太太薄了！！秋裤的厚度！不是卫裤</t>
  </si>
  <si>
    <t>买家 衣服面料可以的，做工不是很精致，刚买的还没有到达商家就降价了！购买时还忘记免邮了.....</t>
  </si>
  <si>
    <t>硬盘很好 硬盘已分区，很实用，超静音，传输速度也很快，把家里几个硬盘的资料都做了备份。</t>
  </si>
  <si>
    <t>比国内的运动鞋大半码，其他满意 比国内的运动鞋大半码，其他满意</t>
  </si>
  <si>
    <t>第一次下海没翻船 鞋子7天就到了，拿到是确认是全新的，没什么问题。冬天穿着特别舒服。</t>
  </si>
  <si>
    <t>更喜欢香蕉 宝宝更喜欢香蕉款，香蕉更好拿得稳，不过我是有了香蕉了才多给他买个章鱼换换心情的</t>
  </si>
  <si>
    <t>赞 偏大，但很保暖，虽然没有450d的感觉，但绝对有300d的效果，关键还那么薄，比起某些品牌好很多，已回购</t>
  </si>
  <si>
    <t>质量好 很好，虽然价格和国内差不多，但是听说日本的质量好。</t>
  </si>
  <si>
    <t>漂亮 囤货中，宝宝还没有能用呢</t>
  </si>
  <si>
    <t>不服帖 穿着不舒服，不合适，质量不错，不过价格算便宜</t>
  </si>
  <si>
    <t>怎么选适合自己的腰围尺寸。 腰围过大，我选的是40W的腰围，40×2.54=101.6cm，可是实际有107cm，是我算错了还是什么原因不知道。</t>
  </si>
  <si>
    <t>不太建议购买 165/118 腰围71臀围94 号码过大 黑色掉色 如果垫姨妈巾 姨妈巾撕下来接触面全是黑色的毛毛</t>
  </si>
  <si>
    <t>尺码不准色差大 码数不准码数不准一会小一会大，色差也很大，衣服颜色很暗很暗</t>
  </si>
  <si>
    <t>坏的也能拿出来卖的吗？？？ 钢笔送到我很开心的去拿 结果发现是的坏的！！！</t>
  </si>
  <si>
    <t>不像正品 烂货！！失望啊！才洗过一次，就起毛球！！</t>
  </si>
  <si>
    <t>衣服柔软舒适 衣服面料很柔软，穿着舒适，唯一感觉不足的就是袖子很紧，属于修身版型，带有收腰</t>
  </si>
  <si>
    <t>手表还是可以的，有强迫症的慎重考虑 优点： 1.外形还可以2.时间还算是比较准误差不是很大3.功能多虽然实用性不强 缺点： 1.其他评论都是真的秒针是偏的对不准刻度，强迫症慎选，虽然秒针没什么软用，但是看着确实不舒服 2.表带刚拿到是类似磨砂的感觉的，然后带了几天经常摩擦的地方就会出现磨光的感觉（自行脑补），有的磨光有的磨砂，看起来感觉很脏 3.秒针转动的声音确实大 基本上这个价位算还是可以买的</t>
  </si>
  <si>
    <t>还可以哦 还算可以……质量不错……价格耶不错……</t>
  </si>
  <si>
    <t>只能用于存储。 只有30MB/S，不是太理想，是受限于转速较慢。</t>
  </si>
  <si>
    <t>稍微有点大 以前买的同一牌子的内裤，M号有点小，这次选了L，有点偏大。穿着舒适，感觉还好，一次买了4条。</t>
  </si>
  <si>
    <t>实用方便 带适配器，非常好，可以多用途，传输速度快</t>
  </si>
  <si>
    <t>推荐 孟加拉产，做工质感比墨西哥产的好. 低腰，弹性很大，裤腿很细.很适合年轻人，性价比很高.</t>
  </si>
  <si>
    <t>还不错 172，75 KG  30/30  ,刚好</t>
  </si>
  <si>
    <t>衣服挺合适的 衣服是适合的，175cm，62Kg，</t>
  </si>
  <si>
    <t>不偏码很合身 L码胸围53cm，尺码表的数据不准，基本不偏码，很合身。</t>
  </si>
  <si>
    <t>还行 还行，尺码合适。1米7，72公斤M合适。</t>
  </si>
  <si>
    <t>价格特别美丽 黑五抢的，1200多一点两支套装，用到现在，特别合算。</t>
  </si>
  <si>
    <t>整体满意，和预期有点小差异。 174cm，62kg，29w*30L合适。 水洗的比较厉害，刚到手都是线屑。</t>
  </si>
  <si>
    <t>很好 用这个宝贝会喝水了，再也不用勺喂到处流了。</t>
  </si>
  <si>
    <t>不错 日常补货</t>
  </si>
  <si>
    <t>多囤点总没错 够用一段时间了，这个价钱合适适合多囤</t>
  </si>
  <si>
    <t>尺码偏大 老公穿180/100的号，这个牌子买L码偏大，应该买M的合适，但是退换货麻烦，大一些也能将就穿，之后再买这个牌子都买M码</t>
  </si>
  <si>
    <t>不好挑尺寸呀 怎么每个国家的L都不一样的呀……日本的偏小。欧美的偏大</t>
  </si>
  <si>
    <t>平时85B，这个尺寸正好 平时85B，这个尺寸正好。</t>
  </si>
  <si>
    <t>不错 有些褪色，穿着舒服大方，不错的</t>
  </si>
  <si>
    <t>不错的瓶子 金棕色带闪光的，磨砂质感，有种低调奢华的感觉。</t>
  </si>
  <si>
    <t>很棒的裤子 同时买了两条lee的裤子，这件非常的舒服，另外一件面料太硬、蹲下都不方便，穿袜子都困难。总而言之这条裤子非常棒，值得购买。</t>
  </si>
  <si>
    <t>很赞的设计和面料 如介绍般舒适，尺码版型面料都满意。ok👌</t>
  </si>
  <si>
    <t>还会再买 质量好 大小合适 颜色也是我喜欢的</t>
  </si>
  <si>
    <t>OMG OMG这个颜色也太好看了吧！买它！</t>
  </si>
  <si>
    <t>奶瓶没问题，跟我之前美亚海淘的一样 这个奶瓶我已经帮朋友带过不知道多少个，除了有时候快递不走心盒子压扁了没出过问题，看到评论里那么多怀疑真假的很可笑，我之前找代购给我女儿在美亚买的转运回国，跟在亚马逊海淘的一模一样。单个的能扫码，套装扫码扫不出来，但东西都是一样的，所以那些吹毛求疵党请移步母婴店，你买贵的好啦，不要误导人！严重怀疑是对手派来的托！我认识的代购也经常团购美亚的东西，亚马逊真是美帝良心企业，拜托不要为了一己之私胡乱攀咬OK?我女儿天天用这个奶瓶喝水喝奶，漏水是因为拧太紧里面的硅胶垫变形好不啦！</t>
  </si>
  <si>
    <t>大小合适，性价比高 购买的45号的，穿着还不可以，号码大小合适。</t>
  </si>
  <si>
    <t>值得拥有 很好 不易刮坏 不漏水的</t>
  </si>
  <si>
    <t>还不错 虽然是几十块钱的便宜货，但毕竟是卡西欧的，质量还是不错了，样子也还好，挺耐看的，推荐给需要手表又囊中羞涩的兄弟，想用它炫耀的话就免了</t>
  </si>
  <si>
    <t>包装极其简陋 13年的款，包装简陋的令人心寒，希望上身效果不错</t>
  </si>
  <si>
    <t>中国产 这包装感觉买了JH或者次次品。。</t>
  </si>
  <si>
    <t>要求处理 商品扫描与货物不符，没有吸墨水管子，只有一次性的墨水管</t>
  </si>
  <si>
    <t>没有电源线 收到货物缺少电源线，联系客户，还要1月的处理时间</t>
  </si>
  <si>
    <t>Champion的尺码表还是很准确的 当然  我一开始没信 照之前的美系经验来看  S都是刚刚好的 175公分  72公斤 S的实际表现就是，静态下一切安好，动起来就牵牵扯扯。 按尺码表我是很确切的M。 将就着用用咯。</t>
  </si>
  <si>
    <t>37码宽脚，穿着横向合适，长度略长了些 37码宽脚，穿着横向合适，长度略长了些，皮子很软，所以脚型不好的自己考虑</t>
  </si>
  <si>
    <t>和图片色差严重 买了一双tarmac，漂洋过海了10天。颜色就是军绿色，和图片不一样，葡萄牙产的，做工线头处理的不好，第一双Ecco鞋，不好说什么。平时穿欧码40的皮鞋，这个也是40，穿上脚尖有一点空隙。看来Ecco的鞋普遍偏大一点。带的鞋垫很单薄。希望穿着舒服。</t>
  </si>
  <si>
    <t>注意尺码 印尼产，买小了半码，穿上刚好，这款比较窄，脚宽的可以适当大半码，看好尺码，尺码是美国码，对照表是欧码，不注意就会选错码，不过鞋子很漂亮。</t>
  </si>
  <si>
    <t>还行 178cm，83kg，L号，略有点大，供参考。衣服本身做工还可以，菲律宾产，……</t>
  </si>
  <si>
    <t>尺码偏大 170，体重54，客服推荐M太大了，换了S比较合适，略有弹性穿着舒服</t>
  </si>
  <si>
    <t>正品，质量好，速度快 挺好的，是正品底软，平时穿35.36，选的3-4码的。</t>
  </si>
  <si>
    <t>新款 你们买的时候没看见上面写的是新款吗？新款就是薄，各位</t>
  </si>
  <si>
    <t>不错 还不错，可以剃圆头了，俗称西瓜瓢</t>
  </si>
  <si>
    <t>确实是好表，亚马逊自营店放心 很好，大小合适，是正品</t>
  </si>
  <si>
    <t>适合运动时穿 之前买过短袖版的觉得还不错，就又买了件长袖的，和短袖的一样，穿着舒适透气性好，适合运动时穿，比较满意</t>
  </si>
  <si>
    <t>看着不错,比一般的背心大 173CM 100KG,穿XL正好,就是衣服有点长</t>
  </si>
  <si>
    <t>衣长 很好看，可是有点长</t>
  </si>
  <si>
    <t>比国内大两号 我爸178，90公斤还多点儿，xl合适</t>
  </si>
  <si>
    <t>好 全棉内裤穿着比较舒适，高腰也比较适合我，喜欢。</t>
  </si>
  <si>
    <t>简约的美 从小学开始就有戴表的习惯了，之前带过好多，但现在想起来，表最主要是用来看时间的，外边的虚华，靓丽，掩盖了表的真正意义···  简约的风格，我觉得是一种大气的表现，简约而不简单，呵呵！</t>
  </si>
  <si>
    <t>质量还可以 质量和预期的一样，刚穿几天。</t>
  </si>
  <si>
    <t>女生穿M有点oversize 但就是我想要的效果 女生穿M有点oversize 但就是我想要的效果 衣服长度 是有点长 但是并不是非常长 穿起来还是很舒服的</t>
  </si>
  <si>
    <t>良心制造，继续购买 全棉，印度产。非常舒适，用料实在，会继续买</t>
  </si>
  <si>
    <t>符合预期 杯子不错，唯一可惜盖子材质是塑料的</t>
  </si>
  <si>
    <t>包装完美 手表包装非常好 给老爸买的 他非常喜欢</t>
  </si>
  <si>
    <t>蛮不错的鞋 平常43码，买的9.5uk，大小合适颜色正。鞋底舒适度不错，但自感稍差于三瓣鞋。多配送了一双深色鞋带，已替换了原白色鞋带。</t>
  </si>
  <si>
    <t>舒适有型 舒适有型，太平公主的福音，冬天穿也不冷，不知道夏天会热否。已经等不及夏天又入手一件，哈哈</t>
  </si>
  <si>
    <t>物超所值 不到千元的价格能买到劳力士外观，西铁城机芯，美国品质的手表，优惠完之后和美国代购差不多钱，极具性价比</t>
  </si>
  <si>
    <t>很不错 朋友说穿着很舒服，下次再买小一个尺码试试看</t>
  </si>
  <si>
    <t>物有所值 粗细适中，书写流畅，握持舒适，质感高于乔特系列。</t>
  </si>
  <si>
    <t>感觉东西是旧货。不知道要不要留 杯上有灰尘，没有传说中的彩色外箱，刀片上的logo看着是有棕色痕迹，不知道是旧货还是残次品？这么贵这么远买来，心里真不舒服。</t>
  </si>
  <si>
    <t>一般般 快递速度是蛮快的，但是质量确实不怎么样，线头不自己弄下都要散开了，穿了一个星期，袖子部位有点毛球起来了，产地是洪都拉斯，质量确实没有国产的好</t>
  </si>
  <si>
    <t>应该不会再买这牌子了。 优点:鞋子穿着好看，起码增加四五厘米的高度，是可以防水。 缺点： 舒适度一般，甚至讲不上舒适，花这八九百的钱感觉还是不太值得。鞋垫底是纸皮底，就那么两层硬纸皮加个像棉布的鞋垫， 产地是越南。 另原则性问题上，现在比较排斥美国，有可替代的尽量应该选择国产的。</t>
  </si>
  <si>
    <t>质量问题，使用第一次就充不上电 拆封使用第一次放完电，然后就充不上电了，指示灯都不亮，差评！ 追加：为亚马孙客服点赞，服务态度和处理情况很满意</t>
  </si>
  <si>
    <t>赶上完美奶瓶 开始买的时候看评论很担心  有人说包装不好吧  里面脏吧  有毛吧  什么的  但是还是觉得特别实惠又实用  就还是买了  收到以后没有别的买家说的那些问题  赶上好货很开熏  质量什么都挺好的</t>
  </si>
  <si>
    <t>不好，不推荐 一点都不好，不透气，做工粗糙，尺码不准！</t>
  </si>
  <si>
    <t>不错 给老婆买的，薄，面料还可以，舒服不起球。乳白色，不是纯白，领子有点大。</t>
  </si>
  <si>
    <t>不错，基本满意 靴子到手，还不错。这次尺码可以，脚长255，NB穿US8，这个刚开始卖的UK7太大，这次重买，真好有US 7宽版的，上脚后正好。试过US7标准宽度的比较挤脚，所以这些大家买小一码但是要选宽的，英国码没标宽窄比较讨厌，给大家一个参考。 此外鞋面有一点小瑕疵，有两个油漆点如图</t>
  </si>
  <si>
    <t>小巧玲珑的包包 夏季 装些小零碎 手机钥匙之类 零钞 OK</t>
  </si>
  <si>
    <t>不错 屌丝表，走时准确，带夜光表盘，总体不错，只是声音有点大，表带有点硬，缝线和边缘部分需要打磨一下。这个价钱还行，毕竟一分价钱一分货。</t>
  </si>
  <si>
    <t>值得 很合身，穿着非常舒适。</t>
  </si>
  <si>
    <t>美国直邮还是很快的 韩国产的，没有评论中其他人说的不锈钢和塑料层松的问题，做工很好，水杯要是也有盖子就好了</t>
  </si>
  <si>
    <t>宽版的很好 很好，宽版的前脚掌很舒服，版型也很好看</t>
  </si>
  <si>
    <t>很轻薄 很轻薄很舒适，非常适合秋冬，一点都不勒人，睡觉穿着也没问题</t>
  </si>
  <si>
    <t>质量好 穿戴舒服，也是实用！</t>
  </si>
  <si>
    <t>完全匹配，价格适中 完全匹配，价格适中，不错</t>
  </si>
  <si>
    <t>尺码标准，面料较薄 ，样式属于修身的，不是那种肥腿的。适合盛夏，去年买过类似的，反正这个价钱，穿一季就知足了</t>
  </si>
  <si>
    <t>不错的 质量非常好，很厚实。</t>
  </si>
  <si>
    <t>舒服，适合瘦脚 完全不磨脚，虽然有些硬但是很舒服，鞋型比较瘦，幸好买大了半码，总得来说就是很值啦</t>
  </si>
  <si>
    <t>好音箱 必须好评，高低音均衡，尤其是低音，绝对震撼。整体解析度也不错，细节清楚。听交响乐，空间感出来呢，各种乐器声不混浊，声场、动态不错。要说缺点呢，就是中频差点，听起来少点韵味，高音也不够亮，但一般听音乐、看电影足够呢。综合价位来看，稳胜惠威和漫步者（3000内甚至5000的音箱），比真力或丹拿肯定还是有差距，毕竟价格在那，一句话，好音箱，3000内无敌手。</t>
  </si>
  <si>
    <t>便宜 便宜，囤货.含税214</t>
  </si>
  <si>
    <t>不错。 娃很喜欢吃，个头不大，酸甜的，偏酸吧。</t>
  </si>
  <si>
    <t>不错 穿着感觉蛮好，平常在国内是买42吗的</t>
  </si>
  <si>
    <t>带上比较舒服，音质还成 按照这个价格来说，音质不错。开放式的耳机，肯定会有露音，不过也可以听到外界的声音，然后声场确实不清楚。</t>
  </si>
  <si>
    <t>Lee 女式长袖弹力牛津上衣 超值性价比，野外穿着十分好</t>
  </si>
  <si>
    <t>的确不错 不错 特价入，配送很快，好用。赞一个</t>
  </si>
  <si>
    <t>不错 很不错，使用起来挺好用</t>
  </si>
  <si>
    <t>物流很快 本人身高173cm，体重74Kg，穿着很合身，给各位一个参考，做工与材质都不错，价钱比国内便宜</t>
  </si>
  <si>
    <t>喜欢 衣服稍厚，但还行</t>
  </si>
  <si>
    <t>很好用 挺好用的，价格优惠，传输速度挺快的，整体满意</t>
  </si>
  <si>
    <t>很舒服 很喜欢，就是鞋内底的字穿了一次就掉了</t>
  </si>
  <si>
    <t>商品描述太少，性能不能让客户了解全面 鞋底太硬，穿着不太舒服</t>
  </si>
  <si>
    <t>柔软舒适，带子有点松 很美的设计，背后交叉。面料非常柔软舒适，罩杯大小刚好。带子比较细，有弹性，所以胸大的话，支撑不会强，而且穿一段时间，会觉得更松了。建议买时选紧一些的尺寸。</t>
  </si>
  <si>
    <t>包装太差，快递暴力 滤芯包装一点都不好，漂洋过海就包了一层，而且没有固定，收到的时候最外面的包装已经坏掉，只剩下产品自身的一层轻薄的盒子。快递很差劲，产品很好，包装差评</t>
  </si>
  <si>
    <t>鞋子掉色 鞋穿的是舒服，就是皮子掉色。</t>
  </si>
  <si>
    <t>短裤材质不好，夏天穿比较厚重，是聚酯纤维的。 短裤材质不好，夏天穿比较厚重，是聚酯纤维的。长度可以，差在比较宽肥。</t>
  </si>
  <si>
    <t>烂到家 不知道哪里好了，非常薄，不保暖，差评，日本也有烂东西。</t>
  </si>
  <si>
    <t>有些小了 按照评论选的尺寸，不想有些稍紧。线头有些多</t>
  </si>
  <si>
    <t>临期 日期不咋地，2018年3月</t>
  </si>
  <si>
    <t>快递不靠谱 第二次购买，东西还是很好的，dhl不靠谱，还要收取53元仓库管理费，最后虽然协商解决了，亚马逊客服让客户自己联系快递，快递是你们找的，让客户自己联系，不负责，打了n个电话，最后解决了</t>
  </si>
  <si>
    <t>性价比高 1.72米63公斤买S号刚合适，和国内专柜比价钱便宜好多。</t>
  </si>
  <si>
    <t>样子蛮好的 衣服不错适合秋季穿着</t>
  </si>
  <si>
    <t>快遞也太快了 真不敢相信我買的這是海外商品，15號淩晨下單居然17號中午就到了。Σ( ° △ °|||)︴包裝完好，晚上回去測測速度與激情再說</t>
  </si>
  <si>
    <t>完美的体验 实在太硬了，生生把我脚踝左右两边剐了两块肉……整整两个月才长回去。一年多后才写的评论，后面的美女们，谁买谁shangdang。正品？！这种体验真是无语了</t>
  </si>
  <si>
    <t>喜欢 大小合适，面料好，做工也好</t>
  </si>
  <si>
    <t>可以，略长。 最小号s相当于m了，167穿起来显得下摆很长，肩宽刚好合适，可惜没有xs。</t>
  </si>
  <si>
    <t>挺好的 挺好的，很舒服，就是有点儿不紧身。</t>
  </si>
  <si>
    <t>蓝牙功能怎么办 东西不错，高大上，，，现在唯一的问题，蓝牙功能在中国不能用，太遗憾了</t>
  </si>
  <si>
    <t>看起来不错 还没用，囤货中，应该不错</t>
  </si>
  <si>
    <t>衣服很合，穿着挺舒服的。 衣服很合，穿着挺舒服的。</t>
  </si>
  <si>
    <t>很大 真是胖子的福音，3XL超级超级大，230斤的大胖子穿都有点大，以后大胖子的衣服不愁了，哈哈</t>
  </si>
  <si>
    <t>CK内裤三条 很舒服，很喜欢，颜色也喜欢</t>
  </si>
  <si>
    <t>还行 很喜欢</t>
  </si>
  <si>
    <t>刷头很好 物美价廉 刷头质量一如既往的好朋友以后买刷头只到你家买 不用再操心去选了</t>
  </si>
  <si>
    <t>不错 衣服不错，就是偏大了一点，身高177/85，穿L大，穿M小，纠结</t>
  </si>
  <si>
    <t>为了戴手表才买的 很久了，怕戴手表，主要是麻烦。遇见这个光动能，就免去了很多烦恼。的确不错，会推荐给朋友。</t>
  </si>
  <si>
    <t>好 好，不错</t>
  </si>
  <si>
    <t>第一块日本表 喜欢这个颜色，有光线就能走，性能没的说。唯一的遗憾是不带夜光</t>
  </si>
  <si>
    <t>比国内买便宜 没啥说的吧，比某东便宜点，10支够用3年了</t>
  </si>
  <si>
    <t>因为孕期耻骨痛购买的，有缓解。 因为孕期耻骨痛购买的，有缓解。</t>
  </si>
  <si>
    <t>穿了很久后再评价 很舒适，lee牌的牛仔裤穿上身就是感觉舒适。</t>
  </si>
  <si>
    <t>正品保温效果没得说，主要是颜色很难得🌹 杯子超级棒🌹颜色很少见，我喜欢</t>
  </si>
  <si>
    <t>维保 美国发来的货，看到了关税记录。用了几天，装了2T，质量可以。声音微响，传的速度不快20M/s左右，最让我担心的还是维保问题！以后坏了去哪里修..</t>
  </si>
  <si>
    <t>宽松版型，不要被标题骗了 裤子是宽松版型，裤子上写的relaxed fit，居然能标成修身版型！</t>
  </si>
  <si>
    <t>JBL  原产地东莞  价贵  耳机跟没带一样 耳朵疼 总评，不建议买 原因：1,  5米内就特别容易掉线，靠近了自己会重连   2，耳机戴着挤耳朵，不到1小时，疼的很   3，做工也就那样吧，我看了包装盒，原产地～广东东莞，当时就在想～智商税交的值呀   4，苹果手机音量最小，可以真正发挥耳机作用，开两小格音乐都不行，要是3～4格基本跟外放差不多了，越往上就可以直接拿掉耳机开外放了   5，综上所述，这个2百多，一点不值，望慎重购买！！！</t>
  </si>
  <si>
    <t>不知道 受误导，号大了，却不能换码</t>
  </si>
  <si>
    <t>不真 这个帽衫，洗衣机洗一次买洗衣机都是衣服上掉下来的屑屑，衣服本身也是沾满屑屑，假的无疑！真的不是这个质量！amazon居然卖假</t>
  </si>
  <si>
    <t>质量 为什么才用1个月五金就掉漆了？</t>
  </si>
  <si>
    <t>包装简单，防撞措施要做好 打开包装，发现容器把手裂开了，郁闷😒，相比国内其它购物平台，亚马逊的包装太简单了</t>
  </si>
  <si>
    <t>款式和质量都不错 平时穿36码，看评论后还是按正常码买，结果大了半码的样子。</t>
  </si>
  <si>
    <t>还不错 我觉得尺码挺大，所以欧美人穿可以，我还想买</t>
  </si>
  <si>
    <t>还算满意。 时间还算准时，但是快递哥的电话被标记为骚扰电话。送的云端储存华而不实。并不好操作。</t>
  </si>
  <si>
    <t>科林入手 非常合脚，皮革柔软，非常喜欢😘</t>
  </si>
  <si>
    <t>好评 很好。比国内版本做工要好</t>
  </si>
  <si>
    <t>满意 面料可以。比想象的大些</t>
  </si>
  <si>
    <t>舒适 穿着很舒适，码很标准，透气性也好。</t>
  </si>
  <si>
    <t>速度很快的相机卡 喜欢 就是太贵了 速度很快的相机卡 喜欢 就是太贵了</t>
  </si>
  <si>
    <t>性价比高 质量很好，弹性十足，比国内码小一个正合适。</t>
  </si>
  <si>
    <t>经典款，码数正 平时40码，买了7US，合适，不过脚大建议买大半码</t>
  </si>
  <si>
    <t>产品质量和服务 非常好的一款，里面还有各类贴纸，孩子非常喜欢</t>
  </si>
  <si>
    <t>性价比超高 比某东某宝上的便宜，性价比超高。</t>
  </si>
  <si>
    <t>177cm，63kg，非常合适 177cm，63kg。非常合适。薄款，很舒服。</t>
  </si>
  <si>
    <t>好箱子，毋庸置疑！ 萝卜青菜，各有所爱，每个人要求不同，再好的产品都众口难调。本人有一对E8+T10在客厅看电影用，听多了监听的声音每次在书房打开漫步者C2近场听歌时总觉得不舒服。换E5？觉得开关电源及调音量左右箱都是单独控制未免太啰嗦了，再说在书房上上网玩游戏要那么大功率干嘛呢？本着实用的原则用这个换了C2。下单的第三天E4.5就到了，接上电脑，用这个牌子499秒的的外置声卡解码，箱子里传出干净、层次分明的声音，坐在电脑前感觉非常舒服。低音？够啊，要那么多干什么，天天轰轰轰的头其实并不舒服。这本来就是近场箱，单元是小环境近场听的，有些人无聊硬和大喇叭或放到大房间去比低音。我那套5寸中低频的安桥组合755花了几千块，低频是足很多，但是5寸的喇叭低频做足了声音层次很差，声音也不干净了。就连Bose小喇叭低频做得很足也都是同样的问题。个人觉得声音是来聆听的，不是天天拿了闹哄哄轰头的。总之，再好的东西也要用对地方，正确的对待。这个不到一千块的价格只能用到这么些材料做出性价比如此好的产品出来已经非常不错了。那些所谓的金耳朵就不要瞎起哄说这对箱子不好了，能和几千块一只的喇叭去比吗？大部分情况下在他的正常工作范围内能听出几千块音响的很多素质我们还需要苛求什么呢？</t>
  </si>
  <si>
    <t>物美价廉 价格和产品质量很匹配。</t>
  </si>
  <si>
    <t>价廉物美 好东西，便宜，不过不是行货没有积分拿。</t>
  </si>
  <si>
    <t>好 书写非常好，粗细程度适中，大爱亚马逊</t>
  </si>
  <si>
    <t>非常棒！ 和预计一样合适，172-70买M刚好，袖子肩膀比较宽大，其他很合适，短款，显腿长。做工真心不错，面料手感很好！没什么味道，包装一般，不过漂洋过海能保持完整不错了。价格是国内一半，号码比较齐。</t>
  </si>
  <si>
    <t>不错，好像比带两个香蕉皮的那款长一点 价格实惠不用海淘了，买了不少都是啃啃就扔，让宝宝试用了朋友家的香蕉几次还可以，这里又价格好，送货快，直接买了 和朋友海淘的带香蕉皮的那款比长一点，觉得这款更加好，实用，并且宝宝不习惯香蕉皮碍事</t>
  </si>
  <si>
    <t>造型有点浮夸 价格实惠，比国内便宜很多，造型有点浮夸，可能大码就够了，买了加大，国内穿加大，可能就大半个码到一个码，没有别人说的大两个码</t>
  </si>
  <si>
    <t>还凑合 中国制，感觉没有印尼的做工好，外观和内里面料见图</t>
  </si>
  <si>
    <t>粉 值得购买，质量放心，下次继续</t>
  </si>
  <si>
    <t>维骨力 买给妈妈吃的，但据吃过的同事说吃了对胃的消化不太好，但对软组织确实有作用。</t>
  </si>
  <si>
    <t>尺码 按照标的尺码写的 有点过大了</t>
  </si>
  <si>
    <t>入门好选择 很好，小巧不占地方。运作时声音不小，但好在时间短，储水仓容量不大，常加水就等于常换水，挺好的。暂无质量问题</t>
  </si>
  <si>
    <t>好评 价格实惠，发货和配送效率很高，关键还是正品，好评！</t>
  </si>
  <si>
    <t>不错 整体还不错，所以会继续购买</t>
  </si>
  <si>
    <t>很折腾的一次… 刚到就坏到了，控制板故障（国内售后检测）博世的品控不该如些糟糕啊，退货邮费比商品还贵，亚马逊到是负责，推荐国内售后，费用也全部报销。机器到是挺好用，但新机器到手就修，心里还是不舒服，两颗星，一颗给亚马逊售后，一颗给博世售后。</t>
  </si>
  <si>
    <t>儿童勺 中看不中用，弱爆了！浪费钱的餐勺。</t>
  </si>
  <si>
    <t>不透气，质量一般 不透气啊，闷。款式还好。感觉不值1100+，质量一般。</t>
  </si>
  <si>
    <t>偏大 裤子太大了  平时穿32的  这个12码大好多</t>
  </si>
  <si>
    <t>底座和壶身极度不贴合 &lt;div id="video-block-RPMVH7MCUKM0H" class="a-section a-spacing-small a-spacing-top-mini video-block"&gt;&lt;/div&gt;&lt;input type="hidden" name="" value="https://images-cn.ssl-images-amazon.com/images/I/71i1TlhREdS.mp4" class="video-url"&gt;&lt;input type="hidden" name="" value="https://images-cn.ssl-images-amazon.com/images/I/A1KqbnQfMfS.png" class="video-slate-img-url"&gt;&amp;nbsp;底座和壶身不贴合，摇来晃去，水开后该情况更为明显。 相当不满意。</t>
  </si>
  <si>
    <t>发错货了还要自己寄到英国退 我买的如图的中性款纯白UK7，纯白！白底白边白鞋底！收到的是白底黑边的UK7男靴 而且我还是专门跳过了uk7/men这个选项选的没有后缀的uk7 结果发来一双既不想要也不能穿的鞋子，中亚这边还不负责退货要自己寄到海外仓，税也白交了 已经转赠给朋友了</t>
  </si>
  <si>
    <t>优雅大方 款式漂亮优雅 裸色颜色好 鞋跟高度合适舒服。就是鞋号偏大一点 不得不退了</t>
  </si>
  <si>
    <t>稍微有点小 稍微有点小...60kg</t>
  </si>
  <si>
    <t>做工精细 十天收到..戴上以后有种穿越的感觉，满满的都是回忆，好像回到了二十五年前。手腕健壮的发烧友不建议佩戴，，，，，</t>
  </si>
  <si>
    <t>等春天来临就可以穿了 衣服不错</t>
  </si>
  <si>
    <t>不错 做工OK，不掉色，裤型也很好</t>
  </si>
  <si>
    <t>一款经济适用的水龙头 这款水龙头虽然大部分材料是塑料的，但设计合理，给使用者带了很大的便利，另外做工非常精细，不足之处是包装有缺陷，出水头会被软管上的不锈钢卡子划伤，影响美观。我的这款有两处划痕。</t>
  </si>
  <si>
    <t>用起来方便 量大，实惠，用到现在很顺</t>
  </si>
  <si>
    <t>口味 味道有点淡不是特别喜欢</t>
  </si>
  <si>
    <t>值得购买 非常满意，特别是真空保温效果，晚上90度断电后，早上温度大概还有40多度，而且相当安静。唯一感到困惑的是，这款日本国内款居然是中国制造，而国内的行货款确实日本制造</t>
  </si>
  <si>
    <t>收到宝贝。 此宝贝收到了，拆开包装看，完整。等安装使用再评论。</t>
  </si>
  <si>
    <t>还不错 还不错，保温效果一般般，但是颜值还是蛮高的</t>
  </si>
  <si>
    <t>美亚的维生素质量信得过! 味道不错，希望有效果!</t>
  </si>
  <si>
    <t>膳魔师吸管杯很好 保温性好，不漏水，喜欢膳魔师的产品</t>
  </si>
  <si>
    <t>偏大 质量不错，但是有点偏大，平时穿38码合适，这个鞋感觉大了1.5码</t>
  </si>
  <si>
    <t>和上次面料不一样了 由于是老客户所以对号码比较了解，176cm，88kg，臀围较大，穿L号正好，上次买是纯棉的非常舒服，建议买多色，比较好。</t>
  </si>
  <si>
    <t>热水保温效果不错 热水保温效果不错 90度超过24小时以上放冷 颜色色差不大 实物也好看 闷烧效果没有试 大口径方便到出</t>
  </si>
  <si>
    <t>超棒的一次购物 很好，鞋很薄，但不冻脚，质量好，穿着舒适，值得购买</t>
  </si>
  <si>
    <t>女生夏天必需品！ 一直用tampax的棉条，非常好用！</t>
  </si>
  <si>
    <t>款式不好看，但是很好穿，很舒服 款式不好看，但是很好穿，很舒服</t>
  </si>
  <si>
    <t>时间调不来 27号下单。30号到货。 飞一般的速度 问题是，时间怎么调，说明书也忒简单了</t>
  </si>
  <si>
    <t>一米75，体重14O，穿什么码的 喜欢白色的</t>
  </si>
  <si>
    <t>36-37/4M US Big Kid 36-37码 瘦脚  4M US Big Kid 如果要穿厚袜或放鞋垫 建议4.5 物流超快 一个星期到手</t>
  </si>
  <si>
    <t>颜值高的刀叉 人气刀叉，喜欢颜值，囤货中。</t>
  </si>
  <si>
    <t>非常棒~轻便保暖~ 啊~NASA~特别棒~很喜欢~</t>
  </si>
  <si>
    <t>实用 正品，好写好握好带！</t>
  </si>
  <si>
    <t>喜欢 这个品牌的东西做的很可爱</t>
  </si>
  <si>
    <t>好用方便高大上 使用好久了才来评论，除了需要变压器配合外，其他使用及清洁都很方便，投料打得很细，很不错</t>
  </si>
  <si>
    <t>标签上的尺码和实际尺寸不符！ 买了3条，2条是33Wx32L，1条是32Wx32L，但奇怪的是33Wx32L和32Wx32L的腰围一样，裤长却长了1英寸。见图片所示。是什么原因？可以换吗？谢谢！</t>
  </si>
  <si>
    <t>料子有点硬 终于买到合适的尺码了，就是料子有点硬，而且有个地方有杂色。</t>
  </si>
  <si>
    <t>瑕疵品 一星都不想给，标准码呢，小半码，右脚的线都钉出来了，一看就是次品！都不好意思往外穿，别人以为是山寨的呢！</t>
  </si>
  <si>
    <t>鞋子很好 鞋子质量很好，穿着很舒适，给一分的原因是刚买就降价.</t>
  </si>
  <si>
    <t>保修态度恶劣，服务等于没有。 请任何购买此产品的人在无偿退款日之前，对音箱进行充分的测试，并做好退货的准备。</t>
  </si>
  <si>
    <t>巧克味很浓烈 刚收到货，还没开盖就能闻到一只股巧克力味，打开盖很浓烈的巧克味，整个屋子都是巧克味，不知道是不是正常的，是不是正品有待查证。但是还是比较相信亚马逊</t>
  </si>
  <si>
    <t>实用性一般 50多块钱买两个这样的勺子，真是用上了才觉得不值，勺子挺小的</t>
  </si>
  <si>
    <t>物美价廉 以前从不去评价，不知道浪费了多少积分，现在知道积分可以换钱，就要好好评价了，后来我就把这段话复制走了，既能赚积分，还省事，走到哪复制到哪，最重要的是，不用认真的评论了，不用想还差多少字，直接发出就可以了，大家也试试</t>
  </si>
  <si>
    <t>还行 用了一次，用起来还可以。但是盒子上好多油啊，担心会不会不是全新的？而且机子上有些地方不是那么光滑。算了，还算好用</t>
  </si>
  <si>
    <t>还可以吧 这款s跟优衣库的m码差不多，颜色图案都很不错，就是起球。</t>
  </si>
  <si>
    <t>pa pa pa 很漂亮的鞋，尺码正好，运输时间合理</t>
  </si>
  <si>
    <t>尺码大到天上去了，美国大叔的腰可真粗啊。 2尺4到2尺5，最远端的孔都还差出一尺长，还好我有打孔工具。</t>
  </si>
  <si>
    <t>很合适，很人性化的设计 很舒服，不管是袖口长度还是领口大小，都不能再合适了～～～</t>
  </si>
  <si>
    <t>物美价廉 物超所值 十分满意 可配西服可外穿</t>
  </si>
  <si>
    <t>最好的勺子 温度敏感的变色功能太实用了，勺子头形状也不错，很好喂。</t>
  </si>
  <si>
    <t>尺码偏小一点，质量绝对不错 这个价格在国内就不用多说了，质量也还可以，比其他几个快餐品牌的明显要厚一些。尺码有点点偏小，180，中码，大码估计大了</t>
  </si>
  <si>
    <t>军表风格 性价比很高，是我选择这款光能表的原因。通过十天的使用和观察，给出以下评价。首先是外形时尚，蓝色尼龙表带、蓝白相间清晰的表盘、不锈 钢表圈和少许的真皮搭配……可以给85分。然后是性能优越，十天来走时无误差（和手机对表的结果），夜光效果也不错，随便晒个太阳就有能量……可以给95分。最后是经济实用，这个价格能买到这个品牌的光能表，很划算。尼龙表带弄脏可以清洗（顺便证明其防水能力），再用吸水毛巾压几下，就干得差不多了。虽然没有真皮表带的档次，但是时尚、实用，很能体现军品表的风格……可以算90分。如果要找缺点，表太厚算不算？43mm的表盘需要一双大手才压得住！60公斤以下的男士就不要考虑了，太瘦，衬不起。</t>
  </si>
  <si>
    <t>一般的打底睡衣 标准的美码，大小合适。 价格低廉，性价比高。  值得推荐的消耗品。</t>
  </si>
  <si>
    <t>不错的裤子 微弹面料，比较厚，很舒适，裤腿瘦，二尺八腰围偏胖的我，买了38腰围的就正合适</t>
  </si>
  <si>
    <t>第一次入手citizen 非常nice，表简约大方，价格实惠。</t>
  </si>
  <si>
    <t>不错 第一条  2.7尺腰  32×30裤  完美 ！</t>
  </si>
  <si>
    <t>还好 比预想大小差不多，值得购买</t>
  </si>
  <si>
    <t>壶的设计很好 壶的设计很好，性价比高</t>
  </si>
  <si>
    <t>很好 囤货 没有味道 一头红色可以让她追视 一头铃铛可以锻炼听力</t>
  </si>
  <si>
    <t>皮质很好 皮质很好，做工也不错，clarks的鞋子还是让人放心的</t>
  </si>
  <si>
    <t>版好，薄，修身 版型不错，修身直筒型，薄款的，国外码比国内码大些，偏大一到2码左右</t>
  </si>
  <si>
    <t>运动裤很好 冬天穿的衣服，如果穿秋裤就不太合身了，光一个裤子还是很宽松的</t>
  </si>
  <si>
    <t>较为满意的购物 给女朋友买的。小胖子，165cm，60kg，买的l正合适，里面还可以再穿一件打底的T恤。基本没有色差。</t>
  </si>
  <si>
    <t>不错 还没使用，看样子不错</t>
  </si>
  <si>
    <t>质量不错， 质量不错，值得信赖</t>
  </si>
  <si>
    <t>全部化了 小熊糖已经全部化了，全部粘到一起了</t>
  </si>
  <si>
    <t>价格实惠 十只价格挺划算的</t>
  </si>
  <si>
    <t>点赞货品 品牌货，有影响力！款式好，穿着起来人精神。可惜薄了一些。</t>
  </si>
  <si>
    <t>还可以 便宜,稍微有些大,要是我买小码就合适了</t>
  </si>
  <si>
    <t>质量差 质量差，用了半年多的时间，一边儿开胶，一个没声音。海外购还无法维保，太差了！</t>
  </si>
  <si>
    <t>这件衣服差评 差评，衣服掉色严重，洗了一次连商标都没了，太假了</t>
  </si>
  <si>
    <t>严重掉色，都问我买的是不是假货 帽子买了一直没戴，天气暖和了拿出来戴，两个月，上下班戴，结果帽檐手接触的位置严重褪色，客服说无法负责，说出来痛快痛快嘴得了</t>
  </si>
  <si>
    <t>鞋子做工很棒 鞋子做工很棒，大小合适。可惜鞋带一个头子掉了。发货慢了两天才有动静。</t>
  </si>
  <si>
    <t>不错 出了粘灰其他都很好。</t>
  </si>
  <si>
    <t>很喜欢的一副耳机 耳机非常好，适合出街，不适合运动。作为一款蓝牙耳机，音质很不错。 可惜我弄丢了，想再入一副。目前amazon又缺货，何时会有货呢？</t>
  </si>
  <si>
    <t>挺好的 彩铅很好用没话说，就是感觉做工有点粗糙，不像几百块钱的东西。</t>
  </si>
  <si>
    <t>舒适 ECCO的鞋子舒适度没问题，颜色也喜欢，就是鞋码有越做越小的趋势，38脚，以前的爱步38会有点点大，现在刚刚好。同时希望海外购能够退货方便一些就更完美了</t>
  </si>
  <si>
    <t>流行表 应该不错，孩子喜欢。就是等太久了。</t>
  </si>
  <si>
    <t>谁要是买45码的,买大了.可以和我换,我的44码的.已经挂咸鱼. 鞋垫长度与其他ecco鞋的长度一样,宽度略窄.脚尖空间比较小.脚瘦的没问题.我有点顶脚趾...</t>
  </si>
  <si>
    <t>不错的商品 很好用诶包装也完好。</t>
  </si>
  <si>
    <t>非常好的Q10产品 一直支持美国nature made品牌，以前在VITACOST和IHERB上均有买过，这次海外购美国亚直邮搞活动，壹壹柒入手的，非常实惠，这次买了四瓶，给家里母亲大人吃的。另外，本人再科普一下本产品的相关认证： 一、USP认证，本产品最权威的一项，不懂自己去百度； 二、无麸质认证； 三、无色素添加； 四、无人工着味剂； 五、无淀粉添加； 六、无防腐剂。  广告可以夸张、话可以乱说、口杯可以刷，但认证标志可不是随便打的。</t>
  </si>
  <si>
    <t>性价比很高 173CM71KG，健身身材，M号合适，越南产，做工材料俱佳，好评。</t>
  </si>
  <si>
    <t>Western Digital 西部数据 Elements 8TB 便携式外置硬盘 性价比爆棚，值得推荐</t>
  </si>
  <si>
    <t>东西不错！ 东西不错，价格实惠。</t>
  </si>
  <si>
    <t>感觉舒适 修身保暖</t>
  </si>
  <si>
    <t>方便 宝宝比较喜欢，携带方便</t>
  </si>
  <si>
    <t>超值 国内的这款实在太贵了，以至于海外购这个拆盘只用盘都很划算了（当然是搞特价的情况下哈）...可以无损分离，分开使用，自带欧标和英标电源口，还行还行。当然和群晖还是有点差距的</t>
  </si>
  <si>
    <t>不错 穿着舒适，大小合适</t>
  </si>
  <si>
    <t>不愧是跑鞋之王 大小正合适，原来的k23，有点挤脚，这个大概是日本产的原因，正合适。适合大体重人士！</t>
  </si>
  <si>
    <t>u盘 可以防水。质量也很好。</t>
  </si>
  <si>
    <t>宽松舒适。 裤腿很宽松，对于小腿粗壮的人很适合。喜欢！！！</t>
  </si>
  <si>
    <t>鞋子很好 很合适 号码跟国内一样 鞋子很舒适 穿着很轻巧 价格比国内专柜便宜很多 Made In Portugal 葡萄牙产</t>
  </si>
  <si>
    <t>做工好 说是最大尺码58，但可以调节到更大范围。做工不错，比网友晒图的MLB的帽子讲究。满意。</t>
  </si>
  <si>
    <t>日本冠军质量比美版好多了 日本冠军宽松可以买L。M合身和AJ的S差不多。170 60kg</t>
  </si>
  <si>
    <t>完美 首先亚马逊物流包装都很不错；其次保温效果很不错，口也大，到汤水吃起来很方便；清洗的时候千万别整个泡在水里洗。</t>
  </si>
  <si>
    <t>不错，整体满意 物美价廉，打折的时候买的，很满意！</t>
  </si>
  <si>
    <t>挺好 用着很好，吸收快，暂时眼下笑纹没变化，但愿之后会改善。</t>
  </si>
  <si>
    <t>大爱三福霹雳马 很满意，完美，●ｖ●超级爱，现在那么便宜，大家不要错过哈</t>
  </si>
  <si>
    <t>bad quality bad quality standard。</t>
  </si>
  <si>
    <t>音质对得起价格 直接说缺点 1、腔体太沉，形状边缘太硬，佩戴有些不舒服。 2、线太细太软 3、最大的问题：为了适配不同的插口接线方式，AKG的N20在线控上加了个小小的拨动开关；而这支拜亚的耳机，居然是配了两根转接线。耳机本体线很短，插上转接线后整体就巨长；这不是最糟糕的——转接线的一头是母的3.5mm插口，想想看，耳机线上有这么一大坨东西，这是个什么心理感受。  最后要说一下，音质还是可以的。适合拜亚爱好者。</t>
  </si>
  <si>
    <t>包装太破，少了一个 收到手时包装已经破的不行了，口子直接是开的，里面只有11个。跨国邮寄这包装我也是醉了，也在其他英国网站买过东西，绝对不是这种包装。真是忍不住想骂一句：亚马逊英国脑子进水了？？</t>
  </si>
  <si>
    <t>物美价廉注意尺码 面料舒适，颜色红得非常鲜艳，但是我身高180，体重175，XL对我来说还是太大了，里面可以穿棉袄，好吧，也好，过年穿在外面走亲戚，喜庆！！</t>
  </si>
  <si>
    <t>不像正品 不像正版产品，材质有些差，叉子、勺子粗糙会刮宝宝的舌头😓</t>
  </si>
  <si>
    <t>窄版太窄！退货麻烦！ 首先说鞋型，这款有分窄版和宽版，但是买的时候只有窄版，也没有任何说明。然后是退货现在非常麻烦，以前退货有亚马逊的人上门收货，也不要钱，现在要自己寄到美国，而且邮寄特别麻烦，需要提供很多的信息，还不一定海关能通过。只有几百块的鞋子，退货费用就要200多！真的不知道以后这个海外购还怎么愉快的买下去！</t>
  </si>
  <si>
    <t>3个月评价 音效很喜欢，带着也舒服，就是有一点，才用了3个月，右耳的M标掉下来了，还好捡到了拿百得胶粘了回去，大英帝国果然是没落了XD</t>
  </si>
  <si>
    <t>帽衫鼻祖 面料和gap三百多的帽衫差不多，但是設計更寬鬆，180cm.175斤穿xxl大了點ok</t>
  </si>
  <si>
    <t>涂层脱落 用了不超过10次，内部已出现芝麻大的涂层脱落。</t>
  </si>
  <si>
    <t>好 不错，中规中的，宽大厚实，就是有点硬</t>
  </si>
  <si>
    <t>运动 还可以，速干面料，运动的时候可以穿，偏大一码</t>
  </si>
  <si>
    <t>非常好 穿在毛衣里面做打底衣非常好！</t>
  </si>
  <si>
    <t>舒服，超值 偏大半号，舒服，北京专柜1599，600拿下超值</t>
  </si>
  <si>
    <t>质量 u盘很不错，质量可靠，品质有保证，东西不错</t>
  </si>
  <si>
    <t>进口货  就是好 使用过几次  感觉就是好的很  杠杠的</t>
  </si>
  <si>
    <t>滤芯多久换一次？ 刚开始用，感觉挺不错的。</t>
  </si>
  <si>
    <t>好重好重 好重好重的一口锅啊，煎牛排好用</t>
  </si>
  <si>
    <t>不错 质量很好，没有异味</t>
  </si>
  <si>
    <t>鞋子不错，中国制造 鞋子大小合适，确实偏瘦些，不过我的脚很瘦，穿上刚好合适，物流也十分给力，11月16号下单，23号就到了</t>
  </si>
  <si>
    <t>很好 没有味道，好用，温度高会变色</t>
  </si>
  <si>
    <t>符合预期 送货时间很快，锅也没瑕疵，很美。</t>
  </si>
  <si>
    <t>质量过关 挺好的 也不是很勒 虽然冬天穿还是有些薄 但质量还是不错的</t>
  </si>
  <si>
    <t>不错 质量不错</t>
  </si>
  <si>
    <t>The fit is excellent. I am happy with the price. The fabric is really comfortable. The appearance is just what I hoped for.</t>
  </si>
  <si>
    <t>包装欠缺 包装有点小的破损，和衣服一起买的，也没有纸箱子打包，就一个塑料袋千里迢迢从美国来了。</t>
  </si>
  <si>
    <t>设计合理 叉勺设计合理，很好用。美拍里的小蛮也用的这款。</t>
  </si>
  <si>
    <t>很不错！值得购买！ 是正品，输入条形码可以查询，笔用起来很不错，很顺滑，很舒适~对比其他地方购买的，更便宜一点，也更放心，很喜欢</t>
  </si>
  <si>
    <t>实用 小朋友很喜欢，文具分层，方便管理</t>
  </si>
  <si>
    <t>非常好，很棒的奶瓶 奶嘴是ss号的，贝亲很好</t>
  </si>
  <si>
    <t>性价比超高 性能非常不错，方便实用</t>
  </si>
  <si>
    <t>料子好，舒适 底裤本身料子好，很舒适！个人认为太低腰且包不住PP，好尴尬😅</t>
  </si>
  <si>
    <t>Nas好伴侣 上手直接拆盘了，放在nas里声音不算太大，希望能用的久一些</t>
  </si>
  <si>
    <t>好 可以小一码，颜色非常好！</t>
  </si>
  <si>
    <t>第一次海外购体验的吐槽 第一、从鞋子本身的角度，鞋子质量是不错，虽然味道稍微有点重；鞋头比较窄，比较挤脚趾。 第二、从服务态度的角度，亚马逊一方的客服服务还是不错。但是卖家的态度服务就不行了。屡次三番的用敷衍的语气答复我的邮件。 第三、配送时间的角度，这国际速度简直了。5月26日下单，等了两天，第三天5月29日催单，6月1日走货，说清关，自6月1日其至6月13日，一直回复清关中。实在等不了了，选择退货申请，卖家直接拒绝了，说是不支持7天无理由退货。这个我忍了。继续等待，今天收到亚马逊客服的电话，处理这个事情，卖家邮件回复，第三次给出配送时间。第一次预计配送时间：6月6日；第二次预计送达时间是发货后12个工作日。今日收到邮件回复是三周内送达。 虽然鞋子不错，给2星，表扬其在配送时间及服务的态度。</t>
  </si>
  <si>
    <t>产品完好无磕碰，就是发货速度太慢，催了2次才发。 产品完好无磕碰，就是发货速度太慢，催了2次才发。</t>
  </si>
  <si>
    <t>变形 衣服机洗了几次后就变形了</t>
  </si>
  <si>
    <t>尺码貌似有点问题 我身高180体重73公斤，买了两件，M的大了S的小了，不知道有没有中间码</t>
  </si>
  <si>
    <t>好像是被水泡的 外包装是完整的，内包装里面被水泡了，估计是看到内部被水泡了，然后重新用新的包装盒给包了一下</t>
  </si>
  <si>
    <t>比以前的吸管头硬 其中一个才用两天就坏了</t>
  </si>
  <si>
    <t>总体还不错 磨硬一点的东西不太好磨，比如胡萝卜磨的不够细，磨香蕉和土豆泥倒是很方面，还磨了蓝莓草莓。有点染色，用完要马上清洗，不然会很难洗</t>
  </si>
  <si>
    <t>很正 很正，和之前海淘的一样。</t>
  </si>
  <si>
    <t>稍大，还行 175CM,70KG，M号刚好，袖长偏长，春秋薄款适合打底穿，线头较多</t>
  </si>
  <si>
    <t>一般 偏大。挺括性差。</t>
  </si>
  <si>
    <t>其实没那么大号，按正常码买就行。 本人168，65公斤，胸围94，腰围79，普通健身者，这次买的small码，和买其他美版衣服一样。 看了很多评论，以为S码会比较大，其实胸腹尺度不怎么大，只是这衣服是立体剪裁，躯干纤细的会觉得后面比较蓬松的感觉。 胳膊的确粗犷硕大，这个大家都说了，我认为不是欧美人和中国人的体型差别所致，老美绝对不会有超出我们两倍粗的胳膊，所以这是个有意的设计，说得好听点就是这款经典衣服的特色吧。 粗胳膊加上立体剪裁导致两条胳膊有向两边膨出的感觉，所以比一般的仿制品显得宽厚一些，就是大家所说的穿起来显得威武雄壮的原因。和满大街的瘦身版MA-1夹克比起来，的确与众不同。你喜欢这种感觉或者想收藏一件的话，它是个不错的选择。 我拿到的这件，是中国产的，骄傲的说，中国人的做工还是很好的。 强调二点，一是这件衣服不修身，二是我觉得这件更适合个子高点的穿，因为衣服版型有横向放大的作用。 好的说完了，说说缺点： 袖口和领口用的针织毛线有点点毛边，就本人两天天穿着而言，时间长了不知道毛边厉不厉害。 拉链头很大很结实，但是拉链开始上拉的部位有时候有点卡，不知道是个别的原因还是都是如此。 保暖的话，除非内面加件套头长款卫衣，否则，脖子和腰部在冷风中还是要瑟瑟发抖的。帅和温度不可兼得。 以上，供大家参考。图片就不传了，大家贴出来的不少了。</t>
  </si>
  <si>
    <t>质量好 使用方便，卫生，值得购买。</t>
  </si>
  <si>
    <t>好 超满意！质量非常好！颜色很nice！</t>
  </si>
  <si>
    <t>满意 给老爸买的，性价比超高！</t>
  </si>
  <si>
    <t>还不错 适合小孩用，勺子头比较小，但是有点硬</t>
  </si>
  <si>
    <t>好 洗出来的碗碟亮晶晶</t>
  </si>
  <si>
    <t>不错的奶瓶 质量看起来很不错的样子</t>
  </si>
  <si>
    <t>维生素、矿物质种类丰富！ 价格实惠，一直信赖的美国品牌。应该是正品。维生素、矿物质种类丰富！日常补充佳维片。挺不错，会常常回购。推荐购买。</t>
  </si>
  <si>
    <t>面料很好 穿着舒适</t>
  </si>
  <si>
    <t>非常非常满意 一直很喜欢喝咖啡，从速溶，挂耳，到买机器，用过摩卡壶，滴滤式咖啡机。作为一个每天要早早爬起来上班的单身狗，还是全自动咖啡机方便很多。在自己看的几款机器里，相比别的牌子的差不多价位的全自动的机器，德龙的机器在咖啡浓度，豆子研磨程度上，都比较丰富。收到后果然很不错，使用方便，早上起来开机，分分钟一杯咖啡就好了，很适合自己这种心里有远方，但是每天还得顾着眼前的苟且的单身汪。</t>
  </si>
  <si>
    <t>good 还不错，基本满意，日用稍粗。</t>
  </si>
  <si>
    <t>碧然德 海外版价格实惠</t>
  </si>
  <si>
    <t>划算的牙膏 挺好的，一共有6支牙膏，价格也划算，红蓝白三色，孩子很喜欢。</t>
  </si>
  <si>
    <t>很好的铸铁锅 质量很好，很厚重。虽然有点重，但这样锅底温度均匀，煎牛排等特别合适，不容易焦，基本不粘锅，真正铸铁锅，用着放心。国产加油，要创建自己的名牌和信誉！</t>
  </si>
  <si>
    <t>快递很好、袜子也不错 2月8号买的12号收到的，本来以为年前可能收不到了，给日本海外购的快递打call。袜子还没穿，质地不错有弹性，但没有我想象中厚。就是一层毛线袜的感觉。</t>
  </si>
  <si>
    <t>这个世界太神奇！！！ 鞋子很好 很舒适 就是试穿的同时心情有点复杂 翻了一下鞋舌看到是中国制造 觉着这世界有点奇妙 中国产的鞋绕地球转了一圈又回到中国 就是专卖店价格的三分之一（还得加上邮费关税）感觉这世界真的太神奇了 ！！！</t>
  </si>
  <si>
    <t>期待值 真的很不错，期待下一次购入</t>
  </si>
  <si>
    <t>满意 很轻盈，希望今后有更多的优惠活动。</t>
  </si>
  <si>
    <t>会推荐家人 马丁靴舒适耐用，不错</t>
  </si>
  <si>
    <t>看起来不错，给宝宝囤货的 下面是玻璃的，大家都说给宝宝买玻璃的好点，自己也是给宝宝囤货的，喜欢宝宝喜欢😍</t>
  </si>
  <si>
    <t>适合春秋两季穿着 我176CM，65KG，裤子略微偏长，腰围刚好，看上去面料比较厚实，做工精细，穿上后体感很舒适，适合春秋两季穿着，价格也比商场便宜好多，已经买了第二条了，值得推荐！</t>
  </si>
  <si>
    <t>很喜欢！ 用料很好，属于“厚”型的。我也是量了肩宽才下的单子，不过是刚刚好(勉强可以穿得了，估计是料子的厚度也有一点儿影响的）造工真的很好！赶紧下单再买一个大一码的^</t>
  </si>
  <si>
    <t>呵呵 这是我买东西最蒙查查的一次，我搜的是长刀研，结果出来这个，然后急着用，大晚上眼花也没认真看，然后就下单了。认真讲，亚马逊你的商品说明太烂了，搞得我现在先在其他平台上看看这东西的说明，然后再回来对照。</t>
  </si>
  <si>
    <t>卡脚 样子还不错，就是觉得挺怪的，挺贵的鞋，真心卡脚，脚后跟上边都磨破了，设计人员为啥不考虑卡脚的问题呢</t>
  </si>
  <si>
    <t>质量一般 手洗的时候发现有少许掉色，质量一般。</t>
  </si>
  <si>
    <t>秋衣面料易变形 面料更像秋衣，所以更容易变形，不推荐</t>
  </si>
  <si>
    <t>孕妇裤 简直就是孕妇裤 说好的舒适没啥感觉 一次也不想穿</t>
  </si>
  <si>
    <t>包装盒破了 从英国运过来的商品，连个箱子都没有，直接套个袋子就送过来了，收到打开后发现包装盒已经完全被挤破。亚马逊真是越来越Low了。</t>
  </si>
  <si>
    <t>穿着很舒服，价格合适。 给老婆买的，老婆很满意，一样的商品但是价格比实体店便宜好多，到货时间也可以接受。</t>
  </si>
  <si>
    <t>没有图片好看 但是还行 线头挺多，细节方面不是很精细，也能穿穿，性价比高</t>
  </si>
  <si>
    <t>尺码挺标准，175还是选32裤长合适 腰部有弹性，86腰围175身高选了32*30，腰合适，裤长短了。。又买了一条32*32的。</t>
  </si>
  <si>
    <t>暖和力很强 很好，冬天去大东北也hold住</t>
  </si>
  <si>
    <t>扣子，扣子 其他都好，就是扣子难伺候，老是摁不上。188cm，120kg买的是3xl。</t>
  </si>
  <si>
    <t>还不错 走时准确，外观好看！希望经久耐用</t>
  </si>
  <si>
    <t>谢谢 很美丽的杯子 谢谢</t>
  </si>
  <si>
    <t>喜欢 158.s码，很合适，好看</t>
  </si>
  <si>
    <t>使用时最好插在USB3.1接口上，不然完全体验不了这个特别版的特别处！！！ 非常值得购买的外置3.5寸移动硬盘，体积上看个人喜好，本人觉着不是那么的大。其实可以侧面竖立放置，那样基本占空间的问题没有那么大。提醒朋友们，这个数据线接口必须使用带有USB3.1接口的设备，不然用USB3.0接口那个速率只有大概20M左右，如果是3.1USB速率基本维持在100M左右，高的时候可以到170M。所以3.0确实鸡肋。</t>
  </si>
  <si>
    <t>可以 还不错，就是开始不知道怎样调星期，搞了半天原来是不能在晚上9点和凌晨3点间调日历。这样会伤表。</t>
  </si>
  <si>
    <t>冬天穿有点短 弹性十足，冬天套秋裤穿没啥感觉。缺点是有点短，其他款式的30裤长可以盖脚面，这款有点吊吊，建议买长一些或者天热的时候穿。</t>
  </si>
  <si>
    <t>性价比超高 穿着舒适，样子看着很老年，但传上去简直百搭，非常潮，海军蓝也好看，倒是其乐尺码偏小，之前一直海淘ecco，就我个人感觉而言，45码的其乐鞋，可能还比我一直穿的44码的ecco还小半码左右，跟44码的天木兰差不多，皮鞋不像运动鞋，我宽脚买亚瑟士43码包裹性就非常完美，但皮鞋43码有点夹脚，一般都44码，幸好一直海淘有经验，一个品牌第一次买宁愿捡大的挑，45码的其乐鞋穿进去都有点费力，如果是44码可能就悲剧了</t>
  </si>
  <si>
    <t>很好用 非常好，上面的部分很软，下面的兜又立体，很好用，个人觉得比babyb的那款好用。颜色也很喜欢，宝宝也不抗拒~</t>
  </si>
  <si>
    <t>更适合包包 包装很用心！收到了吓一跳，飞贼质量还行吧。做工可以，略有瑕疵。相信挂包上更加适合！</t>
  </si>
  <si>
    <t>保温小巧 非常好，同容量最小巧，保温很好</t>
  </si>
  <si>
    <t>好评，值得推荐。 优点：鞋子轻，质量没话说，很不错，穿着舒服，不捂脚。 缺点：或许因为鞋底不是一块整体的原因，这款鞋的鞋垫做的偏硬，而且鞋型偏瘦。</t>
  </si>
  <si>
    <t>物美价廉 推荐 品牌的品控还是很好的 质量杠杠的 比国内码感觉稍大半码 价格真实惠 店里2000+ 美亚到手900 超值</t>
  </si>
  <si>
    <t>很合适 老公总是在海外购买CK和内裤，有大有小，这件蛮好。</t>
  </si>
  <si>
    <t>喜欢 38码穿7.5US 大小正合适，舒服好看！</t>
  </si>
  <si>
    <t>尺码大小 m码是175/92，希望能帮到后面购买的伙伴</t>
  </si>
  <si>
    <t>Doshisha保温杯 给女儿买点的保温杯，她非常喜欢。杯子清，保温，小巧，样式好看。</t>
  </si>
  <si>
    <t>很好 很轻，质量很好，运输快，很安全。使用起来效果很好</t>
  </si>
  <si>
    <t>先预热再闷熟 杯子很好用，大小刚好。焖烧杯的前提，米饭之类的食物一定要先预热再放入焖烧杯，，最方便的方法是先用微波炉加热一两分钟，杯子也要预热再用。</t>
  </si>
  <si>
    <t>喜欢 超级漂亮精致可爱，很有质感</t>
  </si>
  <si>
    <t>很好的购物 很合脚，做工不错，款式是自己想要的，尽管所购价格涨了但值，因为自己喜欢这靴子。</t>
  </si>
  <si>
    <t>ecco 尺码合适并且舒适</t>
  </si>
  <si>
    <t>满意！！ 狠不错，小孩喜欢！！</t>
  </si>
  <si>
    <t>CK 牛仔裤 提前一天到了，裤子不是很厚，春秋天穿，不是made in china。应该不是免税区货。</t>
  </si>
  <si>
    <t>日本追欧美连衣服码数都跟 下摆长到过分。唉！要改。本人身高1.72米，体重78公斤，L码</t>
  </si>
  <si>
    <t>褪色 裤子线头较多，洗了还褪色，都洗了2次了。</t>
  </si>
  <si>
    <t>没电？还是质量差？ 16年11月21号下的订单，东西还没到手，就降价了近60元。12月5,6号收到东西。现在是17年2月10号，昨晚手表突然就不走了。感觉象是没电的样子。难道电池在顾客的手里只能用2个月么？</t>
  </si>
  <si>
    <t>无法识别 第一次海淘就碰到次品，电脑无法识别，尝试过各种办法都无用，很失望，不过虽然如此也阻止不了我海淘的心。</t>
  </si>
  <si>
    <t>叉子勺子好 宝宝用上了，主要看上叉子勺子很安全</t>
  </si>
  <si>
    <t>质量不错 1、图片有色差，实物偏绿 2、版型比较长 3、质量不错，基本上没线头</t>
  </si>
  <si>
    <t>关于这双鞋 6uk对应的是245cm,脚踝处略收紧。薄绒，质量不错，没有看到防水的标记。只是颜色不喜欢。</t>
  </si>
  <si>
    <t>方便携带 不错的保温杯，方便携带，保温效果也好！</t>
  </si>
  <si>
    <t>没有味道，总体感觉不错 除了没有塑封包装其他的都不错，就是在商场买的是塑封起来的，这个就没有，对比一下也没发现什么不一样，总的还不错也没有什么味道。</t>
  </si>
  <si>
    <t>皮质好 买的39的尺码，确实偏大，已经买小了一码，前面略有空余，不过冬天可以穿</t>
  </si>
  <si>
    <t>样子丑但舒服 样式有点像劳保鞋，没有照片好看 穿在脚上还是挺舒服的，就是丑</t>
  </si>
  <si>
    <t>很舒服 比平时穿的Clarks 稍小一点点。穿上不显臃肿，但很招土。鞋带容易开。一如既往地舒服。另外鞋帮不如想象得高，属于短靴。</t>
  </si>
  <si>
    <t>有点异味 以前买过同牌子的香蕉牙胶，非常好，但这次的章鱼牙胶有股橡胶味，但查了下又是正品，质量与价格不匹配，只能多洗洗，散散味再给宝宝用了</t>
  </si>
  <si>
    <t>实际颜色有点浅 偏大 不过舒适度还可以 一周到货 我身高175 体重80KG 穿L有点大</t>
  </si>
  <si>
    <t>质量不错 衣服质量感觉不错，软软的，发货速度也挺快的，nice</t>
  </si>
  <si>
    <t>大小合适 大小合适，物流速度快，5天到货。身高181，体重71kg，买的M码，合适。</t>
  </si>
  <si>
    <t>第一次购物 还不错，这个价，能买到质量不错的，应该可以。</t>
  </si>
  <si>
    <t>红红火火 商家挺讲信誉，值得信赖的品牌</t>
  </si>
  <si>
    <t>好看好看好看 非常好啊等天气冷了就穿</t>
  </si>
  <si>
    <t>码数非常适合 很喜欢的款式，质地很舒服！做工还不错，性价比很高！</t>
  </si>
  <si>
    <t>物有所值 买来放在nas，不错，希望$79刀的能正常发货了 :D</t>
  </si>
  <si>
    <t>往上窜 这个胸垫有点往上窜，除了这个还挺舒服</t>
  </si>
  <si>
    <t>好 太适合天热当内衣，合我</t>
  </si>
  <si>
    <t>根日亚买的一模一样，重点是价格比某淘还便宜，以后就在亚马逊买了 根日亚买的一模一样，重点是价格比某淘还便宜，以后就在亚马逊买了</t>
  </si>
  <si>
    <t>很合身，给老婆买的，老婆喜欢 很合身，给老婆买的，老婆喜欢</t>
  </si>
  <si>
    <t>很满意 质量超好，很有质感，还没有安装，不知道花洒如何</t>
  </si>
  <si>
    <t>美观 好用 发货快，英国到北京只七天多就收到货了，送货快，产品美观，用起来也不错，总共有九种颜色，可惜现货只有黑色，本挺喜欢青绿色的，不过这颜色也不错，推荐</t>
  </si>
  <si>
    <t>体积不大，产品很好 在3.5带电源移动硬盘中，体积很不错了。 价格也还好，用来存电影刚刚的。  感觉带电源比不带电源的靠谱点。</t>
  </si>
  <si>
    <t>非常好的 价格真是便宜，很好，还会在买的</t>
  </si>
  <si>
    <t>喜欢 非常非常喜欢，特别可爱</t>
  </si>
  <si>
    <t>样式好看，就是脚脖子磨腿，都破皮一圈了 鞋子非常紧，袜子稍微厚一点，都塞不进去，我换了夏天的船袜才能穿的，而且鞋边磨脚，我的脚脖子都被磨出整整一圈痕迹，都破皮了，鞋子是做旧的款式，穿起来脚很秀气，样式是好看的。</t>
  </si>
  <si>
    <t>摄影技术的胜利 衣服很厚实。衣服的标签上写的是木工工作服，店铺无说明。色差明显，实物颜色偏灰。袖子和下摆过长，但摄影技术实在了得，佩服。</t>
  </si>
  <si>
    <t>质量有失水准，和预想中差距挺大 裤子拿到了，整体感觉不像是一个潮牌应有的质量，不过这个价格也勉强说的过去，从吊牌到裤子内标签无不透露着廉价感</t>
  </si>
  <si>
    <t>太慢了吧 发货时间: 2008-05-27 11:11:16 预计送达时间: 2008-06-22 实际上06月02号就到货了。 总体感觉这表还是对得起这个价钱，自古便宜没好货，就是这样 表指针不准，这是我最恼火的地方，晚上睡觉的时候滴答答的声音比较大。跟个老式钟表一样的。还有就是表带塑料感强。表比较轻而且薄。表盘比较小。</t>
  </si>
  <si>
    <t>送过来的时候，手柄有一道裂痕，赶快退货了 送过来的时候，手柄有一道裂痕，赶快退货了</t>
  </si>
  <si>
    <t>很一般 三件衣服只有一件衣服有吊牌 不得不怀疑是别人退换的货。打客服电话给的解释理由很牵强！</t>
  </si>
  <si>
    <t>关于发错鞋的样式事宜 我选的是37号Black Patent Lamper（像蛇皮的），但不知道怎么发了一双漆皮，申请退货寄回美国邮费顺丰要300多，很不划算！最痛苦这些是帮人家买了，只能自己吃哑巴亏了。超级郁闷！再也不帮成亚马逊海外购了。</t>
  </si>
  <si>
    <t>基本满意。 样式一般，穿着舒适，尺码准。</t>
  </si>
  <si>
    <t>做工精致的入耳塞 听了一段时间了，一般的听音环境是在车上，路上。隔音效果不错，佩戴没有不适感。本人木耳，解析还可以，声场宽度不错，调音真的很喜欢，讨好耳朵。一般是手机直推，或者骚尼播放器听，没有用过耳放。小巧便携，做工精细，镜面般的钢壳腔体，不愧是大厂牌。综合看性价比一般吧，纯属个人意见。</t>
  </si>
  <si>
    <t>性价比不高 还是优衣库舒适 这个蕾丝有些扎 总体穿起来不舒服</t>
  </si>
  <si>
    <t>尺码评论 先在专柜试了尺寸，36（5.5码）紧脚能穿，37（6码）略宽松半码刚刚好。脚背略款，犹豫之后下单买了6W码，到货之后很郁闷，比我在专柜试的6码长度大了一码，脚背也宽松很多，只能退货。 等了半个多月终于有5.5码了，再下单，5.5M码，刚到货，还是心塞，5.5码长度比上一双6码小了不止一圈，这个5.5和专柜尺寸倒是一致的，长度刚好，脚背略紧。 运费太贵就不退了。 亚马逊上小尺码太少，最合适我的应该是5.5W，运动鞋穿36码，瘦宽脚背，给大家做个参考。</t>
  </si>
  <si>
    <t>很大 风力强大！造型不错！就是不怎么便捷</t>
  </si>
  <si>
    <t>上身完美 质量好，版型好</t>
  </si>
  <si>
    <t>第一次海淘，爱死亚马逊了 使用了试用的prime会员，免去了一大笔运费，中途找了客服询问运送时间问题，得到了很及时很详细的答复，比心小姐姐。鞋子质量很好，关于码数问题我对比网上的文章买到的刚刚好，价格很实惠，色差有一点问题不过售后客服迅速帮我作出了满意的解决，表扬客服于洪星和亚马逊</t>
  </si>
  <si>
    <t>挺满意 做工稍糙，但感觉比较结实，看着简单低调，百搭，长短比裤子多两号就行</t>
  </si>
  <si>
    <t>第一次海淘 第一次从美亚买东西，诸多担心在收到东西拆箱的那一刻彻底消失了，整个过程十天，东西到的时候包装很完整很干净，箱子里气体填充物量很足很高的保护了物品，尺码也没问题，价格相较国内便宜了好多，很满意的一次购物，积累经验，下次继续买</t>
  </si>
  <si>
    <t>大小合适最重要 大一点点没有问题，但感觉还是怪怪的，还是跟脚的大小一样最好</t>
  </si>
  <si>
    <t>很好的东东 185的身高穿着刚刚好</t>
  </si>
  <si>
    <t>奶瓶 奶瓶设计很好，很可爱。</t>
  </si>
  <si>
    <t>合适 很舒服</t>
  </si>
  <si>
    <t>尺码过大。 需要买小两号，太大了。</t>
  </si>
  <si>
    <t>满意 印度制造，价格很实惠，官方自营，ups发过来的，但是到了国内又换成了顺丰快递，不知道怎么回事。</t>
  </si>
  <si>
    <t>需要变压器 我以为是2.5寸的，结果是3.5寸的带电源的大移动硬盘。电源是100V的需要变压器。。。速度还是蛮快的，接usb3.0的口。和SSD固态硬盘对拷2g文件。速度在120---140之间</t>
  </si>
  <si>
    <t>大品牌 黑五买的，价格实惠，尺码正常。</t>
  </si>
  <si>
    <t>质量棒 质量很好，身高158，体重52公斤，M号很合适。</t>
  </si>
  <si>
    <t>速度很快 质量价格都不错</t>
  </si>
  <si>
    <t>好用的一款铅笔。值得回购。 非常好用的霹雳马，一直都用，希望多多优惠</t>
  </si>
  <si>
    <t>别买，美观好用不实用，用不住啊 看似不错物美价廉，八个月就结束寿命，中间的红圆心脱皮了，掉渣，我只能重新买一个新的。  希望大家不要购买。  用不住啊</t>
  </si>
  <si>
    <t>满意 质量很好，可惜宝宝不太喜欢</t>
  </si>
  <si>
    <t>非常好 TIMBERLAND的靴子，都非常好。</t>
  </si>
  <si>
    <t>可以买 没什么色差、做工也可以1.78  70穿L刚好</t>
  </si>
  <si>
    <t>备份用的。 一直想买一个NAS，最后选择了WD。配的是西数10T的硬盘。组建RAID5，希望可以用的久一点。</t>
  </si>
  <si>
    <t>非常好 物有所值，很合身，尺码正</t>
  </si>
  <si>
    <t>劣质 穿了掉毛，醉了。再不会用这app了！拜拜</t>
  </si>
  <si>
    <t>求证如何鉴定质量品质。 175.75公斤，穿M码有点偏大，裤子穿过一段时间起毛，目前还没有看到褪色现象，和其他的品牌运动裤质量差的有点远。</t>
  </si>
  <si>
    <t>质量出厂检验要加强 帽檐明显地方脱线，退货麻烦又耽误时间精力，不退货，对产品又有遗憾</t>
  </si>
  <si>
    <t>非常差，不值得买 非常差的产品。第一次买到手直接就是坏的，完全不能用，联系亚马逊退掉了。出于对亚马逊的信任重新下单买了一个，以为不会再有问题，结果用了半年多又坏了。联系亚马逊推给中国洁碧，中国洁碧压根儿不管海外购的产品。回来仔细看评论才发现这种情况挺普遍。明明质量有明显问题的产品为什么还要销售呢？海外购就是把国外垃圾卖给国内还不管售后的耍流氓做法吧。</t>
  </si>
  <si>
    <t>不要买 并且标签标注是2016年的</t>
  </si>
  <si>
    <t>175的个头，大号大了一点，尤其太宽 175的个头，大号大了一点，尤其太宽</t>
  </si>
  <si>
    <t>比想象中小 包装很简陋，只有一个塑料袋子套着。 买的小号，打算给刚出生的BB用，目前还没用上，但是感觉比想象中短不少。 不过好在这个睡袋没有袖子，看了很多资料，国外育儿专家建议睡袋不带袖子，避免过热造成BB不适，希望宝宝能喜欢用吧。</t>
  </si>
  <si>
    <t>稍微长了点 收到了，感觉长点。</t>
  </si>
  <si>
    <t>面料舒服 挺好的，舒适的面料</t>
  </si>
  <si>
    <t>质量不错，就是裤脚稍微有点长 我在北美买过同样尺寸（34W, 32L）的Levis，裤脚正好；Lee的话裤脚要长一些，只能折一圈了，美中不足。</t>
  </si>
  <si>
    <t>袖子有一点点过长 不过是可以接受的范围 很好啊啊啊！颜色超级正！我身高157体重85左右 xs是刚好适合的大小 但是还没洗 不知道会不会掉色 也不知道会不会掉毛 不过真的挺好的 厚实保暖</t>
  </si>
  <si>
    <t>CK 包装显档次，手感好。大小合适，172/66。腰围81。其实S可以了。</t>
  </si>
  <si>
    <t>很满意 不包安装，安装很麻烦啊，很多师傅都不会装，</t>
  </si>
  <si>
    <t>很合身的一条牛仔裤 很合身，适合春秋穿</t>
  </si>
  <si>
    <t>美观大方。 还可以。尺码us.uk都是一样的。</t>
  </si>
  <si>
    <t>好 颗粒比较大，不会吞咽的人慎买</t>
  </si>
  <si>
    <t>高性价比 十分好，性价比很高，值得购买</t>
  </si>
  <si>
    <t>保温效果好 搞活动买的，很便宜。保温效果真的很棒。容量大，出门带水很方便！</t>
  </si>
  <si>
    <t>确实如此 合适，穿起来很舒适啊</t>
  </si>
  <si>
    <t>亚马逊值得拥有，品质物流售后一级棒！ 亚马逊海外购也很快，顺丰到家。吃着放心，新鲜健康。之前图快递快点在某某购物app上买的此款胶囊，破损泄漏腐蚀。防腐剂都破裂融化。售后很难很难。还是亚马逊靠谱，不管是货品物流效率售后都一级棒！</t>
  </si>
  <si>
    <t>很舒服，穿起来不紧身但是也不显肥大 很合适 很舒服，穿起来不紧身但是也不显肥大</t>
  </si>
  <si>
    <t>值得买 纯不锈钢的，外表也很美，一键开关不知道耐不耐用</t>
  </si>
  <si>
    <t>可以 身高178体重65，s码合适</t>
  </si>
  <si>
    <t>喜欢 喜欢，很好看！M号很合适</t>
  </si>
  <si>
    <t>漂亮 正品 实物有点小 小孩拿着方便 一看就是正品 有点味道 洗洗应该就好了 吸管是分段的 不知道小孩喜欢不 还是感觉bbox的水杯完美</t>
  </si>
  <si>
    <t>有点掉色  其他挺好的 有点掉色  其他挺好的！！！！！！！！！！！！</t>
  </si>
  <si>
    <t>和 价格给力，鞋子也好，纠结了半天鞋子尺码还是偏小了点，我的建议是275的长度选uk8.5</t>
  </si>
  <si>
    <t>舒适 挺好</t>
  </si>
  <si>
    <t>172身高 70公斤 L号基本合身 稍微有点大 172身高 70公斤 L号基本合身 稍微有点大</t>
  </si>
  <si>
    <t>衣服款式不错 衣服本身款式非常好 按照量的尺寸 过大了 就买比平时小一码的即可</t>
  </si>
  <si>
    <t>很好 非常划算，和碗的套装一起买的，囤货用。</t>
  </si>
  <si>
    <t>稀有的44码 送给老爸的生日礼物，难得看到44的码，立马拿下</t>
  </si>
  <si>
    <t>so  huge memory 内存足够大,速度快.</t>
  </si>
  <si>
    <t>临期商品 临期商品，包装盒脏破，有效期到2020年9月</t>
  </si>
  <si>
    <t>有味道 刚开始用，只是开水烫一下～装开水喝不知道为啥有股味道～</t>
  </si>
  <si>
    <t>尺码偏肥大 和标题所述的《直筒修身》出入很大，实为肥肥大大的款式</t>
  </si>
  <si>
    <t>写入速度太慢 不吹不黑，不建议购买。写入速度很慢，家用和办公台式机分别试了N次，照片音乐类文件每秒6M，电影类每秒10M，晕。外壳极其容易粘灰，且不容易擦掉。</t>
  </si>
  <si>
    <t>值得购买 下单到收货六天，速度挺快的。我166高，125斤试穿了一下，肩宽袖长都正合适，扣上扣子胸围有些紧，敞开穿正好。量了一下这件衣服M号的肩宽是42CM,袖长59CM,胸围92CM,衣长55CM,衣服面料有弹性，压的有些褶皱需要熨烫一下才能穿，衣服做工不是很细致有些线头需要自己处理一下。希望能给大家购买提供帮助。</t>
  </si>
  <si>
    <t>变形了 一般吧，开水煮了下变形了</t>
  </si>
  <si>
    <t>日历是败笔啊 深深中毒，却无法接受那个日历，孔开的不准，又没对齐，又破坏了简洁...处女座伤不起。31女款没有日历，33mm太小，博朗啊博朗</t>
  </si>
  <si>
    <t>有色差 很舒服 有色差 其他都满意</t>
  </si>
  <si>
    <t>鞋子上脚确实很舒适，goretex感觉很清凉，但是可能是刚穿上需要磨合，走路多了脚会疼。 鞋子上脚确实很舒适，goretex感觉很清凉，但是可能是刚穿上需要磨合，走路多了脚会疼。</t>
  </si>
  <si>
    <t>合适 舒适，尺码正好，袖长正合适</t>
  </si>
  <si>
    <t>lee 面料有弹性，尺寸正好本人173cm/72kg腰围，裤长都非常合适，颜色也喜欢</t>
  </si>
  <si>
    <t>因为有弹性，要买大一号 北京的冬天，这条够用了，177,67kg，要穿LL号</t>
  </si>
  <si>
    <t>美国发货，货已收到，期待效果 年底在天猫买了两红瓶的，日期太不新鲜，居然今年十月就过期，也不知道真假。现在海外购便宜，放心。货是从美国发货的，比预计提前了一周到，希望能缓解我的运动创伤膝盖！</t>
  </si>
  <si>
    <t>舒适 薄款，大小合适，触感舒适。</t>
  </si>
  <si>
    <t>实用 怎么说呢，用着还可以。</t>
  </si>
  <si>
    <t>JBL306 MKII 物有所值 &lt;div id="video-block-R1ZYYRZV28AJQH" class="a-section a-spacing-small a-spacing-top-mini video-block"&gt;&lt;div tabindex="0" class="airy airy-svg vmin-unsupported airy-skin-beacon" style="background-color: rgb(0, 0, 0); position: relative; width: 100%; height: 100%; font-size: 0px; overflow: hidden; outline: none;"&gt;&lt;div class="airy-renderer-container" style="position: relative; height: 100%; width: 100%;"&gt;&lt;video id="15" preload="auto" src="https://images-cn.ssl-images-amazon.com/images/I/A1Q-NCgvu0S.mp4" style="position: absolute; left: 0px; top: 0px; overflow: hidden; height: 1px; width: 1px;"&gt;&lt;/video&gt;&lt;/div&gt;&lt;div id="airy-slate-preload" style="background-color: rgb(0, 0, 0); background-image: url(&amp;quot;https://images-cn.ssl-images-amazon.com/images/I/91snXFgTJgS.png&amp;quot;);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center;"&gt;0:17&lt;/div&gt;&lt;div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 style="width: 6.42087%;"&gt;&lt;/div&gt;&lt;div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value="https://images-cn.ssl-images-amazon.com/images/I/A1Q-NCgvu0S.mp4" class="video-url"&gt;&lt;input type="hidden" name="" value="https://images-cn.ssl-images-amazon.com/images/I/91snXFgTJgS.png" class="video-slate-img-url"&gt;&amp;nbsp;不知道为什么JBL306的价格怎么会比JBL305还低。但是这不是正好吗？ 把国行的JBL LSR305红色的卖了，贴了少许钱购置了JBL306MKII。真的是不后悔，越听越爽，很明显低音下潜不够的LSR305是没有办法与 .306MKII比较的。 306MKII的人声很柔和耐听，没有LSR305刮耳。并且低音在小音量时的下潜密度非常足，完美。 但是306的贴纸有局部脱开了，什么鬼？</t>
  </si>
  <si>
    <t>划算 终于买了一双三瓣底 貌似和国内专柜尺码不一样 但比专柜同款便宜太多了</t>
  </si>
  <si>
    <t>puma麂皮运动鞋 尺码很合适 物流也很快  比专卖店便宜很多 鞋子上脚很舒服</t>
  </si>
  <si>
    <t>比国内的号码偏小衣服偏大 羽绒服很长，号码偏小衣服偏大，依照评论买小一点，果然合适。做工对的起价格，样式也不错，适合身材好的人穿，个子矮的慎选</t>
  </si>
  <si>
    <t>非常好穿 四天就到货了，不知道哪里发货的，裤子是正品，质量很好，穿上腰围立马小了一圈，裤子已经被我撑大了，要买小一号了</t>
  </si>
  <si>
    <t>吸管有点味道 吸管有点味道，其它没有什么</t>
  </si>
  <si>
    <t>有几处印记擦不掉 尺码比平时穿的略大一丢，塞一根手指头，印度制造，做工还可以吧，几处擦不掉的印记可能不算瑕疵吧，不细看是看不到了，穿起来显得鞋头较长，话说鞋盒里都啥也没有的嘛？</t>
  </si>
  <si>
    <t>Champion 男士 Raglan 棒球T恤 超级满意啊，和男朋友一人一件</t>
  </si>
  <si>
    <t>快！好！赞！ 从下单到手一共11天，还是特别给力的，毕竟是从地球的另一端到这里。彩铅很完美，很给力，只是包装似乎有点儿简单。</t>
  </si>
  <si>
    <t>样子不错，就是掉颜色 样子不错，就是掉颜色</t>
  </si>
  <si>
    <t>质量好 尺寸刚好😊质量也不错</t>
  </si>
  <si>
    <t>有缩水 XXL码尺码表的胸围是119,洗过两次后实测110左右，1米8，92kg，比较修身。</t>
  </si>
  <si>
    <t>海外购便宜 好用有点贵！</t>
  </si>
  <si>
    <t>文艺范儿 非常好看的一款商务手表，超薄，重量轻，干净，儒雅，文艺范儿，非常满意。</t>
  </si>
  <si>
    <t>价格实惠 送母亲的礼物，飞利浦的全球联保政策给了我海外购买小家电的信心。</t>
  </si>
  <si>
    <t>过小，压胸 太小了，完全没有办法穿</t>
  </si>
  <si>
    <t>袖子太长 袖子太长，不太适合亚洲人！！！！！</t>
  </si>
  <si>
    <t>到货比预期快 物流不错，很快就收到货了。硬盘很快被识别，可以工作了，只是写入速度比较慢：两块希捷移动硬盘对拷500M以上大文件，16M/S。对于大容量存储设备，备份花时间有些多啦</t>
  </si>
  <si>
    <t>坑爹的海外购（扩容盘，速度超慢）！ 坑爹的海外购，时间超级长。难怪亚马逊做不起来，没客服，退货难，产品质量差，扩容盘，速度超慢！购物还要自掏快递费。</t>
  </si>
  <si>
    <t>其他还好就是表带僵硬会隔手，才用半年表带开裂脱皮严重 其他还好就是表带僵硬会隔手，才用半年表带开裂脱皮严重</t>
  </si>
  <si>
    <t>垃圾亚马逊滚出中国 一直很喜欢亚马逊， 但你现在挑战了我们的底线，你还有脸在中国，滚吧，垃圾亚马逊</t>
  </si>
  <si>
    <t>对材质比较失望 因为掉了一个旧的，所以需要再买一个，习惯了宝华的音质，但是没想到两代的做工是这付样子，基本上都是塑料外壳，和一代的金属质感差别太大，满满的廉价感</t>
  </si>
  <si>
    <t>好帮手功能强大 虽然少了榨汁配件，也比菲仕乐专柜便宜很多，功能齐全，信任品质，是购买的主因，但收到货还是有些失望，黑灰色的塑料配件工艺太次了，边缘竟有毛刺，高兴的是给配好了转换插头</t>
  </si>
  <si>
    <t>有点小 平时运动鞋41，看过评论后选的这个号，山脚之后小，送给朋友了。建议大家多选一码</t>
  </si>
  <si>
    <t>26号的裤子，裤长是30的 到手价232.81，买的26，裤长实际是30，我160，51，腰围71，稍紧，能穿，裤长也合适。我腿比较粗。裤子很厚，冬季款吧，不是中国制造，做工一般。希望对大家有帮助。</t>
  </si>
  <si>
    <t>一般，很薄，但容易松弛 这款一般，薄，穿着容易松，不太贴</t>
  </si>
  <si>
    <t>家用咖啡机完全ojbk 满分噢！便宜又好用！国内可以花钱保修！家用完全ojbk！</t>
  </si>
  <si>
    <t>好 调理肠胃很好</t>
  </si>
  <si>
    <t>挺发的，面料摸着不错。 挺发的，面料摸着不错。</t>
  </si>
  <si>
    <t>鞋子非常不错 鞋子非常不错，我24.5cm的脚，非常合脚。</t>
  </si>
  <si>
    <t>热水口和牛奶盒的插口如何顺畅？ 用了一段时间发现有个问题，牛奶盒的拔插变得费力了，还有那个热水口也是不那么顺畅了，请问有什么办法让它顺畅吗，请教各位大侠回答，多谢！</t>
  </si>
  <si>
    <t>尺寸合适 2尺8的要。1.73合适36/30，长一点。就是直筒裤脚肥点，有机会改改。</t>
  </si>
  <si>
    <t>非常好的产品 保暖性好， 设计侧兜手机置放插口， 保证安全， 有朋友因为没有注意而丢失手机 ， 颜色很正！</t>
  </si>
  <si>
    <t>袖子偏长 178，90kg，穿上就是袖子长了，衣长甚至还稍微有些短，还好吧</t>
  </si>
  <si>
    <t>很不错 很薄很轻的，戴着睡觉也没有什么感觉  就是表盘稍小了一点，比较适合学生</t>
  </si>
  <si>
    <t>稍大一点 我平时37，这款就买了7码。稍微有些大但不影响 双11买的，快递也很快，前后8天就收到了包装也还可以，盒子有些压到但不影响。 鞋子很好看～～但是黑周五价格更优惠</t>
  </si>
  <si>
    <t>穿着舒适，保暖，还防水 穿着舒适，保暖，还防水，下雪天穿很好</t>
  </si>
  <si>
    <t>很好的浴室龙头 龙头很好，出水柔和，做工精良，谢谢亚马逊客服的品质服务。</t>
  </si>
  <si>
    <t>质量好不错 好用，颜值也很高，很好</t>
  </si>
  <si>
    <t>第一眼平庸，第二眼给你惊喜！ 刚拿到手迫不及待上手听了一下，和我的地摊耳机没什么区别啊！好亏！扔在床头柜一礼拜，听了一首交响曲。兄弟！这波不亏！告诫兄弟们听流行音乐两百块足够，没什么区别。虽然我就是听流行的。哈哈。第一个这么贵的耳机，还不错，亚马逊值得信赖。</t>
  </si>
  <si>
    <t>运动补偿之用 壮骨，岁数大了运动补偿之用</t>
  </si>
  <si>
    <t>非常好 比欧乐b要好，振动频率高，刷头面积大。推荐买简单款式的，旅行充电盒子用不上。</t>
  </si>
  <si>
    <t>服饰 不错，一直以来基本上都是在亚马逊购买</t>
  </si>
  <si>
    <t>和专卖店一样 很舒服，和专卖店卖的一样</t>
  </si>
  <si>
    <t>孩子从小就吃它 孩子从小就吃它，一直备货ing</t>
  </si>
  <si>
    <t>非常满意 双11不用被算术逼死，还是服大亚马逊一言不合就直降。493到手，含运费和服务费。是淘宝和某东双11折后价的一半。而且四天就收到了。 耳机很满意。颜值高，音质好。就酱。</t>
  </si>
  <si>
    <t>好 还没用，发货慢，但是4天就到了。包装的也很好</t>
  </si>
  <si>
    <t>好 煮出来的饭是粒粒分明的，挺好的。</t>
  </si>
  <si>
    <t>失望，杯盖的设计太糟糕了 零件太多，清洗麻烦，使用时容易被小朋友扣掉，而且有些零件还不能拆，热水杯盖的小防水胶圈太松，形同虚设，看拍的照片就知道，防水全靠里面大的防水圈</t>
  </si>
  <si>
    <t>严重缩水 固件和芯片都严重缩水，慧荣主控，东芝单通道TLC，跟刚上市的天壤之别</t>
  </si>
  <si>
    <t>太大 太大了。s的都像是面口袋。简直无语了</t>
  </si>
  <si>
    <t>有杂音？ 听摇滚的时候为什么听到明显的杂音？？？我还是在手机上听的，音量60%</t>
  </si>
  <si>
    <t>差 垃圾货，一股难闻的气味，象是旧衣服</t>
  </si>
  <si>
    <t>保温杯会生锈。 想不到没用多久杯子就开始生锈了，质量太差了。大家千万不要买，我买了好几个没有一个不生锈的！</t>
  </si>
  <si>
    <t>差 包装很差，衣服味道很大，本来4件衣服，有两件没有找到标签</t>
  </si>
  <si>
    <t>304的？ 试了下，用完可能没擦干净水渍放袋子里了，瓶口好像有锈渍('°Δ°`)，对其他方面满意</t>
  </si>
  <si>
    <t>质量很是一般,不好, 质量很是一般,不好,</t>
  </si>
  <si>
    <t>喜欢 比较满意，稍有瑕疵，用来穿的无所谓了</t>
  </si>
  <si>
    <t>感觉质量还可以。 塑料件，是什么材质。</t>
  </si>
  <si>
    <t>不错哒 很舒服，160.50公斤，s码刚刚好</t>
  </si>
  <si>
    <t>尺码 很暖和，就是有点小重，鞋子很赞！</t>
  </si>
  <si>
    <t>面料好，价格合理 很柔软很舒适，性价比超高</t>
  </si>
  <si>
    <t>衣服不错 衣服肩宽45CM到 46CM，胸围108到110CM，后中长75到76CM。S码的衣服</t>
  </si>
  <si>
    <t>合身 裤子很好，很合身，推荐</t>
  </si>
  <si>
    <t>有点大 弹性不错，面料也好就是要选比平时小一号的。</t>
  </si>
  <si>
    <t>征战了6年的HD598被女儿摔坏了~~~入手HD599一开声就是大爱 用了6年多的HD598~~还是喜欢家庭影音耳机，游戏电影音乐都能好好享受，所以入手了HD599，一开声就能分辨出HD599的低频比HD598有较大的提升。耳机方面完全没问题。唯一的缺陷就是亚马逊在国内找的物流，速度服务差评。</t>
  </si>
  <si>
    <t>居家旅行必备 做工质量非常不错，速度也很快，居家旅行必备！！！</t>
  </si>
  <si>
    <t>精致 书粉，买了2个，挂包1个收藏1个。</t>
  </si>
  <si>
    <t>非常满意 做工精良，带外出一天都够用了，非常喜欢。</t>
  </si>
  <si>
    <t>很好很棒很舒服 很好很棒很舒服很好很棒很舒服很好很棒很舒服很好很棒很舒服</t>
  </si>
  <si>
    <t>质量很好，和同品牌格子尺很搭 买贵了几十块，非常好看霸气的板子</t>
  </si>
  <si>
    <t>牙胶很好 之前出去逛街的时候掉了，只有再买了。。。。</t>
  </si>
  <si>
    <t>尺码表 质量好，穿着舒服！</t>
  </si>
  <si>
    <t>好用，好看，经摔 权衡比较了很多种奶瓶，还是觉得这款最可能实用，而且特别耐摔。</t>
  </si>
  <si>
    <t>好 很好，宝宝用这个学会自己吃饭的</t>
  </si>
  <si>
    <t>值得购买 穿起来很舒服，既有皮鞋的感觉又有运动鞋的功能。</t>
  </si>
  <si>
    <t>好 原来买了粉色的，由于物流问题退了。这个颜色也好看，还便宜了100………</t>
  </si>
  <si>
    <t>三个月用有点硬 三个月用有点硬，该买一段。没有味道</t>
  </si>
  <si>
    <t>好鞋子 很喜欢这个牌子的鞋子</t>
  </si>
  <si>
    <t>很后悔啊 当时热情的尝试了海外购，结果很后悔。因为裤子实在太大了！！说是直筒，其实是宽松。想要退货，发现太麻烦了！只能硬着头皮去改小，裁缝只帮从裆部以下改小，所以上面这一截显得很……根本不能穿出去……很后悔，浪费了钱。很郁闷π_π</t>
  </si>
  <si>
    <t>没觉得很好 感觉质量一般……80到手价……性价比一般吧……被种草买的……</t>
  </si>
  <si>
    <t>尺码 版型肥大，尺码偏大，适合年长一些的</t>
  </si>
  <si>
    <t>不舒适，腰围裤长都合身，就是蛋蛋被裹得疼。。。 长期健身，身材不胖，不是瘦子不要买这个款型。</t>
  </si>
  <si>
    <t>垃圾 机油味很大根本不能穿，死活也洗不掉已经扔了海外购也懒的退了</t>
  </si>
  <si>
    <t>不太推荐购买 面料太硬了，不透气。</t>
  </si>
  <si>
    <t>尺码偏大 衣服的质量很好，就是偏大的离谱。180cm 的身高，体重83kg ，穿2XL 的确大的离谱。</t>
  </si>
  <si>
    <t>质地 质地不是很好 摸上去扎扎的！</t>
  </si>
  <si>
    <t>颜色问题 不知道是发错颜色了还是实物和商品图偏差太大。感觉颜色深了许多。</t>
  </si>
  <si>
    <t>无法保修，差评 无法保修，差评。用了一年接口不灵，自己找的地方换壳</t>
  </si>
  <si>
    <t>定温准确，使用方便，造型难看 定温准确，使用方便。不过除了龙头本体所有附件都是很便宜的塑料塑胶制品，不知道寿命如何；此外，龙头很难看；属于只讲使用价值人士才会购买的物品。</t>
  </si>
  <si>
    <t>薄款，紧身 薄款，稍紧身款。还不错。  推荐尺码182cm，72kg</t>
  </si>
  <si>
    <t>很棒 耳机很棒，是我买过的最满意的</t>
  </si>
  <si>
    <t>不错，价格便宜，衣服合身 很合身，买了两条一条做工不错，另一条就不怎么样了，价格便宜。发货有点慢，服务不错客服态度不错，还打电话过来说明情况，这点很赞，快递不送到家，态度一般，有点美中不足，总体还不错。</t>
  </si>
  <si>
    <t>便宜的耳机 价格便宜，效果超值。典型美式耳机，不注重外表，低中高音平衡的比较好，摇滚乐流行乐都能胜任。</t>
  </si>
  <si>
    <t>值得入手 尺码合适，可惜鞋垫不是皮的。价格比国内便宜太多，还是值的。</t>
  </si>
  <si>
    <t>符合预期 一直想买双clark，下个月正好缺一双皮鞋，好价来了立马入手，很轻便的鞋子</t>
  </si>
  <si>
    <t>运行安静、读写速度快 运行安静、读写速度快</t>
  </si>
  <si>
    <t>全新 含税988入手，全新一插就亮好用！</t>
  </si>
  <si>
    <t>宝宝使用中 刚开始用来喝奶，现在用来喝水，很好用，宝宝基本没有吐过奶！</t>
  </si>
  <si>
    <t>可以的 穿 穿还是可以的。洗了也没有出现掉色的情况。</t>
  </si>
  <si>
    <t>还可以 买了小号，肩膀稍微有点小，其他合身，如果买中号估计就大了，很难看的</t>
  </si>
  <si>
    <t>很合身，很舒适 薄厚适中，低胯的，很不错的。</t>
  </si>
  <si>
    <t>鞋子不错，咖啡色比图片略微深一些 鞋子很合适，做工也很不错，原来买的US7码，后来发现可能偏小了，结果收到后发现鞋盒外面是US7码，鞋子上贴的US7.5码，刚刚好，神奇的美亚</t>
  </si>
  <si>
    <t>timberland踢不烂也戴不烂 质量不错，尺寸长度合适。皮质比同品牌35厘米宽的软一些。戴起来很好看。</t>
  </si>
  <si>
    <t>不错 不错，孩子肯定是喜欢吃的</t>
  </si>
  <si>
    <t>完美 穿过aigle的象鞋，非常舒服，这次用海外购prime，价格方面确实实惠，国内买一双，海外购可以买两双。</t>
  </si>
  <si>
    <t>很好 很好啊，满意，轻，保温性能好</t>
  </si>
  <si>
    <t>可以 感觉不好看，瘦长款 大 不喜欢，目前闲置 麻烦不退货了</t>
  </si>
  <si>
    <t>还可以！ 发货有点慢。收到后Mac和Windows直接可用！传输速度还可以。声音有点大。木有指示灯是硬伤。</t>
  </si>
  <si>
    <t>还没有用到 挺好的，买了一大一小，这个还没用到。</t>
  </si>
  <si>
    <t>中规中矩 已收到，不过还没使用开封，期待</t>
  </si>
  <si>
    <t>北面冲锋衣 158高，98斤，袖子偏长一些，里面可以再穿一件薄毛衣。功能性强，整体满意，特价400多推荐买</t>
  </si>
  <si>
    <t>东西不怎么样 东西到了转了一圈还是中国造，使用后效果不怎么样，刮得不怎么干净</t>
  </si>
  <si>
    <t>评论 订单显示12月13日到，实在上12月19日才收到，收到打开包装较差，做工较差，</t>
  </si>
  <si>
    <t>尺码正好 4天收到 平时40的脚一点也不偏小！ 6码女生的正正好好！穿厚袜子也可！鞋型窄的好看不笨重！bj冬天穿很暖和！我完全不磨脚！脚背低就是刚穿上的时候有一点感觉！走走就舒服了！右脚上有一点瑕疵而整体满意！显得腿很长而且穿上一米八！十分自信感觉可以踢死任何人</t>
  </si>
  <si>
    <t>杯口皮圈不到半年断裂，杯子漏水 这款杯子用了不到半年，杯口那个蓝色的皮圈就断了，然后杯子漏水。这个皮圈没有配备用件，也买不到配件。这杯子的塑胶件质量很差，用不了多久就磨损严重。用过之后才发现这款杯子真的超级不好</t>
  </si>
  <si>
    <t>made in china！！！网购星期一海淘的，早知如此，不如直接买保税区的货 正在驯服，硬皮，确实有点硬，买个短帮应该不错，长帮裤脚得挽很高。。。。</t>
  </si>
  <si>
    <t>觉得还可以 经典产品，觉得还可以，购物体验还行。</t>
  </si>
  <si>
    <t>还不错 这款音质一般，价格在那儿。但是不少细节能听出来了。还不错。但是线好长....不太方便...适合在家使用。</t>
  </si>
  <si>
    <t>大简 大，出乎意料的大。简单，简单到找不到的第二个logo 。</t>
  </si>
  <si>
    <t>有点掉漆，不过自己用应该无所谓了 特价是因为有瑕疵，笔杆脱漆一个点。另外我这笔尖是不是批了，感觉缝很大呢</t>
  </si>
  <si>
    <t>很硬 这条裤子一般都太硬 但是便宜 懒得退</t>
  </si>
  <si>
    <t>超值的宝贝 这个牌子的鞋码偏小，请注意。</t>
  </si>
  <si>
    <t>经典百搭 实物很好看！米白色三眼表盘经典百搭！40mm表盘大小也合适。冬天换了皮带，不错的石英表！</t>
  </si>
  <si>
    <t>实惠 非常实惠，应该是正品</t>
  </si>
  <si>
    <t>很好 欧版的尺寸，很合适！</t>
  </si>
  <si>
    <t>高性价比之选 高性价比之选</t>
  </si>
  <si>
    <t>非常不错的西裤 没啥可说的，重复购买，物超所值</t>
  </si>
  <si>
    <t>品质不错 四件套价格和超市3、5元的儿童小碗贵出很远，但使用下来的体验觉得还是值得，首先超市9.9的碗都在加热时有塑料的味道，5元的碗更是加热以后底部塑料起泡，是在不放心安全质量。这此款可以加热是分体加热，拿出来以后放塑料盆里拿手上不烫手。很好。</t>
  </si>
  <si>
    <t>好货 走时精确，性价比高，值得拥有，关键是不用总考虑电量的问题，功能太多琢磨中，说明书全日语，看不懂</t>
  </si>
  <si>
    <t>剃须刀 不错，改进很多</t>
  </si>
  <si>
    <t>速度感人 下单到收货只用了4天，直邮速度感人。娃已经7个月了，一直用日本贝亲的奶瓶和奶嘴，很好！亚马逊海淘质量放心。</t>
  </si>
  <si>
    <t>好看 有点挤脚 但超好看</t>
  </si>
  <si>
    <t>参考 身高180，体重182，肩宽50，穿L号正好。</t>
  </si>
  <si>
    <t>质量好 非常棒，中国家庭买的话，因为欧洲和中国的区别，接口会突出一点点。。。介意的慎重</t>
  </si>
  <si>
    <t>客服服务满分！ 在某宝从未有过的购物体验，出现了一点小插曲，但是亚马逊的客服处理的很好，充分信任消费者，解决问题，客服回电及时，态度良好！</t>
  </si>
  <si>
    <t>质量不错，尺寸也可以 面料质量不错，大小尺寸也可以，稍稍紧一点</t>
  </si>
  <si>
    <t>性价比很高 读写速度都不错，快速稳定。价格也算实惠。</t>
  </si>
  <si>
    <t>GUNZE无钢圈文胸 温柔的故事・背部舒适无痕 TB1048H VR 浅米色B85 ... 是正品，穿着合适，我喜欢。</t>
  </si>
  <si>
    <t>很不错，推荐。 大小合适，厚薄合适，外观简洁，一直穿到四月份。</t>
  </si>
  <si>
    <t>还好 还好，鞋底有点硬</t>
  </si>
  <si>
    <t>质量高，好评 质量很好，好评</t>
  </si>
  <si>
    <t>一分价钱一分货 之前一直用钻石亮白 捡了这个以后两天就发现起了一根毛</t>
  </si>
  <si>
    <t>笔芯 笔芯出墨不连贯</t>
  </si>
  <si>
    <t>质量一般 裤子偏大，口袋不平和</t>
  </si>
  <si>
    <t>不符合 172，M号过小，品牌越来越水了！</t>
  </si>
  <si>
    <t>劣质品 太次了，生锈很厉害，非常爱粘底</t>
  </si>
  <si>
    <t>查了一下swisse公司原来中国人控股了…… 一看什么材料有中药？立刻上网查了一下swisse公司，原来早已经给中国某公司收购了……</t>
  </si>
  <si>
    <t>纯棉，高密度，透气性不好，脖子紧，偏小 纯棉，高密度，透气性不好，脖子紧，偏小，略长，不建议买 本人177 71kg 胸围101</t>
  </si>
  <si>
    <t>尺码稍大 第一次洗会掉色 尺码稍大 衣服里面有写S码相当于亚洲或日本的M码</t>
  </si>
  <si>
    <t>传说中第三方翻新的日立企业级硬盘 传说中第三方翻新的日立企业级硬盘，速度一般，发热不小，启动和连续寻道时咔咔声不小，一般运行声音能接受，做了全盘慢扫，全绿，没发现低速块，健康状态良好，至于这是全新盘片和磁头的翻新盘还是有暗伤的旧货只能等时间来考验，</t>
  </si>
  <si>
    <t>很好 送朋友很满意。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</si>
  <si>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袖子有点长 含税233入手，麻麻不喜欢灰色，我又来下单了一件。肩宽、手臂、腰围（麻麻有小肚子）都还算合适。 面料手感不错，缺点的话就是袖子太长。</t>
  </si>
  <si>
    <t>符合预期 180cm 75kg腰围，裤长刚刚好，不是很好，广东秋天穿刚好</t>
  </si>
  <si>
    <t>轻盈 舒适 173cm, 69kg s码很合适。非常轻，里面穿个速干面料的内衣，在深圳这样的天气很合适。很喜欢。</t>
  </si>
  <si>
    <t>综合性价比高 使用了一段时间，胡须剃的还算干净，声音有点大，各方面还可以，综合来说还行～物流有些慢，足足等了十五天。亚马逊不担心假货，所以物流慢点能接受。只是没想到，还没到手，就降价了～呜呜😭</t>
  </si>
  <si>
    <t>平常什么码，就买什么码。 尺码正合适。就是这个款式裤腿太大了，太肥了。</t>
  </si>
  <si>
    <t>喷头 这个牌子这个价格很亲民，发货快。</t>
  </si>
  <si>
    <t>性价比不错 含税200块左右入手的，音质相当于苹果有线耳机的水准，但这个毕竟是蓝牙无线的，也没有发现延迟，性价比不错</t>
  </si>
  <si>
    <t>很赞 闹钟＋计时器，走时无声，学习方便</t>
  </si>
  <si>
    <t>综合 外观很好看，高端大气上档次，价格也很划算！保温效果也不错吧</t>
  </si>
  <si>
    <t>好看 超级棒，面料不错，颜色喜欢，柔软舒适。</t>
  </si>
  <si>
    <t>推荐 价格实惠，做正装裤很合适，尺码也很正，175 80kg</t>
  </si>
  <si>
    <t>好 纯棉的，穿着舒适，洗过了也没变形</t>
  </si>
  <si>
    <t>喜欢 很好，喜欢，希望20公分的搞点活动</t>
  </si>
  <si>
    <t>材质 这款T恤材质非常厚实 是那种不会轻易变形的材质 很好！</t>
  </si>
  <si>
    <t>Seagate希捷Expansion 2TB移动硬盘 读写速度都不错  好评！！！！！！！！！！！！！</t>
  </si>
  <si>
    <t>五星 质量不错，穿着很舒适。</t>
  </si>
  <si>
    <t>很满意 美观，穿着舒服，适合脚跗面比较低的</t>
  </si>
  <si>
    <t>ok ok  可以 不错 以后你就不要那么贵</t>
  </si>
  <si>
    <t>刚刚收到，还没用，外观，做工，只能用惊艳形容 刚刚收到，还没用，外观，做工，只能用惊艳形容</t>
  </si>
  <si>
    <t>不错 材质好密封性好，满意</t>
  </si>
  <si>
    <t>衣服 质量很好，有点偏大，建议买小一码</t>
  </si>
  <si>
    <t>挺满意的 物流比想象的快，包装很完整，应该是正品。</t>
  </si>
  <si>
    <t>肥大，面料一般 1.98米，90公斤，2xl长度正好，大小太肥了，面料很薄，有点透光。</t>
  </si>
  <si>
    <t>太大 衣服太宽松，偏大</t>
  </si>
  <si>
    <t>颜色不是深蓝 实物商品和买家秀有颜色区别，没买家秀好看。 本人1米8，体重156斤，正合适。衣服很薄。可以做打底衣。</t>
  </si>
  <si>
    <t>料子一般，不推荐 料子很一般。S号相当于170/92A</t>
  </si>
  <si>
    <t>不好漏水的 有点漏水，不怎么好呀</t>
  </si>
  <si>
    <t>质量不太好 质量不好！但是舒适性不错，鞋底吸盘儿子很喜欢</t>
  </si>
  <si>
    <t>尺寸不符合 我是严格按照网页上提供的尺码对照表量的，但是到了之后却大了很多！根本不是我这个体型能穿的··········</t>
  </si>
  <si>
    <t>性价比不错，出差党不友好 德亚，大约七天到货。材质不错，模式够用。开箱以后对照装箱单（如图），发现没有国内同款标配的旅行充电盒、USB插头和USB线，不知道是装漏了还是这个版本就没有。没有便携的旅行盒，显然对出差党不友好。这个两个缺憾抵消了一些价格的优势，扣掉一分。</t>
  </si>
  <si>
    <t>鞋码 看你平时穿的鞋码，多少厘米就多少</t>
  </si>
  <si>
    <t>美国 OXO 奥秀食品冷冻储存盒(60ml*6个)0个月以上 囤货用的 看着还不错、</t>
  </si>
  <si>
    <t>裤长设计太短 身高174，体重55，M码腰臀都合适，但裤腿太短了，变成8分裤</t>
  </si>
  <si>
    <t>使用心得 保温瓶不错，挺轻巧的，跟产品介绍基本符合，唯一不满意是物流太慢，到了国内后一直没有更新快递情况，要主动打电话才🈶进度。</t>
  </si>
  <si>
    <t>东西还不错，物流也较快。 东西还不错，物流也较快。</t>
  </si>
  <si>
    <t>大小 大小可以，就是有些肥！平时穿42.5的鞋</t>
  </si>
  <si>
    <t>喜欢 很喜欢，108CM胸围，L码略宽松，里面带绒适合秋冬，这个价格买到算超值了。就是纯色含棉量高的，不知道洗完会不会脱色，前面两件纯棉，一年就洗的脱色严重穿不成了。</t>
  </si>
  <si>
    <t>合算 1米70，七十五千克。33，30的裤子真好。确实很舒服，国产的，一般品牌都不止这个价格。</t>
  </si>
  <si>
    <t>Calvin Klein 卡尔文·克莱恩 男士 3条装弹性棉小型三角裤 白色 便宜，上身还舒服，合身。</t>
  </si>
  <si>
    <t>一如既往的好 保温很好，大小也很方便</t>
  </si>
  <si>
    <t>宝宝牛奶粉过敏，吃这个 宝宝之前混合喂养，不过吃他妈妈的奶粉和吃一段奶粉过敏，后来在医生建议下吃 纽康特氨基酸粉（neocate），不过宝宝反映很大，吐酸水，换了这个氨基酸粉，宝宝才适应了！味道比纽康特好很多</t>
  </si>
  <si>
    <t>表不错 货真价实 实物确实很大</t>
  </si>
  <si>
    <t>口感很浓郁 味道很足。口感有点粘。仔细看了说明，一次要5勺啊。。。差不多摇摇杯都装满了，再加水或牛奶。可想而知这个粘度和口感。而且一天要两回死撑着喝下去。感觉肌肉涨了不少。看来之前都是吃的太少了。</t>
  </si>
  <si>
    <t>nicr 非常好用，对得起这个价</t>
  </si>
  <si>
    <t>十分好，十分快 优惠期间购买，从美国寄来箱体完好，长度比 iPhone6还要短，比我想象的要小。USB3.0速度十分快，非常满意</t>
  </si>
  <si>
    <t>方便好用，水量少 出差好伴侣，比较便携，但是少了一个外包装袋，自己找了一个，还有一个不好之处是水量少了一些，如果能外接水源会更好</t>
  </si>
  <si>
    <t>舒服，优雅 很舒服，很美丽，大脚女性的福音！</t>
  </si>
  <si>
    <t>质量不错 很合心意的鞋子</t>
  </si>
  <si>
    <t>款式很好 帮人买的，穿在身上很合适，有折扣，很优惠</t>
  </si>
  <si>
    <t>上耳放 感觉不错，虽然不是很容易推，上个耳放就OK，pha-2和mojo都可以😄</t>
  </si>
  <si>
    <t>质量很好 虽然宝宝不用，但质量很好</t>
  </si>
  <si>
    <t>收腹带 效果还不错，穿着也比较透气</t>
  </si>
  <si>
    <t>我的裤子来自非洲 第二次在美亚买东西。货品对得起价钱140的牛仔裤比国内300块的强多了。不过毛里求斯制造也是吓我一跳 常见的made in china哪里去了</t>
  </si>
  <si>
    <t>物流快 包装很好，用后再评。</t>
  </si>
  <si>
    <t>我的有响声，不知道其他人的有没有 有点大，速度一般，其他无问题，使用一个月以后声音很大，好像有撞击声一样的，啪啪啪的响，不知道会不会出问题</t>
  </si>
  <si>
    <t>皮革很薄做工一般 皮革很薄，做工也很一般</t>
  </si>
  <si>
    <t>东西很好，但指导资料太少 机器收到，做油焖笋很鲜嫩；新款650没有点动和磨踤功能？说好的300道菜谱资料怎么没看到呢？搅拌器用了两次，炖鸡汤就废了</t>
  </si>
  <si>
    <t>包装都没了，手柄旁油漆破损 上次买牛奶破损，牛奶没了。这此包装还破损，去ems拿就剩一口锅了。 手柄旁内测还掉了块漆，不知道有影响没有。</t>
  </si>
  <si>
    <t>掉色 这鞋子掉颜色吧😂😂</t>
  </si>
  <si>
    <t>裤子不好 裤子不好，不喜欢质量太差。</t>
  </si>
  <si>
    <t>稍有些大 号码稍微偏大一些。大腿部位宽松，臀部没有感觉宽松，裤腿较肥。长短、肥瘦合适。整体裤型还算可以。172cm,80kg。</t>
  </si>
  <si>
    <t>还不错 毕竟只有一百来块钱，我觉得超值，裤子稍微有点硬，不知道洗洗会不会好一点，其他满意</t>
  </si>
  <si>
    <t>简约而时尚 跟预想的一样，好看，质量还行，夏天、秋天都可以以穿</t>
  </si>
  <si>
    <t>略重 没有虎牌190克的轻 盖子比较重 瓶内有涂层</t>
  </si>
  <si>
    <t>较为满意 挺合适的衣服，过水一遍再评价</t>
  </si>
  <si>
    <t>薄 比丝袜厚一些 腰部还比较舒适 不勒 春秋可以穿 贴身也挺舒服的</t>
  </si>
  <si>
    <t>黑五不给力 东西还不错啦，只是黑五的价格还没后面几天的好，连续降价好几十，比较无语了，但是好在亚马逊给解决了，还不错吧，总体很满意，性价比很高</t>
  </si>
  <si>
    <t>物美价廉 尺码与国内相同，颜色是黑灰色，也很别致，满意。</t>
  </si>
  <si>
    <t>底部变黄泛白 不知道真的假的，当时觉得便宜买的，用了以后底部已经变黄，不知道是温奶器温的还是本来就质量不好，另外一个就没有这种情况</t>
  </si>
  <si>
    <t>很好。数量多，值得入手。 性价比高，就是买的多了点。正品。</t>
  </si>
  <si>
    <t>锅很好 收到锅了，还没用。那锅是真的重啊！</t>
  </si>
  <si>
    <t>好 &lt;div id="video-block-R8GRW6UWA0MFT" class="a-section a-spacing-small a-spacing-top-mini video-block"&gt;&lt;/div&gt;&lt;input type="hidden" name="" value="https://images-cn.ssl-images-amazon.com/images/I/91lTc0HhWmS.mp4" class="video-url"&gt;&lt;input type="hidden" name="" value="https://images-cn.ssl-images-amazon.com/images/I/71dyT-Eb83S.png" class="video-slate-img-url"&gt;&amp;nbsp;颜值很高很高，烧水也快，声音很小</t>
  </si>
  <si>
    <t>完美 价格也太美丽，简直要流泪。 东西完好，爱画画的小朋友喜欢。</t>
  </si>
  <si>
    <t>不错的衣服 身高163重58Kg。S号正好。此衣服轻便柔软，推荐</t>
  </si>
  <si>
    <t>生完就该用，我居然错过了那么久！ 以前从不去评价，不知道浪费了多少积分，现在知道积分可以换钱，就要好好评价了，后来我就把这段话复制走了，既能赚积分，还省事，走到哪复制到哪，直接发出就可以了，推荐给大家！</t>
  </si>
  <si>
    <t>很好 很好很好</t>
  </si>
  <si>
    <t>很喜欢纯棉的 花优衣库的价格买到了CK，很开心</t>
  </si>
  <si>
    <t>喜欢，质量不错 帮朋友家孩子买的，很喜欢，不漏水</t>
  </si>
  <si>
    <t>哈 蛮喜欢的，一个礼拜也到了</t>
  </si>
  <si>
    <t>小贵。但物有所值！ if获奖的产品没有什么可评论的。这种耐用品就是要在承受范围里选最好的。贵。但是物有所值的。</t>
  </si>
  <si>
    <t>不错 稍微有点硬，不过整体还不错</t>
  </si>
  <si>
    <t>非常满意的一次购物 腰2尺六，身高170，体重74公斤，买来试试大小和长度正好，直接可以穿，面料也是我想要的感觉，非常满意</t>
  </si>
  <si>
    <t>简约可爱 样式可爱，容易清洗，就是白色的底，容易染色。</t>
  </si>
  <si>
    <t>栗色漂亮 栗色有点像深酒红色，低调显白。给别人买的，身高183，体重160斤左右，M很合适，里面有薄绒。</t>
  </si>
  <si>
    <t>适合去工地 不错，适合去工地上穿</t>
  </si>
  <si>
    <t>没啥免烫效果 免烫效果一点儿不好，白色的透明，特别差</t>
  </si>
  <si>
    <t>皮带薄 太薄了。我之前让我同事从德国带回来一条另一种款式的皮带。这条是它的1/2宽。</t>
  </si>
  <si>
    <t>略小 尺码真吃不准，略小了点</t>
  </si>
  <si>
    <t>目前已发现有几支根本写不了出字 没有相像中好，而且目前已发现有几支根本写不了出字</t>
  </si>
  <si>
    <t>很大的塑料味 我在美亚上买的，当时没有直邮，走的转运，还买了两盒，很大的味道，不知道真假，去乐友问，也说会有味道，但是之前买的老版的就没有味道，做工也比较细致</t>
  </si>
  <si>
    <t>不错 使用感很好，可惜买的时候没看清楚，不是超薄，略厚</t>
  </si>
  <si>
    <t>一般般 之前买的膳魔师儿童吸管杯，都说虎牌比膳魔师好，这次买了虎牌的，容量大，尺寸还能接受，做工和膳魔师差不了太多，都没有象印的好。只是象印的儿童保温杯款式实在是喜欢不起来。</t>
  </si>
  <si>
    <t>不错的衣服 做工还算可以，毕竟这个价位，也值了。 身高166CM，体重55KG，稍微有一丢丢大。 希望给想选购的朋友提供参考。</t>
  </si>
  <si>
    <t>有点小 表还可以，就是有点小</t>
  </si>
  <si>
    <t>质量不错 保暖不错，样式显得老气了点，173cm，76kg，M有点点偏长</t>
  </si>
  <si>
    <t>关于飞利浦剃须刀的评论 很好用！很有人性化设置的男性产品！</t>
  </si>
  <si>
    <t>推荐购买 挺好的，可以购买。</t>
  </si>
  <si>
    <t>喜欢 轻便舒适，号码标准，值得购买</t>
  </si>
  <si>
    <t>大黑鞋 big black hard leather and soft soles 外观还行，内衬细腻，就是买大了……鞋底不硬，应该挺适合走的</t>
  </si>
  <si>
    <t>还行，就是尺寸不好把握！退货麻烦！以后还是到实体店靠谱！ 有点大，本人175，180斤，估计36，30就好了，38、32大了点，长了点！</t>
  </si>
  <si>
    <t>瑞士产地 质量也不错 新版滤芯可以装旧版滤壶，不漏粉，质量不错</t>
  </si>
  <si>
    <t>推荐 质量应该是很好的，设计风格也不错。踏雪寻梅没问题。</t>
  </si>
  <si>
    <t>袖子太长 衣服蛮好看就是袖子长  价格也很优惠</t>
  </si>
  <si>
    <t>不错 很厚，穿着较舒服，满意，177，80，穿着刚好</t>
  </si>
  <si>
    <t>颜色漂亮，号码偏大 颜色很漂亮，号码偏大，建议购买</t>
  </si>
  <si>
    <t>不过的裤子 腰围和国内基本一致，长度是32的，好像日亚长度都是32的</t>
  </si>
  <si>
    <t>性价比超高 非常喜欢，价格便宜，质量OK</t>
  </si>
  <si>
    <t>质量保证我喜欢。 一百多元，买的杯子，质量相当不错。</t>
  </si>
  <si>
    <t>不错 1.62，100斤穿m正好！平时穿运动服160的！供参考下！衣服质量非常好！白色是米白的，不是纯白哦！</t>
  </si>
  <si>
    <t>合适 虽然不是最低价，但能买到合适尺码，满意</t>
  </si>
  <si>
    <t>无 合适，不错，我喜欢</t>
  </si>
  <si>
    <t>挺好的耳机  很喜欢 某宝某猫评价里有的发霉等问题这里都没有 虽然贵几十块 但是还是值的</t>
  </si>
  <si>
    <t>腰带不错！ 腰带亚马逊会员黑五打折买到手不到100元！真心便宜！腰带是真皮的，材质手感很好！</t>
  </si>
  <si>
    <t>很好，很喜欢 这鞋不错，爱步一如既往的优秀！不过海外购的关税还是太高了点。</t>
  </si>
  <si>
    <t>衣服很不错 衣服材料不错，穿着很舒服</t>
  </si>
  <si>
    <t>也太大了吧 本人178 体重85 穿M码  有点大 应该穿S</t>
  </si>
  <si>
    <t>不推荐 说实在的，这包皮质的手感还可以，但是内饰的布料和质感真的差，不推荐。</t>
  </si>
  <si>
    <t>码数偏大 太大了，一般欧美版衣服我都选M码，这个M明显偏大。</t>
  </si>
  <si>
    <t>起球 不到一个月，起球非常严重</t>
  </si>
  <si>
    <t>笔不是新的 鼻尖有使用过的墨水迹</t>
  </si>
  <si>
    <t>瑕疵品，极其粗糙 一只鞋掉了一块皮，另一只有明显印痕，且粘胶外漏非常粗糙，绝对的瑕疵品甚至就是假货，毕竟国内专柜1000多的价格这个品质会挨打的好么，四百块都懒得退，这是第一次在亚马逊购物也是最后一次！</t>
  </si>
  <si>
    <t>明星款鞋子值得拥有 好鞋子，物流很速度，好像7天不到还是春节前，尺码有些偏大了，看评价已经卖小一个码，波鞋穿us9（42）码，产地为中国，价格比内地便宜好几百。质量鞋面上有一处明显而且挺深的划痕，色差有的比图上的较深色，明星款鞋子值得拥有。</t>
  </si>
  <si>
    <t>好看 喜欢</t>
  </si>
  <si>
    <t>很好，性价比高 我买了好几个了送给朋友，反响都不错。实物比图更好看！</t>
  </si>
  <si>
    <t>还不错，价格比代购便宜 整体看着不错，外包装盒子有破损，瓶内无异味，瓶低缝隙稍微有点不紧密</t>
  </si>
  <si>
    <t>商品评价 我身高178cm，体重86kg，腰围2尺7，穿在身上正好。 全棉材质，墨西哥产。 很实惠的价格。</t>
  </si>
  <si>
    <t>Like It is good for running</t>
  </si>
  <si>
    <t>不错的皮带 皮带不错，35mm 正好合适82cm腰围，不用裁剪</t>
  </si>
  <si>
    <t>号码标准 身高177 体重165，没肚子算是比较壮的人 平时穿国内185的上衣，这次选的L码.速干衣平时穿也很有型</t>
  </si>
  <si>
    <t>家居必备 一直使用，多挡调节不会觉得水压过大，用起来很舒服，现在已经离不开了，吃完饭就想冲冲牙</t>
  </si>
  <si>
    <t>合适 是低腰，95%的棉。做工比较好，基本上没有线头。肯尼亚生产。180cm，86kg，L码。合适</t>
  </si>
  <si>
    <t>不错 老公买了好多条，就喜欢在亚马逊买</t>
  </si>
  <si>
    <t>便宜 价格挺便宜的，用一阵子再说吧，希望别翻车。</t>
  </si>
  <si>
    <t>满意 功能齐全，孩子喜欢，就是颜色不禁脏。</t>
  </si>
  <si>
    <t>葡萄籽 还没吃 不过价格很合适。亚马逊的海外购 还是非常信任的</t>
  </si>
  <si>
    <t>尺码还是要自己拿捏 老公肩比较宽80KG穿L正好，红色很好看</t>
  </si>
  <si>
    <t>发货为什么跟收货大小不一致 我订单下的是8hk，发货是8.5hk，左脚适合，右脚有一些大，抬脚时有点不跟脚，总体还算满意</t>
  </si>
  <si>
    <t>合身 175身高2尺5的腰围，裤子弹性很不错，合适！</t>
  </si>
  <si>
    <t>size合适 超值价。尺码和长度跟国内一样，放心买吧。</t>
  </si>
  <si>
    <t>好穿 不同于淘宝卖的一般的丝袜 它这种丝袜拉开来你能看到是用很细的线针织的 非常有弹性和好穿 舒服 不勒腿</t>
  </si>
  <si>
    <t>棒棒的ma1夹克 正宗的ALPHA正版MA1夹克，海涛价格比淘宝节省300多元，还是很不错的。身高183体重92公斤，L号的正好。</t>
  </si>
  <si>
    <t>工匠精神 多次购入！真心喜欢</t>
  </si>
  <si>
    <t>舒服 很簿很舒服，在韩国260多一条，没买，穿上很舒服，适合夏天穿我173，70公斤，买了加大，太大了，又重新买了大码</t>
  </si>
  <si>
    <t>颜色与图片不太符合 颜色与图片不太符合，不过还是很好看，推荐的尺码很合适。</t>
  </si>
  <si>
    <t>哎吆，不错哦 鞋子非常棒，超帅，对于海淘来说送货的速度也很快，10天左右到手，是德国邮过来的，喜欢的朋友可以大胆入手，没毛病。鞋码可能比平时的大半码</t>
  </si>
  <si>
    <t>不错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</si>
  <si>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喜欢 象印保温杯非常不错</t>
  </si>
  <si>
    <t>正品 价格合理，包装也不错，宝贝很好</t>
  </si>
  <si>
    <t>严重臭脚 国内穿41的鞋买黑色UK7码光滑皮的鞋不透气，严重挤脚，并且严重臭脚！严重臭脚，严重臭脚！重要事说三遍！</t>
  </si>
  <si>
    <t>卖的有点贵 衣型和质量还好，但性价比不高，与实物来说加税近2千元感觉真的有点贵…… 果真，一买完刚收到衣服，价格就降500多元，真的郁闷，亚马逊能不要这样玩我吗(^ ^)</t>
  </si>
  <si>
    <t>大小合适，非常容易起毛 估计穿不了几次就会报废，虽然质感舒适，但是太容易起毛了，身高175，体重63，买的small，大小正好</t>
  </si>
  <si>
    <t>一般 口有点小，不太好洗，其他OK吧，瓶身的图案是粘上去的。整体没什么惊艳的。amazon比较便宜，要是商场正价就划不来了。</t>
  </si>
  <si>
    <t>Not so good 很薄 完全不像图片上那样厚实 the clothes was thick, not as expected as the picture. A bad experience in Amazon.</t>
  </si>
  <si>
    <t>假的，不如地摊货 垃圾!垃圾!第一次冼时把其它衣物全部染坏了!</t>
  </si>
  <si>
    <t>我要认真写评论！ 这是第一次亚马逊海外购经历，我很不愉快！  1.买之前只担心过尺码问题。多番查询后尺码问题如期解决。然而商品质量却出乎意料！我爸工作的公司做鞋的，做高端代工，天伯伦该是什么质量我很清楚，如图这样的皮面那么长的刮痕和打的洞，在中国的代工工厂绝对过不了质检关，绝对会在鞋面部就作为残次品剪掉销毁！我收到的这双是多米尼亚产，产地不同但质量控制标准应该是一样的，无法理解这双鞋如何出厂的！至于猜想是后续运输等流程中导致这些问题，我无从考证。车线和胶圈接合的做工也是杠杠的，惨不忍睹。论坛说的美亚往中国倾销残次品，我不认可，也不否认。 2.质量问题退货是自己垫运费，后续亚马逊全额报销。这双鞋顺丰运费￥550+，EMS700+，整个运输过程预计1周加退款流程3周共计4周！强迫症会死的！而退货的快递单你英语不太好就呵呵了。而退货同样有海关环节，还有灭失风险。 3.这点最不要紧，我买完就掉价近￥100。  我认栽，上图：</t>
  </si>
  <si>
    <t>尺码大大的 身高173，体重100公斤嘿嘿M码，而且L码大的不是一点半点。 冲着CK买的内衣，但可能是低端的产品，穿一段时间轻微起毛。 买了很多亚马逊的海外购，心得，觉得还是中国造质量好，国内就是假货多，但是同等价位还是国产的好，怎么也比越南，印度种种的强多了，甚至比美国的好，好多美国产的更粗糙，只不过国人不认可，在一个，现在讲环保，所以海外购包装相对简单。</t>
  </si>
  <si>
    <t>一股机油味。 商品机油味浓烈，拿到的那条裤缝是歪的。</t>
  </si>
  <si>
    <t>出了部分配件鸡肋，其他都完美 之前用的厨师机是4407，当时觉得功率小，没啥配件才重新买的。正好打折就买了这台，价格比某宝代购便宜近一千。收到货后打发揉面绝对好用！就是拥有了这些配件才发现有些真的很鸡肋！搅拌杯今天用了发现有部分芒果没有打碎，效果不如wmf 的便携榨汁机。值得说的是绞肉机不错！但是绞肉机大部分不是不锈钢的。当然主业揉面打发真的效率高！</t>
  </si>
  <si>
    <t>鞋子不错 做工说实话一般…据说国内高仿做的更精细…买这个鞋子舒适度不是第一追求…完全是为了造型…平时阿迪耐克穿42到42.5，这个7uk大小还挺合适的，走路多的就不要穿这个了…</t>
  </si>
  <si>
    <t>有油渍 老婆用我账户买的！恕我直言品控一般，有一个上面有一块油渍，我推测加工厂哪个环节蹭到机器上的油了。也忘了退货投诉了，直接开洗了，没洗掉。应该用汽油洗 可能洗掉  但是没汽油。</t>
  </si>
  <si>
    <t>可做外层也可做中间层 虽然不厚，但是用途广泛。可以做外层里面穿抓绒，也可做中间层外面套冲锋衣，不冷不热还可以单穿</t>
  </si>
  <si>
    <t>朋友介绍的说是吃了以后心脏舒服很多，买来试试 朋友介绍的说是吃了以后心脏舒服很多，买来试试</t>
  </si>
  <si>
    <t>质量很好，推荐 到手一千一，172cm，89Kg, XL合适。里面穿件T恤，加上抓绒，可以过冬。</t>
  </si>
  <si>
    <t>超级好的衣服 很喜欢，面料舒服，大小合适。本人194公分112公斤，穿XXL很合适。价格很合适。</t>
  </si>
  <si>
    <t>合体 挺好的衣服，号码也可以。我95KG170cm</t>
  </si>
  <si>
    <t>好看 衣料很好  做工很好  性价比高  好看</t>
  </si>
  <si>
    <t>大小合适且质量一如既往的好！ 大小合适且质量一如既往的好！</t>
  </si>
  <si>
    <t>舒服 不错，很舒服。。。。</t>
  </si>
  <si>
    <t>正合身 身高175，体重73kg, Small正合身，下摆还略有点长。</t>
  </si>
  <si>
    <t>舒服 暖暖的 不掉档</t>
  </si>
  <si>
    <t>杯子不错 很不错的杯子，确实是从日本过来的，很好</t>
  </si>
  <si>
    <t>很好的产品 很不错的产品，性价比高，已是买第二件了</t>
  </si>
  <si>
    <t>鞋+税402到手，8天送达 37.5内长235，去专柜试了单鞋37刚好合适，但37.5价钱360，比37、38都便宜200左右，果断选37.5，开了30天试用会员省了运费，鞋加税到手402，8天送达。鞋面有点反绒皮不顺的那种灰色，鞋盒内衬纸有点染上黑色，不知道是存放问题还是运输问题，但是比起国内专柜折后1000，400已经超性价比了。</t>
  </si>
  <si>
    <t>鞋子不错 该运动鞋的皮子较软，但是鞋底稍微有一点硬，穿上脚很好看，百搭</t>
  </si>
  <si>
    <t>稍微有些大 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</si>
  <si>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好，便宜 给老爸买的，以前买过伦敦雾的风衣，很好，打折后也不便宜，这次看到这么划算的衣服，果断下手，样式比较老气，所以老爸穿刚好。</t>
  </si>
  <si>
    <t>999元秒的音箱，值得购买。 999元秒的音箱到手听了三天，发觉有一只接触不良，果断换货，亚马逊客服服务态度不错，无条件换了对新的音箱给我。先用各种无损音乐煲箱30多个小时，然后用无损的红白噪音煲了60多个小时，音箱的音质得到了飞跃的提升。不错的监听音箱，性价比超高，推荐购买。下次想入手E8。</t>
  </si>
  <si>
    <t>Swisse Ultiboost Lecithin，支持肝*，*代谢和*膜* 3 Pack (180/bottle) 540 还没吃，日期挺新鲜的，包装也很好，顺丰寄来，速度很快。不错。</t>
  </si>
  <si>
    <t>颜值超高的微波炉 收到后发现这个太好看了</t>
  </si>
  <si>
    <t>评价 很好👍</t>
  </si>
  <si>
    <t>舒适 舒适度还是不错，样子么中规中矩，适合日常穿着，但不适合走很多路那种。</t>
  </si>
  <si>
    <t>很好 大小合适 质量也不错 很棒</t>
  </si>
  <si>
    <t>漏奶 以前买的很少出现漏奶，但最近这一盒漏得很严重，太郁闷了</t>
  </si>
  <si>
    <t>东西一般 尺码过大，建议买小1号。</t>
  </si>
  <si>
    <t>购物 购买两次，都遗憾退货了，问题也基本一样，一 、搅拌头的转动速度1、2档无差别；二、锁定杆不到位导致在和面时由于震动产出回弹，需要用手扶着。本以为第一个是个别现象，没想到这个也一样。且速度无法调整。体会：一、ka厨师机做工粗狂，皮实耐用、外形经典，我仍然会选择它。二、由于国内无厂家专业售后技术咨询，导致可以解决的问题无法解决，（例如速度调整问题在专业人员指导下我相信可以调整的，锁定杆的问题我自己可以解决}，以致退货非常遗憾。三、亚马逊的同型号（比如5qt）ka厨师机,价格差异（不是指翻新机）很大不知是什么原因，客服也没有给出满意的解释。这点建议亚马逊在商品页面上用中文详细介绍一下，差异之处例如经销商、渠道、机型、新老款式等等，让消费者买的明白。四、基本确信机器是新机器，这点我还是相信亚马逊的，那些说机器有油，出黑粉等等的怀疑是翻新机都是不对的，（有油是正常的，反而证明是新机，搅拌桶用植物油擦一遍放两小时后，用洗涤液洗净就可以了），售后也要给亚马逊点赞。最后希望我的评价给在亚马逊购买ka厨师机的朋友一点帮助。</t>
  </si>
  <si>
    <t>600ml好高 保温效果没普通版，可能因为瘦身吧，但是外形真的很瘦身，手感更好。600ml好大</t>
  </si>
  <si>
    <t>— 感觉不是正品，布料质量和做工都不好</t>
  </si>
  <si>
    <t>太小了 根本穿不了</t>
  </si>
  <si>
    <t>好看 好看！好看啊！宽度合适，穿起阔以！！但好像有点长？？？不过我不介意</t>
  </si>
  <si>
    <t>东西很好，打包需要更用心 因为我是插在USB3.0扩展卡上，可能性能会受影响，东西很好，扣一星是因为亚马逊的包装，看我图片，打开就这样包装，这是机械硬盘耶，可不是毛线玩具，感觉亚马逊心太大了吧（好像是美亚发的？）。包装上应该向日亚学习，买过几次东西，里面东西都会再。用薄膜裹紧，然后打胶固定在箱子上，摇箱子一点晃动都没有。</t>
  </si>
  <si>
    <t>好 质量好，稍微有点薄，有点大。</t>
  </si>
  <si>
    <t>脚面宽度和高度比较小 大家都说大，所以我买了我的标准尺寸，结果很紧…… PS：恕我孤陋寡闻，这鞋子在小雨天居然鞋头渗水。。。</t>
  </si>
  <si>
    <t>保暖好，质量好 弹性大，所以稍大一点点，表面光滑，内里有绒，摸着薄，但是穿起来很舒服，保暖效果也很好，很满意。made in jp，质量不错</t>
  </si>
  <si>
    <t>值得一线 非常好，价格适中，做工很好，就是有点重，还送了一对白色的鞋带，很宽的那种，感觉没原配的灰色好看，也谢谢了😄</t>
  </si>
  <si>
    <t>非常好 非常好用的保温杯，颜值也高，宝宝非常喜欢。这估计是我买过最好用的保温杯了，二百多能买到真是不可思议。</t>
  </si>
  <si>
    <t>实用 全新很实用，配合一个欧标转国标的转换插头。没有漏电现象</t>
  </si>
  <si>
    <t>满意 比我之前索尼200块好。但打吃鸡也没到开挂那种感觉。</t>
  </si>
  <si>
    <t>过大 美国尺寸都很大，即使买小一码的还是大很多。和亲戚在美国买价格差不多，不用操心国际快递。真好</t>
  </si>
  <si>
    <t>维生素软糖 很好 味道甜甜的 价格也好</t>
  </si>
  <si>
    <t>很好 非常好的裤子，尺码非常正，173cm，71kg，32的尺码正好，料子也很舒服。</t>
  </si>
  <si>
    <t>很好，超值！ 性价比太高了！我腰围86厘米，略微有点小了 应该买大一号</t>
  </si>
  <si>
    <t>很好 非常好厚实，推荐，特别是厚切牛排，时间更短，口感更好，归结于它强大的热传导。</t>
  </si>
  <si>
    <t>很好 很好，没有异味，容易吸，和奶瓶配套。</t>
  </si>
  <si>
    <t>手表不错 第七天就到了，电波信号好，调试本地时间顺畅！实物很漂亮，至于质量和稳定性有待考察！</t>
  </si>
  <si>
    <t>很有弹性，大小合适。 弹性非常好，墨西哥产，不是太厚，春秋穿可以。总体上是满意的。</t>
  </si>
  <si>
    <t>质量很好，尺寸偏大 身高174，体重70公斤。买m的大了，应该S的正合身。质量很棒</t>
  </si>
  <si>
    <t>质量不错 很漂亮，细节处理的也很好。看起来很结实。宝宝还小，还没有开始用，不能对使用情况进行说明。</t>
  </si>
  <si>
    <t>性价比很不错 东西很不错，防烫伤zuodehaoq</t>
  </si>
  <si>
    <t>健康 喜欢</t>
  </si>
  <si>
    <t>非常不错 出门使用必备，好用的热水壶，容量不大，烧水，喝茶足够使用</t>
  </si>
  <si>
    <t>喜欢 非常可爱的小碗对于颜值控的我喜欢的不得了。女生吃饭正好</t>
  </si>
  <si>
    <t>性价比高 比我预计的送货时间要快一点 皮带蛮不错 本人偏瘦 选的32的码子 但还是需要打三个眼 （腰围二尺二）大家可以借鉴一下 整体来说不错</t>
  </si>
  <si>
    <t>很好 样子可爱，用着方便。质量好，还会再买。</t>
  </si>
  <si>
    <t>高腰的 料子还可以 是高腰的 不喜欢 给妈妈了</t>
  </si>
  <si>
    <t>质量差 洗了后惨不忍睹，是不是假货</t>
  </si>
  <si>
    <t>美版质量一般 挺薄的，手感也不是很好。觉得美版冠军质量和做工都太一般了，国产运动品牌同类商品不比它差，40多元买的，就是买个冠军标志而已，舒适度也一般般。穿了几次，起球严重，地摊货的质量！</t>
  </si>
  <si>
    <t>鞋舌头为啥材料不一样呢？ 鞋子相对别的系列还说是舒服的，我几乎不系鞋带，反正也不磨脚，但是最郁闷的是，鞋舌头的材质一点都不一样，一个天天耷拉着，一个硬硬的竖起来，尤其是后面这个，脚面很不舒服，大小没啥问题，我平时37的，就选内长23.5cm的，大小正好</t>
  </si>
  <si>
    <t>差评请告诉我怎么办 打开盖子都是划痕，一点也就算了两个盖子全都是怎么给宝宝用呢？请问如何处理</t>
  </si>
  <si>
    <t>这个包装我只能 呵呵了 薄薄的纸板，用个空气袋不行吗，用了两周就有坏道了，2000扔水里了</t>
  </si>
  <si>
    <t>假货 假货，蓝色刷毛一个月不到就全褪色了。店里卖的能用三四个月。</t>
  </si>
  <si>
    <t>奶瓶 奶瓶还不错，只是在包装盒弄脏了，黏黏的看上去不大舒服</t>
  </si>
  <si>
    <t>中国制造 中国制造就是牛</t>
  </si>
  <si>
    <t>仅供参考 面料很舒适，样式很满意，163cm，50kg，稍大一些。</t>
  </si>
  <si>
    <t>还可以吧 170 77公斤，买的32✘30的，看之前的评论说过大，但是我个人感觉按照你自己的码买就行，尺寸正好，夏天穿还可以，还有点后悔应该买大一点，怕冬天了穿就小了，另外说一点，款式一般，看不出来比其他品牌有多好！</t>
  </si>
  <si>
    <t>黑五信价比高 裤子的尺寸比国内大，不过冬天穿还好，款式算合适吧！</t>
  </si>
  <si>
    <t>确实有效果。 活动期间购买，比京东618还要便宜一点。发货速度也不错。给家里老年人使用，服用差不多一瓶后，感觉良好。应该不错</t>
  </si>
  <si>
    <t>新款蓝牙降噪旅行耳机 7月份的时候突然想买一个降噪耳机。因此，当然首选森海。当时眼光在森海一款蓝牙立体耳机上，后几经询问，得知这款耳机的主打并不是降噪。于是，定位换成了PXC450.无意见百度得知森海7月15号出新款蓝牙降噪耳机PXC550。于是，决定等待。 等到这天，德亚和美亚都出来了。中亚没有。于是，在海淘还是转其他品牌间徘徊许久。一月过去，无意逛中亚，发现竟然国内能买到了。于是立马下单。 铺垫了这么多，无意是想说明，对这款耳机的期待很高。拿到手之后，迫不及待试听。说实话，因为没有用过蓝牙耳机，对它的使用几乎一窍不通。说明书比较简单，就介绍了几个按键。于是自己摸索吧。在最初的时候，降噪效果就挺好。这是第一印象。 过了几天，不知道怎么调整耳机的声音。全靠在手机或者mp3上调整。声音开到很大才可以。否则，还是能听到外面的声音，即使已经隔绝了很多。于是，对这款耳机的音乐性产生了质疑。过了几天，产生了退货的想法。 后来，决定再多听听，也许是需要煲？怀着这个想法，几经摸索，终于知道怎么调整音乐，终于知道原来声音几乎是最小。在这种情形下，听歌当然不愉快。调到正常水平后，慢慢能接受这个耳机了。确实比较智能，音色也还行（我不大听的出来），戴上它，世界确实安静了一大圈。开启降噪模式，隔绝噪音，但是人的声音并不怎么隔绝，还挺方便。现在，我已经爱上了这个耳机，决定不再退回，留下它自用了。 即便如此，也不能代表这个耳机是完美的，下面将是一个小小的吐槽： 戴眼镜的同学，这个耳机戴久了，左边耳朵有点细微的不舒服。取下眼镜，不舒服的感觉瞬间消失。 降噪效果明显，但也不是完全能隔绝。如果周围实在特别吵，这款耳机是不能达到完全一片安静的效果的。测试环境为北京地铁14号线和15号线。 音效神马的，还请后来购买的同学补上。因为我没有太挑剔的耳朵。因为想到这是森海出的一款主打旅行人士所用的耳机，想必音效也不会太差。这是我的猜测？ 价格略贵。这是我买的最贵的一款耳机了。</t>
  </si>
  <si>
    <t>质量不错，正合适 质量不错，挺修身的。适合春秋穿，防水面料，冬天里面再穿一件加绒衫或羊绒衫应该就差不多了。 身高180cm，体重85kg，L码合适。挺修身的。</t>
  </si>
  <si>
    <t>非常好用 非常好用  自动对时间  而且看着非常方便</t>
  </si>
  <si>
    <t>很棒 这鞋子好看是真的好看 但是摧残脚背和小腿……</t>
  </si>
  <si>
    <t>非常喜欢 合身，非常喜欢，没想到用顺丰，这次海购太给力了。</t>
  </si>
  <si>
    <t>非常非常舒服 太舒服了，国内没有我点码，只能到这来买，穿了一段时间了，他到了之后再也不碰其他鞋了，非常值。脚大一直穿进口鞋，但这双还是舒服到爆。比其他的还好👍🏻</t>
  </si>
  <si>
    <t>面料 很合适，面料柔软手感细腻，满意的购物体验。</t>
  </si>
  <si>
    <t>很不错 非常满意！175的身高，偏胖，穿M很合适贴身</t>
  </si>
  <si>
    <t>被前面的评论误导，买小了一个码 这款衣服应该要按正常码买，被前面的评论误导了买小了一个码。我信你个鬼，你们那些个糟老头子。衣服不错是纯棉的，比较厚。洗了一次，严重掉色！</t>
  </si>
  <si>
    <t>不错的玻璃奶瓶 不错，PPSU 时间长了容易变黄，这个玻璃的除了怕摔其他都不错</t>
  </si>
  <si>
    <t>正 感觉还不错，是从日本发货的！应该是正品</t>
  </si>
  <si>
    <t>喜欢 鞋子很喜欢，鞋子不太重，穿起来很舒服。平时穿35的鞋，这款鞋穿起来鞋头有点空，原担心没有拉链穿脱不方便，实际很好穿脱。</t>
  </si>
  <si>
    <t>彪马女鞋赞赞赞 超级赞！不能再好看！</t>
  </si>
  <si>
    <t>很不错 虽然近3000到手有点肉痛，但总体来说还是蛮不错的，除了森海塞尔的app没有汉化以外都相当好，相比bose qc35来说更加欣赏这款</t>
  </si>
  <si>
    <t>值得购买 鞋很厚重，穿着舒适。鞋底特别舒服，没有传说的那么大感觉，44买10码，垫个鞋垫特别合适。舒服。</t>
  </si>
  <si>
    <t>有turbo模式，multi的刀头 先给全五星吧!看了下的确是双层刀头。还没开始用，以后再补充。</t>
  </si>
  <si>
    <t>好穿 确实好穿，薄薄的贴身很舒适</t>
  </si>
  <si>
    <t>正好 170，75千克。s码正好</t>
  </si>
  <si>
    <t>满意的大小！ 还是小杯子更方便实用！</t>
  </si>
  <si>
    <t>完美 夏天穿，完美，又买了两条</t>
  </si>
  <si>
    <t>很好 和预想的一样</t>
  </si>
  <si>
    <t>衣服的具体尺寸 衣服太大了，根本没有办法穿</t>
  </si>
  <si>
    <t>褶子多 价格很便宜，单质量真的一般，很容易出这字，而且特别短</t>
  </si>
  <si>
    <t>小问题有点多 整体不错，小问题有点多，鞋底有小气泡，染色问题！</t>
  </si>
  <si>
    <t>太酸 口味太酸甜了，还是药片式的方便点</t>
  </si>
  <si>
    <t>差评 其实无关商品的问题！因为我尚未收到商品，亚马逊APP就擅自修改成“已签收”状态。通过电话给APP上留的快递员，她自己说已经丢失了该包裹，那么我就想问问包裹丢了就可以擅自“签收”吗？我只能给个差评。</t>
  </si>
  <si>
    <t>尺码不对 这款裤子你不可能买到能穿的尺码</t>
  </si>
  <si>
    <t>毛太硬 买来小朋友不用。因为太硬，小朋友用起来不是很舒服。</t>
  </si>
  <si>
    <t>偏大 这个牌子有的衣服偏大，有的还好。</t>
  </si>
  <si>
    <t>偏大两号 应该对应国内的28或者29码，需要买小两个号比较合身。舒适度尚佳。</t>
  </si>
  <si>
    <t>可以用用 笔杆虑细，其他手感完美</t>
  </si>
  <si>
    <t>重 硬 卡 欧码41买了这个10w加宽，非常合适，很帅，就是太重了，中邦的高度比较尴尬，刚好在脚踝的位置，看了前面的评价说舌头会比较卡，所以故意穿了长袜，结果连侧面都会卡，太硬了，希望穿久了会好一些。然后这个到货特别快，是中国制造，有点小不爽，无法坚定真伪</t>
  </si>
  <si>
    <t>偏大一点 这款看着有一点点大。洗一下看看希望会缩小一点。质量很棒</t>
  </si>
  <si>
    <t>非常好用 宝宝非常喜欢。目前三岁了，一直使用中。</t>
  </si>
  <si>
    <t>棒 比之前用过的乐扣好很多，海外购便宜</t>
  </si>
  <si>
    <t>性价比超高 和想象的一样好！稍微音质好点的歌曲就能听出音响的感觉，煲段时间应该更好，推荐购买！</t>
  </si>
  <si>
    <t>腰围准确，但是裤长好像比买的其他裤子要长些。 穿过最舒服的牛仔裤，布料比较软，有弹性，比较宽松，是我想要的。腰围准确，但是裤长好像比买的其他裤子要长些。</t>
  </si>
  <si>
    <t>很好 很好</t>
  </si>
  <si>
    <t>帽子样子不错 挺舒服的就是热天带有点捂得慌。整体还不错，适合娃娃带，大人带有点像猴顶灯！</t>
  </si>
  <si>
    <t>DT880 250欧 除了做工有点山寨以外。其它都还是可以的。</t>
  </si>
  <si>
    <t>如何正确的操作、使用。 很喜欢西铁城光能产品，原来有一块**机械手表，几天就要对时以下，没有光能的省心。</t>
  </si>
  <si>
    <t>脚后跟和鞋头 都有支撑物 说是软皮靴，实际上是有支撑物的，所以会磨脚后跟，已经磨了2天了，右脚还行，左脚磨脚踝内侧和脚后跟，因为鞋子偏大，我脚长25.5，买的尺码是8.5W的，所以脚趾不顶。宽度也可以，不挤脚。不知道要磨合多久才行。主要问题还是在于脚后跟的支撑物。做工确实不如国产的好，但是也还可以了。今天去东北，回来报告。回来了，东北还不是很冷，这鞋保暖够用，另外我说一下，我脚长25.5，这个码数稍大一点，正合适</t>
  </si>
  <si>
    <t>价钱太合适了 搞活动买的很便宜</t>
  </si>
  <si>
    <t>尺码略小 靴子尺码略小，拍大半码或者一码，平常穿38这次因为只有39就拍了，穿丝袜就有点松，棉袜就合适，是哑光皮，鞋底还是比较轻巧，囤货到秋冬季穿</t>
  </si>
  <si>
    <t>便宜包税120到手 颜色不错质量也不错送人很不错120到手</t>
  </si>
  <si>
    <t>非常好的保健品 非常不错，非常好的保健品，已经用了很多年了</t>
  </si>
  <si>
    <t>舒适，尺码合适 １６５cm ５８kg Msize合适，L估计也可以棉质舒适</t>
  </si>
  <si>
    <t>物美价廉，进口产品放心吃 物美价廉，进口产品放心吃</t>
  </si>
  <si>
    <t>值得拥有 不错的商品，一直在用</t>
  </si>
  <si>
    <t>正品，舒适，亚洲建议小一码 这款有点偏长。 欧洲码，亚洲人穿稍微有些偏大，下次买得小一号了。材质非常好，划算，正品。</t>
  </si>
  <si>
    <t>可么多么奶瓶超可爱 同事很喜欢买瓶非常可爱！</t>
  </si>
  <si>
    <t>还不错。味道很棒 味道比别的品牌清淡很多了。是我喜欢的口味</t>
  </si>
  <si>
    <t>值！ 第一次给老婆买爱步鞋，鞋子稍微大了点。不过她挺喜欢，自己也买了同款正合适</t>
  </si>
  <si>
    <t>超薄款，尺码超大 手感很好，可以贴身穿，问题在于尺码不是一般的大，175cm不是很胖的话M码就够了，胖一点的最多L码，很不幸，我买的是XL，穿在身上松垮垮的，估计要穿XL的话至少得150kg……</t>
  </si>
  <si>
    <t>质量差，路边摊品质。 掉色，掉渣，跟以前买的内裤不是一个档次的。</t>
  </si>
  <si>
    <t>TIMEX 东西等了十多天终于到了，发现手表只有指针有夜光，而且没有电不知道为什么</t>
  </si>
  <si>
    <t>估计假货 怀疑是假货因为根本就没有国行好用，大家别买</t>
  </si>
  <si>
    <t>太长了 太长了，送人了，尺寸明显和标识差太多</t>
  </si>
  <si>
    <t>脱线 右脚居然有一处脱线</t>
  </si>
  <si>
    <t>对我的胃很刺激 对关节好不好的效果没有发现，但是对我的肠胃有很强烈的刺激，服后五小时开始胃胀气，肠鸣。一停立马正常，还有一盒不敢吃了</t>
  </si>
  <si>
    <t>舒服 这款鞋穿起来很舒服，跑步也比较舒服。</t>
  </si>
  <si>
    <t>入手一个星期的感觉 用了一个星期来评价下。  首先续航能力很好用10个小时完全没问题，重量也合适，音质从第一天开始听到一个星期有明显变化，听人声还是可以的，感觉比JBL的ua好一些。  缺点就是听诊器很严重，很难忍。低音不够，和有线的森海塞尔没法比。希望煲久后会好些？</t>
  </si>
  <si>
    <t>鞋型瘦长 38的脚，但是去clarks柜台都是37.5。所以选了4.5UK，大小合适。鞋型瘦长，前边确实不宽松，穿穿就好了吧。更新，刚收到货就降了30块钱，😓</t>
  </si>
  <si>
    <t>保温效果好 价格合适 比较轻 保温效果好 价格合适 比较轻</t>
  </si>
  <si>
    <t>鞋质量很好，只是偏小 比较平时的小了一个码，可以更换大一个规格或者退货</t>
  </si>
  <si>
    <t>质量很赞，推荐购买。 非常好！很重，质地相当好，给父母装修买的，真心不错，二老很满意，而且价格也很优惠，购物很开心！强烈推荐购买这款。在亚马逊购物很多年，品质有保障，活动也很多，真的很喜欢！关键还很方便，相当不错！以前还从国外扛回来，后来找代购，现在在手机上直接下单，方便多了！</t>
  </si>
  <si>
    <t>素质过硬毫不含糊的超值宝贝 听大编制的交响爽爆了，结像很清晰。尤其低音提琴的空气感让鸡皮疙瘩都起来了。毫无疑问，因为冷硬的解析，人声颗粒感过重，感情冷淡，影响了听感，但是不管怎么样还是素质过硬，完全超值，而且我认为自己目前手头的设备并没有完全开发出它的潜力。</t>
  </si>
  <si>
    <t>期待的帽围 终于买到我能带的帽子啦！做工，款式都好，物有所值</t>
  </si>
  <si>
    <t>值得等待 非常好看，颜色大气，穿着很舒服</t>
  </si>
  <si>
    <t>需要中文使用说明书 很喜欢这款打蛋器，动力足，操作简单，赞👍</t>
  </si>
  <si>
    <t>ck一向不错 买衬衫选ck一般没问题</t>
  </si>
  <si>
    <t>满意 真的不错，就是尺码偏大</t>
  </si>
  <si>
    <t>颜色亮眼 颜色很骚气，赞，在亚马逊买ck内裤很划算</t>
  </si>
  <si>
    <t>很好 穿着大小合适，很舒服，价格也很实惠，开心！</t>
  </si>
  <si>
    <t>颜色深 实物要比照片颜色深很多</t>
  </si>
  <si>
    <t>包装完好 那么老远运过来还包装完好，也没啥好挑不是的，就是，很好！！</t>
  </si>
  <si>
    <t>整体满意 表盘没保护，但是运输包装还是不错的，不影响。盘底金属部分有一点瑕疵和脏垢，需要擦干净。表整体来说还是不错的，很满意。期待使用情况也能满意。</t>
  </si>
  <si>
    <t>特别喜欢 我收到的很完美，皮质细腻，版型好看，38瘦脚略大可以穿毛袜子。可能切尔西款都偏大，我平时clark都是UK5正好。关键300多的价格太美好了。穿了几个月把后跟磨歪了心疼，等有活动再买一双。</t>
  </si>
  <si>
    <t>满意 穿着很舒服，日本的文胸做的真不错</t>
  </si>
  <si>
    <t>非常满意 这个价格能买到的最好的鞋！</t>
  </si>
  <si>
    <t>大小合适，质量也很好。 除了运费贵，时间长外，其他都很好。东西应该是正平，非常好。</t>
  </si>
  <si>
    <t>舒服贴身 很喜欢，这个牌子的已经买了5件了，不同款式但都很舒服</t>
  </si>
  <si>
    <t>惊喜 出水量超乎你想像，感觉冲凉就是一种享受。</t>
  </si>
  <si>
    <t>很不错的耳机 比国行便宜不少，机器是全新的，刚开声还以为买到假的了。。听了一星期后，感叹索尼大法好！！</t>
  </si>
  <si>
    <t>挺好~ 用料可以~好评~用料可以~好评~</t>
  </si>
  <si>
    <t>无 笔很粗，慎重</t>
  </si>
  <si>
    <t>哪里可以得到中文的使用说明书？ 没有中文说明书，不知道怎么用</t>
  </si>
  <si>
    <t>尺寸太大了 尺寸太大了，超出我想象 至少要小一号才行</t>
  </si>
  <si>
    <t>太短啦 太短了没法穿</t>
  </si>
  <si>
    <t>有味道 买了快一年了 加了热水就有味道。</t>
  </si>
  <si>
    <t>效果虽然确实好，但寿命太短！！！！ 过滤效果显而易见，自来水TDS800直接滤到000附近 但是才过了10L水质就到了TDS10了 照说明书上到6就换的话 比你在超市买纯净水（纯净水实测也在TDS6以下）还贵，大家可以算算</t>
  </si>
  <si>
    <t>很不好的一次体验 拿到手的时候居然是坏的，包装已经不堪入目了，真不知道是在快递途中经受的摧残还是一出生就有瑕疵。现在正在退货中</t>
  </si>
  <si>
    <t>露 穿紧身衣服外面漏出痕迹了</t>
  </si>
  <si>
    <t>徒手掰坏呐~~~ 使用很爽的，遇到识货的人还能聊一会，速度非常好，稳定性强。 不过在距离购买时间差15天满一年的时候，被我徒手掰坏。应该是我最近健身有效果了~~~所以给4分</t>
  </si>
  <si>
    <t>发货快，价格合适，性能不错，软件无法联网 海外发货还挺快的，硬盘性能不错，读写都能到200MB/s。就是盘内自带的discovery软件无法联网没法安装，太坑了，还是官网下一个security软件用用好了</t>
  </si>
  <si>
    <t>维生素软糖 开始吃了，像qq糖，水果味。下次还会来。</t>
  </si>
  <si>
    <t>underware 孕期买的，偏大但是刚好。赶上一次了，对亚马逊很有好感，也买了不少单，以后多多关注，现在也买了会员，希望自己可以通过亚马逊给家人带来幸福快乐。</t>
  </si>
  <si>
    <t>满意 这保温杯真的很好，轻巧得不像话，虽是中国制造但是质量杠杠的。最重要，很保温。有了它，我也可以像老年人一样养生了。哈哈哈</t>
  </si>
  <si>
    <t>不错 很好的鞋子。</t>
  </si>
  <si>
    <t>三版本比较，物有所值 这款被女人我最大安利很久的纳米离子，前后买了三个版本，简单比较下。 A、15年在日本购入，日本产、型号忘记，因后续用了太贴服送人了，价格约人名币1000 B、16年在京东，广州产、na30，特价一半2百多购入 C、目前在这里买入英版，泰国产、na65，约4百多 1、声音大小顺序：A、C、B。特别一提是A的超级静音，B的和康夫声音没有什么差别 2、柔顺效果：都有起到作用，但需要的时间有长短。B款就需要很长时间才感受到 这功能总结来说还是比较适合长发女神或要梳背头的男生，发质会达到发亮效果。但需要很蓬松秀发的还是要慎重考虑，太服帖了。但我老妈的心情就是如此反复，想要不想要的，所以才买入了这个c版。C版基本功能达到，但没有日本的静音完美，所以价格来加分咯。</t>
  </si>
  <si>
    <t>鞋的质量、样式都不错，满意。但ECCO鞋号都比国内鞋号偏大一号。 鞋的质量好，样式、颜色都很满意，查了一下商标鞋底写的是天然橡胶，新鞋一点气味都没有，这点确实值得点赞。但ECCO鞋号不全，看中的鞋选择余地小，而且，之前买的同品牌的休闲鞋、皮鞋鞋码对照国内买的，但都比国内同鞋号偏大一号，这个鞋也一样，同鞋码偏大。所以，买这品牌的鞋需要注意鞋码的问题。</t>
  </si>
  <si>
    <t>货真 和我在美国买的一样，以后还会再来。</t>
  </si>
  <si>
    <t>面料 面料薄、柔，尺码基本正常，穿上感觉不错</t>
  </si>
  <si>
    <t>质量、用料都很好 包装稍有污损，产品本身没问题，质量、用料都很好。</t>
  </si>
  <si>
    <t>价格 鞋子有一点点重，但是很好看！</t>
  </si>
  <si>
    <t>面料好，价格合适 纯棉，手感柔软很舒服，直邮十天到货，还是不错，价格比代购贵了么点点，但海外直营更放心一点。</t>
  </si>
  <si>
    <t>质量很好 鞋的质量不错！实物看起来也可以！ 尺码买比运动鞋小一码比较合适，我的脚长257mm左右，买这款鞋最终选择 6 UK，刚刚好，不大，稍微有些宽松，垫个鞋垫正好。</t>
  </si>
  <si>
    <t>非常好 给爸爸买的，老爸超级满意！同样都是纯棉，日本做出来的的确舒服，而且做工很精细，还便宜；经常遇到是国人制造，我们自己的商品自己用的为何不能做的更加安全舒适呢！</t>
  </si>
  <si>
    <t>质量还行，厚度偏薄。此码可以！ 183/70，穿这个码子还行.</t>
  </si>
  <si>
    <t>正品 挺好看的，确实是正品，比较喜欢这个牌子。</t>
  </si>
  <si>
    <t>好 质量好，价格便宜，很喜欢</t>
  </si>
  <si>
    <t>不错 收到货之后，去验货是正品，便宜。</t>
  </si>
  <si>
    <t>做工一般 做工没有之前买的clark好</t>
  </si>
  <si>
    <t>物有所值 帮老爸买的 175cm 78kg 很合适 面料也厚实的适合南方的秋冬 价格相对于国内同等质量 性价比要高很多 喜欢</t>
  </si>
  <si>
    <t>很好 对耻骨联合分离有作用 减轻痛苦 也不影响顺产的</t>
  </si>
  <si>
    <t>彪马 鞋子穿着到挺合适的但是物流信息感觉显示不是美国发来的，并且鞋盒跟鞋舌头扫不出条码，而且印记感觉不清晰周边有污点，防止假货就退了！</t>
  </si>
  <si>
    <t>看效果 刚开始服用，还不知道怎么样</t>
  </si>
  <si>
    <t>舒服的内裤 很好，很舒服，非常贴身</t>
  </si>
  <si>
    <t>牙刷好 物流太渣渣渣海外购牙刷请三思 牙刷质量没得说 一直用 完全就是让你自觉爱上刷牙的一款牙刷 可惜是物流 日亚那么皮实的包装 都能给你压瘪了 牙刷都倒毛了 幸好质量好 泡泡水还能倒回来………第一次海外购牙刷应该也是最后一次了 海外购牙刷请三思！</t>
  </si>
  <si>
    <t>闷 声音较闷，不够开阔，高音也不行，低音有量但质欠佳。老化了一段时间，总体素质在那摆着，只能说是将就。</t>
  </si>
  <si>
    <t>品质一般 感觉不是纯棉的，没有纯棉的柔软</t>
  </si>
  <si>
    <t>设计不人性化 两边卡口太紧，做工不人性化。为了打开卡口，手指都受伤。</t>
  </si>
  <si>
    <t>怀疑自己东西是否被调换 盒子坏掉 胶带被割开过后重新另贴的 宝贝很好 但是亚马逊怎么回事 箱子一层胶带是开过 后封上的，很明显 里面的鞋盒子也烂了。快递怎么这样？非常不满意的包装 怀疑自己拿到的东西是不是被调换的</t>
  </si>
  <si>
    <t>耳机不错，再好看点就更好了。 总的感觉相当轻便，也听不出来，总之比我原来百块钱的货好。</t>
  </si>
  <si>
    <t>很好 很好，用的很顺手，还退税了，惊喜</t>
  </si>
  <si>
    <t>不错 还不错，号码正好</t>
  </si>
  <si>
    <t>还没用 等生娃用了再来追加评论</t>
  </si>
  <si>
    <t>不错 还不错的，头发顺滑很多</t>
  </si>
  <si>
    <t>好用 非常喜欢</t>
  </si>
  <si>
    <t>很舒适 非常好，非常喜欢，回购！</t>
  </si>
  <si>
    <t>舒适、价格欢喜 鞋子质量很好，穿在脚上非常舒适，平时穿37号，这双略大一点，垫上一双布鞋垫正合适。价格很有吸引力，快递速度很快。</t>
  </si>
  <si>
    <t>scorpio 衣服是亚麻一样的材料，单穿会觉得不太舒服，款式可以，不适合肩很宽的人穿</t>
  </si>
  <si>
    <t>品质佳上 很好的产品，可惜我家宝宝还是不爱喝奶。</t>
  </si>
  <si>
    <t>尺码合适，货正 在店里试过尺码，没问题，完全合适，价钱便宜将近一半，有亚马逊真的是太方便了</t>
  </si>
  <si>
    <t>物美价廉 很好，速度够，价格更好</t>
  </si>
  <si>
    <t>非常好 这么贵的笔，是买给我爹的，他是专业人士，所以用起来，我也不会觉得浪费----</t>
  </si>
  <si>
    <t>r 超级舒服。又买了两个</t>
  </si>
  <si>
    <t>物超所值 性价比还是挺高的，什么都能听</t>
  </si>
  <si>
    <t>厚，暖 买错了…想买中筒的，袜子质量没得说日版真的很棒，下次再回购中筒</t>
  </si>
  <si>
    <t>面料舒服，弹性不错 面料舒服，弹性不错，也感觉厚度可以，打底裤不错。</t>
  </si>
  <si>
    <t>值得购买 绝对必备，擦的干净，秒杀国内一切橡皮，价格也很便宜</t>
  </si>
  <si>
    <t>声音不错，邮寄速度惊人 还是非常不错的设备，声音很好，邮寄速度也很快，非常快，从美国到中国，5天就到了，简直惊喜</t>
  </si>
  <si>
    <t>杯子 很好的杯子，颜色也很好看</t>
  </si>
  <si>
    <t>不错！ 这款刷头一般的oralB牙刷都可以用，prime免了运费海外购就很划算了。</t>
  </si>
  <si>
    <t>贝亲奶瓶🍼 基本妈妈们现在用这个的很多～</t>
  </si>
  <si>
    <t>尺码一定要看好！ 购买国外商品一定注意尺码，us10.5w等于国码47，大了一厘米还是可以穿的，就怕买小了！</t>
  </si>
  <si>
    <t>超级满意 大小刚好 物流超级快 大小刚刚好 跟之前在商场买的一样 不到一周的时间就到了 亚马逊一直这么给力 之前在美亚上淘过TOMMY的鞋子 第一双大小刚刚好 但第二是还是那个尺码却大了太多了 有了那次之后好久没有淘过鞋子了 这次刚好PRIME会员日 决定还是如有这双tiger 比上次便宜了差不多三百块把 总之很满意的一次购物</t>
  </si>
  <si>
    <t>很好 比图片好看，灰色里面带反光彩色，一点不涩，很亮，厚度也够</t>
  </si>
  <si>
    <t>好像是户外用的 十分坚固，防水，防震。</t>
  </si>
  <si>
    <t>鞋底很硬，里面很滑，谨慎购买。 鞋底很硬，而且里面很滑，也要比同码的Clark其他鞋大，走路不舒服，难受，而且表面比较软，也没型。总觉得少给了鞋垫。</t>
  </si>
  <si>
    <t>还行吧 整体还算可以吧！布料感觉怪怪的</t>
  </si>
  <si>
    <t>耳罩本身太小，罩不住耳朵 其他的线长，尺寸等都比较合适，就是耳罩过小了，另外价格还是贵了，相比北美史低来说贵了两倍还有税</t>
  </si>
  <si>
    <t>适合 非常好，大小合适 也很保暖，穿了一段时间，衣服漏羽绒非常厉害 不推荐</t>
  </si>
  <si>
    <t>做工粗糙，很像假货！ 初看做工糙了点，外面的线头都没处理，与品牌有些差距，不如金利来精细！穿了两回，就有几处跳线的。线头极多。质量太差，不是假货就是砸牌子。亚马逊卖这种产品也太坑人！</t>
  </si>
  <si>
    <t>穿着很舒服 帮朋友下的单，挺合适。</t>
  </si>
  <si>
    <t>凑活 冲牌子买的！质量确实不敢恭维！</t>
  </si>
  <si>
    <t>给老人买的，老人很喜欢 75岁的老人，穿牛仔裤，只能买国外的直筒，比国内的版型宽松。</t>
  </si>
  <si>
    <t>对肠道消化挺好 挺好用的 吃了每天都拉臭臭٩(๑òωó๑)۶</t>
  </si>
  <si>
    <t>haha I'm very pleased. And my boyfriend just loves this shoe. It's made in Dominica. It's a good shopping experience this time</t>
  </si>
  <si>
    <t>略大 尺码率偏大，可以按照正常尺码小1码来买。下单到收货，两个星期，速度还可以。</t>
  </si>
  <si>
    <t>不能在凌晨调时间 感觉还不错</t>
  </si>
  <si>
    <t>lee 牛仔裤 常款 很厚实…质量好……买四条了</t>
  </si>
  <si>
    <t>大小合适 舒适度不错，大小也合适，价格再来点空间就好了，不过已经比宽边款便宜很多了</t>
  </si>
  <si>
    <t>瘦鞋 鞋略硬，比较瘦，胖脚不要考虑了，穿5号的鞋，这次特意买了5.5号，长度够了，还是有点瘦，穿脱比较费力。快递还挺快，10天就到</t>
  </si>
  <si>
    <t>烘焙首选 很好用，质量很好，颜色超喜欢</t>
  </si>
  <si>
    <t>儿童电动牙刷 宝宝更喜欢刷牙了，不错，喜欢！</t>
  </si>
  <si>
    <t>👟 外观漂亮，穿着舒适，价钱合理。</t>
  </si>
  <si>
    <t>值得拥有的人声录音话筒 物流比预计要快，东西很不错，配件丰富，还带防喷罩，都说C414是经典话筒，和U87Ai对比了一下，灵敏度差不多，高频差不多，中频少一点，低频多一点，录出来声整体比U87柔和些。</t>
  </si>
  <si>
    <t>鞋本身很棒 这个鞋本身很棒，可能我的脚比较瘦，长度刚好，但是鞋面显得有点高，鞋到手后鞋舌部位的鞋标有脱线状况，客服很好的帮我处理了这个问题，很满意的一次购物体验</t>
  </si>
  <si>
    <t>已确认购买 宝宝喜欢吃，应该是正品</t>
  </si>
  <si>
    <t>好看 尺码标准，非常好看，光线不好，拍得不好，但是是双很有气质又舒服的皮鞋，赞10086</t>
  </si>
  <si>
    <t>质量很好 今天因为没带所以没发图片，表盘还是非常大气的，做工也挺精细的，很好</t>
  </si>
  <si>
    <t>喜欢 还没用，囤货中，不过手感很舒服，希望会好用</t>
  </si>
  <si>
    <t>很满意 很满意 鞋子大小正好合适 本人脚偏小 国内没有找到这个大小的鞋子，尝试着在亚马逊买了第一单，很满意，超出预期。以后还会支持的。</t>
  </si>
  <si>
    <t>很好的 舒适，价格合适，感觉很不错。</t>
  </si>
  <si>
    <t>质量很好 质量很好，赞</t>
  </si>
  <si>
    <t>用了半年了，不错 用了半年了，放在办公室，不带线的很方便，电池续航能力强，几个月才充一次电。洗牙器本身也好用。</t>
  </si>
  <si>
    <t>食用方便，营养全面，适合高龄老人和体弱患者 营养全面，</t>
  </si>
  <si>
    <t>比较方便 存储量大，个人的云端比较安全，操作也方便全家能用</t>
  </si>
  <si>
    <t>非常好用，1200到手，买的石榴红，送货也很快，一周就到了。没有瑕疵。 非常好用，1200到手，买的石榴红，送货也很快，一周就到了。没有瑕疵。此前看评论有人买的不到一千就到手的，但是因为着急用，也没办法，和国内比还是划算的。做了红烧牛肉，味道很好👍</t>
  </si>
  <si>
    <t>修身款 瘦小啊，修身款的，大叔级就算了吧</t>
  </si>
  <si>
    <t>小了 买小了，很紧，所以不知道效果。</t>
  </si>
  <si>
    <t>太扁平了 这个带起来不好看。不适合一般脸只适合小脸</t>
  </si>
  <si>
    <t>发错了款式，印花不是我订的。而且不是100%棉 不是100%棉的，和商品说明书不符。差评</t>
  </si>
  <si>
    <t>退换货问题 尺寸过大，退货运费125元，实际上退回0．15元，喜感动人了！</t>
  </si>
  <si>
    <t>尺码表差评 鞋子很好，但这次购物很不愉快，关于尺码问题一个多星期了都没解决。现在的尺码表是后换的，按照原来的尺码表买回来大了两个码，根本没法穿，找客服什么都解决不了，真的是无奈</t>
  </si>
  <si>
    <t>性价比高 性价比挺高。</t>
  </si>
  <si>
    <t>， 挺不错的，就是表盘比图片的要小一点 总体还是可以</t>
  </si>
  <si>
    <t>穿着有型 布料有较大收缩性，穿着有型</t>
  </si>
  <si>
    <t>性价比不错 科技含量有的，简洁大方，感觉尺码轻微偏小！</t>
  </si>
  <si>
    <t>运输损耗 碎了不少，其它还好、等用过再说</t>
  </si>
  <si>
    <t>很喜欢 家里的小孩用的都是这个，很喜欢这个牌子</t>
  </si>
  <si>
    <t>很好 很好。以前从不去评价，不知道浪费了多少积分，现在知道积分可以换钱，就要好好评价了，后来我就把这段话复制走了，既能赚积分，还省事，走到哪复制到哪，直接发出就可以了，推荐给大家！</t>
  </si>
  <si>
    <t>不错 173，75穿的合适，不错👍</t>
  </si>
  <si>
    <t>顺滑流畅 EF笔尖配鲶鱼黑暗之心，粗细很合适，适合中文书写，笔尖顺滑柔韧，书写流利，很棒！</t>
  </si>
  <si>
    <t>好用 不错，非常好用，就是有点小贵。</t>
  </si>
  <si>
    <t>完美 给老婆买的，看了大家的评论选的尺码很合适，价格也美丽，老婆很喜欢</t>
  </si>
  <si>
    <t>大小合适 非常喜欢 大小合适</t>
  </si>
  <si>
    <t>漂亮 帮朋友女儿买的，跟预期一样的合适漂亮，真心喜欢</t>
  </si>
  <si>
    <t>好鞋 平时43码，运动鞋都是44，合适</t>
  </si>
  <si>
    <t>不错的裤子 颜色正合适，尺码也没问题</t>
  </si>
  <si>
    <t>喜欢 250mm的脚，8.5码正合适。喜欢</t>
  </si>
  <si>
    <t>非常实用，非常方便 自从有了这个工具，开发了许多美食。非常实用，非常方便。</t>
  </si>
  <si>
    <t>好！ 很好用，孩子从奶瓶到亲喂，再从亲喂到奶瓶，无障碍过渡，水煮消毒没问题，现在天天用，孩子也喜欢，推荐购买！比国内淘宝店、母婴店便宜多了</t>
  </si>
  <si>
    <t>买到了最大码，很满意！ 跟预想差不多，比优衣库的厚实，白色有点米白，弹性很大，大腿部还是有点紧，学校要冬天穿裙子，不怕臃肿了。买了两件换着穿！</t>
  </si>
  <si>
    <t>善存50岁以下男性配方 使用多年的品牌，这次包装标示了非转基因、无麸质！配方与国内OTC需要进一步比较！</t>
  </si>
  <si>
    <t>不错 不错的鞋子，上面磨砂、下面翻毛的整张皮，价位也不错~</t>
  </si>
  <si>
    <t>自己也入了一套 好用！ 之前帮同事买了一套 听他反馈很好用 于是自己也入了一套 便宜又好用</t>
  </si>
  <si>
    <t>性价比极高 购买时候没有看清楚是塑胶的，但喂养起来还是很得心应手。宝宝喜欢，吃得开心。正品，比国内要便宜一半。</t>
  </si>
  <si>
    <t>颜值一流 黑五200多，商品实际颜色比图片颜色要好看，颜值一流，俩人喜欢。中国制造，略有遗憾。</t>
  </si>
  <si>
    <t>可能有点短 合身，尺寸正好，就是长度有点短，再长一寸或者二寸就好了。</t>
  </si>
  <si>
    <t>好！ 非常好，老公喜欢！不错</t>
  </si>
  <si>
    <t>没有鞋垫 我收到的也没有鞋垫 估计压根就没有</t>
  </si>
  <si>
    <t>做工 感觉做工很糙，怀疑是否是真货</t>
  </si>
  <si>
    <t>还行 中国产的，颜色居中，大小合适！</t>
  </si>
  <si>
    <t>略鸡肋 平时在冰箱保存，早上洁面后使用，凉凉的很舒服，吸收很好但是保湿力一般</t>
  </si>
  <si>
    <t>吸毛裤，黑色款极易吸毛，慎买 吸毛裤，黑色款极易吸毛，慎买</t>
  </si>
  <si>
    <t>质量太差了 才穿没几天鞋面就裂了，质量太差了</t>
  </si>
  <si>
    <t>包装太烂了 连个包装箱子都不装，收到盒子都是破烂不堪</t>
  </si>
  <si>
    <t>鞋子大了点 44的鞋子稍许有点大，目前还没垫鞋垫，补一个评论，不知道怎么上图，才穿一天，鞋帮子那，就裂开了，才穿半天，</t>
  </si>
  <si>
    <t>一般 用不了多久就吸不住了，小孩力气大的话，吸住也能扯下来，而且塑料制品，没用多久碗底就刮花了</t>
  </si>
  <si>
    <t>很轻便，有点透 材质是带网眼的，略有有点透，里面需要穿长款内裤</t>
  </si>
  <si>
    <t>质量好！ 非常舒服，很性感漂亮，就是设计上前面有一道折痕比较特殊，但是不影响</t>
  </si>
  <si>
    <t>轻薄舒适 保温透气效果都很好。</t>
  </si>
  <si>
    <t>不错 质量不错，纯棉了，也合身。</t>
  </si>
  <si>
    <t>性价比高 到手第一感觉非常扎实，虽然不厚，但是春秋两季出行已经足够，配上抓绒或薄羽绒，相信一般的穿越都足矣应付。欧美版的都会觉得衣袖比较长，能接受。颜色好看，不用担心满大街都是。关键是这个价格（300多RMB），在线下肯定买不到！不过亚马逊的价格涨涨跌跌，简直和股票一样刺激了！</t>
  </si>
  <si>
    <t>衣服质量不错 178cm,70KG，M码修身</t>
  </si>
  <si>
    <t>正品 比想象中的好，就是物流稍慢，但性价比值得入手，正品</t>
  </si>
  <si>
    <t>好用 没有味道，就是宝宝不会用，还在练习中。</t>
  </si>
  <si>
    <t>咖啡机的中国改良！ 不喝咖啡时用来沏茶不错，出热水快，出水量可以调节，沏茶比喝咖啡用的多</t>
  </si>
  <si>
    <t>拜亚耳机 挺好，拜亚耳机第一次购买，比入耳式声场大</t>
  </si>
  <si>
    <t>相当不错 这个价格来说，还有啥好说的，一般价格到手，跑步偶尔听歌，平时躺着看视频用，非常满意</t>
  </si>
  <si>
    <t>版型不错 大小合适，非常合身，质量与同时买的其他牌子的T比也不错。</t>
  </si>
  <si>
    <t>好评 黑五特价买的，这价位买到光动能很满意了，表比想象中厚，皮带很硬，其他都好</t>
  </si>
  <si>
    <t>比国产的似乎好用一点 功能不少，不过只用了基本功能。</t>
  </si>
  <si>
    <t>使用感不错 到货速度超出我的预料，10天就到货了，很惊喜，这款是2.4L容量的，到货马上试用，没有某宝上所说会有黑色碳粉掉进水里</t>
  </si>
  <si>
    <t>很好 大小合适，可以装入ipad mini和一些杂物或者雨伞，足够多的小口袋放零钱和公交卡之类，通勤方便。皮质的，做工也挺好，满意的，现在上班就带这个，把邮差包丢一边了</t>
  </si>
  <si>
    <t>正品就好 是正品，价格还合适，那就行了</t>
  </si>
  <si>
    <t>性价比不错 东西确实很好，运行有一定噪音，不过很小，只是不明白这东西质保问题怎么办？</t>
  </si>
  <si>
    <t>非常好。 非常好用，旋钮只转半圈即可关紧，设计非常好。色彩很柔和，保温性能非常好，非常满意！</t>
  </si>
  <si>
    <t>sexy man 质量还行吧，还挺性感的说</t>
  </si>
  <si>
    <t>便宜好用 便宜好用 强力推荐 比国内划算</t>
  </si>
  <si>
    <t>比国内节约很多 不错，唯一不足就是120V要带一个变压器使用。 使用了一段时间补几张实际功率图。0.6a的是变压器的空耗电流。时间算下来使用功率是1275w。机器标的是1140。由于频率不一样。所以功率有差别。不知道对寿命影响大不。</t>
  </si>
  <si>
    <t>好 一如既往的好！钢笔是中国制造，墨水是法国制造。</t>
  </si>
  <si>
    <t>舒适 穿一次之后，别的内衣就不想买了</t>
  </si>
  <si>
    <t>包装应该再稳妥一些 套了个硬纸箱就漂洋过海送过来了，连防震袋都没有塞，还好没问题。</t>
  </si>
  <si>
    <t>很mini，也没配挂绳，很容易掉，看做工也比较一般，速度很不稳定，数度0-20m之间不停的跳动。 很mini，也没配挂绳，很容易掉，看做工也比较一般，速度很不稳定，数度0-20m之间不停的跳动。</t>
  </si>
  <si>
    <t>修身 一星，那是什么修身，裤脚像喇叭</t>
  </si>
  <si>
    <t>不实用 之前看了太多推文介绍这个笑脸餐盘，被狂种草，亚马逊已经是能找到的最便宜的渠道了。到手之后质量倒是不错，长相也很可爱，但是我家10个月的娃，第二顿饭就掌握了技巧，分分钟掀开甩一地，吸盘的意义根本就不存在了，还不如把东西直接扔桌面上吃。</t>
  </si>
  <si>
    <t>裤子按价格是不错的。 牛仔裤一直买32；32的。这个裤子，腰围可以，裤腿稍微有点肥。和同一牌子的另一条同尺码的裤子比，裤腿长好多。有线头。颜色比较正。</t>
  </si>
  <si>
    <t>布料味道太大 洗了一次后，布料味道仍然很大，谨慎购买</t>
  </si>
  <si>
    <t>臭味熏天！太恶心！ 收到就是如图，真的是超级恶心！臭味十足！但还不让退货！</t>
  </si>
  <si>
    <t>耳机线稍微有点长，音质一般吧，胜在便宜，200入手 耳机线稍微有点长，音质一般吧，胜在便宜，200入手</t>
  </si>
  <si>
    <t>可以 这款益生菌经常买，不知道效果/反正一直在吃/小朋友也喜欢这味道，不过质疑，益生菌不都是放低温的吗？常温的没有影响么？</t>
  </si>
  <si>
    <t>胶囊盒子不方便用 胶囊盒子有2层机关，第一层有明显缝隙，会漏水。用完的胶囊里面还有很多水，扔掉之后会慢慢流出来，弄的垃圾桶里全是水</t>
  </si>
  <si>
    <t>好用 切丝的眼，大的太大，不符合我们的饮食习惯。</t>
  </si>
  <si>
    <t>产品质量佳，使用效果满意 刷头质量佳。刷毛较软，能去除牙菌斑达到美白效果。</t>
  </si>
  <si>
    <t>显瘦 很好，显瘦，167，135斤买的M码，有点大</t>
  </si>
  <si>
    <t>好 还不错 这两个年在亚马逊买了很多东西 很划算 父母健康很重要</t>
  </si>
  <si>
    <t>二次回购 跟风潮牌买了两件，我一件老公一件，料子质量很好，穿起来也合适，老公185cm，80kg，穿L刚好，我身高162cm，体重49kg，穿男款的xs刚合适。代购的价格基本都是两百多三百，这里一百多太划算了。所以又下手和老公一人买多一件。</t>
  </si>
  <si>
    <t>款式喜欢外观文艺 比国内便宜很多，款式很喜欢，快递也很快，就是日期显示不是很准，镜面不是蓝宝石，希望能久用</t>
  </si>
  <si>
    <t>降噪耳机 还是挺满意的，虽然降噪效果很烂，也没有信仰小金标，但是外观骚啊~~比国行便宜了300多块钱也不错了。</t>
  </si>
  <si>
    <t>亚马逊海外购不错 脚41码 买7.5US很合适 裸价315不含税</t>
  </si>
  <si>
    <t>很好 德系龙头，设计大气，做工精细</t>
  </si>
  <si>
    <t>收货 很好</t>
  </si>
  <si>
    <t>保温性能好 越是简单越是难，杯子保温性能非常好。</t>
  </si>
  <si>
    <t>值得购买 淡淡的清香 好看的花瓣 孩子从此爱上了洗手 有时我也会偷偷的用一下 哈哈哈</t>
  </si>
  <si>
    <t>合脚，和预想的一样好 穿255的鞋，选7.5M刚刚好。</t>
  </si>
  <si>
    <t>论外国品牌货 我的脚260的，买的8mus，喜欢穿大点的这个码数刚刚好。鞋子很漂亮，就不知道质量有没传说中的靠谱，反正五星的外观，质量再看吧</t>
  </si>
  <si>
    <t>不错 尽管包装没有里三层外三层，但是送来的时候还是很完美。打开看也是很新的，完全没有被碰过的痕迹。30厘米的锅还是挺小的，不过只要不是炒几碗米饭，应该也是够的。锅的质量很好，也比较轻，感比较适合想做一些分量不大比较精致的菜吧。</t>
  </si>
  <si>
    <t>很帅呀 没毛病，这个颜色相对比较低调，穿正式或休闲都可以配搭了</t>
  </si>
  <si>
    <t>弹性十足 很好，弹性足，舒适，运动型，谢谢亚马逊带来物美价廉的商品，在下一单。物流也很快。</t>
  </si>
  <si>
    <t>东西不错 不错的剪刀，特地去查了下，这种不锈钢是会生锈的</t>
  </si>
  <si>
    <t>赞 很漂亮的餐盘勺子 宝宝很喜欢</t>
  </si>
  <si>
    <t>不错 牛仔裤看起来挺结实，用料很讲究，很有档次，价格不贵，捡到便宜货了h</t>
  </si>
  <si>
    <t>该产品质量比较好 我信赖该品牌产品，买来送给朋友服用，产品质量还好！</t>
  </si>
  <si>
    <t>声音有点大 就是不知道是不是国内版本声音也这么大的除了声音大一切完美 什么都值得买上有安装经验 看我老公很快就安好了</t>
  </si>
  <si>
    <t>非常标准的尺寸 身高175厘米，体重120斤，29W x30L 非常合适</t>
  </si>
  <si>
    <t>半粒 居然有一粒是半颗 也找不到另外一半 着半粒切片居然还有封好的感觉 怀疑是不是jia的啊。。。</t>
  </si>
  <si>
    <t>售后服务太差劲 没有中文说明，而且在国内坏了的话不知道找哪里去修</t>
  </si>
  <si>
    <t>男裤 布料不好，有些硬，像工作服。</t>
  </si>
  <si>
    <t>憋得慌啊 没有尺码详情啊，看不明白啊，然后按平常尺寸购买，大到没有人能送，又不能换货，白白花了124的运费啊，肠子都悔青了</t>
  </si>
  <si>
    <t>千万别买 当时没看评论就买了，回来里面掉毛 皮肤过敏，松紧带 就像没有一样，还不如地摊货质量！</t>
  </si>
  <si>
    <t>衣服质量不错 身高178、体重78，L号过大了</t>
  </si>
  <si>
    <t>实惠品质好 价格实惠，品牌品质有保障</t>
  </si>
  <si>
    <t>价格浮动大、产品本身可以 收到后发现降价了降价了降价了！联系客服不给退差价，价格不再保护，还有什么优势？说说产品，产后一个月，腰最细的地方大概73，肚子那里86，臀围92，保守选了64，第一次穿觉得还挺难往上拉，其实穿上以后就不觉得勒了，真的还是要往小了选！然后，不足的地方，腹部那里会往下卷。优点是弹性很好，至于效果还没有显现，关键还是管住嘴迈开腿。</t>
  </si>
  <si>
    <t>质量还对得起价格 最后下单的，最先到货。三双鞋从不同地方发货，用不同的传输。目前感觉质量还行。</t>
  </si>
  <si>
    <t>这款是全罩杯 一直都在亚马逊买ck内衣，喜欢ck内衣的轻薄透气，剪裁贴身 。 亚马逊最不好就是说明比较简陋，我不是很喜欢全罩杯，结果这款是的，所以扣掉一星。 不过，ck布料都是很舒服的。如果喜欢全罩杯，推荐本款。 尺码跟国内的一样，共其他人参考。</t>
  </si>
  <si>
    <t>thinkbaby的碗 没觉得特别出众的地方 只是因为她太火 买的时候超级划算 到家150+，会时不时的 有特价 需要看住了！</t>
  </si>
  <si>
    <t>是正品性价比非常高 是正品，性价比非常高。</t>
  </si>
  <si>
    <t>海外购还算靠谱 质量不错，不漏水，保温效果也可以，挺满意的一次购物体验</t>
  </si>
  <si>
    <t>正品，非常好，五星好评。这个价格非常值了 正品，非常好，五星好评。这个价格非常值了</t>
  </si>
  <si>
    <t>品质之选 价格实惠，书写流畅，赞一个</t>
  </si>
  <si>
    <t>挺好的 不错，质量好，弹性也很好</t>
  </si>
  <si>
    <t>还不错 夜光功能很实用，就是声音有点大，不注意也听不到。</t>
  </si>
  <si>
    <t>很好传 材料略硬，不易皱，耐穿</t>
  </si>
  <si>
    <t>不错 我非常喜欢的一款，很合适。</t>
  </si>
  <si>
    <t>好 穿着感觉很舒适，鞋底材质很柔软</t>
  </si>
  <si>
    <t>真品，过大，便宜 和亲戚在美国买价格差不多，不用操心国际快递。真好</t>
  </si>
  <si>
    <t>操作简单，体积小 不错，选择了很久,最终选了这款，主要是体积小，不占地方，已经开封用了，制作咖啡非常棒，操作很简单，配上好的咖啡豆就更完美了。 不过，亚马逊价格波动很频繁啊，刚入手就降价了，还没有保价措施，有需要的朋友记得多关注价格。</t>
  </si>
  <si>
    <t>相信亚马逊 已经在亚马逊购物5年了，可以说亚马逊一直是我非常信赖的电商平台，每次的购物都是非常满意的，所以希望更多的人能信任和支持。说说这款鞋，在北京的实体店不止一次看到，价格呢却一直维持原价，而终于发现亚马逊上有，价格非常亲民，毫不犹豫购买。配送时间不长，鞋子包装非常好，鞋子也非常舒适，上身非常满意，感谢有亚马逊，生活变得便利和实惠</t>
  </si>
  <si>
    <t>满意 质量很赞，底部柔软！码数准，正常！舒适透气</t>
  </si>
  <si>
    <t>幸福。 暖和一整天。真的可以防水。跟描述的一样。</t>
  </si>
  <si>
    <t>质量好 好用，质量好，一套能用到很大</t>
  </si>
  <si>
    <t>相信WD 12年购买的国行3T需要900，现在由于取消网盘及安全性逐渐不够用。所以在亚马逊购买的6T版，海外的，再配合云My BOOK LIVEDUO，应该没问题。用了这么多年了。关键是无损音乐要库存。</t>
  </si>
  <si>
    <t>性价比高 拆开装NAS里用的。是氦气盘。噪声很小，读写速度都不错。值得购买。</t>
  </si>
  <si>
    <t>好东西😊 和我的水牙线配套使用</t>
  </si>
  <si>
    <t>good 第二次买了，真的不错！适合我的感觉！</t>
  </si>
  <si>
    <t>裤型很好，颜色很正！ 这个29码的比牛仔裤的腰围略宽点</t>
  </si>
  <si>
    <t>尺码正，感觉质量不如国内的。 给两星，一是因为价格相比行货有优势，二是因为亚马逊海外购物流很快。扣三星是因为质量有问题，看我发的图片，两只鞋子脚跟部位倒模都有很大的气泡，要比国内行货的气泡大。如不介意细节，就按照国内商场试穿的尺码买就可以。</t>
  </si>
  <si>
    <t>不是很好 面料有点粗糙，皮肤比较敏感的穿在身上不太舒服。</t>
  </si>
  <si>
    <t>千万别买！ 买了三个月用了几次就坏了，不能修也不能退，千万别买！！！切记</t>
  </si>
  <si>
    <t>才用了没几天就坏了，数据读不出来，坑死人 号称海外购不保修，质量烂的要死，用几次就坏了，坑爹货，数据都拿不出来了</t>
  </si>
  <si>
    <t>垃圾 明显就是别人穿过的，太搞了</t>
  </si>
  <si>
    <t>保温效果很好 首先说保温效果，确实不错，沸水入罐大约12小时后（环境温度20摄氏度），还是很烫。密封效果不错，滴水不漏。开通prime后价格很合适。再来说一下包装，日亚的包装确实不同于中国的，大盒子里面物品摆放整齐，并进行了塑封，东西不会来回晃动，很用心。 不足的地方是这罐子比较粗，没有额外的手提带，手小的人拿起来可能不是很方便。</t>
  </si>
  <si>
    <t>效果不错 很喜欢 接电脑还是有底噪，准备在入手个同品牌声卡，音效不错，唯一一点 发热感人</t>
  </si>
  <si>
    <t>皮带不错 皮带不错 拍40的 感觉还是稍稍短了一点</t>
  </si>
  <si>
    <t>有点小贵(钻绒严重) 稍稍大一点，适合南方初冬</t>
  </si>
  <si>
    <t>少发了一件 比较适合做内衣，尺码跟国内差不多，可以照自己平时的下单。只是我收到的只有两件，少了一件白色的。问客服，说已经断货了，而且我的订单显示是3件白色的，实在是无语了。最后做了一件的退款，不怎么愉快的海外购。</t>
  </si>
  <si>
    <t>不错 很好，以前从不去评价，不知道浪费了多少积分，现在知道积分可以换钱，就要好好评价了，</t>
  </si>
  <si>
    <t>速度超快 测试环境：win7, 固态硬盘+机械硬盘，USB3.0接口  ATTODiskBenchmark测试, 读310MB每秒，写290MB每秒 写入照片155MB每秒，写入视频166MB每秒 读出照片133MB每秒，读出视频192MB每秒 可惜没有USB3.1接口</t>
  </si>
  <si>
    <t>好用 非常好用，稍微有点刮纸，ef感觉正好。</t>
  </si>
  <si>
    <t>好用 很好用，沙发，拉直后的顺滑感能很神奇地保留两天</t>
  </si>
  <si>
    <t>不错 稍微有些大，磨脚，ecco的鞋刚开始都有这毛病</t>
  </si>
  <si>
    <t>美丽的餐盘 冲着颜值秒的！秒杀价还可以，实物也很美！质量也不错！</t>
  </si>
  <si>
    <t>正好 中号正好，质量也很好，价位也便宜。</t>
  </si>
  <si>
    <t>好用好用 很好用，宝宝出去吃饭方便多了</t>
  </si>
  <si>
    <t>挺好用的，而且比国内便宜很多 看到其他评论说洗碗机洗了有异味和不能溶解外膜真的很惊讶。我之前买的是亮碟国产洗碗粉、盐、剂的三件套，因为掌握不好用量和锅碗摆放的问题会存在洗不干净和很奇怪的味道，换了这款之后就不会了，洗的很干净，锅碗摆放还在摸索中。不能溶解外膜可能是水温没上去，最好是检查一下洗碗机。</t>
  </si>
  <si>
    <t>非常舒服的鞋 很喜欢</t>
  </si>
  <si>
    <t>霹雳马彩铅 非常好很满意就是包装过于简单了</t>
  </si>
  <si>
    <t>无缘无故退货了 买的时候期待着，然后衣服到了，裤子还没到，失望</t>
  </si>
  <si>
    <t>蜡笔不错！！！！ 蜡笔不错！！！！ 希望以后学校里能用到</t>
  </si>
  <si>
    <t>好 鞋子很好，皮质柔软。</t>
  </si>
  <si>
    <t>不错 不错，下次还会买</t>
  </si>
  <si>
    <t>东西不错。 东西不错，168cm，58kg，小号合身。</t>
  </si>
  <si>
    <t>非常满意，穿着很舒服，已推荐给朋友 非常满意，穿着很舒服，已推荐给朋友</t>
  </si>
  <si>
    <t>产品满意 到了就直接用了，也没测试什么，把硬盘做了转内保。</t>
  </si>
  <si>
    <t>on的乳清蛋白粉还是贵了，希望可以调到280包邮。 on的乳清蛋白粉还是贵了，希望可以调到280包邮。</t>
  </si>
  <si>
    <t>价格便宜 还不错，关键是价格很实惠。刷头是消耗品啊</t>
  </si>
  <si>
    <t>常规裤型 常规裤型，比SLIM的稍大，没那么修身。</t>
  </si>
  <si>
    <t>oversize 176cm，75kg，还是看着比较壮的身材，买了2件L码（平时都是L）上身空荡荡的，感觉大了不止一个码，送给更高个的朋友了。 面料手感还不错，价格倒是不算贵。建议买小1-2个码。</t>
  </si>
  <si>
    <t>尺码过大 同一尺码不同颜色居然裤子的长短和肥瘦居然相差3cm以上我也是醉了。面料还是不错的</t>
  </si>
  <si>
    <t>不喜欢 图案不怎么好看，鞋子很窄，宝宝不穿</t>
  </si>
  <si>
    <t>想象太美好 颜色比图片的深很多！以为是牛仔衬衫，实物就普通衬衫</t>
  </si>
  <si>
    <t>假货 明显假货，割嘴@💔</t>
  </si>
  <si>
    <t>发错货，发错码 买的短裤竟然发成长裤，而且s号发成xl，我也是无语了😓，就不能认真点发货吗？</t>
  </si>
  <si>
    <t>人性化服务有吗？ 衣服过大，比国内卖的质地薄的多，加上税费，运费也不便宜，而且不合适还不能换货，真不合适。</t>
  </si>
  <si>
    <t>做工很好 182cm72kg，穿L刚好，略宽松不紧绷。做工很好。</t>
  </si>
  <si>
    <t>衣服还可以 买了两件 黄色和绿色的 拿到手以后发黄色腋窝处开线 反应了以后售后处理及时 s码面料较厚 m码偏薄 女生158cm 46kg s码偏大</t>
  </si>
  <si>
    <t>还行 橡胶套杯底部分有些许残次，海外购退换麻烦不退了。</t>
  </si>
  <si>
    <t>很不错的一款运动裤 与阿迪运动裤相比，面料不同，做工精细，适合春秋季穿着，个人感觉相当不错。</t>
  </si>
  <si>
    <t>五天到手 五天到手 看了这么多 以为这个秒针是对号的 结果还是不尽人意啊 大致满意吧</t>
  </si>
  <si>
    <t>穿着的舒适度不好。 从图片上看这双鞋会偏硬，果不其然皮质偏硬。穿着的舒适度不好。</t>
  </si>
  <si>
    <t>经典高性价比之选 经典高性价比之选，准备个相当的功放，必不负期望的经典大耳！</t>
  </si>
  <si>
    <t>可爱的童鞋 非常可爱的鞋子 孩子自己选的 属于春秋款吧 鞋子非常轻，今天孩子直接穿去幼儿园，下午接孩子去跳舞 换鞋摸袜子有点潮，如果夏天穿可能会捂脚吧，孩子脚长现在16.8买的17.5大一个手指。日系的鞋，码数比较准，欧美的码数真是摸不透。</t>
  </si>
  <si>
    <t>担心是不是真的，质量好不好，全家吃行不行？ 划算</t>
  </si>
  <si>
    <t>音质不错 音质不错，接头做工还稍显粗糙。</t>
  </si>
  <si>
    <t>还可以 送的误删除软件呢？没看到在哪里</t>
  </si>
  <si>
    <t>很好，又买一件。 穿的刚刚好，价格合适。</t>
  </si>
  <si>
    <t>好看，软 和伴侣一人一双，感觉很有型。也很软皮质。就是鞋垫容易打滑。可能需要自己垫一个。被多人夸好看了</t>
  </si>
  <si>
    <t>实用，肩带有防滑条。 实用，肩带有防滑条。</t>
  </si>
  <si>
    <t>500多买的，价廉物美，下次还会给朋友推荐 500多买的，价廉物美，下次还会给朋友推荐</t>
  </si>
  <si>
    <t>非常好的鞋子 27号晚上下单，2号上午到，5天就到了，太速度了。鞋子质量很好，没有异味，平时穿39 40,这双在国内专柜试过，8码正好</t>
  </si>
  <si>
    <t>不错 170cm/69kg。正合身。衣服轻薄。但面料手感舒服。</t>
  </si>
  <si>
    <t>蛮好的 真心不错，价格比某猫某狗的便宜很多，不知道使用起来怎么样，赞一个</t>
  </si>
  <si>
    <t>正品 非常好的购物体验，正品，邮寄快速。</t>
  </si>
  <si>
    <t>孕妇必备 后期盆骨疼，这款产前产后都能用，非常好</t>
  </si>
  <si>
    <t>还可以 东西还算不错，不过比我之前买的那件相比，布料上不带弹力，这是越南产的，随便穿穿还可以</t>
  </si>
  <si>
    <t>亚马逊从来没让我失望过 太合身了，质量好好，面料很舒服，希望亚马逊越来越好</t>
  </si>
  <si>
    <t>很好 到货非常快，而且包装太仔细了，商品都是固定在盒子里面的，想拆出来还得用点功夫。 对亚马逊的服务一直特别满意。厚木240的里面有层薄绒，而郡是400d的仅仅只是袜子编织的稍厚，目测感觉前一种更保暖。但是还没上身，实际情况不清楚。</t>
  </si>
  <si>
    <t>一款不错的移动硬盘 尺寸比一般移动硬盘偏大，外型中规中矩，和电脑硬盘对拷贝速度150左右，需要外接电源稍显麻烦，两个3.0借口方便外接其他移动存储，能识别手机链接，总体上是款不错的移动硬盘设备。</t>
  </si>
  <si>
    <t>满意 合身 满意 合身</t>
  </si>
  <si>
    <t>很棒的精工石英表 手表戴了三天，运转良好，计时准确，非常满意所以过来写评价。很喜欢它的表盘款式，夜光还不错，大红秒针是计时用的平时不走，这点很特别，当然习惯就好。日亚的速度和质量很给力，物流部分国际查易客满，国内查芝麻开门，都可以追踪到。</t>
  </si>
  <si>
    <t>太大 买前没看到评论，平时运动裤买L，看尺码表买了M，结果大得赶上麻袋了</t>
  </si>
  <si>
    <t>有点失望 我挺爱亚马逊的，但是这个钱包让我挺失望的，我感觉是残次品拿出来卖的😞😞😞除了这个划痕，还有许多线头😤😤😤</t>
  </si>
  <si>
    <t>蓝牙功能用不了 用不了蓝牙功能</t>
  </si>
  <si>
    <t>一分钱一分货 这个牌子衬衣比较便宜，尺码合适，穿着也舒服，就是衣领偏软，一分钱一分货。</t>
  </si>
  <si>
    <t>质量有待提高 没穿几次 已经坏了 感觉舒适度不高</t>
  </si>
  <si>
    <t>差差差 质量差，刚穿了一天就开胶了，磨脚的也厉害，估计是假的或者被调包了，千万别买</t>
  </si>
  <si>
    <t>感觉不错。 看样子还行，一直还没使用。</t>
  </si>
  <si>
    <t>不错 有两个孔，蛮实用的，虽然是国产的，质量还可以</t>
  </si>
  <si>
    <t>还好 爸爸一直在吃，效果有待进一步观察</t>
  </si>
  <si>
    <t>皮带踢不烂 希望这个评论可以帮助后来者。36码很标准，5个开孔，配34码的裤子，扣到当中一个孔，或者紧点可以扣到第4个孔。美亚的包装刚看到还担心皮带会不会折坏，暂时看还可以。神奇的是以前买的都是印度产的，这条竟然是美国产的？！</t>
  </si>
  <si>
    <t>偏小 质量不错 但是建议买比平时大一码</t>
  </si>
  <si>
    <t>很喜欢 帽子很不错，大小也合适。</t>
  </si>
  <si>
    <t>心仪已久的红飘带ma1 看了很多评论，最终决定入手经典版军绿色s号，怀着忐忑不安的心情等待衣服到货。还挺快的，一周就到了。马上试穿一下，没想到还挺合身。给大家参考一下吧：本人身高171cm，体重64kg。衣服穿上正好合适，肩宽与袖子都刚刚好，衣长感觉稍短，可能就是这样的款式吧！总之对衣服很满意，做工好，很有型。</t>
  </si>
  <si>
    <t>大小是否合适 大小如预期一样，比较合适，第一次喜欢还可以，洗了一次感觉就稍微没有那么顺了，可能是脱水没脱干，整体还不错吧。我高174cm重67kg，L刚刚好。</t>
  </si>
  <si>
    <t>大童款 这个比成人版要轻便些，穿着还比较舒适，没出现磨脚，可能码字买对了吧，我240，买的5.5M,. 建议240的脚买5.5或6的</t>
  </si>
  <si>
    <t>非常合身 非常合身，裤腰、门襟、裤长都非常合数，臀部可包裹的好处。做工也很好，面料柔和。提醒一下，一定要买小一码，我标准34~35，这个只要33就正好。</t>
  </si>
  <si>
    <t>信仰 到货比预期要快，调音很棒，素质也不错，好评！Marshall变成信仰了</t>
  </si>
  <si>
    <t>实惠之选 布料柔软切挺括，做工精良。给大家一个参考，身高：172，体重:75。穿31/30，腰围稍微有点小，长度则码刚刚好。</t>
  </si>
  <si>
    <t>62000转/分钟 一个充电底座，两个手柄，两个牙刷头，两个旅行盒。</t>
  </si>
  <si>
    <t>衣服 真的够大，185，120公斤。3XL尺码足够还有富裕。国内从来买不到这么大的衣服。</t>
  </si>
  <si>
    <t>不错 质量很好，质感很棒，估计能用很多年</t>
  </si>
  <si>
    <t>非常方便 提前一周送到，含税1k不到，简直是白菜价了！很好用，第一次奶盒里放了清水机器不工作以为坏了，去淘宝问了客服原来一定要放奶，有个检测口会检测牛奶位置，换了牛奶果然就好用了！</t>
  </si>
  <si>
    <t>款式版型 做工 质感 天哪 我吹爆这双鞋子 做工和质感都没得说！而且上脚太有气质了 跟大衣风衣九分裤小裙子都很搭！！！！！！我爱了！！！</t>
  </si>
  <si>
    <t>物流 质量没的说，物流速度也能接受～</t>
  </si>
  <si>
    <t>好 2向圆插头 可直插 无需转接头；热水速度还可以 2400W的功率也不会太快；蓝光提示和水量提示很实用也很好看。不锈钢机身导致水烧开后外壁很烫手 虽然正常来讲用把手不会烫到握持感也很好但万一一不小心恐怕就要被烫一下子了 不过以WMF的设计风格 估计就是这么设计的吧</t>
  </si>
  <si>
    <t>舒适便宜 特别舒适 比日本代购便宜不少</t>
  </si>
  <si>
    <t>好 很棒，柔软，穿着舒服，日本制</t>
  </si>
  <si>
    <t>满意 很好，不后悔！</t>
  </si>
  <si>
    <t>高170体重140斤，稍微有点大 高170体重140斤，稍微有点大</t>
  </si>
  <si>
    <t>非常好的商品 非常好 干净 无气味 很满意 如果能送个把手就更完美了</t>
  </si>
  <si>
    <t>质量很好 之前在美亚直邮了一台KA厨师机，还想再入一台，发现居然不能直邮了！转运又太麻烦了，幸好有海外买家，价格也合适，直接下单。包关税的，棒棒棒！ 厨师机跟我自己直邮买的那台质量一样，KA出品值得信赖！</t>
  </si>
  <si>
    <t>码数和国内的码数不一样。 不太喜欢，穿了多年的Clarks，一直都是穿42码，但是这次买了42码，明显大了一个码。难道国内和国外的码数一样鞋底长度不一样？退货又麻烦，鞋只能送人了。</t>
  </si>
  <si>
    <t>图案把口袋缝死了 很无语啊，为了图案买的裤子，后面两个图案劲是和口袋缝一起的，一拆线图案也跟着掉</t>
  </si>
  <si>
    <t>穿了两周体验 穿了两个周，很舒服，但感觉有点要开胶的预感啊，都说踢不烂，我感觉要开口笑啊，也许是我杞人忧天，等再穿一段时间看看再来评价</t>
  </si>
  <si>
    <t>有味道 有很大的味道，开水烫了也有，不敢用</t>
  </si>
  <si>
    <t>退货后迟迟不退款。 衣服尺码比网上对照码至少大两码。退货已经三个月多还没有收到退款。</t>
  </si>
  <si>
    <t>还可以 还行吧，买回来没用过几次。触感不错，轻。</t>
  </si>
  <si>
    <t>袖子有点长 衣服还不错，就是袖子太长了</t>
  </si>
  <si>
    <t>不保温 原来以为保温的，其实不保温</t>
  </si>
  <si>
    <t>帅得不要不要的 没有想象的那么肥，就是这个款式，当然太瘦的人穿着可能效果不好，我176，75，偏壮，胸围105左右，M我觉得正好，如果S就没有这个效果了，而且冬天如果里面加厚衣服，还是M合适</t>
  </si>
  <si>
    <t>腿细的谨慎购买 原价70刀，不算税人民币219。 腰围正常尺码，腿围相当大。 适合春秋穿，不厚。 产地毛里求斯</t>
  </si>
  <si>
    <t>值得购买。亚马逊售后没的说。 挺好的，物流很快，鞋子比图片好看，只是前面的胶有一点点遐思，</t>
  </si>
  <si>
    <t>吸管处不怕折 特别好！第二个象印杯子。吸管处设计得挺好的，新款应该比这款吸管处设计得更好，新款象印吸管带散气孔，省得打开时喷出热水烫着。不过一般也不会放那么热的水。这款吸管就不怕被孩子咬折了，而且做工也很好，细节也不错，反正用过之后就抛弃了sms和tiger。</t>
  </si>
  <si>
    <t>穿着舒服 因为比较胖，很难买到品牌裤子，没想到LEE竟然买到了。</t>
  </si>
  <si>
    <t>舒适，保暖。 舒适不紧绷，很柔软、保暖性也不错。</t>
  </si>
  <si>
    <t>贝亲奶嘴 很合适，宝宝喜欢使用。</t>
  </si>
  <si>
    <t>好用 色彩艳丽 宝宝喜欢，吸起来有一点点费劲儿</t>
  </si>
  <si>
    <t>很好的鞋子 鞋子真不错，上脚很舒适，大小也合适，下雨天穿确实防水，满意。</t>
  </si>
  <si>
    <t>不错 还行</t>
  </si>
  <si>
    <t>推荐 158 47kg s码完美。很舒服。希望优惠多多</t>
  </si>
  <si>
    <t>速度稳定，海淘回来的就是不一样！ 没有用程序检测，将视频拷贝出来的时候，速度稳稳的70M以上，波动很小。使用的是随机赠送的转化卡，插在笔记本插槽里。卡上刻着china制造</t>
  </si>
  <si>
    <t>符合期望 舒适感很好</t>
  </si>
  <si>
    <t>不错 款式不错的薄款，夏天穿不错。注意是修身设计。</t>
  </si>
  <si>
    <t>相信现代工业，相信供应链！ 没赶上狗东的618时的729好价懊恼不已啊，看到大妈推送亚马逊海外购一开始还有些犹豫，毕竟国内不能保（后来听说坏了可以转保），可是顶不住这大优惠就拿下。马来货，发德国的，一周时间运到手，国内是顺丰，真是跑了个大圈圈。很轻巧，黑色简约大气，整体外观说得过去，只是内部有什么东西在晃荡，心里有点虚。接上电脑，通电7次0小时，容量什么一切正常，支持trim叠瓦盘无疑，不然4T也不可能做得这么小巧，当仓库盘无所谓了，相信大厂的技术。读在200MB/s左右，写具体忘了也不差。噪声不大，比很早之前买的passport ultra 2t要安静多了。总之爱惜点用没问题，目前很满意！</t>
  </si>
  <si>
    <t>很不错的一块电波表 不错，爸爸很喜欢。值得购买。</t>
  </si>
  <si>
    <t>更划算的墨水 实惠，非常实惠</t>
  </si>
  <si>
    <t>不错 先给个好评，没说怎么开煲 再追评</t>
  </si>
  <si>
    <t>便宜又好用！非常满意！ 笔芯较软，顺滑，很容易上色，叠色很优秀，做工也还可以！物流很快啊，10天左右就到了！</t>
  </si>
  <si>
    <t>真心不错，好东西啊！ 解析力超强，中音，高音，低音平衡饱满，音质比500元的耳机是一耳朵的差别，亚马逊配送也很快，真心不错，很满意！</t>
  </si>
  <si>
    <t>不错不错 不错啊，插线的耳机效果比价位更好的蓝牙耳机还要好一些。</t>
  </si>
  <si>
    <t>很不错颜色尺寸都很好也很合体 很不错颜色尺寸都很好也很合体</t>
  </si>
  <si>
    <t>性价比高 合身  推荐购买 还不错  买的40×30的  我体重220  身高173  中午在亚马逊买到合身的裤子了！送货特别快 大约七天  性价比很高 推荐！</t>
  </si>
  <si>
    <t>https://www.amazon.cn/gp/product/B00B2HVJHS/ref=cm_cr_ryp_prd_ttl_sol_0 本人1米77.85公斤。33*32 穿着正好！</t>
  </si>
  <si>
    <t>很棒 速度挺快！8天就收到了，鞋子挺好！穿着舒服！也好搭配衣服！good！</t>
  </si>
  <si>
    <t>一般 31w30，175，75kg，长短差不多，宽松直筒型，腿不细，拉链黄色，裤兜料子非全棉，有点化纤感，整体面料有弹性,稍厚，唯一的优点就是便宜。</t>
  </si>
  <si>
    <t>一般 不如去年的hotmagic 背心款，胸这里没什么型，直接下垂</t>
  </si>
  <si>
    <t>做工粗糙，大家不要买 简直了，白白期待了两个星期，结果和地摊货没有区别，面料太薄了，慢慢的廉价，想买品牌正品大家还是去商场吧，便宜真的没货</t>
  </si>
  <si>
    <t>？ 假的，非常不满意的购物体验</t>
  </si>
  <si>
    <t>买买买 好好一口气买了两个，帮别人也买了个！</t>
  </si>
  <si>
    <t>无中文说明书 没有中文说明书😔，其他还不错</t>
  </si>
  <si>
    <t>中规中矩 有点硬，其他还好，不知道耐磨不。好看还是好看</t>
  </si>
  <si>
    <t>可以 身高176，体重138，腰围84，买的32*30，比较合适，缺一星是因为刚买完就降价，价格保护也没有了，坑</t>
  </si>
  <si>
    <t>不错，就是价格无优势 修身，吸汗，速干，很不错，就是价格无优势。</t>
  </si>
  <si>
    <t>靴筒很硬 235脚长买的4.5可以穿双比较厚的棉袜，前脚掌也不挤，靴子硬后面窄，即使把鞋带松开也会感觉到靴筒走路时磨踝骨啊这个还要想办法解决。清关只用四十分钟没想到啊，北京发出来也没耽误！总体前面都比较快！发货起到北京再到本省也就十天，转省内EMS看见我就默默呵呵了，无敌慢！平时省内件都能墨迹两天，果然又是</t>
  </si>
  <si>
    <t>大小 感觉挺好的，就是有一点点大。</t>
  </si>
  <si>
    <t>衣服 穿起来挺挺好的，价格便宜。</t>
  </si>
  <si>
    <t>东西不错 表盘不是很大，目前收波一切正常，黑色还是比较低调的，正品与否不用去验证，海外购肯定没问题</t>
  </si>
  <si>
    <t>不错 管子经常被娃咬坏，考虑回购</t>
  </si>
  <si>
    <t>防风防水 做工精细，面料防水，款式较老气，建议四十岁以上购买</t>
  </si>
  <si>
    <t>有点长点 有点长，但很暖和，中国制造，新袜有味道，多洗几次后会好点</t>
  </si>
  <si>
    <t>国内买东西真心累 因为国内网站购太多问题不敢买 ，选择的亚马逊自营美国发货，使用效果没有问题，这一次因为想买蓝瓶的看到亚马逊中国自营，买了从香港保税区发货的，没想到最后变成了从宁波发货，还解释说先经过了香港保税区，不知道商品真假</t>
  </si>
  <si>
    <t>真正自动的自动笔 第一次用这种自动出铅的笔，神奇啊，重量合适，手感好。非常感动啊</t>
  </si>
  <si>
    <t>合适的鞋子。颜色也很耐看 喜欢的款式。轻便，随脚，走路不累。鞋底厚实。</t>
  </si>
  <si>
    <t>可以 衣服比较有弹性，不厚，尺码标准</t>
  </si>
  <si>
    <t>非常舒服 很舒服的鞋子</t>
  </si>
  <si>
    <t>买喜欢的产品，用的放心舒心 我喜欢彩铅笔，各种笔，画画用的好用效果又好看的，产品质优是最好的花钱动力，学习的动力。</t>
  </si>
  <si>
    <t>关于OXO密封辅食保鲜盒的使用评价 OXO这款密封辅食保鲜盒设计质感质量很不错，是用来存储高汤汤头的，也可以外出时带一点果酱，辣椒酱什么的，很方便。再遇到优惠活动时可以考虑再来一组的。</t>
  </si>
  <si>
    <t>洗牙神器 买了很多次了，自用，送亲朋好友，绝对是好东西</t>
  </si>
  <si>
    <t>挺不错！ 挺不错！ACE代工，感觉日版很多包都是ACE代工，上次买了个CHAMPION的也是ACE代工。就是隔层有点少。</t>
  </si>
  <si>
    <t>非常好 非常好，宝宝很喜欢，亚马逊值得信赖。</t>
  </si>
  <si>
    <t>保温效果不错 保温，不漏水。一岁半的宝宝可以自己拎着喝水</t>
  </si>
  <si>
    <t>合适 183cm 176斤 穿L码正合适 料子还行 里面带绒毛的 质量算是物有所值 毕竟那么便宜</t>
  </si>
  <si>
    <t>原配很完美！ 原配很完美，2个垫片放在了一头里，开始还以为只有1个。</t>
  </si>
  <si>
    <t>挺好用的 就是前几次用的时候有黑色的石碳，现在就没有了</t>
  </si>
  <si>
    <t>宽松款，尺码过大 主要是布料很硬，和国内的LEE做工完全不是一回事。尺码会偏大些。</t>
  </si>
  <si>
    <t>真假难辨 应该不是进口商品，从北京发过来的，真假难辨啊</t>
  </si>
  <si>
    <t>东西还可以，包装太差 中国制造，价格便宜。 但是美国漂洋过海来的杯子就裸奔着来了，没有纸盒包装，连个塑料袋都没有，就落体着放在亚马逊的盒子里。。。。 而且显得杯子有点脏脏的感觉。 物流一直未更新，显示还在美国，实际上我已经收货了。。</t>
  </si>
  <si>
    <t>还行 十天到手  表针对不准  其它要过段时间才知道了</t>
  </si>
  <si>
    <t>糟糕的裤长 老美做事情是有多不上心呢？两条牛仔裤吊牌尺码一样，一条两裤腿112CM，一条更夸张，两裤腿一个长107、一个108。可是不应该这尺寸都是108的裤长么？免得麻烦最后都是改改穿了！</t>
  </si>
  <si>
    <t>日期不好调整 日期没法调整</t>
  </si>
  <si>
    <t>商品有瑕疵，鞋垫比鞋子小 很失望，左脚的鞋子鞋垫有问题，鞋垫比鞋子小</t>
  </si>
  <si>
    <t>袖子太长 170，146斤，s号穿着舒服，就是袖子太长。</t>
  </si>
  <si>
    <t>很好 刚开始用，希望对身体有益。</t>
  </si>
  <si>
    <t>相当不错的钢笔 1. 我使用施耐德的墨胆，这样不用吸墨搞得墨水到处是，而且在笔里可以带备用墨胆，不怕身边没有墨水瓶，且不会漏墨。 2. 黑色墨水没有中性笔写出来深，但是不会褪色。 3. 书写手感上乘，笔杆略粗，男生握笔比较适中。再拿起原来的中性笔感觉笔杆太细太轻毫无手感了，抛弃中性笔了。 4. 墨胆用量大概两周3个墨胆，我高二。</t>
  </si>
  <si>
    <t>真的不错 有些卡脚</t>
  </si>
  <si>
    <t>还行吧 没有想象中那么完美，不过皮质摸着很舒服</t>
  </si>
  <si>
    <t>好 很好比国内便宜很多，很值</t>
  </si>
  <si>
    <t>还可以 还可以 貌似不是原装的</t>
  </si>
  <si>
    <t>挺好的手表 手表走时精准，秒针能对齐表盘刻度，收波有时能收到，表得放在窗边，找个方向，表镜面易留指纹，稍有点大，总体不错，不需要花哨功能，值得推荐。</t>
  </si>
  <si>
    <t>第一次 东西不错，性价比十足，</t>
  </si>
  <si>
    <t>不行 哎不是很满意的一次购物</t>
  </si>
  <si>
    <t>一般般 好用但是价格偏贵，被子内胆配合暖奶器热辅食倒是很方便，使用度很低</t>
  </si>
  <si>
    <t>物有所值 坐标辽宁，晚上放在窗台收波成功，注意一下表的12点钟摆放位置，12点方向向外即可，和ga110比起来秀气很多，冬天戴着没那么碍事。</t>
  </si>
  <si>
    <t>经典耳机值得入手 音质很棒，值了，经典监控耳机</t>
  </si>
  <si>
    <t>不错的切尔西鞋 鞋型漂亮，任何时候都不会过时。比同品牌的切尔西鞋稍微小一些，适合瘦脚，如果脚胖，脚背高，要比正常码大半码到一码。质量不错，牛筋底，应该防滑耐磨。给喜欢的朋友参考。</t>
  </si>
  <si>
    <t>好 衣服很好，物美价廉。</t>
  </si>
  <si>
    <t>颜色好看 颜色好漂亮</t>
  </si>
  <si>
    <t>JBL书架箱不错 低音不错，房间听很舒适，高音方面好像差点，海外购比国内便宜很多，不过如果有问题也不知道如何处理，好在音箱保护很严实，拿到手后完好无损。</t>
  </si>
  <si>
    <t>非常方便地咖啡机 &lt;div id="video-block-R2QFKRBV2XPM51" class="a-section a-spacing-small a-spacing-top-mini video-block"&gt;&lt;/div&gt;&lt;input type="hidden" name="" value="https://images-cn.ssl-images-amazon.com/images/I/A1ZLZSSRgAS.mp4" class="video-url"&gt;&lt;input type="hidden" name="" value="https://images-cn.ssl-images-amazon.com/images/I/8182LFVDGjS.png" class="video-slate-img-url"&gt;&amp;nbsp;非常喜欢，很喜欢亚马逊海外购</t>
  </si>
  <si>
    <t>质量好 提前收到了，尺码标准、裤型好。春秋穿非常合适</t>
  </si>
  <si>
    <t>合适 不是那种很薄那种。不错。</t>
  </si>
  <si>
    <t>比照正常码买会稍大 裤子的码数会大一码，穿着显胖，所以只有送人，还好，朋友比我穿着更好看，自己再买了一条比平时码数小一码的就非常好了</t>
  </si>
  <si>
    <t>非常喜欢 这个产品是地表最强的蛋白粉，运动减肥效果一流</t>
  </si>
  <si>
    <t>亲肤 果然是舒适款，不属于压力袜。今天第一天穿，忍不住要来给好评，薄绒款，里面的绒非常的亲肤，很舒服，而且价格也很美丽，等到活动了还需要备货</t>
  </si>
  <si>
    <t>嘻哈风的感觉哦～喜欢 超级喜欢 笔芯 弟弟186 145-155 体重有浮动 买了L 很满意 肩膀是落肩的 所以不用担心号码小了肩膀穿不上 adidas家XL短袖t恤胸围比这款L小 所以很宽松 就是身长比较长 能盖着半边pi gu  整体其实是嘻哈风 喜欢！</t>
  </si>
  <si>
    <t>质量保证 裤子质量很好，做工精细，是工勤人员的首选！</t>
  </si>
  <si>
    <t>性价比很高 不带税和运费，704的时候买下的，性价比不错。 4T很豪华，但用在xp下颇为麻烦，这个一开始没有考虑好，不过，必须用xp的地方，用server3003也勉强可以的，不是有专家说，windows的 server和workstation其实区别很小吗？ 为安全计，分了三个区。</t>
  </si>
  <si>
    <t>失望 特别大，感觉m码185的穿还差不多，而且很容易皱，确实像老头子的背心的材料，挺失望的，算是买个教训吧</t>
  </si>
  <si>
    <t>鸡肋 鸡肋，外观可爱，对孩子不喜欢，容易吸入空气，还是用贝亲玻璃的</t>
  </si>
  <si>
    <t>分不清 包装简陋，盒子都扁了</t>
  </si>
  <si>
    <t>冠军的尺码 冠军的尺码真的很诡异，作为1个181cm88kg的肌肉男，m号肯定大，一般只能穿它家的s号，但这件又有些紧了</t>
  </si>
  <si>
    <t>建议购买其他型号 垃圾 不建议购买...刷毛软的有个开封就是坏的</t>
  </si>
  <si>
    <t>非常差 包装差到极点！皮带非常硬 不考虑真假了 差评</t>
  </si>
  <si>
    <t>版型比较瘦，尤其肩膀不太合理 适合身材非常消瘦的人，这件衬衫很修身。</t>
  </si>
  <si>
    <t>好 原来买过蜜蜂的，这次买这个也不错</t>
  </si>
  <si>
    <t>偏大，尽量买平时小一号的买 冠军的衣服还是尽量买小一号的合适，衣服还是挺舒服的</t>
  </si>
  <si>
    <t>还行，起码感觉不亏 声音刚听没有多惊艳，不过还算可以了，毕竟没煲~声音闷很正常，人声的确不错，再有就是头带上没有防伪码，不知道为嘛？！之所以不给五星是因为做工，塑料就算了，主要是耳罩，很松，用手就可以掰下来，果然是国货，差就差在做工上了，看上去像玩具多过像耳机，要不是音质还可以，我都以为是假货了~</t>
  </si>
  <si>
    <t>没有菜谱和发票 其他都好，就是为啥没有菜谱呢</t>
  </si>
  <si>
    <t>中产首选 高端大气上档次，低调奢华有内涵</t>
  </si>
  <si>
    <t>声音正 纯正的声音，在这个价位来说，能抗衡的基本没有了，关键在于自带放大器，已经很好很好了！</t>
  </si>
  <si>
    <t>物美价廉，大牌品质 好看，质量也非常好。关键是便宜，比专卖店便宜多了。发达国家真是水深火热啊！</t>
  </si>
  <si>
    <t>物有所值 已经开始用了，比较惊艳吧，比原来配套的好太多，尤其是小朋友觉得很好玩。</t>
  </si>
  <si>
    <t>不错，小巧精致。对比国内性价比高。 对比国内性价比高，试用的prime就是好。</t>
  </si>
  <si>
    <t>非常喜欢 用了好久才想起来评论。颜色和图片有点色差，大小带着特方便。保温是比膳魔师差点，但是冬天出门白天用用也够了。锁比膳魔师的好，我有次忘了关锁，膳魔师的杯子水都洒一书包，把我手机泡了。所以买了这个。现在住院中，带着。</t>
  </si>
  <si>
    <t>包装简陋，鞋子买大了。 这包装也太简陋了吧，鞋盒外面套个快递袋子，长途跋涉居然也没烂。在亚马逊买过几双天木兰的鞋子了，这个的码选大了，要把鞋带系紧才没有想掉的感觉，另外，鞋带有点短啊。</t>
  </si>
  <si>
    <t>Sojirushi 杯子非常满意，特别是对于开盖防误触的锁定设置，要比thermos的合理很多，可以放心大胆的放进书包里啦！另外杯子的外观设计很简洁硬朗，日亚的价格也很合理，五星！</t>
  </si>
  <si>
    <t>完美 非常棒</t>
  </si>
  <si>
    <t>合适。 我175、88，穿38*30合适，希望有帮助。</t>
  </si>
  <si>
    <t>质量好 便于携带</t>
  </si>
  <si>
    <t>感觉有点小瑕疵 运动鞋36.5的脚，穿3就正好合适</t>
  </si>
  <si>
    <t>比较满意的购物 产地：印度 走线可以，有一点点线头，不影响使用 颜色不是很符合预期，有点暗，版型不错，质量可以 本人身高170，体重60</t>
  </si>
  <si>
    <t>非常好 非常舒服 按平时的尺码买就可以了</t>
  </si>
  <si>
    <t>好用小朋友不排斥 老婆买过这个牌子的小孩饮杯。冬天了要找个保温的。看到有就买了。说说用这个杯子的感受：1）除了杯身其他都可以拆下并且可以用洗碗机，赞一个；2）很容易吸，甚至不吸自己都会挤出来，对于刚刚开始接触学饮杯的小朋友很有帮助。小孩现在还比较恋奶瓶，正在慢慢过渡。已经开始慢慢接受这个杯子了</t>
  </si>
  <si>
    <t>大一点点 厚 内部有毛绒  175 75kg M我觉得有些宽松 我比较喜欢</t>
  </si>
  <si>
    <t>舒服 非常实惠的大码特价，好</t>
  </si>
  <si>
    <t>非常满意！ 身高178厘米，体重70公斤，m号非常合身。</t>
  </si>
  <si>
    <t>性价比很高 好用哦据说</t>
  </si>
  <si>
    <t>整体偏低腰 面料舒服，低腰，修身；173，78，36w不觉得肥</t>
  </si>
  <si>
    <t>好看 日系恒温花洒，相对来说有性价比，颜值也高。</t>
  </si>
  <si>
    <t>加肥加大国内xl国外就选m 好大的xl号啊，跟国内加肥加大一样</t>
  </si>
  <si>
    <t>牛仔衣整体还可以 整体还行 布料做工都很好 只不过号码太大了 买的s号 s号对应的尺码写的是155 可是实际都有165那么大了 可能是美码和中国码有区别吧</t>
  </si>
  <si>
    <t>质量差 用了三次就无法识别到盘了，质量堪忧！国内也不能保修</t>
  </si>
  <si>
    <t>产品太垃圾 太垃圾了，里面都已经融化成一团了</t>
  </si>
  <si>
    <t>按尺码对照表小一码购买，仍然偏大啊 身高176CM，按尺码对照表小一码购买了M，仍然严重偏大啊</t>
  </si>
  <si>
    <t>中文说明书 比较精美，功率大，没有中文的使用说明书，在宁波生产的。</t>
  </si>
  <si>
    <t>轻便细致好用 挺小的放包里方便，200ml只能装一碗水，保冷保温6小时，120含税买的，这个设计不会漏水好用，用了半个月，效果不错。最近买太多了，看到水瓶都想买，理性控制一下。</t>
  </si>
  <si>
    <t>尺码和穿着感受 我平时穿42吗运动鞋，这款US8M刚好适合，富余了一个大手指的宽度。不过这鞋真是挺窄的，建议脚宽的人买加宽的。 另外穿的第二天真的感觉好硬，很难受，压脚背，磨脚后跟都有，不知道后面穿开了会不会好点，如果后面穿开了我再追加。</t>
  </si>
  <si>
    <t>衣服不错 我一般穿S号，上次日亚买的S号衣服短了点，袖长合适，这次买的M号，很合适。日本人的包装真的很心细，很扎实，两件裹紧了，箱子里还塞了泡泡塑料。 虽然是印度尼西亚产，但出口转一手，质量就不同了。</t>
  </si>
  <si>
    <t>使用方便，不怕摔 塑料+金属，清洗和使用都比较方便，也不怕磕碰。</t>
  </si>
  <si>
    <t>一款性价比很高的机器 机器收到后立刻拿出来使用，使用后发现水箱偏小，豆子如果选择研磨最细档，泡浓缩咖啡时可能会有管道堵塞，出不了咖啡的情况出现</t>
  </si>
  <si>
    <t>质量不错 质量不错，就是老公不太喜欢衣服的颜色（军绿色）</t>
  </si>
  <si>
    <t>尺寸合适，很舒服，有收腹的作用。 尺寸合适，很舒服，有收腹的作用。</t>
  </si>
  <si>
    <t>价格美丽，长得不错，信赖jbl音效 价格对比下来亚马逊真的很不错，正品，耳机真的很喜欢，之前买的大的都带不上，小巧和贴合的外形，磨砂的材质设计很出色</t>
  </si>
  <si>
    <t>好 非常不错，包装运来已经是千疮百孔，机器没有问题</t>
  </si>
  <si>
    <t>卓尔不群 非常漂亮的卓尔，太喜欢啦！入手有点涩涩感，不过不妨碍书写感，同事看到后，也被惊艳，想入手，可惜没货了，一定会再来的，第一次在亚马逊购物，真的是不一样的惊喜，谢谢亚马逊</t>
  </si>
  <si>
    <t>听日veper 黄色挺好看</t>
  </si>
  <si>
    <t>保温效果不错 虽然少发一个，但是马上帮我处理了。不用我取证，这种被信任的感觉真好。不愧是亚马逊。</t>
  </si>
  <si>
    <t>海盗船 台湾产的，质量还行。速度快</t>
  </si>
  <si>
    <t>评论 囤货还没用，东西收到包装很好，发货很快</t>
  </si>
  <si>
    <t>尺码偏大 卫衣不错 非常合适尺码偏大</t>
  </si>
  <si>
    <t>蛮好的 女朋友给买的生日礼物，蛮不错的，喜欢。</t>
  </si>
  <si>
    <t>还行 我86CM的腰，M有点点大，但是我穿着正舒适。这一款是埃及产的，比越南的明显小了一圈。裆部很舒服，U型的设计正好贴着但是不紧绷。</t>
  </si>
  <si>
    <t>衣服很满意 给老爸买的，爸78公斤，肚子大，看了大家评论买的L正好。</t>
  </si>
  <si>
    <t>32个赞 做工精酿，使用方便，不烫手</t>
  </si>
  <si>
    <t>不错 挺好的，质量不错，就是奶嘴开口太小了，买了6个月流量的装上去宝宝仍然觉得吸起来比较费劲</t>
  </si>
  <si>
    <t>好鞋子 皮质很好，穿着舒服，式样正好是需要的。</t>
  </si>
  <si>
    <t>性价比很不错 大小合适 材质柔软</t>
  </si>
  <si>
    <t>性价比超高 海淘两个需要400多，加上关税什么的，就是等待时间比较久，一个星期的样子。国内网上一个就是399，打折买还可以，否则没有任何性价比，坑</t>
  </si>
  <si>
    <t>鞋码 爱步鞋码比标准码小一码为正好。</t>
  </si>
  <si>
    <t>谨慎考虑购买 质量如大家所说很差很差，50块钱的货色，线头很多，掉色，还有骗子电话的骚扰。</t>
  </si>
  <si>
    <t>加价太高了 加价太高了 680日元 合人民币40多 卖100多………</t>
  </si>
  <si>
    <t>袖子很长 同一牌子同是s码，另外一件合适，但这件偏大而且袖子太长，很奇怪！</t>
  </si>
  <si>
    <t>裤子裁剪有问题 左腿裁剪有问题，裤子内侧的缝是偏的，无奈退货运费太贵，将就穿，裤子很长，高个女生不用担心</t>
  </si>
  <si>
    <t>还是老实吃钙片吧 原来液体钙是这个样子的，这也叫液体啊…吃不下胶囊的我，打开胶囊更吃不下了…</t>
  </si>
  <si>
    <t>差，差 很垃圾的一款产品，菲律宾组装，中国的表带，很差</t>
  </si>
  <si>
    <t>特意买小了一号 买了M号，等待了半个月，到货还是偏大，想跟S号的换一下，想交换的留言哈</t>
  </si>
  <si>
    <t>一般般 音质一般，头低下来时耳机容易掉。</t>
  </si>
  <si>
    <t>打开有水 包装盒都破破的，看上去很旧，最主要塑料袋打开里面有水正常吗，不是二手的吧？</t>
  </si>
  <si>
    <t>B罩杯的福音！ 穿过另外两款单品，对罩杯比较有把握，买了这个两件套。特点是罩杯里有一小块衬垫把胸部垫高，我穿亚洲版80B，欧美版36B偶尔有罩杯偏大的情况，这次这款的设计有利于解决问题。材质属于普通丝光织物，或许比单个售卖的CK略低半个水平。肤色的隐形很好，白色穿紧身白背心有一点透。参加了prime试用期，从美国寄到用了7天。追加：白色内衣穿普通厚度的淡色衣服比较透，需要两层或者三层薄款棉质百衬衫的厚度才能隐形，贴身弹性体恤衫会显示罩杯口痕迹。穿着12小时后会有一点空杯现象。进行剧烈运动、活动较多的手臂侧肩带比较容易滑落，调节后仍旧如此。</t>
  </si>
  <si>
    <t>一周到货，速度还可以 一周到货，速度还可以，衣服偏大一码，176，70KG，M还是稍显大，建议选小一号</t>
  </si>
  <si>
    <t>物美价廉 这个包容量大，无异味，质量很好。</t>
  </si>
  <si>
    <t>很好 172，70穿M的非常合适</t>
  </si>
  <si>
    <t>米有标题 一直在海外亚马逊买其乐男鞋 一年两双 从没不满意过</t>
  </si>
  <si>
    <t>外形好，材质放心 手感不错，没有任何异味，奶嘴很干净，奶瓶外形可爱，不要看是底部小放置时很稳固，不会倒，期待宝宝会喜欢</t>
  </si>
  <si>
    <t>中国制造 &lt;div id="video-block-R2WOV37WVTXJXX" class="a-section a-spacing-small a-spacing-top-mini video-block"&gt;&lt;/div&gt;&lt;input type="hidden" name="" value="https://images-cn.ssl-images-amazon.com/images/I/71Z4d+0xjmS.mp4" class="video-url"&gt;&lt;input type="hidden" name="" value="https://images-cn.ssl-images-amazon.com/images/I/91YW8+EPCRS.png" class="video-slate-img-url"&gt;&amp;nbsp;鞋子穿上很舒服，而且是中国制造，就是不知道是不是国外发回来的，毕竟交着税的，看不到物流详情</t>
  </si>
  <si>
    <t>五星好评 非常喜欢！衣服里面有一层薄绒绒，是米白色的，胸口的印花质量也很好～穿起来很洋气～</t>
  </si>
  <si>
    <t>价格便宜，售后服务好 加上税108元，性价比高，收到时瓶子被挤凹进去了，联系客服后立刻处理了，对亚马逊的售后服务满意。</t>
  </si>
  <si>
    <t>好货 帮朋友买的，适合36脚的女生，很不错哟！</t>
  </si>
  <si>
    <t>很好看的鞋子 真的是和想的一样好看 大小就是买的平时码 袜子不是特别薄都不会掉下来 稍稍偏大还是很合适的 就是鞋舌的设计 感觉鞋舌太长了会戳到脚腕有点不舒服。</t>
  </si>
  <si>
    <t>很好 尺寸合适，很好。1.78米 136斤 L合适</t>
  </si>
  <si>
    <t>很酷的服装，喜欢 第一，质量好，第二，质量好，第三，质量好，重要的话说三遍。你懂的。 I ordered it. I received it. I opened it. I tried it. Finally, I like it.</t>
  </si>
  <si>
    <t>棒棒哒 平常43，这个43略松，42.5估计会窄，很舒适。</t>
  </si>
  <si>
    <t>质量不错 这个水壶用了一段时间，质量较好，用着舒心</t>
  </si>
  <si>
    <t>喜欢 棉的很舒服，180/85kg, 很合适！</t>
  </si>
  <si>
    <t>漂亮 颜值高，还没有使用！</t>
  </si>
  <si>
    <t>好产品 买了几年了，很好的产品</t>
  </si>
  <si>
    <t>满意 质地厚实、颜色与图片一致</t>
  </si>
  <si>
    <t>满意 比较厚不透，不闷，空调房穿不会冷。</t>
  </si>
  <si>
    <t>休闲款，皮质靓，意大利生产 意大利生产，质料靓，适合休闲装。国内皮包太商务，想买个休闲款，这款刚合心水。</t>
  </si>
  <si>
    <t>挺好， 挺好的，布料厚，偏大一码。</t>
  </si>
  <si>
    <t>很好 so舒服舒服，浓浓的商务风，鞋太多咸鱼转卖出去了现在想起来有点亏。这双真的舒适度很高，推荐。</t>
  </si>
  <si>
    <t>质量不行，但用了不到一个月，竟然表面那层胶开始剥离 刚开始觉得样子还可以，但用了不到一个月，竟然表面那层胶开始剥离，质量真是不行，还卖那么贵，太坑人了吧</t>
  </si>
  <si>
    <t>面料是帆布，请注意！ 面料肯定不是皮革！！！！是帆布！我这点很失望，标注写的是皮革，不知是翻译问题还是故意混淆。鞋型还不错，看在这个份上勉强收了。</t>
  </si>
  <si>
    <t>表带不行 表盘不错，表带太硬了，很快就坏，匹配的表带难找</t>
  </si>
  <si>
    <t>货不符实 标题是785，配图和实物均为745。太坑了</t>
  </si>
  <si>
    <t>不是真皮，不是CK 给一星都是多的好吗？这种货色和ck专柜的没有可比性，摸起来也不像皮的，地摊货一样…我买的时候还不便宜，坑爹…</t>
  </si>
  <si>
    <t>第一次试穿就破个洞，哎 太薄了！第一次试穿就一个洞，还真不知道怎么弄的。厚木厚款都不错，这个不推荐</t>
  </si>
  <si>
    <t>价格不错 东西接受 还行吧 没有想象中有质感 不过毕竟价格在那里摆着 hugo boss 在国外 也就跟我们国内美邦差不多 哈哈</t>
  </si>
  <si>
    <t>性价比高 买大了点。平时nike之类的穿美码10号，查了下timberland有说鞋码偏小的，结果买了10.5号的，大了差不多1号，有点悲剧。 牛津底挺舒服，鞋面内侧感觉有层海绵似的，软和不磨脚。也没有想象中的那么沉。 买后1周就送到了，非常迅速。</t>
  </si>
  <si>
    <t>可以入手一只 一是表带有色差，肉眼很容易就能看出来；二是不晓得为什么商品清单只印了一半。</t>
  </si>
  <si>
    <t>尺码太大 尺码太大了，平时穿M的建议买S号的</t>
  </si>
  <si>
    <t>满意 比国内活动铅笔做工精致，很有质感。送货速度很快。满意</t>
  </si>
  <si>
    <t>满意！ 物流很快，鞋子真的很好很满意又便宜，但是软皮的刚穿也容易磨脚，还好没买硬皮</t>
  </si>
  <si>
    <t>给客服人员一百个赞 这是多年来在亚马逊购物最优体验的一次。客服真的很好，很尽心、很专业，时刻都是为了顾客着想，给客服的服务满分！ 商品已用近一个月，走时很准，一个月误差不超过15秒。非常好的一款手表，很实用！</t>
  </si>
  <si>
    <t>很好，干干净净，质量过硬。 很好，干干净净，质量过硬。</t>
  </si>
  <si>
    <t>用起来方便 这是老款的，新款的logo有所不同，不过不影响使用，质量过得去，主要是方便，和料理机各有各的优势，总之物有所值</t>
  </si>
  <si>
    <t>好 很好看，宝宝现在还不会用</t>
  </si>
  <si>
    <t>五星好评 出乎意料的惊喜，货品正，物流快，特别好。</t>
  </si>
  <si>
    <t>买正常鞋码 安正常鞋码买大就行，我是看上面的评论买的，实际还是大了。</t>
  </si>
  <si>
    <t>很好 宝宝很喜欢，没有异味</t>
  </si>
  <si>
    <t>好 真棒=￣ω￣=很舒服  10天的样子吧，过两天再买一个</t>
  </si>
  <si>
    <t>满意，就是进口退换麻烦，选购尺寸难把握 卫衣不错，式样，面料，做工都很好，就是稍为大了点，身筒差不多，因为肚皮突出，xl正好，按身高应该选L码，水洗稍有点缩，还是有点大。进口的要退换比较麻烦。</t>
  </si>
  <si>
    <t>用了一段时间 还不错。价格可以接受。</t>
  </si>
  <si>
    <t>质量 我是一天扫一天拖，拖地机真的是默默工作，不过比较慢，主卧要擦一个小时，充次电湿拖大概可以工作两个半小时，140平米的房子中途还需充次电才能全拖完。</t>
  </si>
  <si>
    <t>很喜欢拜亚耳机 已有dt990,一同直很喜欢，看到pro版价格诱人，忍不住又剁手，250Ω的pro版一样很优秀。</t>
  </si>
  <si>
    <t>好 175，75，m合适，供大家参考。质量非常不错</t>
  </si>
  <si>
    <t>不错 162，53公斤，m可以穿，s应该更贴身</t>
  </si>
  <si>
    <t>可爱 等的好辛苦，一过海关就飞的好快的到来了，没有什么味道，试了试也不漏水，挺好</t>
  </si>
  <si>
    <t>满意 鞋子轻便，舒适，孩子的脚是瘦长型，穿了很合适，喜欢</t>
  </si>
  <si>
    <t>我的第一个海盗船u盘 通过张大妈介绍买的，读写速度一般，但是很抗摔，防不防水没试过，总之这个价钱还是蛮值的。</t>
  </si>
  <si>
    <t>很值得购买 管件做工非常好  安装测试后补评论</t>
  </si>
  <si>
    <t>合适、实用。 177，65Kg，30/32尺寸正好合适，建议腰围大些的可以买31/32。</t>
  </si>
  <si>
    <t>非常值得入手，恨不能多买几条 都说这款耳机是20块做工3000块音质，到货后，感觉3000块音质是有的，20块做工怕是有点言过其实，用料什么的都还是很厚道的，只是受制于那个年代（80年代），耳机的设计显得比较老，但是实际上非常耐用，怎么折腾都可以。配戴上不够舒适，但是因为重量不是那么重，短时间戴戴也没关系，要是有BOSE那个做工和配戴这耳机卖3000块我也会下单的。</t>
  </si>
  <si>
    <t>一分钱一分货 刚收到货。鉴定不是纯棉，穿上去刺痒，建议洗一次后再穿。 板型又瘦又长，我170CM/68KG，穿S号袖子长短大小合适，衣服裹得上围很紧，稍长。</t>
  </si>
  <si>
    <t>有味道 蒸汽消毒后还是有胶皮的味道，宝宝不太感兴趣</t>
  </si>
  <si>
    <t>音质还不如400块的K52,不过带很舒服。 音质还不如400块的K52,不过带很舒服。</t>
  </si>
  <si>
    <t>颜色有色差，不是黑色，是蓝黑色，也不好看。 颜色有色差，想买黑色，但是偏蓝黑，面料略厚，适合秋冬穿，170cm、70kg，蹲下时略紧。</t>
  </si>
  <si>
    <t>用了半个月，还有黑色粉末 用了半个月，还有黑色粉末</t>
  </si>
  <si>
    <t>尺码 根本不是皮质的，没多久烂了。</t>
  </si>
  <si>
    <t>太贵了 太贵了，不划算，孩子不喜欢</t>
  </si>
  <si>
    <t>产品还是不错的，就是安装桶有点费劲！ 产品还是不错的，就是安装桶有点费劲！</t>
  </si>
  <si>
    <t>好用 目前是练字主力选手，杆子对于女生还是粗壮了一点，顺滑度OK，附送墨胆比起凌美和百乐的小了好多，不过价格也是便宜挺多的。</t>
  </si>
  <si>
    <t>质量不错 还不错</t>
  </si>
  <si>
    <t>不太适合小朋友 设计得不好，小朋友不太好咬</t>
  </si>
  <si>
    <t>非常好，低价时购入超划算 买回来就赶紧洗干净试用。保温效果超好，100度开水，18小时都还是烫的不能直接喝要晾凉。40小时的时候喝水温刚刚好合适。中国生产，但确实是日本版，虎牌绝大部分保温杯之类的都是中国产，质量蛮好的。感觉做工上不如泰国产象印细致，但也很不错了，而且保温效果真的一流。 关键是价格太合适，加税之后都才二百六十多，太划算了。Prime会员</t>
  </si>
  <si>
    <t>HUGO 皮带相当不错，做工精良，皮质和皮带扣都非常精美！</t>
  </si>
  <si>
    <t>钱包 皮质还可以，跟图片一致。送男票的</t>
  </si>
  <si>
    <t>好看 孩子喜欢，颜色脚感都不错</t>
  </si>
  <si>
    <t>舒服 很好，穿着舒服皮面柔软，he预期一样</t>
  </si>
  <si>
    <t>棒 历时两个星期左右，37码瘦脚穿4.5码稍大，不过总体上很舒服，包裹感很好。</t>
  </si>
  <si>
    <t>一般 说实话，他们家的皮带一般，鞋子不错</t>
  </si>
  <si>
    <t>不错，穿起来很舒服，略有一些紧，可以穿 不错，穿起来很舒服，略有一些紧，可以穿</t>
  </si>
  <si>
    <t>好用的j索尼蓝牙耳机 亚马逊的折扣还是不错的，不过海外购要等很长时间。耳机到了国内是发顺丰，超级快。耳机质感挺好，蓝牙功能也很棒。</t>
  </si>
  <si>
    <t>喜欢 174公分，75公斤，略微有点短，如果买大一码估计就更加肥了，总体做工和颜色都不错。以为是开衫，收到是套头衫。</t>
  </si>
  <si>
    <t>挺好的 喜欢 真的很好 穿着很舒服 35皮鞋 36运动鞋 瘦脚 尺码是：3.5 M 较大儿童 仍旧有点大，而且鞋子好像穿着穿着就变得大啦 不过反正可以系鞋带子 鞋子比较重 遇水不会滑 给准备要买的大家做个参考</t>
  </si>
  <si>
    <t>码数合适，值得入手 我平时40的运动鞋，买的这个码数合适，虽然鞋底比较重，但是走路还是比较舒服的，价格合理，感觉一周就到了，还是比较快的</t>
  </si>
  <si>
    <t>这款属于大路货 一般般了，收到后我拿水洗了一下，直接边上就毛了，这个质量真不敢恭维，还有就是内裤腿上的边太厚了，很不舒服，穿上后要是穿薄一点的裤子会很尴尬，一个大轮廓</t>
  </si>
  <si>
    <t>注意尺码 标签上32c对应70c，而商品尺码表里32c对应70d，70d应选32d。文胸是自然型，没有聚拢或收副乳的作用，适合夏天穿轻薄的衣服。</t>
  </si>
  <si>
    <t>Beyerdynamic 拜亚动力 DT770 PRO 头戴式专业监听耳机 （250欧姆 .. 赶上特价899，不辜负每天来一趟！音质不错，三频满意，直推都不错！</t>
  </si>
  <si>
    <t>牙刷 柔软细毛 使用舒服 老少适用</t>
  </si>
  <si>
    <t>吸盘碗 东西还可以，包装无破损。</t>
  </si>
  <si>
    <t>非常好! 使用了好长时间了，造型现代简约，材料虽然是硬塑料，但丝毫没有廉价的感觉，也因此使钢笔的重量很轻，不像派克之类那样重，手握的感觉很舒服，钢笔笔帽、笔管的螺口、吸水墨管的设计等每一个部分都显示出非常精细的设计做工，笔尖的书写感觉非常好。直接抛弃了吸水墨管，配上了一次性墨囊，笔管里一次可以放两个墨囊，用一个备一个，使用起来非常方便。喜欢书写的朋友都觉得很好。性价比很高。</t>
  </si>
  <si>
    <t>合适！ 175cm.68kg，喜欢稍宽松点的L，紧身些的应该M合适</t>
  </si>
  <si>
    <t>日期新鲜，量大 我的到2018年7月到期，日期还是蛮不错的。也是好大一盒，非常非常划算</t>
  </si>
  <si>
    <t>不错 还好，挺不错的。便宜实惠，打算给家人买</t>
  </si>
  <si>
    <t>好用 很不错的花洒。感觉比国行的要好看不少。</t>
  </si>
  <si>
    <t>线头很多 线头很多，做工差了点</t>
  </si>
  <si>
    <t>不值 很容易粘锅</t>
  </si>
  <si>
    <t>中规中矩吧 料子普普通通 稍微长了点 到也没必要去海淘 中规中矩吧 料子普普通通 稍微长了点 到也没必要去海淘</t>
  </si>
  <si>
    <t>慎选啊！ 只能凑合穿！首先两只鞋子后跟不一样！都怀疑不是同一只鞋子！其次看这线头我也是醉了！真的不敢在亚马逊买东西了！</t>
  </si>
  <si>
    <t>BENY 印度生产，全棉比较厚。内裤缝线不好。性价比不高。CK品牌没阿玛尼质量好。</t>
  </si>
  <si>
    <t>严重怀疑是否正品 严重质疑这款产品的真伪！买了两瓶，孩子从出生到现在三个半月每天都吃，体检竟然骨密度严重偏低，睡觉总是惊醒！换了国产ad滴剂之后三天，睡觉惊醒问题明显好转。亚马逊请不要自砸招牌了！</t>
  </si>
  <si>
    <t>很舒适 穿起来很舒适，洗后无变形</t>
  </si>
  <si>
    <t>很舒适 舒适度很好，但是容易跑胸哦</t>
  </si>
  <si>
    <t>用料及其不用心。 做工还可以，用料很不用心，如果没有这个牌子感觉就值50元。</t>
  </si>
  <si>
    <t>味道 蛋白味道好甜好浓的。</t>
  </si>
  <si>
    <t>穿着感觉 尺码准确，穿着后脚感尚可，但是没有达到想象中的那种柔软感觉。</t>
  </si>
  <si>
    <t>买鞋千万别忘了宽度。 本来是物美价廉的一件好事，可惜太窄了，挤脚。只能退了。历时几个月，还没有退款，问了客服，马上就解决了。</t>
  </si>
  <si>
    <t>谁用谁知道 剪厨房的一切，不用怀疑，不生锈，合手</t>
  </si>
  <si>
    <t>女人用的 买给女人用的，她们说没问题。</t>
  </si>
  <si>
    <t>日期比较新，想对膝盖有帮助。 之前看到有评论说快过期了，买的时候也担心有这个问题，毕竟这么远，退也麻烦，我买的这个日期还行，希望对我的膝盖有帮助。</t>
  </si>
  <si>
    <t>很不错 用了差不多两个月，计时精准。防水性能好。完全满足日常生活使用。</t>
  </si>
  <si>
    <t>正品 175cm、85kg，穿此款正合适。</t>
  </si>
  <si>
    <t>大爱大爱 就是我想要的，特别满意</t>
  </si>
  <si>
    <t>硬盘不错，物流暴力。买了两块一块识别不出来，退货了 之前买的黑色没有问题，又买了一个红色的。一比较就能看出来暴力物流。硬盘隆起，识别不出来。硬盘是好硬盘，可惜了。</t>
  </si>
  <si>
    <t>好评 对比了国内母婴店的价格，确实便宜很多，关键国内卖的大部分都是韩国产的，还不是美国原装的，这点我很满意，打开盖子，里面没什么味道，我之前看评论还以为会有比较明显的医用硅胶的味道，收到后发现没有，很喜欢，样式也很可爱，爱不释手啊，老公也超喜欢</t>
  </si>
  <si>
    <t>上脚不错 想练习跑步，也不知道自己跑姿是内翻还是外翻，平常磨后跟外侧。</t>
  </si>
  <si>
    <t>好好好好好好 不错合适穿上很休闲啊</t>
  </si>
  <si>
    <t>好的雨衣 雨衣轻薄，但是透气性一般，仅供下点小雨用。</t>
  </si>
  <si>
    <t>尺码合适 尺码合适，适合160左右身高、体重100左右穿着。发货快，价格优惠，材质穿着舒服。</t>
  </si>
  <si>
    <t>很划算 价格很划算 质量也很好 是正品</t>
  </si>
  <si>
    <t>尺码 尺码大一到二码，质量可以</t>
  </si>
  <si>
    <t>很好用，喜欢～ 以前用过，效果还不错，瓶子设计很有趣，涂着也很舒服，喜欢～</t>
  </si>
  <si>
    <t>E3000很耐听，e套很舒适 为了e套买的，没想到e3000竟然很好听，非常耐听的声音，中低频氛围非常好，不过需要前端有一定推力，推的好声音会透明，推不好会闷，总体来说很值，e套也很舒服，中频有提升！</t>
  </si>
  <si>
    <t>M 音质不错，小家伙蛮喜欢的</t>
  </si>
  <si>
    <t>很舒服，物美价廉 三个颜色有三种不太一样的质地，但是整体很舒服</t>
  </si>
  <si>
    <t>囤货 小小软软的，用于3个月以下，只有一个孔，囤货用</t>
  </si>
  <si>
    <t>正品，性价比高 马来西亚产。物流还可以接受，美国过来十天左右。噪音很小，体积比我预期的小，读写速度正常。</t>
  </si>
  <si>
    <t>建议品质做好点，多做些适合中国人穿的衣服。 175，75公斤穿M码刚好，但是这款衣服质量一般，很粗糙，不适合中国人穿。</t>
  </si>
  <si>
    <t>仅做参考：170/70 M等于国内XL。 仅做参考：170/70 M等于国内XL。</t>
  </si>
  <si>
    <t>太大了 按照尺码表买的，收到后简直是惊人，太大了，我觉得按照平时穿的码再小两码应该差不多。</t>
  </si>
  <si>
    <t>过小！靴头两边不对称，明显是次货！ 还有做工也是马马虎虎！上次买的锐步质量很好啊！</t>
  </si>
  <si>
    <t>再见，亚马逊！ 这裤子也是没谁了，随便买买都比这个好，尺寸严重不符，说是修身，都快成喇叭裤了，网购牛仔裤最差的一次，只能送人。</t>
  </si>
  <si>
    <t>very bad ! 非常糟糕的一次购物。 居然是旧货，没有任何吊牌。 居然穿过的，衣领部分起球了。 一看就是穿过的。 very bad!</t>
  </si>
  <si>
    <t>性价比高 正品，八天到货，175，72kg m号正好</t>
  </si>
  <si>
    <t>鞋子颜色好看，尺码小了点 皮鞋穿35，运动鞋穿36，这个鞋买来我的小脚趾头挤的有点痛，感觉买小了一点</t>
  </si>
  <si>
    <t>味道不对 就是香草味儿啊 没有什么草莓味儿</t>
  </si>
  <si>
    <t>好东西，ck内衣裤推荐购买 领导评价很好，很实惠</t>
  </si>
  <si>
    <t>海外购的确不错 质量可以，海外购的确不错</t>
  </si>
  <si>
    <t>挺好 直筒版型还可以，适合上班穿。料子很硬有点像牛仔裤？ 希望耐穿</t>
  </si>
  <si>
    <t>著名的写乐21K大型鱼雷，螺纹精致，镀金层很亮 著名的写乐21K大型鱼雷（中字），日本原装货。笔身螺纹精致，笔尖和笔夹的镀金层很亮，笔尖上的花纹精致。随付的认定书显示买这个笔的钱里面会支付3M2树木的养护费1年，当然，往小了说树是种日本的，往大了说树是种在地球上的，我们都享受到了。希望增强大家的环保意识。</t>
  </si>
  <si>
    <t>超乎我的意外 很惊艳它的黑色，竟然是那种亮黑的，在阳光下比以往的深黑色多了一份灵动！我很喜欢</t>
  </si>
  <si>
    <t>性价比高 好鞋。</t>
  </si>
  <si>
    <t>杯子特别好看，保温效果也不错！ 杯子特别好看，保温效果也不错！</t>
  </si>
  <si>
    <t>不错！ 挺好的，比国内便宜</t>
  </si>
  <si>
    <t>物美价廉 戴了一个月，我戴着跑步，游泳，翻山越岭，物美价廉的手表。另外退了我49元的税。</t>
  </si>
  <si>
    <t>尺码正好 尺码正好，版型也不错</t>
  </si>
  <si>
    <t>很舒服 穿上感觉很舒服。我ecco皮鞋穿40码，这款41码也挺合适的。</t>
  </si>
  <si>
    <t>尺寸不合适 按国内尺寸买的……结果大了……如果有更清楚的尺码对照表就好了</t>
  </si>
  <si>
    <t>功能简单 不错 不错 就是红的显手黑 功能简单 我喜欢</t>
  </si>
  <si>
    <t>麦克风 麦克风没声音啊，置顶的那个方法也试过了，那他么要插多紧… 求人帮解决</t>
  </si>
  <si>
    <t>好！就是运费太贵！ 薄，有羊毛。平时XL，这个选M号正好。</t>
  </si>
  <si>
    <t>好 喜欢，质量好，l号刚好</t>
  </si>
  <si>
    <t>正品的冠军喜欢 面料有弹性不是很厚很满意</t>
  </si>
  <si>
    <t>好 满意，当糖吃，又可以补充维生素</t>
  </si>
  <si>
    <t>价格比国内省，音质不错 外观好看 蓝色 中国制造哈哈 国外溜了一圈回来了，还是比国内便宜些</t>
  </si>
  <si>
    <t>非常非常舒服柔软！ 非常非常舒服的牛仔裤！！价廉物美！！非常柔软舒服，值得再次购买的！！！</t>
  </si>
  <si>
    <t>绝对好用 亚马逊买的，真品，用了几个月了来评价，非常好。要和墨水一起买，非常划算，一个墨水芯用很久，而且非常顺滑。超值。</t>
  </si>
  <si>
    <t>很好 东西很好，是稍微宽松型裤子，质量很好，夏天穿有点厚了，我喜欢</t>
  </si>
  <si>
    <t>有点垃圾 太大，感觉。然后比较垃圾，都不敢穿，很薄的那种。</t>
  </si>
  <si>
    <t>太小了 真的太小了，我觉得小孩用都小，当杯子也小。已经退货了</t>
  </si>
  <si>
    <t>质量一般，跟国内专柜有差别 印度产，包装实在简陋，刚拿出来感觉面料还不错，才穿了两次面料就起球了，不知道是因为印度人技术不行，还是买的不是正品。</t>
  </si>
  <si>
    <t>表皮带材质太差 表的皮带材质太差，太硬，体验差，表盘一般</t>
  </si>
  <si>
    <t>垃圾亚马逊！挑战中国人底线！滚出中国！永远！ 从高中开始一直选择亚马逊， 但你现在挑战了我的底线，每天嘴上喊着要民主，不要把事情政治化。但你们自己在做什么呢？滚吧，垃圾亚马逊。 中国再怎么样也轮不到你们美国一个电商来指手画脚！ Hong Kong belongs to China！你们主子美利坚警察驱赶暴徒就是民主的是吧！垃圾，滚！</t>
  </si>
  <si>
    <t>不好 不好</t>
  </si>
  <si>
    <t>顶端不保温 保温杯收到了，就是顶端四分之一的地方外部有温热感，是顶部不保温吗</t>
  </si>
  <si>
    <t>码数 平时穿L码，这件特意买了M码，结果还是大了好多，懒得退，废了</t>
  </si>
  <si>
    <t>质量很好 只是出的面一种有点宽,一种太细,吃不太习惯.</t>
  </si>
  <si>
    <t>买完就降价！！！ 脚肥的选大一码 切记！</t>
  </si>
  <si>
    <t>这件衣服给80分吧 衣服有一点味道，logo是印花的，本人身高172cm，体重74kg,胸围102cm,买的m码，衣服的长短刚好，稍微有一点点紧，穿起也还可以，可能是修身版的吧。</t>
  </si>
  <si>
    <t>质量还不错 款式一般，质量不错，价格实惠</t>
  </si>
  <si>
    <t>卡西哦 还可以戴着很舒服  样子很好看</t>
  </si>
  <si>
    <t>物有所值 穿着合体，就是面料有点硬，估计不是纯棉都这样子</t>
  </si>
  <si>
    <t>女士 维生素 吃了还不错 只是b族会让尿液颜色变成荧光黄 一开始吓一跳，不过没关系 只要多喝水 水解掉就ok了</t>
  </si>
  <si>
    <t>性价比高 轻便 但是缓震功能一般</t>
  </si>
  <si>
    <t>入门级产品推荐购买 比起国内的同类产品，确实超越很多。中国制造还要加油，其实差距也是潜力。 产品质量可靠，做工精良，安装也十分简便。我买的是很便宜的那种，所以部分构件塑料感较强，希望不要出现问题。 几天用下来十分满意。</t>
  </si>
  <si>
    <t>好产品，所有家庭都应该用它 口袋花点钱，肚子吃的金属就少。良心作品</t>
  </si>
  <si>
    <t>刚好合穿 1.8米，84公斤，床m码刚刚好</t>
  </si>
  <si>
    <t>太短了 质量不错，挺漂亮，可是太短了，和我boos皮带比短了5.5公分，太无耻了，准备送人了</t>
  </si>
  <si>
    <t>卡西欧 还可以，不过没有中文说明书的，什么回事？</t>
  </si>
  <si>
    <t>衣服很好但尺码偏大 衣服很棒，面料超舒服，国内的话这个价很难买到，性价比超高，但是尺码偏大，买大了，明天放闲鱼上，有喜欢的可卖可换，价格好商量</t>
  </si>
  <si>
    <t>可以的，物有所值，是正品 可以的，物有所值，是正品</t>
  </si>
  <si>
    <t>还可以 还不错，和预期的一致，本来想买黑色的，但是贵</t>
  </si>
  <si>
    <t>款式很喜欢 昨天就收到了，共花了九天时间，比预想的快一点。鞋子很喜欢，款式也好看。平时穿43码的鞋，这回我买的是美码9.5，合脚，可供大家一点参考。</t>
  </si>
  <si>
    <t>喜欢 超喜欢，就是容易脏，一沾土就白了，在北京穿要天天擦</t>
  </si>
  <si>
    <t>好 用了了很久的一套碗，刚开始就用最小的，慢慢换中的大的，到后面三个一起用有汤有菜有水果，出门带着也很方便</t>
  </si>
  <si>
    <t>正品，价格便宜 非常好👍正品，一般买小一码总没错！穿着舒服</t>
  </si>
  <si>
    <t>173CM的身高，76KG，穿L的正合适。 质量很好，关键是便宜 173CM的身高，76KG，穿L的正合适。 质量很好，关键是便宜</t>
  </si>
  <si>
    <t>棒！ 很赞，面料版型都好！</t>
  </si>
  <si>
    <t>特别实用 这是最频繁用的东西了，宝宝的辅食全靠它。就是一不小心被长辈放到锅里蒸，没放水，底部融化了些，但不影响使用。</t>
  </si>
  <si>
    <t>来自妈妈群的推荐 物流很快，是太太购买的，还没有使用，但看起来包装完好</t>
  </si>
  <si>
    <t>显瘦保暖 天啊~下单第4天就收到了，日本效率好高！下单当天就发货了！相比另一单英国的是隔2天发货吧。买的S~M码，看着有点小，但弹性好，穿上刚适合，质量做工挺好的，价格很划算，对比国内同样的卖得很贵呢~活动包邮物流也很给力，真不错！之前买的国产厚木，码数都是M~L，穿着也没毛病，都可以，我身高155CM，体重45KG，给大家个参考。希望有更多的国外热销产品上架，对比国内的确实便宜不少！</t>
  </si>
  <si>
    <t>什么原因造成了破损，为什么把碎片放到水箱里 收到货的时候，水箱里有一个塑料碎片，是水箱下面掉下来的，不知道什么原因，求解答</t>
  </si>
  <si>
    <t>尺码偏大好多 卫衣质量没话说，面料做工都不错，就是尺码比常规美码大得离谱，胸围袖长起码大2个码，退货运费125，算了。</t>
  </si>
  <si>
    <t>下次用一个好一点的外包装吧！ 手表外包装一塌糊涂，说明书也没有看见，手表还是不错，可惜不是自用，而是送人。。。完全拿不出手。唉</t>
  </si>
  <si>
    <t>做工粗糙 国内做的，做工很粗糙，接口用了一个月就开始脱线，五金件也极差，这种东西在国内也就几十一百多，绕了一次亚马逊，价格上去了，还要付税和运费，大坑，奉劝不要买了</t>
  </si>
  <si>
    <t>保温效果好！ 还算不错啦！与想象中的相符，保温效果也还行。</t>
  </si>
  <si>
    <t>不错 包装好，东西完好无损，特地买了两用的，看着还不错，就是没有杯套，后来在淘宝上买了一个杯套。</t>
  </si>
  <si>
    <t>满意 样式非常喜欢，拿到实物也符合预期，尺码偏大，建议减半号购买</t>
  </si>
  <si>
    <t>尺码大 质量好 尺码大  送人了 很喜欢</t>
  </si>
  <si>
    <t>意见如下，各位参考 还可以。我180，体重140，m号，质量没啥问题，腰部和裤腿偏粗些，因为喜欢长点的裤子，所以裤长对我来说没问题。</t>
  </si>
  <si>
    <t>性价比高 黑五入手，不到700，值得推荐</t>
  </si>
  <si>
    <t>尺码 175CM， 72KGS，穿这个码刚好紧身，估计M会偏大一点点。</t>
  </si>
  <si>
    <t>Champion 男式 针织短裤，带口袋 不错，物流比预计的时间早了好几天，码数稍微大了点，不过也蛮合适的。</t>
  </si>
  <si>
    <t>第一次海外购！很不错！四颗星！ 女鞋男穿 平时穿阿西克41码，阿迪41码，买了9.5M 刚好，就是稍微有点窄，真的就刚刚好好，鞋垫放不下了😢，但是货不错</t>
  </si>
  <si>
    <t>裤子太大了 老美的size太大了，考虑到这一点自己特别选的小一码的，结果到货试穿以后简直肥的不像话，我这身材在美国是不是也是标准身材啦~哈哈哈</t>
  </si>
  <si>
    <t>超值 很喜欢</t>
  </si>
  <si>
    <t>好看。 绿色也挺好看的，幸好安全到达。</t>
  </si>
  <si>
    <t>五星好评 &lt;div id="video-block-RBUYEEHPPI16G" class="a-section a-spacing-small a-spacing-top-mini video-block"&gt;&lt;/div&gt;&lt;input type="hidden" name="" value="https://images-cn.ssl-images-amazon.com/images/I/A1EKbR8jTkS.mp4" class="video-url"&gt;&lt;input type="hidden" name="" value="https://images-cn.ssl-images-amazon.com/images/I/912bFjIk1mS.png" class="video-slate-img-url"&gt;&amp;nbsp;煮出来的饭确实很好吃，满意</t>
  </si>
  <si>
    <t>质量不错 给宝宝囤货的，质量看着很不错，据说很好用可以刮苹果泥什么的，希望能够实用吧，会员购买很便宜划算</t>
  </si>
  <si>
    <t>很好 买了三个了，会不会认为是倒卖的？</t>
  </si>
  <si>
    <t>别买小了就行，大了可以垫点儿 尺码纠结好久啊，还好很合适，别买小了就行，大了可以垫点儿。</t>
  </si>
  <si>
    <t>好餐具 颜色好看，材料好，方便清洗</t>
  </si>
  <si>
    <t>非常好的小包 非常好，夏天带些随身物品正合适，什么手机啊，钥匙，钱包，通通放下，还不占地方，属于比较个性一点的帆布小包，很难看到类似的。</t>
  </si>
  <si>
    <t>解放家长神器！带计时器，德国制造 三岁接受度超高，解放刷牙难题！伟大的发明。刷柄和成人通用，带计时器，德产。</t>
  </si>
  <si>
    <t>性价比很高 性价比很高的移动硬盘，容量大，声音轻，写入速度很稳定100+，明天研究一下转保修。</t>
  </si>
  <si>
    <t>真材实料实惠好看 首先，不是那种薄薄一层的，非常厚实。 第二，材质很扎实。 第三，黑五价格真心实惠。 😂 本来一开始穿有点压脚背，穿了一早上就好了。因为真材实料的全皮质的话，是有动物皮质的自然伸缩性的。这也是再也不买国内品牌的原因。 穿起来显脚小的。</t>
  </si>
  <si>
    <t>第二次买了 先给孩子买了一件，特别柔软，我就给自己也买了一件，最小号，非常满意</t>
  </si>
  <si>
    <t>物有所值 是速干的布料 旅行或出差时穿着是不错的选择 物流服务周到 就是通关时间太长 延迟了8天 第一次遇到这种情况</t>
  </si>
  <si>
    <t>满意 鞋型比较瘦，脚长23cm，买的4号，有余量。里面有一层绒，感觉冬天穿够用了。5天就寄到了，速度超快。</t>
  </si>
  <si>
    <t>感觉很舒服，长短也合适！ 第一次在美亚上买衣服，跟预想的一样好！号码表很准！是纯棉的。</t>
  </si>
  <si>
    <t>非常满意的购物体验 质量很好，鞋型好看，鞋帮高度也很好配裤子或裙子。比起国内的价格，亚马逊的确很划算。推荐购入。</t>
  </si>
  <si>
    <t>面料弹性不好 款式好看，面料弹性不好，穿几次就松的没法穿了</t>
  </si>
  <si>
    <t>包装破损了~ 包装破损了~不知道为什么有些时候邮过来的东西旧旧的~不过没过期！ 有种奇怪的味道~比淘宝贵好多！</t>
  </si>
  <si>
    <t>不符 裤子商标和里面的标不符。买的32*32，结果裤子是32*30短了点，退货要填单，就没退，当9分裤穿了</t>
  </si>
  <si>
    <t>越南制造 靴子做工堪忧，里面有线头和不明白色粉末</t>
  </si>
  <si>
    <t>注意，这款耳机无法在国内保修且质量不可靠 这个耳机买了不到两个月耳塞上的胶皮就脱胶了 而由于不是国行所以无法保修 我这边的的售后好歹是给我粘上了（以后就不行了，因为他发现了耳机不是国行买的） 粘得也是一般，只能凑活用了 可惜我之前拍的照片找不到了，要不然就能给你们看一下 第一次买JBL产品就有这种遭遇 以后估计也不会买了</t>
  </si>
  <si>
    <t>真实的购买体验 这个商品虽说是海外购，但还是中国制造，这是第二次发的评论</t>
  </si>
  <si>
    <t>尺码 比较大</t>
  </si>
  <si>
    <t>还可以吧，很顺滑，但是笔尖很硬。 今天收到笔了，觉得还行吧，这个价钱也只能这个样了。第一次用塑料笔杆的钢笔，觉得很轻，有点没质感。写久了还是觉得累的，但是以前买的派克就会觉得很舒服（当然一分钱一分货，好歹可以买这个10只）。笔尖很硬，但是很顺滑，写起来没有什么阻尼感，但是真的有点点不舒服，说不出的感觉。Schneider还是很贴心的考虑了笔的存放的问题，笔袋设计的很贴心。不过笔袋的味道很大，估计要晾很久。第一次见笔胆，觉得做工好粗糙，没有用……另外Schneider的上墨器旋转的地方比较松，吸墨好像只能吸进来2/3的样子。总的来说还好吧，感觉还是没有大家评论的好，一分钱一分货吧。</t>
  </si>
  <si>
    <t>型一般 （compare with iphone 6s）有点小 撑开松 型不好看 单层 北方冬天不够保暖</t>
  </si>
  <si>
    <t>Smaller than I think bought this 5 Oz milk bottle  for my bro's baby,still haven't use it but looks smaller than I think.a little bit of smelly,hope the baby will like it .</t>
  </si>
  <si>
    <t>偏大 外观一般，并不那么时尚，有点土，穿在身上有点肥大的感觉，练习注重式样的慎重入手</t>
  </si>
  <si>
    <t>满意 价格合适，没看到国内有这款</t>
  </si>
  <si>
    <t>DT880 第一款次旗舰  感觉很不错  煲一段时间相信更好！！</t>
  </si>
  <si>
    <t>好的不得了 我试穿了，非常合适，夏天穿，薄薄的，没出那么多汗了。从此相信而且就买这款了，内衣就不好拍照片了，我182买的，家38.9的税，看看其他的买家买成多少。</t>
  </si>
  <si>
    <t>不错哦 可以，性价比高，适合6730，五星</t>
  </si>
  <si>
    <t>挺好 先来下尺码 平时耐克阿迪42.5 这个9号完全合适。穿着很舒服 就是脚踝上面位置线处理不好 磨脚踝</t>
  </si>
  <si>
    <t>good 40.5的脚  买的9.5  女款的  男的穿稍微有点紧  脚胖的慎买</t>
  </si>
  <si>
    <t>舒适，合身，羊毛的材质好 舒服，厚木的做工精致，大小也合适</t>
  </si>
  <si>
    <t>好 好的产品质量真的超级超级不错哦！这是一个非常好的选择！！！！！！！！！！！！！！</t>
  </si>
  <si>
    <t>很轻，质感不错 很轻巧，质感也很好，保温效果没的说</t>
  </si>
  <si>
    <t>很好 衣服不硬有弹力，正是想要的，穿着正好，比想象的长了些</t>
  </si>
  <si>
    <t>还行 帽子款式还行，材质有点单薄，帽檐也有点长，总的来说还可以。</t>
  </si>
  <si>
    <t>美国亚马逊的东西还是值得信赖 东西没得说  正品  原装美货  走时准确</t>
  </si>
  <si>
    <t>挺好 女儿很喜欢，更喜欢喝水了！</t>
  </si>
  <si>
    <t>Brita 碧然德 Maxtra+滤芯12包装 白色 虽然发过来收到的时候盒子已经有点坏了，还在里面的东西还好好的，已经开始用了，很好</t>
  </si>
  <si>
    <t>穿起来很舒服 这价格值了，不过感觉比想象中要肥一点，相比levis的W33要更肥一点，估计W32更合适吧。不过整体穿起来很舒服</t>
  </si>
  <si>
    <t>恒温龙头很不错 10几年前朋友送我1个三荣水龙头用到今天还在正常使用，这次海外购看见有温控龙头马上买了1套，确实不错。</t>
  </si>
  <si>
    <t>爱不释手的手表 非常喜欢，细节完美  走时精准</t>
  </si>
  <si>
    <t>很棒 身高183，体重80，肩宽51cm，正常里面会套一件连帽卫衣，穿L码正好。 至于很多人说的袖长，我是真没感受到，袖子对我来说正正好好，如果前伸胳膊还会短一点（见照片效果）可能我胳膊长，在淘宝店买衬衫一般都嫌袖短。</t>
  </si>
  <si>
    <t>质量不错 是8个一盒的套装，确实是境外直邮，然后到国内又套了个包装再由亚马逊快递到家的，每个刷头上有独立的塑料保护盖，跟在国内买牙刷的时候送的刷头是一样的，毛很柔软，已经使用过了，感觉很好，这次折扣真值~~</t>
  </si>
  <si>
    <t>很好 好好，穿着舒适。和想象一样</t>
  </si>
  <si>
    <t>质量很好的一个小包 eastpak的包质量是没得说的，非常好，这个小包的大小很合适，颜色也很好看，非常喜欢。</t>
  </si>
  <si>
    <t>辅食盒 塑料还算是比较厚的，看着质量比较好。储存婴儿辅食的，买国外品牌就是希望不含有毒成分。</t>
  </si>
  <si>
    <t>笔杆松动 笔杆松动。虽不影响日常书写，但是对于强迫症患者来说简直不能忍受。目前已申请换货。如果换来的新笔还是这样的话，那就太失望了。说说书写体验吧。f尖跟凌美的ef尖粗细差不多，甚至会更细。出水并不是太流畅，在快速书写时甚至会断。与恒星的流畅度没得比，不过还是很实惠的，价位低嘛。</t>
  </si>
  <si>
    <t>袖口偏大 整体还行，如果袖口在小2厘米就比较完美了</t>
  </si>
  <si>
    <t>没有任何舒适度可言 没有任何舒适度可言，硬，磨脚，这鞋就卖个样子好看吧</t>
  </si>
  <si>
    <t>非无痕内裤 别被这烂翻译误导了，穿上跟图片上显示的效果一样，下方有明显的痕迹，非无痕内裤。</t>
  </si>
  <si>
    <t>卖临期货 差评 亚马逊现在越来越不厚道了 卖临期货也不注明一下 九月底买的 十二月就到期了 根本吃不完 差评</t>
  </si>
  <si>
    <t>不错 旋入式表冠刚到手就坏了</t>
  </si>
  <si>
    <t>按照正常尺寸买应该就行了 从面料上感觉还是不错的，但是对比老公自己从德国买回来的，总觉得刺绣好像差了一点点，图片仔细看领子里面有一条绿色的，拿到的货并没有，不过我还是愿意相信这是正货，穿起来版型没什么问题</t>
  </si>
  <si>
    <t>性价比高 性价比高，用起来不错，煎牛排，煎饼，三文鱼都可以的</t>
  </si>
  <si>
    <t>味道不错的保健品 味道不错，大人小孩都很爱吃。</t>
  </si>
  <si>
    <t>还行 文胸里面的海绵会随着运动不停的变换位置。其他挺好</t>
  </si>
  <si>
    <t>满意 我172cm，62kg，买到是s码美版比亚版要大一尺码，选尺寸大时候要注意这个问题，东西绝对是最正品没话说产地是洪都拉斯，标牌都齐全，出了关税高一点其他都不错，下次买到时候要买个会员。</t>
  </si>
  <si>
    <t>好用 柔软，牙刷比较大，刷牙很快！很喜欢！</t>
  </si>
  <si>
    <t>大小正好 经常网上购物，关于尺码，自己的腰围加上7的尺寸，绝对合身。本人177，70kg，2尺5腰围，w32l32完美。如果身高矮一些或高一些裤长自己酌情加减。</t>
  </si>
  <si>
    <t>质量好 质量很好，但有点儿大，36相当于36．5号</t>
  </si>
  <si>
    <t>好用 颜色很鲜艳，挺好用的，象印都快买全一整套了</t>
  </si>
  <si>
    <t>昨天收到 10号下的单，12号收到，物流公司能达说ZY在货上有盖个什么章的，说要先给钱再看货，有点郁闷。我下单明有说明要先看货的。。   手表总的来说还算不错，也很好看，就是表带做工好像水了点，从昨天下午5点到现在都没有快慢，很准，再带两天看看！   夜光效果很好，我很喜欢(个人认为)，不过说明书上说防水性能好像没有这么强吧，可能没有30米吧，只能防日常生活的，而且不能带着洗澡的！   另外，我和大家分享下怎么很看货的经验，哈哈，   1，下单时，要求刷卡   2，货到后，把卡给他，让他刷，这样你就可以看货了啦！   3.品质 OK  付款，不OK，嘿嘿，随便输几个数字就OK了，   4.然后物流的说不能刷卡，你也说现在身上没有现钱，怎么办呢？只有退咯</t>
  </si>
  <si>
    <t>身高185 体重85KG 腰围92 我腰围穿这个尺码的稍微有一点点肥，可以接受。第一次穿有弹力的牛仔裤挺舒服的~</t>
  </si>
  <si>
    <t>整体还可以接受 整体的不错，但做工有点简单，如果推荐的指数是10，那可以推荐7颗星</t>
  </si>
  <si>
    <t>产后好东西 老婆剖腹产后使用，使用效果自我感觉还可以，值。</t>
  </si>
  <si>
    <t>还可以😄 噪音有点大，电源插头也有点大，总的来说还是不错的</t>
  </si>
  <si>
    <t>很不错的美产NB 舒适，好看，真正有技术含量的鞋底。猪皮的，下雨穿要小心</t>
  </si>
  <si>
    <t>不错 德亚的商品，从英国发的货，不知道为啥。不过商品质量没的说，不到一小时充电就满了，买给爸爸用的。盒子不是很新，但是里面的东西是新的。插着充电线不可以使用，必须拔了线才能用。有点不智能。产地不是中国。</t>
  </si>
  <si>
    <t>很好的购物体验 穿着合体，快递服务好。性价比很高。170/85公斤。就选38/30。很好的购物体验。</t>
  </si>
  <si>
    <t>好 东西不错，颜值高，以后打算来双翻毛的</t>
  </si>
  <si>
    <t>非常棒！ 尺寸很标准，颜色很正，抗皱效果是我见到的最好的一款，真的可以免熨烫！</t>
  </si>
  <si>
    <t>东西不错，好看 东西不错，好看 很帅气，可以调大小</t>
  </si>
  <si>
    <t>消肿 很好穿，希望解决我的水肿腿问题，以后越来越细。</t>
  </si>
  <si>
    <t>退了，自己买小了 质量不错，但是买小了！</t>
  </si>
  <si>
    <t>很喜欢 帽子还可以，做工很好，我很喜欢。</t>
  </si>
  <si>
    <t>方便实用颜值高 首先打开感觉颜值非常棒，因为双层，所以一个当两个用也方便了不少！材质手感很好，外出带饭不用担心冷掉了。</t>
  </si>
  <si>
    <t>关于M的码数 优衣库我一般穿M码 我自己买的M，116斤左右、不算紧身，洗多几遍，穿多几次，就会松一点 我有个朋友买了L，120斤左右，身高差不多，但是L也不会很大，挺合适的，可能他身材比较壮 L码适合单穿，也很酷。</t>
  </si>
  <si>
    <t>春秋季合适 春秋两季穿较合适，衣长较短款。</t>
  </si>
  <si>
    <t>很好 与在商场买的高帮的颜色有少许差异，质量一样，穿上脚很舒服。</t>
  </si>
  <si>
    <t>嗯 用第一个还可以，第二个就不行了，不知道咋回事呢？</t>
  </si>
  <si>
    <t>裤子过大 这个裤版属于宽松型的，裤子又大又长，建议买的时候比平时的尺码要小一号。</t>
  </si>
  <si>
    <t>广告应该再细致一点。 颜色与销售图片不一致。</t>
  </si>
  <si>
    <t>呵呵哒 没有加一层纸壳包装，直接就给我邮寄来了，而且国内发的中通，送的胶囊也不见了</t>
  </si>
  <si>
    <t>正品 东西是从美国寄来的，正品。</t>
  </si>
  <si>
    <t>一般 刚安好水质超级好，结果三四天以后就重新出现水垢，但也没有提示更换</t>
  </si>
  <si>
    <t>奇怪的版型 低腰，裤脚宽大，奇怪的版型，腰围86合身</t>
  </si>
  <si>
    <t>值得拥有 保温效果好，杯子小巧玲珑，装在包里正好。</t>
  </si>
  <si>
    <t>实物颜色较深 实物和图片色差较大，图片色较浅实物更深色。尺码合适，国内买多大码就买多大码。</t>
  </si>
  <si>
    <t>孩子喜欢 当时选这款给上幼儿园的孩子，而未选儿童款，一是为了训练孩子自主喝水和保持正常的口型，二是这款好清洁，不易藏污纳垢，三是如果孩子不喜欢，大人也可以用。 已经开始使用了，保温效果很好，颜色和形状也很漂亮，孩子和我都很喜欢。比较愉快的一次海淘。</t>
  </si>
  <si>
    <t>生产日期是最近的 17年2月生产的，非常新鲜，就是送来的时候包装不怎么谨慎，就盖子上那有一层塑封纸，连桶口处都没有纸密封。不过味道还是挺好，也比较方便溶解。</t>
  </si>
  <si>
    <t>很好看 穿着非常合适、很好看。</t>
  </si>
  <si>
    <t>特好 性价比高，穿着非常舒适</t>
  </si>
  <si>
    <t>裤腿太长了 质量还可以吧，就是太长了，适合178左右身高。</t>
  </si>
  <si>
    <t>真的很棒 我家就用象印，超级好的水杯。质量就是好</t>
  </si>
  <si>
    <t>海淘很实惠 有了台式的买一个便携中午用，要正畸了，需要好好注意口腔卫生。海淘太实惠了，又是全球电压，到货也比预期快，非常顺利的一次购物，就是希望之后使用时不要出问题，售后听说很麻烦。</t>
  </si>
  <si>
    <t>很漂亮的手表 自己配了金属表带，夏天凉快一些。</t>
  </si>
  <si>
    <t>秋装款舒适 中国产，日版的腰围比国际版或国行的511更小，门禁也会较短，若本来穿普通版511觉得紧就应该选大一码。US29实质是W29*L32(73/81cm).质感非常舒适,紧而不勒，感觉不错。小腿不是很修，微微有弹性。</t>
  </si>
  <si>
    <t>不错。 如果真的是医疗级不锈钢制作的，那是很不错的了。</t>
  </si>
  <si>
    <t>很好 好看，就是粗了一点，小朋友不好拿</t>
  </si>
  <si>
    <t>粉色漂亮 特意买了大一号的鞋子，自己加一层timberland专用鞋垫，冬季户外又保暖又防滑，粉色漂亮</t>
  </si>
  <si>
    <t>不错 衣服不错，是正品，放心购买</t>
  </si>
  <si>
    <t>OK 没有写产地，质量还可以。就是贵。。</t>
  </si>
  <si>
    <t>正品，物流快 7天就到手了，上周六买这周六到。正品，很好看，实物和展示图基本一致，无色差。肉眼看偏灰，照片看偏蓝灰。</t>
  </si>
  <si>
    <t>编织腰带 有弹力，带孔位置任意，腰肚肚圆的能找到舒适的长度，非常好！</t>
  </si>
  <si>
    <t>除表带外，非常满意。 整体喜欢，感觉非常不错。不过表带不是很喜欢，我自己又从网上买了一条皮的表带。</t>
  </si>
  <si>
    <t>WD Elements 8TB 没拆直接当移动硬盘装4kuhd，挺好的</t>
  </si>
  <si>
    <t>Lodge的铸铁烤盘 专门买来烤牛排用，锅分量十足，女性单手是拿不起来的，受热均匀，煎牛排特别棒，但是不适合煎鱼，刷干净后一定想着撒上油，否则生锈</t>
  </si>
  <si>
    <t>ecco 皮子不错 看起来就是防水，后期容易不容易打理不知道 内部和接缝做工一般 应该会越踩越软</t>
  </si>
  <si>
    <t>比较薄，里面没有抓绒，不适合冬天穿 比较薄，里面没有抓绒，不适合冬天穿</t>
  </si>
  <si>
    <t>商品打59分 厚度有 但是没有脚后跟之分！很长！外面起小球球，里面掉毛！</t>
  </si>
  <si>
    <t>是旧款 看产地是瑞士，发运又是从法国发出的，而且是旧款，没有任何包装，到手时自身的包装盒都破了，好在滤芯没有掉出来，东西倒可能是从国外发的，淘汰的旧款给国内用户，有点失望。</t>
  </si>
  <si>
    <t>没有中文说明那个书。 哎！  这东西连中文说明书都没有，符合我们国家规定的伪劣产品标准！</t>
  </si>
  <si>
    <t>二手货 耳罩上很多指纹印，装耳机的塑料袋是打开的，封塑料的胶带贴在袋子侧面，塑料袋是烂的，最主要耳机线随便塞在袋子里，绑扎耳机线的扎丝也不见了！试听了一下，耳机是好的，退货在国外，嫌麻烦，就不退了。建议喜欢的还是在国内买吧！</t>
  </si>
  <si>
    <t>次品 到手两天不够，表链的扣就掉了铆钉，一星不能更多，因为表链太长第一天为了可以佩戴去拆了表链，现在都不知道还能不能退货</t>
  </si>
  <si>
    <t>差评失望至极……全是问题 差评，失望至极，不合格产品也拿出来卖，让客户还如何再信任。大家不要再相信了，买了几双鞋都有问题。目前还没有一双没问题。鞋帮上有圆珠笔印，鞋面上有一条很大的痕迹。旁边还有一个坑，像是被指甲扣烂的感觉。</t>
  </si>
  <si>
    <t>很好！ 鞋子稍微偏小半码看，平时36的，这款6码稍微有点点小，厚袜子会有点，其实也没什么，我是属于瘦脚，总之鞋子还是很不错的，穿上增高又有型</t>
  </si>
  <si>
    <t>小码有点紧，扣子掉一颗歪一颗 1.质量不敢恭维。如图，试戴了一下之后，一颗扣子就掉了，虽然我抠下来塞回去了，但是不敢再扣扣子了。另一颗扣子是歪的。美版做工比较粗糙，但这个帽子让我觉得像是瑕疵品。2.我是女生，头不算大，量过头围56、57，小码戴着居然有点紧，所以尽量买大码吧。3.代购300，那好吧我心里平衡了。</t>
  </si>
  <si>
    <t>还可以 主要是玻璃防花方面不太好，较容易花</t>
  </si>
  <si>
    <t>made in china 漂洋过海又回来见我。</t>
  </si>
  <si>
    <t>还可以 还行吧 没有想象中好，，，，</t>
  </si>
  <si>
    <t>很好 质量可靠，因为感冒了，套身保暖良品</t>
  </si>
  <si>
    <t>颜值高 水龙头外观很好，可以抽拉，并且可以自动收回。 暂时还没有通水，不知道出水效果怎样。</t>
  </si>
  <si>
    <t>这个杯子明显好于WildSide 这个杯子比WildSide好多了，至少它具有稳定性，经典的杯子就是你经典，很多人去追去WildSide其实是错误的选择，用过的人会觉得我说的是对的。</t>
  </si>
  <si>
    <t>质量好 日版的L相当于美版的s，不过质量比美版的好</t>
  </si>
  <si>
    <t>比较宽松 这个是稍宽松的款式，适合腿粗些的，31的腰围81厘米，很合身，产地墨西哥，做工不错，价格实惠</t>
  </si>
  <si>
    <t>舒适合脚 15年同款的开线了，新购一双。个人是42尺寸，因脚宽，一般买43的，这次还是同样合脚。鞋带改为锁扣，确实很方便，一拉全松，一扣一旋拉紧，就是不知道是否耐用。</t>
  </si>
  <si>
    <t>美丽的LC 嘤嘤嘤，太美了，太美了，太美了，重要的事情说三遍！！！30cm的尺寸很大，做什么都可以，无水蒸鱼很方便，做海鲜也不错。</t>
  </si>
  <si>
    <t>黄金配方合理，蛋白含量很高，味道真的不错！ 黄金配方合理，蛋白含量很高，味道真的不错！</t>
  </si>
  <si>
    <t>我用了揉面功能 我是很少用这个来揉面的人吧，因为我觉得在购入厨师机之前应该从这个机型入手，熟悉一下简单的打蛋、打奶油，熟悉一下西点的简单制作，看看是否真的要入门，因为看了一些西点制作过程，黄油和糖的量可真惊人，对于喝凉水都长肉的人，还是有些望而却步的。所以，我先用这个的揉面钩，面粉量肯定超过了500g, 但揉面效果还是比自己用手要细致得多，这个在面醒好之后，上手的时候，明显感觉得到。我包了饺子，压了面条，可能水比较多，面很软，下次多放鸡蛋，少加水，让面硬一些。炒鸡蛋的时候，也用了打蛋，简单打了几下。钩子清洗都非常容易。爱不释手的小机器，开始我的面食探索。</t>
  </si>
  <si>
    <t>很轻，比较舒服，就鞋面偏硬点 这款很轻，鞋底是那种一体成型的，鞋面皮比较硬一点点，挺好看，不错</t>
  </si>
  <si>
    <t>非常满意 网上对990P黑的太狠了，搞的我退货过一次，后面收到了打算试试，一耳朵就喜欢上了</t>
  </si>
  <si>
    <t>衣服很不错 很好的衣服，完全符合预期，181.182斤穿L号刚好，衣服也很厚，南方的话冬天完全够用了，另外给客服点个赞，服务很好，还主动帮我联系快递公司</t>
  </si>
  <si>
    <t>推荐购买 做工很好，包装也挺精致，绝对正品，平均70一个，性价比高。</t>
  </si>
  <si>
    <t>非常好用 勺子的大小刚好适合才开始添加辅食的宝宝</t>
  </si>
  <si>
    <t>不错 穿起来很显身材，板型很好 不好的地方，易沾其它衣物的各种棉丝、化纤丝、絮等，总之沾灰。 布料硬</t>
  </si>
  <si>
    <t>喜欢 宝宝非常喜欢 很棒 的一次购物 牙刷 大品牌 质量信得过 以后会继续回购的 一年一次 的购物 划算！</t>
  </si>
  <si>
    <t>性价比高 用了就是离不开的东西，质量真心好，虽然外观不大气，质量绝对秒杀国内大牌</t>
  </si>
  <si>
    <t>尺码偏大 厚实保暖，但尺码偏大，尤其是袖子，本人属于胳膊偏长的，都驾驭不了这袖子。175，70kg，s码，供参考。</t>
  </si>
  <si>
    <t>质量很好 质量很好的鞋子，就是偏大半码左右</t>
  </si>
  <si>
    <t>好用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</si>
  <si>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买小了 买的小了，和我以前买的材质不一样，以前M正好，刚刚对比了一下，细节有点不一样。</t>
  </si>
  <si>
    <t>布料差，做工差 1. 拉链是YKK的，不是Lee的 2. 布料很差，很粗糙 3. 做工很差，到处是线头 4. 扣子看着很旧，扣子上的Lee标记模糊，真品应该很清晰 5. 这布料和色泽，估计洗了褪色会很严重 怎么看都像一地摊货</t>
  </si>
  <si>
    <t>确定是男表吗？？？ 真的太小了 其他的还没有发现 。。。我先试试吧</t>
  </si>
  <si>
    <t>一般般 上周五下的单，然后星期一收到的货，昨天开包检查。发现皮质耳罩有明显的破损，而且感觉皮质耳罩不是很舒服。头罩部分倒是还好。声音也就大概听了一会感觉一般（可能是没有煲开的关系吧）。总体评价一般</t>
  </si>
  <si>
    <t>看着像进口，用段时间在评论 此款理发剪很好用，就是物流较慢。</t>
  </si>
  <si>
    <t>质量问题 买回来音量键就有问题，差评</t>
  </si>
  <si>
    <t>包装太烂 寄过来破破烂烂的，盒子全烂了，包装就个纸盒连个塑封都没有，一个奶瓶盖掉在外面的快递袋里，幸亏奶瓶看上去没什么问题</t>
  </si>
  <si>
    <t>还不错 裤管略肥，腰有些低，其他就ok，我170，75kg，国内买31的裤子供参考。</t>
  </si>
  <si>
    <t>码小了，这款穿不上 比较同期购买产品，尺码偏小呢，伤心。</t>
  </si>
  <si>
    <t>还行 尺寸合适，但是脖子那一根带子太不舒服了，不平整，卷在那里，怎么弄都不行。里面什么都没有，真的可以支撑吗？</t>
  </si>
  <si>
    <t>身高186cm 体重93kg 腰围2尺7-2尺8 版型不是太修身 面料柔软 中等厚度 北方冬天穿的厚 估计夏天穿会很肥  2尺7 8的腰围  规格34*32 稍微大一点 但是如果33的估计要小  长短正合适  这个价格基本满意</t>
  </si>
  <si>
    <t>防雨夹克 质量没的说，就是略大一些</t>
  </si>
  <si>
    <t>萌 大一码，挺好的满意。</t>
  </si>
  <si>
    <t>偏小 偏小，其他都好</t>
  </si>
  <si>
    <t>方便实惠 匹配国内的龙头，安装方便，可以切换过滤水和自来水，因此不影响小厨宝使用。</t>
  </si>
  <si>
    <t>实际偏大 不知道是不是真的从US寄出的。从下单到收到货也就一周左右时间，的确是非常迅速了。实际尺寸偏大很多，建议买小一个号。不像国内买鞋鞋内没有衬垫有点粗糙，不过外观看不出来。本人脚板较厚，所以42～43鞋买US9M大约鞋内还有1厘米左右的空隙，但是厚度正合适，略偏紧不过不影响穿着。</t>
  </si>
  <si>
    <t>不知道是不是正品 寄件方都故意撕掉 还没用 味道没有 不知道是不是正品</t>
  </si>
  <si>
    <t>可以 质量不错</t>
  </si>
  <si>
    <t>鞋码大小合适 脚长25厘米 选择40码 大小刚好</t>
  </si>
  <si>
    <t>质量很好 大小合适轻便舒适</t>
  </si>
  <si>
    <t>降噪很强大 降噪真的是很强大。比bose厉害，戴着很舒适。</t>
  </si>
  <si>
    <t>更棒 很不错。8t的硬盘实际容量7.27t,价格也不是很贵</t>
  </si>
  <si>
    <t>经典，值得拥有。 很好的手表。圆了儿时的梦。现在跑步是带。</t>
  </si>
  <si>
    <t>质量好 质量很好，很舒服，大小合适</t>
  </si>
  <si>
    <t>好 很好，就是摇滚的范！</t>
  </si>
  <si>
    <t>挺好 味道挺好，当糖吃的。</t>
  </si>
  <si>
    <t>挺好的！ 东西没撒问题！收脚有点问题！</t>
  </si>
  <si>
    <t>好 女士170，120斤买的XS，肩膀有一点紧，其他合适。</t>
  </si>
  <si>
    <t>伴手礼佳品 已多次购买了</t>
  </si>
  <si>
    <t>物流和硬盘速度 不错，物流很快，整个包装也很好，测试了硬盘速度，相当满意</t>
  </si>
  <si>
    <t>好 很合脚 不大不小 很喜欢</t>
  </si>
  <si>
    <t>非常棒 颜值高, 咖啡回甘持久, 一开始担心胶囊咖啡也是化学产物, 但是反复确认之后, 咖啡胶囊含量只有咖啡豆. 就是有一个小疑问, made in China的机器运到德国后再买回中国, 居然价格总和比直接从中国买还低.</t>
  </si>
  <si>
    <t>衣服有点儿小，物流超级快。 衣服有点儿小，物流超级快。</t>
  </si>
  <si>
    <t>版型修身且收腰 衣服非常好，保暖轻巧，版型修身且收腰！</t>
  </si>
  <si>
    <t>几个月已掉漆 半年还不到每周用个4、5次，底上那圈红色已经掉漆裂开，失望</t>
  </si>
  <si>
    <t>偏色 面料比较粗糙，颜色也不是灰色，灰蓝色，深蓝色更多些</t>
  </si>
  <si>
    <t>是真的海外直邮？ 我有点不相信，买了两套有一个扫码可以扫到，另外一套根本扫不到，而且有一套的生产日期居然是2017年，物流跟踪两天就从美国发到国内了，可能吗？</t>
  </si>
  <si>
    <t>亏大了 按照尺码购买，买来后发现尺寸过小，无奈只能退货，还不能换货。亏好几百</t>
  </si>
  <si>
    <t>质量很差 买之前，评论里有人说线头好多啊，我想无所谓剪了就好啊。买了还没穿，都破洞了。该听听评论区的意见 不建议买。</t>
  </si>
  <si>
    <t>掉色严重 一般 严重掉色，质量一般，收到水洗后穿了一天 ，手摸裤子蹭了一手颜色</t>
  </si>
  <si>
    <t>还好 有点漏电啊</t>
  </si>
  <si>
    <t>产地印尼，做工一般 是正品，和以前ECCO此款鞋相比，这次的鞋型偏瘦，穿着有点挤，做工不如以前，产地印度尼西亚。</t>
  </si>
  <si>
    <t>很小巧 喜欢这个大小，壁比较薄，国产的，比京东买的多日文说明书。</t>
  </si>
  <si>
    <t>瘦版鞋，码数正 这双鞋一定要写评论给大家参考。首先，鞋子版型很瘦，所以胖脚不要选了，大一码估计也不行，因为鞋子版型瘦加显瘦，却不显脚小。其次，筒那儿不是一般的瘦。我是瘦长脚，可是穿脱时还是很艰难（塞下去就好了），可能与我脚后跟是突出来的也有关系。。。所以脚不瘦（虽然不胖）又突出脚后跟的也放弃吧。最后，我平时37.5的鞋，（没有中间码的话，就不紧的37，运动和紧的38凑合）这双鞋美码7英码4又1/2，上面有中码的！235～好了。就这样吧，帅气还是帅气的。。。</t>
  </si>
  <si>
    <t>厚实，尺码合适。 超厚实，尺码合适。要比lee买大一码。质地还行，工装裤。  182cm，72kg。</t>
  </si>
  <si>
    <t>不錯 給寶寶預備的，很好看，禮盒很漂亮。</t>
  </si>
  <si>
    <t>很好 装上初过滤两遍时，没有小黑粒出来。持续用下来非常好，煮水不再愁水垢</t>
  </si>
  <si>
    <t>不错的鞋子 平常皮鞋34的瘦脚，多数皮鞋34宽松，买的bigkid3.5，略长一点，不会掉，有绑带，估计littlekid的3码就可以，还想买其他颜色</t>
  </si>
  <si>
    <t>神速到货，尺寸完美 香港和澳门专柜都只有5.5的，亚马逊上买到了5还是宽版，完美，和童靴比是全皮，而且鞋垫舒服，穿上更舒服，随然贵了二百多还是比较值的，买到收货才五天，春节期间这速度不得不服！！！</t>
  </si>
  <si>
    <t>杯子很轻 很轻，很满意。做工也很好。</t>
  </si>
  <si>
    <t>2尺3到2尺4选择8的尺寸穿着正合适 裤子弹性很好，2尺3的腰身买8的尺寸正好，希望对大家选择尺寸的时候有帮助😊</t>
  </si>
  <si>
    <t>给亚马逊精准快捷的售后服务 虽然受到是烂东西，但是因为亚马逊的售后服务，让我感觉很爽。</t>
  </si>
  <si>
    <t>很棒的吸管杯！ 很好用的吸管杯，之前用的贝亲的，没有手柄，吸管没有防返流设计，总是漏水。这款真是性价比很高，宝宝一岁多很喜欢用，而且各个部分都可以拆开，容易清洗。强烈推荐给大家</t>
  </si>
  <si>
    <t>皮质不错 皮质还不错。皮带尺寸是扣着第三个孔时围成的周长。</t>
  </si>
  <si>
    <t>和专柜一样，尺码正常 性价比超高啊，赶紧入。</t>
  </si>
  <si>
    <t>东西不错，非常好看 颜值与功能并存。缺点是奶泡不够浓，每次使用后要注意用热水和洗洁精及时清洗奶泡盒，不然会打不出nai pao</t>
  </si>
  <si>
    <t>品牌牛仔裤 品牌牛仔裤，非常舒适，板型可以</t>
  </si>
  <si>
    <t>好品牌质量不错 好品牌质量不错</t>
  </si>
  <si>
    <t>冠军T恤 不错，款式、尺码、价格都挺好。这次订单物流很快，总体很满意。</t>
  </si>
  <si>
    <t>合适 非常喜欢，买过深色的，再补上浅色。</t>
  </si>
  <si>
    <t>超赞! 味道超赞!以为很浓(很浓就不喜欢)，没想到清香，很爽口，非常适合运动后补充!好评先。ps.真鸡儿大，完全是把它抱出来的。😂</t>
  </si>
  <si>
    <t>(⊙_⊙) 下围合适，罩杯偏大一个号</t>
  </si>
  <si>
    <t>可以 还可以，就是没有什么调整</t>
  </si>
  <si>
    <t>满意 163、53穿XS大小合适，刚拆开还以为穿不上，但是上身很舒服，只是想拍黑色来着，不知道怎么收到的是彩虹条的，还行吧，没有黑色显瘦。</t>
  </si>
  <si>
    <t>满意 日亚的质量真心不错</t>
  </si>
  <si>
    <t>还不错 裤子还不错，腰比国内的大一号，有点薄，夏天穿比较合适，其余很好</t>
  </si>
  <si>
    <t>蛮不错的，比想象中要厚实。 平常穿38 39的牛仔裤，买s没问题。</t>
  </si>
  <si>
    <t>不是以前的亚马逊了 不是国外产，有褪色，亚马逊好象停止中国业务了，怎么还在运行?</t>
  </si>
  <si>
    <t>瓶子盖子有问题 和朋友从美国带回来的有点不一样，瓶盖拧紧时感觉螺纹不对，拧不齐。</t>
  </si>
  <si>
    <t>无泡无味 味道都差不多，泡沫也基本没有。但是有一点，磨料明显很细腻</t>
  </si>
  <si>
    <t>腰比较低 同样的尺码相比，略微有点小。腰稍微低了一点。</t>
  </si>
  <si>
    <t>中国制造 中国制造，不是美版更不是日版，做工也很一般，无奈</t>
  </si>
  <si>
    <t>很一般 掉毛太厉害了 脚腿上一层黑 保暖性一般 长 松</t>
  </si>
  <si>
    <t>没收到产品 没有收到这个产品...是不是漏发了</t>
  </si>
  <si>
    <t>和国内的略有不同 和国内的lee比较 孟加拉造的水平很一般 有点薄，质量说的过去 毕竟价钱不高。和预期差不多，上下班穿正合适</t>
  </si>
  <si>
    <t>这个价钱还是不错的 衣服还可以175cm.72kg.买了s码身上稍紧，袖子正好，</t>
  </si>
  <si>
    <t>同事选的 同事装修托我买的，她相信日本牌子</t>
  </si>
  <si>
    <t>不错的靴子 产品品质好，气质柔软舒服。物流也快，就是产品介绍说是gore tex 在鞋子上没有看到这个标志。另外，鞋子是毛里的，介绍上也没看到。算了，留着。</t>
  </si>
  <si>
    <t>质量很好 面料厚实 本人180cm 92kg L型号正好合体 供后来者参考</t>
  </si>
  <si>
    <t>喜欢 稍稍有点胖的38脚，买的时候只有5.5，偏大了，买5应该就可以的，心塞塞。但是鞋子很漂酿哦，喜欢❤</t>
  </si>
  <si>
    <t>海外商品建议增加中文说明书 包装较差，此次送货较快，建议网页上增加中文说明！</t>
  </si>
  <si>
    <t>满意 这是第三次购买象印水杯，品质与之前的一样，还是满意。</t>
  </si>
  <si>
    <t>gshock 不错，非常喜欢。</t>
  </si>
  <si>
    <t>非常棒，用过最好用的吹风机 这个吹风机特别棒，是我用过最好用的吹风机，吹干特别快，而且吹完吹完头发很润滑，已经安利给很多朋友了，又帮朋友下单了一个</t>
  </si>
  <si>
    <t>非常值得购买。 8号下单12号收到，比转运快多了。龙头可升降，可抽拉，也不用担心水垢。安装也很方便，接头都是快接。</t>
  </si>
  <si>
    <t>偏窄 鞋型很好看，但是真的要偏瘦的脚才可以。我的脚已经是偏瘦的还是有点压脚背，长度没问题.</t>
  </si>
  <si>
    <t>大小合适，黑色耐看。 不错很喜欢</t>
  </si>
  <si>
    <t>中国制造的博朗低端产品 这是中国制造的，博朗品牌的低端产品。最大的缺点是噪音太大，但是马力强劲，刮的也干净。与荷兰某品牌比，做工好！</t>
  </si>
  <si>
    <t>第二次入手拜亚990pro 史上最便宜德行拜亚动力990pro到货，虽然没有hd600的中正大气，也没有akg的清新隽永，但只要有拜亚一如既往的味道就值回票价，苹果MacBookpro一样可以推得起来</t>
  </si>
  <si>
    <t>合身 很喜欢</t>
  </si>
  <si>
    <t>特价入手，很满意 1499入手 价格很满意，买过人妻，大馒头1代，还是这个带起来最舒服（戴眼镜） 家里的hifi音响出掉了，耳朵已经很挑了，退烧买个差不多的耳机随便听听算了~，网上都有评测我不多说了，没有任何渲染，真是平淡这才是音乐！</t>
  </si>
  <si>
    <t>3米外劳黑水鬼 因为表不支持七天无理由退换，拿快递时现场验货，确认包装和表外观没问题后收下。 此后戴了一周，感觉非常好。表径37对我来说刚好，但潜水表这种类型的表可用大点的，视觉上并不会显大。 此款为石英机芯，对我来说是优点，省心。 取表链时发现钢制表带用料比较足，非空心表链，在这种价位，比较良心。 计时表圈阻尼刚好，转动表圈60格一圈，感觉做工松紧适度，这几天没事就转转。 总之这表值得推荐，买劳力士的钱够买这表一百多块了，买劳还是买这个，得自己决定。介于这两者之间的，我个人以为低不成高不就的，挺难受。 最后，已成功利用此表引诱朋友准备下手劳。</t>
  </si>
  <si>
    <t>还行 东西没问题，穿着也舒服，就是掉桶</t>
  </si>
  <si>
    <t>舒适方便 很舒服</t>
  </si>
  <si>
    <t>完美极了 工艺精致色彩典雅，大小正合适四口之家，用这样的锅煮菜一定很可口，海外购的价格也便宜</t>
  </si>
  <si>
    <t>宝贝很好 包装虽然简单但不影响什么，主要是宝贝货真价实。快递还好比预计的快。总之一次愉快的海淘</t>
  </si>
  <si>
    <t>感觉比先前买的阿迪裤子差点 感觉比先前买的阿迪裤子差点</t>
  </si>
  <si>
    <t>舒服。 舒服。纯棉的感觉。给爸爸买的，他1.70米，偏瘦，日本的衣服L正好合适。哈哈，挺开心的！！！</t>
  </si>
  <si>
    <t>满意的 172厘米，67公斤穿s码正合适。衣服各方面都很好。建议亚马逊将衣服尺码在页面展示便于选购，这个现在介绍中没有确实不清楚。</t>
  </si>
  <si>
    <t>不好 老公说穿着不舒服，和在德国买的有区别</t>
  </si>
  <si>
    <t>版型不错，修身，料子也舒服，尺寸正常，微弹性，就是特别爱粘毛 版型不错，修身，料子也舒服，尺寸正常，微弹性，就是特别爱粘毛，不会再买</t>
  </si>
  <si>
    <t>真的太肥了 身高188，体重200斤，穿XL大一码，穿L的差不多，本人肚子不大，衣服样子倒是挺好看的</t>
  </si>
  <si>
    <t>表面颜色不符啊，要换表 有没有客服啊？有没有人管啊？反应半个月，没有回复，这就是亚马逊？收到为什么是黑色表面啊？太坑了嘛，这么远，产品不符合啊，可不可以换蓝色啊？</t>
  </si>
  <si>
    <t>电源爆火花烧掉了 用第二次就坏了，电源爆火花烧掉，都不知道哪里去修，早知道不贪这个便宜</t>
  </si>
  <si>
    <t>书写感佳，颜色较黑。防水性几乎没有(和普通昆克一样，没有什么放水能力)。 外观颜色略微发蓝(普通昆克发紫红)，写起来还是比较满意的黑色。缺点不防水(super quink和普通昆克的防水能力没有区别，都是非常不防水)。</t>
  </si>
  <si>
    <t>还不错。 还不错，不是很厚，大小合适。</t>
  </si>
  <si>
    <t>是否正品不好说 东西质量还可以，是否正品不好说，但穿上还行，就是有些小</t>
  </si>
  <si>
    <t>替朋友买的 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</si>
  <si>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 163、94斤穿M号有点小</t>
  </si>
  <si>
    <t>很好很好很好很好很好很好 稍微有点顶 可以忍 货真的是好货 和店里的一样 正品应该是</t>
  </si>
  <si>
    <t>望完善货物描述 速度很快，东西也不错，唯一遗憾的是描述不知道笔尖粗细，习惯了f尖，用m尖还是略显粗大</t>
  </si>
  <si>
    <t>挺厚，腰围及裤长都合适 黑色，裤子挺厚的，直筒的版型挺适合。69kg，172cm。供参考。 里面线头也不像评论中那么多。</t>
  </si>
  <si>
    <t>合身 很薄，176cm，79kg，现在肚子涨了些，还算合身</t>
  </si>
  <si>
    <t>物有所值 性价比确实很高，看评论说和7506就买了。优点就不说了，其他评价说得很多，缺点还是有的。低频略多，听流行音乐会有把人声盖过去的感觉，还有就是高频某个频段会有刺耳的感觉，像琪露诺的算术教室开头的那几声铃声。</t>
  </si>
  <si>
    <t>性价比高 德国生产，质量不错，还会再买</t>
  </si>
  <si>
    <t>一般，偏贵。 175cm、74kg，M号，合身。衣服料子薄，大概适合春秋季单穿，不宜冬天。</t>
  </si>
  <si>
    <t>挺好的，推荐 绝对好看的，PU的部分也很舒服 音质也不错 折叠起来还是有点占地方，外带要有送袋子什么就好了</t>
  </si>
  <si>
    <t>材质比较好 这款和家里原来一个6m+的比，大小是一样的，所以应该不是只能用到6个月吧。</t>
  </si>
  <si>
    <t>文胸 不错很舒服，就是底边有点卷</t>
  </si>
  <si>
    <t>合身 舒适 合身 舒适 款式很好 满意</t>
  </si>
  <si>
    <t>贝亲的奶瓶 比朋友从日本带还便宜 到时候对比对比</t>
  </si>
  <si>
    <t>好音箱，有良心的定价 这个价位的表现应该很不错，超出预期，之前听的漫步者r1000北美版，提升很明显，清晰有层次不杂乱的感觉，还有我觉得低音已经很足了，为啥还有人说低音差呢，我有时候还嫌低音多呢，幸好当时没有买惠威的特价1199mkiii+，这种监听音箱不一样的感觉跟多媒体音箱相比。</t>
  </si>
  <si>
    <t>钢笔很好 钢笔很好，就是没有陪上墨器</t>
  </si>
  <si>
    <t>质量不错 小孩出生买的，现在1岁半了，一直在用，质量棒棒的！</t>
  </si>
  <si>
    <t>很好 有一点小巧玲珑，样子不错。很好</t>
  </si>
  <si>
    <t>Clarks的鞋子不曾让我失望 建议穿多大码就买多大码，皮质柔软，夏天就光脚穿了，帅气的鞋子。</t>
  </si>
  <si>
    <t>看着不错 很轻，只有一个奶嘴，标题误导人，到货很快，还是满意的。</t>
  </si>
  <si>
    <t>一次愉快的购物体验 从包装就看得出来，日本人做事简直绝了，非常好</t>
  </si>
  <si>
    <t>很完美，保温效果很好 和老婆一人一个，用了一段时间，真的不得不赞叹保温杯真是很好。保温效果，杯子大小无可挑剔，值得购买。</t>
  </si>
  <si>
    <t>很喜欢的奶嘴和奶瓶 专门用来给宝宝喝水用。。 孩子不爱喝水，就给她稍微挤出一点，很好玩，。宝宝也喜欢</t>
  </si>
  <si>
    <t>太差！ 衣服质量就是地摊货的标准。卖50元，都贵！相信亚马逊的介绍，上当了！退太麻烦，算了，只能在家干活穿了。</t>
  </si>
  <si>
    <t>有点掉颜色 样子是修身型的，穿着还是不错，就是洗衣服的时候掉色，估计时间长了，可能颜色就比较浅了。我买的是黑颜色。</t>
  </si>
  <si>
    <t>偏大 衣服偏大，本人178cm，70kg，L偏大</t>
  </si>
  <si>
    <t>不推荐 一分价钱一分货，打开包盖哗啦哗啦响，内部也没有拉链，很不安全，留之无用弃之可惜。</t>
  </si>
  <si>
    <t>怀疑假货！ 蛋白粉内有很多大小不等的白色颗粒，都不知道是什么，味道变了，不是美国直邮，而是从香港发货，怀疑假货，没得退货，慎重购买！</t>
  </si>
  <si>
    <t>产地中国 注意，此款平底锅产地中国，虽然上面全是他国文字介绍。另外锅有些浅</t>
  </si>
  <si>
    <t>鞋底不舒服 大小很合适，但是这双鞋的底不舒服，走路时间不长，脚底就会痛！</t>
  </si>
  <si>
    <t>想要买品牌又不想花太多 算是超市货的价格，当然品质其实也是，布面有点粗糙，因为就算是品牌，也有不同的区分商品线。别被商品标题里的质佳挑选字样迷住了，这就只是条200多的裤子，而不是觉得那跟商场里卖上千的一样，这样感觉会好很多，毕竟这也是Lee，您说对不？</t>
  </si>
  <si>
    <t>还不错 样子很喜欢，中国制造的， 比之前我的其他的42号ecco，有一点点大 重量相比其他Ecco也略重</t>
  </si>
  <si>
    <t>手表 有缺陷。用夜光时表盘不全夜光，心情不美了。其他用一段时间再说。</t>
  </si>
  <si>
    <t>一般 性价比低 作为入门级系统，价格偏贵。配套软件基本是个摆设，不付费就一阉割版，性价比不高。</t>
  </si>
  <si>
    <t>很好👍 宝贝不错，还没用，希望有效！</t>
  </si>
  <si>
    <t>可爱的牙膏 好可爱，一按一小坨，孩子喜欢刷牙了</t>
  </si>
  <si>
    <t>正品吸管配件 应该是正品，比实体店的感觉要软。因为这个牌子的吸管实在是太不结实了，不到一个月就坏了，所以更换很频繁，价格比实体低一半，很好。</t>
  </si>
  <si>
    <t>值得买 好看，设计合理，比想象的小点</t>
  </si>
  <si>
    <t>好穿啊 不错的质地，很好穿。</t>
  </si>
  <si>
    <t>很好的裤子 这条裤子买太值了，便宜，弹性很足，在经历上次尺码不对之后我总结经验，买了一条很舒服的裤子。完全没有牛仔的紧绷。</t>
  </si>
  <si>
    <t>挺好的，相信亚马逊自营！ 稍偏大，质量挺好的，经济实惠，相信亚马逊自营！</t>
  </si>
  <si>
    <t>冠军卫裤 在国内需要购买XXL的，由于美国码大所以这次购买L码，正合适！大家购买时注意一下！ 裤子质量不错！</t>
  </si>
  <si>
    <t>不错，很舒服，赞一个。 很舒服，不错不错，赞一个把吧。</t>
  </si>
  <si>
    <t>好用 按扭一开始不太会用，研究了一下，才打开，总体不错。</t>
  </si>
  <si>
    <t>非常舒服的羽绒被 made in England. 轻 薄 暖和 舒服，值得买！  收到货看着旧兮兮的，就是广告的那个包装盒那样就寄来了，里面的塑料袋也没有做全封闭。  还是日亚包装贴心。</t>
  </si>
  <si>
    <t>很好 质量很好，到码数对照表有误，9.5对应的是42.5，10对应的才是43</t>
  </si>
  <si>
    <t>不满意 在家正常用了半年，出门旅游收拾东西时掉地上了一下，然后就不能用了</t>
  </si>
  <si>
    <t>软硬适中 款式有点老，但所谓的老与新也是在不断变化的。鞋面与鞋底软硬适中。穿了几次，脚与鞋的感觉比刚穿时好了，比较舒服。这款鞋子是我在亚马逊的首次购物，开了个好头。</t>
  </si>
  <si>
    <t>感觉不错 使用后效果明显，而且这个味道很柔和，感觉不错。</t>
  </si>
  <si>
    <t>性价比非常高的外置硬盘 照片看起来跟个主机似的,实际就个光驱大小,读写速度USD3.0能到140M,很不错了,非常推荐!</t>
  </si>
  <si>
    <t>很好的鞋 产地是中国的，不仅价格美丽而且比其他周边国产的明显做工更细</t>
  </si>
  <si>
    <t>质感不怎么样 感觉还不错，物流的速度很快。但是，手表的表带太硬了，而且很窄，有点小气，其他都还可以。</t>
  </si>
  <si>
    <t>KitchenAid KSM150PSGC Artisan Series 5-Qt. Stand Mixer with Pouring Shield - Gloss Cinnamon 需配变压器 头次在亚马逊购买境外产品，开始很担心，尤其怕途中损害商品。结果很顺利，比预想的要快很多，包装完好。剩下的就是使用了。</t>
  </si>
  <si>
    <t>170，M码，肥了、长了。买了两套，休闲穿，舒服。 170，M码，肥了、长了。买了两套，休闲穿，舒服。</t>
  </si>
  <si>
    <t>杯子值得买 杯子质量确实可以，目前还没发现什么问题和瑕疵。最好给杯子配个套子，防摔防磨掉漆。</t>
  </si>
  <si>
    <t>是正品吗？ 感觉自己买的是假货，made in China也就算了，不保温，温水清洗干净后泡了两天，一打开还有一股浓浓的的塑料味，这么贵的水壶怎么这么糟糕？</t>
  </si>
  <si>
    <t>墨水都漏了 墨水用着还行，就是运过来墨水都洒出来四分之一了，懒得退了</t>
  </si>
  <si>
    <t>这个裤子的尺码真的不是一般的大！！肥胖如我 都感觉大～～ 版型一般，老式高腰！！为了保护我的老腰 我也是够了～～ 有弹性的面料 穿着还挺舒服 ～</t>
  </si>
  <si>
    <t>骗子 首先没到手降价40，第二usb口有时候会漏电，麻人，客服全是骗子，说48小时回复，一直没人回复，打电话催，客服答应当天晚上10点前回复，可是一直没有人回复，以后不会再来亚马逊</t>
  </si>
  <si>
    <t>严重怀疑买到假货 严重怀疑是假货，跟之前买到的不一样，按照产品说明，药丸表面应该很光滑，便于吞咽，此次买到的药丸表明比较粗糙，与之前的严重不一样。</t>
  </si>
  <si>
    <t>保温杯没有保温功能 ，有意思吧！ 本打算冬天了给孩子买个保温的，结果保温效果很差，睡前倒的水，半夜喝就是凉的，差，投诉无门。</t>
  </si>
  <si>
    <t>不错不错,就是帽子深了点,但还是很酷很好看的 很酷,很帅,布料不错,就是帽子深了点</t>
  </si>
  <si>
    <t>尺码对应的长度 对照尺码和实际可以选择的尺码都不太一样的，本来想买240的，来到7码只有235</t>
  </si>
  <si>
    <t>会卷边 会卷边，式样舒适度还可以</t>
  </si>
  <si>
    <t>无 还行，就是有点笨重感觉，走路感觉不轻巧</t>
  </si>
  <si>
    <t>宽松 面料好 本人身高170CM，体重148斤，腰围90.5CM，喜欢穿宽松些 选34码穿着适合我要求，</t>
  </si>
  <si>
    <t>尺码 给老公买的 质量很好 很喜欢的 大小也蒙对了（179cm 72kg 买了最小码） 还想给自己买 尺码很纠结</t>
  </si>
  <si>
    <t>舒适 喜欢，舒适</t>
  </si>
  <si>
    <t>性价比不错的钢笔 书写流畅，且不易断水。新买的笔插上膜囊放了几秒钟后就能用了。粗细也符合标准，0.5-0.6。上墨器是螺旋的，比较好用。带出街一天没有撒漏的现象。该笔产自德国，精工第一的～，总之非常适合初心者。   国产同样价位的钢笔相比差得多，上水少且困难，书写也不流畅，停下来几十秒就马上断水了。</t>
  </si>
  <si>
    <t>质量很好 很有份量，还没安装，不知需不需要不同口径的转换阀。</t>
  </si>
  <si>
    <t>安装方便，水量大 虽然喷头小，但是水量一点不小，很好！</t>
  </si>
  <si>
    <t>就是喜欢timberland 自己选择大半码，实物就大了半码。😅 加个鞋垫，就合适了。🤗</t>
  </si>
  <si>
    <t>及时收到 与实物相符，买的S码 160CM 50KG 大家参考一下</t>
  </si>
  <si>
    <t>买对了，尺码很准 这次五天就收到了，第一次海外购买裤子，开始担心不合身，拿到后非常合身，版型非常合适我这种没赘肉的身材，裤裆刚刚合适，不管怎么动作都不扯蛋，又不松，价格给力镇店之宝买的</t>
  </si>
  <si>
    <t>不错 用了好几个了，还不错</t>
  </si>
  <si>
    <t>号码偏大，想合适买小一号 鞋子是正品，到了第一天穿出去，非常舒服，一点没有任何不适感，和在商场试的一样，但是国内的号码是整号，没有半，这个换算过来的话，我正常所有鞋子穿38，但是这个5.5的有一点点大，大概大了0.7厘米，穿也没问题，特别合脚，但是大了0.7厘米，总是还想刚刚好，所以买的时候一定要注意啊！！！！</t>
  </si>
  <si>
    <t>很喜欢 挺好的，现在就一直在用</t>
  </si>
  <si>
    <t>好 好，方便放包</t>
  </si>
  <si>
    <t>有点大 大一码，下次买小一码</t>
  </si>
  <si>
    <t>美版跟台湾版确实不一样 美版跟台湾版确实不一样～美版更大，颜色更深，刷头毛更粗，未拆封的为美版</t>
  </si>
  <si>
    <t>很好 适合夏天在家穿，空调房里或是睡觉穿都不错</t>
  </si>
  <si>
    <t>不错的仔裤 Lee裤子国内一直是瘦腿的，这条是宽松版裤腿比较大，穿着感觉就是宽松版休闲裤，喜欢穿宽松牛仔裤的朋友可以选购！</t>
  </si>
  <si>
    <t>Oral-B欧乐B CrossAction 多角度清洁电动刷头，10只装 用来几年这款牙刷和牙刷头，很好用，刷的很干净。</t>
  </si>
  <si>
    <t>好看 大小可以调节 蛮好的颜色鲜艳 喜欢 小朋友也喜欢</t>
  </si>
  <si>
    <t>正品草莓味好喝 草莓味好好喝，应该是正品</t>
  </si>
  <si>
    <t>实惠 配送很快，质量也很好，颜色特别耐看</t>
  </si>
  <si>
    <t>8 8888888888</t>
  </si>
  <si>
    <t>热拔了一次，再也读不出来了 读写速度蛮快，平时也挺爱惜没有磕碰过，千防万防没防住有一次连着电脑正看电影呢，电脑突然死机了，再开机就读不出来了，硬盘死活检测不出来，怕是废了，我的400多G电影呢嘤嘤嘤</t>
  </si>
  <si>
    <t>还可以吧，颜色比较鲜艳。 还可以吧，颜色比较鲜艳。</t>
  </si>
  <si>
    <t>…… 拿到按键面板那里有一处裂痕 而且说明书好像有配一个刷头我在配件里没看见……</t>
  </si>
  <si>
    <t>尺寸 尺寸比较离谱。平日买XL，估计买M号合适。</t>
  </si>
  <si>
    <t>海外购没保修，慎重 一星都不想给，海外购，没保修，刚一个月就右边不发声了，还是买行货吧</t>
  </si>
  <si>
    <t>很差别买 虽然是英国寄来的，但是，很差，不建议购买，用了一个月，刷头毛就变形厉害。价格便宜了，品质下降更多</t>
  </si>
  <si>
    <t>不错 鞋子很好，但是偏大半码，参考Nike。</t>
  </si>
  <si>
    <t>这号不小哇 号还是比较大的，我158身高105斤腰瘦腿粗S号也还是大了些，XS之前看了看没敢下单，毁了。等再增肥以后再说吧。质量不错的。</t>
  </si>
  <si>
    <t>尺码有点偏大。 鞋子挺好 就是没有鞋垫。</t>
  </si>
  <si>
    <t>装不了啊 小若000625教一下怎么安装的，拜托</t>
  </si>
  <si>
    <t>还不错 鞋子稍微大了一点，有点不透气，其它还好。</t>
  </si>
  <si>
    <t>感觉不错 挺好的，质量很好，喜欢</t>
  </si>
  <si>
    <t>kenwood 厨师机 &lt;div id="video-block-R7DAZEGJGOJON" class="a-section a-spacing-small a-spacing-top-mini video-block"&gt;&lt;/div&gt;&lt;input type="hidden" name="" value="https://images-cn.ssl-images-amazon.com/images/I/91e5BTzm2+S.mp4" class="video-url"&gt;&lt;input type="hidden" name="" value="https://images-cn.ssl-images-amazon.com/images/I/A1eiJinu66S.png" class="video-slate-img-url"&gt;&amp;nbsp;颜值在线，第一次用来做海绵蛋糕，鸡蛋少了，没加热，比较难打发，这是四档的声音，挺大声的。总体满意</t>
  </si>
  <si>
    <t>挺好的 性价比高，全棉，洗了不掉色。185 80kgM修身。随便穿穿挺好的</t>
  </si>
  <si>
    <t>很好  就是物流比较慢  可以理解 很好  物流有些慢  不过东西质量没问题就可以了</t>
  </si>
  <si>
    <t>超赞 太好用了</t>
  </si>
  <si>
    <t>尺码标准款型不错 尺寸很标准，175/75选L。老公非常喜欢，甚至想买两件。</t>
  </si>
  <si>
    <t>合适极了 非常合适 价格便宜 四百多买爱步多划算啊，尺码一如既往的合适 爱步适合低脚面的人 ，</t>
  </si>
  <si>
    <t>正品 是正品很nice，日本机芯，中国组装。总体来讲还是不错，就是有一点，数字时间和虚拟指针差20秒。不影响大问题</t>
  </si>
  <si>
    <t>和图片一样 和照片一模一样，鞋型偏窄，好看，满意</t>
  </si>
  <si>
    <t>很合适学吃饭的宝宝用 碗放在餐桌上不再滑动，也就不容易把食物洒出太多。</t>
  </si>
  <si>
    <t>好用 大中小3个碗饭菜分开放，好用！</t>
  </si>
  <si>
    <t>适合年龄段 该鞋最适合年龄35以下穿着，两个字：帅气！国内该款价格较高，亚马逊海外购是较好的选择。在同类中觉得这款最好看，到货与预想中一致。</t>
  </si>
  <si>
    <t>很棒 很好，很舒服。物超所值！</t>
  </si>
  <si>
    <t>很不错，恒温！风大快干，顺滑！ 飞利浦转过来的，明智的选择，很好用，是英标插头，只是需要转接头，吹出来很舒适，顺滑，确实不一样。</t>
  </si>
  <si>
    <t>合适 包裹性好，缓冲好。合适！</t>
  </si>
  <si>
    <t>满意的购物体验 手表防水10个大气压，60分钟计时，实用。手感好。包装安全、仔细，说明书详细。物流很快的。</t>
  </si>
  <si>
    <t>喜欢 非常棒</t>
  </si>
  <si>
    <t>卡收到 东西不错，物美价廉，就是时间太长。</t>
  </si>
  <si>
    <t>身高159-163左右可以选这个码 一层绒，穿起来很舒服，就是清关时间稍长，同样的两件物品，看着还稍微早到海关，清关和派送却很慢，比另一件物品晚到一个多星期</t>
  </si>
  <si>
    <t>nice 包包很轻啊，分层多，made in China，质量可以。不含税196多~家里人比较喜欢。一起还买了这个牌子的一个双肩包，很喜欢</t>
  </si>
  <si>
    <t>比国内划算 做工很棒，官网下了中文版的说明书，很容易上手，主要是因为功能不多就是了，呵呵！</t>
  </si>
  <si>
    <t>蛮好 帮同事买的，UPS发货，黑五期间历史最低，比任何国内外电商都要便宜，货真价美。唯一可惜的是买少的。</t>
  </si>
  <si>
    <t>选购时要特别注意这是一款尺寸偏小的款式 这个牌子的规格尺寸偏小。 我的身高180CM，体重100KG。 选购时系统提示选择X-Large，实际我选择了2XX-Large，但穿在身上就仿佛穿了一件紧身衣。 这是一次不愉快的购买经历。</t>
  </si>
  <si>
    <t>肥大 腰围尺码很准，屁股和腿都大，欧美人有多肥呀！直接扔那里了。</t>
  </si>
  <si>
    <t>包装太差 收到一看，跟地摊货包装一个样，就是在国外超市挂着卖标价14刀的，没有外包装；牛皮倒是不错</t>
  </si>
  <si>
    <t>为什么只能退不能换？ 我买的裤子长了点儿，想换一条居然没有选择，好烦呀！</t>
  </si>
  <si>
    <t>冲膳魔师质量来的请绕行 江苏生产的，包装和制造质量非常一般，也就普通国产货的质量，冲着膳魔师质量来的请绕行。一分钱 一分货。</t>
  </si>
  <si>
    <t>太垃圾了 还没穿出门，就试穿两次，就裂成这样……</t>
  </si>
  <si>
    <t>口味不错 小熊糖的口味蛮好的，比不含钙的好吃。</t>
  </si>
  <si>
    <t>国内物流坑爹，耳机中正耐听 物流有点坑，开始有点气，结果耳机把气全消了。国外物流走了3天多吧……清关一小时。然后春节休息可以理解。节后收到开始国内配送短信到收货走了四天多……国内比国外还慢……（本人非偏远，直辖市市区）。大哥990pro听了大概两三年了，相比大哥，小弟的声场和解析有很大差距，但是人声靠前了，声音不刺了。然后跟同价位的飞利浦l2bo相比，l2比990pro用得久，开始一耳朵240不如l2。l2声音更明亮，声场更大，可能是因为半开放和封闭式的差别。细听240声音更成熟，更佳耐听。细细对比，l2是带有音染的，声音更加鲜活。240是中正的，确实是监听用途。解析力两者不相上下。 最后 佩戴（舒适度）：990＞l2＞240 便携性：l2≈240》990 物流……唉都是泪，想给三星往下，耳机加分吧</t>
  </si>
  <si>
    <t>音 硬盘空间读写还行，就是立着的话，东西有点松，会有敲击声，横着放就不会，算是噪音里面吧，除了这个其他的方面都还行</t>
  </si>
  <si>
    <t>偏大 尺码有点偏大，比平时穿的小一码可以了</t>
  </si>
  <si>
    <t>还行 偏硬</t>
  </si>
  <si>
    <t>价廉物美，简洁适用 很满意，选择这款主要觉得杯子1.5 升，重量轻些，转速适中，综合优化好</t>
  </si>
  <si>
    <t>很好的鞋子 非常喜欢，穿着舒适</t>
  </si>
  <si>
    <t>舒适百搭 舒适百搭的小白鞋</t>
  </si>
  <si>
    <t>很舒服嗯牛仔裤 裁剪挺不错，赶上活动性价比很高！细节做工好，显瘦。</t>
  </si>
  <si>
    <t>东西不错，价廉物美是正品。 东西不错，价廉物美是正品，比国内的便宜，脚感有点硬，毕竟价格便宜。</t>
  </si>
  <si>
    <t>不错！ 东西很新鲜，而且味道还不错，希望有增肌效果</t>
  </si>
  <si>
    <t>外形非常好 耳机外观做工非常好，耳罩舒适度在同价位皮质耳罩中难找到更好的。 声音一般，觉得什么方面都还行，又是一点味道没有。</t>
  </si>
  <si>
    <t>颜值高 直接送人的。没看到东西。说的是颜值hen gao q</t>
  </si>
  <si>
    <t>保温好 保温效果太好了，试了下，100度开水个小时后泡普洱茶完全没问题。</t>
  </si>
  <si>
    <t>不错的商品 没有包装 就一个简易的塑料袋包着 有价签。穿着还可以 是埃及产的。</t>
  </si>
  <si>
    <t>很好 大容量，夫复何求</t>
  </si>
  <si>
    <t>性价比最高的好物 喜欢，性价比超高。买一次用三年。</t>
  </si>
  <si>
    <t>会回购 这一款是中腰的，我180-81买的大码正好。东西很好马上给我朋友也买了六条</t>
  </si>
  <si>
    <t>品质很好 中国生产的！质量非常好！国外卖的大多也是中国生产的。</t>
  </si>
  <si>
    <t>一次愉快的购物 鞋码和国内鞋码基本一致，中国产的，做工很好，比一些**国做工精细，搞活动时623元买的，感觉很划算，鞋底、鞋面有点偏硬，其他很好。</t>
  </si>
  <si>
    <t>喜欢 一如既往的喜欢Ecco的鞋子</t>
  </si>
  <si>
    <t>轻便舒适 鞋子很轻，鞋底软软的，穿着舒服的，made in China 也没什么不好(o^^o)码数选的稍大了一点</t>
  </si>
  <si>
    <t>good 送货速度挺快，质量也还好</t>
  </si>
  <si>
    <t>很快送达 速度很快，20号下单，25号到手。送了胶囊咖啡，日期也算新鲜。噪音有点大，尚在可接受范围。比想象中小巧。很满意</t>
  </si>
  <si>
    <t>轻便 轻便的通勤包，容纳性强</t>
  </si>
  <si>
    <t>建议亚马逊海外购增加“7天保价”增值服务 建议亚马逊海外购增加“7天保价”增值服务。 都买后一周内降价。 165cm，68kg，购买小号合适。 唯一遗憾：衣袖偏长。</t>
  </si>
  <si>
    <t>不错的！！ 有点儿薄！还是不错的！！</t>
  </si>
  <si>
    <t>尺码 以为尺码刚好，没想到大很多，然后有一点瑕疵，其他的还行，220的脚，买3.5就差不多了，结果买了4，不方便退，然后物流等了大概二十天吧……</t>
  </si>
  <si>
    <t>腰太大 一般质量，腰大了好多。162，97斤。</t>
  </si>
  <si>
    <t>为什么我喝了会上火喉咙充血？ 很奇怪，喝了就会上火，喉咙充血，搞了一个多月，什么原因？</t>
  </si>
  <si>
    <t>… 首先。贴纸被损坏成这样。我不知道是不是二次销售的产品。只凭肉眼无法确定。而且。客服也没有一个合理的解释。最后。售后是真的麻烦。估计以后不会来了</t>
  </si>
  <si>
    <t>拿到手就看到奶瓶残留有奶粉的痕迹 差评，一起买的另外一个包装里都还有干燥剂，这个没有。而且好脏，像用过的，残留有奶粉的痕迹</t>
  </si>
  <si>
    <t>颜色偏差大 颜色和图片偏差大</t>
  </si>
  <si>
    <t>还行 按照偏大一码选的 真的偏大诶 棉质还不错 感觉lee海外定位比国内低一些 质量款式都差一点 不过价格也便宜一些</t>
  </si>
  <si>
    <t>保修怎么做怎么做好吧 保修怎么做怎么做好吧……</t>
  </si>
  <si>
    <t>监听不好伺候 超值是真的，不够监听箱对环境要求有点高，而且买大了6.5太大</t>
  </si>
  <si>
    <t>可以 比在德国买的略差</t>
  </si>
  <si>
    <t>鞋垫硬 鞋子不够舒服，鞋垫不够软</t>
  </si>
  <si>
    <t>便宜，合算 不仅仅10个刀片，还有一个刀架：比国内的包装漂亮，刀架沉重，很有质感</t>
  </si>
  <si>
    <t>比较厚实，宽松 东东是wrangler的正品，属于宽松型的，瘦腿的人就不要买了，会显得比较空洞，第一次洗的时候会有一些掉色，后面就好了，还有就是比较厚，夏季穿估计会比较热，建议冬季穿比较合适。</t>
  </si>
  <si>
    <t>柔软舒适 柔软舒适，大小适中，老公很喜欢</t>
  </si>
  <si>
    <t>超值 收到货看了以后扔了的心都有 但是穿上感觉很好 高弹 很舒服价格不到二百很划算</t>
  </si>
  <si>
    <t>质量 收到货了，质量不错。</t>
  </si>
  <si>
    <t>不错 穿起来很舒服，比预计送达快了很多</t>
  </si>
  <si>
    <t>on乳清蛋白 黑五买的，漂洋过海半个月终于到了，物美价廉，没有破损，比国内二级代理商还便宜，赞！至于质量，还没吃，等吃了再说</t>
  </si>
  <si>
    <t>低调 minde in chaina!知道这样在*东上出手了，没中文说明书，在网上一个一个找的！挺好看的我感觉！</t>
  </si>
  <si>
    <t>很棒 很好</t>
  </si>
  <si>
    <t>尺码 好舒服，太靠谱了，比以前买的打底裤都好</t>
  </si>
  <si>
    <t>很好 含氟防蛀，一直在用。</t>
  </si>
  <si>
    <t>质量不错 稍微小一点，老公身高184 体重168 骨架小，选的xl</t>
  </si>
  <si>
    <t>好用！ 这牌子很好用，又薄，</t>
  </si>
  <si>
    <t>好评！摇滚迷必备！ 马勺摇滚迷必备！外形复古！降噪稍差！听的时间长了稍有夹耳！其他完美！送货速度也很快！德亚买的一周左右就到了！</t>
  </si>
  <si>
    <t>一般性，当消耗品 便宜，没什么特别，还没穿</t>
  </si>
  <si>
    <t>很好的购物体验 国内没有货了，客服给我打电话说是从日本直接邮寄到上海，我以为会时间比较长，结果两三天就到了，东西很好，小朋友很喜欢，👍</t>
  </si>
  <si>
    <t>wmf果昔机 花了8天就收到，好快，试用了下，感觉不错，可能选纤维少的水果更合适，我榨了橙汁，感觉渣会稍多，不过还比较满意。</t>
  </si>
  <si>
    <t>不错，喜欢 有型，喜欢</t>
  </si>
  <si>
    <t>尺码准确 尺寸和国内的衣服一样</t>
  </si>
  <si>
    <t>超过我的期望 一直想买一对音箱放在书桌上，闲下来的时候可以安静的听听音乐。 现实购买了E4.5，放在书桌笔记本电脑两旁，显得略大，但声音还是不错的。又买了宝华的MM-1，尺寸小巧，网上评测比较好。但对比下来，还是E4.5的低音厚实些，中高音也不错，声音更通透。MM-1的低音沉不下来。犹豫了几天，干脆两套都摆上，再听上一阵子再决定。</t>
  </si>
  <si>
    <t>名不副实 佩戴舒适，比我的STUDIO PRO舒服多了。低音下沉明显不够，整体素质还不如好多千元以下的耳机。</t>
  </si>
  <si>
    <t>手表情况 手表背面有划痕 手表是个儿童表 功能不错。</t>
  </si>
  <si>
    <t>有点小瑕疵，不影响 左脚鞋垫被折了，复不了原了，退货的话，太麻烦。</t>
  </si>
  <si>
    <t>号码合适，用料和做工一般。 低腰牛仔裤腰30，85cm用中间的孔正好。</t>
  </si>
  <si>
    <t>买了就降？ 买了就降价，现在才157，没有价格补偿吗，三天两头变价格。 再说说耳机吧，更用了十年的mx360对比了下，感觉没啥进步啊。</t>
  </si>
  <si>
    <t>海外购-美国，虚假发货 收到什么东西大家看图片。虽然亚马逊客服处理速度上还是很快的，当天就退款了，并承诺原价购买机会；但是也没有货了，承诺原价购入形同虚设，所以这样的处理结果并不是很满意。但是从这事件上看，这个是非常可怕的事情，美国亚马逊发货仓库有内鬼啊！在这里评论并发图片，是希望亚马逊好好彻查此事，严查美国仓库内鬼。</t>
  </si>
  <si>
    <t>做工一般，产地中国 包装有点差，鞋盒已经变形，还好鞋子没事，价格优惠，做工一般。</t>
  </si>
  <si>
    <t>尺码过大 尺码过大，这明显是美版的尺码。</t>
  </si>
  <si>
    <t>又是漏发，只能退款 跟之前那位买家一样，拍的两瓶装，只发来一瓶，然后不可以补发，只能退款。“海外购"这么久，第一次出现这种情况，而且是有前车之鉴的情形下，再次发生漏发，难道是美国的“亚马逊"工作人员没有责任心么？作为一名“亚马逊"资深客户，希望能得到及时改进！</t>
  </si>
  <si>
    <t>水箱有点小 还不错，就是水箱有点小了</t>
  </si>
  <si>
    <t>不错，虽然鞋子丑了点！ 同学一直说爱步的鞋舒服，穿了之后其他鞋就不想穿了，看这鞋活动，就果断下手了！到手六百出头点！拿回来老公试了一下，说脚感不错，留着过年穿！</t>
  </si>
  <si>
    <t>太值了！ 居然产地是德国！！耳罩大，中空部分直径有7CM，终于能包住我的大耳朵了！，250欧其实也没想象的难推。这价位无敌了，就是外观不好看</t>
  </si>
  <si>
    <t>活动时入手，性价比超高 德亚活动价入手，价格实惠，速度很快，性能不错。</t>
  </si>
  <si>
    <t>不错不错 本人173.5/68KG，这个尺寸刚刚刚刚好，简单比定制的还合适。颜色也和想像中一样，厚度也正好，应该是有史以来网购衣服最成功的一次。</t>
  </si>
  <si>
    <t>还可以 线特别细，冬天用有点硬。听诊器效果比较重。音质包括其他方面都不错，特别是送了一堆很赞的耳塞</t>
  </si>
  <si>
    <t>已经闲置 真的收的很好而且不是那么勒得慌，但是影响肠道蠕动，就是影响便便，已经没带了，sad。</t>
  </si>
  <si>
    <t>M 尖写字、练字都很舒服，原配墨水流利顺畅 M 尖写起字来很舒服，没有费力的感觉。出墨流利、顺畅。 原装水性墨水，字迹遇水就变花，当然如果不小心弄在手上也很容易清洗。</t>
  </si>
  <si>
    <t>非常合身 第一次购买这个品牌的皮带，本人腰围33英尺 ，选择长度90厘米的，收到试用后，刚刚好扎在中间的第三个孔，很合身，当然，95厘米应该也是可以用的。正如之前有人提示的那样，90厘米指的是不含皮带头的长度，仅仅是皮带的长度。希望给后来者参考。</t>
  </si>
  <si>
    <t>弹性，厚实，留着过冬 裤子还行，厚了，只能留在冬天穿了</t>
  </si>
  <si>
    <t>咖啡的最佳体现者 香味浓郁，应该是把咖啡的內在品质都激发出来了。</t>
  </si>
  <si>
    <t>不错 170，70kg,合适，布料很厚，实在</t>
  </si>
  <si>
    <t>不错，挺好的，大小合适。 不错，挺好的，大小合适。</t>
  </si>
  <si>
    <t>最慢的一次海外购 这个刷头买过多次，德国造，德国亚马逊直邮，但创造了最慢的记录。</t>
  </si>
  <si>
    <t>蜘蛛侠 &lt;div id="video-block-R1CMCR1N27AVBX" class="a-section a-spacing-small a-spacing-top-mini video-block"&gt;&lt;/div&gt;&lt;input type="hidden" name="" value="https://images-cn.ssl-images-amazon.com/images/I/812P6loAY-S.mp4" class="video-url"&gt;&lt;input type="hidden" name="" value="https://images-cn.ssl-images-amazon.com/images/I/71Xoq4MQAkS.png" class="video-slate-img-url"&gt;&amp;nbsp;我是一个蜘蛛侠</t>
  </si>
  <si>
    <t>尺寸标准，裤腿略肥大 面料舒服，休闲裤，略肥，适合中年男士</t>
  </si>
  <si>
    <t>抓绒卫衣 还不错，就是挺薄的，春夏穿比较好</t>
  </si>
  <si>
    <t>质量杠杠的，虽然是国内产的 质量杠杆的，虽然是国内产的外销货</t>
  </si>
  <si>
    <t>古典流行都可以 990在这个价位的时候犹豫了，就错过去了。好在同属一个系列，只是一个封闭，一个开放而已。拿到手用手机试听了下，还可以。回家接在调音台上试听了交响、小提琴奏鸣曲、大提琴和弦乐四重奏。除了弦乐四重奏外，表现还可以。听了下流行歌（发烧级的）感觉也还播得不错。试听基本没物理问题，外观似乎是全新的。不需要退货或换货了。就插在收音机上慢慢煲吧。封闭式耳机的好处就是煲机时，两只耳朵面对面，声泄露不太明显。慢慢煲吧。整体感觉如多数所说，适合交响乐等大型复杂织体的音乐，因其频响宽、动态比较好。解析度也很好。至于包装，环保一点还是比较好，反正盒子没用的。。。。</t>
  </si>
  <si>
    <t>购物体验很好 做工材质一流，颜色也是我喜欢的。</t>
  </si>
  <si>
    <t>舒适 超级舒服，不追求挺拔形象的都强烈推荐。夏天如果穿比较透的衣服就不必担心了。以后就买这样的内衣了</t>
  </si>
  <si>
    <t>商品质量挺好的 速度也很快 的确是英版的 速度很快 质量也很好 感觉下次降价还会再买的 的确用电动牙刷 感觉牙齿都白了点</t>
  </si>
  <si>
    <t>很好 质量很好，穿着很舒服</t>
  </si>
  <si>
    <t>包装太坑 外包装就两片硬纸片…湿了都碎成渣了。</t>
  </si>
  <si>
    <t>面料很一般 海外购凑单购入，感觉一般般</t>
  </si>
  <si>
    <t>对亚马逊很失望 做工一般，材质一般，掉色，看着不像正品。</t>
  </si>
  <si>
    <t>下水补偿，写不出字。 不要买，下水不畅，经常断写不出字。已找客服。这是老款小尖的。</t>
  </si>
  <si>
    <t>失望 别人穿过的，折痕明显，鞋垫标记都磨的模糊缺失了，很失望，图片上传怎么不可以呢，里面就两只鞋子，什么包装也不带</t>
  </si>
  <si>
    <t>容量 实际容量只有5.45tb，比我预期的要少。不过看在价格的份上还可以接受。</t>
  </si>
  <si>
    <t>尺码偏小。 鞋子很好看，也很轻便，但尺码过小。孩子穿不了。转让！</t>
  </si>
  <si>
    <t>还不错 款式和舒适度都不错，质量一般，两周左右袖口出现线头。买的是s码，本人179偏瘦，合身，衣袖偏长。</t>
  </si>
  <si>
    <t>也还行吧 这款也是无钢圈的 但是舒适度没有wacoal这款好…</t>
  </si>
  <si>
    <t>水箱太小，功能还可以。 水箱有点小，需要中间加水一次。冲力不大，最大力量比松下的那种可以收缩便携式的还小。充电方式比较酷炫，磁吸在上面。总体较满意，符合预期。</t>
  </si>
  <si>
    <t>红色的 刚发现把手处掉了一大块瓷</t>
  </si>
  <si>
    <t>好 非常好穿着非常舒服很好</t>
  </si>
  <si>
    <t>值得拥有 产品质量很好，音质很好。对于工薪阶层来说，有点贵。</t>
  </si>
  <si>
    <t>很棒的钢笔 还没有用，颜值一流，看着就比较喜欢</t>
  </si>
  <si>
    <t>钱包，生活用品 发货速度很快，质量有待考量</t>
  </si>
  <si>
    <t>质量很赞！ 买大了不过也能穿</t>
  </si>
  <si>
    <t>平时一直吃 至少我膝盖以前有问题，吃了之后有所好转，但不能确定是否是这个起作用，但平时还是坚持会去吃</t>
  </si>
  <si>
    <t>很好很强大 除了橙色logo不喜欢，音质比xm2好很多，降噪区别不大，商场的大嗓门人声还是过滤不掉，总之比qc35II，大馒头都要好，索尼大法好！</t>
  </si>
  <si>
    <t>满意的购物 价格很合适，东西靠谱，挺满意的</t>
  </si>
  <si>
    <t>喜欢 做工质量都很好，包装也很好。</t>
  </si>
  <si>
    <t>喜欢 按自己牛仔裤腰选尺码合适 我平时3132的W 这皮带32的刚好</t>
  </si>
  <si>
    <t>舒适。 穿起来一点儿都不拘束，面料含棉，即舒适又收拢，非常满意！</t>
  </si>
  <si>
    <t>好 与预想的一样，估计是正品</t>
  </si>
  <si>
    <t>很好 媳妇很满意</t>
  </si>
  <si>
    <t>推荐 真的非常不错，有弹性，舒服，质量好</t>
  </si>
  <si>
    <t>会回购 扫描过是正品，比预期提前了一个星期，很满意</t>
  </si>
  <si>
    <t>宽松式 身高170体重72kg 有点宽松</t>
  </si>
  <si>
    <t>不错 比较硬，厚</t>
  </si>
  <si>
    <t>漂亮 鞋子非常好看，穿起来很舒适！</t>
  </si>
  <si>
    <t>用了半年了，还不错，只是相信亚马逊的质量保证 用了半年了，还不错，只是相信亚马逊的质量保证</t>
  </si>
  <si>
    <t>尺寸偏大，但是穿着舒服 这个裤子偏大，建议买的时候要买小1或2个号，不过穿着很舒服</t>
  </si>
  <si>
    <t>实物和图片绝对不是一样的感觉。 刚拿货时还蛮兴奋的，因为包装很正规，但打开一看却太让我失望了，总结起来给我的感觉就是——“玩具表”！表盘很小，塑料感太强了！</t>
  </si>
  <si>
    <t>不修身 还是肥大，比国内的修身版肥很多。牛仔裤32/32很合适，这个就又肥又长。</t>
  </si>
  <si>
    <t>一般 爱步的鞋子让人又爱又恨，鞋子确实很轻，踩地感也舒服，但是这款鞋子瘦啊，脚宽者就不要考虑了，夹脚.说一下尺码本人尺码，本人裸脚27.3cm，这款选uk9，长度够了，就是卡脚，窄</t>
  </si>
  <si>
    <t>一般吧 太长了，质量一般，手感不细腻</t>
  </si>
  <si>
    <t>浪费了我的奶！ 居然冻不住奶！！！！换了别的储奶袋一切正常…</t>
  </si>
  <si>
    <t>不符 要么是假的，要么就是非常次的次品。</t>
  </si>
  <si>
    <t>口味比较淡 糖的口味比较淡，不是特别甜，还算适合小朋友吃</t>
  </si>
  <si>
    <t>耳机偏音 耳机素质不错 听诊器效应也是存在的但只要夹好就行了 唯一的遗憾是耳机偏音 试验过了确实不是耳朵或者音乐设备的问题 日亚感觉退货不会很方便吗 自己把声音调一下凑活了</t>
  </si>
  <si>
    <t>越南 越南产的真心不行，和孟加拉的不一个级别</t>
  </si>
  <si>
    <t>一般 鞋子 396入手的，44码 。鞋子鞋底舒适度有点差，透气一般。</t>
  </si>
  <si>
    <t>好 很好的裤子</t>
  </si>
  <si>
    <t>送人可以的 用后可以水冲洗，非常的方便，声音小，刮着也干净，就是感觉去年买的那个劲不大了</t>
  </si>
  <si>
    <t>好 very good, 能壓2種面条，一種大概7毫米寬，一種細如掛面。海外購的包裝膠帶總有損壞，為什麼運輸如此惡劣，叫我怎麼辦？拒收損失運費</t>
  </si>
  <si>
    <t>隔音垫 效果不错，能感觉出来</t>
  </si>
  <si>
    <t>便宜 非常棒的裤子，用完美来形容！价格也超级便宜，值得拥有</t>
  </si>
  <si>
    <t>囤货 西门子洗碗机用</t>
  </si>
  <si>
    <t>真的很不错 本来也就是买来玩玩的，不过真戴着的时候却觉得真的很不错 走时很准，一个多月了好像误差也没超过10秒吧 防水性能不错，平时洗碗洗手沾到水都没有问题 这个价钱来说，确实是很好的一款手表了</t>
  </si>
  <si>
    <t>很漂亮 知道偏大所以买小了一码，果然很合适</t>
  </si>
  <si>
    <t>凉快舒适 就是压胸，没有聚拢功能，但是凉快，肩带很舒服，不会掉，买了几件一个夏天都穿。适合居家穿着</t>
  </si>
  <si>
    <t>跟国内的款式一样的 选择的是普通的运送，大概13天到手，壳子稍微有一点变形，不够不严重，就是没有进行加固 鞋子的感觉和国内是一样，ecco的尺码还是很准的，看欧码就行了</t>
  </si>
  <si>
    <t>啦啦啦啦 衣服质感不错</t>
  </si>
  <si>
    <t>大小合适 大小刚刚好，运动鞋穿37.5的，这个买了6US刚好，就是脚背这儿有点紧，整体非常满意(≧▽≦)</t>
  </si>
  <si>
    <t>裤子大小合适。颜色不错。坐过比较细。 裤子大小合适。颜色不错。坐过比较细。</t>
  </si>
  <si>
    <t>保暖性非常好 衣服很轻很薄但是很暖和，这是第二件鸟家的atom lt，一如既往的好品质</t>
  </si>
  <si>
    <t>值得入手！！！ 鞋子刚到，马上迫不及待的拿出来试了试，平时运动鞋穿44的，买的9.5M刚刚好。鞋子很舒服，很有型，就是到货时间略长，可能要半个月左右。</t>
  </si>
  <si>
    <t>Very good. Delivery is fast. Very good. Delivery is fast.</t>
  </si>
  <si>
    <t>刚刚好 关注很久，一直纠结选s码还是m码，本人170，75公斤，最后选的S码。只有后腰感觉稍微短点，其它袖长，肚子都正好（袖子略肥）</t>
  </si>
  <si>
    <t>鞋型 穿着很舒服，很轻，大小很标准很合脚。</t>
  </si>
  <si>
    <t>蛮好的 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</si>
  <si>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很好 一次买了两套，一套黑一套白。我只是为了护理牙齿，帮助清洁普通牙刷不易清洁的角落，给家人是为了帮他清理常年喝茶的牙垢。三周时间，white功能确实帮助了他改善了牙齿状态。</t>
  </si>
  <si>
    <t>走心的评论 比下单时预计的收货时间早了八天，12.31号早上收到的，非常惊喜。包装没有加固，这个外面只有一个快递袋(可能是国内顺丰转运时拿掉了加固)，鞋盒几乎完好无损没有，只有一点点磕碰痕迹，打开鞋盒后，两只鞋子分开用包装纸包裹了起来，这一点很好。产地老挝，型号款式颜色，参考我第一张图片。整体做工走线很平整，油皮皮质比较细腻，摸起来比较软，有一些颗粒感(不是磨砂皮)。鞋底，dr.martens一如既往的软，按下去很有弹性，没有廉价胶水和橡胶的味道。 美中不足的是码数偏大，平时运动鞋44码，红翼，Timberland，cat都是43码，结果这一双43还显得大。鞋垫是被粘在鞋底上的，粘上的！粘上的！你让我以后怎么换鞋垫！！摸了一下，鞋垫是牛皮的，一股让人舒适的头层皮味道，没有劣质胶水的味道。 现在自己额外垫了一双真皮的薄鞋垫，延长一下他原厂鞋垫的寿命，顺便解决了码数偏大的问题。 总体非常棒！！！ 顺带一提女朋友的海军蓝色还没到货，接着等</t>
  </si>
  <si>
    <t>很好，腿保暖 买小一号后正合适，衣服下摆比较长，我160已经到脚腕了，腰部修身显瘦，腰以下比较宽松，还是得穿高跟鞋，衣服还不错，稍微有点沉。</t>
  </si>
  <si>
    <t>不好 设计很合理，但是装热水有味道，不敢给宝宝用。一直相信这个牌子，这次失望了</t>
  </si>
  <si>
    <t>真的假的？求解惑 在美亚买过一次，又在中亚海外购买了一瓶，突然发现两瓶的保质期打印方式截然不同，盖子也完全不一样，什么鬼？</t>
  </si>
  <si>
    <t>快到期 12月到期，郁闷，共买了4并，来不及呀😱</t>
  </si>
  <si>
    <t>已报废 2015年11月19日下单，2017年2月报废，无语。</t>
  </si>
  <si>
    <t>质量 质量不行，都烂了</t>
  </si>
  <si>
    <t>给出的尺寸对照码根本就不对！！！根据那个买的大的就穿不了！ 给出的尺寸对照码根本就不对！！！根据那个买的大的就穿不了！退货还得钱。慎重考虑！</t>
  </si>
  <si>
    <t>就不能放点保护用的填充物吗？ 美国人不知道是缺心眼儿还是对自己产品坚固程度特别放心，产品放在那么大一个快递盒里，也没有任何泡沫或者填充物，就这么从美国一路咣当到中国？就不怕磁盘晃出问题？打开连上是能用，但不敢保证有没有功能损坏。  买来才发现不支持mac系统自动备份，反正还是有点小失望的。</t>
  </si>
  <si>
    <t>无法分辨是否是正品 还行，东西寄过来，只有如风达的包装，根本不能辨别是否从国外寄来的，盒子里也没有任何辨识物可以证明是否是正品！我实事求是的说这些话！</t>
  </si>
  <si>
    <t>第一次海外购 第一次海外购，知道美版衣服都大些。同时买了同一品牌，S和M两个号码，就是想试试。S的打底衫先到了。本人174ＣＭ，７４ＫＧ，胸围９８CM。穿在身上严丝合缝，一点不富裕，也不觉得紧。作为打底衫应该说可以。但要是再肥一点就更好了。衣服质感不错，不是那种特别薄的，穿在身上挺舒服。还买了一件外穿的短袖T恤，M的，还没到货。到了再试下。希望对大家有帮助。</t>
  </si>
  <si>
    <t>外观亮，鞋底硬，价格实惠 外观时尚颜色骚气，做工需加强（前脚尖处有溢胶），穿在脚上包裹性好，试跑前面几公里鞋底较硬，跑到十多公里脚感柔软，还需继续磨合</t>
  </si>
  <si>
    <t>还可以 传说中的神器，看了很久还是买了。主要是我已经摔坏了好几个贝亲的奶瓶，看这奶瓶不怕打碎就买了，时间不算长一个礼拜左右收到了。至于是不是正品就不知道，第一次海淘了。收到时味道有一点点，开水煮了后就没有了，自己另外配了个手柄不然不好握</t>
  </si>
  <si>
    <t>不错的包包 皮料比较软，价格还算实惠，意大利产的。日常用不错</t>
  </si>
  <si>
    <t>质量很好 第一次海外购，比某宝便宜得太多了，虽然在快递时效上慢了一下，但是在价格方面绝对的占领的优势，这个价格，在某宝上也只能买到一个，不过比较觉得可惜的是，套装也只能是一样子的颜色，没得选。收到奶瓶打开看了，质量也是绝对没得说，摸上去也超舒服的，很赞，以后确实会优先考虑海外购的。</t>
  </si>
  <si>
    <t>宝贝不错 买了好多，宝宝还没用上，但是感觉还不错</t>
  </si>
  <si>
    <t>很好很好很好很好很好的 很好很好很好很好很好很好</t>
  </si>
  <si>
    <t>益生菌 还可以，比淘宝便宜。</t>
  </si>
  <si>
    <t>刷头有软有弹性 真的很好用，之前一直使用小刷头，这个大的很软，刷起来很爽。</t>
  </si>
  <si>
    <t>好 很大，很能装，保温就一般般</t>
  </si>
  <si>
    <t>衣服不错！ 157高，88斤，L可以穿，略宽松，但不是肥大，严格得来说不算oversize款，更像休闲款。肩部不是垮肩型，衣长可以遮上半臀。跟我差不多高，想修身些可以选m。颜色属于米白色，正是我想要的！</t>
  </si>
  <si>
    <t>CK slim 面料不错，有弹性，修身版，略紧</t>
  </si>
  <si>
    <t>挺好的 不错，喜欢这种小窄边的CK</t>
  </si>
  <si>
    <t>身高170cm，体重56kg，M很合适，供参考！ 下单前看了评价，参考大多建议买了M码，周二下单，周六收货，日亚包装严谨，衣服质感做工都不错，上身尺码正合适，本人身高170cm，体重56kg，身材偏瘦，骨架稍大，肩膀和袖子正正好，帽衫的宽松度也不错，供参考！</t>
  </si>
  <si>
    <t>不错 这款衣服是欧美款式很宽松，很舒服我觉得不错</t>
  </si>
  <si>
    <t>合身，材质也很不错。 正品，材质很好也很合身。 唯一不足货运物流太不靠谱，拖延了好几天。</t>
  </si>
  <si>
    <t>同事推荐的 终于收到我需要的宝贝了，东西很好，价美物廉，谢谢掌柜的！说实在，这是我淘宝购物来让我最满意的一次购物。无论是掌柜的态度还是对物品，我都非常满意的。掌柜态度很专业热情，有问必答，回复也很快，我问了不少问题，他都不觉得烦，都会认真回答我，这点我向掌柜表示由衷的敬意，这样的好掌柜可不多。再说宝贝，正是我需要的，收到的时候包装完整，打开后让我惊喜的是，宝贝比我想象中的还要好！不得不得竖起大拇指。下次需要的时候我还会再来的，到时候麻烦掌柜给个优惠哦！</t>
  </si>
  <si>
    <t>尺码 有点重~</t>
  </si>
  <si>
    <t>做工超出预料，鞋码大小刚好 六天送达，神速。盒子有些破损，鞋子做工很好，皮质细腻柔软，42码正合适，鞋底略硬，脚感还是不错的，总之超过预料，另外一双还在路上，希望能有惊喜。</t>
  </si>
  <si>
    <t>好品牌 很好！经济实惠，多次购买了。</t>
  </si>
  <si>
    <t>质量很好，略大 nike airforce44码，这个44码内长长了点，不影响穿。质量很好，比国内便宜太多，零头。</t>
  </si>
  <si>
    <t>不错 东西不错性价比非常好 就是快递.？？？一共等了将近20天</t>
  </si>
  <si>
    <t>很不错 非常不错的奶瓶，到手146，国内一个都买不到。</t>
  </si>
  <si>
    <t>质地很好，准备再买一件 质地很好，准备再买一件</t>
  </si>
  <si>
    <t>耶 我170cm 63kg 穿M号很合身 脖子处有点紧</t>
  </si>
  <si>
    <t>郁闷 出水不畅，但是没法退换，实在郁闷！</t>
  </si>
  <si>
    <t>合子不密封的吗？太奇葩了 没有密封，罐子外面全是粉</t>
  </si>
  <si>
    <t>硬 面料太硬，实在是太硬了</t>
  </si>
  <si>
    <t>一般般 由于已经用过日本的很多品牌，所以这支笔到手后没有感觉特别惊艳，不过是墨西哥产的笔还是很少见，平常随便写写感觉一支可以用很久~</t>
  </si>
  <si>
    <t>一点都不好 穿上就烂了 2双都是 秒烂啊 还不如地摊货 而且还拉丝也是醉了</t>
  </si>
  <si>
    <t>实际产品和描述的不一致 店家也没有送储奶袋 和客服联系之后也没有最终答复 而且 这个产品拍了两次才送货 现在才四个月 还在囤货中</t>
  </si>
  <si>
    <t>1000以内秒杀大部分耳机 低频量足，但是点到即止，绝不拖泥带水，优点是听感很清新，不浑浊，缺点是缺少了些气势。中频缺少弱了一些，想听温暖的大叔声音的还是绕道吧。</t>
  </si>
  <si>
    <t>鞋子是好的 鞋子是好鞋，而且颜色比照片要好看很多，但是亚马逊的海外购可能都有瑕疵，我这双鞋就有几个线没有穿好，虽然不影响穿着，但是影响心情，最后和客服沟通一下赔我一百块钱。</t>
  </si>
  <si>
    <t>码数稍有些长，暖和舒适 平时穿S码，买的M-L稍稍有些长，脚踝处会有些松弛，内里带绒毛，在白天六七度的冬天个人觉得暖和度也够，整体而言柔软舒适</t>
  </si>
  <si>
    <t>马马虎虎 比预计提前了三天，比美亚价格低了很多，左脚的鞋底处有几个小洞，不是很满意，不影响穿着，就这样算了</t>
  </si>
  <si>
    <t>质量不错 不错吧，送给老爸的 质量不错。</t>
  </si>
  <si>
    <t>质量非常好 质量非常好 不会担心坏掉 宝宝很喜欢用这个喝奶 宽口径清洗起来也特别方便</t>
  </si>
  <si>
    <t>看起来不错 囤货的，还没用起来呢，看起来不错</t>
  </si>
  <si>
    <t>喜欢，穿着舒适，还会再次购买 喜欢，穿着舒适，还会再次购买</t>
  </si>
  <si>
    <t>值得买 喜欢，轻便，喝水舒服</t>
  </si>
  <si>
    <t>很好看，很舒服！ 28.5cm的脚，平时都买us10.5鞋码 的。 ecco的鞋码偏大， 这次买的10-10.5， 穿起来正好， 鞋子非常舒服，好看！ 比国内价格划算太多太多了。。。</t>
  </si>
  <si>
    <t>非常喜欢的鞋 非常合适，穿着很轻，很舒服。</t>
  </si>
  <si>
    <t>衣服版型偏长 衣服版型偏长</t>
  </si>
  <si>
    <t>正品虎牌保温杯 正品虎牌梦重力保温杯，颜色很好看！</t>
  </si>
  <si>
    <t>很好物流快东西包装好 很不错 儿子用的很好！</t>
  </si>
  <si>
    <t>适用 用来打各种奶昔，胡萝卜奶昔，草莓奶昔，香蕉奶昔，便于携带。很好</t>
  </si>
  <si>
    <t>不错 优点:便宜，实惠 缺点:略丑，号大</t>
  </si>
  <si>
    <t>舒适 穿着很舒服，合体</t>
  </si>
  <si>
    <t>把手不是橡胶的，和大湿杯不一样手感 看着还行，没有随机带的大湿杯的做工好，但大湿杯太大了，买个小点的湿杯搅肉馅用～</t>
  </si>
  <si>
    <t>颜色美丽 各方面都很完美，价格也很好！很爱霹雳马！</t>
  </si>
  <si>
    <t>买来给家人用来储存数据的，使用很好！ 容量大，买来家人使用的！</t>
  </si>
  <si>
    <t>一分钱一分货 WMF的品质就是好，一分钱一分货，很满意！</t>
  </si>
  <si>
    <t>非常满意！ 很满意的一次购物，质量非常好</t>
  </si>
  <si>
    <t>推荐购买 在pe下拷贝速度大概80，速度还可以。外形比图片好看，比较精致。就是插头有明显的蜂鸣声，不知道是否是个例。最后希望寿命长点，海外购保修是个问题。</t>
  </si>
  <si>
    <t>买过 尺码偏大，我身高176，在国内一般买180/96A的衣服，本次买的XL，尺寸偏大，感觉175也就是L的就应该合适</t>
  </si>
  <si>
    <t>性价比高 牙刷头小巧方便刷牙齿不容易刷到小角的小脚落，相信海外购博朗的品质！</t>
  </si>
  <si>
    <t>一点也不保温 一点也不保温，不像真的</t>
  </si>
  <si>
    <t>面料一般，价格便宜 买个标和设计，面料估计也就穿一个夏天就洗的不成样子了</t>
  </si>
  <si>
    <t>请亚瑟士不要再用这款鞋垫了！ 对亚瑟士的好印象来自于那款2016的nimbus。  我惊讶于连续穿十多天不会臭，鞋子也好，脚也好，都没有臭！当然那是冬天，但我每天都穿着运动的，脚的汗量不会少，说明那款鞋子真的不错，尤其是鞋垫，做工印象深刻。  洗了多少次，韧性很好，磨损是有，踩得最严重的部位半年到一年的时间确实慢慢有了缺口，可是仍然不影响使用。  要不是使用频率太高，脚掌两边最终磨损破口，我是不舍得扔的。  对比我后来买的这两款，我一度怀疑买到了假货，后来看了一个评测，确实提出来亚瑟士新款鞋垫的批评——捂脚，透气性差，旅行穿着，晚上酒店脱了鞋，脚心都发白了，真心不懂亚瑟士为什么要使用这款鞋垫！就因为这款比2016款更不易磨损吗？我不喜欢！  而这一款鞋我是真的不喜欢，除了鞋垫透气性差，这款鞋子本身透气性也比不上之前买的两款。</t>
  </si>
  <si>
    <t>骗子 这些滤芯的生产日期在哪里</t>
  </si>
  <si>
    <t>不实用 哪里易清洗，鸡肋，不要买</t>
  </si>
  <si>
    <t>质量问题 有一只箱子在频响连继急促时会发出象板子松动的那种嗡嗡声，能保修或换吗</t>
  </si>
  <si>
    <t>适中 在tb上问过型号买的这个L码。正好。体重183，身高181。很暖和，挺喜欢，但是容易脏，而且因为里兜的问题不能反穿。</t>
  </si>
  <si>
    <t>170，75kg，比较合适，材质很舒服，袖子略长。 170，75kg，比较合适，材质很舒服，袖子略长。</t>
  </si>
  <si>
    <t>好 质量还行</t>
  </si>
  <si>
    <t>缺或过量补都会是问题，偶尔吃 吃了一段时间，除了小便黄，没啥感觉。准备停段时间再吃点。每人身体素质不同，这么多种维生素并非每种都是自已身体所缺，而自身不缺的维生素你再吃下去，对身体也不好。缺或补过量都是问题。偶尔吃吃吧。</t>
  </si>
  <si>
    <t>25cm等于国内39-40 25cm等于国内39-40，我平时穿运动鞋38，买了25cm，明显大了，应该24是最合适的，不过当家居鞋大点无所谓。再次佩服日本的包装，虽然只是一个胶袋，但是还用保鲜纸固定，包装一级棒！</t>
  </si>
  <si>
    <t>很好 东西是好东西，就是物流太、太、太慢。</t>
  </si>
  <si>
    <t>没有 挺好 很有质感</t>
  </si>
  <si>
    <t>很好 老公说很好，让我多买两条</t>
  </si>
  <si>
    <t>很好 很好的保温杯，等女儿大点在用</t>
  </si>
  <si>
    <t>好用，便宜 以前从不去评价，不知道浪费了多少积分，现在知道积分可以换钱，就要好好评价了，后来我就把这段话复制走了，既能赚积分，还省事，走到哪复制到哪，直接发出就可以了，推荐给大家！！</t>
  </si>
  <si>
    <t>推荐购买 到货运输时间差不多两周，不算慢，使用起来方便，清洗也简单。重要的是搅拌细腻度，非常棒。从此在家就可以吃到经济实惠的果蔬汁了</t>
  </si>
  <si>
    <t>非常好 很舒服 非常好 很舒服 很好看 很喜欢</t>
  </si>
  <si>
    <t>周末打折的时候还是值这个价的 解析力，很好。 声场很开阔。声音很干净清澈 但是有些偏干 作为五寸的音箱低音，实在是有些不够。 高音又有些多。 感觉不是很耐听。</t>
  </si>
  <si>
    <t>很喜欢 棉质非常好，穿着很舒服，属于宽松款，应该属于正常尺码。我160高，120斤，穿L码正好，别买大了，估计穿穿还会反松。</t>
  </si>
  <si>
    <t>很喜欢 不错不错不错！很喜欢！到手就已经煎了一次牛排，不错哦。就是锅太烫</t>
  </si>
  <si>
    <t>水杯 喜欢，水杯重点很轻，便携</t>
  </si>
  <si>
    <t>不错 挺好的，物流也很快，孩子喜欢</t>
  </si>
  <si>
    <t>质量很好 尺寸很好，皮质也很好。</t>
  </si>
  <si>
    <t>很好 还没用，看上去棒棒哒</t>
  </si>
  <si>
    <t>合适 合适</t>
  </si>
  <si>
    <t>非常舒服 鞋底特别舒服，而且也不容易出汗</t>
  </si>
  <si>
    <t>版型好，面料舒服 超级酷的帽子，孩子很喜欢😘</t>
  </si>
  <si>
    <t>月嫂最喜欢用的奶瓶子 用了很多个牌子的奶瓶子，宝宝最喜欢用这个</t>
  </si>
  <si>
    <t>这个颜色超显白 身高177cm，70kg，穿small刚刚好。超喜欢这个颜色的款式</t>
  </si>
  <si>
    <t>还不错 很好，以前从不去评价，不知道浪费了多少积分，现在知道积分可以换钱，就要好好评价了</t>
  </si>
  <si>
    <t>很好值得购买 跟很多人评价的一样，妈妈裤，哈哈</t>
  </si>
  <si>
    <t>实在是太大了，180穿，肩膀宽了一大片 实在是太大了，180穿，肩膀宽了一大片，海外购可以退，但怎么发货回去是个问题，这个商品描述也不清楚，总体来说，体验不好</t>
  </si>
  <si>
    <t>同一单同样的两个商品还不一样，有点懵 一单买了两瓶，同样的到期时间，为什么盒底的字体还不一样呢？到底是不是正品呀？ 物流还算快，12月28日下单，1月5日收货</t>
  </si>
  <si>
    <t>一分钱一分货 一般般吧，要求不能太高。</t>
  </si>
  <si>
    <t>略大 略大一些，但是版型不错，质量也好</t>
  </si>
  <si>
    <t>UPS在中国服务极差 UPS的配送就是垃圾，货物进入中国后，在中国国内配送10多天，地址也找不到，Apex配送从来没有出现过这个问题，居然在配送记录中还好意思记录因为联系不上收货人。</t>
  </si>
  <si>
    <t>空气能开关 买了没有办法安装，空气能开关不知道怎么装，开关在什么地方说明书上都没有</t>
  </si>
  <si>
    <t>售后很差 用了十个月调节按钮坏了，反馈售后说找经销商，反馈经销商说转到售后，快一个月了也没答复</t>
  </si>
  <si>
    <t>本人 本人的需求。款式大方，衣料较为厚实，质量较好。</t>
  </si>
  <si>
    <t>尚可 还不错，没有想象中那么屌。</t>
  </si>
  <si>
    <t>可以 帮朋友买的，说不错，速度也快，可以，希望多点折扣</t>
  </si>
  <si>
    <t>比想象的大 厚实，镇店之宝时候买的商品价格80多，比较便宜，挺肥的运动裤。</t>
  </si>
  <si>
    <t>标准尺寸稍大 这款鞋做工质量挺好的，是泰国生产的，比正版的尺寸大半码，在网上订了一副后跟垫，希望能解决这个问题。</t>
  </si>
  <si>
    <t>舒适显瘦 衣服合身舒适，显瘦！挺好！</t>
  </si>
  <si>
    <t>值得拥有 鞋子是我想要的款式，厚重结实，防水，也不会感到闷脚；鞋底很耐磨，穿了一个月还沒有什么痕迹。</t>
  </si>
  <si>
    <t>正品 送爸妈的，应该设置提醒的，应该是正品</t>
  </si>
  <si>
    <t>脚长27.2CM，ecco鞋子一直穿44码，大部分鞋垫29C，这款鞋垫29.5cm，所以相对其他ecco，略大半码，鞋带系紧点也还行。 脚长27.2CM，ecco鞋子一直穿44码，大部分鞋垫29C，这款鞋垫29.5cm，所以相对其他ecco，略大半码，鞋带系紧点也还行。</t>
  </si>
  <si>
    <t>180元左右 做个参考 ，不错的包包，发现最近比较火</t>
  </si>
  <si>
    <t>非常好 非常好，品质好号码正</t>
  </si>
  <si>
    <t>Casio G-Shock 功能很强大，还在慢慢摸索中，值得购买</t>
  </si>
  <si>
    <t>冬天室内穿 有点软</t>
  </si>
  <si>
    <t>天美时 目前整体感觉很满意。</t>
  </si>
  <si>
    <t>传输速度快，最快达到200MB 很棒，这个硬盘超值，应该是氦气盘</t>
  </si>
  <si>
    <t>使用效果不错 硬盘容易较大，适合做仓库保存大文件。</t>
  </si>
  <si>
    <t>个性十足。 衣服面料很好 版型偏肥适合大胖子穿 衣服穿起来很舒服很酷。谢谢退税。</t>
  </si>
  <si>
    <t>这款表好看 大小合适，时间准确…</t>
  </si>
  <si>
    <t>非常棒 正在服用</t>
  </si>
  <si>
    <t>耳机很好，感觉很棒！ 可折叠设计很棒便携，但也带来一个缺点戴着容易向后滑。音质方面很不错，监听耳机 解析力果然强，细节丰富，对各种乐器、人声能清晰还原，不添油加醋；声场够大，三频均衡，很适合听交响乐，蓝调，流行乐也OK。不适合摇滚，低音不够劲。</t>
  </si>
  <si>
    <t>时尚外观，完美的功能 这次送货飞快，1周到货。非常喜欢这款咖啡机，很好操作，做出咖啡味道也很好。</t>
  </si>
  <si>
    <t>虽然是老款，但是很合身，价格适中 虽然是老款，但是很合身，价格适中</t>
  </si>
  <si>
    <t>腰围78cm，买的32码，稍微长了点。 腰围78cm，买的32码，稍微长了点。扣到倒数第二个扣子。</t>
  </si>
  <si>
    <t>就是退货不方便 这款衣服系统推荐的太大，穿不了。又没法退货</t>
  </si>
  <si>
    <t>品质好，很舒服 蛮好的，下次就认准这边买吧，海外购值得信赖.</t>
  </si>
  <si>
    <t>很好 贴合身体，既塑身又不勒，产后塑身效果好，作为华歌尔的忠实用户，非常满意</t>
  </si>
  <si>
    <t>慎买！！！ 同一只鞋子的左右面差别那么大，这个质量真的是堪忧啊！！！</t>
  </si>
  <si>
    <t>不合身的时候就只能送人啦 喜欢这款衣服的样式，但可能国外的码比国内的码要大，安照国内的码买的，应该能大一个码吧</t>
  </si>
  <si>
    <t>味大 杯体内部是不锈钢的，没什么味道，但是，吸管部分味道实在太大了，放了好多天还是有味道。幸好之前也用同款保温杯，有备用的。隔了几年，质量就差那么大了吗？ 容量对5岁的孩子有点小了</t>
  </si>
  <si>
    <t>建议诸君注意一下表带 这个表带质量真的很差，这玩意直接摧毁了我对双保重保险扣表带信心。还有这玩意表带电镀也不行</t>
  </si>
  <si>
    <t>不建议购买 质量不咋好，价格摆在这里了。 用了三天，第四天开关键不灵，要一直用力长按住才能用，松开就停了，刷头也不能换，不建议购买</t>
  </si>
  <si>
    <t>可能不是正品 可能是假货，因为鞋子特别的硬穿了几天依然特别隔脚背尤其左脚部分，应该有设计缺陷</t>
  </si>
  <si>
    <t>这个蓝色会轻微掉色 很舒适的T恤，洗了几遍，还是会有轻微掉色。把我其他衣服都染上色。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</si>
  <si>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裤子肥 做工质量可以，肯尼亚生产的，颜色不太喜欢，一看就是工人干活穿的裤子，裤子适合身材肥胖的人穿着，腰围是实在的肥，裤子短，裤子有弹力。14petetr应该是2尺六至2尺七裤腰。</t>
  </si>
  <si>
    <t>Schiff Move Free 氨糖维骨力氨糖软骨素 添加MSM 绿瓶 120粒 本来一直吃红瓶的，第一次吃绿瓶的，没感觉有大差异。</t>
  </si>
  <si>
    <t>种草一年 做工精美。长距离运输，来的时候盒子里的气泡袋都瘪了，掉了一个塑料轮齿杆，以为坏了，后来在盒子里找到，安上了。用了半个月了，说下感受：对北方经常吃面条的我家来说，自带两种刀头偏窄，偏宽；面团软硬度合适了真的一点儿也不卡面，说明书里的比例就行；一次和面和软了清了半天，发现一个塑料齿轮断了半个齿，不知怎么回事？幸亏断在最边上，不影响。另外，手动版用起来很顺手，还可以和孩子一起互动，非常好。</t>
  </si>
  <si>
    <t>舒适度高 没有束缚感！有种没穿的感觉！但同时也没有什么承托力</t>
  </si>
  <si>
    <t>喜欢 实测保温效果超棒。 sorry，以前从不去评价，现在要好好评价了，后来我就把这段话复制走了，还省事，走到哪复制到哪，最重要的是，不用认真的评论了，不用想还差多少字，直接发出就可以了，推荐给大家！！</t>
  </si>
  <si>
    <t>价格优势有，不算明显 算不上是千元机，听着玩儿吧，粉红噪音burn了几天，什么黑科技没体验出来，不过这个价位就那么事儿。这么多年已经把自己训练成木耳了，音乐本身的节奏旋律才是最重要的，器具不太拖后腿就行。</t>
  </si>
  <si>
    <t>无味道，样式好看 不错，给宝宝买的做辅食放冰箱用的</t>
  </si>
  <si>
    <t>码合适，版型瘦长显脚大 非常好，大小合适，不磨脚，走路很舒服。就是这个版型有点显脚长。去年买了黑色，今年趁着棕色降价又入手了一双。</t>
  </si>
  <si>
    <t>很好 实用性强，产自越南，很棒</t>
  </si>
  <si>
    <t>配送速度非常快 收到商品后很纠结  2桶粉一桶被开过 本来打算就这样收下了  心里还是不太舒服  联系了客服  客服马上给我开封过的一桶办理退款</t>
  </si>
  <si>
    <t>蛋白粉 还不错，来的时候瓶子没有挤坏，就是勺子真的拿不出来，感觉口味比香草的好一些</t>
  </si>
  <si>
    <t>很好很舒服 很好，168.67s号正好，稍微还大一点，但是运动裤，略大一点没关系</t>
  </si>
  <si>
    <t>非常喜欢 第一次买这么贵的耳机，专门用来听古典的，煲了一段时间后觉得非常棒！</t>
  </si>
  <si>
    <t>电波对时，分秒不差，日常防水 每天2点或4点自动接收电波对时，省心；虽然说明书是全日文的，但图例清晰，能看出个大概，也可以搜索 ma-q028b.pdf 这个线上官方说明书，配合翻译工具足以了解说明书的内容。</t>
  </si>
  <si>
    <t>和想象中大小有些差距 每一支都好小，适合幼儿园小朋友使用。</t>
  </si>
  <si>
    <t>买大了 于是成了女票的衣服了</t>
  </si>
  <si>
    <t>一次不错的购物体验 非常不错的一次购物。咖啡壶用了以后，感觉煮出来的味道不一样，好喝！</t>
  </si>
  <si>
    <t>总体很实用 不怕摔，很方便清洗，就是奶嘴很容易烂</t>
  </si>
  <si>
    <t>第二次购买 颜色正，质量好，样式经典，薄厚适中，物流速度快。</t>
  </si>
  <si>
    <t>照片和实物一致 看了好久才决定下手。之前担心品牌没优势、是否正品、是否贴合手腕。最终还是被外观迷住，两千块的石英表没什么品牌之说了，都一样；查了下网上所有卖博朗手表的都是一家人，希望老板厚道，是正品（真假我这种外行根本看不懂）；之前有试过类似的钢网带，表带表冠连接处是供起来的，非常难看，这款就不会有这种问题，比较满意。总的来说，比较中意。现在就是担心时间长了会不会掉漆了~~~~~</t>
  </si>
  <si>
    <t>一如既往地好 派克笔放心购买，使用也舒心</t>
  </si>
  <si>
    <t>国内皮鞋多少码就买多少码 鞋底开始觉得硬，穿了一周后就软了不少，不磨脚。脚瘦的可以按国内皮鞋尺寸，还稍长一点，大一码也能穿。</t>
  </si>
  <si>
    <t>穿着挺合身的，比较服帖 穿着舒适，合身。裤型也挺好看，是中国产的。做工还是略显粗糙。</t>
  </si>
  <si>
    <t>不错 这物流太快了，鞋子还行，孩子挺喜欢，，，</t>
  </si>
  <si>
    <t>老公穿了几个月，品质不错，特地来追加 老公170，77kg，选33w*30L 刚合适，裤腿也不长，美国三大品牌之一，产地美国，面料很舒服。</t>
  </si>
  <si>
    <t>不错实惠 很好用的牙刷头</t>
  </si>
  <si>
    <t>有黑色悬浮物 用清水搅拌仔细看有黑色悬浮物，像细小的灰尘像毛发，已申请退货，太折腾了，不是说新生产线没这个问题了么……</t>
  </si>
  <si>
    <t>皮子硬了点 皮子有点硬，宽了点，适用牛仔裤和休闲裤，配正装有点宽了。</t>
  </si>
  <si>
    <t>面料薄，类似尼纺 170cm70kg，过大了一点</t>
  </si>
  <si>
    <t>发错货 买的裤子，收到的是衣服，试了下还行，懒得换了，要换也够麻烦的</t>
  </si>
  <si>
    <t>起球严重，质量差 穿两次磨成这球样了……质量太差了，不推荐购买</t>
  </si>
  <si>
    <t>一般 没想到买中码还是有点大，可能外国人身形大。另外质量一般，有点刺，将就吧！</t>
  </si>
  <si>
    <t>黑五节价格高些 刚买后都掉价，黑五节，多黑我40大圆，右脚鞋舌头总是右偏，平常穿38的，脚胖买7.5码穿着舒适</t>
  </si>
  <si>
    <t>中规 中矩 喜欢中规中矩的东西，一天差不多快20秒，有时间去校校</t>
  </si>
  <si>
    <t>比较甜 小家伙爱吃甜味的，这个糖多他比较喜欢。一个Super Mario的他说不好吃。</t>
  </si>
  <si>
    <t>款式不错，就是修身款 Prime会员日购买，价格很有吸引力。依据过往购买CK的经验网上尺寸指引果断下单M，收货时间因海关而耽搁了3天，到货用了近十天时间。不过亚马逊有在订单跟踪系统中有说明，这点很赞。收货后，颜色和做工一如CK海外购的既往稳定（还是有些线头没有处理感觉，包装简单），唯一遗憾的是M码小了，肩膀位置有些窄，袖子长了（我1.7米，体重78KG）。如果购买L码，可能袖子更长。自己找个裁缝铺看看能否修改。</t>
  </si>
  <si>
    <t>Comotomo 奶瓶 两个大奶瓶，很柔软，手感很好，比较满意的一次海外购！唯一可惜的是黑五的时候没有买，后来贵了20多块。不过，相比国内的某些网站上卖的还是比较便宜的。</t>
  </si>
  <si>
    <t>好笔 非常好的笔，重量有点压手，书写很顺滑。</t>
  </si>
  <si>
    <t>用的不错 看朋友出国旅游带的，回国后立即购买使用，真心不错</t>
  </si>
  <si>
    <t>买的很值 很好，高音清晰通透。</t>
  </si>
  <si>
    <t>偏大，舒适 这个的确是国外人的码，偏大了，不过穿起来很舒服</t>
  </si>
  <si>
    <t>puma platform 很好，穿着也很舒适！</t>
  </si>
  <si>
    <t>婴儿必备 婴儿必备，最方便的vd补充剂，比直接美亚靠谱多了，快多了</t>
  </si>
  <si>
    <t>感温方便 好，美国直邮。就是等待是漫长的。</t>
  </si>
  <si>
    <t>材质舒适 欧洲码，亚洲人穿稍微有些偏大，下次买得小一号了。材质非常好，划算，正品。</t>
  </si>
  <si>
    <t>值！ 今天刚收到，大小合适，大牌质量没说的，物流时间稍长一点，以后仍会继续购买。值！</t>
  </si>
  <si>
    <t>善存成人多维生素。 质量很好，非常好。货真价实。</t>
  </si>
  <si>
    <t>挺不错的，很舒适，物超所值 一百多块钱一件，非常好，质量细腻</t>
  </si>
  <si>
    <t>不错 一共是六双啊，够穿一阵子了</t>
  </si>
  <si>
    <t>包装好，性价比好 开始吃了，期待效果。美国亚马逊的包装盒质量不错。</t>
  </si>
  <si>
    <t>男友最爱 是正品，物有所值，简单大气上档次</t>
  </si>
  <si>
    <t>酷 儿子喜欢</t>
  </si>
  <si>
    <t>喜欢这个品牌 按评论买大了一码，正合适，脚撑处也宽，显秀气。</t>
  </si>
  <si>
    <t>牛逼 牛逼</t>
  </si>
  <si>
    <t>很棒的产品！ 新家装修，两个卫生间，买了两套，分量很重！老爸说是好东西！推荐！</t>
  </si>
  <si>
    <t>价格便宜 包装好，刚打开气味有点重，短款钱包方便放裤兜里</t>
  </si>
  <si>
    <t>Lee男士 Premium Select 经典修身直筒牛仔裤 Mojo 33W x 30L 很喜欢这条裤子，颜色好看，式样也很经典，质量好，作工精细，虽然较厚，但手感柔软，穿上很舒适，长短也合适，是近期购买的最满意的一次了。</t>
  </si>
  <si>
    <t>体重145。身高170 穿刚好！ 体重145。身高170 穿刚好！</t>
  </si>
  <si>
    <t>不如买lee 同样是m号，lee的合身，这个偏大。176,63.5</t>
  </si>
  <si>
    <t>是否有硬件问题 与iPhone7p连接时，轻触音量+软键则会引起蓝牙断开，已退货。</t>
  </si>
  <si>
    <t>充电问题 耳机质量太差了 电根本充不进去 浪费钱</t>
  </si>
  <si>
    <t>rubbish 硌脚 脚疼 不通气 鞋底太硬</t>
  </si>
  <si>
    <t>假货，读取慢，同样的文件，用其他牌子的一下读取出来，这个根本出不来 假货，读取慢，同样的文件，用其他牌子的一下读取出来，这个根本出不来</t>
  </si>
  <si>
    <t>大了点 买小半码穿着都觉得有点大</t>
  </si>
  <si>
    <t>有些掉色 穿着舒服，有些小，有点掉色</t>
  </si>
  <si>
    <t>一般 质量尚可，偏大。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</si>
  <si>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价格优惠，超值 价格优惠，很不错，包装完好</t>
  </si>
  <si>
    <t>感觉 鞋盒有点破损，但是从下单到收货用时五天，速度挺快的，本人脚掌比较宽试穿后感觉脚掌有点挤，可能是新鞋的原因，平时穿运动鞋41码，这款长度合适还有余量，如果穿上厚的冬袜可能就完全塞满。</t>
  </si>
  <si>
    <t>非常好的秋冬季城市通行靴！ 原来穿的是Timberland Pro的工装靴，穿了8年，磨损严重，准备买双新的。正好中亚会员试用，这次买了timberland的产品。拿到手感觉比图片漂亮，大小非常非常合适，和准备淘汰的那双尺码完全一致。本人一般正装皮鞋穿40（250/US7），运动鞋穿40.5（255/US7.5），这双鞋US7.5码完美。松紧合适，脚趾处稍有空间，脚踝处包裹感强但没有压迫感。扁状鞋带尤其合适，不像圆形鞋带那样容易松脱。翻毛皮一般不需要搭理。穿着两周后感觉适合0-10度气温最舒适。高于10度的话，走路后稍有闷感，防水鞋的透气性稍差，但这双绝对算是不错的。感觉很适合华东华北地区秋冬季穿着。个人观点，供参考。</t>
  </si>
  <si>
    <t>好用 很好，很实用，娃也喜欢</t>
  </si>
  <si>
    <t>挺不错的感觉 快递比预计快了8天 东西还没吃 效果体验一段时间先 东西很大一瓶 。</t>
  </si>
  <si>
    <t>挺好的 不沉 穿着也舒服 挺好的 这恶搞号优点偏大 我36.37都能穿 这个穿36有点大</t>
  </si>
  <si>
    <t>不错啊！保暖+贴服 不是很薄很薄的那种，正常单衣的厚度。穿在衬衫里面，又保暖又贴服。</t>
  </si>
  <si>
    <t>好 买了两次舒服</t>
  </si>
  <si>
    <t>印象 玫红一键即饮保温杯 喜欢 很轻巧</t>
  </si>
  <si>
    <t>怎样保养自己的爱鞋？ 这双鞋长草好久了，各方面都比较满意，准备穿着去远足。就是不知道这种全粒面牛皮鞋如何保养？希望在商品介绍栏里说明一下，给以后购买的人有个直观认识。谢谢！</t>
  </si>
  <si>
    <t>裤子很透气 厚度适中，这个天气穿也不觉得太热，大小也刚好，总体来说非常棒。</t>
  </si>
  <si>
    <t>便宜大罐 双罐装非常划算。液体钙给老人吃方便多了。</t>
  </si>
  <si>
    <t>大小合适适合做焖锅 本来以为30cm会大，结果焖锅里面放东西多还是要买大的</t>
  </si>
  <si>
    <t>暖和 还可以。和预想的差不多，很暖和，北京冬天肯定足够了。</t>
  </si>
  <si>
    <t>快递收到了 顺丰快递送来的，感觉不错。。。</t>
  </si>
  <si>
    <t>性价比高 很棒的购物，大小合适，穿起来很贴身舒适。纯棉的性价比很高</t>
  </si>
  <si>
    <t>差 表面容易磨损，你还多买一条，傻</t>
  </si>
  <si>
    <t>比国内便宜，是正品，很好 比国内便宜，是正品，很好</t>
  </si>
  <si>
    <t>Western Digital 西部数据 8TB My Book 活动价841入手，买完才知道之前还有650  10T的。。。</t>
  </si>
  <si>
    <t>非常舒服！ 非常满意，非常舒服，水大了很多，三个功能好用。常用手持不用顶喷，开始准备买150，看评论都说大，120确实够大了，用不着买150。</t>
  </si>
  <si>
    <t>还行 还行 打开和关上比较麻烦</t>
  </si>
  <si>
    <t>挺好的 勺子遇到热水会变色。不过这个勺子对6个月大的孩子来说太大了。</t>
  </si>
  <si>
    <t>挺好 挺好的，比较合适，174cm，M码有些长。</t>
  </si>
  <si>
    <t>尺码比国内大很多。身高173以下建议xs号。 码数太大，之前m的橡袍子，这个s码（衣服上写的是sp）像小一号的袍子。我这个173/68kg，看起来应该买xs的。或者我和polo的衬衫无缘呐。p.s,polo的costomer fit款短袖我穿着合适，classic fit就肥不少。</t>
  </si>
  <si>
    <t>太长了 太大，布料很薄，衣服太长了</t>
  </si>
  <si>
    <t>漏水 第一个吃螃蟹的，肯定是有代价的，居然漏水</t>
  </si>
  <si>
    <t>棱角做工粗糙，有使用过的嫌疑，重量很轻，感觉不耐用 皮带做工蛮粗糙的，内侧棱边扎手，外侧皮质光滑，整体皮带很轻，给人的感觉好像用不久，不结实，倒数两个孔有明显被使用过一段时间的痕迹，具体看图，但应该不影响使用，到底是不是退货后再发给我的就仁者见仁 智者见智了，总体来说还行，价格上不加税费可以接受，我买的80的尺寸，往上的尺寸税少，不懂怎么计算的，差60RMB的税，腰围75cm，80的尺寸倒数两个孔刚好，仅供参考。</t>
  </si>
  <si>
    <t>杯盖不严 杯盖不严，杯盖不严</t>
  </si>
  <si>
    <t>质量堪忧 耳机买了一周不到，一侧耳罩旋转时过于松动，并伴有异响。拆开一看发现旋转处e型卡簧脱落，并且不可复原，这质量太差了吧，去哪里维修呢？</t>
  </si>
  <si>
    <t>耳机听第二次坏了 刚听了两次，第二次想要边做家务边听，但是！一弯腰，耳机就不响！反复测试了几次，发现是右侧开关机那个模块与耳机连接的线之间接触不良。现在无法退换货，就当二.百喂do.g了吧</t>
  </si>
  <si>
    <t>感觉不是正品 鞋子穿起来还行  但是两只鞋子鞋边明显看到有胶  包装也太简单了  puma的鞋盒都没有？是正品吗？！</t>
  </si>
  <si>
    <t>闲置 因为宝宝一开始不肯吃nuk的奶瓶才买的可么多么，想着这是最接近乳房的奶瓶，宝宝应该会更容易接受。从下单到到货，一共大概十几天，期间宝宝已经接受并习惯了nuk，然后这个奶瓶就闲置了，呵呵哒😢</t>
  </si>
  <si>
    <t>还行 我的3系列直不好用，但不是刀头的事我猜</t>
  </si>
  <si>
    <t>太大 除了大其他挺好 直接给我老公穿了 挺厚的抓绒裤</t>
  </si>
  <si>
    <t>你 还不错，期待宝宝出生再用。</t>
  </si>
  <si>
    <t>貌似买大了一点 穿着有点松 不错 就是看不到码子大小</t>
  </si>
  <si>
    <t>款式颜色不错，价格便宜。 款式颜色不错，价格便宜。</t>
  </si>
  <si>
    <t>款式好配搭 基本款 很好搭外套 号码稍微有点儿偏大</t>
  </si>
  <si>
    <t>完美 买了好几条这个款式的裤子了，脚管小很修身，一如既往的好。</t>
  </si>
  <si>
    <t>好 铁头鞋，救我脚趾不止一次</t>
  </si>
  <si>
    <t>码数标准，材质很好 这件羽绒衣，真的很好——（1）不钻毛（2）材质比优厚实，静电不大（3）码数标准 哈哈哈哈哈 没有失望</t>
  </si>
  <si>
    <t>索尼的产品买第三代之后的准没错 经过三代的更迭，这个系列终于到了巅峰。降噪效果极优，Hi-Res小金标加持，隔壁的QC要努力啊</t>
  </si>
  <si>
    <t>精致，咖啡品质保证。 人都说现磨好，不过豆子保鲜期短，胶囊好歹风味保存长，萃取出来品质有保证。带奶泡的也很方便，注意奶要冷藏，奶泡效果才好。机器做工很精致，英亚的就是英国插头，需要配个转换插座，带地线的也就几十。</t>
  </si>
  <si>
    <t>不错不错 性价比极高的一款产品，读写跟价格成正比，工作有稍许哒哒噪音，在可接受范围之内。</t>
  </si>
  <si>
    <t>适合 很好啊，超级喜欢，可以配情侣装</t>
  </si>
  <si>
    <t>满意的购买体验 舒适、透气，160，105斤，选M正好</t>
  </si>
  <si>
    <t>很潮百搭也实用 很好看的包，很潮，大小也正好，很好搭衣服</t>
  </si>
  <si>
    <t>非常好 价廉物美，性价比超高。</t>
  </si>
  <si>
    <t>做工精细 拉花小白喜欢这台机，赞一下快递公司👍</t>
  </si>
  <si>
    <t>本人胸围120，XL正合适！ 东西不错，价格也不贵，就是每次买鞋买衣服都像赌博，不知道收到货会大还是会小，这次运气好，正好！</t>
  </si>
  <si>
    <t>好用 给男朋友买的七夕礼物。男朋友说很好用，很贴合。</t>
  </si>
  <si>
    <t>便宜 好用的很，趁着价格便宜囤起来。清洁度强，牙齿刷完很干净，白白的。</t>
  </si>
  <si>
    <t>哎呦不错哦 鞋子买来的时候穿着有点挤，不过穿了一天就好了，当然是很好看的，觉得挺值的价格</t>
  </si>
  <si>
    <t>没有lee标准型号 商品页面上无法提供lee的版型型号 给购买带来了难度 最后还是收到后还是不合适 只能选择退货了。退货成本有点高运费125元 所以下单前要考虑清楚</t>
  </si>
  <si>
    <t>设计人性化一点 因为内部凸起的设计很难受</t>
  </si>
  <si>
    <t>有点薄 有点失望，这款钱包皮面有点薄，柔软一般，就冲牌子买的</t>
  </si>
  <si>
    <t>无法注册？买过2个，都无法注册？ 无法注册？买过2个，都无法注册？</t>
  </si>
  <si>
    <t>退货 尺码列表里面2个相同的美码太误导消费者了，亚马逊的工作人员太不负责任，非常不愉快的一次海外体验。本来准备买的是41的，结果发的44的，穿不了只能退货。还损失了关税钱，运费说是只能以礼品卡的形式退，客服前后说法不一致。</t>
  </si>
  <si>
    <t>值得买 还可以，值得买</t>
  </si>
  <si>
    <t>还不错 价格不错，刚开始用，过段时间看效果。</t>
  </si>
  <si>
    <t>直筒，粗腿，有色差。 小心标题，这是直筒，大小腿宽松，弹力腰带，腰围和国内一样。175+cm一定记得买裤长32L。第一种颜色实物比图片偏绿。</t>
  </si>
  <si>
    <t>整体可以。 用来录音播书的，操作极其简单。小白适用。 一开始录音效果有轻微电流，百度一下才知道不是麦的问题，是自己电脑音量设置的问题，又学新技能。  录音效果可以。一星之差是因为寄来如图二显示，在不要紧处有磨损。 物流快。机器帅，很沉手，稳定性好。</t>
  </si>
  <si>
    <t>质量。大小 美版质量会次一点。比较大，下手要注意</t>
  </si>
  <si>
    <t>身高176，体重80，32×32，裤子略长，不过我喜欢长一点的！ 非常棒，我买了2条换着穿！</t>
  </si>
  <si>
    <t>推荐 比国内便宜了近400块，一下子会员费全出来了，牙齿牙龈更健康了</t>
  </si>
  <si>
    <t>很好用 宝宝很喜欢 很好用，宝宝很喜欢，非常好！</t>
  </si>
  <si>
    <t>好评 不错，不过秒针有时对不齐刻度线，而且又降价了</t>
  </si>
  <si>
    <t>备用 国内40一根。。。所以合着冲牙器一起买了，留作备用。</t>
  </si>
  <si>
    <t>大小正好 大小正好，鞋跟有些硬，平时穿41.5的球鞋</t>
  </si>
  <si>
    <t>海淘刷头最合适 价格真心便宜，正品。</t>
  </si>
  <si>
    <t>音质很好，很满意 很满意，音质真的很好，性价比高</t>
  </si>
  <si>
    <t>挺好 包装挺精美的，还没用！感觉应该效果不错！</t>
  </si>
  <si>
    <t>非常好的飞利浦电动牙刷 非常好，价格更是好，比某宝某东搞活动还便宜。</t>
  </si>
  <si>
    <t>皮子好，码正。 码数也挺正的呀，比emi的气质厚很多，可以初冬穿的感觉。9月穿会热。</t>
  </si>
  <si>
    <t>很不错的表！ 今天早上订的，下午就收到，比想象中要好！外观黑色，很酷，就是表带有点硬，不过还可以了！物美价廉！很满意！</t>
  </si>
  <si>
    <t>Q10试吃后是正品很满意 上次在淘宝买过这个规格这个牌子的Q10，从香港转入的，价格每瓶210多元，但吃后没效果，肯定是假货，但外包装与真货看不出差别，这次从亚马逊购买，试吃后，对保护心脏有效果，应该是正品，以后还会再回这里买的。</t>
  </si>
  <si>
    <t>舒适 很好，舒适，柔软，不适合胸大的妹妹</t>
  </si>
  <si>
    <t>好货 new era 的帽款很棒，很有型</t>
  </si>
  <si>
    <t>尺码偏大 185CM，80kg，34码肥瘦合适，但是长度长一大截，估计30～32就行了</t>
  </si>
  <si>
    <t>配色很漂亮 鞋子很舒适 这款颜色选的很漂亮 妈妈也喜欢 又下单买了一双  鞋子比较宽 买大了 但是太喜欢了 垫个鞋垫好了</t>
  </si>
  <si>
    <t>不错 踢不烂的东西还是不错的，做工精细，皮质看着也不错，尺寸刚合适。</t>
  </si>
  <si>
    <t>不错 172身高，66公斤，胸围97CM，S和M都可以接受，M袖子松很多。</t>
  </si>
  <si>
    <t>裤型好穿着舒适 买的6码short，我165cm 68kg合适，长度到脚面，非常满意！</t>
  </si>
  <si>
    <t>不能消毒 适合刮苹果用，缺点是不能消毒，蒸汽消毒消毒碗柜消毒都不可以</t>
  </si>
  <si>
    <t>很满意 大小很合适也很舒服 身高180体重195 肚子大 但是穿的正好合适 很成功的购物 物流速度大概十天 也非常快</t>
  </si>
  <si>
    <t>质量不行 质量不行，买来穿了一个多礼拜就破了</t>
  </si>
  <si>
    <t>第一次亚马逊买裤子！ 没经验买的很大，要改才能穿</t>
  </si>
  <si>
    <t>果然便宜没好货 这个鞋和商场感觉不一样，本人购买黑色，皮面感觉非常薄一碰就破的感觉。就是老北京布鞋粘了一个鞋底，鞋垫非常硬自己买了双zoom垫在里面。唯一的优点就是颜值不错，打个比方就是明星里面杨洋一类的，只是颜值高不耐操结构简单。</t>
  </si>
  <si>
    <t>面料 面料很薄的那种，瘦的，有点长。内里都是线头，真心不好,。173/72公斤</t>
  </si>
  <si>
    <t>选脚。 脚臭，无奈只能扔了，新试水的牌子，果然不靠谱，不如nb</t>
  </si>
  <si>
    <t>压脚背 us8码，内长250，宽度8，脚背低，刚开始穿 我235的脚得把鞋垫拿出去，否则脚背压的受不了，</t>
  </si>
  <si>
    <t>不合脚，尺码偏大 尺码偏大</t>
  </si>
  <si>
    <t>柔软，穿起来真的舒服 柔软，穿起来真的舒服</t>
  </si>
  <si>
    <t>178，64公斤，M码偏大 就是太大了，当家居服穿</t>
  </si>
  <si>
    <t>COMMENT 挺好的，大家要注意因为是美版，要买小一号。170左右s，180m。就这样😊。It is great.You should buy a smaller size if you are a Chinese or Janpanese for it is American size,which may not be suitable for Asians.</t>
  </si>
  <si>
    <t>推荐买 携带方便，使用感不错。</t>
  </si>
  <si>
    <t>还好吧！ 包装很精致表盘真的特别大，手腕小的难以驾驭啊！</t>
  </si>
  <si>
    <t>海淘价格很便宜 用了大概半个月的时间才到手，但是等于花了一半的钱买这个表，很多人不喜欢这个外形，但是对于我来说特别好看，精致！</t>
  </si>
  <si>
    <t>质量不错，应该比较暖和，价格也合适 质量非常好，价格也合适，就是价格变化快</t>
  </si>
  <si>
    <t>好看，很帅的一双鞋 好看好看好看好看好看，我最喜欢的一双鞋，感觉很帅，晚上出门买个奶茶什么的都超有安全感感觉能踹死别人2333</t>
  </si>
  <si>
    <t>好好 森田海，声音很好，配戴舒适。</t>
  </si>
  <si>
    <t>大小合适，质量颜色都好 发货速度！170cm，65kg大小合适，稍长，S也能穿，质量颜色都好</t>
  </si>
  <si>
    <t>6730用没问题 乘着打折时候买的，6730用这个没问题，虽然高级的功能用不到，8支省着点用真的可以用很久。</t>
  </si>
  <si>
    <t>各方面都不错 送个老公的，之前用的中国产，感觉很容易就没电了，用起来也是电力不足，拉扯胡子，荷兰产的就好很多，很满意</t>
  </si>
  <si>
    <t>值得买 很舒适的材质，棉含量挺高的。表示喜欢，点个赞！</t>
  </si>
  <si>
    <t>到货快，包装好 日亚到货比较快，相信日本原装，包装用了厚纸板和胶带固定，很贴心</t>
  </si>
  <si>
    <t>bosch MUM59340GB不错，但是以后保修不知咋办 bosch MUM59340GB不错，和面很好，榨汁也不错。但是以后保修不知咋办？这是亚马逊直购的，应该可以找亚马逊解决吧，</t>
  </si>
  <si>
    <t>很好，戴起来很舒服。 女生带一样可以的，我觉得蛮好的，就是不方便清洗。 白色要多注意一点吧</t>
  </si>
  <si>
    <t>值得购买，春夏适宜。 轻薄，面料手感好，保暖。</t>
  </si>
  <si>
    <t>非常好 第一次用，是在网上查了口碑和性能才入手的，很满意。</t>
  </si>
  <si>
    <t>喜欢的东东 终于等到了，4T的实际有3.6多，满意。</t>
  </si>
  <si>
    <t>完美的商品 衬衫用料好，和亚马逊的商品图片颜色有点偏浅色。</t>
  </si>
  <si>
    <t>尺码合适 平时40这个码合适</t>
  </si>
  <si>
    <t>走时准确，耐用性 防水性没测试，光动能，希望能用20年！</t>
  </si>
  <si>
    <t>非常高大上 非常高大上，有面儿，坚硬，防一切</t>
  </si>
  <si>
    <t>失望 usb3.0接口传输速率仅6m多，太慢了吧，很失望</t>
  </si>
  <si>
    <t>太香了 和以前买的丝塔芙不一样，这次是香香的那种，瓶上有写是添加了xx油之类的天然成分但是真的是太香。没敢给宝宝用。自己拿来做身体乳吧，好大一瓶，要用很久了...</t>
  </si>
  <si>
    <t>手表 很漂亮，但是包装过于简单，连个吊牌都没有，也没有密封包装感觉不舒服。走了10天，快了3秒。</t>
  </si>
  <si>
    <t>再也不会购买了 体验极差的一次购物经历，黑五买到的特价商品，为此还特意买了转换接头和变压器，没想到机器居然是坏的，插电毫无反应。海外购不支持退货，品牌售后也不维修海外版的机器，客服迟迟无法处理，总之就是高价买到了一台无用的垃圾，海外购一定要谨慎小心了</t>
  </si>
  <si>
    <t>二手商品，有明显使用痕迹：失望的一次购物 亚马逊自营的这款base比市面其他商品便宜，但是买来后十分气愤，因为纸片套塑料盒没有封条，塑料盒子可以随便被打开。我买的有人为被打开的痕迹：金属夹有明显的手指印！笔尖也有被手摸过的痕迹，因为这个批次笔头不是亮面，否则会更加明显。这绝对不是工厂出厂检验，我只能说仓库管理不当。</t>
  </si>
  <si>
    <t>鞋底无防滑，对人身安全没保障 鞋子穿起来很舒适，但鞋底防滑技术太差了，碰水经常意外滑倒，不适合在中国大陆公民使用。 【差评】</t>
  </si>
  <si>
    <t>贝亲，不错哟。 小巧方便，贴纸人性化，超出刻度部份貌似也可以用。</t>
  </si>
  <si>
    <t>偏大 偏大 178CM  110kg  按照国内lee的码买了46的  到手后发现大起码一个半size  裤子质量不错</t>
  </si>
  <si>
    <t>不推荐 声音大，不推荐，还是五系用着更舒服些</t>
  </si>
  <si>
    <t>还好 就是made in China 有点奇怪，反正我不会判断正品，价钱应该是没问题的</t>
  </si>
  <si>
    <t>物品收到，未使用。 还没穿的。刚刚收到的。</t>
  </si>
  <si>
    <t>好 本想买两个颜色，可是操作失误买了两个一样的黑色。杯子很轻，很保温，质量真的不错。快递速度很快，都很好。</t>
  </si>
  <si>
    <t>偏大 172/76公斤，M的还是偏大很多。</t>
  </si>
  <si>
    <t>很赞 运行噪音有，但是极小，价格也很美丽</t>
  </si>
  <si>
    <t>此次购物最满意的两件，姐姐也很喜欢 裤子太舒服了，关键是很薄夏天可以穿，很显瘦</t>
  </si>
  <si>
    <t>比日本价格优惠 和在日本看到的一样，价格还便宜一些。</t>
  </si>
  <si>
    <t>鞋子 鞋子很好，质量非常棒，穿着舒服！比国内款便宜</t>
  </si>
  <si>
    <t>不错 上班通行穿，价格实惠，面料舒适</t>
  </si>
  <si>
    <t>容量够用，速度快 容量够用，速度快，外形尺寸也适合随身携带，很不错。</t>
  </si>
  <si>
    <t>锅不错的哦 是太阳花底，煎东西完全不用技巧。这个深度煎完鱼直接做个汤很方便。就是等的太久了，海关卡了一个月。亚马逊客服很好。</t>
  </si>
  <si>
    <t>好 蛮好的，质量版型都不错</t>
  </si>
  <si>
    <t>好好好 千元最准的耳机，没有之一，音特美信仰加成超值，🐲必备</t>
  </si>
  <si>
    <t>完美 鞋子好舒服，大小合适，鞋型漂亮</t>
  </si>
  <si>
    <t>好看又好穿 特别适合麻麻穿，软软的很温暖，不是棉但也没静电。颜色也适合。</t>
  </si>
  <si>
    <t>还行 日版的确实很好。毛圈内里。纯棉质感。 我身高179 胸围98 L 号衣长有点短 胸围合适。 买XL 就更合身了。</t>
  </si>
  <si>
    <t>非常棒 每天吃一颗，再也不像以前一样，经常口腔溃疡了。</t>
  </si>
  <si>
    <t>舒服的内衣 很舒服，剩下凑字数了</t>
  </si>
  <si>
    <t>写乐四季彩蓝透写汉字挺合适的 凌美感觉会越写越粗，写英文可以但汉字有点丑 刚入手写乐，笔尖与纸张的阻尼感觉比凌美大写，但写起来很舒服</t>
  </si>
  <si>
    <t>买爸妈吃的，希望有效果 买给爸妈吃的，希望有效果。性价比不错。</t>
  </si>
  <si>
    <t>真心好看 鞋子真心貌美，就是太爱起折痕了，确实不跟脚，垫个半码垫要好很多，哈哈哈，不过还是很喜欢啊，</t>
  </si>
  <si>
    <t>满意 全棉的就是舒服，以后认定这里了</t>
  </si>
  <si>
    <t>材质好 杯子带给我很大的惊喜，杯盖厚实，杯身透澈如水，无任何味道。花了６.５元换了个插头，用起来很方便。只是我还没找食谱，打出来油桃汁太稠了，呵呵，与产品无关。总之我喜欢这个产品。</t>
  </si>
  <si>
    <t>满意 非常值得，十分满意。</t>
  </si>
  <si>
    <t>太贵 不值这么多钱 买后悔了</t>
  </si>
  <si>
    <t>价格不实，买了后降了很多 总得来说价格不是很实惠</t>
  </si>
  <si>
    <t>物与价匹配 料子薄、手感偏硬，made in China; 好像3天就送到了，应该是存放在报税仓库里的货物。</t>
  </si>
  <si>
    <t>过大，有瑕疵 尺码大，有开线，以退货</t>
  </si>
  <si>
    <t>起球严重 穿了一个星期，裆部起球很严重，穿了那么多运动裤，头一次碰到这样的</t>
  </si>
  <si>
    <t>差差差 脏不拉几的跟用过的一样 退货还如此麻烦</t>
  </si>
  <si>
    <t>水壶不能用 插电后水壶灯不亮 用不了！找谁呢！请回个话</t>
  </si>
  <si>
    <t>一般 带莱卡有弹性，不是直筒，裤管比直筒要小，颜色有偏差不是淡蓝色是淡蓝灰色。</t>
  </si>
  <si>
    <t>极限运动 给大家一个参考，裤裆多了块布料，厚度比其它地方薄，劈叉之类运动没有阻碍感，双腿站直靠在一起，前档有些松垮不好看。颜色有些色差，整体很有弹性。标题说了，极限运动，买来觉得不合适只能怪自己哈</t>
  </si>
  <si>
    <t>性价比可以 1、听音：这是购买的第二个蓝牙，比之前买的国产70块钱的耳机音乐水平好了不少，音质清晰，低音足够，和苹果原装有线效果类似。看视频延迟感不明显。音量开到一半以上时存在漏音问题。 2、微信语音和录音：延迟比较高，杂音较大。可以勉强使用，但是效果不佳。 3、蓝牙连接：一般情况连接稳定，开机即连，速度不错。唯一一次断连可能是由于两台接入过的设备同时在场，发生了突然断联，声音外放的情况。 4、佩戴情况：我戴不了入耳式耳机，所以很喜欢这种半开放式的设计。和苹果原装有线类似，走路的时候基本可以戴的住，跑步是完全不行的。但是我大部分时间是室内使用，没有问题，长时间佩戴舒适。 5、总结：性价比较高，在150元左右实现了优秀的蓝牙耳机听音功能。</t>
  </si>
  <si>
    <t>正品 有点弹性，个人不是特别喜欢有弹性的牛仔裤。</t>
  </si>
  <si>
    <t>颜色和照片一样，感觉和国内的200多元的裤子差不多，不像Lee的品牌。 有点像美国卖的地摊货。</t>
  </si>
  <si>
    <t>心水之选，绝对超值！ 这次卓越真的值得一赞。晚上下单，隔天就收到东西了。包装很专业也很细心，标准纸盒，而且里面用发泡软垫包裹着，连气垫袋都用上了，虽然东西并不大。配套都很齐全，保修卡什么之类都有。 好，话归正题。实物跟图一模一样，个人觉得还更好。评论上很多人说什么不是纯白色米黄色之类的，其实并没有。表盘比较大一点，较为适合男性。很轻，带上去很舒服，款式简洁，价格适宜，超级耐用，非常适合学生一族以刚毕业工作人士。</t>
  </si>
  <si>
    <t>非常好的笔 很流畅，大家都提中字最好，可惜是我这一支，按我自己的使用习惯写字偏粗，当初选细的会更合适。所以为平时使用，又在国内选购了写乐便宜的钢嘴笔尖笔，F尖的写字很爽，写乐的笔很不错。</t>
  </si>
  <si>
    <t>好。 经联系客服，答曰无法保价（下订后即降价，rp hehe）,另物流极慢（似与其他海外购商品存在较大差异）。 尽管如此，不妨碍对商品本身五星评价。 另需注意几点：一是变压器需到位（2000~3000va），二是虽随机光盘简介有中文字幕，但详细说明书及“菜谱”无中文（有英文版提供）。</t>
  </si>
  <si>
    <t>很好 非常舒服 前后买了四双了</t>
  </si>
  <si>
    <t>prime会员凑单买的，不错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</si>
  <si>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送货快 外观不错，就是还没找到中文版说明，还没调好</t>
  </si>
  <si>
    <t>传统牛仔裤的新体验 平常32/30牛仔裤，这款31/30腰围还是比别人家的32码要大半码。长度就更不对了，有32码长度好比。第一买ck牛仔裤，除了尺码困惑外，其他方面还是很满意的，做工不错，面料微弹。</t>
  </si>
  <si>
    <t>尺码合适，穿上舒服 好好好，特别好看。平常穿235的鞋，买这号大小正合适，快过年了以为就是年后到没想到一周就送到家了，鞋底也舒服，我是瘦脚一点不挤脚，比国内的专柜便宜很多，心满意足！</t>
  </si>
  <si>
    <t>重量轻，保温好 重量轻，保温时间长，价格比国内便宜很多</t>
  </si>
  <si>
    <t>购买心得 非常棒的鞋，上脚相当舒适漂亮，我脚肥买的宽版的，鞋用的是哥伦比亚自己的底，较之V底的柔软度和抓地性更好，防水性尚需检验，非常喜欢😊</t>
  </si>
  <si>
    <t>很好 用起来很方便，非常好，相信亚马逊</t>
  </si>
  <si>
    <t>123 速度快、噪音底、重量小、性价比高。</t>
  </si>
  <si>
    <t>很好 海盗船的东西质量服务有保障</t>
  </si>
  <si>
    <t>990的性价比真是无敌了。 第一次在友人那里听到990 PRO,外加TCG的便携耳放，一耳朵被毒到不行。终于迎来特价，果断入手，这是我喜欢的声音。一定要上耳放，如果不上放的话音质真的是渣渣。</t>
  </si>
  <si>
    <t>很好 试穿效果不错，腰围68</t>
  </si>
  <si>
    <t>好 一直信赖德国品质的东西，好的不锈钢勺子，值得拥有，手感不错。</t>
  </si>
  <si>
    <t>评价 略小一点，其他都很好</t>
  </si>
  <si>
    <t>品牌 就喜欢虎牌的产品！</t>
  </si>
  <si>
    <t>好鞋！ 东西不错！做工好！鞋码微小，选码可以稍大点。</t>
  </si>
  <si>
    <t>弹力大保暖 裤腿长了，弹力大保暖很好。</t>
  </si>
  <si>
    <t>日本亚马逊保温杯不是日本产是国产 买了一个象印一个虎牌，象印好像是泰国产。虎牌更是让我昏迷made in china！真是被坑的不轻阿。</t>
  </si>
  <si>
    <t>做工太差 不建议入手，扣子都缝歪了。</t>
  </si>
  <si>
    <t>尺寸 尺寸搞错了</t>
  </si>
  <si>
    <t>鞋码小了 我平常也是穿235cm的鞋，但是这双比平常小些，没办法就送人了</t>
  </si>
  <si>
    <t>面料没有一点弹性！ 面料没有一点弹性！真的是棉的吗？穿着太不舒服了，太紧了，再也不买了。不是因为试穿了，我都想退货！垃圾垃圾！</t>
  </si>
  <si>
    <t>失败的购物 颜色和照片不符，颜色深很多，水杯有气味</t>
  </si>
  <si>
    <t>… emmm质量一般洗几次就起球了，但是毕竟很便宜</t>
  </si>
  <si>
    <t>一般 厚重。衣领处不好穿</t>
  </si>
  <si>
    <t>偏大 鞋子偏大啦，质量没问题</t>
  </si>
  <si>
    <t>质量较好，帽檐略窄 产品质量较好。布料一般，刺绣精美，厚薄适宜，性价比一般。帽檐略窄，脸大、圆者慎购。</t>
  </si>
  <si>
    <t>质量很好，价钱适中 质量很好，用量讲究的包包。</t>
  </si>
  <si>
    <t>还不错 180cm,100kg，腰围98cm，买的36*32正好，仅供参考，质量感觉还行。这个尺码确实比其他裤子略大一点。</t>
  </si>
  <si>
    <t>帅 173，56kg，女生穿，XS正好，喜欢宽松的，可以选大一个好。</t>
  </si>
  <si>
    <t>颜色好看 非常愉快的一次购物经历！</t>
  </si>
  <si>
    <t>好 很不错~日本店里逛了好久最大就只有xl穿着略小，xxl正合适</t>
  </si>
  <si>
    <t>舒适的内衣 尺码很正，面料舒适，做工很好，没有多余的线头。九分袖的设计刚好，袖子不会太长。</t>
  </si>
  <si>
    <t>尝试 第一次买，感觉还不错，现在每天吃。</t>
  </si>
  <si>
    <t>挺棒的 挺棒的，就是颜色有点不适合这款式</t>
  </si>
  <si>
    <t>没有我在日本亲自带回来的好 有一点搞不清楚。明明是海外购，邮寄确是从北京寄出，感觉就是国产货。鞋倒是还可以，但没有我自己从日本带回来的那么舒服。</t>
  </si>
  <si>
    <t>很不错 尺寸刚合适，与预想的一样哦！很值得买！</t>
  </si>
  <si>
    <t>实用 本人穿大小合适，质量非常好，价格合理，这样的内衣就是舒服，自己是非常喜欢</t>
  </si>
  <si>
    <t>很喜欢 不错。性价比高。很喜欢</t>
  </si>
  <si>
    <t>全棉Txue 全棉的，舒适度还不错，样式宽宽松松的</t>
  </si>
  <si>
    <t>还不错。 37-38的脚，选的4.5码，有些余地。居然不磨脚，这点很满意，稍压脚背，还能接受。450含税购入，价格还不错。</t>
  </si>
  <si>
    <t>喜欢 手感超级好，好可爱的奶瓶。</t>
  </si>
  <si>
    <t>舒服的鞋 的确挺舒服，码数刚刚好</t>
  </si>
  <si>
    <t>剃须刀片寿命多长 很喜欢，剃的比较干净，声音也很小</t>
  </si>
  <si>
    <t>满意 衣服质量不错，薄夹克，适合20℃左右温度时配衬衣。款式是典型美国款，收腰的，不是国内留流行的直身款，也许有人觉得“老土”，个人比较喜欢。款式特点：肩和胳膊宽松，整体较短。老外码，本人170、75KG，穿S码正好。总体非常满意。</t>
  </si>
  <si>
    <t>值得购买 不错，比较紧身，适合冬天打底穿</t>
  </si>
  <si>
    <t>最爱574 很好很不错！老公穿着很舒服！</t>
  </si>
  <si>
    <t>裤子 质量比较好。穿起来不要、比较舒服。不错</t>
  </si>
  <si>
    <t>大腿处太肥了 腰身没问题，很合适，问题是大腿处很肥，跟图片完全不符。</t>
  </si>
  <si>
    <t>起毛 会起毛，太短一直会往上爬，保暖还可以</t>
  </si>
  <si>
    <t>很好的皮带 速度算是挺快了，不知是不是正品，看着挺好的皮带。</t>
  </si>
  <si>
    <t>垃圾一样 垃圾一样的商城不垃圾一样</t>
  </si>
  <si>
    <t>什么是标题？ 无法打开耳机，就无法连接蓝牙。联系客服回答退货，但找不到客服给的退货口，打开看到的是此货不符合退货条件。当时没有想到的是买了一个坏品，包装盒随手扔了，看样子这二百多元打水漂了。以后再也不上亚马逊买东西了。拜拜，再说一遍一颗星也不想给。</t>
  </si>
  <si>
    <t>偏透，偏薄 手感没有五件套的舒适，偏大！和五件套的尺寸相比，应该选 小一号，不过宽边真的好有feel</t>
  </si>
  <si>
    <t>还行吧 总体而言不错，175 70 选的L略小，个人喜欢稍微大点的，不介意的可以就这么着克</t>
  </si>
  <si>
    <t>值得购买 东西很正 这点必须给好评  比国内买省了不少  但是音箱音质没有想象中那么震撼</t>
  </si>
  <si>
    <t>不错的产品 买给老公的，老公穿上还是蛮精神的，我喜欢给他掏牛仔裤</t>
  </si>
  <si>
    <t>一直戴着 额……表带没有图片那么好看，不过总体来说还可以</t>
  </si>
  <si>
    <t>不错 不错呀，价格比较合适，很有型，大头女生只能选男款了，帽檐略有点窄，戴久了会有点挤的感觉，不明显。</t>
  </si>
  <si>
    <t>从日本直邮，有货的情况下发货很快，质量有保证 &lt;a data-hook="product-link-linked" class="a-link-normal" href="/Champion-渔夫帽-帽子-中性-587-001A-藏蓝-58cm/dp/B01N14U5I5/ref=cm_cr_arp_d_rvw_txt?ie=UTF8"&gt;Champion 渔夫帽 帽子 中性 587-001A 藏蓝 58cm&lt;/a&gt;很轻薄，藏青色相对黑色更百搭，黑色会显古板。女生长发戴刚好合适。</t>
  </si>
  <si>
    <t>有需要的吗，转出转出！！ 鞋比想象的要清，不笨重，应该是窄版吧，稍微有点挤，想退掉的，运费要160还得我自己找快递，哎，海淘就这点麻烦。里面有层薄绒，但不好的是鞋垫不是绒的，是革的，会有点凉。买的价钱倒是不贵，算上运费才400多一点，有没有想买的，可以转出去。</t>
  </si>
  <si>
    <t>包装和店里买的略有差异，不过应该是正品 分量很足，药片很大，喉咙细的推荐掰成两半</t>
  </si>
  <si>
    <t>购买须知 此款relax fit较肥，建议小一个尺码购买，腰围38的买36足以，我裸高175厘米，腰围3尺，买W36L32正好</t>
  </si>
  <si>
    <t>还行 宽松版</t>
  </si>
  <si>
    <t>好看 看着不怎么样 戴上感觉不错</t>
  </si>
  <si>
    <t>挺不错 鞋号偏大，选了小一号，合适，不错</t>
  </si>
  <si>
    <t>第二次购买，面料舒服，柔软，价格实惠 第二次购买，面料舒服，柔软，价格实惠</t>
  </si>
  <si>
    <t>耳机不错 非常喜欢，音质杠杠滴</t>
  </si>
  <si>
    <t>刷牙用 宝宝不太喜欢牙刷，而且担心她抓着跑，这个就很安全。</t>
  </si>
  <si>
    <t>大小非常合适 平常穿36的鞋子，看了大家的推荐，买的4.5 M US Big Kid，大小非常合适.黑五到手价535元</t>
  </si>
  <si>
    <t>很好 亮皮的 内侧红色 属于正装皮带 意大利手工制作 性价比很好</t>
  </si>
  <si>
    <t>性价比高且方便 试了试立体声录音，很不错了。几百元的话筒</t>
  </si>
  <si>
    <t>笔不错 钢笔本身不错，没有想象中那么软，中规中矩，顺滑度适中，字体还是比较细的。做工也不错</t>
  </si>
  <si>
    <t>款式质量没问题 东西质量款式没话说，价格也便宜，就是有点偏大，本人177.70公斤，M码偏大，S码估计刚好合适，另外，中亚工作人员是我见过的电商平台里面最水的，自己的东西连尺码都搞不清楚，购物体验最差没有之一，希望引起重视</t>
  </si>
  <si>
    <t>不错的硬盘 不错，声音有点。速度很快。</t>
  </si>
  <si>
    <t>很不错，用料足，轻盈 性价比高，用料足，尺码合适，看起来厚实穿起来却很轻盈，很划算。</t>
  </si>
  <si>
    <t>性价比杠杠的 503还要什么自行车，值！非常值！音质方面，高、中、低都有，且均衡，目到只是用旧华为6C煲着听一般般；但接几年前买的带杜比和dts夏普液晶看高清大片，才体会到低音下沉且有力的感觉，音质上了二个台阶不止。</t>
  </si>
  <si>
    <t>裤子不错，尺码标准 裤子不错，尺码标准，但是颜色完全超出了色差的范畴，发错货的感觉。如果真是银色子弹头，那这个银的铅含量至少在七十以上。</t>
  </si>
  <si>
    <t>牌子值一半价钱 斯里兰卡制造，质量堪比地摊货，包装也是一股山寨味道。181cm身高，81cm腰围，穿m号基本正好。料子比较薄，适合夏天穿</t>
  </si>
  <si>
    <t>传输速度 最多90MB/S USB3.0 稳定速率70MB/S  写这么多 有啥用了？  用了 一次 放在家里丢了。  120美刀 就这样没了。</t>
  </si>
  <si>
    <t>性价比一般 比起MQ7系列的来讲，价格高了，但是接口越来越混乱，从10年前买的MQ100，到大概5年前的MQ545，与去年买的MQ745，盒现在MQ9037X，接口只有5系列和7系列可以通用，对于客户来讲却越来越不可避免的造成很大的麻烦与纠结，影响不可以日耳语，建议厂家用心设计针对用户更好的想法早出更大的产品</t>
  </si>
  <si>
    <t>大大大 我的天，后悔没退货。不适合亚洲人穿，那叫一个大，而且料子不舒服，上衣买的日版的，根本没法一起穿……</t>
  </si>
  <si>
    <t>发错鞋码！ 买的us6结果给我发过来的是uk6 完全没法穿 太大了 美亚真心不靠谱 购买需谨慎！</t>
  </si>
  <si>
    <t>偏大 本人176cm,体重78kg，L号偏大点，m号应该正好</t>
  </si>
  <si>
    <t>一般 裤子很合身，穿起来很舒服，是夏天的的款型，材料有点薄，有弹性，颜色与图片误差大</t>
  </si>
  <si>
    <t>手表比较好，质感较强 用了1月做的评价，看了很多网上的评价说很多多，如走不准、噪音大。用了这个月其实做得是很准的，就噪音真是有点大。总体质感不错，发货也快，我相信应该是真品，支持亚马逊</t>
  </si>
  <si>
    <t>两件七折 折扣完240多一件，其实衣服质量一般 价格相对其他哥伦比亚的衣服算是便宜的了，不过就只有薄薄的一层，估计防风还可以，但透气不好</t>
  </si>
  <si>
    <t>希望海外购的发货包装能改进 之前都是德国的闺蜜给买的，产品本身没有问题，退税+免运费价格很美丽。扣的一星给包装，连个纸箱都没有，直接裸包装过来的。。。收到纸盒都开裂了，只希望里面的滤芯没有压漏的。</t>
  </si>
  <si>
    <t>不错，速度快 还不错，没有异味，就是包装太简陋了</t>
  </si>
  <si>
    <t>同事穿着大小合适 眼瘸，买错号码了…转给同事了，说是不错，很舒服，但是还会往上跑，估计是无钢圈内衣的通病了</t>
  </si>
  <si>
    <t>好 裤子不错，穿起来很舒服</t>
  </si>
  <si>
    <t>非常好 纠结32还是34，结果34有一点点长，只要自己打孔一个。建议严格按照自己的腰围购买，不要贪长。但质量非常好，非常满意。</t>
  </si>
  <si>
    <t>材料舒适 略肥大，做工还行，材料舒适！</t>
  </si>
  <si>
    <t>不错 170cm/67kg。正合身。里面穿件长袖保暖内衣。面料柔软，但粘毛。</t>
  </si>
  <si>
    <t>漂亮结实 好看的不得了！唯一的缺点是踩在湿的瓷砖地上比较滑</t>
  </si>
  <si>
    <t>零压力 日本的内衣真的舒服，百元的价格很划算，基本没束缚，速干，很轻，非常满意</t>
  </si>
  <si>
    <t>如预想一样的好！ 如预想一样的好！</t>
  </si>
  <si>
    <t>太喜欢了 价格公道，虽然没有WMF的高逼格，但是为了牌子付出多200元，我觉得不值得，拿到手了，没有太大的味道，虽然是中国制造，但是质量确实是非常的好，一直相信亚马逊，有了海外购，真的为我省了不少钱，非常好的壶。</t>
  </si>
  <si>
    <t>推荐 我家配合扫地机一起，地板就完全是机器处理了。人轻松。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</si>
  <si>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特别好穿，尺码供大家参考 我平时穿瓢鞋穿37的，运动鞋穿37.5的，脚长23.5厘米，瘦脚，5050穿36.5也就是美码6号的刚好。</t>
  </si>
  <si>
    <t>物有所值 130斤竟然塞进去了，束缚感很强，但是不勒，很推荐。</t>
  </si>
  <si>
    <t>声音好 小巧好看，附带了挂耳扣，挂耳佩戴不容易脱落。低频通透，不轰头，中高頻较为平衡，声场略远。总体素质很高。3百左右强烈推荐。</t>
  </si>
  <si>
    <t>第二次买了，非常不错。主要是价格很美好。 第二次买了，非常不错。主要是价格很美好。</t>
  </si>
  <si>
    <t>表不错 提前在春节前收到了。算是给自己的春节慰问品吧。调整了日期，时间。开始走动了。看看过几天是否准确。真皮表带佩戴很舒适，不硬。</t>
  </si>
  <si>
    <t>还可以 价格优惠，暂未使用，有待以后评价</t>
  </si>
  <si>
    <t>滴的方式很方便 每天都有喂给宝宝，滴的方式很方便！比之前买的纽曼思的胶囊方便多了。就是这个便宜得多，不知道是不是正品。如果是，性价比是比较不错的。</t>
  </si>
  <si>
    <t>穿着舒服 Lee休闲短裤很好。</t>
  </si>
  <si>
    <t>软皮舒服 很舒服，包括鞋底都很舒服。比硬皮的舒服太多，马上就可以上脚，虽然没那么有型但是舒服就很好了</t>
  </si>
  <si>
    <t>不是很好洗 盘底有点上色 不太好洗</t>
  </si>
  <si>
    <t>很一般 给老妈买的，买时价格还是蛮实惠的，运费税费倒是不便宜。需要注意的是填料只有40%羽绒，60%是 聚酯纤维!  比较薄，保暖性不是很好。</t>
  </si>
  <si>
    <t>色差 色差问题上没有及格的</t>
  </si>
  <si>
    <t>质量一般 made in china. 帽子转了一大圈又回到了产地，呵呵。质量一般般</t>
  </si>
  <si>
    <t>过大！！！ 太大了！！！退款的钱不够运费的</t>
  </si>
  <si>
    <t>表带断开 使用一年，表带断开，无法找到相对应的型号表带替换，这个亚马逊的售后请回复一下，消费者该如何解决这个问题，毕竟几百块的表，</t>
  </si>
  <si>
    <t>质量很差 洪都拉斯产，布料很硬，掉屑掉色挺严重的，图片中黑点都是掉下来的渣渣，质量真是不如中国地摊10块钱一件的文化衫，穿身上非常不舒服。</t>
  </si>
  <si>
    <t>还行吧 还行吧就是因为可以放洗碗机才买的，划痕还是比较多的</t>
  </si>
  <si>
    <t>2件170多块，面料比我们的棉柔软些，一般吧。 2件170多块 面料比我们的棉柔软些，一般吧。</t>
  </si>
  <si>
    <t>CK内裤还不错 内裤质量还是不错的，穿着比较舒服，很有弹力，就是尺码稍微大了点比我之前买的CK基本大半个号吧，我168.125斤买M号应该就正好了，这款还是比较划算的</t>
  </si>
  <si>
    <t>鞋底有点硬 感觉还不错，鞋底有点硬。</t>
  </si>
  <si>
    <t>手表还行，声音有点大 这个价格，带着玩吧！</t>
  </si>
  <si>
    <t>清洁力无敌 连炒菜锅都洗得干干净净的 对比之下国内买的简直是渣啊</t>
  </si>
  <si>
    <t>优盘很好用 很好。U盘很好。不错。用用备份东西。</t>
  </si>
  <si>
    <t>155，35kg，s号 长一些，厚实，柔软，准备当毛裤</t>
  </si>
  <si>
    <t>非常好的牙胶 非常好用的牙胶，宝宝三个月很容易握住，颜色好，软硬合适，还有声音</t>
  </si>
  <si>
    <t>速度很快，日期新鲜 速度很快，日期新鲜，19年2月生产的</t>
  </si>
  <si>
    <t>非软皮 是硬皮的，鞋码刚刚好，鞋盒运输没有破，很开心。</t>
  </si>
  <si>
    <t>满满的都是惊喜！！！很棒 不是发烧友，帮同事买的，收到货后试了试，不知道什么是耳放，也没有什么播放机之类的，用手机听，满满的都是惊喜，不知道发烧友们上设备后是什么样的。真好，如果有玩家，可以推荐些耳放吗？</t>
  </si>
  <si>
    <t>靴子 切尔西式样，尺码正，偏厚重，新鞋上脚比较合适。价格划算，给好评。</t>
  </si>
  <si>
    <t>好 有活动的时候买的，我自己喝着没什么感觉，我妈说皮肤光滑细腻了</t>
  </si>
  <si>
    <t>优 正品质量保证，价格适宜</t>
  </si>
  <si>
    <t>满趣健变色勺 高温会变色，返软头勺周边有毛刺啊，怕喂东西时会划伤宝宝，不知是不是正品还是本身质量就这样</t>
  </si>
  <si>
    <t>很满意 耳机效果很好，性价比很高</t>
  </si>
  <si>
    <t>好用 相比较绿色小的奶瓶这款更适合温奶器</t>
  </si>
  <si>
    <t>控制最大音量的耳机，戴起来舒适，适合孩子 小朋友很喜欢，戴起来也挺舒适的，这款耳机控制最大音量的，不会有一开机声音炸到耳朵这种情况发生，对于我们大人来说音量又太小了，所以是适合孩子的儿童耳机。</t>
  </si>
  <si>
    <t>天美时 都还不错，就是包装比较简陋一点，自己戴的无所谓</t>
  </si>
  <si>
    <t>很好的内衣 非常合适，赞</t>
  </si>
  <si>
    <t>外观漂亮 还不错，算是性价比较高的一款休闲表。走的也比较准确</t>
  </si>
  <si>
    <t>很值得购买的产品 使用简单，噪声在接受范围之内，不用时能够及时进入节能状态，性价比高</t>
  </si>
  <si>
    <t>保温 味道 保温效果很好，开始用的时候盖子有塑胶味，过一两天就好了。</t>
  </si>
  <si>
    <t>快速轻便发热量不大 读写速度确实可以达到标称速度，存储空间也没有问题。惊喜的是发热量比较小。</t>
  </si>
  <si>
    <t>口味不错 从下单到收货约9天，比预计时间快。口味不错，希望能助我完成马拉松梦。</t>
  </si>
  <si>
    <t>很可爱 备货中，很可爱，希望宝宝喜欢</t>
  </si>
  <si>
    <t>颜色 完全看不懂是什么颜色</t>
  </si>
  <si>
    <t>杯盖是脏的 开盖按钮居然是脏的，怀疑被打开过。另外按开盖按钮后杯盖不会弹出，不如膳魔师的双把保温杯，但这个容量大一些，设计简洁些。还没有用，吸管比膳魔师的细，怕吸着费劲</t>
  </si>
  <si>
    <t>包装很陋、不是你看到的那种包装。笔是新款，里面有金属螺纹。使用感觉不错。唯一的缺点就是包装。物流大约七八天。 包装很陋、不是你看到的那种包装。笔是新款，里面有金属螺纹。使用感觉不错。唯一的缺点就是包装。物流大约七八天。</t>
  </si>
  <si>
    <t>strongly not recommended to buy it I bought it last year, unfortunately it is not as good as I expect. The speed is very unstable, and often goes down to 0 Kb/s, it is totally unacceptable.</t>
  </si>
  <si>
    <t>次品 超级次品，很一般的衣服，在亚马逊买到的淘宝货。</t>
  </si>
  <si>
    <t>五个月就不走了 六月份收到的，今天十一月，不走了！！！！！！！！！</t>
  </si>
  <si>
    <t>还好，但不是特别厚 见评论有人说很厚像棉裤，我就是需要一条牛仔厚绒棉裤，可收到货发现不是，是较单薄的牛仔抓绒裤，并且裤腿不够修身。</t>
  </si>
  <si>
    <t>不错 果断买了最小的0码，163身高，83斤。平时基本都穿最小码，看到这款码比较清楚，比较全，就敢下单了。就是裤子略厚略紧，夏天肯定穿着难受的，春秋还行，但很紧身的裤子主要是为了穿样子，舒适度是略低一点的。</t>
  </si>
  <si>
    <t>颜色 颜色正，款式不错</t>
  </si>
  <si>
    <t>吃完追评 对产品很满意，对快递很失望，I am satisfied with the product but  i am upset with the logistics</t>
  </si>
  <si>
    <t>水箱小了 水箱是有点小，我清理一次牙齿起码用四水箱水，中途加三次。包装完好。水冲很干净，压力大的，有时会冲牙龈出血。其实买家用型更好，这个带出去还是占行李箱地方。</t>
  </si>
  <si>
    <t>大一点点  我能穿 我本人186，体重88公斤，国内我穿XXXL，我买的L号还大一点点，还能穿，我建议国内和我差不多的买S号就行</t>
  </si>
  <si>
    <t>偏小 有一些小，另一双adidas的同样尺码就正好，所以我就买这个尺码了，结果太小了</t>
  </si>
  <si>
    <t>价格优惠，质量保证 好可怕，1月12号下单，16号就收到了，最快的一次！另外，家里人给我看微商发的什么真假对比图，美亚的竟然和假的相同，我只能冷笑，顺便在美亚上再买两瓶。</t>
  </si>
  <si>
    <t>好好好 很好，不过还没开始用，期待</t>
  </si>
  <si>
    <t>s  170  65正好 与杰克琼斯大小差不多  可以参考那些</t>
  </si>
  <si>
    <t>原厂正品 原厂正品，换上后和新的一样好用</t>
  </si>
  <si>
    <t>物流快，价格实惠 物流非常快，6天就收到了。鞋子全新，价格比国内划算很多。</t>
  </si>
  <si>
    <t>不错的装骚表 表的式样很好看，功能很丰富，但是全英文界面有点复杂，有时间慢慢研究吧。</t>
  </si>
  <si>
    <t>简单好用 使用方法很简单，APP连接也方便。</t>
  </si>
  <si>
    <t>刚好 非常漂亮，价格不贵，大小正合适！</t>
  </si>
  <si>
    <t>是否正品 非常不错！正品</t>
  </si>
  <si>
    <t>强力推荐 性价比非常高，165，56kg刚合身</t>
  </si>
  <si>
    <t>超值 最满意的一件衣服，面料很柔软，特别合身，舒服，有型，物美价廉</t>
  </si>
  <si>
    <t>太太喜欢的鞋 鞋子样式简洁大方，颜色明快，最主要的太太喜欢。</t>
  </si>
  <si>
    <t>强烈推荐购买 我能说真的很好吗？比国内小型机器用的洗碗块体积小50%，洗净力度更大，完全没有气味残留，买下来合9毛1一个</t>
  </si>
  <si>
    <t>有点偏大 运动鞋穿44.5这双44有点像45以上</t>
  </si>
  <si>
    <t>一直在用这款 相当划算，物流也很快，直接入6包</t>
  </si>
  <si>
    <t>波折了一下下，但总体满意的购物。 3.21下的单，4.5号到货，客服人员不错，问题及时处理。有点小遗憾就是或许可以便宜200块再买的！不过3200+买到也还不错啦。适合小粗腿的过膝靴！39码瘦脚，穿着有点点大（买7.5或许更合适），穿上真的显腿长修饰腿型！经典好看百搭……总之打折的时候入真的很不错！税费比较肉疼不过这个也没办法啦嘻嘻</t>
  </si>
  <si>
    <t>正是我想要买的款式。非常好，价格也比国内专卖店便宜近一半 正是我想要买的款式。非常好，价格也比国内专卖店便宜近一半正是我想要买的款式。非常好，价格也比国内专卖店便宜近一半</t>
  </si>
  <si>
    <t>产品不错 挺不错的，空间足够大。最大拷贝速度可以到100m</t>
  </si>
  <si>
    <t>旧的坏机器 机器没有发出闪光 忽然发出一个很强的闪光并带有声响 很怕会爆炸之类 而且灯头处有刮痕 明显不是新的 果断退货的还要自己先垫付国际邮费 客服说可以为我保留我购买时的价格 在犹豫还要不要下单</t>
  </si>
  <si>
    <t>一般般 很一般 皮带边容易毛 没有另外一款好</t>
  </si>
  <si>
    <t>纠结了一下还是退货了 第一次买派克的钢笔,包装精致,笔的外观也很精美,,价格便宜6百多18k金笔也算良心价了,派克在国内都是天价.这些是优点,缺点是不好写,前面所有的优点都没用了,可能是我这只的特例,笔尖很滑,但是有些角度会严重飞白,而且笔迹太粗,接受不了.看来我还是适合用日系笔.因为价格确实便宜,纠结了一下还是选择退货了,快一个月了还没有成功,打电话咨询,给了答复,如果30天没有处理完成可以直接退款,虽然退货周期长,但是毕竟是海外购,而且也没有收取退货费用,亚马逊的服务算不错了.</t>
  </si>
  <si>
    <t>不喜欢 材质55%棉，不建议买这款。</t>
  </si>
  <si>
    <t>失望 首先是配送超级慢打电话催才配送 然后是 保质期 只有2018.10 现在是2018.4 买两瓶我都不知是说啥</t>
  </si>
  <si>
    <t>与预期有点不同 速度还是可以，但到了之后发现是made in China让我有点‘意外之喜’，而且并没有送黄鞋带，内里也与实体店马丁不太一样，所以我不是很理解</t>
  </si>
  <si>
    <t>质量不错，就是鞋底有点硬 质量不错，就是鞋底有点硬</t>
  </si>
  <si>
    <t>佩戴舒适 终于收到比原先三个耳机高大上了初听还闷但愿思没煲好的原因</t>
  </si>
  <si>
    <t>总体来说还行 表带很轻，金属的厚重感不强（很低）。表带有点长，没找到拆卸方案。 时分针夜光。 防水性能不错，至少泡澡没进水。 总得来说还行。</t>
  </si>
  <si>
    <t>物有所值 还不错 听说是蓝盘 没有黑五买好亏啊…读写都很好 偶尔速度不稳定可能有各方面因素吧 就是测速的那张图有点看不懂…速度怎么这样往下掉…</t>
  </si>
  <si>
    <t>结实粗犷 脚长250，皮鞋可以穿40到41，这款鞋选的7.5C，但发货过来是7.5M的，反馈过去，退了百分二个鞋款，有良心的商家。长度多一者，宽度稍紧，穿段时间应该松一点。正告各位朋友，这品牌按中国皮鞋码买就行，如果不是特瘦的脚，一定要买宽版。鞋特结实粗犷，张显男人气质。</t>
  </si>
  <si>
    <t>质量不错，面料薄但是有点硬 海外购送货还是比预期的要快不少。质量还不错，很好看，但是面料是稍微有点硬的那种，也挺薄的。很喜欢，就是那种宽大的版型</t>
  </si>
  <si>
    <t>很好 老婆说很好，性价比很高。</t>
  </si>
  <si>
    <t>好 做工和质量都满意。安装也很轻松。过滤效果还不错👍</t>
  </si>
  <si>
    <t>完美的体验 之前做了功课，国内皮鞋43码，选uk9刚刚好。</t>
  </si>
  <si>
    <t>价格合理，穿着舒适 尺码刚刚好，很舒服，价格合理</t>
  </si>
  <si>
    <t>挺好 不错，质量很好。。。。。</t>
  </si>
  <si>
    <t>笔重大气 笔杆比想象的粗、重一些，笔尖不是磨砂黑，F尖适中。书写流畅、舒适。</t>
  </si>
  <si>
    <t>柔软亲肤 非常柔软亲肤的一款胸罩，胸型漂亮，面料摸上去也很舒适，跟没戴的一样，适合日常穿着或睡觉时穿戴。</t>
  </si>
  <si>
    <t>是正品而且价格便宜 鞋子非常棒，这个价格太便宜了</t>
  </si>
  <si>
    <t>卫衣 薄厚合适春秋穿，质量款式都不错</t>
  </si>
  <si>
    <t>非常惊喜，宝宝盖了很舒服，非常透气，但是却保暖！非常惊喜，宝宝盖了很舒服，非常透气，但是却保暖！ 非常惊喜，宝宝盖了很舒服，非常透气，但是却保暖！</t>
  </si>
  <si>
    <t>满意 170cm,70kg合适，裤长，腰围，很满意。大家可以参考gap的尺寸。31x30。</t>
  </si>
  <si>
    <t>直推感觉还行 插电脑原来一百多的塞子音量给6到8,这耳机直推给12-16,深夜安静给到10.不晓得算不算推得动了,也不打算折腾实在不行可以考虑再加个一体?有何推荐? 不烧!玩到报废再换 手机直推感觉也差不多一样 听那些一般歌曲感觉跟塞子差不多啊(当然低频感觉挺合适的不过分),看电影的话音效倒是好很多,空间感很强 最后听一些混音比较好的曲子时能感到明显差别的,虽然没啥可参照的毕竟我只有个一百多的塞子</t>
  </si>
  <si>
    <t>是正品 钢笔很好，但是商品描述里面说的附带两只qucink的墨囊，打开后发现是一支宝珠笔芯，这是什么鬼？美国人搞错盒子了吧？  回到钢笔来说。我买的M尖，上的写乐极黑，下水并不是非常节制的类型，不汹涌但很均匀。笔迹是M尖该有的粗细，并不会很细，这一点我很满意。至于笔尖的打磨，是典型的美式风格，顺溜，但是并不会跟溜冰一样，控制力很好。试了各种乱七八糟的牌子，最后回到派克，还是老厂靠得住啊。  商品盒子搞错的问题给亚马逊客服反馈了，也立即得到了处理。亚马逊的服务没得说。</t>
  </si>
  <si>
    <t>好用吗？ 很好用。</t>
  </si>
  <si>
    <t>孩子爱吃 入口容易，孩子主动要吃</t>
  </si>
  <si>
    <t>性价比不错 很抗风，穿起来也很有型，鞋号准，比国内买确实便宜。</t>
  </si>
  <si>
    <t>自然，自由！ 天然，植物的产品。</t>
  </si>
  <si>
    <t>可以的 走时很准，运动表带，适合休闲装</t>
  </si>
  <si>
    <t>胸围参考 买了几件，S胸围大概在100cm，L的120cm，M的没量但是估计应该是110，给后面要买的一个参考吧</t>
  </si>
  <si>
    <t>质量差 面料质量不好，而且洗过一次后就有地方开线了。根本没法穿了。</t>
  </si>
  <si>
    <t>不耐用 才一个月搅拌盆底就断裂了</t>
  </si>
  <si>
    <t>必须买小两个码 料子薄，码太大，做工也一般，就是价格合适，没法退货，退货运费都比本身价值高了，还不如zara等快时尚品牌的料子做工好，没办法👐</t>
  </si>
  <si>
    <t>不好看。感觉LOW 不喜欢，不好看，挺失望的，裤型和质量不好，很薄，像休闲裤，不值。</t>
  </si>
  <si>
    <t>海淘无保修，运气不好就是百分百损失 几个月就块了，反正没保健，拆了之后发现里面是很厚的那种2.5寸盘，自认倒霉了</t>
  </si>
  <si>
    <t>衣服 还行吧，留着穿了，退了可惜</t>
  </si>
  <si>
    <t>175 85kg 穿m正好 175 85kg 穿m正好合适，健壮型 没什么肚子。比较胖可以考虑大一码</t>
  </si>
  <si>
    <t>我很丑，可是我很温柔。 一、外包装盒子与图片上不符，收到时都破了。 二、耳机外侧的线焊接工艺很差。 三、与图片里少了一张保修卡。  四、经过测试L、R的频响曲线基本相同。 五、不足千元，非常超值！！！ 六、冬天出街可暖耳朵，，，</t>
  </si>
  <si>
    <t>鞋子稍微小一点 穿牛津鞋10W的号，这双鞋稍有点顶脚，退回去邮费太贵了，就这样吧。</t>
  </si>
  <si>
    <t>balabala 还行吧，不过鞋帮上有不少划痕或者是色差，不过这个价钱正品还是蛮实惠</t>
  </si>
  <si>
    <t>松下粉 松下粉，从45-65，可以开发廊了</t>
  </si>
  <si>
    <t>很好，实惠 很好，下次再来，东西不错，有一段时间可以用了</t>
  </si>
  <si>
    <t>尺码合适 很舒服 高腰款式  穿着舒服！</t>
  </si>
  <si>
    <t>好看 圈毛质量好，虽然L码但不是很大，儿子178高，135斤刚好</t>
  </si>
  <si>
    <t>音质 音质不错，还没有煲就不错，通透。哑光低调，降噪一般，总体来说挺好的了，音质比beats  solo3不知好到哪儿去了，连关税共八百多到手，值！</t>
  </si>
  <si>
    <t>正品有保障，下次还会买 东西是正品的，送货速度比预计的提前到几天，正品有保障，值得信赖购买。</t>
  </si>
  <si>
    <t>好 质量特别好 带绒的 适合秋冬穿 尺码也很合身 身高175 ，63公斤 M码 非常喜欢</t>
  </si>
  <si>
    <t>老外的尺码真是一言难尽 特惠的时候买了两件，灰色和白色，都是S码，灰色马马虎虎可以穿，白色就明显长了一截，不太明白老外是怎么定义尺码的。</t>
  </si>
  <si>
    <t>贝亲奶瓶 很好正品，备货中</t>
  </si>
  <si>
    <t>很好很强大 不大，比普通硬盘大一点点。可以连接win平板，安卓手机。usb3.0下与3satat硬盘对考，读写速度都有100-150m/s</t>
  </si>
  <si>
    <t>有麦肯定要玩直推啦 非常好，第一次上千元级入耳，我觉得三星s8可以直推，不要开电子管就好，然后感觉高音亮，中音稳，就是可能刚开始煲低频有点糊，毕竟拜亚的idxie系列低频都好像蛮重的，820入手值到炸，国内行货1680呢</t>
  </si>
  <si>
    <t>BOSS Green Paddy 男士 Polo衫 170不到，70KG，M号正好。 质量很好，颜色也正，物流也比想象的要快。 老外的包装倒是不讲究。 扫码说是来自德国。</t>
  </si>
  <si>
    <t>搭鞋神器 穿着脚上很舒服 滑滑的感觉</t>
  </si>
  <si>
    <t>黑色白色各买二件， 179-78穿大码L刚刚好，黑色紧身点，只是白色的L比黑色的L码大一点，品质不错，黑色是日本生产，白色是日本企业在泰国生产，质量很好。</t>
  </si>
  <si>
    <t>挺好的裤子 比较有弹力，穿着舒服，类似速干的面料。商务休闲的造型，速干裤的穿着感受。可以直接作为商务休闲裤穿，没问题</t>
  </si>
  <si>
    <t>Seiko 男士 SNE329 不锈钢太阳能运动手表（蓝色尼龙表带） ... 看到实物比图片更漂亮,走时准确,大小合适</t>
  </si>
  <si>
    <t>jeans就是好搭衣服， 买时就没有最合适的码数，但还是忍不住要了，基本和想象的一样，自己穿的很舒服自在就好了。</t>
  </si>
  <si>
    <t>挺好 关于这件衣服的尺码做一个评价，本人170  68公斤 有点肚子  之前买的s码紧一点不合身，又买了一件m码的正好，s码的是170-88a.m码的是175-92A.M码的相当于国内的优衣库L码，胸围略小一点点，基本相当。质量没得说，尺码供大家参考。</t>
  </si>
  <si>
    <t>正好 非常适合.</t>
  </si>
  <si>
    <t>一般 没有原装的好</t>
  </si>
  <si>
    <t>焖烧杯 这款还没试，属于囤货的。</t>
  </si>
  <si>
    <t>侄子很喜欢 高中男生很爱。不错。</t>
  </si>
  <si>
    <t>较差 鞋码比标准尺码小，比较失望，只能送人了</t>
  </si>
  <si>
    <t>这包装真是呵呵了 直接把商品装在一个大纸箱里面，没有任何填充物，在箱子里摇摇晃晃滚来滚去，幸好硬盘没摔坏</t>
  </si>
  <si>
    <t>略大 薄，尺码偏大、七分袖</t>
  </si>
  <si>
    <t>能把尺码标的准确合理一点吗！ 亚马逊也乱整S号小的离谱，M号大的比加大还大、既然在中国卖就应配合中国人的身材，典型的欧美人的死板固执！难道美国人的s  m相差这么大？</t>
  </si>
  <si>
    <t>磨脚 皮质没有专柜好 做工差很多 右脚后跟里侧皮子凸出很磨脚 看来货品质量的确是分级别放在不同的销售渠道的 最差的在亚马逊出售 非常不满意</t>
  </si>
  <si>
    <t>质量不怎么样 质量真的很差，看起来可以，但是不能洗，一洗完了，起球掉毛颜色发灰……真的是质量不行</t>
  </si>
  <si>
    <t>标准低腰直腿裤 32/32，可能由于经常健身，下肢比较发达。腰身正好，但裤腿略紧，可以正常穿着。</t>
  </si>
  <si>
    <t>值得推荐 第二次在海外购买衣服了.这次的裤子板型很好,身重163，体重101，还算均称，因为不想太过紧身，所以选择了Lee 女士 经典款合身直筒牛仔裤 Mulberry Brown 8 瘦版的8号。收货后先洗了下，柔软不裉色，稍有些大，不过自我感觉大小还合适。给后面的JM作参考。</t>
  </si>
  <si>
    <t>试用 钓鱼使用好好，外观不错。</t>
  </si>
  <si>
    <t>哒哒哒响是咋回事 有一些哒哒哒的响，写入读取都会尤其是小文件更明显，请问这是正常现象吗？</t>
  </si>
  <si>
    <t>总体合适 虽然不修身，但总体还是挺合适的，我levi's穿3232，这个也穿3232，裤长相比长一点，但是正合适我</t>
  </si>
  <si>
    <t>合适 试穿过了，平时穿41码的，大小正好，底也挺软，不磨脚，舒适，性价比高</t>
  </si>
  <si>
    <t>很暖和 很暖和就是小了点，相对比一般秋裤暖和啊。</t>
  </si>
  <si>
    <t>舒适度好 一直穿ck内衣，亲肤感舒适度好，这款是下单错了，我习惯穿轻薄款，这是聚拢款，有喜欢的妹纸便宜出，全新没拆封过</t>
  </si>
  <si>
    <t>我原来JD买的一幅坏了 这里买必拿去售后修都便宜 之前一个过保了 去修要一千二 果断买了一个新的 这个型号是我最流连忘返的一个了 只是海外版本和国内的不太一样 觉得还是国内的看着顺眼 而且佩戴也是国内的舒服 至少头梁国内版本室可以拿下来的 擦起来比较方便 也没有两边的小耳朵 不过胜在便宜吧</t>
  </si>
  <si>
    <t>办公必备 书写流畅，不漏油，品质佳</t>
  </si>
  <si>
    <t>质量 穿着很舒服，质量不错。</t>
  </si>
  <si>
    <t>物流超级快！保温效果超级好！ 四天货就从日本到手！开水放24小时还是温的！</t>
  </si>
  <si>
    <t>舒适 虽然很贵，但很舒适。</t>
  </si>
  <si>
    <t>值得选择 穿着非常舒服，另外颜值也很高</t>
  </si>
  <si>
    <t>不错 很轻</t>
  </si>
  <si>
    <t>这个笔非常的好，物美价廉 like this pen very much and merchant is scrupulous because they 赠送了 me 墨囊 并且 I am a German in China and l think German is very scrupulous(细心 慎重的) 不要嘲笑我。。。my English is very poor before l come to China l hear somebody says Chinese is very bad and somebody called Chinese is Chink but when I come to China 我发现并不是那些人说的那样 只不过是各别中国人很坏！真的，我也遇见过，后来我发现，他们不是看我是外国人而欺负我，他们也欺负自己国家的好人，应该10个中国人里面，只有0.01个坏人吧，大部分中国人还是对我很好！感谢中国，感谢my hometown German!我希望不要被新闻迷惑!</t>
  </si>
  <si>
    <t>外观 鞋子很好看，穿上了很合脚，性价比很高。很好的购物体验。</t>
  </si>
  <si>
    <t>正品标马的运动鞋很好。 已是第二次“海外购”了。标马运动鞋很好！女儿很喜欢，今后若要购买正品的鞋亚马逊海外网购是不错的选择。</t>
  </si>
  <si>
    <t>号码合适 身高187体重75kg，m号刚好</t>
  </si>
  <si>
    <t>挤出来的泡泡是花朵的样子 非常可爱，洗的也干净，味道不错，挤出来的泡泡是花朵的样子，孩子很喜欢，推荐购买。</t>
  </si>
  <si>
    <t>易碎物品请加群包装 拍的第二个了，第一个把掉了，这个边碎掉了，我也是醉了，能不能好好包装一下啊</t>
  </si>
  <si>
    <t>不错！ 非常不错，四双袜子装在一个蓝色铁盒里。很精致！</t>
  </si>
  <si>
    <t>很软很弹，没有飞白 很好用，没有传说中的飞白。</t>
  </si>
  <si>
    <t>很ok 感觉穿37码应该最舒服吧，现在是刚好合适。到得很快，鞋子也好看！很帅！</t>
  </si>
  <si>
    <t>好看 去年在英国试过，蛮喜欢，怕箱子塞不下，准备回国海淘。就是为了买这双鞋，才申请了亚马逊prime试用一个月，免邮费，哪知道36码竟然不是prime产品，一分邮费也没免</t>
  </si>
  <si>
    <t>很好穿的鞋 很合适呢，特意买小一个码！也不打脚，穿着很舒服，小个子的福音！</t>
  </si>
  <si>
    <t>没有外包装 连包装都没有，盒子上贴个标签就寄来了，盒子压得烂糟糟的。</t>
  </si>
  <si>
    <t>不够长，长腿慎选 略微透肉，不厚，是薄款。172穿有点短了，得好好延伸下才可以。</t>
  </si>
  <si>
    <t>不介意购买 不贴和有点硬</t>
  </si>
  <si>
    <t>奇怪的形状 剪裁奇怪，三角形凸出来，不舒服也很不好看，千万别买</t>
  </si>
  <si>
    <t>不明白为什么亚马逊要卖我次品。心情很差 不知道亚马逊为啥卖我次品，我拆包后就发现腋下位置有个次品标贴，我猜是别人退货的，很脏，然后亚马逊竟然就这样卖给我了。  Very disapointed with this shirt, there's a defect label under the arm position, I suppose this is returned by another consumer, I can not believe Amazon sold it to me... If it's by Lee, I will never buy this brand.</t>
  </si>
  <si>
    <t>每次吃了以后都肚子疼 买了你家的200粒的善存，每次吃都会肚子痛，我和我老婆都试过了，饭前饭后饭中都是这样。痛的还比较厉害，之前在别家买过几次，都没有这种情况，你家的东西是质量问题还是本来就是假冒伪劣👿</t>
  </si>
  <si>
    <t>音质不错 刚刚听了一会儿，感觉还不错，外观也还行，只是快递有点慢</t>
  </si>
  <si>
    <t>税交多了 穿着舒服，很不错哈。就是不晓得为什么这双鞋为什么扣了109的税，太多了，同品牌同价格的鞋，也仅仅被税50以内，多了一倍多呢</t>
  </si>
  <si>
    <t>裤子大小 大小按照国内尺码来，不过裤子的确很皱</t>
  </si>
  <si>
    <t>裤子很薄 真的是超级薄，夏天穿合适。价格优惠，200出头。产地中国制造。2.6的腰44的正合适</t>
  </si>
  <si>
    <t>可以 表很漂亮，运输差评，包装极其简单，不能有效保护里面的东西，表有小划痕，。</t>
  </si>
  <si>
    <t>很好 很合身 很好 1.78m,77kg 正好合适，秘鲁生产</t>
  </si>
  <si>
    <t>很好用 很好用。并且节省电。</t>
  </si>
  <si>
    <t>很满意 瓶身柔软防烫，耐高温消毒，轻便易于手拿，奶嘴贴合母乳设计，低速慢适合新生儿，总得来说非常满意</t>
  </si>
  <si>
    <t>腰围32 腰围32，买的M、尺码刚好合适</t>
  </si>
  <si>
    <t>很好 穿着很舒服，偏大，要买小一码就刚合适。</t>
  </si>
  <si>
    <t>最好要标码 还能穿</t>
  </si>
  <si>
    <t>大小合适 非常好</t>
  </si>
  <si>
    <t>质量好 为宝宝出生囤货中。。。</t>
  </si>
  <si>
    <t>索尼耳机 只是用于听歌听课，对音质要求不高，拿到就试了一下，听歌还不错，没试过语音通话，索尼还是挺好的</t>
  </si>
  <si>
    <t>不错 一年买一次，够用12个月。过滤过的水煮开时，水壶里还是有水垢，就当是一种安慰吧。这次申请了亚马逊prime试用一个月，免邮费，疯狂囤货中。</t>
  </si>
  <si>
    <t>大小合适，穿着舒适，满意 大小合适，穿着舒适，满意</t>
  </si>
  <si>
    <t>几乎完美的耳机 这个耳机国内还没有火起来 但是却是世界耳机史上的一次革命 美国AMAZON上评价第一的耳机 4.8/5.0分 三频均衡 几乎适合所有音乐类型 正在煲机中</t>
  </si>
  <si>
    <t>有很多口袋能放很多东西 有很多口袋能放很多东西</t>
  </si>
  <si>
    <t>送朋友的 不错，送朋友的，质量很好</t>
  </si>
  <si>
    <t>值 好看，值得购买</t>
  </si>
  <si>
    <t>合身 挺好，性价比不错！国外码和国内不一样！</t>
  </si>
  <si>
    <t>很好 手感很好，写的很舒服，笔控啊，，</t>
  </si>
  <si>
    <t>帽子做工 品质 面料 都不错 👍挺好 大小也合适 帽子做工 品质 面料 都不错 👍挺好 大小也合适</t>
  </si>
  <si>
    <t>好好好 143，感觉特别好用！</t>
  </si>
  <si>
    <t>棒棒的 轻，暖，合身！春秋季穿很合适。</t>
  </si>
  <si>
    <t>刚吃不知效果如何 买回小孩蛮喜欢吃，但效果怎么样还不得而知</t>
  </si>
  <si>
    <t>第二条了，很舒适，版型很好 第二条了，很舒适，版型很好</t>
  </si>
  <si>
    <t>不顺畅 这是入手的第二支钢笔，不知怎么回事书写很不顺畅。很心痛，懒得退换了！</t>
  </si>
  <si>
    <t>有色差 蓝色的Ｔ恤跟图片看到的有色差，没有图片看上去的暗，偏蓝亮，上了图片，尽量把颜色调整到我看到的颜色。</t>
  </si>
  <si>
    <t>一般般 一般般吧  没有想象中的那么好  质量也很一般</t>
  </si>
  <si>
    <t>印刷纸歪了 96 不含税 香港发的 日期到2020 年4月</t>
  </si>
  <si>
    <t>清洁程度低 这款刷不干净，只能作为辅助用</t>
  </si>
  <si>
    <t>坑坑 有种被玩过的感觉伤痕很多</t>
  </si>
  <si>
    <t>尝试一下新风格 上脚硬，我脚长278mm,平常穿44的耐克和44的美津浓，买的9.5 2e,感觉长度可以就是有点宽了，本身我的脚就偏胖，感觉不如买10dm的，应该更合脚</t>
  </si>
  <si>
    <t>拍大了 拍胸鞋子尺码一定要弄清楚，平时穿37.5 38.0拍大了 多半码</t>
  </si>
  <si>
    <t>不错，柔软 很舒适，173，70kg，小号里面只能穿件tshirt，衣服设计的袖子感觉有丁点长，估计是特色</t>
  </si>
  <si>
    <t>挺好挺快但包装待改进 滤芯英国产，没用过国产的所以没法对比。一共6个芯，还以为7个...周日下单周五就送到了，但是送到时里面那个纸盒已经从底部烂掉了，纸盒挺软的很容易破，里面也没有啥泡沫材料，壶直接就放里面，所幸没有摔裂。容量2.4L，一个人用可以，俩人就小了</t>
  </si>
  <si>
    <t>女性必备 大品牌 切记！切记！切记！哺乳期不能服用此款！</t>
  </si>
  <si>
    <t>洗碗机的清洁工 这款Dishwasher&amp;nbsp;Cleaner，只需要正常洗碗时放在洗碗机底部，就可以起到清除内部污渍和管道油脂的作用了。一个月用一颗，成本比盒装液体那种便宜。</t>
  </si>
  <si>
    <t>音响 不知道是正品不，女声很给力</t>
  </si>
  <si>
    <t>非常满意 速度快 质量好 带上非常好看</t>
  </si>
  <si>
    <t>超级推荐 买给爸爸，他的腿不好，吃了这个确实好转了</t>
  </si>
  <si>
    <t>还行 174cm 80kg 中等身材 要穿36宽 30长的</t>
  </si>
  <si>
    <t>适合平时背的包包 很喜欢，小但是很能装，适合出行～</t>
  </si>
  <si>
    <t>不错,太棒了 很好很合适!</t>
  </si>
  <si>
    <t>可爱轻便 轻便，太可爱了，弄丢了。</t>
  </si>
  <si>
    <t>非常棒。 比国内的大牌儿童牙膏便宜。2019年11月到期，还有1年半的时间，来得及用，大人小孩一起用。</t>
  </si>
  <si>
    <t>满意 质量不错，一口气买了好几条，120斤左右的穿Ｍ号正好</t>
  </si>
  <si>
    <t>性价比最高 黑五万岁 帮朋友买的 超级划算 好用</t>
  </si>
  <si>
    <t>正合适 不错，我儿子173体重81公斤，正合适，不是很厚的面料</t>
  </si>
  <si>
    <t>掉腰 这个袜子掉啊，腰很松。穿穿就掉了，总得提裤子。很郁闷。第一次买到日本这样的连裤袜</t>
  </si>
  <si>
    <t>双狮 老牌子了，非常不错，外形好看，防水也棒，200米。夜光够用，很喜欢。</t>
  </si>
  <si>
    <t>符合预期，性价比高 先晒体型尺码，178公分90公斤，粗壮体型，L正好，稍紧。品质还比较正常，和商场购入的无明显区别，关键便宜啊。会有一定弹性，目测尺寸适应度上下会有一些空间。</t>
  </si>
  <si>
    <t>解析不错 入门级别监听箱，这个的性价比最好，前置的导向孔给了安装更多的选择。美中不足的是高频量多，好在高低频增益可调。</t>
  </si>
  <si>
    <t>蛮耐用的！ 很暖和，很耐用。</t>
  </si>
  <si>
    <t>买对了 身高165,体重58公斤，属于大象腿，这个号非常合适，腰围正好，长度正好</t>
  </si>
  <si>
    <t>质量好 水能烧滚，质量很好，德国产</t>
  </si>
  <si>
    <t>推荐 小孩还是应该买这个牌子，飞利浦的刷牙方式不适合小朋友。</t>
  </si>
  <si>
    <t>好东西必须一起分享 鞋子质量相当的好，正所谓踢不烂嘛，哈哈哈，这个冬天脚脚不怕冷啊！</t>
  </si>
  <si>
    <t>还不错 我的身高183cm，体重72kg，穿M码合适，给大家参考一下。</t>
  </si>
  <si>
    <t>料子太薄了！ 面料像雨衣，很薄，白色的几乎是半透明。 衣服很大，S码比普通的M码还要大一点。尺码表就是个摆设。 样子还可以。</t>
  </si>
  <si>
    <t>与原装的不同 剃须刀是从德国带回来的，这次买的刀头和原装的不一样，原装的中间的支架是金属的，这个支架是塑料的，并且外包装写的是宝洁公司，原产国是德国，怀疑此产品不是德国进口的。</t>
  </si>
  <si>
    <t>假冒产品 奶瓶一直有一股奇怪的香味，用着害怕</t>
  </si>
  <si>
    <t>根本不可以微波炉加热 微波炉加热后，塑料漏了一个洞，到底是正品吗？</t>
  </si>
  <si>
    <t>使用体会 初次使用，对位是个问题，还需要不断的积累经验。 水压偏小，持续使用时间短，解决女士小号问题不大。如果对位问题不能解决，大号还是需要卫生纸的帮助。 五孔喷水比三孔喷水冲洗的更干净一些。</t>
  </si>
  <si>
    <t>可以 产品总体不错，包装严实。再说商家服务：点赞啦。最后点评快递：发货很快。其他就是感谢店家打折送券活动，毕竟便宜好货更实在。希望店家多多优惠，及时通知老客户，促成回购。祝生意兴隆。</t>
  </si>
  <si>
    <t>满意 很合身...版型也可以 ...满意</t>
  </si>
  <si>
    <t>秋冬款肥大 裤子略肥,适合秋冬穿,虽然都是38的,但明显比修身的那款肥,裤腰也肥,估计腰围3尺的也能穿,裤腿是大直筒,大象腿也不怕</t>
  </si>
  <si>
    <t>高品质，做工细致的音箱 这款是千元级音箱中性价比最好的，用了不少的音箱，二千多的效果还不如这款。</t>
  </si>
  <si>
    <t>东西还行 内里掉毛，里面穿的衣服沾了很多毛，不知道这种衣服是不是都是掉毛，也没穿过别的牌子的。</t>
  </si>
  <si>
    <t>good 好漂亮，特别喜欢</t>
  </si>
  <si>
    <t>很合适 还没洗，颜色很漂亮，当时买的时候就怕胸围太大了，没想到家人挺能撑衣服的上身合适，193，体重240，美码XXL</t>
  </si>
  <si>
    <t>不错 身高185 体重170 买的M 适合冬天健身</t>
  </si>
  <si>
    <t>帮朋友买的，是否日产的？ 杯子很轻，保温性能好，携带方便。</t>
  </si>
  <si>
    <t>轻量化，好打理。 包装非常完好，运送速度感觉比以前快多了，这个锅主要就是轻，老人使用方便。</t>
  </si>
  <si>
    <t>实惠，快捷、质量有保障 正品，和代购的有些区别，这个带盖子，代购的没有。滤水能力很强，不愧是零水。发货速度也算快的，收货地在内地二线城市，美国直邮到手10天左右，算上关税比代购便宜近两百，划算。不足之处是外包比较破，以为会出问题，好在仓库发货时多套了一个纸箱，货品无损。</t>
  </si>
  <si>
    <t>保温效果超好 除了在国外买东西我只有在亚马逊买，相信是正品</t>
  </si>
  <si>
    <t>可以 还没用 希望好用 应该不错的</t>
  </si>
  <si>
    <t>还行 裤腿有点长 整体感觉还不错 就是裤腿有点长</t>
  </si>
  <si>
    <t>小朋友的最爱 小朋友特别喜欢 手感好</t>
  </si>
  <si>
    <t>很好的机器 非常好的机器，每天都在用。</t>
  </si>
  <si>
    <t>好 质量还不错 早知道买大一码 日本码可能对于微胖的人来说 最好买大一码</t>
  </si>
  <si>
    <t>多功能料理机中的精品 功能全，操作方便</t>
  </si>
  <si>
    <t>性价比高 音质不错，性价比高，是否耐用需要时间检验</t>
  </si>
  <si>
    <t>果断下手 刷头软，好刷，价格也美丽，应该多买的！</t>
  </si>
  <si>
    <t>尺码 鞋子寄过来鞋盒烂了，里面鞋子大小合适，很赞 平时Nike运动鞋穿44码，这双买的42码一直担心会买小了，没想到刚刚好，给大家一个参考</t>
  </si>
  <si>
    <t>价廉物美 宝贝价廉物美，合身。</t>
  </si>
  <si>
    <t>亚马逊打开海淘之门 总共才112软妹币！速度快，容量大，完美！</t>
  </si>
  <si>
    <t>这款的帽檐是略宽 帽檐比原来买到的款式宽，适合脸型大点的买家</t>
  </si>
  <si>
    <t>不是纯棉 不是纯棉的，不太舒服，起球！大小还可以！</t>
  </si>
  <si>
    <t>这一次海淘体验不愉快 产地印尼，实物不如图片酷，没有图片上的圆润，鞋底及鞋边很硬，存在溢胶情况，穿起来稍有些挤脚；下单第三天发现降价约20%，联系客服说无法补差价，可以拒收，但关税无法退；物流神速，从美国到收货仅8天时间，咨询栏中都是中文问答，本人对是否真从美国发货存疑；说实话，挺想退货的，但是怕麻烦，不折腾了。</t>
  </si>
  <si>
    <t>版型过于松身 裤脚位置布料太松，不够紧实，整条裤子的布料都比较偏松，穿久了会比较松垮，不利于整体造型，感觉有点被照片骗了</t>
  </si>
  <si>
    <t>很失望 很失望的一次购物，本以为海外自营有保障，收到货发现左耳棉有开裂，听声音感觉不如三十元的街边货！怀疑假货。</t>
  </si>
  <si>
    <t>小的没法穿，笑话，比马甲长一点 这是个笑话，大家千万别买，我一米六，110斤，只能穿到膝盖，退货扣款125，留着给女儿正好，女儿五岁，马上可以穿了</t>
  </si>
  <si>
    <t>最失败的一次购物 最失败的一次购物，衣服用料真的太差。</t>
  </si>
  <si>
    <t>不错 还不错的，价格也合适</t>
  </si>
  <si>
    <t>ok 给孩子买的，不错</t>
  </si>
  <si>
    <t>合适 平时穿38/39 这次买了38.5 想着垫个鞋垫刚好合适</t>
  </si>
  <si>
    <t>太短了，尺码不准 裤子腰合适，臀部合适，就是太短了。ck的尺码总是不一致。还有，这是我买到的第一条裆部用扣子的ck</t>
  </si>
  <si>
    <t>好评 身高174，体重76，非常合身，穿在身上的感觉也很舒服，没看见明显的线头和瑕疵，以后T恤都在这里买了</t>
  </si>
  <si>
    <t>很不错 非常满意</t>
  </si>
  <si>
    <t>合身 183cm，80kg，穿w32l32刚好，裤子也不错</t>
  </si>
  <si>
    <t>质量很好 日本的质量似乎是要比欧美的好一些，然后尺码偏小一点，178/70kg选L 刚刚好，很合适，穿着也很好看。</t>
  </si>
  <si>
    <t>赞 囤货，东西很好，很漂亮</t>
  </si>
  <si>
    <t>很不错的一条裤子 我在国内买裤子穿38~40的裤子，开始看评论还担心材质不好或者大小不对，其实过度担心了。现在就我的情况介绍一下，给各位大码的同学一点参考。 我身高192cm，体重101kg，腰围在2尺9到3尺的样子，穿这条裤子，腰稍微紧，但是合体，长度略微长但是穿皮鞋这些就完全没问题。</t>
  </si>
  <si>
    <t>尺码偏小哦 质量还是不错的，买小了就是。可惜。</t>
  </si>
  <si>
    <t>皮质好 鞋子皮质细腻手感柔软</t>
  </si>
  <si>
    <t>还想再买个兔子 了解它的好，用着就会很开心。生产线在中国，是按日本销售标准制造的，日本人就是通常把最好最新的东西给自己国人用，所以买日版的意义根本就和产地无关，日版保温保冷不配吸管，只有单独保冷的才配吸管，是为了幼童的安全。杯套拉链是ykk的，档次一点都不低，贴纸的小狮子也很可爱，非常喜欢。</t>
  </si>
  <si>
    <t>旅行电水壶 非常满意。</t>
  </si>
  <si>
    <t>鞋码要选小半码的 鞋子穿在脚上其实很轻很薄，脚感很好。 尺码的话和clarks其他款型一样，相比于国内运动鞋尺码大半码。我自己平常运动鞋43码，UK8.5；clarks买小半码即UK8的，刚刚好。</t>
  </si>
  <si>
    <t>很漂亮 送给外甥女的，她很喜欢</t>
  </si>
  <si>
    <t>女朋友超喜欢 挺好的，女朋友超喜欢。</t>
  </si>
  <si>
    <t>东西不错 东西不错，这种材质只能轻洗！</t>
  </si>
  <si>
    <t>just so so 还行吧，计时的长针指向不准</t>
  </si>
  <si>
    <t>很喜欢、不错的 稍大点，老美和中国有点小差异，还是很棒的，很喜欢</t>
  </si>
  <si>
    <t>做工好，轻便 适合炒菜</t>
  </si>
  <si>
    <t>很棒的牛仔裤 的确，不错。国内很难有这种经典款式了。明显与国内牛仔裤不同，买得很值！</t>
  </si>
  <si>
    <t>推荐 特别像小时候中华牙膏的味道，喜欢，泡沫丰富，使用方便，推荐</t>
  </si>
  <si>
    <t>面料 做工 颜色 都非常有品质！i 如题所示吧，很喜欢的，然后和尺码对照里面一样的，所以 这样也不会存在大小问题，很合适呢！！！就是裤腿长度要注意咯！！！要量好！！！</t>
  </si>
  <si>
    <t>不错 不失所望，可爱且好用，宝宝七个月大，看着奶瓶笑哈哈的，也喜欢用它喝奶</t>
  </si>
  <si>
    <t>超值 非常喜欢，速度很快，就是太沉了</t>
  </si>
  <si>
    <t>喷水力度太大 力度太大，牙龈受不了，即使是最低档也会导致牙龈出血</t>
  </si>
  <si>
    <t>质量与品牌不匹配 总体来说还可以，腰特别高，所以显的有点大。在亚马逊上买了两件冠军的衣服，总体感觉不是个大品牌，或品质与大品牌不符。</t>
  </si>
  <si>
    <t>长得很廉价 送来，包装也没有的，直接裸奔。皮革被压了有点变形，味道很大，而且莫名其妙手上沾了黑色的油墨，不知道是不是锁边化了，几百块的一条皮带……早知道不如买tommy了呢……手动再见</t>
  </si>
  <si>
    <t>让2让人 不是本人穿，不清楚，还行吧</t>
  </si>
  <si>
    <t>质量太差了，变形褪色严重 质量太差了，变形褪色严重。太太太太差了。</t>
  </si>
  <si>
    <t>还是不太推荐 裤子非常非常非常硬。穿着也不太舒服。</t>
  </si>
  <si>
    <t>真伪难辨 微信二维码识别和旁边码不一致，其它部分软件二维码无法识别，瓶底合模线处有不规则凹痕，瓶盖无标志贴纸，疑似非正品。服用几个月后体检竟然出现骨密度降低情况。</t>
  </si>
  <si>
    <t>不错 适合比较秀气的男士戴，还行。</t>
  </si>
  <si>
    <t>这款鞋 脚背窄，不符合亚洲人的脚型。 如果非要买的话，建议买大半码</t>
  </si>
  <si>
    <t>不错 鞋子很轻，皮质也不错，外形好看，平时穿41的运动鞋，买的41的，也很合适。但是有两点跟预想的不一样。首先鞋舌不是皮质的，不过有弹性，整体化的鞋舌。其次，鞋底也不是橡胶的鞋底，不知道是否耐磨！</t>
  </si>
  <si>
    <t>鞋子有点瑕疵，不过影响不大，客服服务很好 大小刚好，选码时注意要看海外购的码，不要看自营的码，鞋子本身有一点瑕疵，不过客服处理的很快</t>
  </si>
  <si>
    <t>大小不太合适。 本人186/78KG，买的L码，质量还不错。厚实并且柔软。肥瘦正好，就是裤长太短，七分裤。想裤长够用就得买大一号，但是其他指标就大太多了。总体来说应该是给偏胖的人设计的。（配套的上衣也是如此）</t>
  </si>
  <si>
    <t>收腰 445到手，收腰，老婆穿很显身材，腰粗的MM慎买！</t>
  </si>
  <si>
    <t>认准这个奶嘴 这个奶瓶主要还是小孩喜欢这种，也是奇怪，认准这个奶嘴</t>
  </si>
  <si>
    <t>冠军轻便裤 这是第二次购买了，轻便，透气，非常满意</t>
  </si>
  <si>
    <t>有型 美式风格，细节有瑕疵，整体质量很扎实。穿上版型不错，很好搭配显格调。</t>
  </si>
  <si>
    <t>很不错的购物体验 第一次海淘，很不错的一次购物体验。遇到问题，客服都很耐心的帮忙解决。物流虽然难点，对于我这种不着急的人来说，都无所谓。收到的商品也很不错，鞋子穿着很舒服</t>
  </si>
  <si>
    <t>性价比高！ 皮质款式满意！轻巧！</t>
  </si>
  <si>
    <t>大了 质量不错，就是太大，xl，胸围120cm，175高，M码完全足够！</t>
  </si>
  <si>
    <t>衣服尺寸合理，质量很好 穿着不错啊</t>
  </si>
  <si>
    <t>勺子挺好用的 不错，很好用，手握比较舒服</t>
  </si>
  <si>
    <t>非常划算 包装不错，奶瓶很可爱</t>
  </si>
  <si>
    <t>还不错，颜色好看 很漂亮，加热很快，虽然是塑料，但是做工还是挺细腻的，壶内有小红灯，希望不会坏</t>
  </si>
  <si>
    <t>完美 英亚走德国直邮回来的，完美，除了说明书是英文的，但是实实在在的价格优势在这么。</t>
  </si>
  <si>
    <t>Nautica Men's Feathered Edge with Double-Stitch... Nautica Men's Accessories 质量很好，穿着很舒服，满意。</t>
  </si>
  <si>
    <t>价格 价格很实惠，一直用的丝塔芙，之前买贵了</t>
  </si>
  <si>
    <t>满意的 非常满意买到的这双鞋，无论工作休息都能百搭，</t>
  </si>
  <si>
    <t>轻巧便携 这款不错，大小合适，看着小巧，却还能装下pad，自重很轻，希望耐用一些</t>
  </si>
  <si>
    <t>不错 实惠又实用，会回购的</t>
  </si>
  <si>
    <t>一年级使用 一年级使用。一直买日本铅笔，日本铅笔确实好。安全，给孩子用放心</t>
  </si>
  <si>
    <t>champion L码 175 96正合适 我平常穿175 96，这件L码吊牌写的尺码，最低限是175 96，穿着正合适。质量也不错</t>
  </si>
  <si>
    <t>Timex Men's Expedition Scout 40 材质一般，性能还可以，表盘夜光。</t>
  </si>
  <si>
    <t>第二次买了，还可以 质量不错，第二次买了</t>
  </si>
  <si>
    <t>很好 很好，就是不适合成年人戴，</t>
  </si>
  <si>
    <t>超级肥 超级肥，这个感觉130＋往上的穿这个号没准还行，退太麻烦了，送给我妈当睡裤了，对这个牌子失望了</t>
  </si>
  <si>
    <t>很一般的鞋子 鞋子包装比较简陋，就鞋盒外面贴了尺码标签，其余无任何关于鞋子的信息，鞋舌上也无尺码标，要不是亚马逊海外直邮都会怀疑是假货了。鞋子大小还是比较合适，就是右脚的鞋舌固定带有点硌脚，左脚就没这问题，总体脚感很一般，希望能耐穿吧。</t>
  </si>
  <si>
    <t>鞋子总体还可以，就是穿上显脚有些大 快递时间提早了几天，鞋子今天收到，绒面有些花，鞋子尺寸与国内同款稍稍大一些，穿上显脚大一些 总体感觉还可以</t>
  </si>
  <si>
    <t>就这样吧 跟图片的颜色差距有些大，略有失望，但款式喜欢，就这样吧</t>
  </si>
  <si>
    <t>垃圾裤子 如果看见实物我肯定不会买，如同地摊上20-30的裤子一样，做工粗糙，薄，手感极差。花100左右的价格任意买国内品牌也比这个强得多。</t>
  </si>
  <si>
    <t>不满意的一次购物 对我而言有点大 退货又不划算 而且刚买完就降价了 也不退差价 以后还是不要用亚马逊海外购了</t>
  </si>
  <si>
    <t>偏小，笨重，舒适一般 鞋子偏小，还好拍大了点，款式看起来有点笨重，鞋底有点硬，以为彪马产地一般是越南结果还是中国造！</t>
  </si>
  <si>
    <t>透气差 尺码正，写的百分百皮革可是好闷脚</t>
  </si>
  <si>
    <t>有点掉色 其他都还好，但是掉色。会把裤子弄脏</t>
  </si>
  <si>
    <t>puma 物流速度蛮快的，就是鞋子本身偏大，而我又选大了，能怎么样呢，自己买的鞋子含泪也要穿啊！</t>
  </si>
  <si>
    <t>略微肥一些 比现在修身款的裤子是肥太多了，有点没想到。还算能穿吧。</t>
  </si>
  <si>
    <t>物美价廉 物流很快，好杯子。</t>
  </si>
  <si>
    <t>春秋季薄款，价格很划算 含税 549.28。很划算，很舒服，大小不偏码</t>
  </si>
  <si>
    <t>呵呵MADE IN THE USA 呵呵MADE IN THE USA，与MADE IN CHINA比那不知差多少，做工太一般了。</t>
  </si>
  <si>
    <t>质量好 尺码标准，面料很厚</t>
  </si>
  <si>
    <t>不错 买小了，穿不了，给孩子穿了。</t>
  </si>
  <si>
    <t>柔软舒服 埃及制造很柔软，弹性足，34-36臀围买了L感觉稍微小，下次买xl试试看</t>
  </si>
  <si>
    <t>好，价格比某东实在 速度达到标准，稳定。之前买的760p老是死机退货了</t>
  </si>
  <si>
    <t>物有所值 象印的保温杯一直好用</t>
  </si>
  <si>
    <t>好看 可以拥有</t>
  </si>
  <si>
    <t>合脚，透气 尺码很准，给35码脚的男孩子买的，穿着很透气，款式了也好看，小白鞋很百搭，价格又实惠。</t>
  </si>
  <si>
    <t>性价比高 性价比极高</t>
  </si>
  <si>
    <t>海淘 颜色非常好看，大小肥瘦适中，亚马逊海淘值得信赖！</t>
  </si>
  <si>
    <t>性价比高而且体验真的满分 洗碗盐跟这个交替着用。这款真的超好超干净，而且洗完打开机子无异味。洗碗盐洗完打开机子会一股不好闻的味道，而且感觉机体壁上挂油！希望这款一直能有prime让我们好好享受这高端系列。</t>
  </si>
  <si>
    <t>东西好 ck的内裤买小号就行，其他牌子的中号，裤子贴身感觉不错</t>
  </si>
  <si>
    <t>物超所值 很漂亮，物超所值，还会买，1.68米，70公斤S码42刚刚好</t>
  </si>
  <si>
    <t>多福的一贯风格，硬滑。 没有菊顶的多福硬滑，总体还不错。这些年有些囤了货的笔友型奸商大肆吹捧英产打击法产，号称法产铱粒不耐磨却没见有对比的材料。扯铱粒了，可见其他没得扯了······</t>
  </si>
  <si>
    <t>颜色很好看 255的穿260正好，脚底偏软，缓冲力大。</t>
  </si>
  <si>
    <t>方便好用，粉色漂亮 价格实惠，发送时间快，很好上手。配个个舜红的变压器。</t>
  </si>
  <si>
    <t>合适，推荐购买 大小合适，我脚比较宽，穿着正好，买的自己一直穿的号，没有出现脚滑的情况，推荐购买</t>
  </si>
  <si>
    <t>很棒的餐具 很好颜值高又实用 勺子喂饭棒棒哒 镇店活动的时候买的特别超值</t>
  </si>
  <si>
    <t>质量好，172，72kg，s号，合身 质量真挺好的，给男朋友上班穿的，172，72kg，买的s号，看评论说号码偏大，又是polo衫，所以选择了s号。他还没有穿，看大小应该合身。</t>
  </si>
  <si>
    <t>质感不好 不推荐购买 裤子手感不好 做工一般 和淘宝五六十的裤子质感差不多 尺码严重偏大 190 210斤的人穿L正好</t>
  </si>
  <si>
    <t>有色差 比国内稍大，其实M就合适，不过这个色差，实物是蓝紫色那种，不是这种淡蓝，有点不好驾驭啊</t>
  </si>
  <si>
    <t>海外购了十几件，这是我唯一觉得一般的。 海外购了十几件，这是我唯一觉得一般的。</t>
  </si>
  <si>
    <t>性价比一般 拿到手时外包装被压扁了，硬盘很重，运行有声音，尤其是写入时，声音比较大，写入速度超慢，平均只有20M/s左右，放在桌面上，手扶桌面能感受到震动，只能说没买贵，性能真是太一般。 话说中国海关个人物品1000内不是应该不收税么？为啥亚马逊收了我税？</t>
  </si>
  <si>
    <t>假货 这个做工，莫不是德国温州小作坊闭眼睛生产的世界名牌毕加索？之所以不说是英雄因为我买的英雄都挂纸这个飞白～本来想退货但是没想到亚马逊自营卖假货把墨水吸进去了～算了～花钱买个教训吧，图片来自于国产非碳素～</t>
  </si>
  <si>
    <t>不错 还没有用，整体还可以吧</t>
  </si>
  <si>
    <t>解析高 耳机解析很高，佩戴还算比较舒适。低频弹性不错量比较大，不过高频有点尖细，中频染色比较重，和日常直白的拜亚调音有些区别。由于是封闭式的，声场有点小。</t>
  </si>
  <si>
    <t>品质 款式挺好，质量有待后期评论！</t>
  </si>
  <si>
    <t>异响 就是走办公室的地有响声外其他还好</t>
  </si>
  <si>
    <t>不错，挺好的 不错，挺好的，需要自己配一个笔囊</t>
  </si>
  <si>
    <t>喜欢 1.78米,75公斤m号很合身，防水，透气，保暖。提供一下M号成衣尺寸供参考：衣长71公分，胸围120公分，下摆112公分。另外图片有色差：石墨色第二图的颜色比较接近实物。</t>
  </si>
  <si>
    <t>就是产品的生产地想知道。 尺码正好面料也不错。前面我也买了一件同款的大号的还好退了，换了一件M号的是我想要的。</t>
  </si>
  <si>
    <t>Clarks Orinoco Club 女 生活休闲鞋 203409184065 黑色 40. 很喜欢，我的脚瘦长，平时穿40，这双刚刚好，关键是舒服，像量身定制的一样。</t>
  </si>
  <si>
    <t>衣服很好，价格性价比很高 需要买大一码</t>
  </si>
  <si>
    <t>很喜欢的大黄靴! 大黄靴就属Timberland，真正的经典款式，值得推荐！</t>
  </si>
  <si>
    <t>不错的手表 很漂亮，适合中等身高的男士</t>
  </si>
  <si>
    <t>大小可调节，帽材料很柔顺舒服 大小可调节，说大的，头是多小，最小的都撑不住？ 材料很棒，手感十分高级。</t>
  </si>
  <si>
    <t>中亚海外购淘Clarks性价比高 中亚海外购一如既往得好，10号下单，19号就收到货，来自英亚，第五双Clarks了！脚长270左右，以前都是UK8.5也就是US9.5,稍显宽松，这次下了UK8,稍窄，还是uk8.5合适，到手三零三超底价，赞</t>
  </si>
  <si>
    <t>不错，做工很好，备份盘中的首推。 mac系统直接识别备份系统，方便。在外置硬盘中声音算是很低的。usb3.0的传输算是还凑合，mac的雷电3接口加转换器没问题。 做工不错，比想象的小巧。实用。</t>
  </si>
  <si>
    <t>很棒 赶上活动 即使没有免运费也是相当的划算 正品自然没有什么好多说的问题 非常棒</t>
  </si>
  <si>
    <t>这款迷你背包挺合适 质量不错！大小合适！亚马逊还是值得信赖的！</t>
  </si>
  <si>
    <t>容易打理 这件体恤很容易打理，可以说是最喜欢的一款，所以买了两件，面料透气舒适，很光滑，不易脏，夏日洗后基本速干，也不会产生皱褶，总之体验很棒。</t>
  </si>
  <si>
    <t>还不错 从美国邮过来的，是正品。173的个子，200斤穿Xl基本合身，再胖点还能穿。这件衣服的版型是上宽下窄，胸口处、袖子都很肥，到腰部又收紧，会显得胖人很魁梧。瘦瘦人的穿起来就是超宽松的那种风格。两面穿的，不过我个人觉得橘黄色那面不太好穿出门，太艳。</t>
  </si>
  <si>
    <t>硬盘非常好 USB3.0的速度真的是非常快，把机械硬盘的极限发挥出来了</t>
  </si>
  <si>
    <t>适合女宝 粉嫩粉嫩的 适合女宝宝 感觉一个杯子可以用好多年</t>
  </si>
  <si>
    <t>很漂亮， 外观很漂亮哈，速度也不错</t>
  </si>
  <si>
    <t>质量还是不错的， 质量还是不错的，布的</t>
  </si>
  <si>
    <t>很好 非常好，轻质，果断又买了一个</t>
  </si>
  <si>
    <t>好好好好好好好 合适，和想象的一样！</t>
  </si>
  <si>
    <t>价钱便宜 做工差 可以 高级套鞋 再也不怕下雨天了 包装是真的差鞋子里垫撑只有一个 鞋舌歪</t>
  </si>
  <si>
    <t>东西很好，UPS是个坑。 音箱没话说，除了开机时有10秒左右的高频底噪，别的时候音质很好，这么小的音箱能发出非常好的低音。  但这次的UPS实在是太滥。同样的地址，别的快递都能送到，就UPS说地址错误。有问题也不和我电话联系，确认投送位置。我发现问题，打电话回去，要不就是等10多分钟没人接听，要么就是不知道哪国人，能把地址听错喽，如果不是我（又是客户自己）及时发现，还不知道会拖到什么时候去。往返数次后，最终UPS竟然无法投递，在10号上午交给顺丰转运，于是10号下午就收到了。  不知道UPS的工作人员都是从哪里来的，低能、混乱、懒惰、推诿，给客户的体验极差。评分扣2颗星就是因为UPS。这还是试用Prime会员时的速度，如果还是使用UPS，我以后会尽量避免再使用亚马逊的海外购。</t>
  </si>
  <si>
    <t>不知道是真假，没有泡沫没有奶味 我是第一次使用欧普的这款蛋白粉，这一次是在亚马逊海外直营购买。说下我的疑问:1，是有封口的，看之前评价都说没有封口，但我收到的是有封口。2，没有泡沫泡有奶味没有粘度滑度，就像水里泡了巧克力味的香料。一丝泡沫也没有，喝起来除了淡淡巧克力味就是水的味道。我之前一直喝国产健乐多的乳清蛋白，有泡沫和奶味，入口也是滑滑的像蛋清。只是这款一点没有，感觉是完全不同的东西。我真不知道就是这样子的，还是买到了假货了。</t>
  </si>
  <si>
    <t>到手试听 音质不见的太好，配带不舒服，老是会掉。</t>
  </si>
  <si>
    <t>对CASIO的手表很失望 手表内下方的小圆盘计时针不正，海外购难换货退货……</t>
  </si>
  <si>
    <t>色差严重 颜色相差太大了，就是看着图片这种浅色的才买的，结果色差太大了，发过来的明显颜色要深很多</t>
  </si>
  <si>
    <t>弹力大 167/58，因为腿比较粗所以选了 L/LL号，结果有点点大，因为裤子的弹性很好，可以包住腹部，很保暖，不过是竖纹，而且比较厚，感觉不太适合外穿，准备当普通秋裤穿了。很暖，10度以上没问题。</t>
  </si>
  <si>
    <t>推荐！ 我用了两个月了，整体感觉真的不错，卓越小件信得过。就是送货时间不太统一，每一次间隔时间差别太大，有时两三天，有时十多天。希望卓越改进！！！</t>
  </si>
  <si>
    <t>产品很好，包装太次 按家里的那双的尺寸买的，东西也是不错，就是包装太次了，产品原包装再加塑料袋！！！</t>
  </si>
  <si>
    <t>大了 大了，送家人穿</t>
  </si>
  <si>
    <t>还不错 不能加开水，刚买回来有一点味道</t>
  </si>
  <si>
    <t>板型不错 性价比高，板型不错</t>
  </si>
  <si>
    <t>声音好，花钱值 挺好的，声音要比blue yeti好听太多，明亮不闷，拾音范围很广，用起来超级方便。美中不足，耳机大概每50秒就会有5秒电流声，不知道是电线供电不足还是产品固有的缺陷。上次写的电流声是因为没安装驱动导致的，不安装驱动可以用，会有电流声。安装就好了，对产品满意。</t>
  </si>
  <si>
    <t>很喜欢这个杯子 非常好用，易于清洁，就是还得自己去买个套</t>
  </si>
  <si>
    <t>标准 五天就到了，惊呆了，鞋子质量不错，是标准的40.5码</t>
  </si>
  <si>
    <t>无比顺滑 过年的时候在专柜试用了2000，被震撼到了。终于入手，书写感绝佳！而且每天书写500字左右，墨水容量够用一星期。 亚马逊物流挺快，一周到手。最重要的是性价比超高，不担心买到假货或二手货。</t>
  </si>
  <si>
    <t>好喜欢很好 很好，很喜欢，尺码也合适。</t>
  </si>
  <si>
    <t>好东西 勺子超级好，光彩照人。</t>
  </si>
  <si>
    <t>厚重 我买的是中号的，作为男人，拿起来很吃力。 做工精良，美国货就是好!</t>
  </si>
  <si>
    <t>下次还要买！ 很好！老爸很喜欢！很合适！</t>
  </si>
  <si>
    <t>质量好 170.68公斤S码刚好，质量不错，无色差，厚薄适中。</t>
  </si>
  <si>
    <t>很好 鞋子很好我卖时加运费才385</t>
  </si>
  <si>
    <t>无 鞋子不错，第一次购买，对尺寸没理解，偏小了点</t>
  </si>
  <si>
    <t>很宽松 瘦子要慎买，这款真的要有肉才撑得起，177  75kg买M合适，穿上去好魁梧的感觉</t>
  </si>
  <si>
    <t>做工好 结实耐用，就是感觉稍小点，除了钥匙钱包其他也装不了啥</t>
  </si>
  <si>
    <t>在造型上合理 给小孩学习用，在造型上合理</t>
  </si>
  <si>
    <t>满意 奶嘴还是日本的质量好</t>
  </si>
  <si>
    <t>很好 相当不错的裤子 款式 质量都好 这是第二次购买了 一次买了好几条</t>
  </si>
  <si>
    <t>第一双买软皮的就是这个合适 种草了很久，因为有一个会员免费试用免运费，所以就尝试了在亚马逊上海淘了一下，速度非常的快啊，感觉七八天左右，价格还好吧，1000块钱左右，平常穿运动鞋是40码，我176，这双买41码的，挺合适的，略大一点，能够放两厘米的增高鞋垫，第一次穿的时候把里面的鞋垫拿出来后穿上薄薄的长袜子，觉得不磨脚，很舒服，加上增高鞋垫的话，会感觉比较压脚背，正常穿的话也还行，本来是想买硬皮的，买错了，买成这款软皮的，想要退货，但是又做了一功课，听说硬被不好穿一双马丁靴还是买好的吧，以后如果可以的话，再买一双硬皮的吧，真的对腿型很有修饰作用，包裹住脚踝最细的地方，整体的脚看起来就更加直一点，一下子显高了，腿直了，光腿穿搭配裙子软皮的确实好看，搭配工装裤什么的都可以，第一次穿两厘米的增高鞋垫和马丁靴，出门半天也还好，就是走路不多，基本上坐着开会，以后慢慢的增加，走的机会，应该会慢慢的越穿越贴合脚型，我还买了很多硅胶套套在脚上的脚趾头和脚后跟的，感觉都用不上了，因为不磨脚，上下楼梯的时候会感觉前面有点压着小腿</t>
  </si>
  <si>
    <t>实物非常漂亮，穿着包裹性好，很舒服 非常满意，实物跟图片一样，爱了</t>
  </si>
  <si>
    <t>大了点，一定要买小一码。 大了点，一定要买小一码。</t>
  </si>
  <si>
    <t>lee牛仔服到货了 合身美国m和国内l差不多，很休闲面料不硬比较薄，很舒服</t>
  </si>
  <si>
    <t>不合身 太大不能穿 退货又麻烦</t>
  </si>
  <si>
    <t>海外购 包装有点简陋，而且感觉不是很干净</t>
  </si>
  <si>
    <t>亚马逊客服真垃圾 鞋子有划痕，穿一条破了皮还把我脚磨破了 找客服 客服表面笑嘻嘻背后来一刀，各种借口不肯赔偿一定要你退。而且还要先给运费，真垃圾。卓越早点倒闭。</t>
  </si>
  <si>
    <t>虚标虚标虚标虚标虚标虚标虚标虚标 速度严重虚标 写入速度20MB顶天了 垃圾东西</t>
  </si>
  <si>
    <t>ck 穿着不舒服，嘞，面料不好</t>
  </si>
  <si>
    <t>国产正宗42脚，买9m正好合适。 我是42的，买的9M正好合适，大家可以做个参考。鞋子可以，就是好像被抽检了还是怎么，整个鞋盒破破烂烂的。</t>
  </si>
  <si>
    <t>质量一般般 还可以吧……不错……质量一般般</t>
  </si>
  <si>
    <t>偏大一点点 平时穿41，这次买的41偏大，好在还能穿吧，鞋子没有什么大的瑕疵，就是盒子有点烂了</t>
  </si>
  <si>
    <t>简洁 大方（降价太快） 蛮喜欢，就是稍微大了一点（降价太快了）</t>
  </si>
  <si>
    <t>性价比不错，值得拥有！ 耳机整体性价比不错。半入耳设计，耳塞大小适中，佩戴比入耳式的舒服，找了好久才找到这种款式的。音质对得起价格。蓝牙连接稳定。不知道为什么那么多差评，买到后发现担心是多余的。客观的说，电池有点大，不过线放到脖子后面，不影响。比某东便宜好多啊。还是值得入手的。</t>
  </si>
  <si>
    <t>很满意的大黄靴 研究了很久的大黄靴。终于买到了，码数很合脚。6.5us就是我们平常穿的39码半的脚。12909是低配的。鞋舌内里是绒布，不是皮质。鞋垫也不是皮制。不过相对来说，这700块到手的价格还是很优惠了。</t>
  </si>
  <si>
    <t>强烈推荐 穿着自如，裤袜不会掉，不卷边，还紧绷瘦腿，目前穿过最好的裤袜</t>
  </si>
  <si>
    <t>鞋子不错 鞋子不错，尺码合适，但刚到货，就减价30是什么意思</t>
  </si>
  <si>
    <t>好 非常精致，还带夜光效果，很喜欢😍</t>
  </si>
  <si>
    <t>便宜好用 做工比较粗糙，但是挺好用的，用了一个月没什么毛病</t>
  </si>
  <si>
    <t>质量很好 质量很好，并且有抓绒，春秋季穿不交不错</t>
  </si>
  <si>
    <t>衣服不错 买时没注意修身款的，穿着感觉还不错</t>
  </si>
  <si>
    <t>质量没的说，但要注意买小一号。 175CM,90KG,L号正好。老外的号比咱的大一个号。</t>
  </si>
  <si>
    <t>舒适度百分百 超级舒服！就是腰围太肥了，腿正好，宽松的，腰的绳子勒紧了坐下来很痛，松了裤子太长……不过超级舒适，很薄，透气！很喜欢</t>
  </si>
  <si>
    <t>身高，体重，尺码 这件衣服不错，值得入手，185，110公斤，XL</t>
  </si>
  <si>
    <t>好，原装。 德国制造，我很喜欢。</t>
  </si>
  <si>
    <t>物美价廉 啥也不说了，鞋很轻，很舒服，和国内的尺码一样，可价格差距太大了，价格太美丽了，德亚一周到货，超赞</t>
  </si>
  <si>
    <t>good  quality 非常棒是我买过的最好的鞋，very good</t>
  </si>
  <si>
    <t>大小合适，比反毛皮的硬很多 果然是运动鞋43码买这个42码，穿着袜子还稍微有些晃，买小一码没错。之前prime会员还收了我邮费，联系客服后很顺利的退还了，客服服务绝对好评！满分！</t>
  </si>
  <si>
    <t>MuscleTech肌肉科技 MuscleTech肌肉科技 缓释蛋白质粉增健肌粉，试用了，感觉还行，就是太甜了。</t>
  </si>
  <si>
    <t>希捷4TB硬盘 还不错，外观设计还可以，手感好，传输稳定，震动不明显不响，很好，性价比高，算上邮费和关税都还比国内的便宜，适合购买！</t>
  </si>
  <si>
    <t>老婆很喜欢、很乖的款式 老婆很喜欢、很乖的款式</t>
  </si>
  <si>
    <t>愉快的一次购物 品质很好，厚实的棉料，做工细致，非常愉快的购物体验。</t>
  </si>
  <si>
    <t>物美价廉 价格很美，袖子有点长。配北面的冲锋单衣正合适。</t>
  </si>
  <si>
    <t>尺寸和国内一样，质量做工一流 尺寸和国内一样，质量做工一流</t>
  </si>
  <si>
    <t>合适 价格喜人</t>
  </si>
  <si>
    <t>合适夏天 喜欢，没让人失望，料子薄适合夏天穿</t>
  </si>
  <si>
    <t>尺码对照表非常不靠谱 按尺码对照表买的，大的像一件风衣，邮寄时间超长，退换货非常麻烦且成本高，以后不会再买这个海外购了。还是老实买些电子书看看吧！</t>
  </si>
  <si>
    <t>速度不是很快。不值这个钱。 速度不是很快。不值这个钱。</t>
  </si>
  <si>
    <t>三星，无质量问题，也很合身。 首先，无质量问题，也很合身。左撇子链，真的很不习惯，很难拉好，扣一星；国产，不是说国产不好，而是这货从另一半地球来，还过关交关税，舟车劳顿，为了抚慰它的心灵，好吧，那就再扣一星压压惊。</t>
  </si>
  <si>
    <t>偏小，实际尺码是8G 原来穿的UK8是8H偏大一点，这个UK8G偏小</t>
  </si>
  <si>
    <t>实物与图片不符，不要买 颜色超级浅，根本不是图片颜色，买后悔了，除了价格便宜外，其他一点都不值得，不要买了！</t>
  </si>
  <si>
    <t>选码 我买了两件一件S，一件M，M号大，S码就挺合适，171/138，体脂18</t>
  </si>
  <si>
    <t>黏糊状类似机油 东西刚收到，包装的不错，拆包后东西表面有一些黏糊的油状物，不知道是不是漏机油了，还没用，希望好用</t>
  </si>
  <si>
    <t>Ok 还好吧，但是杯盖里面很粗糙</t>
  </si>
  <si>
    <t>其实西数那款更好。不着急可以等好价 后来又下了个西数，据说西数盘好。希捷中途换过盘，变差了。不厚道。不讲究。用着还行吧。</t>
  </si>
  <si>
    <t>鞋子很漂亮，舒适度不够 鞋子很好看，但是鞋背有点低，压脚，鞋底硬，不过这个鞋子也不指望有很高的舒适度，但是样子是真美，赞</t>
  </si>
  <si>
    <t>经典LOGO 168/120穿L稍微有点宽松，经典LOGO款好看，面料也不错。</t>
  </si>
  <si>
    <t>质量很好，不过要注意的是，这个大护垫。小小一片哦。 质量很好，不过要注意的是，这个大护垫。小小一片哦。</t>
  </si>
  <si>
    <t>味道很好，感应灵敏 不要和绿萝放一起，原因是挂在窗台上的绿萝被风一吹，洗手液就噗噗噗往外冒，晚上回来一屋子柠檬味，没错一整瓶都没了，还好有备用的，平常放置，不会因为手来回晃动而感应，只会在特定区域感应，东西还是不错的，绿萝的下场是下垂的枝叶，咔咔咔的都剪了</t>
  </si>
  <si>
    <t>值得购买 质量很好，属于紧身款，尺码偏小。</t>
  </si>
  <si>
    <t>物流超快的，一周就到了。 活面的时候噪音很低，效果很好，不足是电源线是不能自动收缩进去的，不用的时候也一直拖在外面。还有居然没有外包装箱，拿到手的时候包装盒比较惨不忍睹，里面的塑料机身有小擦伤。</t>
  </si>
  <si>
    <t>好用实惠 买来给全家用，8支装的算下来单价就比较低了，随便更换不心疼。</t>
  </si>
  <si>
    <t>品质稳定，恰到好处～ 这一款咖啡机很适合两口之家，豆仓、咖啡渣盒和水箱的容量都不大，但对于一天三四杯的量来说也是足够了。机器体积不大，比较不占地，制作的咖啡品质稳定也效率高。虽然都说全自动咖啡机格调没有半自动的高，更是不如手冲，但是对于每天早上都急匆匆的上班族来说，这应该是最为恰到好处的咖啡解决方案了。最后再说一点很主观的评论，或许之前胶囊买的不太对，喝完这款咖啡机做出来的咖啡以后，真的对那些胶囊对出品再没兴趣了。</t>
  </si>
  <si>
    <t>评论 挺暖和的，裤腿太肥，腰围稍微瘦了一点点</t>
  </si>
  <si>
    <t>很精致 到货很快，台灯很美。</t>
  </si>
  <si>
    <t>太小了 就是小了点</t>
  </si>
  <si>
    <t>非常棒的一次购物 非常棒的一次购物，物流迅速</t>
  </si>
  <si>
    <t>弹性足，不太扎 168/58 ，这个尺码正好，弹性不错，黑色太贵，灰色也可以接受，50%羊毛，价值200+的袜子，一定要够暖呀～</t>
  </si>
  <si>
    <t>划算 家庭用，方便实用，价格划算</t>
  </si>
  <si>
    <t>质量很好 围巾颜色很好，质量不错，价格实惠</t>
  </si>
  <si>
    <t>lamy2000 书写手感非常好，平时适合书写，之所以上亚马逊买看准的是正品保障</t>
  </si>
  <si>
    <t>尺码适中，质量也很好 买之前很担心尺码问题，根据网上大家的评论后认真做了功课，毅然下手，160，52公斤，小码，刚刚好。质量上不用说，虽不是一片式，但是也很舒服，加上冲着这个牌子也不会差，非常适合</t>
  </si>
  <si>
    <t>包装很好 担心的包装问题完全没事儿，硬纸箱包裹的产品，丝毫没有破损。</t>
  </si>
  <si>
    <t>好用的奶瓶 宽口径泡奶很方便，颜值也高，不怕摔，只是奶嘴越来越贵啦</t>
  </si>
  <si>
    <t>很舒服 正品 特别好看 穿着很舒服</t>
  </si>
  <si>
    <t>咀嚼片，练练牙齿 这个品牌值得信赖</t>
  </si>
  <si>
    <t>非常好。 正品，结实。物有所值，比商场便宜多了。</t>
  </si>
  <si>
    <t>值得购买 质量好</t>
  </si>
  <si>
    <t>风格 果然与众不同，很享受这次购物</t>
  </si>
  <si>
    <t>亚马逊的prime大赞，从下单到鞋子入手7天！ 还是修改一下评论吧，样子非常喜欢，做工稍糙也能忍，就是磨脚受不了啊，本以为穿一段时间会好，2个月过去了，还是磨脚，受不了了，鞋底浅色那个夹层，脏了清洗不掉，很难看，没下手的朋友好好考虑一下！！！还有，鞋面居然也掉色，用湿布一擦就掉色，这以后可怎么打理啊，有一只已经有点发白了</t>
  </si>
  <si>
    <t>没有预期的好 没有预期的好， 听起来不像千元的货（某东的价格）</t>
  </si>
  <si>
    <t>这裤子太肥大了 可能老外比较壮硕吧。我都已经二百斤了，我还是觉得这裤子太肥大，腰倒是合适，裤腿和水桶一样粗，丑死了。</t>
  </si>
  <si>
    <t>两个月就坏，没有售后，垃圾 亚马逊这次超级差，买了刚两个月就坏了！而且没有办法售后和维修！如果能给0星绝不给1星。某东和某宝都没有那么高损坏率，强烈建议不要购买！</t>
  </si>
  <si>
    <t>瑕疵 二手商品 慎买 满怀期待等到商品回来 按达人经验用水泡一个小时后启用 在擦干笔水分过程中 笔尖有蓝色墨水渗在纸上 起初还自我安慰没准商品检验过程中沾墨检验过 当纸巾塞进笔管时 大片蓝墨水渗在纸巾上 很失望 请教：退货方便吗？</t>
  </si>
  <si>
    <t>买它请慎重！ 首先说我自己感受，真的压脚背，压的脚疼的不行，我以为我能忍，但是当我换了一双皮鞋才发现，没有对比就没有伤害，clarks这鞋子就是一个辣鸡，强烈不推荐，除了样子还可以，当然也许翻毛皮的会软一些，要买的各位一定慎重！！！</t>
  </si>
  <si>
    <t>大了2号 我173CM  68KG 平常穿32的裤子合适，感觉这一款只能穿30的，给我爸穿了刚好合身，就懒得换了。</t>
  </si>
  <si>
    <t>裤子还可以 第一次在亚马逊上海外购买东西，感觉还行，就是时间长点</t>
  </si>
  <si>
    <t>没赶上最低价 刚需，没赶上最低价，将就用吧</t>
  </si>
  <si>
    <t>不知道是不是从美国寄来的 东西还可以，不知道是不是美国发来的，买了好几件东西，都是美亚商品，分了两个包裹，但是包裹是塑料袋，不是纸箱，很是怀疑是不是美国寄来的，同事也买过几次，都是纸箱寄来的，有点担心！</t>
  </si>
  <si>
    <t>鞋子 鞋子质量蛮好，就是尺码偏小，脚长25.5cm ，26的有点挤，建议大1-2号</t>
  </si>
  <si>
    <t>很好 怀孕期间用可以缓解耻骨疼痛，产后还在坚持用希望可以缓解。价格比淘宝便宜好多</t>
  </si>
  <si>
    <t>舒适度高，保暖性好。 很柔软也很暖和。</t>
  </si>
  <si>
    <t>性价比超高 轻薄又保暖，很好</t>
  </si>
  <si>
    <t>效果不错 理平头效果不错，但鬓角需要单独处理。价格比淘宝代购贵40~50元</t>
  </si>
  <si>
    <t>不错的购物体验 腰围尺码和国内一样，裤腿比一般国内直筒稍微阔了一点点，45cm的样子</t>
  </si>
  <si>
    <t>喜欢。配送非常快，到货五天 很轻，便携，没有气味。这个颜色蛮喜欢的，如果是哑光就很完美了</t>
  </si>
  <si>
    <t>烧水壶 很好👍，值得购买，有质感，比国内的品牌好太多了。</t>
  </si>
  <si>
    <t>好 182CM，体重80KG，L号可以😊</t>
  </si>
  <si>
    <t>很贴身 穿着挺舒服的，袖子刚开始有点窄，穿了一下之后就好了。</t>
  </si>
  <si>
    <t>舒适 舒服😌弹力十足……</t>
  </si>
  <si>
    <t>合适 挺保暖，这个天穿刚好</t>
  </si>
  <si>
    <t>很好 很赞的奶瓶，比店里和某宝上便宜很多。正品哦。</t>
  </si>
  <si>
    <t>很平直的监听需要 因为不是600欧被拉掉0.5分的耳机，我只能说为此不值，不懂监听就不要乱评</t>
  </si>
  <si>
    <t>好喝，这个味道真不错 我不晓得是不是配方不一样，但是我要说的是，美亚过来的可以用12🈷室温是15度左右的水冲泡，却没有饼饼，而国内官方代理的同等条件下却会有结块现象（味道是不同的，上次国内官渠是巧克力口味的）。</t>
  </si>
  <si>
    <t>橡皮 非常喜欢，擦得也很干净，以后还会继续购买。</t>
  </si>
  <si>
    <t>很好用 很实用的餐具，不错不错</t>
  </si>
  <si>
    <t>质量不错 174，72kg，大小刚好。 质量也不错</t>
  </si>
  <si>
    <t>呵呵呵 面料非常好。有质感。不是软塌塌的</t>
  </si>
  <si>
    <t>看中了biom 鞋很好，但没觉得biom系列有什么太大的不同。</t>
  </si>
  <si>
    <t>一般 穿了一天就起球</t>
  </si>
  <si>
    <t>尺码表误差大 看到网友评论了大小，但是觉得大小都是相对的，有尺码表应该比较准确。而且买美版的衣服都是穿S。尺码表是标准美版尺码。但衣服版型是亚洲版。搞不懂了。</t>
  </si>
  <si>
    <t>硬得像石头 硬得像石头，虽然不是什么高级货也不用这样吧</t>
  </si>
  <si>
    <t>卡西欧 没有想象中好，100多就这样了</t>
  </si>
  <si>
    <t>塑料味很大很大！ 塑料味很大，很失望。不敢用啊</t>
  </si>
  <si>
    <t>非常差 布料非常硬，像是塑料的，裤型很肥，穿上身很滑稽，坚决不建议购买</t>
  </si>
  <si>
    <t>。。。真假？ 难以想象，直接说原包装坏了给你重新自己包一下。。。真假存疑啊。</t>
  </si>
  <si>
    <t>面料舒适 面料很薄，尺码合适。</t>
  </si>
  <si>
    <t>鞋 结实，大众。</t>
  </si>
  <si>
    <t>写出来的字有些粗 对比之前买的EF明显粗很多，有点接近之前买的恒星F笔尖，因为这款笔看不到笔尖型号不知道是不是发错了。有点小遗憾。</t>
  </si>
  <si>
    <t>硬盘这个东西，看运气 全新10t，通电次数6次，时间0小时，速度读写都是200m左右，扫了十多分钟，没有发现坏道，包装里有气垫防震，给四星，应该是从香港保税区来的，快递三天就到，发的顺丰，给好评</t>
  </si>
  <si>
    <t>性价比很高 比国内旗舰店的价格便宜一半，其实这类最低配的刷头区别不大，不懂为什么国内的最差型号也能买到40多一支，一次性买了10支，相信能够用到电动牙刷报废啦。</t>
  </si>
  <si>
    <t>低级错误 完全搞错，我买的是如图所示的立领，但发给我的是连帽衫。一次不愉快的购物</t>
  </si>
  <si>
    <t>弹力大 细毛线织的，弹力很大，颜色好，准备再买一双？</t>
  </si>
  <si>
    <t>非常合适 为了满200元，一共拍了两件，这是其一，尺寸颜色都合适。  另一件迟迟没发货，取消了。</t>
  </si>
  <si>
    <t>价格实惠 1.码数：严格按美码来买就是了（比中国码小一码来买）。 2.材质：合成纤维，排汗性透气性都挺好。 3.样式：旧旧的蓝色，衣摆属于长的那种。</t>
  </si>
  <si>
    <t>奶瓶杯 材质非常棒，保温无压力，外观超级喜欢！</t>
  </si>
  <si>
    <t>值得拥有 给老婆买的，她很喜欢。</t>
  </si>
  <si>
    <t>超大的一瓶 应该可以用很久吧。洗出来的碗很亮，提升幸福感。</t>
  </si>
  <si>
    <t>舒服 尺寸标的不是很准确，买大了，给我老妈穿了</t>
  </si>
  <si>
    <t>尺码参考 收到后非常满意，鞋子不错，够宽，脚长255平时穿42号脚肥，选的7.5uk 41.5号吧，穿的正合适。供大家参考。鞋子很厚适合冬天！尤其是防水南方没问题，哈尔滨冬天在外面不是很长时间的话也可以！专柜要1400，亚马逊入527。亚马逊靠谱，果断购买会员！</t>
  </si>
  <si>
    <t>超级舒服 帮同事买的，他非常满意，鞋子我也试了，穿起来真的超级舒服</t>
  </si>
  <si>
    <t>直筒裤膝盖以下太肥，买者注意了 膝盖以下太肥了，估计是我对直筒裤理解有误吧。质量很好</t>
  </si>
  <si>
    <t>上品 2尺5的腰围，国内码32，这个和国内码一样大小，非常合适，宽松样式非常舒适，比修身的那些款式好多了，不是那种很肥的，非常满意！</t>
  </si>
  <si>
    <t>满意 很好，很满意！感谢！</t>
  </si>
  <si>
    <t>ua的T恤的材料值得称赞！大小也合适！178 75kg的m码正好！ ua的T恤的材料值得称赞！大小也合适！178 75kg的m码正好！</t>
  </si>
  <si>
    <t>Seagate 希捷 Expansion 系列5TB台式机外置硬盘 第二次购买了，今天收到，赶紧试用了一下，没有问题，质量过硬，值得信赖！物流速度神速，一周到手，包裹包装严实，没有磕碰。</t>
  </si>
  <si>
    <t>便宜，物流快，正品，体验好。对亚马逊爱的深沉。 我知道这样很奇怪，然而抑制不住开心，出差后上班第一天拿到，不早不晚，对于不到一周的配送速度特别满意，似乎是五天。</t>
  </si>
  <si>
    <t>好看好用的餐具 很可爱！配色很棒！颜值妈妈必买。</t>
  </si>
  <si>
    <t>很舒服，鞋底较滑 很舒服，鞋底较滑</t>
  </si>
  <si>
    <t>非常好，还要买 173，80公斤，腿有点紧，其他都还行。布料软，很好，绝对值。33w30l</t>
  </si>
  <si>
    <t>颜值高，声音小 颜值高，声音小，功能实用，提高了生活品质和乐趣。要用变压器。有小问题，客服很快解决，对客服的服务很满意。</t>
  </si>
  <si>
    <t>贴身舒适人性化 穿上很舒服，贴身，里面的海绵还有文字提示左边右边，便于洗衣前后的拆装</t>
  </si>
  <si>
    <t>存货，包装粗糙 外观太旧了，包装很粗糙，一看说明书2015年7月的</t>
  </si>
  <si>
    <t>太小了，东西会出来 太小了，不实用，不明白为什么那么火，其实蒜臼子就很好用啊</t>
  </si>
  <si>
    <t>皱褶明显 看到那么多好评买的，收到时确实不错，但是穿了几次以后皱褶非常明显，很显旧，难以保养</t>
  </si>
  <si>
    <t>一定要检查好 7月份买来就丢着，南方这两天天气冷了刚合适穿，结果发现左䄂子两个洞。</t>
  </si>
  <si>
    <t>临期品 2018年10月就到期了，商品详情里面也没说明，收到货都5月了，果断的申请退货。申请一个多月了款也没退，联系客服 ，居然说两个月才算临期品，啥子霸王条款哦！亚马逊真是越来越垃圾了~！在线申请退货说明了理由，亚马逊也同意了，也把货收走了。要么我申请的时候你就不同意退货了，同意了现在不退是几个意思！垃圾！</t>
  </si>
  <si>
    <t>可以给零分吗？中奖了，各种瑕疵 可以给零分吗？中奖了，各种瑕疵</t>
  </si>
  <si>
    <t>还好 喜欢这个牌子，穿着舒适。</t>
  </si>
  <si>
    <t>还可以 量比较大 还可以 量比较大</t>
  </si>
  <si>
    <t>注意英亚的没有硅胶花瓣垫 英亚的插头不同有心理准备的，没想到和国行比还少了硅胶花瓣垫，另外吸奶口也没盖子容易进灰。吸奶器本身挺好，频率力度双调节，效果还不错</t>
  </si>
  <si>
    <t>容量太小 容积太小，但样子和质量都不错，送了配套管一套，看重这个才买的，中国制造。</t>
  </si>
  <si>
    <t>色差大 色差大 跟照片区别大 穿起来还算舒服</t>
  </si>
  <si>
    <t>很漂亮 做工很好，一看就是正品</t>
  </si>
  <si>
    <t>还可以 和国内的一样尺码，价格实惠</t>
  </si>
  <si>
    <t>东西不错 东西好用就是买不到配玻璃碗的盖子</t>
  </si>
  <si>
    <t>比较合适 参考前面朋友的评论，174/70公斤，买了S号大小刚好合适。手感，质量都还不错</t>
  </si>
  <si>
    <t>快递很快，质量可以 质量可以应该是正品，参加产品特价买的</t>
  </si>
  <si>
    <t>非常适合 188，100kg，穿xl，非常适合</t>
  </si>
  <si>
    <t>给孩子培养刷牙习惯 声音不大，充没有提示灯，不方便</t>
  </si>
  <si>
    <t>价格美丽 正品，对比国内的柜台或者天猫京东等都便宜。</t>
  </si>
  <si>
    <t>怎么有点稀呢？ 比以前买的稀很多，没那么稠</t>
  </si>
  <si>
    <t>鞋子不错 鞋子不错，停厚实的，适合大冬天穿</t>
  </si>
  <si>
    <t>美国海外购 这次亚马逊神速啊，下单后🇺🇸一周后就送达，货品尺寸合适，穿着舒适，点赞👍</t>
  </si>
  <si>
    <t>不错 面料厚实，总体来说还是不错的</t>
  </si>
  <si>
    <t>还不错 里面有薄绒， 比夏款偏瘦。 黑色偏灰。也算满意。</t>
  </si>
  <si>
    <t>很好 性价比高，适合老电脑升级</t>
  </si>
  <si>
    <t>面料舒服 买的稍大了，老婆脱裤子有时会一起脱掉了，材质舒服</t>
  </si>
  <si>
    <t>很好的皮带 收到的皮带是简单包装的，或许是国外比较注重环保吧。本人2尺6的腰围，买的34码，五个孔中正好系在中间的孔上，非常合适。个人感觉皮带很好，应该可以用好几年，搭配牛仔裤或休闲裤很不错。</t>
  </si>
  <si>
    <t>174㎝，65㎏比较合身 高174㎝，重65㎏，穿着比较合适，紧身面料，有点薄，一百多点入手，比较划算！</t>
  </si>
  <si>
    <t>尺码 S码，168cm，70kg衣服大小刚刚好，稍长一点。衣服质量挺好的，穿身上很舒服。</t>
  </si>
  <si>
    <t>保暖性高 虽然不是羽绒的，保暖性还是不错。170*67，S码合适</t>
  </si>
  <si>
    <t>煎锅 第一次用，感觉好，不粘锅，煎了原切牛排</t>
  </si>
  <si>
    <t>不错 拿到手，踏实，很精致，但包装和盆体均没有生产国</t>
  </si>
  <si>
    <t>好 正品无疑了，超级喜欢，圆了我的马丁梦</t>
  </si>
  <si>
    <t>美版s码感觉就比L码还要大 买美版衣服真的好揪心，XS的码数又少，码数又不准，有时偏大一个，有时甚至偏大两个码</t>
  </si>
  <si>
    <t>一般般吧 布料比国内版本薄很多，倒是凉快。袖口的标志为粘贴，洗了几次竟然掉了，惊人。em.....不推荐不阻拦购买，百元价格竟不如优衣库。</t>
  </si>
  <si>
    <t>包装待改进 就是包装太简陋了，希望改进用箱子，到的时候都是扁的，还好是硅胶奶瓶😂…价格很便宜</t>
  </si>
  <si>
    <t>差评 偏大很多 没想过一件衫两个标签，而且还藏在腋窝，无言</t>
  </si>
  <si>
    <t>甘油16穿后太臭 鞋子外形很妖艳。缺陷，甘油16穿了后太臭了，有没有人和我一样。以前穿甘油15感觉很不错，这次的16感觉很差，会不会是假货了。</t>
  </si>
  <si>
    <t>尺寸不合适，换货成本高 尺寸不合适，换货成本高</t>
  </si>
  <si>
    <t>有弹性，裤脚宽松 裤子有弹性，偏宽松，长度比国内略大一点点。说是锥形，实际裤脚还是很大。188，90kg，36/34略长了点，36/33估计正好。</t>
  </si>
  <si>
    <t>听起来还好，包装简陋，如风达快递服务差，低音无感 应该属于比较耐听那种，佩戴比较舒适，不轰头</t>
  </si>
  <si>
    <t>一般推荐 真心大。材料还可以。</t>
  </si>
  <si>
    <t>包装有点旧啊 东西还不错，就是用来封盒子的透明胶有点旧，其他都还不错，话说音质方面跟我原来索尼差不多，还没堡，高音有点尖。。</t>
  </si>
  <si>
    <t>一分价格一分货 一分价格一分货，偏小一些</t>
  </si>
  <si>
    <t>U盘还不错 速度还不错，手感挺好的，就是标签是贴纸的有点遗憾了，希望能改成激光雕刻就更好了</t>
  </si>
  <si>
    <t>这个价格很不错 质量很好，还是很不错的，应该会正品，印度产的，第一次海淘，物流还是很快的，5天左右吧，很满意。</t>
  </si>
  <si>
    <t>喜欢的可以下单啦~ 非常满意~ 注意制作奶泡时候用凉牛奶，就不会外溅那么明显，其他的都很满意~</t>
  </si>
  <si>
    <t>鞋码稍稍稍稍有点大 除了鞋码有点偏大，其他没毛病。我脚长24.5厘米，拍了8码，稍稍有点大。供大家参考</t>
  </si>
  <si>
    <t>棒棒哒 物美价廉，太棒了，8支可以用好久咯。</t>
  </si>
  <si>
    <t>品质很重要 非常好！棉度达到95%，打底穿非常舒适！</t>
  </si>
  <si>
    <t>很满意 挺好的，蛮合适的！！</t>
  </si>
  <si>
    <t>蛋白粉口感和效果 这款蛋白粉目前国内还没有销售，它添加了抑制食欲的成分，在午餐或晚餐前半到一小时喝一勺的量，明显消除饥饿感，但如果你还想吃一些其他食物也能吃的下去，不会产生消化方面的问题。事实上，对于运动量大的人来说，另行补充更多的碳水化合物是应该的（我是长跑，每月300km的运动量），如果你的运动量不大，刚刚开始减重，则可以利用这些成分来控制食欲，达到更好的减脂效果。蛋白粉非常容易水溶混合，口感很好，润滑而易于喝下去。但快递接近一个半月才收到，建议包装材料增加缓冲部件，塑料瓶在运输途中差点损坏了。</t>
  </si>
  <si>
    <t>好评 好评好评！</t>
  </si>
  <si>
    <t>值得购买 身高181 体重93Kg，XL略大一点，不影响穿，面料柔软舒适，挺不错</t>
  </si>
  <si>
    <t>值得购买 通过海外购渠道买的，从下单到收货15天，物流速度还算可以。价格比国内类似产品当然优惠得多了。滤芯质量也挺好，包装盒里一共有六个滤芯，是最新版本的滤芯，国内还没有卖的，形状和国内卖的略有不同，但是可以用在国内买的滤水器上。已经拆开了2个来用，打开塑料袋滤芯外面干干净净，一点也没有细细的活性炭黑渣，过滤后的水质口感和以前的老款滤芯差不多。 国内买的滤芯外面经常是很多炭粉，看起来就不舒服，客服还解释说可能是物流配送时造成的，那为什么海外购从英国这么远运过来也没有损坏呢？我觉得还是质量控制问题。</t>
  </si>
  <si>
    <t>还行 做工稍显粗糙，速度还不错</t>
  </si>
  <si>
    <t>很漂亮，手感很好 手感很棒，很好看，收起来了……</t>
  </si>
  <si>
    <t>好 比虎牌那个保温效果好点</t>
  </si>
  <si>
    <t>德国质量 简单好用</t>
  </si>
  <si>
    <t>大。。。。。。。 大的过份。。。。。。</t>
  </si>
  <si>
    <t>ecco舒适度很好 脚感舒适</t>
  </si>
  <si>
    <t>成田3号发出，11号收到 只买对的，不买贵的。上个月从日本背回来一套用着好用，在这里再买一套</t>
  </si>
  <si>
    <t>会再买 值得一而再再而三的购买，喜欢，质量完胜许多品牌</t>
  </si>
  <si>
    <t>#多次回购的杯子 多次回购的杯子</t>
  </si>
  <si>
    <t>还不错 emmmmm 终于到了，即时14天，海外购可能算快的了，商品上手还可以，没验货，验不明白，好评吧，第一次在亚马逊上买东西，比较开心</t>
  </si>
  <si>
    <t>很好 没有退货，就是尺寸不对，这个需要修整</t>
  </si>
  <si>
    <t>质量一般 质量一般</t>
  </si>
  <si>
    <t>尺码偏小 东西还可以 只是太小了。。。失望  退货也不划算感觉</t>
  </si>
  <si>
    <t>买小了 买小了，以为尺码偏大，退货运费太贵，就算了，加个延长扣用</t>
  </si>
  <si>
    <t>挺好,但是买贵了 刚买完一周就降价50,真烦; 香港寄过来的小票也没有,外包装完好,里边的产品包装倒是破破烂烂,说明书也破了一个洞!!! 幸好产品完好,比较好用, 好评吧!!!</t>
  </si>
  <si>
    <t>质量太差不建议购买 质量太差不建议购买</t>
  </si>
  <si>
    <t>只有半张鞋垫的残次品 900多的鞋，两只鞋外面的皮子都被划开了口子，这还不是重点！鞋里鞋垫都只有半！张！，明显是人为撕掉或划掉了半张皮鞋垫，里面的底面的缝合和织物都露！在！外！面！发这样的残次品太过分了！！These shoes are badly damaged！It is terrible to sell such defective products! 后来在别家买了新的，发现亚马逊之前发的这双不是半张鞋垫，根本是上面本来还有一层鞋垫，但这双鞋的不知去哪了。这样的货也敢发？退回去一个多月了，钱还没给退</t>
  </si>
  <si>
    <t>肥大款 颜色要比图片上深，属于比较妾的那种粉。款式属于比较肥大的款。面料一般做工一般，背后还有一个很大的蓝色商标。</t>
  </si>
  <si>
    <t>质量很好 东西质量很好，买的感觉质量最好的一个</t>
  </si>
  <si>
    <t>质量一般 面料质量一般，缅甸产的，工艺不如中国制造，跟优衣库售卖的T恤差不多</t>
  </si>
  <si>
    <t>约比优衣库尺码大一号 料子较厚，质地一般吧，60/40的混纺纱后期容易起球，且较为闷热。本人176cm，72kg，L号合适，着衣稍宽松。尺码对应JPN尺码的XL号，也就和优衣库XL码差不多，供大家参考。</t>
  </si>
  <si>
    <t>好用，但请补货补货～ 给爸妈购买的，吃了一个月来评论：1、产品服用方便，每天三粒正好随三餐吃，不费事；2、有效果，比如之前下蹲费力气，现在有好转，所以会坚持吃；3、坑爹的怎么缺货了！我为了它特意开的prime啊！泪牛满面～prime你这样会失去朋友的你造么造么造么，55555～</t>
  </si>
  <si>
    <t>符合预期 很好的体验</t>
  </si>
  <si>
    <t>价格美 很不错，穿着很舒服，173，68选的S</t>
  </si>
  <si>
    <t>极度舒适 我在德亚的第一单，惊喜的价格、惊人的发货速度，一周收货。ecco 的鞋子只要款式价格合适，不需犹豫，舒适度极佳，皮质柔软。平时穿35码鞋，这款5-5.5码稍大一点。</t>
  </si>
  <si>
    <t>和图片上颜色一样 鞋很轻 和运动鞋很一样 速度很快 一星期就到货了 跟图片上颜色一样  做工上有点小瑕疵 穿上感觉脚背有点紧 整体还是很喜欢  好评.</t>
  </si>
  <si>
    <t>挺好的 还不错😄，就是穿一两天就有股熟肉味道，是我的汗液和布料产生反应了么？</t>
  </si>
  <si>
    <t>性价比不错 性价比不错，带时间长因低音偏重不舒服</t>
  </si>
  <si>
    <t>物有所值 非常好 越洗越软 很透气 现在室内温度20度 穿这个睡觉刚刚好 换尿布特别方便 侧边纽扣即可 前襟反折正好搭住肚子不担心受凉</t>
  </si>
  <si>
    <t>舒适 无钢圈，很舒服，尤其运动时更方便。</t>
  </si>
  <si>
    <t>不错 国内的已经不敢再用，只能选择国外的，中国的国情真是堪忧</t>
  </si>
  <si>
    <t>不错 防漏和保温都没得说 ，入手这个杯子时的价钱算上关税也比淘宝上便宜一些，比较划算。</t>
  </si>
  <si>
    <t>好可惜 同样买M码，这款大了，不知道怎么处理呢</t>
  </si>
  <si>
    <t>盖子非常密封，倒水的不会掉下来！ 很不错，比蓝色壶好很多，就是有点小！</t>
  </si>
  <si>
    <t>强烈推荐 有些人会觉得比起国内的什么南XX之类的保暖内衣薄多了，不保暖。但我自问穿过众多牌子的保暖内衣，还是能得出个比较中肯的评价。这个衣服看着确实显得薄，当然不是像贴身的那种有弹力的薄，仅与南XX等牌子比较。里面有绒，绒很细软密柔，跟那些南XX比，对皮肤的呵护度高多了。那些南XX等牌子的衣服里面的绒也做得很厚很软的样子，但第一与皮肤不贴合，感觉绒很冷，气温稍微高一点存在感就很强，而且闷得半死。这件做得薄了，跟身体很贴合，但不是紧身，仍有一点点小空间，绒也能很舒服地覆盖在身上。衣服各个地方的缝合位置都不影响日常活动。保暖性也是可以的。而且就算突然天气热了，也不会感觉闷到身上的毛孔都被堵 了。这是一件，仅仅是一件保暖内衣，不可以抵挡零下十度的，该穿羽绒穿羽绒。在恶劣环境，该穿专业设备穿专业设备。这样的衣服对一个普通的城市人来说，非常好。</t>
  </si>
  <si>
    <t>物有所值 便宜，质量好，物有所值。</t>
  </si>
  <si>
    <t>质量好，物流比想像快 到货比预期早很多，在一周左右。6T实际为5.45T，速度还是很快的，声音很轻。</t>
  </si>
  <si>
    <t>评论 不错，东西还是蛮喜欢的，不愧是日本产往美国的产品。要是销往我大天朝的话，质量就未必过硬了。</t>
  </si>
  <si>
    <t>外观不错 还没用，不过看上去挺好。</t>
  </si>
  <si>
    <t>号太大了，退又不值当得，运费太贵 号太大了，退又不值当得，运费太贵</t>
  </si>
  <si>
    <t>很好 尺码很合适，材质干舒适，好评一个</t>
  </si>
  <si>
    <t>哈皮 送人的非常合身 但是告我说藏蓝色不太好搭裤子</t>
  </si>
  <si>
    <t>好用！ 质量不错。听说没有荧光剂，后悔没多买点，现在断货了。</t>
  </si>
  <si>
    <t>中评 手表，保护膜都没有的，而且包装盒，都不合规格的，盖不起来，让我感觉不是正品</t>
  </si>
  <si>
    <t>价格偏贵 北京邮寄来的，难道不是日本海外购？</t>
  </si>
  <si>
    <t>充不进电 都没怎么用，拔了牙，有一段时间没用，最近拿出来发现充不进电了，售后也找不到！ 为什么不能售后，坏了就跟没用一样？</t>
  </si>
  <si>
    <t>起球 穿一次就全部起球，质量太差了吧！</t>
  </si>
  <si>
    <t>一般般啦 容易夹道屁股里面。。。。。。。</t>
  </si>
  <si>
    <t>可以的 感觉不错，有点弹性</t>
  </si>
  <si>
    <t>有点容易损耗啊 几乎每个月一换，有时不够一个月就变形计</t>
  </si>
  <si>
    <t>不错 不错，挺喜欢的，柬埔寨生产的，做工也很好。就是感觉薄了点。</t>
  </si>
  <si>
    <t>客服不负责害我多掏税费。 很气愤的一次购物，原本是为了省钱结果被客服的不负责建议拒收了，结果税费要自己掏，捡了芝麻丢了西瓜。又重新拍了过来箱子被人打开过。里面还少了配件，真的很恶心的一次购物</t>
  </si>
  <si>
    <t>喜欢 很喜欢，穿着舒服还很便宜</t>
  </si>
  <si>
    <t>不错 比国内便宜好多。大小合适，个人感觉前脚掌部位鞋底薄了一点。</t>
  </si>
  <si>
    <t>强烈推荐 焖烧杯很漂亮的颜色，保温效果非常好，日亚直邮性价比太高了还不怕买到假货</t>
  </si>
  <si>
    <t>棒极了 非常喜欢这个品牌，刚好之前的腰带坏了，买了这个，赞！</t>
  </si>
  <si>
    <t>推荐购买 很可爱，目前还没用上，做工也不错</t>
  </si>
  <si>
    <t>物美价廉 颜色很漂亮 水冲力也很大一最重要的是比天猫优惠了近一半 只要再买一个变压器就可以使用</t>
  </si>
  <si>
    <t>煲机路漫漫 刚听果然音质很单薄，然而放着放着音质真的就变好了。以前不懂煲机一说，现在才发现原来果真如此。觉得不错</t>
  </si>
  <si>
    <t>大小正好 质量还可以，很简约，34的裤子，买36的腰带正好</t>
  </si>
  <si>
    <t>性价比最高 最便宜的就是这了，没有之一</t>
  </si>
  <si>
    <t>质量不错 质量不错质量不错，值得购买。</t>
  </si>
  <si>
    <t>还不错 款式不错，穿着舒适。</t>
  </si>
  <si>
    <t>品质对得起价格 做工还行，就是有点硬。对得起这个价格</t>
  </si>
  <si>
    <t>不错 42码的脚订的US8.5 DM的，结果发来了8码的，穿上后发现正正好好，那只能说该鞋偏大，880包税包邮</t>
  </si>
  <si>
    <t>很不错的桌面小音箱 一直在盘算着买个小桌面音响，主要用途是在餐厅听FM调频和MP3，所以最开始关注的是Denon的M39，以及具备网络播放功能的N5，N7之类。不比不知道，跟美亚和日本亚马逊的价格一对比，发现国内的售价实在是太高了，所以，这个计划暂且只能搁置，寻思着找机会托人从国外带货吧，也不确定日本的调频波段国内是否能用。随后一段时间，一直用Ipad听蜻蜓收音机，总觉得声音太单薄，而且也没有兴趣用Ipad来听Mp3. 偶然的机会，看到了这对音箱，觉得如果用它来配Ipad，不就能满足我对听广播和MP3的要求了吗，正好是特价，999立即就买了。亚马逊很给力，周五下午的订单，周六上午就收到了货。开箱后，有点困惑的是，其中一个音箱塑封内，竟然有尘土，不知道什么情况。箱子比想象中还要小些，还好，通电后试听很满意，人声听着舒服，在线广播也很好，很满意的一个产品。</t>
  </si>
  <si>
    <t>很满意 物流时间比想象的要短。价格便宜，读写速度很快，外观设计漂亮。</t>
  </si>
  <si>
    <t>好看，舒服 穿着舒服，也好看，就是大了点，162，62公斤，中码，要是小码估计腰身合适。</t>
  </si>
  <si>
    <t>尺码参考 价格比商场便宜很多，平时多大码就买多大码，质量没问题</t>
  </si>
  <si>
    <t>棒棒哒 很好，内外包装！速度依然很快！解脱双手，4个鸡蛋清需要转速快，才能打到底！总之自己很喜欢！价格我花了不到2500到手！供海淘朋友参考！颜值就不用说了！</t>
  </si>
  <si>
    <t>很好的一对箱子。 能很好的应对各种靠墙这类的听音环境，然而，，电脑桌不建议使用。箱子结像和声场太大，对欣赏音乐和看电影玩游戏都会带来影响。实际上，如果单纯欣赏音乐的话这个价位还是耳机比较赞。我的电脑桌是140*70，已换入E4.5，感觉效果好很多，特此评论。毕竟虽然房间是20平的，玩游戏也不能拉这么远，对吧。 关于底噪问题，板载声卡和普通莲花线是肯定有，街上我前端DA300USB之后趋近无，再换上一条好点的二对二线（建议RCA转平衡，两头都是RCA不一定好插），底噪1cm内也几近没有。声卡如果不嫌丑的最好还是搞USB外置，同价位更好，节奏坦克和创新的个人不推荐，创新是唱歌做得多，节奏坦克调音比较闷，乐之邦堆料比较猛，不过这也看个人喜好吧。声卡最好带前级。因为这对箱子调声音不太方便。 总而言之，作为入门箱还是很不错的，虽然我还是觉得这个价位的耳机系统比箱子强，个人使用AKG K612+歌诗德h10，音乐感好很多。不过也只是建议，毕竟听箱子和耳机的感觉不同，以上文字皆仅供参考。 后续补充：此价位推荐声荟Q4P，前端考虑DA300USB或杨菁MINI PRO。</t>
  </si>
  <si>
    <t>厚度 有点偏薄，穿了一下比较合适。</t>
  </si>
  <si>
    <t>使用中 平时很安静，偶尔突然出现很大的声音，有点担心是不是坏了</t>
  </si>
  <si>
    <t>C版是男鞋窄版，有点窄 做工不错，稍微有点窄。 我注意到之前有评论说C是宽码，误导了很多人。男鞋C是窄码，W或者E才是宽版。 女鞋C是宽版。</t>
  </si>
  <si>
    <t>扣子扣不稳，太松，容易脱 扣子扣不稳，太松，容易脱。换退太麻烦，晕</t>
  </si>
  <si>
    <t>买大了 买大了·失去了原本的压缩感···想退的·但是运费都要200多··只能认了·海外购必须认准尺码·不然想退太吃亏了··只能将就穿了·哎·有些不愉快了··</t>
  </si>
  <si>
    <t>偏小！ 鞋子不错，轻 软，颜值也够，唯独尺码偏小半码，平时42，这款选42.5 uk8还是偏小一点，海外购退货太麻烦，将就穿穿吧</t>
  </si>
  <si>
    <t>有质量问题 有质量问题，今天穿上发现的 。</t>
  </si>
  <si>
    <t>尺寸太大 什么衣服，大的没边了。想退货， 运费要125，晕，只能当睡衣穿了</t>
  </si>
  <si>
    <t>漏的太多 一盒三袋，每袋至少3个会漏，都是同个位置，感觉质量严重有问题，*了狗了。。。。 图片传不上来，先不传了</t>
  </si>
  <si>
    <t>还行吧 做工用料中规中矩，没啥惊喜，也过得去 躯干稍大点还凑活，就是袖子太长，好在是松紧口的，勉强能穿</t>
  </si>
  <si>
    <t>品牌官网上测的鞋码挺准的，可以去官网试试 真的是非常好看，但是正如上面有位买家说的，好像是人穿过的，有折痕，而且皮有些些划破。鞋子上线头很多，而且连接处不是很契合，有胶水的痕迹。虽然怀疑是否是真货，但是穿着挺舒服，退货又太麻烦，也是真的非常好看，所以就酱紫吧🙊</t>
  </si>
  <si>
    <t>小疵无妨 本以为480ml很大，到手后觉得正好。保温防漏工艺细节等可以，盖子接缝处有点小疵几乎可以忽略，喜欢在日亚购买商品</t>
  </si>
  <si>
    <t>选偏小的码 今天刚收到，不得不说物流还是挺快的，前后不到十天就到了。看到鞋子第一感觉有些另类，头部较一般鞋子宽，不过穿上很舒服！！！皮革软软的，鞋底软硬适中。感觉走起路来一定很舒服！我平时穿运动鞋43码，皮鞋42码，这次买的7.5码非常合适！</t>
  </si>
  <si>
    <t>蜜汁尺码 根据以前买其乐的经验37瘦脚买了4uk小了，又瘦又窄，完全没法穿，只能转让了</t>
  </si>
  <si>
    <t>非常喜欢 不错，很满意样子也很喜欢，很复古，哈哈</t>
  </si>
  <si>
    <t>再次回购 喜欢，好用，之前的坏了，又回购了</t>
  </si>
  <si>
    <t>， 还可以，圆形鞋带容易开</t>
  </si>
  <si>
    <t>神级耳塞 神级耳塞，买了不会后悔，全能耳机，apex也很给力，3天就把东西从日本送到国内，唯一缺陷是亚马逊的服务不行，下单2个礼拜不发货也不说明原因，更没有补偿，还要你自己去问客服，客服态度还不太好，爱理不理的。</t>
  </si>
  <si>
    <t>尺码大小 买的女士款，本人平时穿耐克42的。鄙人脚肥尺码正好鞋型偏窄，拿掉鞋垫穿可以。</t>
  </si>
  <si>
    <t>好看，好用，大小合适，很喜欢 好看，好用，大小合适，很喜欢，宝宝很爱用~</t>
  </si>
  <si>
    <t>質優價廉 質量很好，價格實惠。</t>
  </si>
  <si>
    <t>大气，漂亮，适用；价格适中 大气，漂亮，适用；价格适中</t>
  </si>
  <si>
    <t>很可爱 款式新颖 取笔很方便，关键是孩子超级喜欢</t>
  </si>
  <si>
    <t>想换个码数 布料很好但是有点大，不知道怎么换货。囧</t>
  </si>
  <si>
    <t>made in usa 非常好，亚马逊的包装很漂亮， made in usa非常好用，性价比很高，非常推荐，6730完美契合</t>
  </si>
  <si>
    <t>187 180斤，L号非常合适 187 180斤，L号非常合适，有一定色差，不是纯黑色</t>
  </si>
  <si>
    <t>完美 和想象中一样，简直完美！用了一周的时间送到手中，标签之类的都是英文，亚马逊订单都是英文。鞋子质感也好，应该是正品。  平时运动鞋穿37码，或者36.5码。这款UK4 US6.5长短合适，只是因为这款鞋头稍尖稍扁，我能感到脚尖，但实际脚尖并未顶住鞋头，也不紧绷。算是刚好合适。鞋后跟较宽松，喜欢贴脚跟的童鞋可以把鞋带系紧就OK了</t>
  </si>
  <si>
    <t>不功不过的T恤 很好玩：衣服其实给人感觉有点厚度，但穿在身上却不感觉热，这几天上海高温，竟然还有种隔热的感觉，算厚版速干的。</t>
  </si>
  <si>
    <t>满意满意 质量很好，喜欢，很棒</t>
  </si>
  <si>
    <t>很不错 加税500多买的，虽然不是最便宜的时候买的，但对比国内还是很划算的，用料还是很不错的，脚背有点低所以选了大半码，穿着还是很合适的，就是脚后跟有点卡脚，相信其他买家也遇到这样问题了</t>
  </si>
  <si>
    <t>搞笑！ 居然在运输途中丢失了，丢失了！我第一次遇到！</t>
  </si>
  <si>
    <t>设计不错 使用起来非常方便，花洒出水很细腻</t>
  </si>
  <si>
    <t>不错的靴子 码子算比较正的，想穿脱舒服一点可以买大半码。靴子舒适感还不错，上脚后比想象的好看。</t>
  </si>
  <si>
    <t>赞 非常好，大小合适，很舒服</t>
  </si>
  <si>
    <t>很好的牛仔裤 非常好，颜色很正，布料柔软，适合春秋穿，172 72 w31 l30合适</t>
  </si>
  <si>
    <t>中看不中用 飞白断墨，放一晚上，第二天经常不出墨，体验太差了，手感上我个人觉得并没有国产几十块的钢笔好，除了颜值一无是处，总的来说，不推荐购买。</t>
  </si>
  <si>
    <t>讲真的 这个价格还真比不上国内的同等级别的品牌质量 也就是冲着这个CK标</t>
  </si>
  <si>
    <t>买小了 平时37码，这次买小了！艰难穿进去，脚背处不好受！鞋硬，样子帅气！翻毛太热！</t>
  </si>
  <si>
    <t>178cm，79kg，穿170的L码还是很大，看来只能165的码数才合适 布料很薄，质感还行吧，邮费一起才100人民币，已经没什么好挑剔的了</t>
  </si>
  <si>
    <t>只能送人啦 您推荐我的，大了！送人算啦。</t>
  </si>
  <si>
    <t>体验很不好 非常硬，穿起来脚很痛，比不上以前买的ecco，而且图片和实物差别有点大，按道理这么贵的鞋不应该是这样子的，难道是假货?:？</t>
  </si>
  <si>
    <t>真心很烂…… 如果可以没有星星…… 在这个海淘这么盛行的年代，我已经很久很久很久很久没有买到过这么烂的东西了……</t>
  </si>
  <si>
    <t>5.5us 是35.5 看对照表5.5是36码。。。结果回来鞋子是35.5  穿着稍微有一点点小  但是鞋子很舒服 真假就不知道了  穿着舒服就行啦</t>
  </si>
  <si>
    <t>很轻盈 不是加拿大也不是天朝造的，是缅甸造的，180/70的选M号，袖子正好，衣服有点紧凑，如要宽松点该选L，衣服做工不错</t>
  </si>
  <si>
    <t>超好看的鞋子我的天 4，5m相当于22点5厘米，我36码长度刚好，但是宽度略窄，有点挤脚，特别是脚趾那块，但是鞋子非常好看，购入大概一共320，还是比较划算的</t>
  </si>
  <si>
    <t>挺好哒 颜值担当，价格优</t>
  </si>
  <si>
    <t>降价了 刚到货就降价了20元 哎 。噪音好大。。。</t>
  </si>
  <si>
    <t>舒服一百分，适合夏天！ 挺舒服的，背心式的，穿过之后想再来一些别的颜色的。</t>
  </si>
  <si>
    <t>过滤器很好用 非常满意，继续购买。</t>
  </si>
  <si>
    <t>很好的休闲裤！ 物美价廉，穿着舒适，尺码非常标准，非常棒的购物体验！</t>
  </si>
  <si>
    <t>很满意～比想象中更好～ 我平时夏天的鞋穿35或35.5，运动鞋穿36.5，这双3码刚好～实物比图片还要好看一点，很好穿，之前就听说马丁家的鞋会越穿越好穿，我脚比较瘦，第一天脚踝处有一点点硌，以为要适应一段时间，没想到逛了俩小时街就好了～</t>
  </si>
  <si>
    <t>裤子很棒！ 尺寸一如既往的准确，按平时尺码买就好了，差点被之前的评论误导。裤子产地印度。适合秋天穿着！</t>
  </si>
  <si>
    <t>物超所值！ 手表不错，戴上也很显档次！关键是价格便宜，国外邮十来天，挺快的！</t>
  </si>
  <si>
    <t>超级舒服好鞋 写很不错，比国内便宜很多，脚感舒适，一直买爱步的鞋子，给力。</t>
  </si>
  <si>
    <t>性价比超高 平时穿M码，那么美国货就要买S码。有点厚，质量不错，洗了几次，不缩水，不韶色，穿一季。性价比超高。</t>
  </si>
  <si>
    <t>值得购买 鞋子真的非常棒，运动鞋穿42.5，买的8.5的，很合适！只是物流时间太久！</t>
  </si>
  <si>
    <t>好评 很好，比想象中要小，非常实用！</t>
  </si>
  <si>
    <t>很喜欢这台厨师机 &lt;div id="video-block-R1S140EW5103FB" class="a-section a-spacing-small a-spacing-top-mini video-block"&gt;&lt;/div&gt;&lt;input type="hidden" name="" value="https://images-cn.ssl-images-amazon.com/images/I/A1hkzFoHD5S.mp4" class="video-url"&gt;&lt;input type="hidden" name="" value="https://images-cn.ssl-images-amazon.com/images/I/71HkTOOlaiS.png" class="video-slate-img-url"&gt;&amp;nbsp;这个价钱能买到这个美貌的家伙还是很满意的，对这个质量和外观性能都是满意的</t>
  </si>
  <si>
    <t>很可爱的小土锅 到货比预计的要快，让人很感动。土锅很可爱，收到后很喜欢。二合的适合2-3人的量，很好用！</t>
  </si>
  <si>
    <t>猴子真好看 第一次在亚马逊海购，给宝宝囤货，真心不错👍发货快，货品正！</t>
  </si>
  <si>
    <t>文胸 上身很舒服，睡觉穿也没有束缚感，满意</t>
  </si>
  <si>
    <t>正品挺好 产品正宗，美国直邮，品质有保证。</t>
  </si>
  <si>
    <t>不错 还不错，大小合适，使用方便</t>
  </si>
  <si>
    <t>详细尺码 这个鞋子需要买大一码或者半码，我26公分的脚长，穿标准版27.5的正好。很舒服，推荐购买。</t>
  </si>
  <si>
    <t>值得购买 快干型，穿着很舒服。</t>
  </si>
  <si>
    <t>建议选择比腰围大2个号码的皮带 建议选择大腰围2个号码的，我30选了30短了一点(看图)，平常30的可以选32的皮带</t>
  </si>
  <si>
    <t>不错 还没用，先屯着。 PS：包装上注明made in germany，条形码不是英国而是法国，都是欧洲，难道是串货了？：）</t>
  </si>
  <si>
    <t>品质 小一号，压缩效果明显</t>
  </si>
  <si>
    <t>太硬…… 非常不怎么样。没想到其乐竟然还有这么硬的鞋……很不舒服！</t>
  </si>
  <si>
    <t>偏大 174cm，70kg，买了两件s码的，一件蓝色，一件黑色，都太大了，胸部和肩部非常的宽松，衣服厚度到还是不错，里面加绒量还可以，要是有xs码的就完美了。</t>
  </si>
  <si>
    <t>尺码太乱了，做工很一般 尺码太乱了，做工很一般，同样尺寸买了黑色和灰色，黑色紧的不行只能送人了，灰色竟然正好， 出厂怎么检验的</t>
  </si>
  <si>
    <t>颜色不好看 腰围90，穿34有点大。颜色不好看</t>
  </si>
  <si>
    <t>不值的说 不知道还有货没，考试的时候带去计时之用 一个字：不值</t>
  </si>
  <si>
    <t>非常差 质量非常差 布料和印花非常烂 衣服上还有洞 像是街头20块假货</t>
  </si>
  <si>
    <t>流行歌适合，民族美声不适合 中低音，音质不错，高音区体现不出来优点</t>
  </si>
  <si>
    <t>机器震动强烈，不知道是机器问题还是电压问题 配合变压器使用，使用起来震动非常强烈。只用了标准的头，第一次使用调到5会有牙龈出血，冲出很多刷牙都刷不掉的东西。多用几次就好很多。希望可以改善口腔状况。满满一筐水很快就冲完了。</t>
  </si>
  <si>
    <t>希望中国（百丽:)鞋以后也像EOOC一样的品质， 鞋不错，印尼生产，鞋底稍硬，颜色自己喜欢。</t>
  </si>
  <si>
    <t>壶底有黑黑的颗粒 过滤后自来水味道没有了，没有测过水是否干净了，但是壶里会有黑黑的颗粒</t>
  </si>
  <si>
    <t>评论 款型属于长方形，比较宽，但是短</t>
  </si>
  <si>
    <t>推荐 挺好，经常来买。</t>
  </si>
  <si>
    <t>关于产品使用报告 昨天晚上第二次使用，发现开机需要启动一会儿才能打红光，之前有在美容院做过脱毛，但是每个月都去太麻烦了，还是自己买个一起方便，不用专门跑一趟，效果暂时还不太明显哦，一般都是要脱毛三次以上才会有明显毛发生长缓慢的效果，反正我在美容院是这个样子</t>
  </si>
  <si>
    <t>好 一直用的牌子</t>
  </si>
  <si>
    <t>精美 精美漂亮。笔杆比预料的稍细些</t>
  </si>
  <si>
    <t>健康适用价格 它过滤的水很清澈，白开水入口有丝丝甜味，做工精细手感很好，为了健康值得买。</t>
  </si>
  <si>
    <t>很好 做工没有国内的好看。但一样的舒适。尺寸也合适的。</t>
  </si>
  <si>
    <t>其乐鞋 鞋子收到，买的大了一号，平时穿38码的，买了39码穿上厚袜子没觉得大，质量很好，底子厚，走路稳当，很好的一次网购！</t>
  </si>
  <si>
    <t>好锅美美哒 按要求开锅养锅，目前炖了排骨，超赞！一口好锅可以让你爱上烹饪～</t>
  </si>
  <si>
    <t>防勾丝，满意。 非常满意，本人身高166，买L码，很合适。臀部腰部和脚趾都有加厚防勾丝处理。推荐购买。</t>
  </si>
  <si>
    <t>跟原来的一样 对比了原来的牙刷头，一样的，正品</t>
  </si>
  <si>
    <t>非常值得推荐 之前叫人美国代购过，质量对比一下，确实不错，纯棉的材质满意</t>
  </si>
  <si>
    <t>货真价实 喜欢这个包的设计款式和材质，大小合适，日常通勤使用，方便实用。</t>
  </si>
  <si>
    <t>不紧绷 蛮好的比一般的袜子保暖 适合北方的秋天 三九天还是需要厚的 弹力很大 不敬绷</t>
  </si>
  <si>
    <t>质量好，尺寸合适！穿戴舒服！ 质量好，而且价格便宜很多！非常舒服！</t>
  </si>
  <si>
    <t>值 价格不错，眼色也很正，一直等着黑五买，现在没有价格保护政策了有点尴尬，不过，这牙刷值得拥有</t>
  </si>
  <si>
    <t>味道很好 不知道效果怎样，刚开始吃，味道是真的不错，如果这不是维生素软糖，我一天大概就能吃光。没有怪味，酸酸甜甜。</t>
  </si>
  <si>
    <t>相当不错 面料比较柔软，不像常规冲锋衣面料偏硬，放水龙头下冲了一会没留下水渍，看标志应该含羽绒的，衣服尺码偏大，总体来说还是相当不错的。</t>
  </si>
  <si>
    <t>不错 超级值，喜欢喜欢。无假货哦</t>
  </si>
  <si>
    <t>值得拥有 物美价廉，虽然包装很简陋，但是没有任何磕碰</t>
  </si>
  <si>
    <t>扣着结实，不会凸起 腰围30W，买的M号 1、扣着结实，不会凸起 2、料子摸着很硬~~~~</t>
  </si>
  <si>
    <t>好 算是个吉列粉丝了，真好，信任亚马逊</t>
  </si>
  <si>
    <t>正常尺码 耐克穿37.5，这双6.5m大半码，穿厚袜子刚刚好，妹子们的脚穿m的宽度完全可以，不用担心先。两支鞋子存在一定色差，脚感好。到深圳10天</t>
  </si>
  <si>
    <t>有点大，建议买小号的 有点大，建议买小号的，40的脚L码能倒膝盖了</t>
  </si>
  <si>
    <t>不好 裤脚爱卷边，穿得不舒服</t>
  </si>
  <si>
    <t>临时 临时产品没标注，差评</t>
  </si>
  <si>
    <t>做工非常粗糙，线头很多，拉链头也没有lee的标志 做工非常粗糙，线头很多，拉链头也没有lee的标志，后袋也不是盾型等等，严重怀疑假货，跟亚马逊交涉一个多月无果。差评</t>
  </si>
  <si>
    <t>衣服鞋帽等最好现场试穿后再买 中国海外购：尺码缺很多；样式讲不清。以后我不再怕麻烦，还是去美国官网和一些美国商场买，然后再运到国内。这次真的是败笔！</t>
  </si>
  <si>
    <t>衬衫 还不错，略宽松，比一般厚一点，适合春秋穿，夏天穿会有些热</t>
  </si>
  <si>
    <t>大小很重要 买大了一码，40的脚，5.5就够了。鞋子本身质量不错的。 海淘还是不靠谱，换货太麻烦了。 发个评论还跳出请尝试其他名称是什么鬼？</t>
  </si>
  <si>
    <t>太大了 质量一般，没有惊喜，真的好大啊，平时穿L的买这个s码就可以了</t>
  </si>
  <si>
    <t>长度合适，臂围过宽 170  130斤穿s长度是合适的，但是臂围真的贼宽，还得多练练才撑得起这件衣服哇</t>
  </si>
  <si>
    <t>包装精美 包装非常好，赞，不错</t>
  </si>
  <si>
    <t>如果你没有飞行夹克，可以考虑一下。 心水已久的衣服，看了大家推荐买的S码。我174cm72kg，穿一件打底短袖T或是长袖T刚刚好，不适合帽衫等过厚的衣服，如果比我稍壮，则建议M码。衣服是有一定厚度的，看成分应该是合成棉，刚刚入春或是深秋，初冬比较合适，可以应对不是特别冷的天气，比较百搭。另外，可以双面穿，没有什么问题。当然，是我大国制造。价位是在Z秒杀时候买的，可以满足心理预期。</t>
  </si>
  <si>
    <t>商品完好，过滤功能正常 外面有亚马逊的包装盒，商品完好无损，已用。</t>
  </si>
  <si>
    <t>舒适时尚 偏大，轻便舒适，性价比高，百搭款马丁靴</t>
  </si>
  <si>
    <t>洋气 版型不错，样子也很好看。。紫色的看起来很可爱，就是M号稍微大了一丢丢</t>
  </si>
  <si>
    <t>大了 我国内买40号的买他38都大</t>
  </si>
  <si>
    <t>可爱、实用一体 非常可爱的保温杯，保温效果很好，外出携带，滴水不漏。</t>
  </si>
  <si>
    <t>表很好 非常不错</t>
  </si>
  <si>
    <t>质量好，掉色 尺寸按照上面的推荐买就好。质量很好，底子软，就是这个鞋最大的缺点掉颜色掉色掉色！！！黑色最严重，哎，印度尼西亚产的，彪马标志有条黑线，不好看！</t>
  </si>
  <si>
    <t>正品 正品</t>
  </si>
  <si>
    <t>手感不错 重量，手感都非常不错，自动转的功能也不错的。性价比超高</t>
  </si>
  <si>
    <t>安德玛舒适的T桖 T桖质量很好，穿上去也非常舒适！还是安德玛的好！</t>
  </si>
  <si>
    <t>囤货 囤货，还没用，第一次买这个段的</t>
  </si>
  <si>
    <t>不错的飞行员夹克 短款夹克，袖子宽大，我182/85穿L码也挺宽松的，比较适合上身有肌肉的体型。 穿了两天被同事评价为机车服、美军军服和美国队长-_-///</t>
  </si>
  <si>
    <t>亚马逊的海外购还是给力啊 海外购物流挺快的，大约一周就到手了，然后鞋子肯定是正品，不过是泰国制造，然后有点皮革味道，总体感觉是相当不错的购物体验。</t>
  </si>
  <si>
    <t>好评 178, 89公斤，L码大小刚好</t>
  </si>
  <si>
    <t>物有所值 穿的很合脚 就是需要再买鞋垫。一只鞋的鞋舌老是向一边偏，。</t>
  </si>
  <si>
    <t>A perfect backup device Using windows server backup feature to perform VSS backup. Retrieved 130MB+ trans rate through a USB3.0 interface. This is a perfect backup device.</t>
  </si>
  <si>
    <t>孩子很喜欢 非常好，是Made in China</t>
  </si>
  <si>
    <t>尺寸正好 软底的非常好，大小正好。比上次买的timberland合适。</t>
  </si>
  <si>
    <t>失望 比起两年前买的同样的东西品质差太多了，完全地摊货。</t>
  </si>
  <si>
    <t>是真皮吗？ 外形好，但脚背处过紧难以穿进去，外层貌似不是牛皮，不知是否耐穿。脚若不瘦者慎买。</t>
  </si>
  <si>
    <t>发错颜色 买的黑色发的咖啡色，也是醉了</t>
  </si>
  <si>
    <t>一般 质量一般，硬硬的，像工作服</t>
  </si>
  <si>
    <t>千万不要买 便宜没好货，永远不变的真理</t>
  </si>
  <si>
    <t>旧 太旧了，款式也老，是前面两折的，没有五十岁以上的不要买</t>
  </si>
  <si>
    <t>瓶子装得太少，有一多半都是空的。 一瓶80粒只装了三分之一的空间。  瓶子空了大半瓶。太浪费包装了。</t>
  </si>
  <si>
    <t>完全是因为国内卖巨贵才买来穿玩玩的，还不错吧 脚感还行，去店里试过后买的，寄来鞋子很扁，以为买小了，鞋带松开点就可以了。运动鞋42.5 买了最小的那个码，长短正合适。</t>
  </si>
  <si>
    <t>少女款 比较适合少女，没有胸垫，这个厚度适合夏天。</t>
  </si>
  <si>
    <t>旋转关节处有点漏水 工作时旋转关节出会出5.6滴水，向亚马逊反映后表示海外购无法换货，只能退，或者退10%货款，先用着看，30天内不好都可以退货，东西用起来还不错，希望能好用</t>
  </si>
  <si>
    <t>国产 为啥从英国购，结果鞋子上写的却是Made in China？好失望……</t>
  </si>
  <si>
    <t>皮带 皮带性价比挺高的  适合一般休闲的</t>
  </si>
  <si>
    <t>号码略微偏小，但售后服务很棒！ 号码偏小，穿不了送朋友。但亚马逊售后服务真心赞，很快给出双方能接受的妥协方案。（但国际订单退货运费自理，权当给大家提醒。）</t>
  </si>
  <si>
    <t>大小合适 为了变成情侣鞋。男生41码，买了9.5码，穿起来刚好！</t>
  </si>
  <si>
    <t>性价比高。 性价比比商场高多了，衣服比国内的大一个号。希望有更多的货</t>
  </si>
  <si>
    <t>性价比超高的一款保温壶 保温效果极佳，外形酷的不行，容量大，可以满足我三个小时打羽毛球的用水量，值得拥有</t>
  </si>
  <si>
    <t>裤子很合适 穿起来很舒服，就是裤口有点大，总体还行</t>
  </si>
  <si>
    <t>鞋子相当合适 收到实物比照片好看，很喜欢。鞋码很正，41码选了7.5uk，超级合适。</t>
  </si>
  <si>
    <t>婴儿补充剂 安全有效！物有所值，值得购买！</t>
  </si>
  <si>
    <t>比国行便宜的多 比刘家东店国行便宜100多，美行物有所值</t>
  </si>
  <si>
    <t>很好~~~~~~~~~~~~~~~~~~~~ 很好~~~~~~~~~~~~~~~~~~~~ 准专业级了 不错 推荐</t>
  </si>
  <si>
    <t>感觉比以前去日本买的还要便宜 感觉比以前去日本买的还要便宜，分量轻</t>
  </si>
  <si>
    <t>码数稍大，款式好看 内里又层绒，按照智能推荐购买还是稍许大了一点。但是款式很好看。还是推荐购买，现在穿正好。</t>
  </si>
  <si>
    <t>大品牌值得信赖 还原好，果然是大品牌。</t>
  </si>
  <si>
    <t>非常好 体积大了点。吹风机非常好用，顺滑。</t>
  </si>
  <si>
    <t>很喜欢！ 东西很不错，和预想的一样！很喜欢！支持！准备开春穿~</t>
  </si>
  <si>
    <t>感觉还不错 我喜欢的一款。</t>
  </si>
  <si>
    <t>适合大胸 适合大胸</t>
  </si>
  <si>
    <t>经典必备 在国内很少买到这款手表，在AZ买到感觉还挺划算的。</t>
  </si>
  <si>
    <t>不错，样式很好 多做活动！ 很好，样式很好不错！</t>
  </si>
  <si>
    <t>大小正合适  样式也喜欢 大小正合适！喜欢  平时穿38码  脚长23.8左右 我们 选了24cm的那个尺寸即可</t>
  </si>
  <si>
    <t>大小合适，轻 国内穿42码运动鞋，这个也买的42码真合适，鞋尖有一点点空但是宽度正好。很轻很舒服，</t>
  </si>
  <si>
    <t>氦气盘，整体不错 价格不错，氦气垂直记录还是比叠瓦可靠，冷背或放nas都是不错的选择</t>
  </si>
  <si>
    <t>质量不行，有破洞 较差的一次购物体验，第一次买的S号，结果出乎意料的紧了，由于已经洗了，便没退货。第二次还买了这个颜色，换成M号，收到后上身合适，刚要洗，翻过来发现背面破了一个黄豆大小的洞，新衣服就破洞，已申请退货。而且此款T恤面料有些怪，不像棉，会有些硬，想买的朋友考虑一下。第一，号要比预想的小一些，建议买大一码；第二，面料不是很舒服，考虑清楚；第三，质量确实不咋地，美版的冠军好像确实不如日版的质量好，好像是常识了。</t>
  </si>
  <si>
    <t>有点小 布料的鞋比较硬，没有弹性，脚面高的别买</t>
  </si>
  <si>
    <t>码数过小 买了穿不下 感觉只有M码的尺寸 太小了 直接送人</t>
  </si>
  <si>
    <t>对味蕾刺激 用后吃东西没有味道，喝水变苦，感觉对味蕾有害.</t>
  </si>
  <si>
    <t>漏水 颜值很高，设计做工手感都很好，遗憾的是漏水</t>
  </si>
  <si>
    <t>汗衫 媳妇说像老头的汗衫，认真翻了一下评论果然是坑，比逾期差多了</t>
  </si>
  <si>
    <t>还可以，一分钱一分货！ 还可以，一分钱一分货！</t>
  </si>
  <si>
    <t>感觉还行 感觉还不错</t>
  </si>
  <si>
    <t>质量不错 样式和国内专柜的有些不同，比国内专柜更重一点而且皮质也更硬一些。质量很好，牦牛皮的，不到1000到手，值这个价！</t>
  </si>
  <si>
    <t>价格1000元还可以 冬靴太</t>
  </si>
  <si>
    <t>尺码偏大 尺码略微偏大，面料一般，居家穿还不错</t>
  </si>
  <si>
    <t>买了不后悔 好用，除了饭盒和杯子，天天吃饭都用得到</t>
  </si>
  <si>
    <t>梦想的零重力 很轻的小杯子，随身携带很方便</t>
  </si>
  <si>
    <t>不错 本来不想买这个颜色的，可是别的颜色贵啊！！！！！买来之后涨价了。坐等跌价跟包邮了。</t>
  </si>
  <si>
    <t>好东西值得拥有 第一次在亚马逊海外购上买，东西便宜也不错</t>
  </si>
  <si>
    <t>鞋子很轻，很舒服 下单前有些担心，看评论有人说鞋底比较硬，穿上感觉板脚。收到货后马上上脚试穿，顿时把我所有顾虑全部打消，鞋子超轻，而且很软很舒服，鞋码选的也刚刚好，给自己一个大大的赞！</t>
  </si>
  <si>
    <t>不错，值得购买 非常方便，也很容易洗，就是盖子晾干有点麻烦</t>
  </si>
  <si>
    <t>性价比很好 亚马逊的送货比预期快了很多，全球购一周就到家了，商品也是全新的，价格很有吸引力。</t>
  </si>
  <si>
    <t>正品卫衣 应该是正品，不错</t>
  </si>
  <si>
    <t>不错 穿着挺舒服。</t>
  </si>
  <si>
    <t>完美 完美 uk4 us6.5配老婆国内37码 230cm的脚  也好看  京东1200  买对了</t>
  </si>
  <si>
    <t>正品 和专柜的一样，只是好像改款了，和6月份看的的不太一样</t>
  </si>
  <si>
    <t>暖和 很暖和，直接穿有些扎，里面穿了一条薄点的连裤袜就没事了，总之，还是不错的。</t>
  </si>
  <si>
    <t>贝亲 奶嘴 同样的品牌，国产的和日本的还真的有差距，这款更好一些！</t>
  </si>
  <si>
    <t>海外购 很大一罐子，收到时把我吓到了，哈哈，这一大罐子要喝多久。</t>
  </si>
  <si>
    <t>总体不错 身高164，体重125，胸围94，买的M码正合适，如量身定做一般，线头多，还未下水，不知道掉色是否厉害…供后面的朋友参考</t>
  </si>
  <si>
    <t>30年前的情怀手表 30年前，拥有这样一块电子表，那是一种怎么样的情怀。 为了纪念逝去的青春，购入以给自己的青春致敬！</t>
  </si>
  <si>
    <t>平时运动鞋43码，这款M9正好。 平时运动鞋43码，这款M9正好。</t>
  </si>
  <si>
    <t>嗯，好裤子 质地版型都很好，比较厚，适合冬天 34*29 腰围 88cm</t>
  </si>
  <si>
    <t>满意 面料舒服，质量上乘，与想象中一样，非常满意！</t>
  </si>
  <si>
    <t>物美价廉，方便实用！ 物美价廉，方便实用！</t>
  </si>
  <si>
    <t>档位多，很不错 十档档位可以调节，水压从小到大很全 用起来也很方便，不过每次只能用两分钟略微有点急促</t>
  </si>
  <si>
    <t>不适合上班穿 看错了，办公室穿不了，</t>
  </si>
  <si>
    <t>1 奶瓶很好，不会胀气。</t>
  </si>
  <si>
    <t>内里掉毛 这件衣服同国内比真心便宜，但Champion质量真是够差，洪都拉斯产，内里掉毛严重！不过亚马逊海外购现在物流真是快，一周就到手了！</t>
  </si>
  <si>
    <t>偏大 身高171，体重55，买了小码，还是太大了，而且很长！质量嘛，120多的价格摆在那里，得过且过吧。</t>
  </si>
  <si>
    <t>包装非常非常差 从国外发过来，居然就用图片上这个包装，外面什么也没放，薄薄的一层，发到我这早都烂了，缠了好多透明胶，太差了，在亚马最差的一次海外购体验</t>
  </si>
  <si>
    <t>请问这笔怎么会不带吸水胆 只有一只一次性墨胆，没有吸水的胆。</t>
  </si>
  <si>
    <t>简单，省事省力 几年前在京东买了一块卡西欧的手表，带了不到一个月就不会走了，联系了客服返修处理，结果告诉我修不了，最后退货处理。当时不知道G-SHOCK系列才是卡西欧的精髓，此次果然没有失望，非常精准。</t>
  </si>
  <si>
    <t>面料舒适一流体验 CK的面料属上乘，三角剪裁感觉非常贴合。根据腰围选择尺码，基本和国内专柜差不多大小。</t>
  </si>
  <si>
    <t>Pefect! 按照国内PUMA的尺寸买的，长度合适，虽然我的脚偏瘦，但D(M)的宽度还是略微有些窄。不过总体是很不错的，穿起来有些热，可能夏天就不能穿了😢 ――――――――穿过一个下午后――――――――― 决定减一颗星，脚趾挤的很疼，而且非常热。</t>
  </si>
  <si>
    <t>鞋质量不错 给媳妇购买的鞋，平时穿38，因为脚宽买的39，稍长一点！不过穿上感觉还行！</t>
  </si>
  <si>
    <t>衣服不错 还可以，性价比高，天冷了运动刚好</t>
  </si>
  <si>
    <t>还是这种版型适合 买了几条LEE，确实便宜，一般都是200多，这种修身版很合体</t>
  </si>
  <si>
    <t>早买早享受，晚买享折扣。 氦气无疑！牛皮！</t>
  </si>
  <si>
    <t>合身 非常合身，我172 63S码正好</t>
  </si>
  <si>
    <t>续航确实不错 续航确实不错。但是在办公室的环境容易被干扰，因为手机和路由器等无线设备比较多。另外一个蓝牙耳机是199的小米就没有问题。</t>
  </si>
  <si>
    <t>质量不错 尺码偏大，无色差，质量很好。</t>
  </si>
  <si>
    <t>很好 质量不错，腰上的标不是皮的！</t>
  </si>
  <si>
    <t>配件齐全，方便自行安装，可靠好用 小区热水不靠谱，临时加装热水器和恒温龙头，这是我购买的第二个龙头了，很喜欢。</t>
  </si>
  <si>
    <t>必备品 家里娃用，Y型必备，要常换</t>
  </si>
  <si>
    <t>ｐａｎｔ 挺好看的，就是又买大了，这个欧版真难控制</t>
  </si>
  <si>
    <t>好 很好，长短正合适！</t>
  </si>
  <si>
    <t>不错，合适 面料不错，161.120斤，m码合身，就是冬天里面不能再穿了，很合身</t>
  </si>
  <si>
    <t>适合稍冷季节穿着 这个是冬款购买的注意</t>
  </si>
  <si>
    <t>很不错 每天用来给宝宝打辅食，打的很细腻，家用芝麻酱也是他打的，目前只用到一个杯子，以后准备全部解锁。</t>
  </si>
  <si>
    <t>方便好用 方便好用，再也不要用线接电脑了</t>
  </si>
  <si>
    <t>健康保证 过滤水壶 很好用</t>
  </si>
  <si>
    <t>不错哟 这次还好。 上次自己从美亚买，结果两只鞋都是右脚的，自己退货还扣款。 怕啦，从中亚买，塑料袋直装，鞋子完好。</t>
  </si>
  <si>
    <t>购买时候大家注意尺码 裤子非常不错，只是美码尺寸和国内的整整差了一个半码，腰围肥的很，不过穿的很舒服</t>
  </si>
  <si>
    <t>不错，是正品 买的非全新品，跟全新没啥两样</t>
  </si>
  <si>
    <t>有色差 鞋子有点显旧，有色差，做工一般</t>
  </si>
  <si>
    <t>顺滑好用 价格实惠，顺滑好用，实用之选。</t>
  </si>
  <si>
    <t>噗噗噗的声音很烦人 通电后就有这个声音，把音源关掉也没用，应该是电路的问题。而且过了退货期，明天电话客服看能不能解决。</t>
  </si>
  <si>
    <t>选号失败 173cm 66kg，M码太肥，不合身，送人了。</t>
  </si>
  <si>
    <t>硬盘坏了 我的旅游照片没了…… 5月拿到货 6月25日把日本旅游照片灌进去 6月26日再插上电脑发现读不出来 硬盘里面还有杂音……因为是海淘所以不知道咋办……我的15G旅游照片和视频 我的几百块钱硬盘就这样完蛋了……心疼至今……</t>
  </si>
  <si>
    <t>瘦小勿买 175以下勿买，太大，此衣s号为日版L号</t>
  </si>
  <si>
    <t>别人退货的发给我了 我的辅食盒的内包装呢？连外包装盒都是被撕烂了的。明显的是别人拆开后退货的，我真担心别人会不会用过了再退的。因为急着用我也就不想再折腾了，这是亚马逊呢，咋这么不让人放心消费呢。真是闹心的很。希望能改进呀。烦躁！</t>
  </si>
  <si>
    <t>尺码应该算标准吧，就是料子有点厚，不大适合夏天穿。 尺码应该算标准吧，就是料子有点厚，不大适合夏天穿。</t>
  </si>
  <si>
    <t>质量也还不错，值得购买 质量不错，买得合身，</t>
  </si>
  <si>
    <t>一般般 还好吧，就是觉得换墨水芯麻烦</t>
  </si>
  <si>
    <t>还可以 双十一期间下单，到手1350，用时十天到货，瑞士制造，电源国内可用无需转换插头。箱体完好无磕碰，赞。开箱试了一下运转都OK，明年生产就可以用上了。买完这套才发现飞韵也在做活动，建议买那套，才多一百五块，多了妈咪包和四个奶瓶的冰包，非常划算了。这款对比国内活动价1800（包括免手扶胸衣和一堆小样）也还算性价比高了</t>
  </si>
  <si>
    <t>一定按发货点的尺寸买，就好 舒适，合脚，包裹性好！</t>
  </si>
  <si>
    <t>是新一代maxtra+没错 之前看评论有人说收到的是旧的，反正我收到的是最新一代的。 海外购的不像国内或者国内电商直采的那样有黑色的滤渣。 看上去这个比国内电商卖的要安全一点。</t>
  </si>
  <si>
    <t>质量不错 多次买一样的尺码，这款偏大，质量还不错。</t>
  </si>
  <si>
    <t>鞋 挺好的</t>
  </si>
  <si>
    <t>做工好，舒服 日本冠军确实好，老婆满意</t>
  </si>
  <si>
    <t>值得拥有 亚马逊的每个买家都非常热心，非常感谢。我参考了所有评论，选择了XL，大小正好（本人身高181，体重148），日本的衣服都偏修身一些。当然如果想穿那种特别紧身秀身材，L码也可以。一定要根据自己的胸围下单，不能看智能尺码推荐。</t>
  </si>
  <si>
    <t>配戴的感受 很精巧，大气，适用。</t>
  </si>
  <si>
    <t>很好的一次购物 衣服很好，腰围2.5尺的M号合身，就是稍微有点长，面料很舒服，宽松版的，越南产</t>
  </si>
  <si>
    <t>还算不错的东西 产品的面料比较薄，适合夏秋运动穿着，裤子确实比较长，我174CM已经买S号的了，腰和裆都比较合适，还是需要内收裤长8-10CM，不知是美国朋友腿太长还是我腿太短。</t>
  </si>
  <si>
    <t>质量不错 大小和10061比起来稍大一点，鞋型不错，用的皮子挺薄的，北方冬天穿会冷</t>
  </si>
  <si>
    <t>值得购买 做工精致，花洒比想象中大。TOTO旗舰店同样产品卖2180，省多少自己算吧。不过调温按钮感觉没什么用，按不按都能调，旗舰店的也一样，不知是否不还用。还有软管确认比较硬。总体满意。</t>
  </si>
  <si>
    <t>推荐 正在试吃，味道很美味，效果待定，</t>
  </si>
  <si>
    <t>很好用 性价比很高，送人的，很有档次，好评</t>
  </si>
  <si>
    <t>上课睡觉睡觉觉 衣服穿的好看</t>
  </si>
  <si>
    <t>很喜欢，非常有范儿 很帅气啊，腰带扣和皮子质感都很有分量。之前看评论说这款腰带偏短，所以干脆买了最大号。确实是够长的，自己打了好几个眼，长出来的那段都伸到侧面了。 加上一个同品牌钱包到手二百多，真是太划算了。</t>
  </si>
  <si>
    <t>穿了一段时间来评价 裤子很不错，版型什么的比我之前买的国产的牛仔裤都要好，而且料子是带弹性的，穿着舒服，尺码的话我178，74KG，穿33W32L的正好，当然我喜欢稍微宽松一点的，其实32W32L应该是正好的</t>
  </si>
  <si>
    <t>安静又干净 用了才来评论。说明书及操作指南都有英文的，操作方便，工作时很安静，抹布易清洗，地板比人拖得干净，哈哈。家里2只狗狗，所以毛比较多，每次都是人为扫完再用机器人拖地，后悔没买个扫地机。140多平方米要分2次完成，中间要充一次电。很满意，现在就看能用多久了</t>
  </si>
  <si>
    <t>蛮不错的，很值。 买的早，9天到手，包装很好！很值！</t>
  </si>
  <si>
    <t>小白鞋 小红书种草的，果然很美，显脚小，最满意的小白鞋</t>
  </si>
  <si>
    <t>速干T恤，推荐 运动跑步不错的速干T恤，轻薄透气</t>
  </si>
  <si>
    <t>很不错 裤子很不错，难得买到一件大小长短都刚刚完美的裤子，很适合我的腿型，对于大腿粗脚又短的人很适合，做工有点粗糙，也就美国路边摊的做工那个吧，质量要时间来证明，暂时是很满意的</t>
  </si>
  <si>
    <t>彩铅 很喜欢</t>
  </si>
  <si>
    <t>收到货有破损 海外购发货是快。可是收到的盖子有一边已经断了！也不知道怎么办？售后还是某宝好，可以联系卖家。</t>
  </si>
  <si>
    <t>品质一般 质量一般，第一次洗掉色厉害</t>
  </si>
  <si>
    <t>亚马逊尺码不准 按照本人的身高（184cm）体重（95kg）信息，亚马逊推荐的尺码是XL码，结合其他买家的反馈，我自己选择了L码，结果收到了试穿一下感觉还是略大，幸亏身材属于壮实型，还能对付；适合春秋季天气凉爽的时候当外套穿。</t>
  </si>
  <si>
    <t>很一般 不吹不黑，买的M码居然小了，质量真心差，看上去很旧，穿了几个月实在受不了扔了，不值。</t>
  </si>
  <si>
    <t>太差有色差 Lee 什么时候质量变得如此之差。超级硬的面料，而且还有严重色差。买的时候应该参考评论了，这种海外购的囤货运费一件125，还不能合并退货。真是太坑了</t>
  </si>
  <si>
    <t>质量不好！ 差评，质量不行，我再奥莱买的李维斯，lee价格贵一点点但是质量要好太多了！严重怀疑亚马逊中国的可信度！</t>
  </si>
  <si>
    <t>质量好，实际很很鸡肋 太薄了，真心太薄了，让我都想不出什么时候穿合适</t>
  </si>
  <si>
    <t>一般一般，声音浑浊 一般般，声音不宽，低音到还行</t>
  </si>
  <si>
    <t>裤子好，可惜太肥！ 买了这里的511战术裤，才发现某宝同品牌的裤子薄了很多很多。裤子做工很精致，可惜确实很肥，比平时穿的裤子应该买小一号更好，本人平时穿36很紧，因为有松紧带，该款裤子36大了很多，应该买34。</t>
  </si>
  <si>
    <t>性价比较低 中国制造，笔头较粗，顺滑度和国内的油笔差不多</t>
  </si>
  <si>
    <t>好很好的奶瓶 很好，做工精良，清洗方便</t>
  </si>
  <si>
    <t>性价比不错 跑步的时候用足够了</t>
  </si>
  <si>
    <t>18-10收货，20-01到期 时间挺好，品相也挺好，味道也不错，建议等天气凉一点时再买这种软糖类</t>
  </si>
  <si>
    <t>正品 才开始吃，现在还不知道效果，过一段时间看看</t>
  </si>
  <si>
    <t>还不错 下单第二天就到了，作为自己的第一块表还是很满意的，有包装有说明书有一套的东西，而且走时很准，到现在戴了8天基本没什么误差，样子也不错，刚拿来表链比较长，找个师傅截了下就好了</t>
  </si>
  <si>
    <t>这个是保冷的 请要买的朋友注意两点： 1这个是保冷的，不适合装开水 2比较大，低年级小朋友背着满满的水很重  瓶子本身没有什么问题，做工细致</t>
  </si>
  <si>
    <t>除价格外没毛病！ 尺码标准颜色也正，给老婆买的，应该还是比较满意。买完就降价，不爽！</t>
  </si>
  <si>
    <t>非常喜欢的一款硬盘！ 海外购搞活动时买的，本来想退货的，嫌麻烦，就算了。 东西不错，就是比WD 2T的要大上一圈，试用没有任何问题。 用来存放高品质音乐的，加上这个4T，有十几个移动硬盘了。 对亚马逊的服务再次给予好评！</t>
  </si>
  <si>
    <t>不错 挺好的，穿着挺舒服的</t>
  </si>
  <si>
    <t>不错 买了就降价，没办法，继续买，拉低成本，哈哈。拆散都是氦气盘</t>
  </si>
  <si>
    <t>基本合身 160cm59kg买的s，个人感觉胖瘦正好，衣服稍微长了点袖子衣摆短个3公分就完美了</t>
  </si>
  <si>
    <t>收腹压力还可以 收腹效果还可以，不会卷边，天热喂奶穿着还是不舒服的</t>
  </si>
  <si>
    <t>物美价廉 不错不错  很安静  而且非常超值 家里放电影 够了</t>
  </si>
  <si>
    <t>很好用 买来专门给宝宝用的，还算锋利</t>
  </si>
  <si>
    <t>挺有用的 挺好的，儿子吃了这个以后，坐马桶时间大为减少。</t>
  </si>
  <si>
    <t>性价比高 很合适 老公很喜欢 打球速干</t>
  </si>
  <si>
    <t>舒服 舒服，体重132买XL正好</t>
  </si>
  <si>
    <t>神速 超值加超神速哦，几天就收到了，就是不知道是不是二手货，上面的膜贴得烂得要死</t>
  </si>
  <si>
    <t>1 很满意的一次购物，物流很快，鞋子很好，很舒服，不压脚背，皮料柔软舒服，不磨脚</t>
  </si>
  <si>
    <t>挺好 167,57 穿上合适，很薄，夏天穿舒服。打折买非常合适！</t>
  </si>
  <si>
    <t>很好 安装方便，很棒。过滤以后直饮，比壶好。一个滤芯4个月1200升水，很好</t>
  </si>
  <si>
    <t>非常实用 内部空间很大，而且因为是布的，所以有一点点延展性，塑料文具盒放不下的这个都没问题，而且颜色耐脏，不花哨不会分散孩子的注意力。总之非常满意</t>
  </si>
  <si>
    <t>太大了。 太大了。xxl实测胸围144的。各位看着办吧。</t>
  </si>
  <si>
    <t>擦亮眼睛 货物的本来面目与商家所给图片是有很大差别的，一定看好，三思后行啊。另外，货物到的时间与预定的时间会有很大出入，所以网上购物一般要提前，免得误事。</t>
  </si>
  <si>
    <t>为什么洗碗味道特别大？ 洗的挺干净 但是开门味道刺鼻 应该就是洗碗块的味道</t>
  </si>
  <si>
    <t>明目张胆的翻新机当新机卖！ 明显的翻新机，特地找别人同款的开箱晒物看了。这款机器连个包装盒都没有！！翻新的太明目张胆了。对亚马逊太失望！申请退货！白期待这么久！ 图一是我收到的，没有包装盒，只有个箱子。图二是别人亚马逊海淘的，同款，有包装盒！</t>
  </si>
  <si>
    <t>假货 质量太次了，怀疑是假的</t>
  </si>
  <si>
    <t>那里修理 莫名其妙的不知什么原因不能使用，电源灯不亮，没反应，找希捷客服中心，说是亚马逊买的，没服务，我的很多资料都在这里，怎么办啊？</t>
  </si>
  <si>
    <t>秒杀的，要剁手 看到秒杀，比较一下淘宝的价格，觉得还行，怎么说也是监听级呢。结果一听，完了，细节确实较多，声场也有，音量大了也不觉得吵，开机时是静音，这都是优点，缺点就一个不好听，高中低频都很普通，还没有M20W好听。</t>
  </si>
  <si>
    <t>老人膝盖痛有帮助的！ 老妈天天吃，从去年开始吃后就没听她再抱怨膝盖痛了，跟她上街比我都走的快！</t>
  </si>
  <si>
    <t>做工呵呵 这个价 就为了买一个C刺绣标 尺码上某宝店问客服方便 然后想街头点就加一码</t>
  </si>
  <si>
    <t>有点大 儿子183，体重189，以前买的xl超大，最后改买了中码，合适。</t>
  </si>
  <si>
    <t>尺寸比较迷 买的幼童尺寸，洗完测量长度没有64，只有58…</t>
  </si>
  <si>
    <t>TIMEX. 第二块天美时，折服于它的性价比。 小小的手表装了大大的盒子，用了厚厚的空气柱，完好无损。 色彩没有偏差。表盘比预期的要厚实，显得表带有些单薄。总体很好，越看越喜欢。</t>
  </si>
  <si>
    <t>timberland皮带 40mm宽，34英寸长，牛仔裤职业休闲裤都能穿用，2尺3-2尺4腰身非常合身。</t>
  </si>
  <si>
    <t>物超所值！ 下单不到一周时间就收到了，比我原有的Presonus R80小了一圈，但整体声音更均衡，声场也更大。总体而言物超所值，非常喜欢。</t>
  </si>
  <si>
    <t>钟爱这个德国牌子，质量没得说，棉质很棒，价格是国内商场里的一半 钟爱这个德国牌子，质量没得说，棉质很棒</t>
  </si>
  <si>
    <t>很好用的包 包很好，很轻便，正好能装入我的t420s</t>
  </si>
  <si>
    <t>很满意 穿上很精神显瘦，朋友们都说好看。材质不是很厚，但春秋天不是最冷的时候穿着正合适。日本的尺寸和版型相较欧美款比较适合中国人。本人166，120斤，L，供大家参考</t>
  </si>
  <si>
    <t>180，95kg，胖子，L码合身 180，95kg，胖子，L码包身，正好</t>
  </si>
  <si>
    <t>很赞 很赞！</t>
  </si>
  <si>
    <t>好看  到货速度也很快哦 价格比某宝上划算太多  黑金配色不出错  日常搭配很不错</t>
  </si>
  <si>
    <t>品质好 made in China，牛仔裤密实，品质好，尺寸为标准尺寸，按照自己平时选购裤子的尺寸购买即可。</t>
  </si>
  <si>
    <t>赞 这个颜色很好看、质量也好，喜欢</t>
  </si>
  <si>
    <t>等白天有时间在上一张颜色图 总体满意吧。 260脚长选9M US，宽窄刚好。长度也合适。刚上脚，脚踝有点硌，很快就没事了。脚底和鞋感觉有点滑，不是鞋底（接地）滑。也许8.5的也可以穿。 鞋型不错。感觉稍有色差。等日光下拍颜色图</t>
  </si>
  <si>
    <t>很满意的一次购买！ 面料很舒服，版型不错，色彩也喜欢！</t>
  </si>
  <si>
    <t>号码偏小！ 先是去商场发现了这个鞋子，牦牛皮的很是喜欢，试穿一下，发现号码偏小，价格也贵。于是在亚马逊网站上找到了，平时38，拍下了39码的，合适。太好啦！</t>
  </si>
  <si>
    <t>舒适好穿 真的是舒适好穿，价格也不错</t>
  </si>
  <si>
    <t>Ecco shoes sold on Amazon.com are the most cost-effective Perfect！Beyond expectation!</t>
  </si>
  <si>
    <t>第一次买这个牌子的裤子 裤子很好，追加一条蓝色。</t>
  </si>
  <si>
    <t>合身 身高176 体重62 M刚刚好 很合身 很正 满意</t>
  </si>
  <si>
    <t>轻，保温 非常喜欢，保温效果不错，出门必带。推荐给婆婆</t>
  </si>
  <si>
    <t>质量不错，但不是特别舒适 质量不错，但不是特别舒适，没有bravo舒服</t>
  </si>
  <si>
    <t>想再购买，能免税就好了Y(^o^)Y 奶瓶很好，直邮也很方便，想再购买一个，不知道为什么现在要收税，8月份买的这个都没有收税哦。😱😱</t>
  </si>
  <si>
    <t>大小合适，本人175cm70kg。，买成不到200元，非常划算 大小合适，本人175cm70kg。，买成不到200元，非常划算</t>
  </si>
  <si>
    <t>各位喜欢champion的粉丝请注意 买过美版的，所以想把日版也买，但是非常失望😔，T恤的面料不是一般的差，没有一般衣服的弹性，试穿了2次后就有明显的拉伸，无语不敢买日版了</t>
  </si>
  <si>
    <t>衣长了点 面料还好，但比正常衣服要长不少</t>
  </si>
  <si>
    <t>感觉还不错，就是偏肥 尺寸和哈革尔一样，但由于lee的材质较厚，比较坚挺，所以显得肥大。穿着机会降低。</t>
  </si>
  <si>
    <t>和中国尺寸还是有区别，没有国内买方便 喜欢，只是买大了，退货很麻烦</t>
  </si>
  <si>
    <t>差评 有点像假货呐，不锈钢壁薄，不是一体成型的，内壁有接口完全不是虎牌的品质呐。本来是申请退货的，但是提醒运费就是160元，比购买的商品还昂贵，贵网站是用免运费形式引导消费者购买，高昂境外运费阻止退货发生是吧？差评，差评，差评！</t>
  </si>
  <si>
    <t>已经收到退货标签，但是没有人来取货 鞋子超小，不能穿，41的脚买的7/8码，但是实际收到4/5  37的鞋子，我的天啊，老子怎么穿</t>
  </si>
  <si>
    <t>有点小 新到一看，好小啊，一家四口估计不够用，物流很快很快</t>
  </si>
  <si>
    <t>买重复了 32的干杯自带棒子，买重了</t>
  </si>
  <si>
    <t>皮带 下单买了两条，一条黑色一条棕色，黑色的内侧有 made in USA 棕色的没有，奇怪。</t>
  </si>
  <si>
    <t>质量好 有点短 腿都露在外面 不如长一些的实用</t>
  </si>
  <si>
    <t>~ ~~~~~~~~~~~~~~~~~~~~~~~~~~~~~~~~~~~~~~~~~~~~~~~~~~~~~~~~~~~~~~~~~~~~~~~~~~~~~~~~~~~~~~~~~~~~~~~~~~~~~~~~~~~~~~~~~~~~~~~~~~~~~~~~~~~~~~~~~~~~~~~~~~~~~~~~~~~~~~~~~~~~~~~~~~~~~~~~~~~~~~~~~~~~~~~~~~~~~~~~~~~~~~~~~~~~~~~~~~~~~~~~~~~~~~~~~~~~~~~~~~~~~~~~~~~~~~~~~~~~~~~~~~~~~~~~~~~~~~~~~~~~~~~~~~~~~~~~~~~~~~~~~~~~~~~~~~~~~~~~~~~~~~~~~~~~~~~~~~~~~~~~~~~~~~~~~~~~~~~~~~~~~~~~~~~~~~~~~~~~~~~~~~~~~~~~~~~~~~~~~~~~~~~~~~~~~~~~~~~~~~~~~~~~~~~~~~~~~~~~~~~~~~~~~~~~~~~~~~~~~~~~~~~~~~~~~~~~~~~~~~~~~~~~~~~~~~~~~~~~~~~~~~~~~~~~~~~~~~~~~~~~~~~~~~~~~~~~~~~~~~~~~~~~~~~~~~~~~~~~~~~~~~~~~~~~~~~~~~~~~~~~~~~~~~~~~~~~~~~~~~~~~~~~~~~~~~~~~~~~~~~~~~~~~~~~~~~~~~~~~~~~~~~~~~~~~~~~~~~~~~~~~~~~~~~~~~~~~~~~~~~~~~~~~~~~~~~~~~~~~~~~~~~~~~~~~~~~~~~~~~~~~~~~~~~~~~~~~~~~~~~~~~~~~~~~~~~~~~~~~~~~~~~~~~~~~~~~~~~~~~~~~~~~~~~~~~~~~~~~~~~~~~~~~~~~~~~~~~~~~~~~~~~~~~~~~~~~~~~~~~~~~~~~~~~~~~~~~~~~~~~~~~~~~~~~~~~~~~~~~~~~~~~~~~~~~~~~~~~~~~~~~~~~~~~~~~~~~~~~~~~~~~~~~~~~~~~~~~~~~~~~~~~~~~~~~~~~~~~~~~~~~~~~~~~~~~~~~~~~~~~~~~~~~~~~~~~~~~~~~~~~~~~~~~~~~~~~~~~~~~~~~~~~~~~~~~~~~~~~~~~~~~~~~~~~~~~~~~~~~~~~~~~~~~~~~~~~~~~~~~~~~~~~~~~~~~~~~~~~~~~~~~~~~~~~~~~~~~~~~~~~~~~~~~~~~~~~~~~~~~~~~~~~~~~~~~~~~~~~~~~~~~~~~~~~~~~~~~~~~~~~~~~~~~~~~~~~~~~~~~~~~~~~~~~~~~~~~~~~~~~~~~~~~~~~~~~~~~~~~~~~~~~~~~~~~~~~~~~~~~~~~~~~~~~~~~~~~~~~~~~~~~~~~~~~~~~~~~~~~~~~~~~~~~~~~~~~~~~~~~~~~~~~~~~~~~~~~~~~~~~~~~~~~~~~~~~~~~~~~~~~~~~~~~~~~~~~~~~~~~~~~~~~~~~~~~~~~~~~~~~~~~~~~~~~~~~~~~~~~~~~~~~~~~~~~~~~~~~~~~~~~~~~~~~~~~~~~~~~~~~~~~~~~~~~~~~~~~~~~~~~~~~~~~~~~~~~~~~~~~~~~~~~~~~~~~~~~~~~~~~~~~~~~~~~~~~~~~~~~~~~~~~~~~~~~~~~~~~~~~~~~~~~~~~~~~~~~~~~~~~~~~~~~~~~~~~~~~~~~~~~~~~~~~~~~~~~~~~~~~~~~~~~~~~~~~~~~~~~~~~~~~~~~~~~~~~~~~~~~~~~</t>
  </si>
  <si>
    <t>没想到变成利用率最高的一只锅 买了一大一小两只，20cm这个看起来很小，然而试了一下发现准备一人份的食物刚刚好。 1. 因为刚刚好的尺寸，很容易刚刚好的分量，轻松吃完不会有负担。原本用大尺寸的锅，经常做多。适合肉类、非绿叶菜的蔬菜（例如蘑菇、芦笋、彩椒等等..）。绿叶菜需要大一点的锅才行。 2. 因为尺寸小，锅的重量非常轻巧。做饭变得更容易了。而且可以做完直接端上桌。洗干净的锅，随手挂在厨房挂钩上即可，和大尺寸的锅完全不同的使用体验。 3. 用了一个多月，不沾性能很满意。可以极少的油完成烹饪。 4. 和另一位用户的感受一样，认为锅底的红点变色很不明显，几乎没有用处。（比起来苏泊尔的变色则很容易察觉，可tefal不是红点的发明者吗？为什么）</t>
  </si>
  <si>
    <t>好 11月26下单，12月3日到货，表还是不错的，下次看看自动对波功能，替他功能都正常</t>
  </si>
  <si>
    <t>是正品满意。 是正品，本人非常满意。</t>
  </si>
  <si>
    <t>安德玛丅恤不错👍 商品不错哦！非常喜欢！</t>
  </si>
  <si>
    <t>儿童电子产品 孩子用，很方便，保护听力</t>
  </si>
  <si>
    <t>好 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</si>
  <si>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机洗不变形 质量很好穿了一夏天没起球还要回购</t>
  </si>
  <si>
    <t>正常使用 电子产品，一个硬盘有什么可评论的</t>
  </si>
  <si>
    <t>狮子杯 还是挺不错的，发货很快，这个价格可以买到我想要的狮子杯，各种快乐，么么哒</t>
  </si>
  <si>
    <t>很合适！ 非常合身性感，175-70！身材肉多的推荐大一码，我是腱子肉型！</t>
  </si>
  <si>
    <t>按评论买 按照评论推荐买的尺寸，刚刚好合身</t>
  </si>
  <si>
    <t>收到货了 便宜实惠，关键看上了可以防水200M，刚收到货，中国造，后续开始用了再说</t>
  </si>
  <si>
    <t>好 帮同事买的...她说挺好的</t>
  </si>
  <si>
    <t>慢慢吃到 颗粒比女士专用的小点</t>
  </si>
  <si>
    <t>BM7251-53L 这手表很不错，用了一个多月，基本上没时间差。</t>
  </si>
  <si>
    <t>合适，穿着舒适 好价，值得拥有，适合脚瘦的穿</t>
  </si>
  <si>
    <t>舒适，耐用 超级轻便，冬天穿也很暖和，做工精细，质量上乘，就是长了一点点，要是小半码就更加完美了</t>
  </si>
  <si>
    <t>很好用 质量真的很好，实物没色差，南方用也不会发霉，设计非常的人性化。</t>
  </si>
  <si>
    <t>我的西铁城手表培训。 这款表整体质感很好，蓝宝石玻璃也不错，就是太厚太沉了，表链已经被刮的不行了。其他都很好。</t>
  </si>
  <si>
    <t>好鞋 好鞋，要是男款便宜点就好了</t>
  </si>
  <si>
    <t>均衡 三频确实均衡，低频有质，高频亮，中频不是很凹，只是薄，人声干，听多了会不舒服，听纯音很好，最喜欢880下DEPAPEPE的吉他~佩戴应该是这个级别最赞的了，650,701略有不适，880却很好~880值得拥有！</t>
  </si>
  <si>
    <t>头有点粗 质量不错，就是EF头和F头一样大。</t>
  </si>
  <si>
    <t>很大味道，下水后依然很大，不知道是不是假货？ 很大味道，下水后依然很大，不知道是不是假货？</t>
  </si>
  <si>
    <t>很好 本身很好，就是有些小了，之少应该买大一号的。</t>
  </si>
  <si>
    <t>一般 总是会露出cup的边来，很尴尬。</t>
  </si>
  <si>
    <t>没有锅盖怎么用？ 收到锅居然没有盖子，联系客服，请补寄盖子居然说不可以，非得退货再重拍。这么重让我跑来跑去，真是服了。</t>
  </si>
  <si>
    <t>太大 太大，实际尺寸个标识尺寸严重不符，感觉是老美尺寸，中号穿出了超大号的感觉，哈哈哈，退换货的邮费和衣服价格差不多了，算了</t>
  </si>
  <si>
    <t>为什么只能加一张照 为什么有个音箱盒子一边胶带是割开的！打开里面电源线袋子也被挖了个洞！这分明是被人拆过的！</t>
  </si>
  <si>
    <t>身高1.73，体重75kg，穿M码刚好。 身高1.73，体重75kg，穿M码刚好。防风防泼水效果挺好的。</t>
  </si>
  <si>
    <t>西铁城骚橙 很满意，是正品。带上感觉酷酷哒！</t>
  </si>
  <si>
    <t>200免运费0税费购入 168，58m号合适。领口有点线头，不明显。</t>
  </si>
  <si>
    <t>裤脚有点宽 我175，160斤W34L30腰围正好，就裤脚管有点宽</t>
  </si>
  <si>
    <t>过得去吧 大小合适，布料较厚，做工一般，洪都拉斯产，这个品牌比越南产的差些。</t>
  </si>
  <si>
    <t>轻便舒适，推荐购买 一般穿4uk，因为是冬靴，所以听从了上一位买家的建议，买了EU37.5，稍微有点松，但估计冬天穿厚袜子就会比较舒适，鞋子很轻便，皮质也很好，clarks的鞋子总是不负所望，值得购买</t>
  </si>
  <si>
    <t>一次较好的购物体验 东西收到，用了一段来写评论的。感觉效果不错，包装也完好无损。</t>
  </si>
  <si>
    <t>衣服不错，超值！ 大小合适，非常喜欢！</t>
  </si>
  <si>
    <t>捡便宜啦 中国人买美国码，必须得小一到两个号，我老公168高，肩宽100，体重152，穿 s号的正合适，衣服合身，裤子还略长了一点，大家可以参考着买哟，推荐都买s号。</t>
  </si>
  <si>
    <t>很漂亮的胶囊咖啡机！！！ 很漂亮的胶囊咖啡机！！！</t>
  </si>
  <si>
    <t>海外购实惠 初期佩戴不太适合，刚入耳音质那感觉真垃圾，听了个把小时有所提升，相信煲开了会不错。</t>
  </si>
  <si>
    <t>👌 非常适合中国人</t>
  </si>
  <si>
    <t>非常好 我儿子非常喜欢这个小鹿 大小正适合小宝宝的手 握着啃咬可方便了</t>
  </si>
  <si>
    <t>ecco 户外徒步鞋 商品真的很赞！ecco的质量还是那么好，鞋型有点偏窄，鞋子很轻。价格真的无敌了，下次还会再来买。</t>
  </si>
  <si>
    <t>不错的购物体验 比平常尺码小，我1.78米，70公斤，买的M码，穿着很舒服，全棉的，大小刚好，看上去感觉档大了，但是穿上去却发觉裁剪很好，很贴身有没有紧绷感，还是觉得物有所值！物流也还算能接受，产地为印度🇮🇳</t>
  </si>
  <si>
    <t>不错。 身高182cm,体重69kg，s码正好。 衣服材质一般，不如亚马逊上卖的稍微贵点的nautica的好， 买了两件lee的一黑一白，价格还没一件nautica的贵， 但是胜在价格便宜，但是白色好不耐脏啊，黑色的还是很不错的！</t>
  </si>
  <si>
    <t>希捷美亚移动硬盘不错，性价比高 不错，价格实惠，轻巧便于携带，比其它品牌同容量轻薄，性价比高，比国内购买便宜，正常使用中。</t>
  </si>
  <si>
    <t>推荐 一般家庭够用，绞肉一绝，绞菜差点意思</t>
  </si>
  <si>
    <t>拜亚风格，不错的耳机 不错的耳机，不过最好还是带个好耳放，效果才能出来</t>
  </si>
  <si>
    <t>料子不错，美版做工就是糙了点 美版偏大，建议买小一号。</t>
  </si>
  <si>
    <t>穿上去很舒服 非常舒服，这个鞋子超出我想象</t>
  </si>
  <si>
    <t>很好 鞋很好，很舒服，尺码也整好。快递速度很快，比预计时间到的早很多。很满意的一次购物</t>
  </si>
  <si>
    <t>好 朋友介绍的，给9岁孩子吃没问题</t>
  </si>
  <si>
    <t>Seagate Backup Plus Slim 1TB 很好的一个移动硬盘，黑五买的，所以价格上比国内不知道要便宜多少！速度也很令人满意，用了那么久没什么问题</t>
  </si>
  <si>
    <t>试穿感受 感觉很棒，尺码很合适，版型也不错，没有异味，皮质不是很硬。</t>
  </si>
  <si>
    <t>正品 绝对是好东西 ，一点都没有异味。外国货。和我中国买的一模一样。而且价格是中国的一半，买两个，在中国买一个。</t>
  </si>
  <si>
    <t>价格便宜了买个玩玩，价格高了不推荐 好像除了价格外也没太大惊喜，一切都是旗舰机该有的样子，要论刮得干净彻底还是吉列的造型师，也舒适就是麻烦点。以前五百多的飞利浦双头用了十四年到现在还能用，希望这个也耐用 -------------------------------------- 觉得还没有两头剃的干净利索，清洁桶洗的也不是很干净，总之没有太大意义</t>
  </si>
  <si>
    <t>美版的还不错 非常不错的衣服 很合适</t>
  </si>
  <si>
    <t>白色中底部分 起皮 中底的白色部分已经起皮了</t>
  </si>
  <si>
    <t>只能说还可以吧 还可以吧，布料有点薄，不太有型，凑合着穿吧</t>
  </si>
  <si>
    <t>垃圾皮带 垃圾皮带，用了一星期皮带头上的黑漆全掉没了</t>
  </si>
  <si>
    <t>脱胶了 穿了三个月，脱胶了！</t>
  </si>
  <si>
    <t>为了良心，我客观评价 后悔已来不及。第一，笔杆又细又短又小，第二，鼻尖粗的不行，根本无法用于日常写字，第三，钢笔居然没有吸墨器，只有个一次性笔芯，第四，与英雄616差别不大，当然，价格可以买30根616，第五，笔没有任何光泽，非常不显档次，第六，快递慢的不行，第七，不要迷信外国制造，现在国产也很棒。总之，这根笔，谁买谁上当。</t>
  </si>
  <si>
    <t>衣服偏大 衣服本身材质和其他的都挺好，就是尺码严重偏大，国内champion实体店我是买xl的，这件买xl直接大了好几圈，没200斤不要尝试这个尺码。</t>
  </si>
  <si>
    <t>值得购买 看了实物与照片对比才发现日本模特又瘦有效，包比想象中的要小的多，空间不是特别大，放一个手机钱包钥匙就差不多了，再多放就不好看了，做工五金配件都还不错，希望出一款比这个大的包，邮费税费再降一下，千万别去某宝代购，还是亚马逊直邮便宜，国内也有价格更便宜，后悔没去某东看了</t>
  </si>
  <si>
    <t>腰围尺码不符 颜色款式都可，只是腰围太大！ 买的33码腰围的，本以为约合87cm。到手实测为94cm。  这个差的有点远。</t>
  </si>
  <si>
    <t>还可以 这个刷子可以洗吸管里面，还可以</t>
  </si>
  <si>
    <t>舒适度 大小合适 舒适度好</t>
  </si>
  <si>
    <t>好用 吹长发也很快干，物廉价美</t>
  </si>
  <si>
    <t>非常有用 没啥好说的，这几年天天用它喝水。</t>
  </si>
  <si>
    <t>好 正品 非常好 已经在用了一开始不适应 只喜欢奶瓶 慢慢的现在都会喝了</t>
  </si>
  <si>
    <t>尺码大一号 质量和款式都很好，尺码较大，本次买的尺码10码，大了一号</t>
  </si>
  <si>
    <t>亚瑟斯运动鞋 亚瑟斯运动鞋穿着舒服价格实惠</t>
  </si>
  <si>
    <t>好 很好！吸盘力很强！推荐！</t>
  </si>
  <si>
    <t>好用 很好用，关键是下单的时候正好碰上活动，价格也很美丽，晚上到手就试用了。Deep Clean功能也完全不会伤害牙龈和牙齿，以前刷牙牙龈出血多的状况完全没有出现，开心疯了</t>
  </si>
  <si>
    <t>质量 完美，性价比不错</t>
  </si>
  <si>
    <t>很好 强烈建议买加宽！除非你是瘦成干的人！鞋子很好，很帅气！</t>
  </si>
  <si>
    <t>合身 款式稍老，但质量不错，合身</t>
  </si>
  <si>
    <t>总体来说不错 大小合适功能性较好价格实惠质量不错发货速度快。</t>
  </si>
  <si>
    <t>很不错的卡西欧手表 卡西欧最便宜的六局电波太阳能手表，样式大气</t>
  </si>
  <si>
    <t>好，这个牌子很不错 感觉非常不错，戴着很有面。</t>
  </si>
  <si>
    <t>是正品 味道很好，小朋友能接受。之前都是买冲着喝的，现在一天一粒省事了。希望能对增强免疫力有效。</t>
  </si>
  <si>
    <t>鞋型钢样子 都非常好 鞋底也很软 我是225的脚长 正常买36的大小 这款买了37 鞋头比较尖 就稍微多出一截 没买过36所以无法判断是否买36会合脚</t>
  </si>
  <si>
    <t>划算 真的超级划算，还是两只装</t>
  </si>
  <si>
    <t>书写效果令人意外啊 本来早前就要买了，但是那时候还是觉得很贵，结果前几天降价到90，配合Z券的优惠，最后到手75元。 书写效果网评参差不齐，这是钢笔的性质决定的，同一支笔，不同的人写起来，感觉就不一样，每个人对钢笔的要求都不同，更何况现在大家拿到的根本不是同一支笔，仅仅是同一个型号而已。我手上的这只非常适合我的口味，笔尖够滑，全笔重量稍轻、笔杆的粗细合我意，意外地高兴，比之前几百块的派克感觉还好。很想再买一支装红色墨水写，可惜涨价到140了.</t>
  </si>
  <si>
    <t>不错的购物体验 物超所值，175身高穿L刚好！</t>
  </si>
  <si>
    <t>不错 非常好，剃须有力，就是声音大。老丈人喜欢</t>
  </si>
  <si>
    <t>忧伤 因为值班，错过了当天取货，结果没有找到，估计是被别人拿走了，好忧伤。</t>
  </si>
  <si>
    <t>挺好的 还不错</t>
  </si>
  <si>
    <t>退了 退了，面料感觉不舒服。版型是我150斤穿 S合适。</t>
  </si>
  <si>
    <t>袖子有点长 大小合适，就是袖子有点长，巴基斯坦产的，质量很一般</t>
  </si>
  <si>
    <t>做工非常烂 波兰产的质量非常差，差点以为是假货退款，后来在专柜看到一样波兰的鞋子一样的无语的做工，勉强接受了，可以算是这么多年穿爱步里面做工最差的一款</t>
  </si>
  <si>
    <t>包装不合理 不开心，包装太简陋，放在这么大一个箱子里面，几个空气袋，完全没有防撞保护，已经想象出了断铅的结局&amp;lt;😡&amp;gt;&amp;lt;😡&amp;gt;&amp;lt;😡&amp;gt;</t>
  </si>
  <si>
    <t>超级无敌差了！尺码牛头不对马嘴的！很肯定，绝对不是正品，就是假冒伪劣的东西！几百块全扔了，完全没办法穿 超级无敌差了！尺码牛头不对马嘴的！很肯定，绝对不是正品，就是假冒伪劣的东西！几百块全扔了，完全没办法穿</t>
  </si>
  <si>
    <t>亚马逊卖假鞋 鞋的舌头永远歪向一侧，袜子的大拇脚趾头永远蹭的黑黑的！假货！手工作坊的小工厂生产出的鞋子。造假的水平很低很低！</t>
  </si>
  <si>
    <t>大2到3吗合适 里维斯31的裤子，32腰带用到第二个眼，不知道34的怎么样。不带腰带环，长98cm</t>
  </si>
  <si>
    <t>很好 买的是s号 身高173 体重 65 衣服长度刚好就是袖子有些稍长 面料挺舒适的 有点厚 适合春秋冬季穿</t>
  </si>
  <si>
    <t>鞋子不错，脚很舒服 柬埔寨生产，皮面多少有点小瑕疵，之前买的那双皮面竟然有划伤，鞋盒都破损了，外包装塑料袋都没有，而且送货特别快，我怀疑是别人的退货，这双是退单，再次购买的。收到货看了看没啥大问题，但是皮面依然有伤，还好不太明显，我就忍了，不然又得等半个月。鞋子很舒服，没有特别的闷热感，鞋底也比较软，总之还不错，不过下次要买双棕黄经典款穿了。</t>
  </si>
  <si>
    <t>德国品质，还不错 喜欢表盘简约的设计，不过表盘的玻璃要是再抗碰撞一点就好了，不小心碰一下墙壁，花了</t>
  </si>
  <si>
    <t>质量好 大小合适，就是有点长</t>
  </si>
  <si>
    <t>品质好 首选的日本亚马逊，因为包装很有智慧，不用担心会不会磕碰。买了两个，这个发货比较晚了，但是还是比预期收货时间早了很多。就品质而言，真的很棒，焖烧杯的保温效果竟然达到十二小时以上。颜色很酷！总之，很满意！</t>
  </si>
  <si>
    <t>挺好看的鞋子 平时NB的运动鞋穿41.5，这个买的8M，略微宽松，不过也不拖拉。鞋子挺重，北方室内穿着有些热，谁叫它看起来帅气呢，就忍了，一周后基本会适应。另外鞋子表面有一层颜色，容易被刮掉，或许是层保护色？鞋子皮革柔软，倒也舒服。</t>
  </si>
  <si>
    <t>很不错的鞋，在考虑要不要换个颜色买 非常的舒适，价格美丽。爱死了</t>
  </si>
  <si>
    <t>长 裤长确实很长。</t>
  </si>
  <si>
    <t>很好 真心不错，价格公道，推荐</t>
  </si>
  <si>
    <t>好 173cm65kg平时31稍微大点，这个30腰部臀部完美贴合不大也不紧很好。面料可以，做工也不像一些评论所说差</t>
  </si>
  <si>
    <t>好 软头勺 孩子用实用 推荐</t>
  </si>
  <si>
    <t>目前为止最满意的保温杯 有颜值，够保温。尽管是保冷杯，冲着牌子还是买了，当作保温用，效果杠杠的。</t>
  </si>
  <si>
    <t>略微偏大，宽松版 略微偏大，宽松版</t>
  </si>
  <si>
    <t>物美廉价，值得大胆购买 2.7尺的腰，买36正好用第一个扣眼，实际买34也行。腰带质量比上次买的35mm的好很多，160元到手比国内的四五百的好。</t>
  </si>
  <si>
    <t>鞋子不错 鞋子不错，比国内专柜买价格便宜不少。</t>
  </si>
  <si>
    <t>偏大 腋下偏大，像蝙蝠了，，，，，</t>
  </si>
  <si>
    <t>不到300RMB的衣服，超值。 第一次使用亚马逊海外购，漂洋过海居然只要7天到货，快递速度很快哟。 不到300RMB买到这款加绒的衣服，很好。 这边旗舰店没有600RMB是买不到的。 最后衣服居然是made in China，转一圈买了个国货😓洗一次稍微有点褪色，拉链是靠右的，不是很习惯拉，其余都好啦！</t>
  </si>
  <si>
    <t>真的很不错 功能实在太强大了，一边喷蒸汽一边吸尘。让搞卫生的阿姨叹为观止，地面反光，厨房地面油污全部无影踪。</t>
  </si>
  <si>
    <t>滤芯 厉害厉害包裹从英国裸奔过来的 竟然完好无损 佩服</t>
  </si>
  <si>
    <t>虎牌梦重力保温杯 东西早到了，比想象中的快！不错！</t>
  </si>
  <si>
    <t>很不错的鞋子 非常舒服，给朋友买的 ，他以前在福建专门做鞋的，他说比他们做的鞋子好多了，正品无疑</t>
  </si>
  <si>
    <t>很好的烧水壶 很好的一个旅行水壶，看了之前酒店卫生事件出门都要自己带水壶，之前老婆买了一个塑料折叠的但是本人总觉得一百度的热水还是用金属的比较靠谱，加上电压能110和220切换，去外国也能用。</t>
  </si>
  <si>
    <t>还好不是很甜 还好不是很甜，口味不错，每天两粒</t>
  </si>
  <si>
    <t>鞋子码数偏大，硬皮还是软皮 鞋子大了2码。。。。应该是软皮</t>
  </si>
  <si>
    <t>很好 碗勺很可爱，也很厚实，好多妈妈都推荐这款</t>
  </si>
  <si>
    <t>速度比较快，但做工很一般。 拿到手的第一感觉是做工很一般，跟国内山寨有得一比，但不想退货了，麻烦。 往U盘里写入120G文件，大概需要25分钟时间，速度还是挺快，很不错。 用过一段时间后，才发现问题来了，速度越来越慢，往里面拷贝文件（几十兆一个）时，速度很不稳定，最高时有60M，最低时会降到0，经常在几兆左右徘徊。一个128G的U盘，这样的速度实在太垃圾了。如果速度继续往下跌，我会担心数据放里面会不会有安全问题，也许我要考虑扔掉它，以后再也不会碰这个品牌的任何产品了。</t>
  </si>
  <si>
    <t>卡扣处明显磨痕，很像被人用过的 卡扣处明显的磨痕，很像被人用过的</t>
  </si>
  <si>
    <t>产品不是真皮的 产品偏短，不是真皮的，有异味。</t>
  </si>
  <si>
    <t>假货 假货!一刷二维码，就几十块钱的货!</t>
  </si>
  <si>
    <t>质量太差 才穿了两周时间 边上胶皮已经翻起 这质量也太差了吧</t>
  </si>
  <si>
    <t>还可以 袖口有点紧，其他地方大，质量很一般，不建议购买，电商特供</t>
  </si>
  <si>
    <t>很吵，其余都满意。 走时很准，缺点就是声音实在太大，睡觉都得放在抽屉里才能睡着。基本上三米内会受影响。其他都很好。</t>
  </si>
  <si>
    <t>很不错 尺寸大小合适，上身效果很不错</t>
  </si>
  <si>
    <t>衣服不太合身 衣服很瘦很瘦。只适合瘦长的人穿。</t>
  </si>
  <si>
    <t>勉强可以穿 大小刚刚好，不多也不少，177  60  但本人喜欢宽松点的，退货又要一百多快，只好勉强穿穿，这种衣服我觉得还是宽松点穿着好看</t>
  </si>
  <si>
    <t>Cole HAAN 女式塔夫绸夹棉长款羽绒服 穿着合适，质量感觉也不错。就是长度到脚踝了，因为网上展示的模特比我高好多了。也是可以接受吧。腿部保暖效果更好</t>
  </si>
  <si>
    <t>不错 这个价格买到的这个牌子，很不错，这个靴子小了会压脚</t>
  </si>
  <si>
    <t>尺码把握不好。 衣服质量很好，价格也不贵，就是尺码不好把握。172.150斤穿m大了，主要是袖子和身子都太长了。</t>
  </si>
  <si>
    <t>短袖体桖衫 穿上很舒服，超出我的预想</t>
  </si>
  <si>
    <t>好！推荐！ 网红睡袋真心不是徒有虚名，这两天山西开始冷了，宝宝一晚上醒好几次，一直以为是缺钙或者别的原因，昨天用上睡袋了，一动不动睡到天亮都没醒来吃奶！太神奇了！强烈推荐！</t>
  </si>
  <si>
    <t>如心所愿的夹克 性价比很高，是一款薄棉夹克，布料不错，关键是领子舒适！</t>
  </si>
  <si>
    <t>好 大小合适，保温效果好，搞活动一下买了两个，一百出头一个。</t>
  </si>
  <si>
    <t>很舒服 很舒服，底子很软，脚踝也不卡</t>
  </si>
  <si>
    <t>不错 鞋子里面的线头稍微刺脚</t>
  </si>
  <si>
    <t>东西不错 东西不错，孩子喜欢，味道也好</t>
  </si>
  <si>
    <t>L码偏小，较合身！ 身高170，体重148，穿L码，长短合身，大小合适！</t>
  </si>
  <si>
    <t>太好用了 我一个连炒青菜都不会的人，已经照着菜谱做了香橙鸭和南瓜浓汤，然后日常炒蔬菜也已经都交给厨房机器人啦，打算找一天挑战做一次马卡龙。说明书和菜谱都是德文的，所以可能还是需要有一点德文基础才好；这个型号的说明书跟同样亚马逊在售的国内版本机器在中文官网的说明书有差异，德文的说明书更详细了，然后子程序也有一点点不同。</t>
  </si>
  <si>
    <t>不太实用 感觉不是特别实用，小的两个太小了，大的还行，而且没有盖子，带出门不是特别好。比较建议买他家有盖子的那个碗</t>
  </si>
  <si>
    <t>总体好评，大小合适。 速度挺快，一周时间到了。鞋子大小正合适，国内差不多35.5大小，鞋垫是记忆棉的，只是发现国外这个做工细节不如国内的，有些线头毛边。</t>
  </si>
  <si>
    <t>和图片一样 稍硬 很好。彪马的码就是稍大一点，但是参照尺码表就可以了。 说小的是因为尺码表上标的是英码而买的时候显示是美码所以会买小 没有错误只是容易对消费者造成误区 英码加一就是美码了</t>
  </si>
  <si>
    <t>很好的商品 有用！就是要坚持！</t>
  </si>
  <si>
    <t>A 高180 重85K 32X32刚刚好，裤子很有型</t>
  </si>
  <si>
    <t>英亚价格好划算 一直在英亚上关注这双鞋子，一直没有5.5码又赶上有一个primer的活动，索性买了6码的，还好没有大太多，超级喜欢超级划算，亚马逊海外购超给力</t>
  </si>
  <si>
    <t>很满意！ 很好！比淘宝便宜。做工精细，出水柔软</t>
  </si>
  <si>
    <t>大爱冠军 简直太爱了 质量特别好 大爱冠军</t>
  </si>
  <si>
    <t>噪音很小 很满意 之前很多评价说噪声很大 下单时比较犹豫，到手实用完全没问题，很好！</t>
  </si>
  <si>
    <t>这个是不错的 这个是非常不错的，买大了一好垫了个鞋垫。很舒服</t>
  </si>
  <si>
    <t>海外购，太不靠谱！ 牛仔裤色差大的离谱，明明是直筒裤，照片上感觉好像立体有型！总之，太不靠谱了！还有这坑爹的退货政策，你得自费把东西寄回美国！本想给一星，考虑到衣服挺厚实的，就给了两星。再吐槽一下“本想发张照片证明以上所言，竟然没有上传选项”！亚马逊的服务也太LOW了！</t>
  </si>
  <si>
    <t>长度太短 其它都还可以，腰围合适，只是长度短了，跟同时买的另外一款Wrangler长度差了不少。</t>
  </si>
  <si>
    <t>德亚要买小一号 162/110S合适，舒服适合秋冬穿</t>
  </si>
  <si>
    <t>瑕疵多 有气眼有黑点，好多瑕疵，锅底一圈黑黑的</t>
  </si>
  <si>
    <t>订单310S到手300S什么意思？ 订单310S到手300S什么意思？是你亚马逊店大欺客，还是我眼神不好没看订单？</t>
  </si>
  <si>
    <t>大半码至少 号码偏大，一定小半码至少，我看了所有评论按照标的号码买的，悲催的大了半码，还是留下来了</t>
  </si>
  <si>
    <t>不错的 三星大品牌固态硬盘，测试读写速度还行吧。</t>
  </si>
  <si>
    <t>老人吃的还不错，钙片呗 老人吃的还不错，钙片呗</t>
  </si>
  <si>
    <t>味道大 到手价167，印度产，皮带内侧有暗印，标明是真皮，但不知道是不是真皮。36的长了，自己又砸了三个眼，二尺四的腰估计32合适。</t>
  </si>
  <si>
    <t>鞋不错的选择 43码穿8.5w就够了，made in China的，转了一大圈不错</t>
  </si>
  <si>
    <t>165cm,60kg，衣服有点长，不过可以栓到裤子里，胸围有点紧。喜欢修身的没问题，喜欢宽松的可以选大一号。 不错</t>
  </si>
  <si>
    <t>非常好的一款家用熨烫器 好用！</t>
  </si>
  <si>
    <t>非常喜欢 帅气，增高，做活动买的，700多，非常喜欢，平常穿美码8.5，英码7.5，26.5，这个小一个码刚好！</t>
  </si>
  <si>
    <t>推荐 用起来真的舒服，物超所值，快递也很给力，预计的20天，10天就到了</t>
  </si>
  <si>
    <t>配件都需要买 除了出入水管外其他的都得买 我家走4寸ppr管。配套阀全是6寸铜管件，没法转接。</t>
  </si>
  <si>
    <t>好 非常好，有淡淡的清香味，女儿很喜欢。</t>
  </si>
  <si>
    <t>舒服美观 有好看又舒服，超喜欢。</t>
  </si>
  <si>
    <t>质量很好 颜色比照片漂亮，鞋穿起来非常舒服，鞋底的弹性非常好，40MEU和国内40码一样大小穿了很合适，发货很快。</t>
  </si>
  <si>
    <t>超值 很小巧，比我同学买的别的牌子的小好多。外壳一面是金属一面是塑料的。金属那面很高档的样子，酒红色无色差，很好看。用起来也不错。</t>
  </si>
  <si>
    <t>不错 东西不错，穿上很舒服，一点小不足，容易沾毛</t>
  </si>
  <si>
    <t>好 吸管有味道，用醋洗了洗，还是有点味道，其余的都很好，宝宝也很喜欢</t>
  </si>
  <si>
    <t>很好的一款男士内裤 很好的一款男士内裤</t>
  </si>
  <si>
    <t>产品很好 有人说这是保冷杯，日本的保温杯都是这样写的，效果真的很好，12小时一杯开水，第二天还是烫手，宝宝就不喜欢喝水，换了很多杯子了。</t>
  </si>
  <si>
    <t>信任精工的品质，一分钱一分货 之前买了一个精工很小，这个够大，而且这款钟自带2个电池，右边部分很实用，培养小朋友的时间观念，倒计时，定时计时方便，时间到了还可以选择闹铃和闪灯，挺好的。</t>
  </si>
  <si>
    <t>喜欢 喜欢</t>
  </si>
  <si>
    <t>很好 东西不错，尺码与国内一样，Burnished Brown就是15551，颜色比图片要深，供参考。</t>
  </si>
  <si>
    <t>大品牌，值得信赖。大宝也是用这个 新设计，防胀气，等待二胎来试试</t>
  </si>
  <si>
    <t>好大的衣服 衣服特别大，1米8，200斤的胖子3xl感觉能装进相扑队员，想想l估计就够了</t>
  </si>
  <si>
    <t>176/122 M 身高176体重122M码可以 有用请👍</t>
  </si>
  <si>
    <t>很便宜 很好，价格很便宜啊～</t>
  </si>
  <si>
    <t>便宜 布料硬，很板，像制服</t>
  </si>
  <si>
    <t>购物货真价实 东西不错，包装盒密封严谨。</t>
  </si>
  <si>
    <t>好 好 正品啊，便宜啊，喜欢</t>
  </si>
  <si>
    <t>偏小 牛仔裤34 32合适这个完全穿不上 ，不知是否正常</t>
  </si>
  <si>
    <t>一般 整体看，做工一般，应该是纯棉的，布料斜纹处理的，穿起来大腿处与上衣下摆摩擦容易粘到绒之类的东西。体验一般，希望对后面的买家有点帮助。另外，本人身高172cm，体重70kg，买的32*32，腰围正好，裤腿稍长了一点，32*31可能正好。</t>
  </si>
  <si>
    <t>很紧 183.90.腰围、长度尺寸准确，大腿小腿都紧。</t>
  </si>
  <si>
    <t>过期药品 商品过期了割开胶囊变质了颜色不对</t>
  </si>
  <si>
    <t>新买的衣服有破洞 今天第一天穿 额 居然发现有一个小洞 ！！！亚马逊出库都不检查吗？</t>
  </si>
  <si>
    <t>还有四个月过期 马上过期的东西，居然还不能退</t>
  </si>
  <si>
    <t>CK钱包 检查了车线并不是很工整，也不知道到底是不是正品。还有小票上总计200块，却收了260几块，不是很满意</t>
  </si>
  <si>
    <t>M码都大一点。 180,85KG，M能穿，有点大，估计S修身，面料比较厚，颜色略老气</t>
  </si>
  <si>
    <t>太薄 料子还行 就是太薄 再就是尺码买错了 太小</t>
  </si>
  <si>
    <t>好 还可以了。 比官网啊代购都便宜了。这感觉看着是正品。打了不少。可以买小一号。穿穿看。第一次买</t>
  </si>
  <si>
    <t>下次还来 没想到货到的如此快，亚马逊的服务真不错。买到赚到。好评来一个</t>
  </si>
  <si>
    <t>有点小 小巧，轻，易携带</t>
  </si>
  <si>
    <t>推荐便秘调理 小孩便秘买来准备给小孩调理吃，但去了儿童医院又开了乳糖果口服液便秘也正常了，这个没开吃闲置，但相信亚马逊</t>
  </si>
  <si>
    <t>性价比高 标签价四百出头，实际一百出头入手，蛮划算。ck的m码宽松合适效果。</t>
  </si>
  <si>
    <t>耳机不错，很喜欢，煲机中 耳机不错，很喜欢，煲机中</t>
  </si>
  <si>
    <t>质量好 不错，很喜欢，size也合适！</t>
  </si>
  <si>
    <t>价廉物美 虽然听多了AKG的K3003i，但是这个价位的DT240还是给我惊艳的，首先为了带出街方便不考虑大耳机，尝试过森海和akg第一次买拜亚很满足。 人声还是美中不足。 快递到家轻到我以为被调包了。 比国行便宜快1倍了，出去保修，国内代理真是奸商</t>
  </si>
  <si>
    <t>物有所值 还不错，传输速度蛮快稳定在160m/s左右～关键是比国内便宜很多～打客服成功转到中国大陆保修～</t>
  </si>
  <si>
    <t>需要再放过滤纸吗？谢谢！ 咖啡壶非常好用，喜欢！</t>
  </si>
  <si>
    <t>好看 比较大 不过冬天穿 还行</t>
  </si>
  <si>
    <t>Good Goog</t>
  </si>
  <si>
    <t>一般 穿上大腿有点紧，微勒臀部，布料不错。</t>
  </si>
  <si>
    <t>造型经典，功能实用 绝对是卡西欧的经典款，从美国宇航员到周董都原则佩戴，价格不贵功能实用，也不花哨一些刚刚好</t>
  </si>
  <si>
    <t>内衣舒适 舒适透气柔软细腻光滑</t>
  </si>
  <si>
    <t>腰带有些买长了！ 买长了，腰带质量还行！</t>
  </si>
  <si>
    <t>存档必备 比预计的速度快了很多，必须好评。东西不错，速度也能接受，作为存档使用很适合。</t>
  </si>
  <si>
    <t>感觉比La Mer好用 淡化细纹有效果</t>
  </si>
  <si>
    <t>过滤器 自己买了转接头，打了两个孔安装好ok</t>
  </si>
  <si>
    <t>好用的 好用，很满意，就是110转220要多个变压，占地方</t>
  </si>
  <si>
    <t>性价比超高 直白的声音，准确的结像，很棒。</t>
  </si>
  <si>
    <t>美国人民真幸福啊，几十块钱就能买到这么好的锅 和我预想的一样，拿在手里沉甸甸的，绝对是口好锅，应该可以传代，煎东西也不粘，唯一的遗憾就是锅沿有2个小缺口</t>
  </si>
  <si>
    <t>太大了 做工很一般，面料差，不像是LEE正规的品质，尺寸过大，比专柜同尺码的腰围至少大了8CM，没法穿，垃圾</t>
  </si>
  <si>
    <t>鞋面有磨损 一直很喜欢clarks的鞋，穿着比较舒服。但是这一双好像是二手的，感觉被人退货的，鞋面有磨损，而且比较严重。有点不太爽。难道说价格便宜一些的就要质量差一些？</t>
  </si>
  <si>
    <t>不好看。 做工不行，看起来像纸皮的…当然是皮的，结实。</t>
  </si>
  <si>
    <t>版型不对，颜色有偏差 标题写的锥形修身小脚裤  实际是中腰直筒裤 颜色和图片色差挺大 偏暗淡色,不是很满意。感觉LEE这个品牌以前是定位高端牛仔，现在感觉定价低了，做工面料啥的也比以前差了很多，感觉不到是高端牛仔品牌的味道了</t>
  </si>
  <si>
    <t>生产日期被涂抹。 是不是因为不能退货或者退货麻烦就给我发个没有日期的商品。差评，怀疑过期产品。</t>
  </si>
  <si>
    <t>明显残次品！ 商品有明显瑕疵。穿起计左后袋左侧袋下角露止口。明显残次品！</t>
  </si>
  <si>
    <t>质量堪忧 包装是烂的，手表秒针不走，但是时间是准确的，不退了，给个一星鼓励。。</t>
  </si>
  <si>
    <t>终于到货了  偏大一码  留着穿穿吧 感觉偏大好多  软是挺软的  颜色是深色不是图片的淡色</t>
  </si>
  <si>
    <t>鸡肋配件 机器使用很方便，就是配套的切菜和橙汁机一点用都没有，机壳是塑料的，不是说半金属么？绞肉机孔不大不小，绞容大了，绞肉馅小了，得另配孔。切菜，土豆，胡萝卜可以，换个青菜，呵呵，拿起你的菜刀来！谁天天土豆胡萝卜！橙汁机那是什么玩意！</t>
  </si>
  <si>
    <t>不错的电影箱子 听音乐不太好，低音太重了，分频设置也不理想。用来看电影倒是很合适，低频非常足。品质对得起价格。</t>
  </si>
  <si>
    <t>杯盖易掉 保温效果好，材质好。缺点是吸管杯的盖子很容易掉下来。</t>
  </si>
  <si>
    <t>还是不错 三条200多，比国内划算太多，质量好，以后还会买</t>
  </si>
  <si>
    <t>舒适 很舒服，不错。。。。。。</t>
  </si>
  <si>
    <t>很好 穿着很舒服，保暖效果不错。173，75kg裸穿刚好合适，外穿略微有点小。</t>
  </si>
  <si>
    <t>较厚，舒适，宽松，尺码正常！ 34w30l，176cm/78kg，正合适！布料厚实，但穿着很舒服！属于宽松款，裤腿稍微有点粗！第一次海淘买牛仔裤，满意！</t>
  </si>
  <si>
    <t>训练服 这个牌子我一直很喜欢。质量也好，真心不错！身高1.74，体重68.5公斤。尺寸合适。</t>
  </si>
  <si>
    <t>很好 很好，之前在京东买过牙刷头明显硬很多，这个就不会和原装的一样好！</t>
  </si>
  <si>
    <t>不错 11月30号下单，12月8号顺丰送到，速度还不错。快递箱子整体没破损，稍有挤压，产品箱子完好，物品完好。但愿网上说的顶部按钮在使用中不要失灵</t>
  </si>
  <si>
    <t>象印面包超人 第一次在亚马逊买东西，还是日本直邮的，真心觉得好过瘾，关键是保证正品的，一直犹豫买虎牌还是象印，最后选择这个，象印的保温效果真的是保温杯界里的第一名，真的好呀，就是杯盖有些松哦，总会被宝宝碰掉下去，但是虎牌好像也是这样，可能日本的设计问题，但是太爱这个杯子了，宝宝十分的喜欢喝水了，一口气半壶喝光，喜欢的狠，给赞，望亚马逊给象印厂家联系下说提高下杯盖的链接硬度，可以吗？哈哈。</t>
  </si>
  <si>
    <t>好 很好用，也很方便，质量也很好！</t>
  </si>
  <si>
    <t>[郡是] 轻型文胸【包覆全罩杯】无钢圈文胸 EB1229H 非常满意</t>
  </si>
  <si>
    <t>垃圾 &lt;div id="video-block-R2V760MI67AZ2F" class="a-section a-spacing-small a-spacing-top-mini video-block"&gt;&lt;/div&gt;&lt;input type="hidden" name="" value="https://images-cn.ssl-images-amazon.com/images/I/41RRyH02a+S.mp4" class="video-url"&gt;&lt;input type="hidden" name="" value="https://images-cn.ssl-images-amazon.com/images/I/A1aSyUqni3S.png" class="video-slate-img-url"&gt;&amp;nbsp;图有其表，带了不到几次竟然后盖掉了，而且无法安装上，希望购买者谨慎小心</t>
  </si>
  <si>
    <t>满意 质量很好，买了一套，穿着很舒服</t>
  </si>
  <si>
    <t>除了慢一点其他还好 蛮有性价比的，拆了盒子装硬盘柜子里了。</t>
  </si>
  <si>
    <t>不错的 买给儿子的。因为夏天了，所以没怎么穿，秋天穿了再追评。</t>
  </si>
  <si>
    <t>比较硬 长度尺码合适，就是太硬了</t>
  </si>
  <si>
    <t>不错 挺好的，一直想买一只派克的钢笔</t>
  </si>
  <si>
    <t>很满意 不到两周就收到货了，prime真的很神速。东西很好打磨的非常细腻，每天吃各种奶昔，夏天可以试试沙冰啦！</t>
  </si>
  <si>
    <t>亚马逊英国送货快 周天下单，周一从英国发货，周六就送到了。衣服大而松，本人183／70，买S码就够了。</t>
  </si>
  <si>
    <t>合身，这个产品真不错 这个产品真不错，非常合身，其它的只有到夏天时才能知到了。</t>
  </si>
  <si>
    <t>不错 蛮好的，比超市里的好用。</t>
  </si>
  <si>
    <t>sony ok 很好，比国内便宜一些。</t>
  </si>
  <si>
    <t>质量不错，价格合理 质量不错，使用方便。</t>
  </si>
  <si>
    <t>不值 不值 。太差了，一点都不好 我</t>
  </si>
  <si>
    <t>盖子太大，此款不好看 没有其他款好看，盖子太大，盖子颜色和被子颜色有较大差异</t>
  </si>
  <si>
    <t>无 以前买美国品牌都买中号，但这吹网站建议买加大或大号，我有点异议，选了大号，但试衣时还是又大又长，有上当的感觉。</t>
  </si>
  <si>
    <t>缩水U盘  390检测可信？？ 还没使用，390检测显示为缩水U.盘，好尴尬啊，要退货？</t>
  </si>
  <si>
    <t>不咋地 被子比较差，杯口凹凸不平，外面有划痕</t>
  </si>
  <si>
    <t>欠缺标准化 同一个品牌…同一个款式…几个月的间隔…两条不同的颜色…同一个尺码…短了一英寸！174cn身高…66腰围…这个颜色比几个月前的同一个品牌不同颜色相同尺码短一英寸！6L码。标准化欠缺！</t>
  </si>
  <si>
    <t>还好 这个价不错</t>
  </si>
  <si>
    <t>尺码太大了！ 178/67，穿日版L码非常合身,美版选的M码竟然都大了一圈，上身效果很具美式嘻哈范，想要修身估计穿S比较合适。做工略粗糙，机洗掉毛严重，胜在价格便宜。</t>
  </si>
  <si>
    <t>还不错 穿着比较舒适，防水易打理</t>
  </si>
  <si>
    <t>还行 锅还不错 就是太重 加上就是煎牛排什么的 不是很实用</t>
  </si>
  <si>
    <t>太长了 买大了，太长，160身高</t>
  </si>
  <si>
    <t>还可以！ 这个半袖质量不错。比买的长袖加绒质量好！</t>
  </si>
  <si>
    <t>很棒 非常棒，高年级小朋友用用正好。</t>
  </si>
  <si>
    <t>第一次海外购 非常不错</t>
  </si>
  <si>
    <t>还不错 洗了几次以后略略褪色，面料穿着很舒服。</t>
  </si>
  <si>
    <t>第一次在亚马逊的购买体验 象印出品，质量确实好</t>
  </si>
  <si>
    <t>还行 这件衣服是比较好的，材料也可以</t>
  </si>
  <si>
    <t>泡沫出口设计有特点 真心不错，大人小孩都喜欢，小朋友每次都要两手都挤上小花，比较费洗手液。</t>
  </si>
  <si>
    <t>美丽 比较轻便，放包里方便，颜色做工都没得说。</t>
  </si>
  <si>
    <t>很多的 很不错的，还是挺好的</t>
  </si>
  <si>
    <t>尺寸合适 大小合适，特别是腰围可弹性松紧。做工也不错，墨西哥产。打算再买一条33x30的</t>
  </si>
  <si>
    <t>满意的 很满意，我的第一次海外购</t>
  </si>
  <si>
    <t>正品 很好，是正品。包装细节和鞋子细节都能看得出来</t>
  </si>
  <si>
    <t>合适，面料厚实，质量好。 合适，面料厚实，质量好。</t>
  </si>
  <si>
    <t>nice 面料略薄，适合春夏穿。裤型显瘦。粗腿星人表示穿上瞬间瘦二斤。前提是尺码合适。</t>
  </si>
  <si>
    <t>可以 还可以 不知道是国产还是日产</t>
  </si>
  <si>
    <t>非常满意的一次购物了，这个品牌真的不错！ 看了评论才买的，所以选的s号，身高170体重139刚刚合适，的确做工精细，而且看评论知道有点薄的夹棉，正合我意，哈哈！如果内袋是拉链的那就完美了。</t>
  </si>
  <si>
    <t>看评论推荐很合适 看评论购买，大小很合适。34码，试了下。在贸易占戈前赶紧囤一双，冬天穿。没评论的一般不敢乱买，怕不好退换。不过亚马逊上款太少。TB虽多又太贵，其实自己去实体店逛了试最好。可惜脚小本就难买鞋。这次体验感觉很好！给满分。</t>
  </si>
  <si>
    <t>不错的选择 买小了，给女儿</t>
  </si>
  <si>
    <t>和自己平时穿的号一致 挺合适的，是那种不太厚的，套在里面不错挺舒服的，纯棉的感觉很好的</t>
  </si>
  <si>
    <t>刷头还不错 第一次换成这种刷头，比敏感型刷头硬。每个刷头还有独立小包装，屯一次够用很久了。</t>
  </si>
  <si>
    <t>一般般，很廉价的感觉 很轻，感觉有点廉价……蓝色圆珠笔芯，很粗，写起来也不甚顺滑，总之难怪派克是积分兑换的常客……这品质真不值得花钱买</t>
  </si>
  <si>
    <t>不是很满意 不是棉的，不是。不过裤型不错，不嘞</t>
  </si>
  <si>
    <t>选择退货！ 衣服质量不错，但尺码偏大，白色穿着透色露点……所以选择退货。</t>
  </si>
  <si>
    <t>质量太差了 太差了，孩子拿来用了一回，现在充电没反应，也开不了机</t>
  </si>
  <si>
    <t>超大 尺码偏大太多</t>
  </si>
  <si>
    <t>噪音大 其它还好，目前和Zidoo的盒子配合，当PT在用。 就是噪音大，咚咚咚的声音比较响。不知道是不是运输过程中的问题。</t>
  </si>
  <si>
    <t>好行吧，挺轻的 没有日本代购回来的保温效果好</t>
  </si>
  <si>
    <t>有瑕疵 38的买的5号，脚面比较低，鞋长会比国内的长那么一点点。左脚的鞋子皮有一块皱皱的，跟其他地方明显不一样。其他的是光面的，这么远也只能留着，不退。满意度70吧！</t>
  </si>
  <si>
    <t>质量不稳定，按键常常变成蓝光闪烁 按键非常不稳定，收到几天来每次使用不论是打热的奶泡还是加热牛奶，按键都时常变成蓝色闪烁，只好拿起杯子等灯灭再重新操作，反复几次才能正常打出奶泡或者加热牛奶然后灭灯。奶泡很细腻，牛奶加热的温度有时热有时温，就是因为反复变蓝灯闪烁的缘故，所以温度不稳定。这么贵的产品，外观没问题，质量上有问题，也不能换货。产品是国产，插销是圆头的欧版。国内旗舰店卖的是扁头插销。</t>
  </si>
  <si>
    <t>偏大了一些，但是肩膀合适 我身高1.85，肩膀合适，袖子巨长，衣服也长了一些。</t>
  </si>
  <si>
    <t>舒服 很好，穿着很合适，舒服有型，非常满意！</t>
  </si>
  <si>
    <t>白衣服有点透色 很舒服 和没穿一样 如果是肉色就更好了</t>
  </si>
  <si>
    <t>非常的好 确实不错 特意找了好几个平台都没有卖的 淘宝 京东都没有 这有了 功能齐全 款式新颖 查过是正品值得拥有 最赞的是昨天购买的今天上午就送到了 太准时了 型号的耳机很赞 包装都很好</t>
  </si>
  <si>
    <t>尺码 260mm的脚长，长度宽度刚刚好，很合适</t>
  </si>
  <si>
    <t>非常舒适， 非常舒适，本来是凑单的，没想到很满意</t>
  </si>
  <si>
    <t>适合手腕较细的人佩戴！ 个人手腕比较细，特意选了个表盘比较小的，回来戴上后大小正好合适！做工也很不错，好评！</t>
  </si>
  <si>
    <t>满分推荐购买 很薄很保暖，非常喜欢。以后会经常关注日亚产品</t>
  </si>
  <si>
    <t>日本DEVICE包 日本原产，包包做工精良，用料不错，很喜欢，佩服日本的工匠精神，</t>
  </si>
  <si>
    <t>亚码 商品尺码为亚码，平时穿多大就买多大</t>
  </si>
  <si>
    <t>价格还好，噪音不大 价格还好，噪音不大，直接格式化用在Windows上。</t>
  </si>
  <si>
    <t>重，有份量 庆幸当时的选择，再大一号，我就拎不动了</t>
  </si>
  <si>
    <t>大了一点 160cm，58kg应该M号就可以了。</t>
  </si>
  <si>
    <t>满意 5月8日下单后原本预计6月底7月初送达，惊喜的是在下单后的一星期便看到已发货，从迈阿密发出DHL运送，经由香港到达广州海关，遇上周末，其中一个没有放出来，等到星期一总算放行。收获过程顺利，2个邮包分两天到手。收到306后听了一段时间，是时候给一个评价了。早几年曾使用旧版305，306对比305，6寸的306对比5寸的305，超低音改善那是非常明显的，6寸的超低音之浓厚，已经无需像5寸音箱那样还需要另加低音炮，所以306可谓完成了高性价比的关键一跃！306声音比同尺寸的百灵达2030更富有动感。 306开声第一印象声音就比较清脆，人声嗓音也足够动听，高音则没发现旧版305超高频的刮耳朵感觉，低音下潜和能量比305明显好很多，看电影很劲爆，能量很大，声音所有各方面胜于旧版305！306高音低噪比305更大。</t>
  </si>
  <si>
    <t>鞋子很不错，买对了 鞋子还是相当的漂亮的，我很喜欢timberland的鞋，这双也很舒服，质量很不错</t>
  </si>
  <si>
    <t>175/71 S号 175 71KG S 很适合！之前买的XS码也能穿，有点紧，这个刚好，穿POLO衫一定不要大 大了很难看！</t>
  </si>
  <si>
    <t>好看舒适 非常棒</t>
  </si>
  <si>
    <t>性价比高 尺码标准，面料有垂感。适合春夏</t>
  </si>
  <si>
    <t>奶瓶 做了很多攻略，最后奶瓶奶嘴选择了贝亲，亚马逊开通的海外购，真的太快了</t>
  </si>
  <si>
    <t>刀头+网膜 刀片网膜可以用了一次同原装的一样</t>
  </si>
  <si>
    <t>很实用的辅食盒 给宝宝加辅食才知道非常非常实用！盒子密封性很好！</t>
  </si>
  <si>
    <t>好用 好用不用多说</t>
  </si>
  <si>
    <t>好东西 好东西 用起来放心 不锈钢的</t>
  </si>
  <si>
    <t>不怎么好 保温效果非常一般，不建议购买</t>
  </si>
  <si>
    <t>杯子不错 很不错，值得购买！挺实惠的</t>
  </si>
  <si>
    <t>有开线 样式很好，但是袖子有个线头开了，不开心</t>
  </si>
  <si>
    <t>不咋地 破玩意 一点不值这个价格 还是中国产的</t>
  </si>
  <si>
    <t>漏水 一直漏水！上面盖子还老掉！对比别人的杯子后发现这个是少给了胶圈！杯子和盖子之间的垫子！</t>
  </si>
  <si>
    <t>一般般 没有ecco引以为傲的减震功能，实际水平也就这个价格</t>
  </si>
  <si>
    <t>[[ASIN:B01BYAX498 AKG 爱科技 K92 封闭罩耳式耳机]] 耳机不是很便携  3M的耳机线加上全封闭式 适合在家使用</t>
  </si>
  <si>
    <t>大小合适，鞋帮脱胶 平时穿42，这次买的是8.5EE。大小合适，唯一的不足就是鞋帮有点脱胶。</t>
  </si>
  <si>
    <t>不错 还未使用，看起来还是蛮好的</t>
  </si>
  <si>
    <t>尺寸标注再准确些 总体还不错，欧美码都偏大，买时要小一码</t>
  </si>
  <si>
    <t>偏小 很好。以前从不去评价，不知道浪费了多少积分，现在知道积分可以换钱，就要好好评价了，后来我就把这段话复制走了，既能赚积分，还省事，走到哪复制到哪，直接发出就可以了，推荐给大家！！</t>
  </si>
  <si>
    <t>合脚 很好  很合脚  比较合适  码子偏大  7.5的  买6.5合适</t>
  </si>
  <si>
    <t>物超所值 质量好，价格实惠。四天收到。</t>
  </si>
  <si>
    <t>性价比超高 兼容我的HX9111/21，而且价格也是所有平台最便宜的，8个头可以用好久了，强烈建议购买。</t>
  </si>
  <si>
    <t>好 送男朋友的 40.5的脚 正好</t>
  </si>
  <si>
    <t>必恩威闪存购买感想 很棒，有123GB容量，性价比高，值得购买！</t>
  </si>
  <si>
    <t>好穿好看 卖的白色，好穿也好看，尺码按照尺码表买的也很合适，完美！</t>
  </si>
  <si>
    <t>很好 国内假货泛滥，还是亚马逊自营保险，虽然拿下的价格真不便宜，快赶上专柜了。另外，本人脚长255.3mm,宽10.8cm，穿redwing 8d合适，Timberland 一般皮鞋7.5w有点紧，踩开正合适。所以说，大家海淘鞋子还是看换算的日本码，直接单位cm最合适。至于10061之前也是美亚买的7.5w，夹得简直没法走路，这次选择8w正合适！美亚基本是多米尼亚产的，比较粗狂，但质量没问题。</t>
  </si>
  <si>
    <t>很不错 脚长的小还是有好处的哈哈，40码，bigkid7m正好</t>
  </si>
  <si>
    <t>好 太好用了，好小巧。推荐购买。可是还没到手，就降价了几十块，心疼死我了😭😭😭</t>
  </si>
  <si>
    <t>款式简单，大小合适 款式简单，大小合适，颜色属于略深的牛仔的蓝色，袖子偏长，不过牛仔夹克可以把袖子卷起来，不影响穿着，衣服长度不是很长，正合适。厚薄的话中等，比牛仔衬衫厚，但是也不是特别厚，20度左右穿正好。</t>
  </si>
  <si>
    <t>真品，好安装 &lt;div id="video-block-R3B2N7WSW54X5Q" class="a-section a-spacing-small a-spacing-top-mini video-block"&gt;&lt;/div&gt;&lt;input type="hidden" name="" value="https://images-cn.ssl-images-amazon.com/images/I/91TsiXrcmgS.mp4" class="video-url"&gt;&lt;input type="hidden" name="" value="https://images-cn.ssl-images-amazon.com/images/I/91FmhqW3m0S.png" class="video-slate-img-url"&gt;&amp;nbsp;1.东西很好，是日本货无疑。2.初试了一下，烧水没水垢，没杂质，感觉效果与碧然德滤壶差不多，当然，因为没有测试工具，不能提供具体数据指标，既然在日本能卖，相信性能质量没问题，因为小日本对食药监管是很很严格的，这决不是崇洋媚外。3.说明书全日文，但主要指标大概能看懂，日文里有汉字。过滤2000升水后，几种物质标称还能滤除百分之80以上。滤芯能用四个月。4.说安装漏水的，都是因为没装对。必须先将附带的连接件拧到龙头上，再将过滤器拧到连接件上。直接将过滤器拧到龙头上，拧不到头必然漏水，而且螺牙有差异，强拧必然损坏，这可是好心提醒，一开始我也没装对，后来研究了一下，搞定。</t>
  </si>
  <si>
    <t>还成。 这个价格买到挺不错的，就是不知道发货途中有点久，鞋子稍微压的有点皱了，还是放久了所以皱了。</t>
  </si>
  <si>
    <t>自然之宝 比预计到达时间提前了很多，包装完整，一直用这个牌子，日期到2019年，满意</t>
  </si>
  <si>
    <t>值得拥有 膨松柔软。身高170体重75，M号长短正好，腰围稍瘦，配一件T恤可以，羊毛衫就紧张了。总体很棒！</t>
  </si>
  <si>
    <t>很好 身高180，体重180大码刚好，材质很好，非常满意</t>
  </si>
  <si>
    <t>轻巧 保温 便于清洗 非常满意 轻巧 保温 方便清洗</t>
  </si>
  <si>
    <t>质量好 身高180厘米体重75公斤穿M正好</t>
  </si>
  <si>
    <t>亚马逊 非常好！亚马逊值得信赖。货真价实，非常不错的选择。</t>
  </si>
  <si>
    <t>不肥不瘦 和我穿过的几双爱步鞋比，这款鞋稍瘦一点，有包裹感，但又不感觉挤脚。</t>
  </si>
  <si>
    <t>挺不错的。绘儿乐这套颜色很齐全。 挺不错的。绘儿乐这套颜色很齐全。宝宝很喜欢。</t>
  </si>
  <si>
    <t>满意 非常完美的鞋，是我大爱的牛筋底。</t>
  </si>
  <si>
    <t>没告知是快过期的产品 到货后发现有效期只剩6个月，这不应该在商品描述中说明吗？</t>
  </si>
  <si>
    <t>也就这价 质量一般，款型一般，全棉的，秒杀买的，也就值这个价。</t>
  </si>
  <si>
    <t>我体积大还是买错了 身高体重均180 买的L号穿着小了一个尺码应该要买xl 东西有点单薄</t>
  </si>
  <si>
    <t>一般的价格和一般的质量 这个价格买的东西，也不要太龟毛，但是还是要说，线头有点多。穿着感觉一般。</t>
  </si>
  <si>
    <t>为开瓶液位超低 &lt;div id="video-block-R3VV3QO2VOUDZF" class="a-section a-spacing-small a-spacing-top-mini video-block"&gt;&lt;/div&gt;&lt;input type="hidden" name="" value="https://images-cn.ssl-images-amazon.com/images/I/51ApSWW1OIS.mp4" class="video-url"&gt;&lt;input type="hidden" name="" value="https://images-cn.ssl-images-amazon.com/images/I/91MVrC-UNdS.png" class="video-slate-img-url"&gt;&amp;nbsp;全新的擦开包装，盖子还没打开，液位不到一半。。。。</t>
  </si>
  <si>
    <t>掉毛，一洗还变肥大 真不真不知道，买来打底，一出汗胸跟肚子上都是黑色的细碎的不知道是棉还是啥，这品控就是图便宜也不至于这样，亚马逊跟boss，无论谁的错，这商品最好别卖了</t>
  </si>
  <si>
    <t>计时器复位不到中间 右侧中间按钮卡了塑料半圆，自己根本弄不出来，去修表店弄好的，计时器复位差三格，复位不到中间，而且表刚到电池就不行了！又花了80换块电池，送人的表，真的是糟心，也就外表好看了……</t>
  </si>
  <si>
    <t>还可以 身高162，体重98，买S刚好。质量一般，棉质很粗，不过六十多块钱也没啥要求，样子还是好看的。</t>
  </si>
  <si>
    <t>颜色很好看，但表面比较容易刮花 碗小，只能装点干货零食什么的</t>
  </si>
  <si>
    <t>物流比想象中快很多 8个装够用很长一段时间，这是小刷头，飞利浦sonicare系列牙刷应该基本都适配，送货也挺快。</t>
  </si>
  <si>
    <t>拜亚耳机值得信赖 下单后8天收到。这款耳机是我所买耳机中最贵的一款，初听后本人觉得三频均衡，个人觉得耳机线好长，也不太方便。达到我预先设定的期望。</t>
  </si>
  <si>
    <t>裤子刚好 裤子质量很好，穿上去很舒服，比国内码大一点，不错。</t>
  </si>
  <si>
    <t>品质不错 方便好用</t>
  </si>
  <si>
    <t>舒服 穿clarks43.5，这个44很ok</t>
  </si>
  <si>
    <t>质感好皮质好 尺码上的描写希望再详细点，买这种鞋就是尺码不好挑。鞋子质量很好，皮质有质感，实物跟图片一样，满意，去年买过一双棕色，因为太喜欢又买了双，这个牌子的鞋子真的很好穿。</t>
  </si>
  <si>
    <t>Dr. Martens 女士 Flora Leather Chelsea 时尚休闲靴, Cherry Red Arcadia Dr. Martens 女士 Flora Leather Chelsea 时尚休闲靴, Cherry Red Arcadia  MADE IN THAILAND  目前这双鞋子已经穿了将近一个月了，已经磨合得比较好了，于是来分享一下这次的购物体验。  到货时间： 到货时间非常及时，从下单到送货到手上差不多刚好一周的时间。目前亚马逊海外购似乎国内段的快递都换成了顺丰对接，于是在送货时间上很有保障，快递也没有被暴力摔过的痕迹，鞋盒很完整，几乎没有压出褶子。  尺码选择： 本人胖脚，足弓高，典型区别于欧美的扁平足弓；平时皮鞋穿国内36，UK3或3.5，这双靴子选择3 F(M) UK / 5 B(M) US。长度合适，但鞋头部分对圆脚不是那么友好。不知道是我左右脚不对称还是鞋子不对称，刚开始穿的一周左脚脚背被疯狂压，每走一步压一下，一天下来脚背都青了，右脚没有这种情况。不过第二周开始磨合好了就好很多，目前穿了一个月了，已经不压脚背了。  颜色： Cherry Red Arcadia就是很深色的车厘子色，室内光线不注意看的话很容易看成黑色，室外光线下容易看出车厘子色。总之是很好看的低调红色，搭配衣服也很容易。顺带说一下，鞋子是有些许光泽的牛皮皮面，易打理，看起来也比较高级。  优点： 1. 高性价比。实体店试过相似款，货品肯定不完全相同，但款式颜色很相近了，店里的价格再填一点都够亚马逊上买2双了； 2. 买之前先去实体店试了一个相似款（鞋后的标签颜色不一样，此款是紫色标，店里是黑底黄字标），店里相似款更容易在脚背出褶子，试鞋的那一下就能微微看到，这款穿了一个月了，脚背的褶子看起来还好，不是那么明显； 3. 鞋底为橡胶底，防滑性能不错，但相比之前买的1460的8孔系带靴子，鞋底偏薄一点； 4. 快递换成顺丰之后到货时间和货品不被暴力对待让人更放心。  缺点： 1. 对胖脚、足弓高、脚趾很肉的童鞋不是那么友好； 2. 相比之前买的1460的8孔系带靴子，鞋底偏薄一点。  *以上是这次的购物分享和实际使用感受，供各位对此款商品有兴趣的朋友参考。</t>
  </si>
  <si>
    <t>很好 目前处于初烧阶段，MDAC5+DT880系统，比较满意，用HD650总觉得像蒙了一层雾，不透亮，不过很耐听，改用DT880后，声音比较亮一些，也很大气均衡。不想折腾，专心享受音乐，放弃HD650。</t>
  </si>
  <si>
    <t>穿着舒适，大小合适。 很满意的一次购物，价廉物美，上身穿着舒适。</t>
  </si>
  <si>
    <t>龙头 为新房装修屯的，先买了三荣的，虽然便宜，里面都是 铜的，挺沉。虽然还没装，看看就比国内的好</t>
  </si>
  <si>
    <t>合适 根据评价尺码买的，还合适，如果参照尺码表就偏大了，尺码表不准啊。</t>
  </si>
  <si>
    <t>舒适 刚收到货，很好，物有所值。刚收到货，很好，物有所值。刚收到货，很好，物有所值。</t>
  </si>
  <si>
    <t>盖子比较难扭 常常发生盖子没拧好漏奶的问题，不过只要仔细盖好就不会撒漏</t>
  </si>
  <si>
    <t>很不错 第一次买这款式衣服，大小适中，穿着舒适</t>
  </si>
  <si>
    <t>回购N次的货 之前在美亚买了十几瓶，看到这里有又囤货了。实在是好用，没有清凉刺激的味道，但效果很好。</t>
  </si>
  <si>
    <t>舒服 高腰的，面料很舒服，臀围92买了大码合适，有点厚，收腹效果是有的，很想再入两条</t>
  </si>
  <si>
    <t>很好的衣服 非常合适，价格也实惠！</t>
  </si>
  <si>
    <t>不错 舒适，鞋型极好，ecco果然够屌</t>
  </si>
  <si>
    <t>xiexing 要买小一码，很贴脚，轻巧，刚穿两天磨脚背，休息几天后就合脚了。总的来说，款式、舒适度都很好，正装合适。顺便问下，james wing为啥贵一倍？</t>
  </si>
  <si>
    <t>比平时选小一码正合适 身高168，体重105选S码稍微有一点大，料子非常好，摸着很舒服，专卖店翻一倍都不止呢，感觉买到就很超值，好喜欢！</t>
  </si>
  <si>
    <t>特别好看还没有味道 真是做得很精致，对得起这个价格，能装正常规格的笔14支（一点不紧凑）</t>
  </si>
  <si>
    <t>大小合适 大小合适，质量不错，这价格性价比超高。</t>
  </si>
  <si>
    <t>偏大一码，质量很好 衣服质量很好很暖和，平时穿l买的也是l居然大了，得退掉重新拍了，但是几天时间里价格涨了三四百让我怎么办…</t>
  </si>
  <si>
    <t>走路咯吱咯吱响 脚垫有异响的，走路咯吱咯吱作响。脚垫是薄薄的纸板，一走就有摩擦发出声音，实在不好意思穿。</t>
  </si>
  <si>
    <t>传输速度慢 价格是不错，但是传输速度很慢，3.0接口，传单独文件70-80m，很快就降低到20-30。失望比较</t>
  </si>
  <si>
    <t>盖子设计有问题 盖子扣不紧，应该是设计的问题，经常一个不小心就掉下来。</t>
  </si>
  <si>
    <t>服务差 因太大了，申请退换，但一直没人理我，无法退换。</t>
  </si>
  <si>
    <t>衣服做工有问题 没检查就洗掉了这个衣服做的有问题 开线了 而且不对称</t>
  </si>
  <si>
    <t>没那么神奇 没大v们推荐的那么神奇</t>
  </si>
  <si>
    <t>不错的购物 不错的购物，质量还好，价格也还合适</t>
  </si>
  <si>
    <t>就喜欢这样的 李牌的裤子穿起来不错的。</t>
  </si>
  <si>
    <t>尺码过长 这个尺码不是一般的过长。 不过料子摸起来手感柔软，很舒适。</t>
  </si>
  <si>
    <t>还不错 身高180，重160，M码很合身，比较轻薄透气。</t>
  </si>
  <si>
    <t>好看，舒适 衣服质量很好，比国内便宜，好看。</t>
  </si>
  <si>
    <t>挺好的 还不错，尤其第一次效果显著。</t>
  </si>
  <si>
    <t>经济又实惠 非常 满意，非常实惠</t>
  </si>
  <si>
    <t>比较完美 虽然不如之前的baby-G有日期提示 刚戴上的几天还不时去看表，想知道今天是几号= = 不过一切都很完美，壳子结实，表带有韧劲 目前为止，非常好</t>
  </si>
  <si>
    <t>大小合适，量身定做 这是我穿过的最合适的LEE，在泰国买过，中国买过，原来，最合适的在亚马逊！超级好评！！！颜色看起来很舒服，长短大小简直量身定做，最让人惊喜的是，居然有微弹力。必须超级五星好评！ 参考：身高179，体重88KG，购买34*32</t>
  </si>
  <si>
    <t>物流挺快的，用着还不错 用着还不错</t>
  </si>
  <si>
    <t>好用 好用 可以用星巴克的胶囊，跟店里差不多口味</t>
  </si>
  <si>
    <t>裤子质量很赞 身高178 体重76公斤 32码非常合适，宽松型适合大众身材，夏天穿稍微有点热但是面料还是很舒服的</t>
  </si>
  <si>
    <t>值得拥有 非常漂亮，有质感，做工精致，书写流畅，有份量，设计图案独到，国内少见！</t>
  </si>
  <si>
    <t>质量很不错 除了袖子有点长，版型非常棒！</t>
  </si>
  <si>
    <t>复古大气 挺好看哦😊 很满意 就是等待久了点。</t>
  </si>
  <si>
    <t>百搭 稳，正式、休闲、运动都能搭</t>
  </si>
  <si>
    <t>好的商品 很好的 值得购买！</t>
  </si>
  <si>
    <t>不错的产品 外壳塑料，内层不锈钢，保证了孩子食物的卫生安全。虽然不含BPA的塑料制品比较安全，但不锈钢显然是更加安全的。</t>
  </si>
  <si>
    <t>实用 外观精致，实物比图片好看。连接稳定，声音小。usb充电还没有用，连接下载宝，再也不用发愁没剧可看啦。就是不知道还有什么别的功能没有，说明书很简单。</t>
  </si>
  <si>
    <t>老婆喜欢 老婆很喜欢，评论需要10个字。</t>
  </si>
  <si>
    <t>经济实惠 这是给老公买的，我吃的是善存女士专用款的，这个日期到19年5月，日期不错，还可以配合这次买的钙片一起吃，应该很好。</t>
  </si>
  <si>
    <t>good 耳机很小巧，颜值也不错，五星</t>
  </si>
  <si>
    <t>烙饼利器 没有什么明显的瑕疵，整体光亮。确实不错，烙饼再好不过了，整张饼烙得很均匀，喜欢在家烙饼的非常推荐！上传不了图片</t>
  </si>
  <si>
    <t>便宜 质量不错 还行 价格便宜 比之前淘宝上买的同价位的皮子好 扣再大一点会更好 我偏好日字形的皮带扣 买的太长了 烦人的很 我就用剪子裁开了 如果皮带扣不是缝上去的 就能剪皮带扣那边的 结果我剪的窟窿眼那边 丑死了</t>
  </si>
  <si>
    <t>衣服穿着很不舒服 比其他海外购衣服大一码。略大。 背部的设计的缝线根本就没处理。穿着咯肉，浑身难受。真不知道怎么成为最畅销产品的。明显是骗人的营销手段</t>
  </si>
  <si>
    <t>质量轻薄，袖子长 整体大小，就是袖子有些长，偏薄一些！</t>
  </si>
  <si>
    <t>一般般 只能讲一般般了，没啥觉得好</t>
  </si>
  <si>
    <t>片拉子 可不能买呀，还没有我19块钱拖鞋穿着舒服呢！皮拖鞋一双，谁买谁后悔！</t>
  </si>
  <si>
    <t>还可以。 颜色还不错，只是没图片那么靓，打面团有时有点难上钩。。不过整体还可以。</t>
  </si>
  <si>
    <t>东西收到了，表示有些曲折 今天终于收到了，在得到DHL的通知说是因为邮编的问题要退运，后来电话亚马逊客服后在联络DHL改邮编后送了过来，相当曲折，但邮编没错只不过两个都可以，但地址是对的。呵呵呵，所以休假的我特地赶过去拿了。 东西不错，但脚形感觉比较少，大小真好，对了，是中国制造哦。</t>
  </si>
  <si>
    <t>有异味，印度产 有些硬，装不了太多东西</t>
  </si>
  <si>
    <t>不太合适 感觉出门旅游带着还是大了点，全塑料的，不太好，国内生产的，价格和国内相比没有优势</t>
  </si>
  <si>
    <t>声音略小 声音略小，后面插电那不稳定，轻微动会断开，音质来说人声更出色，播放欧美音乐更好一点，存在一定的相位问题，空间小还是够用了，总体还可以，</t>
  </si>
  <si>
    <t>质量好 纯棉手感柔软，穿着舒适。物流快，物超所值👍</t>
  </si>
  <si>
    <t>质量很好 有点偏大</t>
  </si>
  <si>
    <t>第一眼感觉挺好的，需要用一段时间才知道 很有厚实感，就是要花半个小时去学习如何使用它</t>
  </si>
  <si>
    <t>没注意单支装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走过路过都来评价。</t>
  </si>
  <si>
    <t>码数选择困难 平时穿37.5-38,买了6.5 m感觉左脚有点窄，长度刚刚好，右脚倒是没有问题，但是觉得加宽会更适合我</t>
  </si>
  <si>
    <t>Feichangbucuo 非常不错我很喜欢还想在买一个</t>
  </si>
  <si>
    <t>价格优惠 发货快，刷头非常好</t>
  </si>
  <si>
    <t>不错 确实会变色，买给宝宝用的，希望勺子没有用有害物质生产</t>
  </si>
  <si>
    <t>样式很合身 一般都穿L尺码的人穿L刚好 很合适</t>
  </si>
  <si>
    <t>不错的产品 东西非常之好，老婆很满意，需要购置英标转换头。</t>
  </si>
  <si>
    <t>注意要比外裤大一号！ 保暖性一般，倒是很柔软，177,68kg，L号短了，应该买LL的</t>
  </si>
  <si>
    <t>是真货东西不错 东西很好，老人家吃了说效果不错</t>
  </si>
  <si>
    <t>质量 质量还行。</t>
  </si>
  <si>
    <t>很好用 喜欢</t>
  </si>
  <si>
    <t>10tb 电脑Win7上显示是9.09TB,是新品。</t>
  </si>
  <si>
    <t>The cloth was made in Jordan. Chamipion 的裤子一如既往的结实耐用，穿着舒适而且保暖效果很好，非常值得入手..</t>
  </si>
  <si>
    <t>选择很多可以给顾客提供不同的要求 CK的内衣内裤，一直以来。质量很好。</t>
  </si>
  <si>
    <t>好 买过好几次了，好东西</t>
  </si>
  <si>
    <t>建议买小一号 质量很好，我平时穿27的，买的4号还是大，不过可以冬天套保暖裤穿。</t>
  </si>
  <si>
    <t>要买长一些 还可以，稍短，2尺5的腰，买了32的，扣到第二个孔了，就只余一点了！</t>
  </si>
  <si>
    <t>维生素 以前买过，一直在吃。。。。</t>
  </si>
  <si>
    <t>质量问题 开始使用的上面30张cd-r对于刻录音乐的表现是满意的，刻速为4X，但是大约使用到这一桶cd-r最下面的20张左右都出现了问题，我的两款浦科特原厂刻录光驱PP1型还有PP2型都无法正常刻录，空白光盘放进光驱无法认出，即使偶尔认出进行刻录后也无法检测C1C2,播放也有瑕疵。</t>
  </si>
  <si>
    <t>稍微紧了点，适合瘦人穿 稍微紧了点，适合瘦人穿</t>
  </si>
  <si>
    <t>不想写标题 材质可以看得出是不错的，但是这个做工？？这个走线怎么回事哦…太丑了8而且有一点磨脚</t>
  </si>
  <si>
    <t>不顺滑 朋友实体店买的，书写非常顺滑，这个嘛，呵呵！最好别买了！</t>
  </si>
  <si>
    <t>免费赠送了 拿到手上就发现扣头上的圆头没了…,现在只能看了</t>
  </si>
  <si>
    <t>到手就不走，经查机芯是旧式的 便宜没好货，这是个真理！  卡西欧打出这么低的价格，当时一心动，就拿下了；不料，新新的表走两个就罢工，回来就进了修理店，老板检查说，这个机芯就是个旧式的，整个换了个机芯（说白了，就是把手表的核心换了）才能用！  花了钱不说，还耽误时间…</t>
  </si>
  <si>
    <t>尺码偏小+印花logo 果然还是买偏大一码两码的 L码穿着都是刚好一身。本以为胸前logo是绣花的，唉，结果是印花，算了懒得退了</t>
  </si>
  <si>
    <t>感觉很赞!到货很快!会回购!好评! 啊之前请朋友帮忙从台湾免税店带过一件m的冠军薄绒卫衣肥肠喜欢所以下定决心草写all in。了解到日亚冠军价格比较实惠而且也信得过所以就跑来买啦！从下单到收货，等待时间不算很长!运送速度超快的!赞赞赞赞!货品质量，日版的就是精细。不过，不知道是不是因为型号不同的缘故，之前买的薄绒黑卫衣的印刷草写champion的样子和新买的线圈灰卫衣的草写不一样，然后同样都是m码，新灰比旧黑的稍微大一些长一点。总之，强烈推荐日亚!很赞!</t>
  </si>
  <si>
    <t>质地有待改善 好看，质地一般，足弓不是非常合适，中间托起不足。</t>
  </si>
  <si>
    <t>还行吧 音质适合摇滚，需要煲开，降噪可控，很方便，效果不是很明显，不是包耳的夏天带还能忍受，收了第二个了,唯一不足就是电池用不了太长时间，也就8个小时吧，放了几天，就没电了，静置会漏电，开不开机，需要再充电</t>
  </si>
  <si>
    <t>使用评价 面料有点硬，毕竟不是全棉的，在接受范围内。洗后没什么褶皱，很好搭理，只是裤子后面的口袋没扣子，不是很习惯！</t>
  </si>
  <si>
    <t>皮带 下单两条，一条黑色一条棕色，黑色的刻有 Made in usa 棕色的没有，但是棕色的比黑色的耐磨损。</t>
  </si>
  <si>
    <t>非常非常喜欢 其实就是给孩子带些饭后水果干果之类的 不想用大的餐盒 这个非常合适 而且容量一点都不小 没有味道的非常喜欢</t>
  </si>
  <si>
    <t>太大了，买小两码还差不多 太大了，什么玩意儿</t>
  </si>
  <si>
    <t>值得 一气买了两双，都很好，特别舒服</t>
  </si>
  <si>
    <t>超强吸力 颜值高，吸力大，很适合掀餐具阶段的宝宝</t>
  </si>
  <si>
    <t>质量不错 包装就是原来鞋盒，质量不错，适了一下刚好，个人比较喜欢这样的鞋子</t>
  </si>
  <si>
    <t>保温效果非常好！ 非常喜欢，保温效果非常好！携带也方便，也有写名字的牌子，在幼儿园也不担心跟别的小朋友搞错杯子了</t>
  </si>
  <si>
    <t>喜欢 合适，搭配T恤衬衫都OK，板鞋，跑鞋都能hold住，特别喜欢这款的高腰。不是绵的，介意慎入。</t>
  </si>
  <si>
    <t>物超所值 的确是比乐扣膳魔师的自重轻，保温效果挺好的，放一晚上还是温热的。粉粉的很好看。</t>
  </si>
  <si>
    <t>性价比很高的自动咖啡机 买的原因一是需要，二是看与国内的差价，每天用着都有省了一万多块的自豪感。使用很简单，调到英文模式就行。除了各种口味咖啡任意搭配，热奶热水都很好。我孩子最爱喝气泡热奶！总之，性价比高，每早起来家里就氤氲着咖啡香气，值得购买。</t>
  </si>
  <si>
    <t>没穿出松垮型，但也可以 167高瘦型，想穿出松垮型，但是男的男款s肩膀依然刚刚好，胸围腰围比较大。。。。好吧我爱这颜色，s不是松垮型但也能穿，90分吧</t>
  </si>
  <si>
    <t>漂亮的棒球帽 发货迅速，大小和调节，非常漂亮的棒球帽。</t>
  </si>
  <si>
    <t>持续在用 一直在用，也不知道效果如何，等有机会检验一下！</t>
  </si>
  <si>
    <t>价廉物美，走时准确 跟dw一样也算网红表，文艺范儿小清新，然而价廉物美，这款大概是新款，跟代购热卖那款比12点下面的英文少一行，这个表同系列好几款，略微差别，主要字体不一样，粗一点细一点或者花体，比较了很久觉得这款最秀气，热卖那个亚马逊断货了</t>
  </si>
  <si>
    <t>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 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</si>
  <si>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喜欢日版冠军 日版的适合亚洲人体型，不薄也不厚，蛮好的</t>
  </si>
  <si>
    <t>干部装 冲着名品下单，收到实物觉得有点老气，特想领导干部，不过这是自己的选择，当时也只有黑色可选，穿一穿试试吧。还是应该给好评的。</t>
  </si>
  <si>
    <t>还行 prime挺快的，年前还是6天就到了。靴子还行，表面没受损，边沿有些线头。一只鞋子脚踝旁两张皮交界的地方，没处理好，太硬了，会碰到脚，另一只就没这问题。鞋底大小刚好，就是上部有点宽松了。</t>
  </si>
  <si>
    <t>快 里面有毛绒的，冬天穿不错，177 136斤s合适，性价比高，直邮快</t>
  </si>
  <si>
    <t>网红产品 收到，满意。还没给孩子用呢。</t>
  </si>
  <si>
    <t>勉强可以 偏小</t>
  </si>
  <si>
    <t>太棒了 价钱实在，东西好用，何朋友从美国带回来的一样，还会再次购买的！</t>
  </si>
  <si>
    <t>大 太大，质量还好，式样不怎幺好看。</t>
  </si>
  <si>
    <t>衣服品相总体一般 衣服也就还行吧，码数偏大，不确定是否是正品，和实体店有差别的，料子很薄，再看看标签，感觉不是很棒，本以为海外自营会稳妥，但是……，买前看看评测，亚马逊的客评还是很准确的，忘给大家参考。</t>
  </si>
  <si>
    <t>评论 皮质有点硬，质量还要用一段时间才知道</t>
  </si>
  <si>
    <t>拉链实在不行 穿了半月一只鞋拉链就不咬合了 修不了得换拉链</t>
  </si>
  <si>
    <t>没有价签和标签 没有价签也没有标签，是不是新衣服？</t>
  </si>
  <si>
    <t>实际速度欺骗消费者 实际速度与描述速度差太远，并且速度掉的很快，到80多兆了，并且上闪迪官网后，发现我在产品包装上找不到18位的防伪码，极度怀疑是假货，一颗心都不想给</t>
  </si>
  <si>
    <t>质量太差！！！ 质量非常差,做工很差，噪音非常大。开动抖动很厉害！这样的产品小孩子能用吗！！！！！！！！</t>
  </si>
  <si>
    <t>合身 这条面料裤子好硬啊，跟纸板一样，不知道穿一段时间会不会软</t>
  </si>
  <si>
    <t>勺子呢 已收到，但是勺子在那儿呢？开盖后找了几圈都没有找到勺子</t>
  </si>
  <si>
    <t>还行 uk6,对应的是中国码250，jp应该是255，平常穿足球鞋是jp255.要还小点可能就很合适。鞋面有些印子，应该是算是瑕疵。略显粗犷，这个价格还过得去吧！</t>
  </si>
  <si>
    <t>无语 听了诸位买手们的意见买小两码，正合适，颜色和图片一样，其他都还可以。就是到物流不咋快，特别是国内的合作物流从不联系你还叫我找了半天，从天津到沈阳一天就到了硬是等了一星期，黄马夹你真的那么忙吗？打个电话你能死吗？从接单到国内通完关八天在你那放了十天。和国内专卖店还是有差距的，毕竟价钱摆在那。</t>
  </si>
  <si>
    <t>耳机入门者的使用感受 因为我不相信煲耳机那一套玄学。所以这篇评价是在我拿到耳机，用不同音乐感受后，第一时间写出来的。没有玩过其他的高端耳机，以下的描述可能不太准确，想入这款耳机的胖友们随便看看我这篇评测就好。第一，低频用的琵琶对萨克斯这首曲子。感觉有力不浑浊，下潜一般般，但是对我来说足够。第二，中频用的达坂城的姑娘。感觉柔和平实，女声表现柔美不腻，男声厚实。第三，高频用的梁祝。刚开始音量调大了点感觉有些刺耳，调和适了其实不刺耳也不发散，高音有种从脚到头的伸展感。第四，解析力用的糟糕情书。因为是监听耳机所以这方面表现还不错，歌手换气，吐字，咬字的口水细节都能听到。第五，声场用的加州旅馆。从身临其境这个标准从一到五来评分的话，我给4分。观众的欢呼，口哨，呐喊让我有种听现场的感觉。乐队的演奏听起来也有层次感，能听出不同乐器的位置不一样。总的来说这款耳机各方面表现个人觉得还行，它没有过度的渲染，歌曲本身是怎样就是怎样，所以听起来没有什么惊艳的感觉。没有用app的调音功能调过，可能懂的专业人士调过后有不一样的表现吧……追求重低音啊对人声有特殊需求的或其他要求的同学可以不考虑这款了。本来想给5星的，但就在我写评价的时候点开商品居然发现它降！价！了！我的天降了一百多亚马逊你真的要不是看在客服很负责细心解答我的问题我才不会给4星哼（哈哈哈哈哈开个玩笑虽然才买就降价不开心但好评还是要给的）</t>
  </si>
  <si>
    <t>不错 质量好！有型，就是稍大了！</t>
  </si>
  <si>
    <t>偏肥。 买之前看了评论说有点大，就买了最小的号( S码)，结果还有有点偏肥。我身高168，体重70kg。长短合适。颜色很正，手感舒适。</t>
  </si>
  <si>
    <t>经典产品 这个没太多可评价的，ua经典款，173，63，s码合适，春秋跑步打底。</t>
  </si>
  <si>
    <t>不硬 价格优势不明显，有会员就买了，怕牙龈出血，不敢用太硬的刷头，这款挺好的</t>
  </si>
  <si>
    <t>弹力的，整体性价比可以接受 和国内比整体性价比还是可以接受。材质，做工肯定不如中国制造。感觉右腿小腿可能裁剪斜了。等清洗完穿了再说。176-80公斤买的33码，比较紧身合适。裤子是弹力的，如果不是弹力33码可能会穿不进去。拍了几张图片给后面参考。颜色质感材质做工和国内专卖店比较略有不足。但整体可以接受。清洗后右腿裤线边缝跑到中间了！退货各种表格，现在快2月了还在退货中，仍然没退款。。。等待中。虽然信任亚马逊，但是海外购如果产品有问题真的很麻烦。</t>
  </si>
  <si>
    <t>是介于休闲鞋和正装鞋之间的，不是运动鞋 很合适的皮鞋，写的是运动鞋但是可以当正装鞋用。</t>
  </si>
  <si>
    <t>北京过冬有点冷，在济南就可以了，非常好，第三双。 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</si>
  <si>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款式和品質都很好 款式和品質很好，但是发褲腳的尺寸比标准30长的要长出许多，维有再去将褲脚改成标准的30长</t>
  </si>
  <si>
    <t>很不错的手表 买了有一段时间了，一切还好！在广西南宁怎么都收不到电波，到柳州放在窗口几分钟就收到了</t>
  </si>
  <si>
    <t>很好 非常好 之前在京东买 这次正好该换奶嘴了 凑单</t>
  </si>
  <si>
    <t>物超所值 物性价比一流，外出必务</t>
  </si>
  <si>
    <t>超级喜欢 上脚舒适，鞋子自带黑色鞋带，还备了一副白色的，超级喜欢，不过脚型偏宽的慎选</t>
  </si>
  <si>
    <t>完美 150色美的不要不要不要的了！心情biling～biling～的！拆开的时候忍不住哇——！就很从来没用过彩色铅笔的小孩似的！就像收到自己满意的礼物那种感觉.但其实是自己买的！</t>
  </si>
  <si>
    <t>质量好，很沉 质量好，以前买过小的煎蛋外焦里嫩，值得购买</t>
  </si>
  <si>
    <t>专柜价4折入手，完美 走线工整，用料扎实，国内专柜4折价格，完美</t>
  </si>
  <si>
    <t>不错 第一次海淘，非常成功。鞋子很棒，很舒适</t>
  </si>
  <si>
    <t>性价比高 性价比可以，不算厚，薄绒，胜在价格式样。174cm，68kg，只能s码。</t>
  </si>
  <si>
    <t>物流大赞，鞋码一定要参考评论哦 首先赞一下物流，17号发货，说是预计28号到，实际21号一大早就到北京了哈哈。再说鞋子，颜色很赞哦，尺码参考了评论买了6.5（平常运动鞋39-39.5），刚试穿右脚前脚掌略挤，左脚舒适。穿会儿后好多了，整体超棒，印尼产，价格美丽！</t>
  </si>
  <si>
    <t>方便好用 水果加牛奶或者酸奶打出来的果汁很细腻，很不错，使用方便。海外购显示是在德国亚马逊上买的，但是不清楚是不是德国产的，包装上都没写明是哪里产的</t>
  </si>
  <si>
    <t>都看看 很好，为啥seiko这几个字掉漆一样！！</t>
  </si>
  <si>
    <t>很不错，很好。 很好用，宝宝用这个吃饭有模有样的。</t>
  </si>
  <si>
    <t>挺好 东西不错，值这个价，就是等了好久</t>
  </si>
  <si>
    <t>尺码和版型 版型完全是男版的版型，直上直下，不修身，给男朋友穿了</t>
  </si>
  <si>
    <t>过大 太大，不吸汗，爱出汗的慎买</t>
  </si>
  <si>
    <t>容量很大的破鼠标 只能这么评论了，做工太差，速度太闷，3.0就是个觉得毫无意义，都已经不知道被我 丢在哪了</t>
  </si>
  <si>
    <t>既便不肥,材质也一般偏下,不建议购 没人说得清XXL与XX-LARGE到底有什么区别,千万别买-LARGE,胸腰太肥!</t>
  </si>
  <si>
    <t>垃圾 垃圾，买的颜色跟收到的颜色不同，订单还改变</t>
  </si>
  <si>
    <t>有味道 昨天刚到货，打开有味道，开水烫过后还是有味道呢，感觉像是机油味道，挺重的味道，卖家怎么解释啊?</t>
  </si>
  <si>
    <t>大小适中，纯棉，中国制造。我还以为是日本制造的，但穿上舒适透气！ 大小适中，纯棉，中国制造。我还以为是日本制造的，但穿上舒适透气！</t>
  </si>
  <si>
    <t>好 做工一般，二百多买的</t>
  </si>
  <si>
    <t>本人第一次买1000元级别耳机 之前只买过森海的PX200 比较之下真实度高 MP3格式已经不能听了。</t>
  </si>
  <si>
    <t>稍微有点小 上面稍微硬了些，但愿穿久了能软一点，我平时穿皮鞋是39码刚好，40码较宽松的。结果买了39.5码的略紧，建议大家选大半码的</t>
  </si>
  <si>
    <t>柔软舒服 很喜欢的袜子，舒服柔软</t>
  </si>
  <si>
    <t>彩虹牙膏 朋友介绍的彩虹牙膏，小朋友说象酸奶味。</t>
  </si>
  <si>
    <t>质量很好，符合需求 大小合适，穿着舒适，很保暖、透气，非常合适的贴身层。</t>
  </si>
  <si>
    <t>下笔很滑顺 第一次用这么贵的笔，感觉自己高大上了不少。这个笔出水很大，有点粗～但是很滑顺</t>
  </si>
  <si>
    <t>质量不错 质量不错，细节讲究，老公喜欢得很。</t>
  </si>
  <si>
    <t>还可以啊！ 价格便宜， 做工比较粗糙。。</t>
  </si>
  <si>
    <t>不错的 不错的，很好用的，秒杀的，八十几元钱，不贵！挺好的。推荐它！</t>
  </si>
  <si>
    <t>性价比高 好看 也好走路 价格美丽</t>
  </si>
  <si>
    <t>笔还是不错的，很喜欢，不过快递还是要专业一些。 笔还是不错的，就是这个，在有空气垫，纸盒，钢笔外包装纸盒，笔袋四重的重重保护之下，里边的墨胆还是壮烈牺牲了，墨胆的状况一看就是装卸弄的，不是热胀冷缩的问题，因为墨胆里边全是沫子。而且这个墨胆的小珠很是厉害，居然穿过笔袋完美的封锁（笔袋拉链是封好的），跑到钢笔的外包装纸盒里，实在是佩服佩服。</t>
  </si>
  <si>
    <t>保暖效果 不算很厚，也不薄，保暖效果不错，质量挺好的</t>
  </si>
  <si>
    <t>性价比很高 性价比很高</t>
  </si>
  <si>
    <t>还可以 比较满意 1.收到看上去很干净 2.版型很适合，肩带调节一下比较贴合。试过了薄款羊毛衣，确实无痕，胸型好 3.尺寸和国内专柜买的CK一样 4.两件套比专柜单个稍微略逊一点点，细节比如有线头，不是记忆海绵等 但不影响穿着 （没入水） 可以当平时随便穿穿的通勤内衣</t>
  </si>
  <si>
    <t>完美！买给老公放车里方便喝水太赞了 完美！</t>
  </si>
  <si>
    <t>差不多，值得买 感觉还行，没有他们所说的偏小，跟国内普通内裤尺码其实差不多</t>
  </si>
  <si>
    <t>保温好，很轻巧。 之前有一个象印的杯子，很好用。这次一口气买了三个给家人，质量好，价格很实惠，棒棒哒！</t>
  </si>
  <si>
    <t>舒服 舒服，而且运动都不会掉肩带！</t>
  </si>
  <si>
    <t>推荐购买 传输速度不错，价格可以。简介方便。</t>
  </si>
  <si>
    <t>比起流行更适合交响乐 刚开始听没过100小时，高频比较靓，配solo并没有感到大家传说的中频凹的感觉，感觉听乐器、classic比较适合，但流行就一般了，尤其人声的高音部分……配其他高音增益没那么高的耳放好些 佩戴还算舒适，长时间听也不夹头</t>
  </si>
  <si>
    <t>好 很好很舒适很便宜</t>
  </si>
  <si>
    <t>送给朋友的女儿的餐具 送给朋友的女儿的餐具 ，粉红色很好看，自己宝宝用的是绿色的，这个的好处就是需要蒸煮的时候可以把内胆和外盖分开来，不锈钢的使用起来也方便更放心，杯子喝水，其他的都有盖子，很好用</t>
  </si>
  <si>
    <t>口感很好，薄荷没有描述的那么重 口味比李什么林好太多，不苦，漱完口之后整个喉咙都凉凉的很舒服</t>
  </si>
  <si>
    <t>还没穿印标就开裂了 比白色的质量差，还没穿，洗了一次就有几处印标开裂了，170.125推荐M宽松一些，S长度够但是有些紧</t>
  </si>
  <si>
    <t>刚收到货。 刚收到货。感觉实物还是有区别的。而且表很小，好像童表尺码一样， 有点失望。 不是很喜欢。</t>
  </si>
  <si>
    <t>退不了货 产品质量不错，手感也挺好。但是型号不是一般的大。退货四天了也没人联系我？</t>
  </si>
  <si>
    <t>假货 请问这是正品吗？3件衣服的logo竟不在同一位置，一件便下，一件竟然歪的</t>
  </si>
  <si>
    <t>翻新旧衣服 跟图片完全不是一款，最过分的就是“旧”衣服，水洗说明已经模糊不清了！</t>
  </si>
  <si>
    <t>小熊糖 女儿很喜欢，每天2粒。个人觉得有点偏甜。</t>
  </si>
  <si>
    <t>鞋头 鞋头有一点瑕疵，味有点儿大，但是还算满意</t>
  </si>
  <si>
    <t>不错、还会再来 虽然是冬天，还穿着袜子，但是脚感很棒！和国内的码一样，很正。喜欢！</t>
  </si>
  <si>
    <t>性价比可以 走起路来前面夹脚背，脚肥的不适合，已送人！1000多点到手，实体店2500多好像。</t>
  </si>
  <si>
    <t>好东西 用了半个月了  ，时间走得很准，就是表带厚了点</t>
  </si>
  <si>
    <t>正品 正品，海外购配货得等十三天，有点漫长，笔还是不错，就是笔尖硬，不容易写出笔锋</t>
  </si>
  <si>
    <t>囤货，尚未投入使用 试戴了一下，没有压迫感，佩戴舒适，囤货，还无法印证功效。性价比还不错。</t>
  </si>
  <si>
    <t>很好 虽然不是纯棉的，但衣服不错，喜欢</t>
  </si>
  <si>
    <t>总体不错 穿着很舒服 袜底太厚了 夏季要热点</t>
  </si>
  <si>
    <t>煲机 刚刚到手。目前看高音可圈可点，低音一塌糊涂，人声尚可。煲机中，低音略有改变。</t>
  </si>
  <si>
    <t>值 质量不错，价格合适，穿着舒适。值</t>
  </si>
  <si>
    <t>质量很好 身高176厘米，体重92公斤。穿38w30L正好。质量很好。</t>
  </si>
  <si>
    <t>漂亮书写流畅 喜欢，大气漂亮书写流畅。F尖略粗点正常书写可以用，比卓尔的笔尖稍硬点，但是书写感觉很好。</t>
  </si>
  <si>
    <t>正品，质量好 我181cm，97kg，穿XXXL正好。质量不错，无掉色和异味，正品</t>
  </si>
  <si>
    <t>很轻，合脚舒适 很轻，合脚舒适，款式大方。除了西裤都可以配穿</t>
  </si>
  <si>
    <t>不错的焖烧杯 还不错，价格比某东优惠plus价格还低，煮粥很失败，汤还凑合。锅里煮一下再倒进去</t>
  </si>
  <si>
    <t>合适 长短合适穿着合体</t>
  </si>
  <si>
    <t>好大一桶！ 这么大一桶，快喝完了，是有效果的，锻炼后饮用，体重有所上升</t>
  </si>
  <si>
    <t>厚实 衬衫还可以，还没洗，不知道是不是免熨烫的，料子比较厚实，有点硬，适合秋冬季节穿</t>
  </si>
  <si>
    <t>很有B格 铝合金的，很结实。不过确实很大，插在mac pro上的时候，会翘起来一点点。</t>
  </si>
  <si>
    <t>不错 比某宝要便宜，目前34周，耻骨疼了一个半月，医生提到过用骨盆带，调查一番觉得犬印靠谱。用上之后感觉略有缓解，但是最好是在走路或卧床时候用，所以用的机会不多，而且孕晚期还是有点担心挤着娃，打算生完再坚持用。</t>
  </si>
  <si>
    <t>挺好的 给朋友家孩子买的，挺好的，价格实惠</t>
  </si>
  <si>
    <t>MDRV6 1.送货是很快的。 2.声音是好听的，超出预期，吊打同价位。 3.但是耳罩感觉不耐用不过应该可以换。 4.本身就不适合通勤，不能指望。 5.总体是非常推荐的。而且理论上和7506是一个东西。</t>
  </si>
  <si>
    <t>传输速度还可以吧 1t够用了！家庭办公首选希捷！</t>
  </si>
  <si>
    <t>赞👍 东西不错，值得购买。</t>
  </si>
  <si>
    <t>睡觉前放了米，早上真的出了一锅粥。 就是米放多了点，水少了，出来的粥好浓，加热水冲稀了喝的，我们两个人都吃不完。以前从不去评价，不知道浪费了多少积分，现在知道积分可以换钱，就要好好评价了，后来我就把这段话复制走了，既能赚积分，还省事，走到哪复制到哪，直接发出就可以了，推荐给大家！！</t>
  </si>
  <si>
    <t>版型好，裤子褶皱，不像新衣服 客观说衣服质量不错，版型很好，大小合适。不满意就是衣服来的时候特别的皱，而且还有一个类似洗衣液的香味，对衣服的新旧产生质疑。考虑海外购退货比较复杂就这样吧。</t>
  </si>
  <si>
    <t>质量差、服务差 第一次在亚马逊评论，对亚马逊海外购彻底失望。产品质量非常差，商品只用了3个月，就出现了质量问题，开始是会自动开机，莫名其妙就喷出来一股一股的水，后来就发展到不能关机，现在彻底坏了。联系亚马逊售后，说只提供签收以后1个月的质保服务，超过1个月自己联系中国售后。中国售后说不提供海外购买产品的维修服务，建议我自己找人维修。所以我才用了3个月的产品，要自己花几百块去修，早知如此还不如买国行，有2年质保，坏了直接换新。严重怀疑海外购销售的是翻新机，质量差、服务也差，大家千万不要为了省钱在这里买，花几百块维修还不如直接买国行。</t>
  </si>
  <si>
    <t>太假 鞋底很硬，质量太差，买到假货吗？</t>
  </si>
  <si>
    <t>大家不要买 太大了，我193cm，体重100kg，穿xl的居然肥的不像样子，长短没问题，系统的照片和实物版型完全不一样，以我的体型都没法穿，只能闲置了</t>
  </si>
  <si>
    <t>包装盒损坏 包装盒损坏，表目测没大问题</t>
  </si>
  <si>
    <t>Japanese Menu怎么破 心怀忐忑，下单等待，收到即用，口感糯佳。</t>
  </si>
  <si>
    <t>颜色有色差 是偏亮的粉色，不如页面图片那么洋气，肤色偏黄的要注意～ 身高175体重61选了XL，比较fit，毕竟是偏短的款式</t>
  </si>
  <si>
    <t>总体满意 颜色跟图片一样，评论的用了美图。刚穿脚感觉不适，后来觉得好舒服。加运费6百多，感觉挺好的。2017年的，旧款。</t>
  </si>
  <si>
    <t>穿着还可以，176cm，60kg，m正好 穿着还可以，176cm，60kg，m正好</t>
  </si>
  <si>
    <t>远程访问有问题 其他的都不错，局域网内使用没有问题，但是远程访问没有成功，当备份用不错，性价比高。</t>
  </si>
  <si>
    <t>商品很不错，海外购好方便。 商品很不错，海外购好方便。</t>
  </si>
  <si>
    <t>总体满意 较为宽松，穿着舒适。上次30短了，这次32又偏长，长得不够标准。</t>
  </si>
  <si>
    <t>味道很好易接受 超级棒。比某宝好多了。</t>
  </si>
  <si>
    <t>可爱 非常可爱，就是手柄感觉太粗了，宝宝可能握不住</t>
  </si>
  <si>
    <t>高性价比 比起国内加税的价格，日亚的价格真良心了，还好有亚马逊的平台，价格舒服的很，煲机100小时+，听了一段时间确实不错，换了日本买的新版的哥套，低音量正好，有弹性，中音饱满，就是人声还是靠后了，相对价格相当超值了，平时也不怎么烧，多年只靠耳朵收货，这个耳塞确实比较满足了，确切来说，手里几个耳塞里，这副是最杂食的，什么类型都能表现的不错，这才是性价比。</t>
  </si>
  <si>
    <t>表漂亮就是太大 表不错很漂亮，戴在手上很好看，就是太大了但还是很满意</t>
  </si>
  <si>
    <t>送礼合适 买来送礼的，感觉不错</t>
  </si>
  <si>
    <t>不错的硬盘 1264张大妈的车。性价比不错。和其他人一样可用9.09T。速度稳定在190到200之间。成功下车。</t>
  </si>
  <si>
    <t>健身服 轻，贴身但不会感到束缚。首次洗涤最好放进盐水泡一泡，预防褪色。猩红的色彩非常好看。性价比非常的高。</t>
  </si>
  <si>
    <t>价格划算，尺码合适 给老妈买的，165cm. 65kg穿上去正好，里面还加了件薄毛衣，春秋天穿合适，内胆比较薄，400块到手还是很划算的</t>
  </si>
  <si>
    <t>好的 鞋子很好很合适，就是包装盒有点烂</t>
  </si>
  <si>
    <t>很好啊！ 很好安装，只要把它配的胶垫用上就不会喷水，刚开始研究了下才弄好，按说明书再自己捣鼓下就可以，方便使用！</t>
  </si>
  <si>
    <t>裤形不错 裤形不错，再次买了。</t>
  </si>
  <si>
    <t>性价比较高 性价比很高，品质也不错</t>
  </si>
  <si>
    <t>好用 给朋友买的 ，朋友家小孩一直用这个奶瓶</t>
  </si>
  <si>
    <t>好 价格美丽  合身  面料也不错</t>
  </si>
  <si>
    <t>性价比很高 买了几件，价格很好，质量也不错啊，我170高，75公斤重属于偏壮实类型身材，穿S号合适。亚马逊的物流速度也超级快的，3天就到货了。衣服整体别要求太高，冠军的性价比还是很不错的。</t>
  </si>
  <si>
    <t>质地纯棉，性价比一流 纯棉的，性价比没得说！价格比国内实体店要便宜很多，本人180高130重。穿美国M码刚刚好。衣服很棒！</t>
  </si>
  <si>
    <t>好评 做工是非常好的。大写也比较合适。</t>
  </si>
  <si>
    <t>鞋子建议买大一码，偏小 脚感和实体店试过的一样，做工也不错，应该是正品，印度尼西亚生产</t>
  </si>
  <si>
    <t>like 还不错性价比高  很有质感 价格波动大 我买的时候三百不到</t>
  </si>
  <si>
    <t>买过的最好的牛仔裤 这裤子屌爆了，版型用料款式都非常赞，最关键是非常厚实，比我以前买过的加绒牛仔裤都要厚实许多，简直可以当棉裤穿，里面只穿短裤外面单穿这件牛仔裤深夜走在现在季节的呼伦贝尔的街上感觉不到一丝寒冷，5星好评</t>
  </si>
  <si>
    <t>发货慢，不舒服 发货超级慢，鞋子舒适度不好，鞋底偏硬，很不像ecco风格，不值得尝试</t>
  </si>
  <si>
    <t>尺码跟国内专柜不一样 尺码不要按国内专柜的选，罩杯偏大，至少大一杯，底围差不多，只大一点点，不影响穿着，但罩杯是真驾驭不了</t>
  </si>
  <si>
    <t>正品 百搭漂亮，只是，鞋后跟处挂不住脚跟，总是要掉的感觉。送给妹妹了。</t>
  </si>
  <si>
    <t>还是支持国产吧！ 拿到衣服拆开感觉好邋遢的感觉</t>
  </si>
  <si>
    <t>质量粗劣 有史以来最差的一次购物体验。 产品质量粗劣，皮带有裂纹。 申请退货，迟迟没有联系。不知道什么原因。</t>
  </si>
  <si>
    <t>盖子都是坏的 就密封不了了 完全不值这个价 盖子也是坏的 买了很多商品了 这个是最不满意的一个</t>
  </si>
  <si>
    <t>👌 穿着很合适，后面可以塞一个手指，但是脚面大拇指背走路会疼，由于是第一次买puma，不懂是不是脚形和鞋型不配，</t>
  </si>
  <si>
    <t>就是做个参考 这件衬衫，非常普通。首先说，面料是70%棉布，30%涤纶，说实话有些薄，汗毛有时候会呲出来。做工尚可，孟加拉国出品。 说说尺寸，我175身高，76KG体重，肩宽48-49合适，国内的衬衣是41码。175/96A。这款衣服我选择了M号，非常合身，尤其是袖子，跟图片上的效果一样。说实话，这个价格加上运费在国内可以买纯棉的衬衫了，就是尝试一下，看看此款Lee的M号的衬衫到底什么样。总体还好，面料抵挡。</t>
  </si>
  <si>
    <t>漂亮，质量稍硬一点 颜色非常好看，质量是那种稍硬的，有防雨的作用，感觉是个漂亮的雨衣呀😄</t>
  </si>
  <si>
    <t>过大一号 还是大了一号，注意，</t>
  </si>
  <si>
    <t>包装有问题 产品质量一流，很重。但跨国物流，包装还是原包装，难以保证质量。收到货时，泡沫已碎，角上变型了，只得退货。</t>
  </si>
  <si>
    <t>一如既往的好，价廉物美 一如既往的好，价廉物美</t>
  </si>
  <si>
    <t>入手 为何我的没有保修卡，先勉强五星吧</t>
  </si>
  <si>
    <t>喜欢 已经买过这个品牌的鞋子了，因为喜欢又买的，，，，，</t>
  </si>
  <si>
    <t>补钙的重要性 中国女性普遍缺钙，因为膳食因素和生活方式。所以，需要通过膳食补充剂进行补充。补钙的同时补活性维生素D，充分利用钙质。250片一瓶，可以吃3个多月。很好很好。美国运过来，居然没有碎，满意</t>
  </si>
  <si>
    <t>卡西欧电子表 质量很不错，非常满意。</t>
  </si>
  <si>
    <t>有些宽松，还可以 是宽松款型的，不修身。</t>
  </si>
  <si>
    <t>价格实惠 东西不错，价格实惠</t>
  </si>
  <si>
    <t>保温效果非常好 保温效果非常好</t>
  </si>
  <si>
    <t>容量足，新盘，外观不错，噪音尚可，价钱适中，最近比较有性价比 检测后是通电0小时的新盘，大小8000GB，速度也不错，我直接插路由器上做共享盘了，连上wifi就能用。声音不大，但放桌面还是能听到的。放路由器旁边就离得远基本上听不到噪音了，噪音范围大概2米超过就听不清了。笔记本上直接挂盘可以当本地盘用，再也不用担心捉襟见肘的磁盘容量了。家庭用基本够用了。</t>
  </si>
  <si>
    <t>产品 很好，很满意</t>
  </si>
  <si>
    <t>不错，有质感 不错，有质感，不时候时间长了会不会变色</t>
  </si>
  <si>
    <t>双十一和美容仪一起买的 价格特别好~ 棒棒哒！用起来~</t>
  </si>
  <si>
    <t>颜色不是纯白色很喜欢 比预想的小一些 但是穿上合身很好看 163 96 M号 供参考</t>
  </si>
  <si>
    <t>不错的中国手表 不错，样子漂亮，中国很少见这样的款式，但是，这块手表回家了，回到了他的出生地。</t>
  </si>
  <si>
    <t>2017最后一次剁手，就当是自己的圣诞礼物吧 耳机很好，这款耳机也刚出不久，也不怕是什么翻新的，但是耳机线头上有很多尘，不知是不是展示机，但是顺电的质量还是可以的，值得信任，五星好评</t>
  </si>
  <si>
    <t>满意 非常好，专卖店2000+的价格</t>
  </si>
  <si>
    <t>很棒，连拍跟的上 产品很 棒，确实一分价钱一分货，好货不便宜啊！</t>
  </si>
  <si>
    <t>Good bottle！ 送给小孩的礼物，量足保温效果好👍</t>
  </si>
  <si>
    <t>非常舒适 非常舒适，布料带有弹性，比较柔软。上身效果非常好。 我170-75Kg 33-30尺寸合适</t>
  </si>
  <si>
    <t>名副其实的监听音箱 音箱相当小巧，声音却相当澎湃，只有满足。物流很快，德国到中国10天到货，超出预期。</t>
  </si>
  <si>
    <t>还不错! 皮带厚实，比预想的短，建议大家买大一号</t>
  </si>
  <si>
    <t>季节 可以说完美了，适合春秋季节穿</t>
  </si>
  <si>
    <t>It's bad. The exterior is good. The body is more tiny than other mobile disk. The sliver surface is shining. But quality is not good. The speed is more slow than other mobile disks I have bought before. The one I bought always said can not read source files when I first copy files from my pc to it. I think I unlucky to buy a trash one. I am disappointed about the SEAGATE. So I give it only two stars.</t>
  </si>
  <si>
    <t>刷毛太硬 刷毛太硬，小孩不愿意用，噪音也挺大，懒得退，大人用了，刷的还算干净</t>
  </si>
  <si>
    <t>东西不错，物流不行 一直在用这个牌子的东西，这次秒杀价格很好。但是不知为什么最后是顺风送过来的，一个塑料袋一装了事，连外包装盒都没有，生怕里面的笔芯被摔断了，不过用起来发现还好。</t>
  </si>
  <si>
    <t>要啥标题 鞋子总体很好 但我不明白为什么只穿了几天鞋头里面就被磨破了 这么不堪一击的吗</t>
  </si>
  <si>
    <t>不好用 不好，刷头设计缺陷，刷毛和柄之间缝隙太大，没几天就黑黑的</t>
  </si>
  <si>
    <t>码数贴的真的没问题？ 买的7.5码的鞋，竟然和我从英亚另一个地方买来的同款式橄榄绿的8.5一样大，真是绝了</t>
  </si>
  <si>
    <t>滤芯质量好 快递是直接用原包装，那么远的距离也没有个外包装，胶带缠的也太少，收到货时包装都坏了，还有水。滤芯使用前要多清洗几遍，这样就基本没有漏粉了。用检测笔检测出来水质是40多，之前在国内买的测出来是70-80，还是比较好的。过滤后的水清洌完全没有异味。</t>
  </si>
  <si>
    <t>slim straight版型很赞 本人很瘦，170  53公斤，29的裤子合适得简直像裁缝量身定做的一样！面料很硬，应该是工装定位，我就是买来当工作服的，哈哈哈。版型是slim straight，修身直筒，裤脚没有收小，我很满意！</t>
  </si>
  <si>
    <t>有点大 身高162cm体重73公斤选的xl有点偏大，北面衣服国内都是穿xl码，国外如果选l肯定合适。质量不错很轻薄，颜色没有图片的黑，有点发灰黑。退货运费太贵。就这样随便穿穿吧</t>
  </si>
  <si>
    <t>牙膏灰色… 这牙膏气味香甜…就是这颜色…有点灰色…</t>
  </si>
  <si>
    <t>质量不错，性价比高 170,60kg,30w*30l的腰围尺寸合适，就是裤腿稍微长一点。面料柔软</t>
  </si>
  <si>
    <t>海外购 我25号下达的订单，没想到3号就到啦！从法国直邮的clarks, 是我喜欢的款式，质量很好，关键是超级便宜啊！喜欢海外购，以后不准备海淘啦</t>
  </si>
  <si>
    <t>后跟有点窄 出了后跟有点窄，其他都很好。</t>
  </si>
  <si>
    <t>运行很安静 运行安静，最好将USB连接线接入电脑后端，直接和主板提供的接口相连。</t>
  </si>
  <si>
    <t>质量好,板型也不错 质量好,板型也不错.</t>
  </si>
  <si>
    <t>好评不是好评 178 146正好合适。掉绒特别严重。整体做工和made in China差远了。单纯喜欢标的可以考虑</t>
  </si>
  <si>
    <t>鞋子不错 还不错，平时运动鞋42的。 给参考吧</t>
  </si>
  <si>
    <t>ck 质量一如既往的好，穿着舒服，值得拥有</t>
  </si>
  <si>
    <t>比较满意 这价位这解析基本到头了 低频质感不错 有弹性 有一定量 声场相对封闭式也不差 整体比较素静 声音没有染色 不冷不暖 器乐表现优秀 缺点就是佩戴有点夹耳  耳廓软骨突出的地方顶到耳罩内侧硬的部分久戴有点不舒服</t>
  </si>
  <si>
    <t>很好看，够亮眼。 带了近一个月，感觉还不错，就是指针有时候会挡住数字显示屏。</t>
  </si>
  <si>
    <t>很舒服的裤子 一直喜欢这个牌子，非常舒服，还会买</t>
  </si>
  <si>
    <t>不错,用的感觉很舒服 不错,用的感觉很舒服</t>
  </si>
  <si>
    <t>还可以 35.5码的脚买的36码合适，胖瘦都可以穿，鞋扣可以调节</t>
  </si>
  <si>
    <t>象印焖烧杯 不错，比同容量的保温杯保温效果会差些，但口那么大，能做到这样保温已经很好了。</t>
  </si>
  <si>
    <t>合适 哈哈哈，非常棒，内有小绒，不是厚款，168，54kg，买s/m，如模特那样合适，供参考。</t>
  </si>
  <si>
    <t>还行 价格合适，还行吧</t>
  </si>
  <si>
    <t>穿着舒适，只是发来的是加宽款 挑选的普通版，发来的是加宽版，穿着舒适只是亚洲人的脚没那么肥。不过客服态度很好，给打了个折上折，大家都省事了。希望将来发货仔细检查一下，谢谢。</t>
  </si>
  <si>
    <t>最好用旳搅拌杯 很好用，德国设计真的方便合理。就是转的时候有些味道。绞肉如果肉有筋有时候很难洗。</t>
  </si>
  <si>
    <t>更换小一号 衣服挺好！就是号大了，XL。能否换小一号的？谢谢</t>
  </si>
  <si>
    <t>满意 虽没测过水质，但很满意</t>
  </si>
  <si>
    <t>皮带细了点 对我来说这条皮带还要在打个洞</t>
  </si>
  <si>
    <t>挺好的 很小巧。手摇一点也不累，做工看起来还是挺精细的。虽然买之前对于不能水洗这点比较纠结，实际上还是比较好清洁的。12月7号下单，9号发货，11号清关处理结束（不知道为啥12号又显示清关处理中，然后清关处理结束）12号交邮政，13号交配送商，14号晚上收到。一共7天，5个工作日。包装盒上有很大一坨油渍不知道怎么回事…最薄的9档压出来半透明，做馄饨皮无压力。</t>
  </si>
  <si>
    <t>很薄 特别薄，和T恤一样。没有卫衣的质感，里面不是那种螺纹质地。很一般，做工还可以，毕竟日本版。</t>
  </si>
  <si>
    <t>盖子瓶身中间多了一层 和深圳超市及香港超市看到的不一样，内盖子里面翻出来，见图片，不知道是不是为了防漏改进款，但是真的不好看了。</t>
  </si>
  <si>
    <t>凑合穿了 还行吧，本来想入手黑色的，结果买的时候断货。等秋天再买吧。 号码还是偏小，脚胖的，还是买比自己平时穿的大一码合适。</t>
  </si>
  <si>
    <t>穿着不舒服 千万别买，穿着实在难受，屁股那有个中缝，一直往中间跑</t>
  </si>
  <si>
    <t>质量太差 垃圾一样的质量……收到就破了……退货退了一年</t>
  </si>
  <si>
    <t>全新未用滤芯带水珠是否正常？ 请问为什么全新的滤芯打开包装，滤芯最表面的滤网可以清楚地看到很多水珠。买这种滤芯好几年了，就这批货又这种现象。我好担心回收品加工清洗后再拿来卖的。而且有个滤芯没用多久，过滤出来的水很酸。</t>
  </si>
  <si>
    <t>腰上系带的固定带容易坏 够长，但是偏薄。第一天穿腰带就脱线了，现在已经完全不能穿了</t>
  </si>
  <si>
    <t>肥了 比想象的要薄，还挺大</t>
  </si>
  <si>
    <t>还行吧 收到的货与网上图片不一样，问商家，也没回答。</t>
  </si>
  <si>
    <t>安德玛的衣服袖子太长。 不是特别胖的人真的小号就够了，这件衣服拉起拉链来没法运动，拉下来就像polo衫一样。袖子相当长，要改动的。</t>
  </si>
  <si>
    <t>百搭皮带 很百搭的皮带，样子很复古怀旧，做工一般。总体来说还可以。</t>
  </si>
  <si>
    <t>信赖飞利浦的品牌。 包装可以让客户放心，不易损坏。外壳与红外线灯组值得信赖！</t>
  </si>
  <si>
    <t>满意 很好！帮朋友买的，她很喜欢😊</t>
  </si>
  <si>
    <t>很好用，颜值高 我很满意这个东西，对于我我清洁牙齿非常有用，我不知道我所购买的是不是自营，但是是primes免邮，但我相信这是正品，使用变压器比较麻烦，但不能以这个因素就评论他的好坏，因为毕竟是美版，300多块钱买的很值，很喜欢，颜值也很高，希望不要出故障就好</t>
  </si>
  <si>
    <t>真心便宜 比起国内商品真心便宜。值得购买。</t>
  </si>
  <si>
    <t>好用的 牙刷头的体积挺大的，感觉很好用</t>
  </si>
  <si>
    <t>音质真实 细节丰富 每天用这个听半个小时歌 看视频也很不错 细节丰富 真实。佩戴比较舒服 稍有些夹耳。外观还是不错的。</t>
  </si>
  <si>
    <t>非常不错 非常不错的移动硬盘，质量绝对好，发货特别快，价格特别实惠，比其它商城的更便宜，很不错的购物体验</t>
  </si>
  <si>
    <t>不错 刚开始有点压脚，后面就好了</t>
  </si>
  <si>
    <t>舒适柔软贴身 贴身柔软舒适，自由呼吸。</t>
  </si>
  <si>
    <t>合适，舒服。 38.5的脚，5.5uk很合适，穿着很舒适，上脚走路也舒服。就是脏了之后很难打理，有谁会打理吗？呜呜呜…</t>
  </si>
  <si>
    <t>洗碗干净 商品与宣传的相符合，以后还会再光顾。</t>
  </si>
  <si>
    <t>亚马逊太给力 这个耳机确实给力，音质价格均超过我的预期，秒杀价格竟然999，查了所有店铺中最低价格，果断出手，亚马逊太给力，现在买东西已经偏向这里了。</t>
  </si>
  <si>
    <t>帅炸 非常好用，格超高！帅炸！</t>
  </si>
  <si>
    <t>很好 挺好的，大小也合适着，其实差不多就是偏大一个码。</t>
  </si>
  <si>
    <t>我很喜欢ASICS鞋子 我在京东和天猫超市，分别买了一双 由美国邮寄的，ASICS 男士 Gel-Venture 5 跑步鞋，质量很好。这次在亚马逊又买了一双 由美国邮寄的，ASICS 男士 Gel-Venture 6 跑步鞋，穿上很舒服，我很喜欢ASICS鞋子， 现在共有6双。</t>
  </si>
  <si>
    <t>亚马逊值得信赖。 &lt;div id="video-block-R3QZTY9JOUKWFR" class="a-section a-spacing-small a-spacing-top-mini video-block"&gt;&lt;/div&gt;&lt;input type="hidden" name="" value="https://images-cn.ssl-images-amazon.com/images/I/91EnzzFlCZS.mp4" class="video-url"&gt;&lt;input type="hidden" name="" value="https://images-cn.ssl-images-amazon.com/images/I/81crRgReScS.png" class="video-slate-img-url"&gt;&amp;nbsp;穿上很舒适，性价比高，比在淘宝和京东便宜很多。经典鞋款值得拥有。</t>
  </si>
  <si>
    <t>nice 材质略硬，从另一方面看又挺有型的。82cm腰围32L合身。</t>
  </si>
  <si>
    <t>头围略大的可以选择 海外购，对于国内规格不合适的是较好体验</t>
  </si>
  <si>
    <t>颜值在线 很好，自己配了跟升降杆装好了，水压大用起来真舒服</t>
  </si>
  <si>
    <t>迅速提高生活品质的健康神器 &lt;div id="video-block-R10MQWA02DID2X" class="a-section a-spacing-small a-spacing-top-mini video-block"&gt;&lt;div tabindex="0" class="airy airy-svg vmin-unsupported airy-skin-beacon" style="background-color: rgb(0, 0, 0); position: relative; width: 100%; height: 100%; font-size: 0px; overflow: hidden; outline: none;"&gt;&lt;div class="airy-renderer-container" style="position: relative; height: 100%; width: 100%;"&gt;&lt;video id="7" preload="auto" src="https://images-cn.ssl-images-amazon.com/images/I/91PbTlfegJS.mp4" style="position: absolute; left: 0px; top: 0px; overflow: hidden; height: 1px; width: 1px;"&gt;&lt;/video&gt;&lt;/div&gt;&lt;div id="airy-slate-preload" style="background-color: rgb(0, 0, 0); background-image: url(&amp;quot;https://images-cn.ssl-images-amazon.com/images/I/81xT0PUxSkS.png&amp;quot;);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center;"&gt;0:10&lt;/div&gt;&lt;div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 style="width: 12.7898%;"&gt;&lt;/div&gt;&lt;div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value="https://images-cn.ssl-images-amazon.com/images/I/91PbTlfegJS.mp4" class="video-url"&gt;&lt;input type="hidden" name="" value="https://images-cn.ssl-images-amazon.com/images/I/81xT0PUxSkS.png" class="video-slate-img-url"&gt;&amp;nbsp;过滤后口感变化明显，垢也明显少多了，应该是效果不错。但是可能因为中国的自来水标准很低，所以滤芯不能使用3个月。4个滤芯：最多的使用了整整2个月，最少的用了整整1个月，还有两个都是1个半约，没有达到3个月的。总体而言，既过滤了有害物质，又保留了矿物质，比纯水机健康，比自来水干净。值得拥有。</t>
  </si>
  <si>
    <t>5星评价 从包装到布料，还有拉链，确实是外国出品，裤头还有弹力的，非常满意。</t>
  </si>
  <si>
    <t>好评 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</si>
  <si>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不好穿 设计缺陷还是不合适亚洲人穿呢？！</t>
  </si>
  <si>
    <t>涂层很容易掉 用么蛮好用的 一点都不沾也很好清洗 锁闻效果也很好 就是这个涂层太容易刮花了吧 炒了一次鸭子就这样了 估计贝壳类也不能炒 不知道红色的那款会不会结实点 凑合着用吧</t>
  </si>
  <si>
    <t>很软 软的不像皮带，是二层皮做的  有点失望</t>
  </si>
  <si>
    <t>设计有小缺陷 地铁上触碰面板容易被旁边的人碰到，音乐就被暂停了，可能设计师想象不到北京地铁的拥挤程度。音质很不错，偏软，略浑，蓝牙偶尔有很严重断断续续。</t>
  </si>
  <si>
    <t>假货！一点不保温 假货！一点都不保温。亚马逊太糟糕了，已经是一个不靠谱的平台了。</t>
  </si>
  <si>
    <t>洗都洗不掉的馊味 洗都洗不掉的馊味，买来从来没有装过白开水以外的液体，但是每次打开都有一个馊味，洗了多次，也洗不掉</t>
  </si>
  <si>
    <t>满意 还行 大小合适 挺满意的</t>
  </si>
  <si>
    <t>不错，设计的很人性化 给新房买的，已经安上去了但还没有正常使用，但之前一直用这款花洒，觉着挺好用的。</t>
  </si>
  <si>
    <t>偏大 165，买s号，袖子有点长。</t>
  </si>
  <si>
    <t>速度还行 那个盖容易滑下来，要换个姿势插优盘</t>
  </si>
  <si>
    <t>中规中矩的款式，购买指数2.5颗星 论舒适度，真比不上我国内的品牌，论价格，太贵。款式中规中矩。总体不推荐购买。如果国内的尺码小，可以选择这款，真的，大小合适的很，反倒国内的尺码没有几个是达到此是尺寸的。</t>
  </si>
  <si>
    <t>OK的 这么挤脚当然是正品了 架不住帅磨皮也要穿啊笑着活下去 物流挺快的了</t>
  </si>
  <si>
    <t>Good good</t>
  </si>
  <si>
    <t>经济实惠 经济实惠</t>
  </si>
  <si>
    <t>针织竖条纹款，柔软 针织竖条纹款，柔软，TB很多几十块的裤袜会有机油这种化工怪味，这个没有</t>
  </si>
  <si>
    <t>超值 高175，80公斤，领子刚刚好，反正也不扣，完美</t>
  </si>
  <si>
    <t>质量很好，舒适 质量很好，舒适，春秋最合适，尺码和普通皮鞋一样，比nike鞋子大一码</t>
  </si>
  <si>
    <t>有点效果。。 物流大概一个星期左右到货，妈妈一直在吃这个药，听她说有点效果，上次买的吃完了，这次回来再买，而且在这里买比她自己买便宜点，不错</t>
  </si>
  <si>
    <t>塑型 嗯嗯很好，吃了一个月很不错，每天都会上厕所</t>
  </si>
  <si>
    <t>非常喜欢 这个比其他经典款的显得轻不少，而且皮子不会太硬，更舒适，平时因为脚背偏高马丁靴要大一码买，这个应该可以正常码，这个大一码可以加鞋垫穿厚袜子</t>
  </si>
  <si>
    <t>还不错就是收货太久 我觉得味道很好，蛮好喝的。跟奶昔一样</t>
  </si>
  <si>
    <t>特别好的存储盒 这个也特别好啊 泪 存辅食完全没有味道</t>
  </si>
  <si>
    <t>买了几年了才来评价，鞋子各方面好得很，穿十年是绝对没问题的，哈哈！ 买了几年了才来评价，鞋子各方面好得很，穿十年是绝对没问题的，哈哈！</t>
  </si>
  <si>
    <t>不知道用温度高的水会不会变形 质量不错，闺蜜给买的吸奶器热奶器到宝宝的安抚奶嘴都是新安怡的，网上搜过了下，新安怡的口碑还是很好的，两个水杯很可爱，虽然比某宝上便宜，要是有一大一小这种组合就更棒棒啦</t>
  </si>
  <si>
    <t>值得购买 挺好的，性价比很高</t>
  </si>
  <si>
    <t>质优价廉放心购 淘宝上有代购有旗舰店，但是不太放心，亚马逊买的放心，而且价格比起来也还不错，用起来很好用，手可以伸进去直接刷洗，不过说他是断奶神器言过其实，不喜欢奶瓶的宝宝是断断不用的。另一个宝宝倒是可以 自己抱着喝奶了～快递也还可以吧，大概半个月到了，包装很简单，快递员很可爱～</t>
  </si>
  <si>
    <t>還好 還沒用，給愛人買的</t>
  </si>
  <si>
    <t>关于这个鞋的尺码 买这双鞋之前，在评论里看了好久尺码的内容。货到了之后，正好。我偏瘦，脚也偏瘦，自己印象中都是穿的42码的鞋。这次买了他的列表中的8M（41码），大小正好。 觉得鞋子尺码这个东西，真的好乱，不同品牌的感觉都不一样。于是统计了下自己的几双鞋子。 就当给大家一个参考吧（见图片）。 在图片里，这双鞋的尺码标注的是“Timberland US”。</t>
  </si>
  <si>
    <t>可爱的瓶子 快递被人打开过，不过里面没有打开，很可爱我很喜欢</t>
  </si>
  <si>
    <t>安装方便 不错，星级宾馆标配，家里夜值得拥有。</t>
  </si>
  <si>
    <t>手表很好看 第一次在亚马逊购物，手表很满意，不错，看上去简介大方，赞一个，应该是正品</t>
  </si>
  <si>
    <t>不错 棉质柔软舒适，170，62公斤，肩较宽，穿S码肩窄，其它ok</t>
  </si>
  <si>
    <t>维修问题怎样解决 买了一年一直没怎么用，现在右侧开关不好使，找不到维修的地方，因为是海外购，邮到美国那边也是不可能的，所以保修问题无法解决。</t>
  </si>
  <si>
    <t>感觉还是不错 大小还是比较适合自己，没钢圈感觉比较舒服，只是胸垫前面感觉不是很柔软！后面还较贴身舒适！没钢圈款式相对有钢圈的效果不是那么好，胸型不好，只是舒服没束缚！</t>
  </si>
  <si>
    <t>尺寸不符 尺寸明显过大，与那个尺寸表不符，腰围超出最大值2cm以上</t>
  </si>
  <si>
    <t>噪音大，不支持退货，亚马逊坑人货 噪音大，听音乐不行啊，是不如2百的铁三角，钱扔了，不给退货.太坑了.</t>
  </si>
  <si>
    <t>太小了 穿的很很紧，不舒服。</t>
  </si>
  <si>
    <t>不值 就是为了凑单才买的，国内的3，4十的地摊货都比这个质量好，加上关税太坑了。</t>
  </si>
  <si>
    <t>建议 183，82，l号过大</t>
  </si>
  <si>
    <t>衣服质量不错 面料很柔软，里面加薄绒，158，90斤穿袖子稍微有点长，质量还是不错</t>
  </si>
  <si>
    <t>衣服偏小 毛里求斯产，但是衣服有些偏小。平时wranger的牛仔衣穿M码，ck的这件选的L码还是小了点，且袖子长了些，上身偏胖的人估计要选偏大一码才行。</t>
  </si>
  <si>
    <t>质量很好 冬季在健身房跑步穿了，透气好，质量不错</t>
  </si>
  <si>
    <t>一般 这个文胸一般，下边缘有点松，总往上跑</t>
  </si>
  <si>
    <t>好评 非常好用的一款勺子，很适合刚喂辅食的小宝宝</t>
  </si>
  <si>
    <t>不错的鞋子 上脚舒适，平时40码的脚，UK6.5合适稍微有点余量，比较帅气</t>
  </si>
  <si>
    <t>M码 185身高，穿M号正合适</t>
  </si>
  <si>
    <t>耳机 耳机不错，性价比高，一周就到了，包装略显简陋，盒子破了</t>
  </si>
  <si>
    <t>不错不错，赞一个 不错不错，赞一个，很舒服。</t>
  </si>
  <si>
    <t>鞋码正好合适 穿着舒适透气，灰色百搭</t>
  </si>
  <si>
    <t>1 177cm  85kg  m号整好</t>
  </si>
  <si>
    <t>这个不错 这个不错可以买</t>
  </si>
  <si>
    <t>完美 款式只能用完美形容，舒适，裤兜内衬竟然是亚麻的</t>
  </si>
  <si>
    <t>衣服尺码偏小 衣服质量还是可以的，就是尺码跟欧美版不一样，要买自己在国内的尺码</t>
  </si>
  <si>
    <t>码大，做工稍差，版正 美版码大，袖子长，M号相单于亚洲版L码。172cm, 85kg，M号合适，如果是S号，应该比较修身。美版做工没有国内代工的细致，稍显粗糙，但价格实惠，版正。</t>
  </si>
  <si>
    <t>东西不错，包装不行 东西很好，只是包装太简单了，就一个塑料袋，我的香蕉牙胶包装盒都快被弄坏了。而且外包装上面有一个洞，有严重的拆包嫌疑。</t>
  </si>
  <si>
    <t>无 与描述一致，经过一段时间的穿着，商品质量好，做工精细。好评。</t>
  </si>
  <si>
    <t>做工好同时便于携带 非常好用的一款剃须刀，出行携带很方便</t>
  </si>
  <si>
    <t>还不错奥 还不错，很好，是我们喜欢的款</t>
  </si>
  <si>
    <t>挺好的 发货迅速，手感不错，视频剪辑需要一款监听级别的耳机。</t>
  </si>
  <si>
    <t>很棒的鞋子 最舒适的休闲鞋，鞋底有耐磨橡胶，四季可穿不捂脚</t>
  </si>
  <si>
    <t>挺好的 怀孕时囤的，现在娃两个多月，一直在用。</t>
  </si>
  <si>
    <t>保温 保温效果非常好，容量也大</t>
  </si>
  <si>
    <t>很棒 质量好 大品牌值得信赖</t>
  </si>
  <si>
    <t>舒适 非常舒适，对慢跑有很大帮助</t>
  </si>
  <si>
    <t>尺码偏小，掉色 尺码偏小，腰有点紧，裆部勒的不太舒服。在国内买的504款腰围同样的28w没有这么小。今天拿到的手洗过水掉色严重，洗出的水好黑😟</t>
  </si>
  <si>
    <t>太大 短裤腰围大了1.5寸</t>
  </si>
  <si>
    <t>Tooooo big for the size 同样是M码这个好大 不过可能是因为这个是宽松款 商标是165/70A 实际上尺子量是80cm+</t>
  </si>
  <si>
    <t>很保暖，买大了 不知道是不是买大了，脚掌部分不是很贴脚。保暖性不错，广州这几天降温，可以穿裙子了。才看到我买的是L，其实，大部分妹纸S就够了</t>
  </si>
  <si>
    <t>chiff Move Free 氨糖维骨力氨糖软骨素 商品收到就这样了，包装盒烂掉了，包装太差劲了。差评！！！</t>
  </si>
  <si>
    <t>发错货 发错货了，发的不是买的这一款</t>
  </si>
  <si>
    <t>包装不防撞 锅是好锅，可惜收到的时候一个耳朵都撞掉了。包裹里就放了几个气袋防撞，根本没用</t>
  </si>
  <si>
    <t>还可以。 缺点是：烧了开水后，千万别碰到她的外皮，烫死你！</t>
  </si>
  <si>
    <t>很满意 8EE,我脚比较宽,但这款好像也并不挤脚.包装简陋,没有鞋垫,不影响穿着.整体比较满意</t>
  </si>
  <si>
    <t>瘦 脚长还是比较准确的，但是有点瘦</t>
  </si>
  <si>
    <t>Ddrops Baby 400 IU Vitamin D3 滴剂还没开始使用，就是发货物流速度慢了些，亚马逊的客户服务工作还是做的不错，总体评价好！</t>
  </si>
  <si>
    <t>大包 很大的一款包，没有拉链，包包口上就只有1个暗扣。很能装，出差带衣服很方便</t>
  </si>
  <si>
    <t>巴基斯坦产的LEE 第一次买到巴基斯坦产的LEE，大小，长度刚刚好，很修身，穿着舒适，版型好，适合春夏秋穿着</t>
  </si>
  <si>
    <t>保温效果好，体积稍微有点大 保温效果好，两个便捷杯子出门用比较方便。体积稍微有点大</t>
  </si>
  <si>
    <t>德国发货WMF非常好用 买的第二个，帮同学买的，自己的是前年买的，很好用，推荐给同学。如果有需要还会继续购买。榨汁机榨的很细腻，排除准备水果的时间， 正式榨汁拿出来到榨完冲洗，一分钟都不要。很好用。</t>
  </si>
  <si>
    <t>WMF品质应该不错吧 215加税，230购入，价格还好，厚实，超市里不锈钢盆好点的也好几十，一个。拉丝款相比亮面不容易有水渍痕迹。磁铁能吸附，不知是什么材质？另找不到产地，这个不太好。就算是没英拆呢，只要质量过关就行。</t>
  </si>
  <si>
    <t>日本原装进口 是否的物超所值</t>
  </si>
  <si>
    <t>不错，二次购买了尺码正好 不错，二次购买了尺码正好</t>
  </si>
  <si>
    <t>这个衣服袖子有些长 不得不说，美版的衣服还是很宽松的，衣长，袖子全部覆盖到手指，不过还可接受，就是要这种宽松的感觉吧</t>
  </si>
  <si>
    <t>很合身，性价比高 做工略显粗糙，产地墨西哥，很合身，2尺4多一点的。特别是在国内长29的，很难买到的，性价比很高</t>
  </si>
  <si>
    <t>Max滤芯不错 Max和Adv接口竟然不一样，不过2500cn的头子还好能用</t>
  </si>
  <si>
    <t>很棒的上班通勤包 功能丰富，设计合理，上班通勤很能装。有点点小遗憾，背带较长，单肩背时容易滑落。</t>
  </si>
  <si>
    <t>不推荐 面料就像汗布背心~薄做工一般70多买的遛弯儿穿吧。</t>
  </si>
  <si>
    <t>特价很实惠 东西配件很多，价格实惠，就是英国标准的大三脚插头，需要额外购买一个转接头才能在国内使用，但是相比它的性价比，已经很不错</t>
  </si>
  <si>
    <t>是你的托尼 一百昏一百昏  完美  除了稍微有点重  但是吹的快呀  一分半钟吹干加造型  请叫我托尼老师</t>
  </si>
  <si>
    <t>鞋码合适 鞋子好看 鞋底舒服  大小合适不错</t>
  </si>
  <si>
    <t>朋友推荐的品牌 朋友推荐的品牌！不错</t>
  </si>
  <si>
    <t>挺不错 这个包的尺寸大小正合适，钱包，手机，水杯，雨伞刚刚好。</t>
  </si>
  <si>
    <t>好东西 合适，腰和长度都好。</t>
  </si>
  <si>
    <t>质量很好 一直很信任亚马逊自营商品，裤子质量很好，很合身，非常满意！</t>
  </si>
  <si>
    <t>完美！ 一次不错的购物体验，关注这个锅很久，正好看到一个好价含税811，从下单到收货共10天。没有一点碰伤痕迹，总之完美。</t>
  </si>
  <si>
    <t>一言难尽 衣服质量很好，就是颜色显得脏脏的，不如纯白色的好搭配</t>
  </si>
  <si>
    <t>价格比代购便宜多了 颜值很高，比我想象中还要大。价格合适</t>
  </si>
  <si>
    <t>超值实惠 海淘回来，用时一周，非常超值实惠，墨西哥制造，非常舒适，推荐购买。</t>
  </si>
  <si>
    <t>胸型很奇怪 胸型很奇怪</t>
  </si>
  <si>
    <t>买的8UK发的9UK不过免得换了 喜欢</t>
  </si>
  <si>
    <t>包装太差了… 包装太糟糕了…麻烦下次能不能好好包装…</t>
  </si>
  <si>
    <t>过大 裤子偏大蛮多的，是按着尺码推荐上的腰围买的，结果回来大了很多，但是海外购也不方便换了，只能送人了。170，130斤，M号大了很多。</t>
  </si>
  <si>
    <t>售后 亚马逊真烂，水土不服。败走中国市场是必然。</t>
  </si>
  <si>
    <t>很薄 很薄盖子也不好盖，超级小的碗。还很薄。很失败的购物，已经拆开包装都扔了</t>
  </si>
  <si>
    <t>不错，挺好的 大小正好，料子也挺舒服</t>
  </si>
  <si>
    <t>做工也很不错 普通版，合身，做工也很不错</t>
  </si>
  <si>
    <t>合适的皮带 质量很好，尺寸就照腰围+2码不错</t>
  </si>
  <si>
    <t>孩子不喜欢这个奶嘴 孩子不适应这个奶嘴。不如贝亲的</t>
  </si>
  <si>
    <t>背面抓绒不错 176身高67公斤，M号。很好。非常轻便的一款衣服。面料新颖，总之是一次不错的购物体验。唯一的缺点是快递的包装差了点。</t>
  </si>
  <si>
    <t>很喜欢很合身 内裤很合身很喜欢哈哈</t>
  </si>
  <si>
    <t>有点大，料子不错 给爸爸买的 尺寸也比国内大 颜色不错</t>
  </si>
  <si>
    <t>口味 乌克兰生产的，操作简单。送货包装破损了，好在里面还好。</t>
  </si>
  <si>
    <t>很满意 一直想买这种榨汁机，国内很多样子质量看着都不好，还是亚马逊海外购让我买到称心的东西，虽然买完就降价了吧。亚马逊物流也是超赞</t>
  </si>
  <si>
    <t>尺码很合适 不是很清楚尺码，就让店家推荐了，170cm-60KG，买的31*30的刚好合适，面料也很舒服，非常满意</t>
  </si>
  <si>
    <t>质量好，快递时间长 这次从下单到收货用了20天时间，清关后顺丰快递到手，国外运输的时间太长了。鞋子质量没得说，尺码也很准。</t>
  </si>
  <si>
    <t>舒适 舒适棉质舒服</t>
  </si>
  <si>
    <t>很厚实，很漂亮 叉子平口，小朋友用比较安全，把手也很厚实，宝贝很喜欢</t>
  </si>
  <si>
    <t>牙刷很好的，还会再买 很好用的牙刷，比国内卖的小头的牙刷刷的干净多了，而且刷毛柔软，清洁效果棒棒的，很满意。</t>
  </si>
  <si>
    <t>很好 很好，很满意！一如既往信得过！</t>
  </si>
  <si>
    <t>不错，安装师傅得找好 目前用着挺不错的，安装需要考前期水平，不然很难装上，日本东西，设计还是很不错的，全被税了，说好发发票过来，一直没发</t>
  </si>
  <si>
    <t>德亚4.10下单，4.17顺丰送到 3.63TB容量，平均速度110左右，到手比某东便宜100多块钱，声音很小几乎听不见，稳定性用用看</t>
  </si>
  <si>
    <t>正在使用 外观很大气，3.0传输速度也不错,自带一个usb3.0和一个苹果usb-c线</t>
  </si>
  <si>
    <t>皮带 同价位的商品，这个质量不错</t>
  </si>
  <si>
    <t>满意 因为娃是母乳喂养，所以六个月左右添辅食才开始用这个杯子。里面3个月可用奶嘴就没有用上。娃非常喜欢拿着小把手抱着杯子玩，现在用的是5个月的那个吸嘴，自己学着吸水喝。杯子做工很精致，小鸭黄很可爱。</t>
  </si>
  <si>
    <t>滤芯 用了很长时间了，但是有时候会有细小的黑颗粒，让人不太舒服。其他还好。</t>
  </si>
  <si>
    <t>品质好 德国制造，品质保证。值得信懒。</t>
  </si>
  <si>
    <t>不粘，炒菜香，重量适合姑娘们颠锅 上周的Z秒杀，到货很快。开箱后发现是1.2毫米厚。日亚上也有1.6毫米厚的，可能在导热和储热性能上略胜一筹，但是作为一个不甚强壮的妹子，个人认为1.2毫米的更适合。然后就是按照说明辛勤地开锅。厂家说要先烧黑然后变灰，就可以关火。亲测这个过程需要至少半个小时，而且为了让锅的边沿也都均匀地烧到，本姑娘在大夏天的厨房里大汗淋漓，顺便锻炼了肱二头肌。事实证明这个过程非常值得，用猪油3次上油以后，炒菜果然不粘，还成功地第一次完成了颠锅！  关于大家都关心的油烟问题，亲测如果用大火热锅，油烟比用中小火热锅要大。比普通不粘锅油烟大，但是整体还是在可接受的范围内。炒出来的菜比不粘锅更香。</t>
  </si>
  <si>
    <t>宝宝挺爱咬 以前从不去评价，不知道浪费了多少积分，现在知道积分可以换钱，就要好好评价了，后来我就把这段话复制走了，既能赚积分，还省事，走到哪复制到哪，最重要的是，不用认真的评论了，不用想还差多少字，直接发出就可以了，大家也试试</t>
  </si>
  <si>
    <t>满意 薄款的，175cm80kg选33*32正好，200多一条Lee还可以了</t>
  </si>
  <si>
    <t>推荐购买性价比高 很大一瓶，非常满意，价钱也很给力，成人款</t>
  </si>
  <si>
    <t>色差过大 东西还不错，就是实物和图片色差过大。没用几天日期就不会动了</t>
  </si>
  <si>
    <t>瓶子太大，东西太少 7天内收到，30小片，也就到瓶子五分之一处。看介绍说此产品未经美国食品药品管理局审核，真假难辨。还没有食用，效果待评。</t>
  </si>
  <si>
    <t>对亚马逊失望 对亚马逊失望，好好的一个网站，搞什么分裂中国的行为，伤害中国人的感情，幸好今年没买会员</t>
  </si>
  <si>
    <t>像是再生塑料做的，有几道纹路像是裂了一样 做工比较差，不知道是不是假货，而且退货两个月了退款都没到账，服务太差。</t>
  </si>
  <si>
    <t>其实就那么回事 其实就那么回事~一双鞋的质量还是看品牌</t>
  </si>
  <si>
    <t>172/72kg，S码，腰围80，合适 裤腿略长，里面有薄绒，适合春秋5度到20度单穿，修身，里面只能加一件压缩裤，面料柔软舒适</t>
  </si>
  <si>
    <t>4分 还行！就是过来有一股莫名的味道</t>
  </si>
  <si>
    <t>袖子很窄很紧。。 160高,106斤，穿m大小倒是差不多，就是袖子太紧了。。想撸起袖子是不可能，穿进去也费尽。。 感觉还是要比推荐尺码大一号买吧，感觉买L的话应该是正好的，宽松点也穿不错，但是袖子紧真的有点难受</t>
  </si>
  <si>
    <t>一致性不太好 两个音箱在相同音量刻度时，声音大小不同</t>
  </si>
  <si>
    <t>好 好，舒服</t>
  </si>
  <si>
    <t>合适 大小合适 173 66再小一码感觉也可以</t>
  </si>
  <si>
    <t>big kid 脚长240cm穿5.5非常合适，质量好，做工好 big kid 脚长240cm穿5.5非常合适，质量好，做工好。速度还是挺快的</t>
  </si>
  <si>
    <t>戴着不会难受 比较轻薄透气性好，不卷边</t>
  </si>
  <si>
    <t>不错 有点大 还行吧 穿着很舒服</t>
  </si>
  <si>
    <t>评价 很合适，爱步鞋品质一贯好。</t>
  </si>
  <si>
    <t>很舒服 好评！货真价实，亚马逊真乃良心企业！</t>
  </si>
  <si>
    <t>！ 鞋码很不准，爱步穿43正好，其乐这个开始买的43，结果鞋大一手指。换42的，还有些小。这一款没有42.5的。 鞋子很轻，脚感还不错，鞋底缓冲不错。 不过鞋的味道很大，莫名的臭味</t>
  </si>
  <si>
    <t>性价比高 这个箱子的低频，其实比较接近4寸音箱的水平。总的来讲，声音对的起价格，很值。</t>
  </si>
  <si>
    <t>还不错 有点大，其他还不错。</t>
  </si>
  <si>
    <t>剃须刀 还不错，看耐不耐用了</t>
  </si>
  <si>
    <t>第一次买LEE的牛仔裤总体还算满意吧 因为有在美亚上买诺帝卡和CK牛仔裤的深刻教训知道尺码都是有点偏大的 所以买小一号就正合身啦 还算满意吧</t>
  </si>
  <si>
    <t>大容量，价格可以 东西做工不怎么样，用着还行，毕竟容量大。</t>
  </si>
  <si>
    <t>不错 闻起来浓浓的巧克力香，吃起来不会很甜，包装很好</t>
  </si>
  <si>
    <t>刷头 价格是便宜了，但是没有原配的好。毛刷偏软</t>
  </si>
  <si>
    <t>很喜欢 刚刚收到的货 很漂亮 就是表带太硬了 其它都好 很喜欢</t>
  </si>
  <si>
    <t>还没用，相信应该不错。 给二宝买的小水壶。希望她喜欢</t>
  </si>
  <si>
    <t>ecco 完美的鞋，挺舒服的，就是高帮穿脱比较费力。大小正好，我Nike42.5，这款买了42，略大一点，我喜欢穿着宽松点的，不喜欢太紧。</t>
  </si>
  <si>
    <t>小朋友很喜欢 亚马逊价格便宜一些，外形和音量限制功能针对儿童设计很好，蓝牙加麦克风摆脱线的束缚。</t>
  </si>
  <si>
    <t>非常好 大小合适，鞋子轻便透气不午觉，第一次鞋子有点瑕疵，换过后棒棒哒</t>
  </si>
  <si>
    <t>偏大了 有气味，鞋子码数偏大，穿起来显得我脚好长，鞋底有些打滑，不过脚感确实是舒服</t>
  </si>
  <si>
    <t>made in China 用了几次后，发现上面写着，made in China，真的不是段子，你可以看看充电器上是不是有</t>
  </si>
  <si>
    <t>不是真皮 我觉得不是真皮，水湿后像纸皮。</t>
  </si>
  <si>
    <t>什么正品，质量太差！亚马逊在no zuo no die 质量太差了！针脚线头，不是正品的作风呀。亚马逊这是不做的节奏嘛。砸牌子呀。伤心啊。有照片为证。</t>
  </si>
  <si>
    <t>看了你的评论不买了。 多谢啊老兄。我也是看中进口原装。看了你的评论不买了。</t>
  </si>
  <si>
    <t>Trash 才买回来第三天就出现偷停现象，睡醒带上手表发现慢了两个小时，和电子时钟对照，平均一分钟要慢好几秒！！没有任何苏磕碰或者人为损坏过！！！非常不满意！！！！</t>
  </si>
  <si>
    <t>这款裤子刚好 买的第二条裤子大小合适，建议大家买之前问清楚裤型</t>
  </si>
  <si>
    <t>爱步男士休闲鞋 下单uk9.5,发来的uk10,大点儿，退货太麻烦。爱步的鞋无论在国内还是国外，应该没有半码鞋号的，海外购商品页面尺寸选择上应该有误，下单时需注意。鞋子轻是牛皮，皮质稍硬，发来一只脚有试过的折痕及小划伤痕。舒适度尚可。码子个人认为国内穿几码就选几码。</t>
  </si>
  <si>
    <t>还行 握起来手感不错，不是很顺滑，但不挂纸。</t>
  </si>
  <si>
    <t>不错 多次回购，作为复合维生素来讲还不错的，朋友说比小熊糖好。</t>
  </si>
  <si>
    <t>面料偏薄 身高174厘米体重68公斤，穿s码刚刚好。面料很柔软，但有些薄，适合春秋天不冷的时候穿。</t>
  </si>
  <si>
    <t>不错 价格便宜，没有味道，配送速度快。</t>
  </si>
  <si>
    <t>还不错 颜色其实还不错，还没使用，个人觉得这个款比较适合小孩用，之前一个盖子摔坏了又买一个</t>
  </si>
  <si>
    <t>阿玛逊值得信赖 很好的购物体验。时间准时，价钱合理。十分满意</t>
  </si>
  <si>
    <t>非常不错 质量、工艺真的非常好，保温效果也很好，12小时后水仍然很热。</t>
  </si>
  <si>
    <t>很好的体验 保暖而且合身</t>
  </si>
  <si>
    <t>挺不错的 很不错，做工很细致，笔迹的粗细也很好，包装盒也很好，快递大约1周左右。</t>
  </si>
  <si>
    <t>强烈推荐 强烈推荐，185/72，m码，优惠期间不到200买的</t>
  </si>
  <si>
    <t>比国内划算多了 划算，颜值很高，清洗方便</t>
  </si>
  <si>
    <t>好鞋，几年了，穿着舒服 不错的鞋子，价格便宜！</t>
  </si>
  <si>
    <t>非常不错 腰围83厘米，买的32的腰带，夏天刚好扣在皮带中间的眼，很好！皮的质量还可以吧，毕竟价位在这摆着！</t>
  </si>
  <si>
    <t>可以 可以</t>
  </si>
  <si>
    <t>Skechers Sport Women's D'lites Biggest Fan... 纠结了好久不知道怎么选码，这款6.5码相当于中国码37码，给大家个参考。气垫款，很舒服，下单到收到快递共12天，比想象的快很多，赞一个</t>
  </si>
  <si>
    <t>奶粉母乳都要吃，不吃就缺d 奶粉和母乳都要吃，不吃就缺d，中国污染太重，根本也晒不到太阳，所以就吃吧</t>
  </si>
  <si>
    <t>挺高级 比较高级款的电动牙刷头，网上查了说通用6系，虽然还没用，看看就觉得刷头高级</t>
  </si>
  <si>
    <t>质量挺好 穿着舒适，就是长了点</t>
  </si>
  <si>
    <t>舒适 非纯棉，印度产，穿着之前得先洗。贴身，不紧不勒，样式也好。</t>
  </si>
  <si>
    <t>穿着舒适。身高170，体重70，穿s 号正合适 穿着舒适。身高170，体重70，穿s 号正合适</t>
  </si>
  <si>
    <t>音质不错，电池给力。 音质不错，电池给力。满意</t>
  </si>
  <si>
    <t>保暖 要加条180D的发热袜3度可以穿，0下就不行了，南方城市可以考虑买，螺纹的好看</t>
  </si>
  <si>
    <t>不错的包 商品比较小，休闲型的。这次快递太慢了，亚马逊需要改进。</t>
  </si>
  <si>
    <t>物流快 质量不错</t>
  </si>
  <si>
    <t>小 有点小</t>
  </si>
  <si>
    <t>发货很快，质感一般 昨天下午4点多下单，第二天12点就收到货了，速度很快，可能是因为我这里离广州黄埔库房近的原因。 手表一般，也许HD系列的都是这个样子。。。。</t>
  </si>
  <si>
    <t>评价 鞋子舒服程度9分，只是鞋子皮子气味太大了</t>
  </si>
  <si>
    <t>用来干嘛呢，挖苹果泥好评 只有这个作用。。。没有其他的。。。。。</t>
  </si>
  <si>
    <t>包装运输过程破损 里面装U盘的外面的包装都破损了，这不应该多加几个泡沫板什么的嘛？里面就直接塞着就寄过来很不负责任</t>
  </si>
  <si>
    <t>质量差 太差了！洗完还是严重的酸味！掉色！ck就在质量？严重怀疑是不是正品！</t>
  </si>
  <si>
    <t>快到期产品 保质期到19年11月份而且并没有商品描述说是临期商品 差评</t>
  </si>
  <si>
    <t>包装忒省了。 东西没问题。包装太简陋了，原包装就发过来了，也没在外面加一层箱子。到手的时候盒子外面不知道是哪个环节用胶带重新粘的，棱角的地方已经全都坏了。还好里面的东西没有问题。</t>
  </si>
  <si>
    <t>还可以 随便买支钢笔用用，看了前面的评论很有帮助。 本人不是喜欢写字之人，所以对钢笔要求不是很多。 写出来的笔迹感觉没有评论中说的那么粗，可能个人对粗细的理解不一样吧。 握感还是不错的，估计手小的人用着不太舒服。</t>
  </si>
  <si>
    <t>海外购请务必确定好尺码，重要的事情说三遍！ 这W33的腰围可不小啊，CK这尺码标注是有意为之。做工其实还行，面料挺薄的，冬天在北方没法穿。我现在就想找人接盘。</t>
  </si>
  <si>
    <t>不错，就是手表全部都是塑料的 不错，就是手表全部都是塑料的，甚至表面都是</t>
  </si>
  <si>
    <t>不错的 棉质舒服，厚实，冬天穿挺好！</t>
  </si>
  <si>
    <t>质量不错，没有味道 质量不错，没有味道，暂时还没有给宝宝用</t>
  </si>
  <si>
    <t>好评 做工很好，样子比图片好看，比其他运动鞋偏大半码。鞋底不算软，但是这也是板鞋的特点。</t>
  </si>
  <si>
    <t>鞋子漂亮 快递很快，不到一周到货，鞋子质量很好，也很舒服</t>
  </si>
  <si>
    <t>尺码按运动鞋尺码买就行 这款鞋内有内衬，运动鞋40到40.5穿7dm us正好，本人169，53kg，穿这个正好，我脚长245mm，这款比同尺码沙漠靴要小些，按正常运动鞋尺码买就行，到手520.</t>
  </si>
  <si>
    <t>确实是8个装 价格实惠，物流挺快，收到的是葡萄牙产的，做工一般般</t>
  </si>
  <si>
    <t>不错 很值得购买的音响，音响的素质很好。</t>
  </si>
  <si>
    <t>好用 好用，推荐买～</t>
  </si>
  <si>
    <t>无异味，很软 一直看到comotomo的奶瓶的评论，实际拿到手觉得更加好，给宝宝喝奶喝水的时候更放心，不怕掉，不会碎。美国直邮更放心些</t>
  </si>
  <si>
    <t>很满意 正品。外包装较简陋。</t>
  </si>
  <si>
    <t>非常满意 clarks的鞋子尺码很准也比较足，国内和国外尺码基本一致，颜色是非常纯正的栗色，自然光下非常漂亮，上脚舒适，非常白搭</t>
  </si>
  <si>
    <t>东西不错 东西很好，书写颜色很正</t>
  </si>
  <si>
    <t>舒适 尺寸很合适 穿上比较舒适</t>
  </si>
  <si>
    <t>尺码过大 与我的上一条评论相同。</t>
  </si>
  <si>
    <t>推荐购买 超喜欢这个，做工很棒质感很好</t>
  </si>
  <si>
    <t>品质保证信价比高 收到宝贝很惊喜！哪哪都好👌  买给老爸的鞋。一般般款式的根本瞧不上～都没法穿。低调奢华回力鞋的升级版：论这材质，上乘！再看这个做工，精致！大品牌好吗？再者说咱啊，就告诉怹老邻家大洋陆拾不到嘿嘿嘿  有过一次选择经历。失败是成功之母。看图说话：名履上脚健步如飞……</t>
  </si>
  <si>
    <t>不错的鞋子 很好，合脚，雨天也一样。</t>
  </si>
  <si>
    <t>满意 大小合适 设计合理 拉链稍差</t>
  </si>
  <si>
    <t>好 2l太小3l正好我是90c所以元3l</t>
  </si>
  <si>
    <t>物超所值 好表，质感不错，表盘简洁，沉稳</t>
  </si>
  <si>
    <t>买的10 10号，实测腰围80cm，裤长106cm，弹性很好，布料软，舒服</t>
  </si>
  <si>
    <t>不错 出去玩给小朋友带辅食很好 保温效果一般 但到吃饭点正好能吃 不像膳魔师会很烫 哈哈</t>
  </si>
  <si>
    <t>第二次买 第二次买，第一次买的偏大，动作大点裤子掉了，这次是动作大点感觉会撑破</t>
  </si>
  <si>
    <t>不好 对不上尺码</t>
  </si>
  <si>
    <t>大小还行。 挺薄的，还行。</t>
  </si>
  <si>
    <t>表带太硬 这款表买了差不多有半年了,感觉其它的还行就是表带很硬.对这款手表的表带特不满意.</t>
  </si>
  <si>
    <t>与商品介绍不符！ 这个款型不同颜色重量质感差别很大！ 与号称的磅数严重不符！ 投诉后客服先是承诺会回复解决，后来再也没有下文，这是亚马逊客服做的最让人失望的一次。</t>
  </si>
  <si>
    <t>很失望的一次购买，希望得到赔偿 投诉包装太简单拉，就知道塑料袋连盒子都没有，碗外面的塑料包装都坏了，像是旧的或者别人返回去的货</t>
  </si>
  <si>
    <t>还好，腿部有点宽松 孟家拉国生产，164cm，64kg能穿，腿部略有宽松，直筒，面料有弹性，也比较厚，适合秋冬</t>
  </si>
  <si>
    <t>有点重 整体还行，就是有点重</t>
  </si>
  <si>
    <t>好衣裳 全面的T恤，非常宽松，颜色也好看，非常好，我挺喜欢，我给个赞！</t>
  </si>
  <si>
    <t>保温效果很棒，颜值也行 保温很好，就是一直担心瓶盖处橡胶会老化</t>
  </si>
  <si>
    <t>11.11 买的，物有所值！ 非常不错，森海耳机音质醇厚，通透，解析度也很高！</t>
  </si>
  <si>
    <t>很好的一款胶囊咖啡机 小巧，精致，使用方便。性价比高。要是功能再多一些就更好了。</t>
  </si>
  <si>
    <t>面料舒服，可以贴身穿 除了袖子有点长，大小都合适。面料舒服，可以贴身穿。</t>
  </si>
  <si>
    <t>好上色 很软很好用。半年前买过，看到这次折扣，继续入手</t>
  </si>
  <si>
    <t>好合身！好喜欢！我还要！ 本人身高170cm，体重90公斤，L码相当合体！很久很久以来，我在县城和周边城市买不到合适的上衣，我恨韩版，标准版！你丫把袖子做短点行吗？这个版型就是矮胖挫的福音，别犹豫，下单吧！唯一纠结的是它生产自china。</t>
  </si>
  <si>
    <t>好 很好、贴身有点扎</t>
  </si>
  <si>
    <t>超赞的铅笔 非常好的铅笔 书写很舒服 值得购买</t>
  </si>
  <si>
    <t>好用 没拍照，收到就用了，擦洗烤箱微波炉和电热水壶外面，就一点也不油了。</t>
  </si>
  <si>
    <t>一如既往的好 面料舒适，版型正点。</t>
  </si>
  <si>
    <t>总体满意 &lt;div id="video-block-R1HRC9I5DT9HM2" class="a-section a-spacing-small a-spacing-top-mini video-block"&gt;&lt;/div&gt;&lt;input type="hidden" name="" value="https://images-cn.ssl-images-amazon.com/images/I/81qksNe8BBS.mp4" class="video-url"&gt;&lt;input type="hidden" name="" value="https://images-cn.ssl-images-amazon.com/images/I/91anJbB7bvS.png" class="video-slate-img-url"&gt;&amp;nbsp;东西不错，买个英标的转换插头就可以用了。就是K字桨和图片上不一样。图片上是高亮的不锈钢质材，收到货不是不锈钢的。和面钩不是建伍常见的带图层的那种，而是一根粗不锈钢弯起来的。东西寄到了没有密封条，只有一层外包装。</t>
  </si>
  <si>
    <t>舒适的内衣 一直买这个牌子的衣服 还会接着买</t>
  </si>
  <si>
    <t>专业级的好表 和昂贵的瑞士表相比，卡西欧是廉价且更加专业的计时工具，轻便，结实，舒适，走势准确，而且，说句实话，还挺好看的。和卡西欧相比，瑞士表更是一种玩具，体现了一种男人对精密机械的爱好，或者拥有昂贵物品所带来的的心理满足感。这款金属的卡西欧表造型方正，简洁。和塑料表相比，更加适合正装场合，更加适合秋冬季（因为塑料壳的表比较厚，穿长袖衣服戴不方便）。</t>
  </si>
  <si>
    <t>质量不错 质量不错，开关手感很轻盈，敏捷，不像国内的开关拨动死，沉。</t>
  </si>
  <si>
    <t>AKG 爱科技 K240S 全世界录音棚使用率最高的耳机 AKG 爱科技 K240S 全世界录音棚使用率最高的耳机很喜欢</t>
  </si>
  <si>
    <t>大小合适，舒适 平时41，一般按选260CM，这双也是，非常合适和舒适，好久没买过这么爽的鞋了，比国内便宜了好多，赞一个，鞋刚开始看有点丑，但很耐看</t>
  </si>
  <si>
    <t>不错 挺好的挺好的</t>
  </si>
  <si>
    <t>赞 178  87kg  买的XL正好，版型蛮好，唯一就是领子有点大，总体效果还是不错的</t>
  </si>
  <si>
    <t>脚感舒适 脚感很舒适，尺码也比较准</t>
  </si>
  <si>
    <t>不错，划算 物美价廉，再来两包😄</t>
  </si>
  <si>
    <t>安德玛紧身衣 买的xxl 尺码185_104袖子有点长，我身高178厘米胸围110。正合适</t>
  </si>
  <si>
    <t>大容量备份 很好用，容量大，速度也不错，就是噪声稍稍大了点儿，很好。</t>
  </si>
  <si>
    <t>物超所值 非常非常好，清洁也方便</t>
  </si>
  <si>
    <t>液体凝固了 没喝几次，里面凝固了</t>
  </si>
  <si>
    <t>了解清楚使用的胶囊再下手，不要相信推荐 海外购价格还是很不错，不过这款咖啡机配套的胶囊要认真了解下，以免买错了无法使用。亚马逊一个很糟糕的体验是会给你推荐别人一起买的商品，这个推荐完全是无稽之谈，不要去相信。买多趣酷思咖啡机，它给你推荐奈斯派索胶囊，如果没有做足功课买回来就是废品。</t>
  </si>
  <si>
    <t>不满意 说是细笔尖，结果具粗，</t>
  </si>
  <si>
    <t>音质先不说，为什么贴片会掉？ 2017年11月买的耳机用的频率并不高，昨天发现右耳塞贴片掉了。。。这么小的东西掉哪了也不好找，闹心啊，这玩意怎么售后、。图片还添加不了。。什么鬼啊啊啊啊啊啊啊啊啊啊啊啊啊啊&amp;nbsp;&lt;a data-hook="product-link-linked" class="a-link-normal" href="/Marshall-马歇尔-Mode-EQ-入耳式HiFi摇滚重低音线控式人体工学耳塞耳机-黑金色/dp/B00OHVT2SO/ref=cm_cr_arp_d_rvw_txt?ie=UTF8"&gt;Marshall 马歇尔 Mode EQ 入耳式HiFi摇滚重低音线控式人体工学耳塞耳机 黑金色&lt;/a&gt;</t>
  </si>
  <si>
    <t>样子货 不能微波加热可以理解 但是连带油的食物都不能盛？那买它干嘛呢</t>
  </si>
  <si>
    <t>挺好的 两天半收到货，还行吧。表戴着很舒服，感觉很好。表盘不是纯白，但没关系。朋友好几个买这款的，顶一下！！</t>
  </si>
  <si>
    <t>佩戴是硬伤 之前用过两款头戴的，感觉挺不错，于是盯了这款很久，好价入了后发现佩戴是真的难过，并不是入耳设计，相当于平头猪嘴的设计，所以隔音效果一般，单元比较重，导致稍微久一点耳蜗就有痛感。音质符合这个价位，没有APTX环境，以后换手机看看有没有惊喜。</t>
  </si>
  <si>
    <t>尺码偏大了 没有专卖店里的合身</t>
  </si>
  <si>
    <t>卡不能放太多 还不错，就是百元票有点漏出来</t>
  </si>
  <si>
    <t>尺码很大 本人170，58kg，买的是36s，结果还是大了，裤子配的是29，上身还好大一点，裤子大腿脚长大的夸张了，希望对要买的有用</t>
  </si>
  <si>
    <t>鞋子很漂亮 码数很准，6BM，230的脚长刚好，脚如果偏厚偏宽，建议买大半码或1码</t>
  </si>
  <si>
    <t>Ecco鞋做工一流 做工超好，硬质皮面，感觉很耐磨，比标准42码大了一点点，鞋底还是有点硬，下次优惠再来。</t>
  </si>
  <si>
    <t>英版比较适合国人的普通身材 正常体型买英版一般都不会出问题。</t>
  </si>
  <si>
    <t>正品 应该是正品吧，保温效果不错</t>
  </si>
  <si>
    <t>色彩好，耐用 给儿子买的，色彩好不易折，估计可以用很久</t>
  </si>
  <si>
    <t>价格优惠 带上去蛮不错的，物美价廉</t>
  </si>
  <si>
    <t>无论物流及商品都很棒！ 没想到那么快的，比系统提示的送达时间早了五天，好棒，看着五光十色的铅笔好高兴😄</t>
  </si>
  <si>
    <t>神速的海淘！！ 六天，从日本到北京，太赞了，这速度超出想象。试了一下，新硬盘安静，容量在正常范围内。</t>
  </si>
  <si>
    <t>包装很好，收到完好，英国产 包装很好，收到完好，英国产</t>
  </si>
  <si>
    <t>推荐购买这支笔 颜色很喜欢，干净的粉红色。写字很舒适，推荐购买。配合一同购买的墨囊方便好用。</t>
  </si>
  <si>
    <t>很好的彩铅 从美国直邮到中国的，包装不错，笔质量可以，容易上色，笔芯软</t>
  </si>
  <si>
    <t>价格实惠东西好 裤子30的腰，买32的正好</t>
  </si>
  <si>
    <t>挺好 宝贝很不错，收货的速度很快，面料柔软舒适，还是挺喜欢的，穿着正好，很舒适的面料，不愧是大品牌，以后再有鞋和服装也可以试试，总之，是很喜欢的,很喜欢,很不错的.</t>
  </si>
  <si>
    <t>一次买一年，大水罐滤芯 大水罐滤芯寿命和过滤水的量都是旧版的1.5倍，有40加仑，我滤了一个月了，滤芯还是100%。这玩意儿还是看你的水质，按时间算的话是3个月的寿命哦。</t>
  </si>
  <si>
    <t>好大一支 好大一支，能用很久。很好闻，孩子喜欢。</t>
  </si>
  <si>
    <t>非常合适，衣服很好！ 非常合适，衣服很好，一次愉快的购物。</t>
  </si>
  <si>
    <t>很好 不错</t>
  </si>
  <si>
    <t>好用 很好用，打奶油很快！</t>
  </si>
  <si>
    <t>挺好 平常运动鞋穿36 这个5.5正好</t>
  </si>
  <si>
    <t>购买及使用体验 等了一周左右就送来货了，虽然说明书都是英文的，但使用起来很方便，配有7个刷头可以针对不同的需求进行替换，这款是美版的，只要某宝上花50块买个变压器就可以用了，刚开始1档2档适应，冲的很干净，也很舒服，每次都能冲出来很多藏在牙缝里的食物渣渣。价格也很美丽比国内版的便宜了近一半，好评</t>
  </si>
  <si>
    <t>有点小能换大的吗 喜欢</t>
  </si>
  <si>
    <t>不错 虽然应该没有生胶底的软，但也蛮舒适的了，如果用皮鞋的舒适度来横向对比的话。重量也比Geox的要轻不少。</t>
  </si>
  <si>
    <t>面料不亲肤，糙糙的 衣服是挺有型，但是面料厚而且夏天穿感觉摩擦皮肤，特别是袖口那里裹得太紧，后来看了下面料居然是纯棉的，我买的纯棉都是舒服亲肤的，严重怀疑该面料，毕竟第一次买这牌子，我170，65kg穿m非常合适，就是面料非常不舒服，我老婆一看就说我穿得不舒服是吧，叫我去查下面料，让我以后买衣服要看面料，女人果然衣服买多了，只用眼光看就知道衣服怎样，牛逼</t>
  </si>
  <si>
    <t>感觉一般般 基本还好，但是布料差了些。穿上比较舒服，也容易宽松肥大。</t>
  </si>
  <si>
    <t>希望亚马逊能加强商品包裹的保护作用！ 外包装箱内没有填充气袋，商品包装盒破损严重，里面的说明书册子被戳穿几页，可以想象运输过程中经历了怎样的颠簸，很担心商品受损，有待试用检查。希望亚马逊能加强商品包裹的保护作用！</t>
  </si>
  <si>
    <t>垃圾的东西 千万别买。买了过滤用了之后替换上这个新滤芯发现根本不能用，中间漏水。因为用了原装再替换才发现的质量问题，亚马逊也不受理。千万别上当。</t>
  </si>
  <si>
    <t>竟然有破损，口袋还有沙子，亚马逊有损我心中的形象 第一次在亚马逊发表评论，一开始没注意就把吊牌那些拆了，第二天才发现屁股后面有破损，还有口袋里竟然有沙子，本想退货的，想到麻烦就算了，这次购物体验差！！</t>
  </si>
  <si>
    <t>质量差，材质不行，薄而透第一水领口久变形了 质量差，材质不行，薄而透第一水领口久变形了</t>
  </si>
  <si>
    <t>share！ 1、挑尺码，看评论有说偏大有说正好的，是W，平时我35、36选了36，脚长230脚型也不款，正常脚型，穿起来很合适，穿穿松了会更舒适，3的话会小 2、发货收货周期，2月28拍的，3号发的货，15号收到的，不快不慢，清关用了两个小时 3、产地及包装，孟加拉国的，跟预想的一样，很开心不是越南的；包装很闹心，袋子已经明显被拆开的痕迹，包装太简易，鞋盒子已经破烂，好在鞋子外表没什么问题，鞋子内里有瑕疵客服给了解决。 总体来讲还不错，试用会员没有邮费，</t>
  </si>
  <si>
    <t>大小正好，质量不错，当睡衣穿的 质量不错 ，当睡衣穿的  选L大小正好 黑五买的，过了黑五就降价。。看来美国电商也学会天朝那一套了 穿了两个月  脖子后的标签掉了你敢相信？要是天朝卖的我就认为是假的了</t>
  </si>
  <si>
    <t>稍微有点大 稍微有点大，穿着像喇叭裤，这年头都喜欢紧身款的，不太适合亚洲人的审美观，买的时候还是要注意一下</t>
  </si>
  <si>
    <t>女鞋 平常鞋子都是37.5的，这次买的5码的，有点挤脚，退换货成本太高了，现穿穿吧</t>
  </si>
  <si>
    <t>没有效用提示啊 用起来还行，可能滤完的水偏酸性，家里水壶装这个水以后，原先的水垢都自动脱落了。但是这个滤芯没有失效提示啊，只能是某天喝到感觉酸酸的，才知道滤芯要更换了，全凭味觉感受…</t>
  </si>
  <si>
    <t>剃须皮肤舒服 我都是买中低价格的中国产飞利浦，美中不足都是剃须后必需洗脸才觉舒服，这个产品不洗脸也可以，所以德国制造值得信赖，</t>
  </si>
  <si>
    <t>便宜 比代购便宜 比天猫都便宜 37码脚背宽 穿big kid 6M刚合适</t>
  </si>
  <si>
    <t>第一次海外购 第一次海外购，皮带质量不错。现在用了1个月了吧，没用质量问题。 但是皮带比较窄！</t>
  </si>
  <si>
    <t>感觉可以，但娃不喜欢，练习手指了 感觉可以，但娃不喜欢，练习手指了</t>
  </si>
  <si>
    <t>还好，外观漂亮，但也有问题 目前一切正常，但就是跟其他评论中有一个共性问题，搅拌器距离盆底太远，如果面粉量少的话就会搅拌不到</t>
  </si>
  <si>
    <t>质感还是不错的，比较有弹力，面料薄。不知道洗几水以后如何。 质感还是不错的，比较有弹力，面料薄。不知道洗几水以后如何。</t>
  </si>
  <si>
    <t>款式质量都很好 大小正合适 也是自己最喜欢的简单的款 就是买了没多久几乎跌了一百块有点吐血……</t>
  </si>
  <si>
    <t>好 非常好，宝宝终于吃奶瓶啦！打算再买一个喝水！</t>
  </si>
  <si>
    <t>不错 还可以 皮挺软的 包装也不错</t>
  </si>
  <si>
    <t>质量样式真心好 身高175CM,体重68公斤，买的S码，正合适，加税费160</t>
  </si>
  <si>
    <t>舒服，尺码合适 很舒服，尺码正</t>
  </si>
  <si>
    <t>性价比可以 价格实惠，喝奶用的，不能高温消毒，比较耐磨，用了七八个月了吧，还挺好。嘴是软的，里面的弯管是硬的，有防呛奶功能，有一个缺点是打开盖子的时候，软嘴可能呲出一点水来。</t>
  </si>
  <si>
    <t>推荐 杯子很好，很轻！</t>
  </si>
  <si>
    <t>比国内卖的洗碗块好用太多 比国内卖的洗碗块好用太多，可能是幸运，包装非常好</t>
  </si>
  <si>
    <t>文胸 穿着舒适，颜色很自然，总之很满意</t>
  </si>
  <si>
    <t>布料很好 裤子的布料很好，很透气舒适，适合臀围大或者腹胖的女人穿</t>
  </si>
  <si>
    <t>很合适 165/75kg，没想到这么合适，真的不错，裤腰还是松紧的。赞。</t>
  </si>
  <si>
    <t>很不错的衣服 衣服很好，很保暖，就是稍微感觉有点大，但又好像不大，呵呵说不清楚</t>
  </si>
  <si>
    <t>值得购买的理发器 包装完好，送达时间比预计快。这款可以使用原来的QC5530的刀头，还有配的英式插头没法用，还好原来QC5530的插头规格和它一样，可以通用，就是电池动力没有qc5530强，听声音就觉得没有劲。</t>
  </si>
  <si>
    <t>不算精致，但设计绝对设计独特，五百多的价格包豪斯中极具性价比！ 实物远比照片精致，非常轻，表带整体确实有点硬，略粗糙，内侧较外侧更软，所以不会摩擦疼皮肤，可能金属带更有质感，这样硬的更容易留印。设计没得说，走时还看看，购入后立马涨了二百多😄😄</t>
  </si>
  <si>
    <t>棉质很一般 真的很一般，棉质很硬，印花感觉一洗就会掉，料子薄</t>
  </si>
  <si>
    <t>移动硬盘用了半年，坏了！ 用了半年，出现不稳定情况，经常找不到硬盘。</t>
  </si>
  <si>
    <t>包装损坏 这包装也太烂了，盒子完全烂了，用了个袋子装着!</t>
  </si>
  <si>
    <t>蓝色 买的蓝色的 色差有些大 平时穿41怕小买的42结果大了 四号拍的今天到了 还挺快 第一次海外购 商品并不是很满意 如果退货运费125太不划算 买的亲要谨慎呀 不过跟官网的应该一样就是鞋舌头的标官网是黑色这个蓝色 鞋还是有些瑕疵的 整体颜色偏暗 白色的有些奶油色的感觉 有些显脚大不过舒适度不错</t>
  </si>
  <si>
    <t>质量问题 我娃6个月大的时候买的，过了两三个月才开始用，发现不保温，应该是质量问题，发了个残次品，给亚马逊打电话说海外购他们不负责售后，只管卖不管售后吗？这样做生意不怕长久吗？海外购不能做到售后那你们开海外购干什么？以后谁还敢在你们这里买东西</t>
  </si>
  <si>
    <t>一般般 尺码说明不清晰</t>
  </si>
  <si>
    <t>这牙胶味道特别臭！ 收到货有几天了，今天才打开，打开超级大的臭味，消毒后依然很大的味道！闻了感觉都非常难受！不知道如何投诉你们！要求退货退款！</t>
  </si>
  <si>
    <t>商品质量ok,包装有待加强 包装太随意，就是一个塑料袋子，里面纸盒已经变形了，奶瓶应该是正品，然后第一次亚马逊海外淘，提前一周到了，挺意外的</t>
  </si>
  <si>
    <t>瑕疵 收到快递包装鞋盒已经压扁... 鞋子颜色挺正 就是表面有些瑕疵 有两三个小划痕 不知道怎么弄的 平时穿41码的鞋 这个有些偏大 不过也可以穿 瑕疵啥的懒得退了 太麻烦</t>
  </si>
  <si>
    <t>还是不错 今天刚收到，试了一下，大小合适，包裹性很强，鞋底偏硬。</t>
  </si>
  <si>
    <t>材质一般 材质一般，洗洗会卸，我175cm 75kg 买小了一号</t>
  </si>
  <si>
    <t>还不错了 配了pha-2，怎么说呢，感觉一般直连电脑什么的也能推。链接了pha-2以后声音的变化挺大的，但不一定是每个人都喜欢的感觉。 低音效果比较突出。</t>
  </si>
  <si>
    <t>不错的夹克 性价比很高，大小也合适。</t>
  </si>
  <si>
    <t>很不错的耳机 耳机和我预想的一样，听了几天了，效果越来越好，就是运动的时候有听诊器效应。如果是戴着走路问题不大，散步就不行，电池续航能力很不错，快充一个多小时就满了。我自己不是每天听很长时间音乐基本可以用三到五天。很不错的耳机，第一次买就很满意，下次还会购买森海的耳机</t>
  </si>
  <si>
    <t>腰部很紧，很结实 发货快！包装好！质量上层，做工细致。上身效果不错！比较轻薄，腿部没有想像中的那么紧，只是腰部非常紧，M码的腰围松量只有60cm，我臀围92cm，过臀围的时候会感觉比较紧。建议务必考虑到臀围大小，选择尺码宁大勿小。另外，一定要搭配速干贴身内裤穿，否则会不舒服。</t>
  </si>
  <si>
    <t>整体很好，比较修身 总体很好，稍微窄一点</t>
  </si>
  <si>
    <t>希望提供面料厚度与适宜季节 有弹性，比较合适，按之前在国内专柜买过的尺码买的，修身款，裤管不粗，我的腿粗，不至于绷的像健美裤，适合春秋，中等厚度，YYK拉链，国内装柜的拉链为LEE，包装，商标比国内的显得廉价，大概是品牌在国内和美国相比，定位不一样，250多元到手，比较实惠，海外购快递比较快</t>
  </si>
  <si>
    <t>经典款 平时别的牌子都是穿42.5的，这双会比较宽松一些，脚丫子更自由啦。</t>
  </si>
  <si>
    <t>质量还可以 美版的s是亚版的l……</t>
  </si>
  <si>
    <t>鞋穿着感觉不错，做工稍粗糙，但毕竟风格是工装鞋嘛 鞋穿着感觉不错，做工稍粗糙，但毕竟风格是工装鞋嘛</t>
  </si>
  <si>
    <t>不错！ 我176厘米,70公斤，腰围合适，裤子修身！</t>
  </si>
  <si>
    <t>🌚🌚 很喜欢这个造型  音质也挺好  总体很喜欢</t>
  </si>
  <si>
    <t>物有所值 质量和裤型相当好，准备这段时间都选该品牌</t>
  </si>
  <si>
    <t>收货很快 很快就收到了，很好</t>
  </si>
  <si>
    <t>还可以把 不知道好不好，先给孩子吃着，习惯好评希望有效</t>
  </si>
  <si>
    <t>好喝 酸奶口感。好喝。好喝</t>
  </si>
  <si>
    <t>缓解酸疼 膝盖一直酸疼，以为是凉着了后来买了这个配合钙吃了3天就缓解了</t>
  </si>
  <si>
    <t>也就是买个牌子...国外超市的大路货.... 也就是买个牌子...国外超市的大路货.... 大小呢.我看了大家的评价..买的比较合适我是按照小2码买的... 说是全棉.感觉上有点不像.而且还有点透.. 包装很精美  同等价位无任何性价比可言!!!就是CK的...心里平衡不少</t>
  </si>
  <si>
    <t>价格便宜 给妹妹买的，很好，价格便宜</t>
  </si>
  <si>
    <t>孩子很喜欢用 孩子很喜欢用</t>
  </si>
  <si>
    <t>超好看很百搭 脚长24.5穿us8码正合适 很百搭 适合秋冬穿搭配牛仔裤</t>
  </si>
  <si>
    <t>性价比高 kenya生产，款型不错，尺码合适，穿着舒适，不足：松紧带手感有些糙</t>
  </si>
  <si>
    <t>出乎意料的舒服 面料很舒服 穿着也很合身 非常性价比的一条裤子 我按照国内GAP的尺码来买 正合适</t>
  </si>
  <si>
    <t>不推荐购买 包的面料真是廉价感十足</t>
  </si>
  <si>
    <t>施耐德 三星 第二次买，第一次买的很满意，出水、粗细都很满意，送弟弟了，这次又买了一只，笔尖有很严重的划痕印记，且笔尖下段有墨水，不像只是试写的墨水，笔身也磨的很严重，且在写字的时候，不盖帽一会就写不出了，以前的那只从没有这种情况，嫌麻烦，没退换，只是没有上一只珍惜了</t>
  </si>
  <si>
    <t>一般 尺码比国内大，裤子比较硬，舒适感差了些。</t>
  </si>
  <si>
    <t>。 比起其他系列面料一般。。</t>
  </si>
  <si>
    <t>有严重塑料味！刺鼻！ 一共买了虎牌三个保温杯，都有严重塑料味，刺鼻！没在商场买过这个牌子的，所以不知道是不是正品，但买过国产的都没味道！退货了！</t>
  </si>
  <si>
    <t>这个牌子不建议买 同时买两条，一条黑色一条灰色，黑色的又软又滑，穿着舒服，灰色这条又粗又硬，实在无语，只是颜色不同材质居然差那么多，这个牌子不建议买</t>
  </si>
  <si>
    <t>好用好看的隨行杯 已有一個同款紫羅蘭色的 偶遇亞馬遜·日本直郵大減價 果斷拿下 象印的這一款隨行杯四季皆宜 很好用的說 磨砂金色款缺點 接縫處會比較明顯 不如紫羅蘭色款的美觀</t>
  </si>
  <si>
    <t>不错的运动套头衫 不错的运动套头衫，选择尺码的时候确实要多参照以往的评论，要不容易偏大。</t>
  </si>
  <si>
    <t>不错 商品不错，刮的也挺干净，声音震动确实有点大，机身塑料做工比较一般，有点廉价塑料壳的感觉。</t>
  </si>
  <si>
    <t>孩子很喜欢吃 孩子很喜欢，我感觉太甜了，另外里面有明胶，有点不放心。</t>
  </si>
  <si>
    <t>超值 这个价位真是超值，码数比国内偏小一码，买的时候注意一点</t>
  </si>
  <si>
    <t>符合预期 做工没的说，号码基本一致，穿着很舒服，价格跟在美国买差不多。</t>
  </si>
  <si>
    <t>很好 用了一段时间了，很好，孩子喝水都多了</t>
  </si>
  <si>
    <t>有点小 功能够用，就是表盘有点小</t>
  </si>
  <si>
    <t>来晚了！ 不错，非常喜欢。裤型好，大小也合适。穿着好看又舒服！</t>
  </si>
  <si>
    <t>物美价廉 尺码略大一点点，但并没有大一码，还是正常选择就可以接受</t>
  </si>
  <si>
    <t>小孩喜欢 买回来就怕孩子不喜欢闲置，结果小孩一点也不排斥，现在他都是自己刷牙了，刷牙时间也比以前长了，感觉买的挺值得</t>
  </si>
  <si>
    <t>很好！ 便宜好吃，非常好，儿子两岁半</t>
  </si>
  <si>
    <t>推荐 买了双黑色的又来买白色的，真舒服啊</t>
  </si>
  <si>
    <t>还不错吧 很不错，就是灯光有点挫，没试过防水，后续评价，7天到货</t>
  </si>
  <si>
    <t>好 非常好，颜值高，好用，价格实惠</t>
  </si>
  <si>
    <t>很好穿很合适。 连续买了两件特别好穿。固定作用非常好，很合身。</t>
  </si>
  <si>
    <t>漂亮钢笔 非常漂亮的钢笔，写字顺滑</t>
  </si>
  <si>
    <t>鞋型不错 还是挺不错的</t>
  </si>
  <si>
    <t>换的申通快递居然把包装弄坏了， 杯子很好用，很适合学习喝水，就是不满意快递，烂</t>
  </si>
  <si>
    <t>性价比超高 颜色款式都好</t>
  </si>
  <si>
    <t>骨质疏松用药及治疗 身内D3值太低，2017 09份D3值才是3，现在是22，吃一段吋间看下D3值能不能突破30，以便更好的吸收钙，再追加评论。</t>
  </si>
  <si>
    <t>品质好 很好用 宝宝也很喜欢 够大</t>
  </si>
  <si>
    <t>非常不错的国内限量版 非常不错送儿子的新学期礼物</t>
  </si>
  <si>
    <t>不错 正合脚，唯一的缺点是4年来我买了3双踢不烂，到现在一双都没坏</t>
  </si>
  <si>
    <t>满意 纯棉线的，不会起静电，很时尚</t>
  </si>
  <si>
    <t>性价比高 平时热风/vans39，匡威38，clarks一直买的uk6，这次也很合适，200左右入手，闭眼入啊，鞋子质量很好</t>
  </si>
  <si>
    <t>没有充电线无法使用清洗座 没有清洗座的电源线，无法使用清洗座，差评！只有一条旅行电线，直插剃须刀，哈哈，我拿这条线去插清洗座怎么都进不去，原来是小了一号，简直忽悠客户。。。。。</t>
  </si>
  <si>
    <t>一分钱一分货可以接受 真够大，线头很多，标与日本版的缝制是不一样的，这里是粘上去的。</t>
  </si>
  <si>
    <t>质量 收到商品有刺激的异味</t>
  </si>
  <si>
    <t>不好 用了不到20次就坏了，不能换不能退也没处修，亚马逊客服电话的态度也不好</t>
  </si>
  <si>
    <t>有点大 衣服还是不错的，很舒适。感觉春秋家居日常都ok。就是这个尺码着实大啊，偏大感觉。</t>
  </si>
  <si>
    <t>应该没问题 和自己去美国买的在包装等方面都一样，就是这回来的小熊糖上的花纹都糊成一团，不像自己买的那么清晰呢</t>
  </si>
  <si>
    <t>一般般 并没有我原配的牙刷头好，就是图个便宜，应该是属于飞利浦里面低端</t>
  </si>
  <si>
    <t>稍微厚了点 尼加拉瓜产。本人179厘米，108公斤。买的40*32，大小正好，不过长了，选30应该合适。裤子做工一般，个人觉得稍微厚了点。</t>
  </si>
  <si>
    <t>鞋子不错 这鞋子很棒，质量也不错。</t>
  </si>
  <si>
    <t>当脸帕、手帕用，改掉妈妈用纸巾擦嘴的习惯 当脸帕、手帕用，改掉妈妈用纸巾擦嘴的习惯！</t>
  </si>
  <si>
    <t>很好 飞利浦刷头群比较丰富，会继续买。</t>
  </si>
  <si>
    <t>6局电波，光动能，性价比很高啊！ 给读初中的侄子买的，还没送，自己先戴了几天，我觉得不错，侄子估计也会喜欢！ 说明书有好多种语言，就是没有中文。不过还好，去casio的官方网站就能下载pdf版的说明书，挺方便！ 电波对时手动试了几次都失败了，后来直接绑在阳台的栏杆上，第二天早上起来看果然自动get到了！</t>
  </si>
  <si>
    <t>有色差 图片是偏绿的，实物是灰色。平时穿中码多，看评论买的s.很合身。修身款卫衣，走线平整，螺纹比较松，还没洗，不知道会不会如评论所说起球掉毛。</t>
  </si>
  <si>
    <t>还不错 平常皮鞋穿42 运动或户外穿42半到43的鞋 这次买的美码9号 43的鞋 前面空大概一指 皮偏硬 需要穿一段才会更舒服 鞋底很厚 鞋型正常 前脚掌较宽 走路长了不会被挤 重量中等</t>
  </si>
  <si>
    <t>质量很好 鞋子的质量和款式都是我需要的，不错</t>
  </si>
  <si>
    <t>复杂中透露着精致 国内穿29的 这个也是一样的 尺码跟国内一样 不用换算 裤子面料有点像很厚的丝 很舒服 做工很复杂 很精致</t>
  </si>
  <si>
    <t>好 给朋友带的，她家小朋友湿疹，一直在用的</t>
  </si>
  <si>
    <t>优惠再多一些就好了 &lt;div id="video-block-RHXQ68LSX62G9" class="a-section a-spacing-small a-spacing-top-mini video-block"&gt;&lt;div tabindex="0" class="airy airy-svg vmin-unsupported airy-skin-beacon" style="background-color: rgb(0, 0, 0); position: relative; width: 100%; height: 100%; font-size: 0px; overflow: hidden; outline: none;"&gt;&lt;div class="airy-renderer-container" style="position: relative; height: 100%; width: 100%;"&gt;&lt;video id="39" preload="auto" src="https://images-cn.ssl-images-amazon.com/images/I/91tdsiQycpS.mp4" style="position: absolute; left: 0px; top: 0px; overflow: hidden; height: 1px; width: 1px;"&gt;&lt;/video&gt;&lt;/div&gt;&lt;div id="airy-slate-preload" style="background-color: rgb(0, 0, 0); background-image: url(&amp;quot;https://images-cn.ssl-images-amazon.com/images/I/61vP-W7tY4S.png&amp;quot;);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center;"&gt;0:08&lt;/div&gt;&lt;div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 style="width: 100%;"&gt;&lt;/div&gt;&lt;div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value="https://images-cn.ssl-images-amazon.com/images/I/91tdsiQycpS.mp4" class="video-url"&gt;&lt;input type="hidden" name="" value="https://images-cn.ssl-images-amazon.com/images/I/61vP-W7tY4S.png" class="video-slate-img-url"&gt;&amp;nbsp;物超所值</t>
  </si>
  <si>
    <t>英版，很好用 很好，没有黑沫，made in UK。包装完美</t>
  </si>
  <si>
    <t>很不错 东西不错 暂时没毛病 用用看</t>
  </si>
  <si>
    <t>性价比 很不错一直用这个牌子 海淘也很方便一周左右就到了 推荐</t>
  </si>
  <si>
    <t>穿后再评 过几天追评吧，现在满意，就只有一个裸鞋，以为有额外赠品的</t>
  </si>
  <si>
    <t>笔很不错 第一次买到有瑕疵（笔身有笔帽引起的掉漆，怀疑不是全新），只好退货重新下单，因为是质量问题，退货费用全免，包括税费；第二件很完美，书写很流畅，用的是派克的原装墨胆，颜色略浅，感觉像是墨绿色，暂时没找到很好的墨水。</t>
  </si>
  <si>
    <t>很好 除了不耐脏，满分，尺寸标准</t>
  </si>
  <si>
    <t>这保温壶值得购买 这个很好！</t>
  </si>
  <si>
    <t>好的 完美，先买了双高帮的。天热了就穿低帮的</t>
  </si>
  <si>
    <t>good 给自己买了两个给朋友也买了两个，就是快递太慢了！我这个还好我朋友等了大概一个月将近，我都以为件丢了？不过我们这边实体母婴店的这种奶瓶太贵了 三百多才俩？ 在亚马逊买也不怕假货，是吧</t>
  </si>
  <si>
    <t>鞋子舒适 鞋子很好，穿着舒适，尺寸合适。</t>
  </si>
  <si>
    <t>除了外包装太简陋之外，其他的很完美。 英国亚马逊的包装实在太吓人了，直接就原外包装寄过来外面也没有个箱子装。到手时候已经很破了，还好里面没事。 已经在用了，过滤效果很好，里面带的是最新款滤芯，不会像老款滤芯会有黑色碳颗粒浮出来。推荐购买！ 这是第一次写这么多评论，发现亚马上面的评论太少了，自己买东西时候更多是会借鉴别人的评论，有时候看不到半条评论，所以将心比心，以后多写评论，给像我一样的购买者多些参考。</t>
  </si>
  <si>
    <t>太薄了 太薄了</t>
  </si>
  <si>
    <t>太薄 168CM，75KG，买的M码，稍大一点，关键是太薄，质量堪忧！</t>
  </si>
  <si>
    <t>背心式文胸 以前在日本买的，这次在亚马逊网站订购也一样好品质。五星好评</t>
  </si>
  <si>
    <t>假的 特别大，M的好像XL，是不是正品啊？？</t>
  </si>
  <si>
    <t>脚面特别紧，压得脚痛 压得整条腿都不好了。。。</t>
  </si>
  <si>
    <t>质量一般 印尼制造，比之前买的葡萄牙产的做工要差一些，收到鞋子才2天，就降价了50块钱，醉了</t>
  </si>
  <si>
    <t>2XL，对于187cm，85kg的我大了点 2XL，对于187cm，85kg的我大了点，袖子要折两下； XL就可以了</t>
  </si>
  <si>
    <t>美国货不适合中国国情 号码助手没看懂，选了L码，结果超大，应该给1米9的人穿的吧，另外亚马逊的尺寸助手不够详细，最好注明身高、体重就好了。</t>
  </si>
  <si>
    <t>有线头 做工一般，有线头，肩带比较长</t>
  </si>
  <si>
    <t>还行 感觉不像纯棉，稍微有点大</t>
  </si>
  <si>
    <t>不错 用着还不错，感觉还可以</t>
  </si>
  <si>
    <t>外观，质量都不错 传输速度很快，不错的备份工具！</t>
  </si>
  <si>
    <t>正常的英国尺码 平常41，有时候40，这个6.5正合适。其乐一贯地品质和质量，但是价钱只有国内的1/3不到，很合适</t>
  </si>
  <si>
    <t>好裤子 很喜欢这条裤子，宽度和长度可以分开选择是亚马逊最人性化的地方。版型也不错，做工也精细，比较薄适合夏天穿。</t>
  </si>
  <si>
    <t>介意粗糙手感粗旷做工的就别买了 美版的冠军做工果然粗旷啊，跟我的日版一比立马就看得出来</t>
  </si>
  <si>
    <t>好好好 为啥我的评论审核不通过，我说的都是好评的话，无语了…东西不用多说，很好，快递也很快，就这吧，再不给过就不评了😖</t>
  </si>
  <si>
    <t>满意的钢笔 &lt;div id="video-block-R1NLTJ28HLT8MZ" class="a-section a-spacing-small a-spacing-top-mini video-block"&gt;&lt;/div&gt;&lt;input type="hidden" name="" value="https://images-cn.ssl-images-amazon.com/images/I/91QgltwrisS.mp4" class="video-url"&gt;&lt;input type="hidden" name="" value="https://images-cn.ssl-images-amazon.com/images/I/91oboeGUk5S.png" class="video-slate-img-url"&gt;&amp;nbsp;第三只派克钢笔了，这个非常满意，天朝店里的不敢恭维……</t>
  </si>
  <si>
    <t>做工还可以 材质什么的一看还是不错的，有质感。容量很大。但是响声也很大。总体来说比较满意</t>
  </si>
  <si>
    <t>方便实用 每天一滴，用起来方便。宝宝小的时候用400单位的，现在大了换成600单位的</t>
  </si>
  <si>
    <t>不错的内裤 不错的内裤，还会继续买</t>
  </si>
  <si>
    <t>为啥我买的310s机身上却显示5409的型号呢？ 为啥我买的310s机身上却显示5409的型号呢？</t>
  </si>
  <si>
    <t>盖子 盖子不好拧准</t>
  </si>
  <si>
    <t>不错！ 不错，两个方面需要加强：一是蛋白粉盖下没有密封口；二是草莓味甜的都点大。</t>
  </si>
  <si>
    <t>赞赞赞 终于拿到手了！耳机是真的很赞噢，低音超棒！</t>
  </si>
  <si>
    <t>鞋子值得购买 质量很好，刚好能穿，新鞋稍微有点硬。当时看重鞋子的造型很精致。脚背高的确实不适合。快递很快。一周就到了。很满意</t>
  </si>
  <si>
    <t>很好看很舒适 很好看很舒适很划算，clarks没的说，五星推荐</t>
  </si>
  <si>
    <t>好用 挺不错，就是外包装脏了点，用电陶炉更好一些，外面不会被熏黑。</t>
  </si>
  <si>
    <t>喜欢 舒适弹性好款式好</t>
  </si>
  <si>
    <t>方便 挺好用，外出带着也不错</t>
  </si>
  <si>
    <t>可以 很厚实 适合冬天穿 不错的</t>
  </si>
  <si>
    <t>爱步 满意的海外购，担心尺码不合适，试穿微微大一点，皮料也不错。走路舒适。</t>
  </si>
  <si>
    <t>T恤 服装款式、质量很好</t>
  </si>
  <si>
    <t>合适 尺码合适，鞋楦较宽，稍微有些硬，做工一级棒！</t>
  </si>
  <si>
    <t>还可以 第一次购买希望是正品</t>
  </si>
  <si>
    <t>颜色 标志颜色跟图片不符，是跟衣服颜色一体的，不是白色</t>
  </si>
  <si>
    <t>卧槽 我想问下，是不是每个人装钱大格里面空隙那边都有胶水还是怎样，感觉要坏掉了啊啊啊啊啊啊啊虽然不影响使用，看着心情就不好这是正常情况么？？？？？还是胶水弄多了，给我个答复啊啊啊啊</t>
  </si>
  <si>
    <t>鞋子有瑕疵。 鞋子有瑕疵。鞋子有瑕疵。鞋子有瑕疵。重要的事情说三遍。</t>
  </si>
  <si>
    <t>与欧洲买的不一样 收到的钢笔与欧洲买的不一样！一摸一样的型号，但不一样！是否正品？</t>
  </si>
  <si>
    <t>客服有问题 15年十一月份买的，到后发现无法启动，联系客服后寄回美国，再次联系客服退款成功，到此时客服的效率让我觉得亚马逊很不错。可是我事后申请寄回货物的运费退款，客服一而再再而三的推脱，从十二月初到16年一月底，两个月我打了不知多少电话，每次都说申请已提交，在等上级审批，请再等一周，请再等两周，请再等一个月，今天打电话又说再等等，我想请问你们是要等到17年呢还是18年？你们的服务条款难道写着玩的吗？退款不讲时效性的吗？我算是领教了</t>
  </si>
  <si>
    <t>已用了一段時間 如果電源開關在前面, 會方便一點</t>
  </si>
  <si>
    <t>好用，物流快 第一次海淘，也是整个购物季最期待的商品。黑五下单，一周就送到家了，速度不可谓不快。入手使用时可以冲出一些食物碎渣，但有时感觉还有东西没冲出来，反而把从未出过血的牙龈搞得出了一次血，效果没想象的那么惊艳，可能是还没掌握手法吧。</t>
  </si>
  <si>
    <t>可以 用作健身较好。价格合适。</t>
  </si>
  <si>
    <t>尺寸大 码过大了，薄款</t>
  </si>
  <si>
    <t>男士精工光能表 总体感觉良好，我手偏瘦试戴厚度有点不太配。夜光稍暗但不影响看时，没有一定的高度和胖度掂量再定。</t>
  </si>
  <si>
    <t>不错 上脚很不错</t>
  </si>
  <si>
    <t>自己小孩买了一个，又给了朋友小孩一个。 自己小孩买了一个，后来朋友生娃，就又买了一个，给了朋友小孩。</t>
  </si>
  <si>
    <t>总体感觉还是不错的 服务器错误无法注册 原因不详 希望可以得到解决 其他自带的软件挺好的  就是自带备份功能 会让硬盘不停的工作 导致盘被拖住退不出来 而且无法结束程序像病毒一样的家伙 后来只好撤了这功能有点神经 全弄好可用空间931GB 传输速度只能说还可以 密码功能不错可以自己选择就是时间长了点 外形时尚没得说 希望两个疑惑专业人士能够帮我解答一下 目前为止还可以希望寿命可以无限长…</t>
  </si>
  <si>
    <t>非常好的裤子 做工优良，价格优惠，材质不错，大小合适。非常好的购物体验。</t>
  </si>
  <si>
    <t>很好 尺码合适，穿着舒服！</t>
  </si>
  <si>
    <t>方便！ 特别好用，出水快，价格超级合适，早上起来省时省力。</t>
  </si>
  <si>
    <t>不如说是填补回忆 大学时代但凡兜里有点钱都贡献校门对面画具店了，一只色铅笔七八块到十一二块不等，强迫症为了凑色儿，每想起来就去买那么一两支——不知道为什么那记忆如此清晰。  到了第二、三年级的时候已经渐渐放弃手绘，用电脑绘图。古老的建筑师纤细到神经质而又不同于美术作品的线条不容差错，颠倒白天黑夜只为了自然法则与美的统一，今天终于成了CAD上枯燥无味的生成品。色铅晕染的是一种想象力，它没有边际，它让你期盼，不是3D效果图那种简单粗暴的直接，最后最会失望。  当然终究没有做建筑这个行业。于是那些记忆不过就是对于学生时代的执念，人一生那么长又那么短，总有一些时光当时觉得无法忍受，最后却怀念到哭。  你瞧，这些执念总会寄托到这些物品上的，不是吗。</t>
  </si>
  <si>
    <t>是正品吗 给宝宝囤货的，还没用，希望好用 寄过来的时候包装很简陋，中国制造，希望是正品</t>
  </si>
  <si>
    <t>完美大衣 这衣服必须大一点，才能套在本身已经有的外套外面，而不会太紧而不舒服</t>
  </si>
  <si>
    <t>超级棒的鞋子 本人耐克穿43码的 天木兰9m正好 增高神器。还要表扬亚马逊的物流 超级快！！！！！</t>
  </si>
  <si>
    <t>裤子的布料不错，大小也合适 价格很优惠，这次的购物十分满意</t>
  </si>
  <si>
    <t>相信亚马逊直营 运输很快，从美国发货，在官网进行了验证。服用2周了，膝盖感觉好些了。看来吃2个月才会有明显效果！</t>
  </si>
  <si>
    <t>性价比氦气盘 买来拆盘装nas，性价比高</t>
  </si>
  <si>
    <t>满意 ST400DM004 很薄 满意</t>
  </si>
  <si>
    <t>内裤还是挺不错的 看了下，是全棉的，挺好的，尺寸也合适，穿着挺舒服的。</t>
  </si>
  <si>
    <t>不错 本来穿的是43码对应9-9.5，看了评论这鞋大了一码，所以买了8-8.5码，刚刚合适，而且穿着舒适，最满意的一次海淘</t>
  </si>
  <si>
    <t>很好 非常实用非常好用非常方便</t>
  </si>
  <si>
    <t>性价比很高 可以买</t>
  </si>
  <si>
    <t>超级喜欢 超级喜欢的手表，和朋友买了两块，一致好评！</t>
  </si>
  <si>
    <t>剃须刀重生了 剃须刀重生了，不用买新剃须刀了。</t>
  </si>
  <si>
    <t>喜欢Llanks鞋 鞋子很显脚大，质量挺好。喜欢。</t>
  </si>
  <si>
    <t>很合脚，舒服 非常满意，主要穿着很舒服！</t>
  </si>
  <si>
    <t>19个月后坏了 几乎半个月用一次，现在通电没反应了</t>
  </si>
  <si>
    <t>布料偏硬，衣服偏大。 实物穿着没有图片帅气，偏宽松，布料偏硬，我身高181CM，体重75KG；</t>
  </si>
  <si>
    <t>就值这个价了 大了很多，是有弹性的面料</t>
  </si>
  <si>
    <t>普通款 感觉就是普通的内裤的 对收腹收骨盆没有啥用</t>
  </si>
  <si>
    <t>画面和实际相差太大！ 我怕下次的贵重物品会发生类似情况！所以暂停网购贵重物品！</t>
  </si>
  <si>
    <t>卷边，不舒服 容易卷边，穿着不舒服</t>
  </si>
  <si>
    <t>支撐力不錯 穿了一段，支撐力不錯，不會累，我都是跑8K-9K， 不會痠痛， 恢復特快，面料厚實；建議一定不要買大尺碼，不然沒有壓縮效果，我168，51Kg，XS正好。</t>
  </si>
  <si>
    <t>价格还可以，税费太高 容量有7.5T，写入速度最大到115MB/S，还可以。</t>
  </si>
  <si>
    <t>面料很舒服 162/52KG偏大，0码合适</t>
  </si>
  <si>
    <t>不知道信啥好 我看了评论，买了大一号，结果大了，无语！</t>
  </si>
  <si>
    <t>值得购买 可以，速度很快，参数没有虚标，性价比很高，就是一买又便宜了35块人民币。。。</t>
  </si>
  <si>
    <t>好 好，好，好，好，好，好，好，好，好，好，好，好，好，好，好，好，好，好，好，好，好，好，好，好，舒适，很喜欢。</t>
  </si>
  <si>
    <t>质量不错 质量还可以，没有想象的厚，冬天穿差一点，春秋天凉的时候穿吧！</t>
  </si>
  <si>
    <t>宝宝最爱的奶瓶 宝宝最爱的奶瓶啊挺好的效果。以前从不去评价，不知道浪费了多少积分，现在知道积分可以换钱，就要好好评价了，后来我就把这段话复制走了，既能赚积分，还省事，走到哪复制到哪，直接发出就可以了，推荐给大家！！</t>
  </si>
  <si>
    <t>鞋子美貌，偏大些 鞋子粉嫩很好看，码数感觉比平时穿的码数大半码，平时穿37.5得鞋子，这款拿的7，有些大，海淘码数了不好把握，供参考</t>
  </si>
  <si>
    <t>舒适 非常喜欢，穿着舒适，价格比国内便宜很多</t>
  </si>
  <si>
    <t>舒服 价格实惠 还不错！很舒服的！价格也很实惠！</t>
  </si>
  <si>
    <t>非常满意 鞋很完美，物流也挺给力就是备货时间长点。脚长250，不是屠龙脚 穿uk6 1/2正好</t>
  </si>
  <si>
    <t>东西要得，吃得舒服 东西要得，吃得舒服。</t>
  </si>
  <si>
    <t>尺码 皮质很软，底没有很硬，平时运动鞋42或者42.5，这双uk41正正好好，鞋很轻便，快到夏天真的是太合适了。</t>
  </si>
  <si>
    <t>声音很不错 音箱个头不大，但对声场的表现力真的不错</t>
  </si>
  <si>
    <t>超值！ 身高167，体重69公斤，有肚子，买的S号穿上刚刚好。面料穿上感觉很舒服，稍微有一点点色差，领子比较大，上身效果很好看，随又买了一件蓝色的。</t>
  </si>
  <si>
    <t>读速突出，写速一般，不适合作为安卓6.0设备的内部存储 卡是正品，没有质量问题，读速符合标称，写速10M/S，足够日常使用，但是不适合用作录制4K视频、以及在安卓6.0设备上作为内部存储使用，会影响设备体验。怪我买的时候没有深入的了解，现在只好又买了一张写速95M/S的Extreme PRO。建议对写速要求很高的用户慎购这张卡。</t>
  </si>
  <si>
    <t>一件卫衣买的不容易 11月25日下单，1月6日到货，其中联系过2次客服，也不知道什么原因让等待，如果着急就申请退货，搞得一点脾气都没有，好在到货后看的衣服还是很满意的，做工质量超级好，希望改善一下客户体验，加快产品的物流速度</t>
  </si>
  <si>
    <t>赞 很好，易清洗，很轻！</t>
  </si>
  <si>
    <t>买了个300ml的自己孩子用了，这个大的送人了。很好的东西， 这颜色搭配太好看了，东西很实用，唯一缺憾就是没有套子，万一摔了就不好了。</t>
  </si>
  <si>
    <t>薄 做工粗糙 但上身出乎意料的好 薄 做工粗糙 但上身出乎意料的好</t>
  </si>
  <si>
    <t>不错的裤子。 适合亚洲人的体型，有弹力，不是很修身，尺码一定要到实体店试一下，网页推荐的尺码大。</t>
  </si>
  <si>
    <t>Lee还是质地可以，价格实惠！ 喜欢宽松的可以买大一码，有点厚，总体觉得还不错，推荐购买！ 183cm，70kg穿M的合身。</t>
  </si>
  <si>
    <t>值得买 比国内网站便宜很多，跟原装一样，没觉得有差啊，会一直购买～</t>
  </si>
  <si>
    <t>还不错 种类太多了，完全不知道哪款比较好！这个锅有点大，把手太细长</t>
  </si>
  <si>
    <t>好差 和塑料壳子做的衣服差不多，很硬不贴身，还起球。</t>
  </si>
  <si>
    <t>实物和图片相差太远 图片根本看不出来是贴花的，就是金属底子，和图片相差太远了！别上当了！而且没有手柄，手握不方便，本来想给孩子用，可是没有手柄孩子是不能用的了！希望亲们谨慎购买啊，物流更是坑爹！11月27日下单，12月16日收到！</t>
  </si>
  <si>
    <t>一直心仪的杯子，却并不满意 平心而论，杯子确实有异味，盖子也不是很严，但是基本不漏水，吸管感觉挺粗糙，挺硬，不光滑，整体就是这样，价格一般</t>
  </si>
  <si>
    <t>内裤洗过还掉颜色，千万不能买 布料太差，就是脏兮兮的洋垃圾，内衣都敢这么弄，真是逼得人想骂娘。水洗过后还掉颜色，内裤掉颜色，让人觉得脏的不能看不能穿。</t>
  </si>
  <si>
    <t>是从退货中心发的货，感觉有点别扭 发货是从一个拉斯维加斯的退货中心发过来的货，而且配送时间过短，都不清楚这货怎么来的，鱼油上的包装有破损的痕迹，很担心是假货</t>
  </si>
  <si>
    <t>品质不好 用了一段时间以后，一摇晃杯子居然听到中间真空隔断层还有水声，这是怎么一回事……无语</t>
  </si>
  <si>
    <t>大小合适 此款样式还可以，底子较薄，瑄型中等宽度，皮面有色差，走路的脚感一般，建议垫个薄垫。</t>
  </si>
  <si>
    <t>别抱太大期望 中高频还行，不过没网上水文说的那么神奇。只能说物有所值。</t>
  </si>
  <si>
    <t>高频可以，低频一般 刚拿到带上一听，声音怎么这么弱，心拔凉拔凉的，听了几天感觉好了不少，总体来说比较适合听弦乐之类的，低音一般，人声也不是很突出，高频还不错，总体来说还是不错的</t>
  </si>
  <si>
    <t>棒棒哒 宝宝用的很好，很不错没有异味</t>
  </si>
  <si>
    <t>非常满意的第一次亚马逊海外购经历 鞋子舒适，上脚轻便，皮质不错；样式也是我喜欢的，尤其是物流速度超快，海外极速一周送达。ps:国内鞋号37码，买US6.5码，正合适</t>
  </si>
  <si>
    <t>好评 很喜欢！比想象的轻，用惯了重的手感不足</t>
  </si>
  <si>
    <t>给个赞 产品超好，符合预期，就是价格有点贵</t>
  </si>
  <si>
    <t>用了好久，很好用 用了好久，真的很好用</t>
  </si>
  <si>
    <t>潮 太潮 鞋子小巧玲珑 不潮的人hold 不住</t>
  </si>
  <si>
    <t>大，好用，又便宜 大，好用，又便宜</t>
  </si>
  <si>
    <t>好看 确实是淡淡的紫色 很好看的带点珠光</t>
  </si>
  <si>
    <t>推荐 做工没得挑，希望宝贝能适应不包脚的设计</t>
  </si>
  <si>
    <t>很合适 基本和国内码一致，这款面料弹性好透气，适合春夏</t>
  </si>
  <si>
    <t>老款。 很照片的样子不一样，是老款的透明的。不影响使用，就不退了。</t>
  </si>
  <si>
    <t>表巨好看 好看啊</t>
  </si>
  <si>
    <t>Good 柔软 透气 干爽。价格便宜。</t>
  </si>
  <si>
    <t>森海赛尔HD25 除了外观看起来比较脆弱以及稍微小了一点外，声音真的很清晰，刚开始觉得低频差点，多次演出后越来越饱满，监听性价比很高</t>
  </si>
  <si>
    <t>完美！有型！ 身高180，体重82kg，W32，L32的裤子，简直不能更合身，布料加入弹性纤维之后，裤子上身的感觉更舒适。裤脚处有抽绳。这个价格买到GS的裤子简直物超所值，很满意。</t>
  </si>
  <si>
    <t>l号 170 cm 75kg L正好，供大家参考</t>
  </si>
  <si>
    <t>尺码标准 鞋很好，特别轻软。五星好评。</t>
  </si>
  <si>
    <t>音质是很主观的东西! 1、五星是给美国亚马逊的运输包装完好程度上，不远万里从美国邮寄过来，其包装的损坏程度很小！ 2、音质是个很主观的东西，人耳会随年龄不断老化，对声音频率的敏感程度也会不一样，仅谈个人感受：JBL305p对人声、尤以中高频发声乐器的反映非常好，十分通透，表现为细节突出，解析力非常好。但对于中下、低音来说，5寸的低音振盆还是相对较小，一般流行歌曲的低频听起来会发闷，也可能与音频文件素质有关，因为它的低音喇叭的振幅是有一定幅度的，所以超出其振幅，振盆前后收缩时间拉长，反应变慢，将会产生“糊”感。 3、没有完美的音箱，哪个频段都好，浓缩在一个小的箱体内应该是不容易实现的，我主要用来练习播音，用音箱的反馈来挑自己语音的毛病，相对于价格和效果，这款音箱的整体水平已经完全够用。</t>
  </si>
  <si>
    <t>弹性大面料厚 很完美 173 106 买的2long 刚刚好 裤子弹性非常大的 面料比较厚适合冬天</t>
  </si>
  <si>
    <t>好！ 体恤衫收到，这个价位的质量还行</t>
  </si>
  <si>
    <t>和以前的对比竟然有改进，不错！ 几年前买过一套，这次又买一套，至少绞肉的部分有相当大的改进，残留几乎可以忽略，以前的那台会有很多残留。</t>
  </si>
  <si>
    <t>很赞 价格合适 我觉得挺好用的 讨厌看到亚马逊海外购上一些人 就是差评师 都是竞争对手刷的差评 其实东西真的很赞 支持海外购</t>
  </si>
  <si>
    <t>质量好 质量不错，喜欢</t>
  </si>
  <si>
    <t>感觉有问题。 条形码扫出来是一个苏瑞健康馆的海外代购，这家店评分很高，卖的应该是真货。但是我收到的货跟苏瑞健康馆上的图片不一样，瓶中液体的量也达到40%左右，瓶体的形状也有点不一样。彻底晕了。</t>
  </si>
  <si>
    <t>海外购 帽沿两侧有些卡头，产地中国。早知道这样不会购买</t>
  </si>
  <si>
    <t>尺码偏小 这款鞋尺码偏小。7.5UK和中国41差不多，脚面厚的朋友 不适合</t>
  </si>
  <si>
    <t>偏大 157，116斤，一般穿m码裤子，按照尺寸买了6号，结果太大了。。。</t>
  </si>
  <si>
    <t>临保商品 明年上半年就过期了，这保质期也太短了吧，两大瓶怎么用的完</t>
  </si>
  <si>
    <t>评论还审核！你们就糊弄人吧 如果说因为made in china给一星会不会太矫情！亚马逊粉肯定要出来吐槽了！不过说真的从做工，面料，剪裁，到洗标！看着就像假货！懒得退了，认真看评论的，给你们提个醒，就跟什么原单外贸店里的东西一样！海外购再这么不厚道，中亚关门的日子不远了！</t>
  </si>
  <si>
    <t>待改进的运输包装！ 收到的商品应该是在国内再套了个塑料袋，里面的包装盒破了个大口子，好在12件过滤芯没坏。对商品运输的包装有意见，起码套个纸箱📦，我们也是会再利用的。</t>
  </si>
  <si>
    <t>帮同事买的 说是还算合适可以。价格也还不错。</t>
  </si>
  <si>
    <t>购买小一号 购买小一号，海外购退货麻烦，送人了</t>
  </si>
  <si>
    <t>CHAMPION 美版的女孩子穿果然有些奇怪哈，买了最小号，长度是够了但是不够费，勉强oversize，这么一件卫衣里面居然加绒也是很惊喜，总的来说已经很棒了，第一次海淘成功！</t>
  </si>
  <si>
    <t>不毛躁 用完头发确实不毛躁</t>
  </si>
  <si>
    <t>破壁机 非常满意，破壁机适合三口之家，声音可以接受，清洗方便，快递服务很好</t>
  </si>
  <si>
    <t>质量好 非常好 特别是军工级别的质量 狠狠摔在地上连个划痕都没有 声音也没有任何变化 哈哈哈值得买</t>
  </si>
  <si>
    <t>特好特好 特好，老爸总说腿疼，吃了大概半瓶就已经好了，已推荐给亲戚朋友们，海外购价格比某宝便宜还可靠多了，就是老断货买不到</t>
  </si>
  <si>
    <t>码数准 上脚好看 舒服的鞋子，拿到手做工不错。比奥特莱斯便宜好多。老公标准42脚，uk8正好。给大家参考</t>
  </si>
  <si>
    <t>满意 质量不错 之前朋友用过推荐来买</t>
  </si>
  <si>
    <t>这个超级小 比每天吃三片的精华多了，这个就好小一片，也就是那1/3吧。吃起来不怕噎着了:)。一下子买了四盒，够我吃一阵子的了。</t>
  </si>
  <si>
    <t>速度快，安静。 速度快，安静。USB3.0copy可以达到150MB/S。</t>
  </si>
  <si>
    <t>挺舒服 很不错</t>
  </si>
  <si>
    <t>好货大家分享 上次，买过一次，但是帽子丢了，所以又回购的款式</t>
  </si>
  <si>
    <t>美呆 超轻 哪里需要哪里放 美呆</t>
  </si>
  <si>
    <t>很好，简单实用。 简单实用，送给老爸，他很喜欢。</t>
  </si>
  <si>
    <t>～满意哦 ～满意挺好挺好挺好的～～</t>
  </si>
  <si>
    <t>不错 内面是拉丝不锈钢，外面是镜面的，很好，略贵！</t>
  </si>
  <si>
    <t>过大的裤子 腰部的腰围不是一般的大，比尺寸标注的还要大上一号，建议买小一号合适。</t>
  </si>
  <si>
    <t>穿着舒适 可以 穿着舒适，女孩子也完全能穿～</t>
  </si>
  <si>
    <t>非常好的裤子，质量做工精细，全棉的 非常好的裤子，质量做工精细，全棉的，墨西哥生产的，赞！</t>
  </si>
  <si>
    <t>很不错的一次海淘 海淘真是太划算了，表还是比图片更有质感的，很不错，很漂亮，当然和大家讲的一样，表带不是一般的硬</t>
  </si>
  <si>
    <t>好 很好，里面一层绒</t>
  </si>
  <si>
    <t>划算 价格比较合适就囤了，还没有开始穿，但是就过往买的经验来说，总的来说ck的质量不咋地，凑合着穿穿吧。</t>
  </si>
  <si>
    <t>喜欢大黄靴 一直都想要一双大黄，亲爱哒踢不烂啊～很是满意。不过折扣的尺码不全，最合适我的尺码没了，买大了半个号，不过想到是冬款，可以穿厚袜子，也成。还蛮合适～ 很暖和，就是高筒，系紧了，走路会有一些不舒服，倒是不磨。 很喜欢很喜欢很喜欢～</t>
  </si>
  <si>
    <t>完美 商场最大的女鞋是39.5，适合40。亚马逊有uk7，适合40半的脚，而且比商场便宜600多，完美。产地是孟加拉。</t>
  </si>
  <si>
    <t>做工扎实，传输速度快 四年前100出头买的，现在国内售价还稳定在299！做工相当扎实，传输速度快且稳定！外观独特！完美！</t>
  </si>
  <si>
    <t>是真货么 打开有一股很浓的塑料味道，跟我自己美国亚马逊海淘的不一样，怀疑买到假货了</t>
  </si>
  <si>
    <t>硅胶变黄 宝宝不喜欢，而且硅胶的材质会变黄</t>
  </si>
  <si>
    <t>有点小贵 带有麦克风的耳机线没有声音了，另一根有声音。还有白色的耳机氧化变黄了！劝想买耳机的不要买白色！耳机还是可以的听电音很合适</t>
  </si>
  <si>
    <t>几次使用后就不能充电 耳机买来2个月后，孩子都没使用几次，就不能充电了。 联系亚马逊客服，先说是让我把照片发售后邮箱，无论如何会给我一个方案。 结果，邮件发了半个月，什么联系都没有，再联系客服电话，客服回应懒懒散散说让我找产品售后。 难以置信，亚马逊的服务质量水平掉到这么不负责任的地步！</t>
  </si>
  <si>
    <t>呵呵呵呵 俗话说的好，好饭不怕等。咱这件宝贝那是真好，值得等。09.27下单，10.23送到。经历了所谓的“调货”，“扣款有问题”和“邮编有问题”等重重困难，最终漂洋过海，来到了中国。这么好的东西千辛万苦赛过唐僧能给送来，想必是因为我是prime会员吧。好东西，这服务你都不好意思失望。别说一个月，两个月你也得服。</t>
  </si>
  <si>
    <t>不理解 日本直邮竟然是中国制造还寄了这么长时间不知道要怎么评论了</t>
  </si>
  <si>
    <t>合身 质量好，也合身！没有束缚感！平时穿36B，买的M号正好！</t>
  </si>
  <si>
    <t>还没有拆开 4双加完税其实也没多便宜，跟代购价格差不多吧，只是想着比较方便就一起买了。因为还没冬天所以没有拆，也不知道合不合适保不保暖哈哈</t>
  </si>
  <si>
    <t>整体不错，挺舒服的 左脚背刚开始会比较紧，可能我脚型的问题，右脚可以，感觉鞋子比较轻，不厚实，穿着还是比较舒服，颜色有点太亮了</t>
  </si>
  <si>
    <t>味道 正在用，没什么味道，孩子也不排斥</t>
  </si>
  <si>
    <t>号码了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</si>
  <si>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很轻很保温 不错，很轻，颜色挺好，保温性能也不错，中国制造</t>
  </si>
  <si>
    <t>棒~ 很好写哦~~一直在用f尖磨砂黑。现在用下ef尖 feel so good~白色也还蛮好看~</t>
  </si>
  <si>
    <t>满意 质地不错，比boss的好。</t>
  </si>
  <si>
    <t>好 便宜，实惠，非常好！</t>
  </si>
  <si>
    <t>物有所值，价格超值，运货速度也快 黑五1300拿下这个，确实比其他网站便宜，目测也能保真，耳机有多经典我也懒得说了。 就是后面的一体机太尼玛贵了，一条不归路。</t>
  </si>
  <si>
    <t>好看稍偏小 白色挺好看、好搭，但易显脏，时刻保持干净吧，到手价344左右，给大家参考</t>
  </si>
  <si>
    <t>某宝购入后来这买的，所谓的中国总代理都是假货 被某宝中国总代所谓的企业店铺坑了不知道几回，实在是太丢脸了。 黑橡胶圈均为盗版，蓝色为本人美国自带正品。 差别巨大，假货用时间短酸味非常重，正品时间长微酸。 包装上假货细节明显不如正品，假货会大量溢出滤芯，正品不会偶有黑色粉末。</t>
  </si>
  <si>
    <t>做工和用料都很扎实 一开始担心脚脖子会不适应，实际还好。</t>
  </si>
  <si>
    <t>尺码好大 第一次买small居然刚刚好,不过穿着很舒服</t>
  </si>
  <si>
    <t>很不错的手表 等了12天。宝贝终于到了。比某宝便宜400多大洋。但是收到的时候。表盘前后膜都没有，也没有吊牌。颜色我以为是白色的。到了之后是金色。详情介绍里面有色差。By the way 表带是20mm的，介绍里也有误差。总的来说不错，习惯好评！</t>
  </si>
  <si>
    <t>正品 尺码合适</t>
  </si>
  <si>
    <t>价格实惠，质量还行 比国内大半个码吧，感觉没有大一个码。灰色挺好看的，logo略显浮夸。价格真的很优惠。</t>
  </si>
  <si>
    <t>很有型 180cm,75kg,m码，很合身，质量很好。</t>
  </si>
  <si>
    <t>很好 1个星期收到，价格比国内要便宜不少，带的清洁系统并不是简版的，好评</t>
  </si>
  <si>
    <t>舒服的裤子，里面带绒绒 很愉快的一次购物，老公180cm，体重不到190斤，XL码很合适，略微有点大</t>
  </si>
  <si>
    <t>品质 美版偏大，质量一般！这个价格性价比算是不错</t>
  </si>
  <si>
    <t>尺码偏大 大黄靴，踩起来超级有感觉。童鞋内衬是布的，尺码偏大，脚小的妹子最好还是不要往大买。唯一不好的是不防滑，雨天的食堂简直是灾难，毕竟买的时候超级便宜，这一小毛病怎样都是可以接受的</t>
  </si>
  <si>
    <t>很好 帮同事带的，她很满意，划算~</t>
  </si>
  <si>
    <t>参考：188CM/75公斤/XL，合适。 尺寸参考：身高188/体重75公斤，穿XL肩宽正好，袖长也正好略长一点点，可卷可不卷，之前看评论一直担心太长。另外，下摆有些宽，不过下摆两边各有两粒扣子可以收紧，看内穿衣服厚度可以调节。个人还是喜欢贴腰一点，网上订了同色金属扣自己加上，收紧下摆就很精神了。因为肩宽正好，所以胸围也不会觉得大。这是短款，内穿衣服下摆露出一些也很有层次感。国内服装一直买XXL码，这次参考了之前尺码意见，缩小一个码，正好。不过本人瘦高身材，手臂比较长，可能不具典型参考价值。</t>
  </si>
  <si>
    <t>很舒适 很舒适，但是款式有点老气。</t>
  </si>
  <si>
    <t>赞 日亚的东西包装一直都很仔细，杯子做工优质，没有异味，发货周期也不长</t>
  </si>
  <si>
    <t>合身舒适时尚美观 合身舒适时尚美观质量不错。</t>
  </si>
  <si>
    <t>不好 小，太烂了，差太远了，像小朋友带的塑料表一样质量</t>
  </si>
  <si>
    <t>布料透 不推荐。衣服有点透，里面得穿个背心</t>
  </si>
  <si>
    <t>过于宽大 质量不错，但实在是太宽太大了。差评</t>
  </si>
  <si>
    <t>讲真，一星都不想给 表带材质不行，粗糙，感觉被图骗了，扣一星； 秒针转动声音很大，扣一星； 夜光缺了一角，强迫症受不了，扣一星； 异味很大，扣一星； 快递粗暴，应该时易客满的问题，拆开包裹时表的盒子已经完全烂透了，废了，幸好表没磕坏，为什么不用个硬点的盒子保护下，扣两星。  讲真，一星都不想给，已经是负星了。</t>
  </si>
  <si>
    <t>差劲 这可能是我在亚马逊买的最差劲的东西了！首先，它掉色！其次洗了两次就变形了！</t>
  </si>
  <si>
    <t>被坑 面壁思过之后来评价的，被自己的愚昧交了一次学费</t>
  </si>
  <si>
    <t>推荐朋友购买，价格还是比较贵！ 退了又买，底部还是有瑕疵，烧水很好，尺寸也不错，出行使用</t>
  </si>
  <si>
    <t>鞋子很舒服 大小合适，鞋子非常舒服，上脚很好看。</t>
  </si>
  <si>
    <t>非美亚发货 正如评论中说的，并非美亚直邮，应该是香港保税仓发过来的，外表看没有问题。但是给孩子入口的，还是心里有些嘀咕。</t>
  </si>
  <si>
    <t>发错码 发货码子发错了，只好退货。皮质有点硬</t>
  </si>
  <si>
    <t>中间短，两手长版型 两个袖子长，中间躯干裁剪比较短。尺寸正正好好，不是宽松版型。</t>
  </si>
  <si>
    <t>不错哟 不错，质感能感觉到，比预想中的要薄一点，174cm、67kg穿S刚好，就是袖子比较肥大，有点害怕撞衫</t>
  </si>
  <si>
    <t>同码裤头不一 老婆着刚好，国内的ck真是天价，表价也是十几廿十美刀，在这几十人仔拿下。加上关税也是50不到。</t>
  </si>
  <si>
    <t>正码选择～大小合适！ 正码选择就好～准备穿去北极，国内穿不了，太热</t>
  </si>
  <si>
    <t>值得买 价格很美丽，有腰身，款式不错，性价比高，可拆卸，用途广，海外购质量有保障</t>
  </si>
  <si>
    <t>尺码标准 非常满意啊，速干，尺码标准</t>
  </si>
  <si>
    <t>好黑的裤子 做工不错，日本制造。比较柔软。</t>
  </si>
  <si>
    <t>质量 质地优良。要买转接。</t>
  </si>
  <si>
    <t>鞋码合适，回弹好 鞋子轻便，鞋码合适，很贴脚，鞋面稍紧，适合脚瘦的人穿。穿上跑步脚感很好，回弹适中</t>
  </si>
  <si>
    <t>黑色有些老气，偏大但是质量不错 m176-70。黑色有些老气，偏大但是质量不错，抗风5度左右不冷</t>
  </si>
  <si>
    <t>很好 以前买过，还不错，第二条</t>
  </si>
  <si>
    <t>尺码合适 尺码很合适。25cm，40码，很标准。 穿着左右脚都很合脚。</t>
  </si>
  <si>
    <t>不错 美码的，172cm，69kg，S码合适。</t>
  </si>
  <si>
    <t>还行 还不错</t>
  </si>
  <si>
    <t>奶瓶不错 之前一直用贝亲的玻璃奶瓶，现在宝宝大了，要自己抱着喝，玻璃奶瓶太重，容易摔，所以只好买了塑料的，用起来还可以。</t>
  </si>
  <si>
    <t>性能 已经买过多次质量很好好评。</t>
  </si>
  <si>
    <t>锋利好用 挺锋利的（才用几天，暂时还不知道容不容易生锈），就是套子套不稳，拿起来的时候要小心掉下来。</t>
  </si>
  <si>
    <t>家中常备 偶尔有个关节不舒服，或者突然轻微扭伤，吃这个，也给家长老人买了，坚持服用有效果。</t>
  </si>
  <si>
    <t>是我想要的 手表基本功能完备，操作简单，很实用，包装做工都还不错，就是表带有些硬，戴戴看</t>
  </si>
  <si>
    <t>值得买 含税到手八十不到一件，不说他是不是品牌，现在街上没品牌的衣服买件难道不还贵吗？所以性价比很高啊，穿一季扔了也不棘手啊</t>
  </si>
  <si>
    <t>面料不好 面料硬的像石膏。</t>
  </si>
  <si>
    <t>美国加拿大的尺码与亚洲尺码不一样 我买的时候没有去看评论，而是经过亚马孙的尺码智能检测系统，我应该要看看评论的。现在觉得真的好的😂😂</t>
  </si>
  <si>
    <t>质量确实太一般了，不推荐购买 不推荐购买，面料薄，袖子长，线头多</t>
  </si>
  <si>
    <t>质量不过硬 我人胖，穿这个有点点小，不过不是内裤的问题。坦白说，穿起来还是特别舒服的，就是缝线质量有点差，三个内裤，有一个没穿就有开线，还有一个穿了第三回就有开线。。。有点懵逼</t>
  </si>
  <si>
    <t>是正品吗？ 在亚马逊从来没有买过这么差的商品，印刷粗糙，刷毛很硬，刷柄毛刺戳嘴。</t>
  </si>
  <si>
    <t>太瘦了不能穿 对于170cm 74kg 太瘦了 不能穿。</t>
  </si>
  <si>
    <t>声音素质值这个价格 好耳机，现在这个价购买也十分超值了，千元内争一争最高素质还是没啥问题的，唯一想批评的就是包装盒被压的太烂了，跟被人拆过了一样</t>
  </si>
  <si>
    <t>无标题 鞋子穿起来确实挺舒服的，走路也不累，脚背低脚窄的人按正常码买就行。</t>
  </si>
  <si>
    <t>和原装的差不多一样 到货后拿来和之前剃须刀上旧的对比了，几乎是一模一样，就是刀头里面塑料凹槽上有编码地方比旧的少了一处。</t>
  </si>
  <si>
    <t>货物瑕疵 网上买的东西就是有瑕疵，黑点擦不掉</t>
  </si>
  <si>
    <t>好像还行 这个价这个货也差不多就这样</t>
  </si>
  <si>
    <t>台式电脑不识别 台式电脑不能识别，显示盘符但是双击提示设备未就绪。首先肯定不是硬盘的原因，因为插笔记本上好使。其次各种驱动都重新弄了一遍，仍然是设备未就绪，请问各位大神有没有办法？感觉我台式机系统缺什么文件，但是我另外一个book8t好使，真是诡异。</t>
  </si>
  <si>
    <t>很棒 颜值高，质量好，续航时间长</t>
  </si>
  <si>
    <t>效果不错 接个解码，听听音乐效果不错～</t>
  </si>
  <si>
    <t>号码偏大但手感很好 面料摸起来很高级，磨砂绒感，但是，特别容易粘灰!!!170cm80kg买M号，肩稍宽但肚子很合适。</t>
  </si>
  <si>
    <t>音质 非常好</t>
  </si>
  <si>
    <t>正品 做工不错。 T恤布料舒适。有型。</t>
  </si>
  <si>
    <t>孩子很喜欢吃，一天两粒 不错，也不贵，每天两粒</t>
  </si>
  <si>
    <t>穿着挺好的 穿着挺好的</t>
  </si>
  <si>
    <t>质量 很喜欢</t>
  </si>
  <si>
    <t>很好 满意 很好比国产的软些 满意</t>
  </si>
  <si>
    <t>希望亚马逊再接再厉 以前一直穿CK 这是亚马逊买的和实体店一样 还便宜</t>
  </si>
  <si>
    <t>很满意的购物 &lt;div id="video-block-RUH9QWA0ACURL" class="a-section a-spacing-small a-spacing-top-mini video-block"&gt;&lt;/div&gt;&lt;input type="hidden" name="" value="https://images-cn.ssl-images-amazon.com/images/I/91pMxokPsgS.mp4" class="video-url"&gt;&lt;input type="hidden" name="" value="https://images-cn.ssl-images-amazon.com/images/I/61jp0vegAsS.png" class="video-slate-img-url"&gt;&amp;nbsp;鞋很好就是买大了，平时穿Nike44-44.5码，买了us11大了一号，往里加了个鞋垫解决了，很喜欢疯马皮做的东西，自己三双靴子都是疯马皮的，物流真的惊讶到我了，里外里一共差不多4天就到了，从美国发过来，之前也买过其他美国发货的，远没有这么快</t>
  </si>
  <si>
    <t>东芝挺好呀 希望中日友好 东芝越来越好</t>
  </si>
  <si>
    <t>非常划算，性能非常好 读写速度确实还可以，用5D4同时存储最大尺寸的RAW格式和JPG格式时会有一秒存储延时，选择其他项目就无碍。 比国内淘宝什么的性价比要高很多，建议入手</t>
  </si>
  <si>
    <t>东西很好 8月底下单，9月底收货，蛮长等待还是值得的，迫不及待就用起来了，虽然有点小贵，但灰常值这个价格，很喜欢。</t>
  </si>
  <si>
    <t>适合 厚实，面料舒服，适合我！</t>
  </si>
  <si>
    <t>见效快 儿子手脱皮买回来给他吃的，只吃了不到一个星期就有效果了，手掌变得光滑起来了。不错。</t>
  </si>
  <si>
    <t>顺利的到达买家手上是海外购的期盼 东西完好，速度很快。</t>
  </si>
  <si>
    <t>值得推荐，比国内的性价比太高了 性价比相当不错，直筒裤管比较宽松穿着舒适。1.68米，72公斤，31*30的，裤管稍微长了一点点，长二九的就刚刚好。给后面的参考。</t>
  </si>
  <si>
    <t>比预计的到货时间快了很多 挺不错，就是坐下的时候有点卷。希望用下来有效果</t>
  </si>
  <si>
    <t>不刺激 好，不刺激，价格太贵</t>
  </si>
  <si>
    <t>老婆很喜欢 第一次海外购，因为价格还算合理，以后会多关注。 到货之前，一直提心吊胆，担心国外的鞋号、鞋型与国内存在偏差，试穿后未发现差异，以后会参考“尺码对照表”。 实物要比商品介绍图片的颜色略浅，色差不能避免，但差别不大，老婆欣然接受。</t>
  </si>
  <si>
    <t>比例不太适合亚洲人 美版剪裁果然不适合我！！！肩宽合适袖子过长，怎么说总之就是很奇怪，还有棉质比较粗，我身高155可以穿成下衣失踪，但袖子和肩宽比例有点奇怪所以穿着有点奇怪，嗯就这样吧</t>
  </si>
  <si>
    <t>没什么大问题，内衬有些线头，鞋底偏硬 葡萄牙产，刚收到，550入手，尺寸合适，但是遗憾的是内衬有些线头，鞋底偏硬，脚趾上面有个大线头，有点乱脚</t>
  </si>
  <si>
    <t>起球比较厉害起球掉毛都比较厉害特别是进烘干机的时候 容易起球，他的这个质量比较一般，粗纺应该算数啊。</t>
  </si>
  <si>
    <t>鞋质量有问题 买回来孩子穿到学校，当天下午就打电话说鞋左脚有些开胶啦，我说应该没事你再穿穿，第二天打电话说鞋都开完啦，穿不成。假货！拿回来去鞋吧修鞋吧说不止开胶，得重新压线。一直最信任亚马逊，现在质疑自己买的那么多化妆品到底真假？</t>
  </si>
  <si>
    <t>质量不是一般的差 用了二个月，上墨器开裂漏墨水，质量不是一般的差！</t>
  </si>
  <si>
    <t>没多久就坏了，无法维修，客服消极应对 总共买了两部，一部用的好好的，一部买来使用充电第四次就坏了——梳子无法冲进电。 国内客服不予以维修，亚马逊客服也是消极应对，一直说“不能退换、积极协助联系维修”——然而并没有售后维修。 以前海外购从来没出现问题，出现质量问题真的让人失望透顶！两三千块钱的东西说坏就坏坏了没人管，这就是大互联网公司的社会责任？</t>
  </si>
  <si>
    <t>有小毛刺，味道有点浓 有些小毛刺，有些味道，用柠檬泡过好一些</t>
  </si>
  <si>
    <t>还可以 身高170体重134，s号正好</t>
  </si>
  <si>
    <t>皮带的长度说明 收到才明白皮带标的长度指的是腰围，不是皮带的总长度，需要自己打孔，皮带还是很好的。</t>
  </si>
  <si>
    <t>这个比较大 1.76米，89公斤。L号又宽又长，没有办法送人了。朋友在国内穿XxxL,穿着正好。</t>
  </si>
  <si>
    <t>正品！尺码合适，舒服😊 第一次海淘鞋子，时间比预想的短，最主要是绝对正品，放心😊！尺码也合适，试了下感觉比大黄靴要舒服。</t>
  </si>
  <si>
    <t>非常好看 舒适又好看</t>
  </si>
  <si>
    <t>宝贝很棒！很喜欢 宝贝看起来不错哦……很喜欢</t>
  </si>
  <si>
    <t>ojbk 还不错，只是不知道那天坏了该怎么办</t>
  </si>
  <si>
    <t>此耳机甚好！ 价格不贵，音质不错，性价比高。 解析出众、低频充足，不错的耳机，很符合我的听感。</t>
  </si>
  <si>
    <t>误差小，略厚重。 23天误差0.5s，15.6cm手腕带的效果，感觉还是有的厚重的。</t>
  </si>
  <si>
    <t>买大一码合适 拇指外翻，平时穿42码的冬鞋，这次买的43码，对应脚长是26.5，总体合适。感觉鞋的后脚跟处设计略小，大一码刚好。虽然前面略长，应该加个垫子就可以了。</t>
  </si>
  <si>
    <t>无钢圈内衣 无钢圈内衣，还可以的，第一次买这牌子的内衣，它家的裤袜是大家都知道的</t>
  </si>
  <si>
    <t>好评 必须说，这个价值了，还要怎样呢？</t>
  </si>
  <si>
    <t>一如既往的好 很舒适</t>
  </si>
  <si>
    <t>非常好 坚固，工艺好，耐用，成套比较合算</t>
  </si>
  <si>
    <t>N5005很好，物流有点慢 照片就不加了，收到了两天，apex的物流真的是不敢恭维。 但是N5005真的是非常的好，刚开始听的时候有些刺耳，听了几个小时以后，煲的有点开了，音质真的是没得说，应该随着煲的越开越好</t>
  </si>
  <si>
    <t>穿着舒适 T恤面料和颜色都很出色，打底穿着舒适。</t>
  </si>
  <si>
    <t>囤了16支 一下买了十六只牙刷头，我和老公两个人，算了下，可以用接近3年。哈哈哈。</t>
  </si>
  <si>
    <t>线头多 整体挺好的，除了线头多。 身高174，体重70， 32 * 32 腰围正好，裤腿有些长，改了</t>
  </si>
  <si>
    <t>值得购买 七天收到啦 速度好快 大赞亚马逊物流 关键还不要运费 机器比想象的大一些 操作方便 不需要转换头 味道也不错 每天来几杯好方便</t>
  </si>
  <si>
    <t>很大容量的移动硬盘 商品满意，速度快，大容量，希捷大容量大品牌应该耐用吧，唯一不足就是1.6斤嫌重，不过超薄的贵哦一些，所以我宁愿重也不要买贵的，性价比嘛（哼哼）。</t>
  </si>
  <si>
    <t>非常满意 终于收到我需要的宝贝了，东西很好，价美物廉，谢谢我亚的优惠好价，应该是我近期看到的最低价了吧！再说宝贝，正是我需要的，收到的时候包装完整，打开后让我惊喜的是，宝贝比我想象中的还要好！不得不得竖起大拇指。下次需要的时候我还会再来的！</t>
  </si>
  <si>
    <t>一般 是正品 但这个颜色显偏老</t>
  </si>
  <si>
    <t>非常满意 非常满意！！！物美价廉！！！</t>
  </si>
  <si>
    <t>SSD能信赖的品牌不算太多 其实不太想买韩国的产品，但在SSD上，品质比较可靠的毕竟太少。</t>
  </si>
  <si>
    <t>质量不行。 质量有点差，才穿了几回，大脚趾就破了一个大洞。。其它厚木的产品就没有此类问题。</t>
  </si>
  <si>
    <t>质量不好 &lt;div id="video-block-R2SXEZ54OA7QKV" class="a-section a-spacing-small a-spacing-top-mini video-block"&gt;&lt;/div&gt;&lt;input type="hidden" name="" value="https://images-cn.ssl-images-amazon.com/images/I/41VJjGuR3NS.mp4" class="video-url"&gt;&lt;input type="hidden" name="" value="https://images-cn.ssl-images-amazon.com/images/I/81P7Kp6W0wS.png" class="video-slate-img-url"&gt;&amp;nbsp;有黄渍 不知道为什么出现这种情况 退货太麻烦 就没退 第一次海外购衣服的 印象不好</t>
  </si>
  <si>
    <t>尺码大很多 真的很厚 但是尺码严重不准 我买的M码的 但实际量下胸围有59cm了 当oversize穿了 呵呵</t>
  </si>
  <si>
    <t>照片有色差 对得起这价格的手表，就是照片看起来没有那么金，就颜色而言有点小失望，实物的话比较金吧。拆了5段表带才带得紧，没拆之前还觉得挺重的。买来游泳的，实话说平时不太敢带，感觉衬正装还可以吧，还有就是表的表针有点女性化，总的来说还可以，防水性能我就不想去测试了，知道这牌子的手表防水还是很好的。性价比挺高的。</t>
  </si>
  <si>
    <t>太烂 无语了，海淘8T来了个6T！白玩2周</t>
  </si>
  <si>
    <t>Logo歪了 这品控也太差了吧，logo都能歪了</t>
  </si>
  <si>
    <t>还不错 质地，质量都还不错。参考评论买了小号（174/70) 但还是有些长，</t>
  </si>
  <si>
    <t>还可以 还可以 味道应该还不错吧</t>
  </si>
  <si>
    <t>颜值高 还不错吧，颜值高，139两件买的</t>
  </si>
  <si>
    <t>是美国原装的 瓶子整体有点旧，有点脏，不显新。 其他都还好。</t>
  </si>
  <si>
    <t>包装不行，质量待定 速度比想象的快多了。然后包装让人感觉很廉价，拆开后里边的耳机盒子都开了。。。让人有点担心。这个耳机是我买的第一个比较好一点的耳机，试用了一下，简直打开了新世界的大门，等煲好了再看看吧</t>
  </si>
  <si>
    <t>正品 跟之前吃的，从美国Costco 买的一样</t>
  </si>
  <si>
    <t>准时到货 非常喜欢，感谢亚马逊国内我是穿，40的，七码小了一点</t>
  </si>
  <si>
    <t>户外运动 不错！喜欢！</t>
  </si>
  <si>
    <t>能使适用国内机型且价格便宜 国内就是刷头太贵，这个加税费折合20多元一只，国内的打折都是40多一只，虽然型号和国内不一样，但是用起来一样。</t>
  </si>
  <si>
    <t>肩带舒适的内衣 适合夏天，肩带设计很舒适</t>
  </si>
  <si>
    <t>性价比超高，颜色正 尺码和安德玛裤子的腰围选一样就可以，质感很不错的一款腰带，绝对值这个价格。我34的腰围，买34号刚刚好</t>
  </si>
  <si>
    <t>比较满意的一次购物。 尺寸与以往国内实体店的一样合适，舒适度很好。产地中国。</t>
  </si>
  <si>
    <t>按这个价钱可以大五星 大小合适，软硬适中1</t>
  </si>
  <si>
    <t>五分好评 自己感觉蛮有效果的，人比较懒，当内衣穿。臀围有下降，不知具体是穿它的原因还是体重降的原因，或者别的原因</t>
  </si>
  <si>
    <t>囤货啦！ 笔芯很软，色彩鲜艳，用的好快啊！叠色不错，但是感觉自己还没摸到它的特点，需要磨合。</t>
  </si>
  <si>
    <t>等了好久 皮质很好，鞋底比较薄，鞋垫也是皮的，上脚很轻，脚感一般，侧面很好看，等了好久才买到，总体好评，亚马逊用户体验做得不错！</t>
  </si>
  <si>
    <t>值得买 很好 没有味道 很好用哈</t>
  </si>
  <si>
    <t>电动牙刷头 通用款牙刷头，物美价廉，值得入手！</t>
  </si>
  <si>
    <t>很好，性价比高 183,150斤L码正好，东西对得起价格了。</t>
  </si>
  <si>
    <t>颜色超好看 颜色好看 小巧适合女生 物流超快</t>
  </si>
  <si>
    <t>三福霹雳马彩铅，名不虚传 好用，高端彩铅里面的实惠货</t>
  </si>
  <si>
    <t>ck 蛮好，就是黑色的容易粘灰</t>
  </si>
  <si>
    <t>值得信赖 给力，非常好！好大一包，美国进口的还付了税钱，吃的放心，价钱也比得过淘宝，还会再来的</t>
  </si>
  <si>
    <t>很喜欢 设计时尚，做工不错，很喜欢。同时放一本书和一瓶水，无压力。</t>
  </si>
  <si>
    <t>完美！是正品！我心爱的耳塞满血复活了！ 完美！是正品！我心爱的耳塞满血复活了！</t>
  </si>
  <si>
    <t>跨国满意的购物 感觉很好，穿着舒服，物流也快。</t>
  </si>
  <si>
    <t>不错 面料轻薄</t>
  </si>
  <si>
    <t>应该是放了一段时间的货了，明年9月到期。 临保到明年9月</t>
  </si>
  <si>
    <t>伤心…… 穿起来很舒服的一款鞋，但是才穿不到2个周，内里边边就破了……什么鬼……难道买到假货了？</t>
  </si>
  <si>
    <t>隔音效果不好 漏音，隔音效果不好，音质还行</t>
  </si>
  <si>
    <t>皮质不一样 这对和我对一次买的皮完全不一样简直无语了</t>
  </si>
  <si>
    <t>裤子太大了 我173高 体重74KG 买的M号居然大得一塌糊涂啊</t>
  </si>
  <si>
    <t>不防滑不防水 不建议雨天、登山使用 非常垃圾 不防滑不防水!6.17苏州一直下着小雨 下午撑伞穿这鞋爬山一个小时这样，上山途中就觉得鞋有点滑，因此下山格外注意，但不幸的是摔了两次，伞摔坏了，小胳膊擦伤了，后背是直接摔在台阶上好疼啊。回来换鞋发现脚的前半部垫子袜子都湿了，我没淌水，一点小雨都经不住吗？更何况我还撑着伞，说好的防泼水呢？爬山上百次是有的，在雨天也爬过不少次，穿着平时穿的鞋，也没摔倒一次!本计划穿这登山徒步鞋爬黄山之类的大山，庆幸提前试了一下这鞋的性能，太失望了!难道我买的是假货？</t>
  </si>
  <si>
    <t>有点大 女生戴有点大 戴上去感觉 一般 包里备用OK</t>
  </si>
  <si>
    <t>一般般哦 稍微有点大 老公说有点大呢质量一般般吧……</t>
  </si>
  <si>
    <t>Champion Men's Athletic 稍微有点长  厚度还可以  穿后有点变形</t>
  </si>
  <si>
    <t>尺码大两码 裤子很不错，就是尺码太了大了，同一个牌子另一条31w的腰围刚好，这条整整大一码！买的时候注意下，要买小两码可能才合适。</t>
  </si>
  <si>
    <t>衣服颜色深，其他都很好 颜色有些深，版型设计风格很好，穿起来显身材，显年轻</t>
  </si>
  <si>
    <t>不错 喜欢不错的一次购物</t>
  </si>
  <si>
    <t>还不错 做工很好，大小也合适，可惜圆脸偏胖的戴着不好看</t>
  </si>
  <si>
    <t>棒棒棒 大约一周左右就收到了！超级可爱！表盘比较大比较重，按住表盘右侧的调节钮就有夜光，非常方便！潮爷同款，你值得拥有！</t>
  </si>
  <si>
    <t>很不错的衬衣!henbucuo 很不错的衬衣!henbucuo</t>
  </si>
  <si>
    <t>还没使用，先好评 但凡商家的产品还过得去的基本上都能得到我这一套的评价，除非极其烂！之前特别忙，一直没有时间评价，这家的这个东西还可以，基本满足了我的基本要求，如果要更加高大上，大家可以再自行搜搜比较比较，我是属于要求比较低的人。好了，不扯了，太闲！东西还可以，大家可以继续买买买～～～</t>
  </si>
  <si>
    <t>全球联保，速度快 已经把电脑升级了，测速不错，而且闪迪通过序列号就全球联保五年，挺好的。</t>
  </si>
  <si>
    <t>码数 好！码数也正常！</t>
  </si>
  <si>
    <t>物有所质 品牌好，质量好，上脚舒适。完美!</t>
  </si>
  <si>
    <t>声音有点大 七天左右到的，比较秀气，唯一的不足就是声音确实有点大</t>
  </si>
  <si>
    <t>特价好货 非常喜欢</t>
  </si>
  <si>
    <t>评价 很不错，价格也合适。</t>
  </si>
  <si>
    <t>总体很好 刚入手，给大家一点参考意见。这个耳机做工精致，相对一代最大的改良在于耳罩变大，非常舒服。另外增加了手机线控功能，这个功能仁者见仁吧。主要说说音质，三频相对均衡，低音也没有测评说的那么少，听起来比较有弹性。声场比较大。总体感觉素质不错，适合我这种喜欢用iPhone，iPad听歌，懒得折腾前端的人。如果你的需求和我一样，这是个不错的选择。唯一略微美中不足的是：有点小贵，再便宜四分之一就好啦！</t>
  </si>
  <si>
    <t>帮朋友给宝贝囤货 帮朋友给小宝宝囤货的，玻璃的奶瓶适合新生宝宝，买了一个240和一个160的，不知道日本的这个材质跟国内的是不是不一样 ，但是外观是有区别的，包装也很仔细，不用担心运输过程中会破损，赞一个</t>
  </si>
  <si>
    <t>很好，很舒服，价格美丽 跟国内比很美丽的价格，上脚感觉不错，细节有点小瑕疵，不影响。不过41的码为什么对应国内260，有点不懂，整体很好的体验</t>
  </si>
  <si>
    <t>很好用 刚开年手心发痒想买点东西，上网先是看到百乐74，然后才知道了Sailor，研究了一番就买了这款。惊喜的是，墨囊刚插上就能写，很流畅，没有飞白！用过施耐德还有其他一两百的笔半天下不来水，之前一直担心这个问题，看来价格高了就是不一样。 再说笔尖，下水流畅又略带阻尼，很喜欢这种莎莎的感觉，不过中细略微有点粗，适合练字、签名，日常书写还是应该买细字。 最后，快递挺给力。原本亚马逊预计要半个月才能到货，实际五天就送到了。</t>
  </si>
  <si>
    <t>老年人保健 妈妈膝盖磨损严重，看医生也说不可逆只能好生保养消肿。别人推荐了这个和氨糖，就买了，最近说感觉挺好的，不是很疼了。不管怎么说，一大把年纪还是赞多补充一下各种微量元素。好评。</t>
  </si>
  <si>
    <t>不错 物有所值 很不错 送货也很快 一周基本就到了</t>
  </si>
  <si>
    <t>鞋子穿着很舒适 鞋子与照片一致是我喜欢的款式，穿着非常舒适而且鞋子重量很轻，</t>
  </si>
  <si>
    <t>第二桶，咖啡口味，还没尝，很满意。 第二桶蛋白粉，第一桶草莓口味，这桶咖啡口味，会员免邮费很合算，健身已经坚持一年，可以看到成果，要坚持下去。很高兴自己一开始就找对了最棒的蛋白粉品牌，也找到了合适的购买途径，在会员到期之前还能再买一桶。</t>
  </si>
  <si>
    <t>还行吧 手表还可以，挺秀气的。主要是小学妹挺喜欢的。</t>
  </si>
  <si>
    <t>好 给女儿买的90斤，163厘米。穿上正好。面料是纯棉的，很有质感。又加了一件白色的。</t>
  </si>
  <si>
    <t>这才是我们需要的秋衣秋裤 165/63 买的M号大小合适，不是很厚，袖子长度不是很长。但是我很喜欢，这样穿在里面就不会露出来了，而且穿上去也不臃肿了…喜欢</t>
  </si>
  <si>
    <t>rusty belt Very disappointed with this quality. I am wondering how this happened to the quality control</t>
  </si>
  <si>
    <t>瓶子头部有错位 还没有使用，但是打开的时候有个瓶子的头部卡槽错位了</t>
  </si>
  <si>
    <t>裤子偏大 我平时38裤头，知道这款裤子偏大，特意买36的，结果还是太大了</t>
  </si>
  <si>
    <t>爱科技 刚用，感觉比想象的轻。正品应该没问题。但是听音乐还没找到感觉。希望过一点时间会好。或者有好的音乐推荐发送给我。</t>
  </si>
  <si>
    <t>很难泡开 不好，泡不开，特别难泡开</t>
  </si>
  <si>
    <t>假CK 假货！我是按我在店里买过那款买的，但是完全不一样，店里的穿半年 ck商标都没有掉。这个收到货 刚一水洗就成这样……而且说好的无痕呢，两侧和后面中间都有棱！同码也小一截！打客服投诉假货说我水洗过了，谁收到内裤不洗就穿的，我就洗了一次还没穿商标就掉了，差评！如果可以不给星我一个都不会给，以后再也不会在亚马逊买东西，还等半个月 让人失望！</t>
  </si>
  <si>
    <t>稍微有点大，弹性不错。 有弹性，稍微有点大了，感觉像孕妇裤哈哈😄</t>
  </si>
  <si>
    <t>有蛮大一股味道 有蛮大一股味道的！！</t>
  </si>
  <si>
    <t>比国内的码大了1码。 32w的腰围有85cm。缩水后也有84cm。</t>
  </si>
  <si>
    <t>磨脚 很轻，略大，才走了一小段路就磨脚了，不好穿，不知道后面会不会好一点</t>
  </si>
  <si>
    <t>包装待改进 裸奔就过来了，杯子外面居然塑料袋都不装一个，若是环保考虑可包一层纸吧，弄得表面都是灰，然后杯盖上还有一丝一丝的，这是残次品吗？！只能说价格确实比起国内有竞争力一些</t>
  </si>
  <si>
    <t>不错，非常完美。 不错，很好非常完美。</t>
  </si>
  <si>
    <t>可以 虽然有点不一样，但也满足了T^T</t>
  </si>
  <si>
    <t>品质没问题 跟专柜同款的大小基本一致，品质也不错，我通常耐克穿45，这次买的44大小合适</t>
  </si>
  <si>
    <t>休闲裤 休闲时候穿，面料舒服，易干。号码准确，175CM，175斤穿</t>
  </si>
  <si>
    <t>满意 帮同事买的，很满意。</t>
  </si>
  <si>
    <t>赞 一直喜欢tiger的保温杯，这次活动买的，价格相当便宜，很轻的一款杯子，一次买了两个，很赞</t>
  </si>
  <si>
    <t>实惠 还可以，对得起这个价格</t>
  </si>
  <si>
    <t>很不错的咖啡机。 非常实用。</t>
  </si>
  <si>
    <t>进口的手机真不错的 非常舒服的手表，真的很棒！</t>
  </si>
  <si>
    <t>满意 不是纯棉，棉与涤纶，料子不厚，做工尚可，修身版型，175/63，S码合身。</t>
  </si>
  <si>
    <t>小巧实用 感觉就是稍微有点小了点。</t>
  </si>
  <si>
    <t>裤子 很喜欢</t>
  </si>
  <si>
    <t>质量很好，价格超便宜 身高180.体重148斤，穿M号正好</t>
  </si>
  <si>
    <t>980啊 音质不多说，最让我印象深刻就是低频控制很好，量对我来说足够了，最满意的就是它的气势磅礴，听了首-烟波弄，被震撼到了，声场不错，高频延伸尾音泛音比较好，人声是确实没怎么修饰，不过密度高，人声比较厚。听轻音乐古典就它了。</t>
  </si>
  <si>
    <t>Under Armour 安德玛 男士HG长袖紧身衣 150斤穿着很紧身，可惜身材一般！！！</t>
  </si>
  <si>
    <t>很好 非常精致，日本亚马逊包装也很好</t>
  </si>
  <si>
    <t>给后来的购友参考 合身的打底内衣，薄，穿着舒适，全棉。170cm60kg小号刚好。</t>
  </si>
  <si>
    <t>舒服 薄薄的挺舒服，只是对于我来说杯大了一点</t>
  </si>
  <si>
    <t>性价比很高的一款 物流很顺畅，直接裸箱发货居然完好无损。东西好用性价比很高，除了没保修别的没毛病。</t>
  </si>
  <si>
    <t>质量 提前收到货，外观没有损伤。分区格式化，速度很快。</t>
  </si>
  <si>
    <t>重量再重点就好了 很棒的，包装很精致</t>
  </si>
  <si>
    <t>非常满意啊 看到价格实在hold不住啊，买了以后各种惊喜，对比dtx501p和k420全面高出一大截，这还是建立在手机直推的前提下，在此，建议大家买耳机的时候直接上大耳吧，前端慢慢来，便携什么的，从k420升级到dtx501p才提升那么一点点，价格却贵了一倍，升级dt990pro价格比dtx501p贵了一倍多，那提升。。。</t>
  </si>
  <si>
    <t>质量一般般 made in china就不说了，但质量真的很挫</t>
  </si>
  <si>
    <t>表带很短 给老公买的，表带非常短，只好我戴了。</t>
  </si>
  <si>
    <t>震动太大 和面震动太大了，这是机器的结构原因，没有办法解决。看在价格的份上勉强凑合着用吧。</t>
  </si>
  <si>
    <t>建议还是买日本的 太长了，假的。除了日本的其他都是假货 质量也不咋地 还不如淘宝十几-几十块的货</t>
  </si>
  <si>
    <t>裤型 賊鸡儿肥大，裤腿可以塞下至少2.5条腿，比睡裤还肥，腰部差不多，意味着这款式就是这样的，选小号也没用</t>
  </si>
  <si>
    <t>一般 做工粗糙，在孟加拉生产的</t>
  </si>
  <si>
    <t>其乐 穿着不错～ 号码也正好。亚马逊服务不错！说实在的 真的喜欢上亚马逊了</t>
  </si>
  <si>
    <t>参考尺码不给出来,难选择 尺码稍大，但是货物说明又不够详尽，难选。买一次才知道怎么选。</t>
  </si>
  <si>
    <t>MA -1经典复刻， 你值得拥有！ 下单 — 到货， 用时半个月。  正品MA-1经典版型。面料和做工可以，少许线头，不影响。内衬、辅料、拉链都还不错，算是良心品质，中国制造。  实测数据S码：肩宽45、胸围114、袖长65、衣长64（供大家参考）  本人171 / 70kg，经常健身，内穿圆领T， 完美驾驭！😄 偏爱 简洁、大方、光面，不刺绣款。  本次海外购成功！👌</t>
  </si>
  <si>
    <t>章鱼硅胶婴儿牙胶 宝贝很喜欢，因为给它抓住的地方很多，一抓到手上就要往嘴里塞，他有事情做，我们也能轻松点。</t>
  </si>
  <si>
    <t>不错 时间一目了然 声音也好听  考公务员用的   就是太轻了  一看就知道不上档次  夏天带还勉强可以</t>
  </si>
  <si>
    <t>非常好。 35码买的5b，稍微有些大，穿起来很舒适，虽然是圆头的皮鞋，但是不显脚大。物流很快，比从香港运来的快递还要快，值得买。</t>
  </si>
  <si>
    <t>喜欢 目前感觉质感不错，手摸着不怎么会留指纹，喜欢</t>
  </si>
  <si>
    <t>直邮速度很快 小贵，但是不含糖分，不伤害宝宝牙齿，所以还是值得买的</t>
  </si>
  <si>
    <t>样式可以。 帽子挺薄的，夏天戴没问题。（广州）内侧拍照，可以看到布料比较透。</t>
  </si>
  <si>
    <t>好用 可以可以！打辅食非常细腻，速度快，开关有保护，暂时还没有用到研磨和搅拌，电机不错，淘宝产地是中国，这款产地是罗马尼亚。唯一一点就是盒子外包装没有封口。</t>
  </si>
  <si>
    <t>舒服 非常舒服的内裤，等再买几条，除了颜值一般，像奶奶裤，但穿在里面谁知道，舒服是自己知道的</t>
  </si>
  <si>
    <t>挺好的一直在用 挺好的，买了一大一小，另一个还没用到。</t>
  </si>
  <si>
    <t>好用 满意，变温功能挺好的，防止烫到孩子</t>
  </si>
  <si>
    <t>比苹果有线耳机好不少 高清晰度，听到了之前苹果耳机没听到的细节。</t>
  </si>
  <si>
    <t>稍欠 使用过一次，感觉还可以。都是日文商家给翻译中文就好了。</t>
  </si>
  <si>
    <t>every little girl's dream dinner set this is absolutely awesome! I love it and my kids love them. i am so glad we can finally say bye bye to plastic kids meal set.</t>
  </si>
  <si>
    <t>没有标题，能简单吗…… 很舒服的鞋。</t>
  </si>
  <si>
    <t>挺好看 合适，儿子穿35码的，给他买了这双跟我配亲子</t>
  </si>
  <si>
    <t>好 很好，奶嘴不会瘪气，宝宝可以一口气吃完</t>
  </si>
  <si>
    <t>海外购很划算 实惠好用，日常书写或送人都很好</t>
  </si>
  <si>
    <t>帅气！ 这价钱能买到schott的机车夹克真心是捡到宝了！</t>
  </si>
  <si>
    <t>音质 挺好的，相比国行1100价格的，真的很不错了。重低音不错，耳罩也很舒服，戴一小时正常出汗，喜欢电音摇滚风格的选这个没错了</t>
  </si>
  <si>
    <t>初烧 中高音清晰，低音不轰耳。性价比不错</t>
  </si>
  <si>
    <t>实诚的亚马逊 很好！亚马逊确实很实诚。收到的壶计时器按动无显示，可能是电池没电了，跟亚马逊打电话，准备换个计时器，客服二话不说，直接全额退款，原来的壶也不要了。很好的体验</t>
  </si>
  <si>
    <t>不错 450ml，就是杯盖容易掉，其他都非常好</t>
  </si>
  <si>
    <t>赞 鞋型偏窄，比平时大半码穿的正合适。黑色蛮好看的，就是这个材质，冬天穿有点冷。第一次买海外购，下单之后8天就到了，好快啊</t>
  </si>
  <si>
    <t>料子不错 175/66kg，m码偏大</t>
  </si>
  <si>
    <t>同一个号有大有小 搞笑，同一个号买来有大大小小的，又是内衣类，客服能给解决么？</t>
  </si>
  <si>
    <t>black颜色跟显示的不一致 black颜色和网站显示的不一致，logo黄标实际是灰色的，当时看中的就是黄标，退了麻烦，凑合穿</t>
  </si>
  <si>
    <t>碧然德133滤芯 之前在国外买的水锈基本见不到，这回网上买的很明显的水锈，口感不好</t>
  </si>
  <si>
    <t>裤子什么还是国内买买吧 首先颜色比图片暗很多，其次线头真的很多，还是国内买买吧</t>
  </si>
  <si>
    <t>做工很差，材料廉价。 觉得Lee这个牌子的应该不会很差，结果收到货后非常失望，缝纫做工不精致，布料中感觉棉含量也不够。</t>
  </si>
  <si>
    <t>尺码有误 尺码完全不是客服回答的那样，说偏大一码，36码的鞋子推荐3uk，买回来是欧码的35码，根本穿不了！退货只能选太小，这算是自己的过错，运费得要125，服了！其实直接按照欧码对应的买就可以了，不要说什么偏大偏小，买了三双全都小了，这不是个例的问题！</t>
  </si>
  <si>
    <t>不推荐 这质量也是绝了，比我在外贸原单仓买的还差。能扎skr人了。退货还要125运费！！有毒！！强烈不推荐！</t>
  </si>
  <si>
    <t>不太理解亚马逊现在供应商怎么发货的 收到的衣服虽然很好，但是和图片所展示的完全不一样。</t>
  </si>
  <si>
    <t>有点小 原来以为是美版的，按惯例选小了一个号，真的有点小，领口这边有点紧</t>
  </si>
  <si>
    <t>舒适的鞋子 优点 很舒服的鞋子 走路比较舒适 很轻巧，春秋天穿着很合适。缺点 掉色非常严重，，，严重，穿不了多久 进本就完蛋了，但是舍不得丢掉 平时散步穿。</t>
  </si>
  <si>
    <t>九分袖 九分袖老公不太穿得惯，会缩进去</t>
  </si>
  <si>
    <t>很满意 老婆  170  56kg  四肢较长，自称欧美身材，选的S码，非常满意。三合一，内衬外表比抓绒更加光滑一些，厚度一般，上海冬天应该没问题。此款袖子长，老婆很开心终于可以买到袖子不短的衣服。。。。到手价420，非常划算</t>
  </si>
  <si>
    <t>焖烧杯 用焖烧杯焖粥 省事  节能 方便 熬出的粥也很好吃  杯子颜色 外观非常好看 超级喜欢💕！非常满意 ！</t>
  </si>
  <si>
    <t>感觉不错 计时器的秒针对不准零点 其他都还好</t>
  </si>
  <si>
    <t>LEE牛仔裤 超值之选，非常满意，一次愉快的购物。</t>
  </si>
  <si>
    <t>产品质量好 包装完好，链接蓝牙速度很快，音质清楚，质量好，携带方便。 当然由于是入门级，音质不能和上千元的耳机比，不过作为日常用是足够了</t>
  </si>
  <si>
    <t>鞋盒有什么 当时在网上搜，结果买大了一码。然后就是没有配送鞋垫，也没有多余的鞋带，就一双鞋带，纯鞋，没有其他东西。</t>
  </si>
  <si>
    <t>很不错。符合要求 很不错。符合要求。速度也很满意</t>
  </si>
  <si>
    <t>偏小 尺寸太小，L号只适合1.56-1.62穿，该款偏小</t>
  </si>
  <si>
    <t>很经典的耳机，值得拥有 正在煲，看评论很经典的一款耳机，刚开始听起来很不错，期待煲好后的效果</t>
  </si>
  <si>
    <t>打折时性价比高 一直想买一双puma suede系列，终于在亚马逊全球prime day看到好价，含税包邮245.17入手，性价比超高，鞋子全新，没有一点瑕疵。。 自己DIY了丝绸鞋带，比较适合夏天。 该款鞋较普通鞋大半码，平时穿38码，这个穿37.5。建议去店里试穿以后，记住US码后再在晚上选码购买。不然海外购退换货很麻烦。</t>
  </si>
  <si>
    <t>计时准确，外表美观 戴了20天，快了不到1分钟，有点不敢相信，因为机械表每天误差10多秒是很正常的，仔细观察后发现它走快一两天后又会慢一点，所以这么多天才快了40多秒，不知道是要庆幸还是要悲观，还是比较满意的。秒针跟图片不一样，机芯是日本西铁城公司的。金色的颜色适合年龄稍大，不过个人过30了，应该不要紧。买后看到有银色款的秒杀确实很漂亮，适合大众化一点的吧。</t>
  </si>
  <si>
    <t>值得推荐 1、衣服及领子有点长以外，其它都好； 2、这件衣服应该是别人试穿退回来的。后身有块脏印； 3、身高173/72kg，S码正合适。</t>
  </si>
  <si>
    <t>轻巧，方便 大爱，带出去方便，细细的，小小的</t>
  </si>
  <si>
    <t>咖啡机很满意！ 用了整整14天到手包装完好，MADE  IN CHINA。咖啡机做工精致，使用方便。奶泡机使用简单，奶泡丰富细腻，就是泡沫很难倒到杯子里。最后要感谢中亚海外购，方便快捷安全有保障，关键还免运费！</t>
  </si>
  <si>
    <t>大小合适，很薄，料舒适。 大小合适，很薄，料舒适。</t>
  </si>
  <si>
    <t>酸 有点化了 好酸 孩子不是很爱</t>
  </si>
  <si>
    <t>特殊打磨的f尖 这把笔的体验还是不错的。21k金尖但又不会太软 ，铱粒是经过特殊打磨的，所以虽是F尖，却一点也不细，练字的用途多于日常。很满意！</t>
  </si>
  <si>
    <t>满意 考电影大文件，110至130M/S</t>
  </si>
  <si>
    <t>灰色26 一直想选一款炖锅，用于代替家中的砂锅，经过多家网店的比较，终于在亚马逊上选了这款锅，价格比国内网商都便宜，今天终于收到货了。实物非常精致，没发现瑕疵,顿了一锅羊肉,完美！</t>
  </si>
  <si>
    <t>可以维修或更换吗？ &lt;div id="video-block-R1OPORL5VOD3NO" class="a-section a-spacing-small a-spacing-top-mini video-block"&gt;&lt;/div&gt;&lt;input type="hidden" name="" value="https://images-cn.ssl-images-amazon.com/images/I/A1PvN3Av2yS.mp4" class="video-url"&gt;&lt;input type="hidden" name="" value="https://images-cn.ssl-images-amazon.com/images/I/71D3ukiWEYS.png" class="video-slate-img-url"&gt;&amp;nbsp;产品很好！今天2018年9月8日，第一次使用该产品，发现底部固定壳在两个角部螺丝固定部位破碎。推测是安装问题导致电机转动时应力过大。目前，电机固定不牢不敢继续使用，估计是个低概率问题。虽然只是底板塑料件破碎，但螺丝不是中国标准件，我们无法拆卸更换，可否换一件。应该如何处理？请指导。谢谢！</t>
  </si>
  <si>
    <t>不推荐购买 一分钱一分货 裤子很薄 不是中国产的 100多元加税 不推荐购买</t>
  </si>
  <si>
    <t>太长了 衣服太长了，180买的l码，下摆都到屁股下面了，不知道怎么这么长，其他大小挺合适的</t>
  </si>
  <si>
    <t>亚马逊太坑了 快递送到时，包裹是敞开的，手伸进去就能拿到里面的东西，这个是小孩子吃的东西，包裹这样怎么能放心？于是拒收了，然后亚马逊一直不退款。咨询亚马逊客服，让等，结果等了这么久也没有退款，非常不满！以后不会再来亚马逊！这么大一个网站毫无信用！</t>
  </si>
  <si>
    <t>售后太太太差！ 垃圾！买了四个多月水泵就坏了！不出水！找亚马逊不负责！各种推脱责任！找洁碧中国售后说不能维修，美版型号不一样！找私人维修店，说这款是一体机，拆不了，只能报废！垃圾！亚马逊拜拜！亚马逊以后拉入黑名单！再也不用！</t>
  </si>
  <si>
    <t>实惠 还可以，便宜实惠，用了很久还是有电的</t>
  </si>
  <si>
    <t>白开水 拜亚＋监听＝白开水。解析还不错，不过真的是像白开水一样不咸不淡，不讨好耳朵，但是真实</t>
  </si>
  <si>
    <t>穿着有异响 皮鞋款式做工还不错，就是穿上后走路的时候会发出“咯吱咯吱”的声音</t>
  </si>
  <si>
    <t>还不错。 还不错，就是贵了点。</t>
  </si>
  <si>
    <t>整体很好，说明书不懂 这下不用担心我的机械表停摆、走时不准问题了。提前送货到家了，经过这两日使用，除了表盘略小之外，其他很满意，尤其是手表带卡口的调节，为顾客想的很是周到，调试时间是选择好液晶显示时间后，指针的时间自动跟着改变，自己还不知道啥时候发生的。不过，由于是从日本寄过来的，说明书全部是日语，连蒙带猜吧，稍后还要继续研究一下。手表的标志也很奇特，我到处找西铁城的字样未得，后来才明白过来。在中国组装的英文居然是不干胶贴上去……</t>
  </si>
  <si>
    <t>速干 不错，穿起来比较有型</t>
  </si>
  <si>
    <t>海淘性价比很高，非常舒适。 英淘的，价格相对于国内专柜基本就是零头了，很有性价比喜欢ecco的一定别错过了。</t>
  </si>
  <si>
    <t>不错 买大了但挺喜欢肩带部分</t>
  </si>
  <si>
    <t>建议 建议用固定包装盒，折痕严重，影响穿着效果。</t>
  </si>
  <si>
    <t>完美 轻，不粘锅，易清洗，油烟比之前用的纯铁炒锅少太多太多！完美具备一个锅该有的所有优点。是我用过最好用的炒锅。</t>
  </si>
  <si>
    <t>尺码 有弹力 选择正常尺码即可 如果冬天穿着要选大一码</t>
  </si>
  <si>
    <t>裤子不错 身高176，体重70kg选了31×30的，腰围还是略大，裤腿稍微挽2道就很好。已经选择29×30的了，过几天到货，还是喜欢紧紧的感觉。发现最好的大小是30*30</t>
  </si>
  <si>
    <t>书写顺滑，确实比较粗，略贵 到货很快，可以收到盒子被压超扁…随便写了一下，很顺滑，不过同样是ef笔尖，确实比我的百乐的粗好多啊，比施耐德的bk402还粗。其他没问题，唯一想问的就是，同样是凌美狩猎者，这款比同样的狩猎者白色L19WEM贵几十块，为什么呢？？？？？</t>
  </si>
  <si>
    <t>是正品 是正品、回头穿着在试试。</t>
  </si>
  <si>
    <t>笔身树脂质感好，笔尖顺滑 笔杆材质好，不像鸟笔一样容易产生划痕。只是新笔来的时候笔杆上还有胶，差点以为是次品……搓掉胶后笔杆闪亮</t>
  </si>
  <si>
    <t>哈哈哈呵呵 感觉换不错。。。。。</t>
  </si>
  <si>
    <t>内裤 非常好</t>
  </si>
  <si>
    <t>帽子 帽子的颜色好看，质量也好，很帅气</t>
  </si>
  <si>
    <t>物美价廉 高175cm，体重72kg，中号很合适</t>
  </si>
  <si>
    <t>还可以 做工还不错，就是有点硬，用段时间看看会不会软些。2尺3的腰围，32的刚刚好</t>
  </si>
  <si>
    <t>不错 还未使用，看来不错👍👍👍👍👍。</t>
  </si>
  <si>
    <t>挺好 玻璃的安全，但真的很重啊</t>
  </si>
  <si>
    <t>舒服合适 面料舒服，大小合适</t>
  </si>
  <si>
    <t>物超所值！ 非常超值的产品！</t>
  </si>
  <si>
    <t>裤子很不错 裤子大小合适，穿着也很舒服，跟预期完全一致。</t>
  </si>
  <si>
    <t>很棒 非常漂亮，价格不贵，大小正合适！</t>
  </si>
  <si>
    <t>挺满意 感觉不错，满意，现在需要去找裤子配了</t>
  </si>
  <si>
    <t>剩余保质期极短 3月购买，同年10月到期。按照一天一片的使用量必须每天不间断吃才能在保质期内吃完。</t>
  </si>
  <si>
    <t>皮带 老公用下来感觉质量还行。</t>
  </si>
  <si>
    <t>还是产子中国 原以为买了一双进口鞋子，结果绕了一圈，交了进口税，还是made in china！鞋子穿的不是很舒服，鞋子里面的空间不大！</t>
  </si>
  <si>
    <t>我看了尺寸对照表，US7应该是24cm，是到的是235的 不能穿</t>
  </si>
  <si>
    <t>质量令人失望 开启水壶的开关，稍轻碰就开了，打开包包，经常发现水壶是开启的，水流出，质量欠佳！</t>
  </si>
  <si>
    <t>价格有点贵，速度一般 防水是卖点，还有外形特别。价格有点贵，传输速度一般般</t>
  </si>
  <si>
    <t>不是很喜欢 买了好多双ASICS的鞋子， 这个款式是最不喜欢的，颜色和码数都没有达到预期的效果，</t>
  </si>
  <si>
    <t>卷边 最下沿会卷起，文胸最高处不光滑</t>
  </si>
  <si>
    <t>买小了点 穿了二次，就是号码买小了点，有点紧，下次再买，一定加大一个号。</t>
  </si>
  <si>
    <t>不太耐洗 穿着还算舒服，只是洗了三次领口就有点松了</t>
  </si>
  <si>
    <t>不错的硬盘，设计挺科学的 不错的硬盘，设计挺科学的</t>
  </si>
  <si>
    <t>超值购 很好！</t>
  </si>
  <si>
    <t>标题。 质量不错，对得起价格，但有点薄。</t>
  </si>
  <si>
    <t>非常不错 大小合适，材质很好，穿着舒服。</t>
  </si>
  <si>
    <t>机器不转了 买了个黄色的，用了两次都正常，第三次不转了，机器没有反应，能是什么原因呢？</t>
  </si>
  <si>
    <t>名不虚传 很好，扇子花洒名不虚传</t>
  </si>
  <si>
    <t>用过最方便舒适的水牙线！ 产地中国，电源插座通用，去德国兜了一圈儿又回来了，去年在某🐱上买的活动价格还要1K，用的很舒服，研究着再买一个，Amazon德国这里便宜好几百，不解啊，为啥会这样子，anyway很好用！</t>
  </si>
  <si>
    <t>很不错 口感甜，很喜欢，好评。</t>
  </si>
  <si>
    <t>非常喜欢的牌子，很满意 裤子大小合身，面料舒服</t>
  </si>
  <si>
    <t>Dr. Martens Men's 2976 脚宽的建议大一码，鞋子比较窄</t>
  </si>
  <si>
    <t>很不错，满意 很不错啊！尺码也标准</t>
  </si>
  <si>
    <t>除了颜色好看其他一般 一分价钱一分货。。</t>
  </si>
  <si>
    <t>东西真的不错！ 和预想的一样好。</t>
  </si>
  <si>
    <t>有香味，不过孩子喜欢 有股香味，还担心会不会对孩子不好，问了几个妈咪都说确实有香味，不过宝宝咬的挺开心的，只要看见快到嘴边就长着小嘴准备咬了</t>
  </si>
  <si>
    <t>很不错 很轻，很保温，很精致。</t>
  </si>
  <si>
    <t>， 样式很喜欢，稍微有点不足的地方是鞋带脱丝了和鞋底有点快磨损，不过总体还是很喜欢的一双鞋</t>
  </si>
  <si>
    <t>好用么 高大上的品牌，品质感十足，五星级酒店用的品牌的，价格真的觉得很实在了。能用得住的好东西</t>
  </si>
  <si>
    <t>送货神速，包装完好，产品很是惊艳，价格小贵。 送货神速，包装完好，产品很是惊艳，价格小贵。</t>
  </si>
  <si>
    <t>经典，名不虚传 不买耳机烧的难受，一咬牙一跺脚，买了！一耳朵秒了我的dtx501.不过这货还真不好推，没好的前端，用笔记本完全带不动。买了乐知邦02us龙卡勉强玩玩。买了这货没米了！听人声齿音严重，有些歌极度不适合，比如梁静茹的崇拜，简直没法听。听古典很不错，买耳机学习学习听古典音乐！不好伺候啊，慢慢烧吧。</t>
  </si>
  <si>
    <t>亚马逊盆骨带 帮别人买的，真的很棒棒！</t>
  </si>
  <si>
    <t>外行评论 不太懂耳机，反正觉得音质挺清楚，正在煲机场中。</t>
  </si>
  <si>
    <t>轻便，舒适！ 脚长23.5cm,买的5m us big kid非常合适，用料很扎实，看起来估计穿个好几年都没问题！</t>
  </si>
  <si>
    <t>速度确实不快 速度不快，USB2.0时候就20兆不到的速度</t>
  </si>
  <si>
    <t>划痕，郁闷 果然海淘有风险，靴子表面多处划痕，很郁闷，款式是好看的，长度大小合适，但确实脚掌前端最宽处比较紧</t>
  </si>
  <si>
    <t>我有个小疑问 这次买的质量和以往的不一样，洗一次就有点变形，面料说不上来哪里不好，但是以前买的确实要好些</t>
  </si>
  <si>
    <t>售后服务中心联系我吧 才打开来用，充电不上。昏死。可能也无法联系售后服务。</t>
  </si>
  <si>
    <t>过大 尺码完全不准，太大了，没法穿，也不知道怎么退换货，新衣服就得扔</t>
  </si>
  <si>
    <t>难看的绿帽子 外形不好看，颜色也不好看，还是绿的</t>
  </si>
  <si>
    <t>有差别 说是修身其实对国人来说不算修身，2.45尺腰选30的大一点点没什么影响，裤子偏厚秋冬季穿，做工粗糙，实际颜色与图片有差别没图片好看</t>
  </si>
  <si>
    <t>衣服小，感觉外国裤子裤腰低 网上买衣服裤子真不容易，尤其是国外的，看了别人评论买的，果然还是小了，可能是自己最近胖了，太紧了</t>
  </si>
  <si>
    <t>防风挡雨 没想到M号的也这么大，不过却正好用的少，爬雪山时里面穿羽绒，外面套上它也不显得肿。</t>
  </si>
  <si>
    <t>好东西 真品牌的东西，价格非常好，品质也不错！性价比很高！值得购买！</t>
  </si>
  <si>
    <t>正品 没有muscletech的好溶解。需要多晃一会</t>
  </si>
  <si>
    <t>尺码标准，质感很好 Boss的裤子做工很好，尺码标准，相比tommy线头控制更好一些，裤子有弹性，slimfit款式，适合亚洲人。 本人173，66kg，没肚子，买的31W32L，腰围还是有点大了，下次买30w30l应该正好</t>
  </si>
  <si>
    <t>推荐购买 穿着很舒服，柔软，满意</t>
  </si>
  <si>
    <t>质量好价格实惠 做工很好，价格实惠，很合身，快速5天到。</t>
  </si>
  <si>
    <t>很划算的打底裤，适合5°～10°穿 没有s码，看着很大，其实挺贴身的。而且厚度也刚好，很暖和，今天7°穿着不透风，膝盖没受风，热热的，真的很不错了，而且比淘宝便宜多了。</t>
  </si>
  <si>
    <t>大牌子 买了很多回 价格合适 质量可靠</t>
  </si>
  <si>
    <t>很合脚 38码的脚，订的美国码8码的，正好一脚。平时穿美码7.5码，这次看到评论要订大一码，于是订了8码，很合脚。谢谢前面的点评者。</t>
  </si>
  <si>
    <t>很合适 很轻很不错 看看防水和耐用性了</t>
  </si>
  <si>
    <t>很好 很好，很喜欢，转换开关很方便，我只能说安装上以后，喝起来口感和婆婆家里三千多的没什么区别！也许有区别，但单凭口感来说没有，滤芯勤换更卫生</t>
  </si>
  <si>
    <t>很好 蛋白很大一袋，很好！</t>
  </si>
  <si>
    <t>大小刚合适 非常不错，想要的尺寸，装一些随身物品。</t>
  </si>
  <si>
    <t>不错的购物体验 第一次从亚马逊海外购，衣服尺寸M号，适合国内75B到80B。从日本过来路上不到一周,速度超预期。</t>
  </si>
  <si>
    <t>喜欢 很喜欢这款短外套！颜色适合我。</t>
  </si>
  <si>
    <t>舒服 用上就换不了别的了，轻薄但是吸水力强，镇店之宝价购入，踏实放心</t>
  </si>
  <si>
    <t>舒适 非常nice，尽管防水，但依然透气，在南方多雨的地方很有用场。👍</t>
  </si>
  <si>
    <t>很方便 保温效果不错，带宝宝出门很方便</t>
  </si>
  <si>
    <t>价格优惠 正品，价格优惠，海外购时间挺快的，很满意，谢谢！</t>
  </si>
  <si>
    <t>很好的东西，推荐购买 东西太爽了，很赞！</t>
  </si>
  <si>
    <t>顺滑流畅 作为书写工具，满分。</t>
  </si>
  <si>
    <t>不错 这个硬盘是我的第一单海外购、带关税整体下来900多的价格、实际容量是7.2多。内置硬盘5400多转速度、接USB3.0速度为150MB左右、适合放大文件做仓库用。附件带多个插电头支持很多国家供电标准、磁盘传输声音也不大。整体满意。通电次数为5次</t>
  </si>
  <si>
    <t>老婆觉得不错，那就是不错 不错，有点重，指着穿穿就舒服了</t>
  </si>
  <si>
    <t>很满意的一次海淘 很满意，大概7天到货，包装也很完整，价格比淘宝还便宜，非常满意的一次海淘。看了好久终于入手了</t>
  </si>
  <si>
    <t>用后感 总的来说不错，性价比还比较高，就是税贵啊。</t>
  </si>
  <si>
    <t>商家用心还是别有用心？ 实物与图片不符，商标是贴上去的，做工极差，简直就是山寨货。忽悠消费者，我买之前看品论还以为是个别现象，看来是事实，做工极差。</t>
  </si>
  <si>
    <t>鞋码偏大鞋帮低 与同款其他鞋子比鞋码偏大，鞋帮矮了点，穿着包裹感差一点，鞋底偏硬。冲着防水买的！总体还是值得！</t>
  </si>
  <si>
    <t>冲着厚木的名声买的 第一条厚木 但是不如同等价位的婷美紧身裤 织的比较稀疏</t>
  </si>
  <si>
    <t>普通裤子 速干。</t>
  </si>
  <si>
    <t>big The quality of the clothes is not asked, it is a big feeling, I have to pay attention later.</t>
  </si>
  <si>
    <t>不好 号码极其不靠谱。买的M的太大，S的又太小！丫抓住顾客的嫌海外购退货运费高的心理，发些质量有问题的货，上次买了件女士针织衫居然还有浓浓的香水味！黑五花了好几千在丫，买的衣服没一件合身的，对丫失望极了！</t>
  </si>
  <si>
    <t>为什么不可以差评 老公身高170，体重120，实在是穿不进去，太小了。我身高158，体重100，竟然穿着费劲，还是小。真不知道这个尺码怎么会差这么多，这是我最后一次亚马逊购物了，失败极了，购物体验太差了</t>
  </si>
  <si>
    <t>非常好。 质量好，脚感柔软舒适。圆头短靴，脚瘦的话会感觉有点大。可以穿上厚点的袜子 。</t>
  </si>
  <si>
    <t>第一块用自己钱买的卡西欧光波表 这款表几乎只有在亮处到暗处一瞬间夜光挺亮的。。。。和同事精工的同价位比了一下，晚上夜光基本惨不忍睹。 电波对时不错，对时成功率80%，ps我在江苏。 表盘对于腕围15.5的我来说，刚刚好。 是18年6月份生产的，虽然是12年发布的，但灰色表盘，红色时针，白色分针色彩搭配的挺好，不落伍。</t>
  </si>
  <si>
    <t>还不错 刚觉筒有点高，有点妨碍走路</t>
  </si>
  <si>
    <t>声音的解析力！ 买来配合ZX100 听，接耳放， 和家里有的AD700X 开放式耳机比较了下解析力， HD25要强， 声场有些小。 适合那种中音人声的歌，换气的声音都听的到，身临其境的感觉，不糊，但是声场确实小了点。 但是那种解析力很惊艳，闭上眼睛仿佛在眼前唱歌的感觉。  我买的是LIGHT 版本，就一根线，感觉也足够了。PLUS版加的是耳罩以及送了一根弯曲线。</t>
  </si>
  <si>
    <t>牙刷大赞，宝宝必备单品 牙刷宝宝特别喜欢，上手就会用刷毛那头来磨自己刚冒头的小牙，萌萌哒。当牙胶也很合适，很软没有异味。</t>
  </si>
  <si>
    <t>喜欢爱步 爱步的鞋，没什么过多的描述。尺码标准，做工精细，穿着舒适。海外购的价格给力。 prime会员包邮，国内走顺丰，这个比自己海淘方便太多，对于体积大重量大的商品有巨大优势。</t>
  </si>
  <si>
    <t>包装不错，中国制造 刚打开还没用，除了油漆刷得不匀，都还好，用后再做追评！</t>
  </si>
  <si>
    <t>很好看，虽然不算太贵 很好看，虽然不算太贵</t>
  </si>
  <si>
    <t>产品不错 产品使用正常 官网能注册成功</t>
  </si>
  <si>
    <t>有质感有颜值 9月份订购的，一直缺货，终于等到发货，竟然是DHL配送！非常快就收到了！感谢期间亚马逊客服帮我查询日本库存。水壶很有质感，三处按压出水其中两处还能计量出水量，非常棒。</t>
  </si>
  <si>
    <t>m尖 东西很精致，但是笔尖是m的。要买的注意一下。</t>
  </si>
  <si>
    <t>舒服的鞋 鞋型偏瘦，脚型很舒服，前掌底硬。</t>
  </si>
  <si>
    <t>不错可以 性价比还是可以的 不错滴</t>
  </si>
  <si>
    <t>扣不严 颜质一级，但饭盒扣不太严</t>
  </si>
  <si>
    <t>非常好 非常好，值得购买。。。</t>
  </si>
  <si>
    <t>东西不错，符合预期，感谢亚马逊给我带来好的购物体验 今年表妹高考，想着送点礼物给她，正好自己前不久买的德国产的Lamy钢笔书写方面效果很棒，想着她以后上大学，也能经常用。下面是买的两支对比，字有点丑大家别见怪。笔没问题，前面买的那支F尖一直很好用，我基本第一次长时间用钢笔，有些方面跟大家分享下，这笔不像街上2块钱的水芯笔不能长时间暴露在空气中，不然会有点堵笔，还有就是一定不能用炭素墨水，一用就堵。  非炭素F尖出水有点大，不过还行EF尖非常适合学生</t>
  </si>
  <si>
    <t>很不错的桌面级监听 解析度不错 999买的E4.5，已经安装好。用Foobar2000播放Flac，解析度很不错，我靠墙摆放的，声学空间-2dB，低切Flat，三段均衡，低频量感完全足够，氛围感很不错，还有一定的下潜能力，中频比较清晰，高频也算顺耳。混了一首音乐，KORG Pa300中各个轨道的声音都比较清晰，总体对E4.5很满意。</t>
  </si>
  <si>
    <t>过大 确实比国内尺寸大，身高180，160斤M号正好</t>
  </si>
  <si>
    <t>美津浓 一如既往的好</t>
  </si>
  <si>
    <t>物美价廉 很好，物美价廉。</t>
  </si>
  <si>
    <t>小礼物 物美价廉，先生非常喜欢</t>
  </si>
  <si>
    <t>手表很漂亮 东西很好，快递也很给力。有点懵</t>
  </si>
  <si>
    <t>物美价廉! 价格比代购的优惠，是法国的货源，很漂亮，非常满意!做了红烧鱿鱼，全家都爱吃!</t>
  </si>
  <si>
    <t>不错很成功 舒服 很好穿 弹性非常好</t>
  </si>
  <si>
    <t>有点贵 还不错，就是太贵了，要是免邮就好了。</t>
  </si>
  <si>
    <t>衣服 不是棉的</t>
  </si>
  <si>
    <t>一般 虽然面料柔和，但衣服胸围跟腰围处过宽，整体一般…</t>
  </si>
  <si>
    <t>质量一般 质量一般，没有以前买的日本丝袜好。</t>
  </si>
  <si>
    <t>买的黑色，寄来的咖啡色 买的黑色，寄来的咖啡色</t>
  </si>
  <si>
    <t>移动硬盘这种东西还是买国行吧！ 移动硬盘买回来有一段时间就必须修复才能往里面穿大文件，不然传着传者就自动断开。后悔！</t>
  </si>
  <si>
    <t>只有半年就过期！别买！ 不要买，差评，现在才发现，12月份就过期了！我还买了2件！没想到亚马逊全球购这么坑，我以后都不会在亚马逊买东西了，永别，我的会员账号也不会要了，以前以为亚马逊全球购靠谱，没想到原来这个鬼样！永别！</t>
  </si>
  <si>
    <t>味大 味道特别大特别大，感觉真的像买到假货了</t>
  </si>
  <si>
    <t>中评 确实是超硬的裤子，直接拉开牛仔裤几条街。不知道洗后效果怎样。 裤型还好。</t>
  </si>
  <si>
    <t>还不错 产品挺好 但是龙头上真的如其他卖家所说很多划痕</t>
  </si>
  <si>
    <t>轻便 上脚感觉没有ECCO的正装鞋舒服，不过款式和皮质还是很满意的</t>
  </si>
  <si>
    <t>舒适，比平常稍长一点， 230就到手的lee，版型很显瘦，软软的牛仔，很喜欢。</t>
  </si>
  <si>
    <t>性价比不高 性价比不高，不到200购入，国内中通不行。</t>
  </si>
  <si>
    <t>质量很好 这条腰带170块钱说实话不算贵，但是质量非常好 用了半年多了完全没什么问题，就是卡口磨损导致有些地方的那层黄铜磨掉了</t>
  </si>
  <si>
    <t>特别满意！！！ 太好用啦，以为买小了，身高162～体重118，生前体重100～生完腰围81，臀围96，冒险买了S，穿进去了，特别紧但是不勒，希望会有效果。推荐大家购买。</t>
  </si>
  <si>
    <t>很好 越洗越柔软，非常不不错的一款睡袋</t>
  </si>
  <si>
    <t>美版的尺码，要想躯干合身，袖子就超长，要想袖子合适，躯干就紧身。 做工没问题，我174cm，74kg，买的s，袖长正合适，肩宽基本合适（衣服稍微嫌窄一点点），但是躯干部分比较紧身，类似于在健身房穿的压缩衣的紧身程度，但是由于面料全棉柔软有弹性，所以穿上以后居然看起来很不错（因为我平时适度健身，躯干不胖）。所以如果你是大肚子的胖子不建议买这款衣服</t>
  </si>
  <si>
    <t>好评 好看！跟男票一人买了一块 这个颜色超适合男票。 表带比想象的轻薄，就是走针声音稍微有点大 但也不影响睡眠。右边的旋钮（是叫旋钮不）按下去表盘会亮灯 黑暗环境下也会看得到。目前走了12个小时 时间很准</t>
  </si>
  <si>
    <t>给娃囤货备的还没用。 有吸盘不容易被摔，三个可以盛汤，菜，饭，还不错。</t>
  </si>
  <si>
    <t>鞋码 穿上舒服，款式也很不错</t>
  </si>
  <si>
    <t>好用 很好用的机器，打发奶油快，和面又劲，不错。</t>
  </si>
  <si>
    <t>质量好 质量不错，穿着舒服。</t>
  </si>
  <si>
    <t>面料做工一流，考虑再买一件 面料做工一流，考虑再买一件。175cm 61kgs码合身，供大家参考。比较不同颜色价格时发现，有的关税30%有的15%左右，不知道啥原因。</t>
  </si>
  <si>
    <t>值得购买 布料柔软，有点弹性，颜色正，160，57KG，M码，稍微有点大，但整体感觉不错</t>
  </si>
  <si>
    <t>不错 五百不到的价格，撸了两块给孩子在校佩戴，还给朋带了一块</t>
  </si>
  <si>
    <t>还可以吧 钱包挺薄的但是装上卡后有点厚</t>
  </si>
  <si>
    <t>辅食剪好用 剪刀很满意，剪起来很省力，这款是吴尊同款</t>
  </si>
  <si>
    <t>小贵，不过刚需。也没办法了！ 小贵，不过刚需。也没办法了！</t>
  </si>
  <si>
    <t>第一次在亚马逊购买 给宝宝买的，还没有开始用，以后再来</t>
  </si>
  <si>
    <t>使用感受 以前在美图美妆买过，用的挺好的。吸收快。不粘腻。并且放在冰箱里面冷藏。使用舒服。</t>
  </si>
  <si>
    <t>厚木紧身裤 很合身，很暖和，穿着很舒服。</t>
  </si>
  <si>
    <t>性价比高 一周收到，速度给力。两支装适合家里人用，配件一个充电杯，一个放置刷柄的底座，没有旅行充，两个标准刷头。</t>
  </si>
  <si>
    <t>出水量要比原来低一些，但是除去氯味道效果非常好。 为没有了任何异味儿，我直接喝了也没有闹肚子什么得。</t>
  </si>
  <si>
    <t>挺好看，很运动 外圈还能测速，嗖嗖的，银黑相间的色彩中点缀着一抹红，哈哈非常喜欢</t>
  </si>
  <si>
    <t>可以！ 还未使用，应该不错！</t>
  </si>
  <si>
    <t>很大啊！ 总价779.本来给老婆买的，谁知道买的太大，鞋码还是正，就是买大了，不好退货，将就穿了</t>
  </si>
  <si>
    <t>不诱钢碗，外套容易坏 一般般吧</t>
  </si>
  <si>
    <t>这个质量不错！穿一次就脱皮，是一次性的吗？ 穿了一次就炸皮了</t>
  </si>
  <si>
    <t>褪色严重 褪色严重，怀疑是假货</t>
  </si>
  <si>
    <t>锅是相当好 锅是相当好，我是用在电磁炉上完全没问题，唯一缺点就是重了点，我是能接受，女士可能感觉有点。</t>
  </si>
  <si>
    <t>味道不错 味道不错，就是没感觉有什么效果</t>
  </si>
  <si>
    <t>简单实用，价格再低点更就更美丽了 质量不错，实用，大小刚刚好，满足我日常需求，不过价格小贵</t>
  </si>
  <si>
    <t>不错的滤芯 信赖其品质，一个月的使用期有些少。</t>
  </si>
  <si>
    <t>鞋子不错 鞋子还不错，不过没图片好看，有点老气。 鞋码和nike、nb一致，反正对于我脚背偏高来说，得同样买大一整码的：怕大只买了大半码的，结果是鞋长刚好，但再大半码宽松一些更好。</t>
  </si>
  <si>
    <t>女朋友说不错 很舒适 挺喜欢的 颜色也很好看 不过保暖效果达不到不惧严寒 汗  有点吹</t>
  </si>
  <si>
    <t>不刺激口腔的漱口水 昨天收到的，早上想到就开了瓶试下，虽然瓶子有种绿里透白的感觉，不过漱口水颜色是透明，入口没有含酒精那种刺激，淡淡的薄荷味道，含了一分多钟也没有觉得口腔难受的感觉，而且口气经他人确认的确好很多。入手含税一百零几rmb，比平时用的日系漱口水价格稍贵，不过效果明显好，怪不得美亚销量高，以后还会再入。</t>
  </si>
  <si>
    <t>不错 给老婆买的，很好，弹性大，不勒。颜色也正</t>
  </si>
  <si>
    <t>怀念那会儿松下随身听的时代 音质棒棒的，不减当年。</t>
  </si>
  <si>
    <t>馒头2果然不错 顶级享受 低阻耳机典范</t>
  </si>
  <si>
    <t>评价 用了很不错👍值得拥有</t>
  </si>
  <si>
    <t>物超所值 超乎我想像中的好！！！</t>
  </si>
  <si>
    <t>完美 从音质、颜值、续航、操作简单完美到无可挑剔！</t>
  </si>
  <si>
    <t>舒服 不错的，挺好</t>
  </si>
  <si>
    <t>好 挺适合夏天的，穿上很舒服，睡觉穿也没啥不舒服的感觉。</t>
  </si>
  <si>
    <t>HIFI的本质是真实的还原录音 只有dt880做到了 相信没人买它用来听DJ吧？ 评测的文章到处都是 不必多说了 手中有森海和AKG 还是感觉dt880最好 32欧会有底噪 600欧得有好的耳放 250欧刚好  任何的渲染都是瑕疵 (或许那瑕疵也很美 )  dt880是最接近无渲染的耳机  刚拿到手 还没煲 直插电脑 完全能推得动（ 我相信好的前端确实能提升它的素质 并且煲开了会更好 ）第一耳朵就知道了 这是我要的那个声音 另外 亚马逊真给力 打折促销的时候 让你有意想不到的惊喜  并且 你不用担心什么假货 物流 货品的问题。。。以上这些 给喜欢dt880的 还没下决心出手的人们一个参考</t>
  </si>
  <si>
    <t>非常好 经常在亚马逊买鞋，平时就穿41码，ecco鞋码很准，这双鞋有Goretex防水，非常轻盈，足弓支持非常好，中国产，建议购买</t>
  </si>
  <si>
    <t>有效果 买来就马上用了，有效果，对耻骨分离有缓解作业</t>
  </si>
  <si>
    <t>无吸墨器 德国原装正品，盒证齐全，就是没有上墨器</t>
  </si>
  <si>
    <t>很赞很赞的^_^ 和想象中一样好看，质量很好，老公说很舒服，就是有一点偏瘦，平时41-41.5鞋，这个8.5us刚好</t>
  </si>
  <si>
    <t>性价比高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</si>
  <si>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名不虚传 名不虚传，看上去很美！用起来很舒服</t>
  </si>
  <si>
    <t>不错，值得购买 不错，包装完好。到手可成功收波。</t>
  </si>
  <si>
    <t>好 不错大小合适送货准时，喜欢。</t>
  </si>
  <si>
    <t>手感不错 手感很好，使用很平滑。</t>
  </si>
  <si>
    <t>不错的卫衣 面料不错，里面有一层薄绒，181  164斤，m号略宽松，穿着很舒适，建议小两号购买</t>
  </si>
  <si>
    <t>舒适 穿着舒适，但是太爱下滑了</t>
  </si>
  <si>
    <t>东西还行，送货太慢！ 东西还行，颜色有点偏淡。只给三分是因为送货太慢，买了近一个月才到手，各种耽误。</t>
  </si>
  <si>
    <t>怀疑假货 收到了，外包装是一个长方纸盒，没有密封好，衣服掉色，褪色，像是假货</t>
  </si>
  <si>
    <t>千万别买，已经是改版的了，质量不好！ 别买，谁买谁后悔！真心的，看到了这个评论，就关掉这个页面吧！不想大家在踩雷了，这双已经跟初版不一样了，质量差，不值得！———来着已经买过n双clarks的老客户。</t>
  </si>
  <si>
    <t>这是一次性裤子么 这是假货么？才穿三天就磨成这样了……按系统推荐买的l码…结果大了去了…</t>
  </si>
  <si>
    <t>棒棒棒！ 刚刚拿到鞋 真的炒鸡好看 但是真的很硬 看来需要一段时间来磨合了 苦了我的双脚啦 不过真的太好看啦 穿鞋脱鞋是真的难 哈哈哈 不过值了 准备种草1460和1461 哈哈哈家</t>
  </si>
  <si>
    <t>这是我想要的夹克，可能比通常的夹克要更加肥大 身高180，体重70公斤，穿M号合身。 收到夹克的时候有点皱，穿了两周褶皱少了许多。 这款夹克的材质是防风、防雨的，并且它透气保暖。它的穿着效果和图片差不多，你会感觉它比通常的夹克要肥大许多，但是肩宽和衣长却是很合适的。 这是一次满意的购物。 客服很热心，解决了我的困惑。</t>
  </si>
  <si>
    <t>还行 巴基斯坦产的。款式不错。就是感觉质量差点意思。腋下有点开线了。</t>
  </si>
  <si>
    <t>袖子长，胸围小 这件比一般美码的L胸围小，袖子硬生生给我穿成一件长袖</t>
  </si>
  <si>
    <t>不错 不错，适合运动。只是背扣稍微难系了一点点，这个也是运动内衣的普遍问题</t>
  </si>
  <si>
    <t>漂亮 小巧的杯子，保温又漂亮</t>
  </si>
  <si>
    <t>性价比高 大小差不多，有点偏小。这个价钱能买到CK还是不错的纯棉，绵质量比较粗糙</t>
  </si>
  <si>
    <t>5条大小不一，但质地挺好 帮老婆买，刚好。160买，平均下来一条比gap还便宜，质量比gap好多了。</t>
  </si>
  <si>
    <t>mis 感兴趣</t>
  </si>
  <si>
    <t>实物很棒 大小合适，性价比很高，一个星期收到。买完就提价了。</t>
  </si>
  <si>
    <t>不算运费价格便宜，款式可以。 不算运费价格便宜，款式可以。</t>
  </si>
  <si>
    <t>漂亮,走的也挺准 第一眼就觉得很喜欢,这个系列的表都挺漂亮.用了半年了,感觉走的很准.表带是那种类似塑料的,但感觉做工不错~</t>
  </si>
  <si>
    <t>还好 东西不错，稍微偏小，懒得退了，留下了</t>
  </si>
  <si>
    <t>买Marshall不需要理由 两边都响，nb！！快递6天到手，很棒</t>
  </si>
  <si>
    <t>蒸汽量大 蒸汽量蛮大的，水箱加满2升水熨了8件衣服还有三分之一水。就是不太清楚每次熨烫完衣服，要不要把锅炉里的水排干净。</t>
  </si>
  <si>
    <t>重点是价格 比较小众，价格也过得去，主要是价格，哪便宜买哪的。壮骨与否不知道，反正吃了后指甲变硬了</t>
  </si>
  <si>
    <t>还可以吧 还行吧，帽子顶有点薄</t>
  </si>
  <si>
    <t>全能贴心小音箱 千元级别超值实用，可以直接连电脑播放器平板手机，因此可以摆放的任意地方。999买的E4.5，比 m-audio的AV42好还更便宜。连接方便，还带耳机aux口。比这再往上档次的监听音箱都是单个卖的而且连接起来巨麻烦，建议不是专业搞混音的就买这款或者同级别产品就行，别折腾</t>
  </si>
  <si>
    <t>建议亚马逊海外购增加“7天保价”增值服务 165cm，68kg购买小号合适。 已下单购买同款同色第2件。 唯一遗憾：袖子偏长。</t>
  </si>
  <si>
    <t>很好！ 很好！</t>
  </si>
  <si>
    <t>加热快 买来一个月后才开始使用，水加热非常快。</t>
  </si>
  <si>
    <t>499，近期低价，值了！ 开放式听着不累  akg这款耳机的素质不低  让人满意的一次购物。</t>
  </si>
  <si>
    <t>做工很好 不错的东西，做工细致，很好！</t>
  </si>
  <si>
    <t>怎么没有外包装呢 唯一的缺点是没有外包装袋</t>
  </si>
  <si>
    <t>很好的鞋，带增高功能 如果脚肥，建议选大半码，与国内专柜一样。</t>
  </si>
  <si>
    <t>希望管用 刚刚开始吃，五十几岁了，血管开始硬化了，只能希望管用！</t>
  </si>
  <si>
    <t>尺寸不合适 大到你无法想象 面料薄到你想象不出来</t>
  </si>
  <si>
    <t>看起来还可以 感觉没专柜做工好 看起来像是蓝色的 里面的绒掉的很厉害 希望洗后会好些 185cm 82kg L倒是正合适</t>
  </si>
  <si>
    <t>买错了 亚马逊介绍不详细，是要买墨水的，结果看到的是墨囊，想退货，可是退货运费比原价还要贵，不退了，留着以后其他用途吧</t>
  </si>
  <si>
    <t>二手货 封口是被打开过得，机子上还有划痕，别真是别人退回来的吧 在国外卖不出去了就来欺负中国人  恶心死呕</t>
  </si>
  <si>
    <t>没取消掉，只能收货了 终于见识了美国的粗狂，各种瑕疵，都不想提了。41的运动鞋买7码合适，鞋底毛刺多，完全不像这个价位的。预收税费太高，也查不到究竟收了多少。价格也比活动时差了很多，下单半小时开始取消，终于还是没取消掉，退货还好自己寄回美国，税费不退……感觉最后一次用免运费会员了，脱粉</t>
  </si>
  <si>
    <t>对比海外版本和国内版本有什么不一样 包装很明确的表示这是Plus，跟国内说的第三代基本对应上，唯一不满意的就是运输，以前都会套个纸箱运输，这次直接原包装运输导致到手的时候箱子破损，还好里面的东西没有破损</t>
  </si>
  <si>
    <t>腰包大小正好 做工精致，腰包大小，夏天用来装手机，驾驶证，银行卡，眼镜盒及钥匙等物品刚好，不能装太大物品，腰包比IPAD小1/3，made in China</t>
  </si>
  <si>
    <t>是正品可以买 还行，ojbk。</t>
  </si>
  <si>
    <t>物有所值 快递比想象的快，这么说也是大洋那边寄过来的。就是快递确认在网购时就确认会让人心里踏实一些，要不然提前有一个说明，现在好像是网上的骗子与你联系（某宝这种诈骗现在很多）。 东西外观像网上的评述有一个棱面不好，成型磨具肯定有问题。硬盘重新分区格式化了，写读的速度都还不错。 前两天在韩国，免税店的三星2T的比这个贵出不少。</t>
  </si>
  <si>
    <t>正合适 没有想象的那么长，30的裤子30的码正好。</t>
  </si>
  <si>
    <t>物美价廉 质量还可以，很喜欢。是正品，欧码</t>
  </si>
  <si>
    <t>入手运动裤 稍微大了些，老美的版本还是偏大一号</t>
  </si>
  <si>
    <t>和预期一样好 纠结了半天终于买下 果然是好口碑的好牙刷</t>
  </si>
  <si>
    <t>一款非常简洁的表 很好看  带了一年了  没有腻  简洁美是最好的</t>
  </si>
  <si>
    <t>EU42 对应265mm ECCO平时EU41对应263mm，这款凉鞋偏小，EU42对应265mm，所以平时穿41的这款应该穿42</t>
  </si>
  <si>
    <t>音质不错，干净，解析可以！ 大小其实作为电脑桌面音箱很合适，音质干净，细腻，这个价位很难有其他箱子出其左右了。要说缺点，对于4.5寸的箱子就是低音方面稍有欠缺吧，但是低音这个要求对于4.5寸箱子是过了点。总之值得购买，样子也好，不是专业要求作为桌面音箱十分推荐。那种真力高端监听都是单个箱子，作为一般用用其实非常麻烦，这个箱子只要控制一个主箱子就行了，其实更加定位于桌面多媒体！</t>
  </si>
  <si>
    <t>不错，方便 还是海淘便宜，国内三百多一套。</t>
  </si>
  <si>
    <t>就喜欢小可 宝宝出生后就只用两个奶瓶，小可和新安怡pes宽口，现在两个多月，新安怡又不愿意用了，就小可愿意用。这个大的本来囤给我的宝宝，结果亲戚宝宝11个月了还不愿意用奶瓶，这个就愿意用哦。所以后来还加购了。</t>
  </si>
  <si>
    <t>质量超级差 穿了一天鞋前面的皮就裂开了，以前买这么多都没有看到质量如此差，已经退货，再买一双，看是不是还是如此，这真的是亚马逊自营的正品？</t>
  </si>
  <si>
    <t>很好用 真的很好用，声音很小。外观漂亮～！</t>
  </si>
  <si>
    <t>象印保温瓶 很轻，很小巧，颜色好像深蓝的，不是纯黑，瓶身有一点一点星空图案，我以为是磨砂纯色，质量应该可以。</t>
  </si>
  <si>
    <t>天热了，冬天再穿 175，72公斤买的s，有点小</t>
  </si>
  <si>
    <t>好评！ 裤子用料做工版型都很好，穿着很舒适，五星好评！</t>
  </si>
  <si>
    <t>价廉物美的牛仔裤 身高181CM, 体重84KG, 腰围95CM, 36W * 34L，很合身。34L稍微有点长，不过现在流行卷裤腿，不用改。</t>
  </si>
  <si>
    <t>质量很好 东西不错，穿着舒适，价格便宜。与国内尺寸一样</t>
  </si>
  <si>
    <t>鞋子评价 鞋子质量不错！穿了好久没有坏</t>
  </si>
  <si>
    <t>很好，大小合适 身高183，体重78，穿XL很合适，袖子略长一点点。质量很好，样子很好，价格实惠，值得购买！</t>
  </si>
  <si>
    <t>儿童益生菌算是最好的牌子了，孩子拉肚子、消化不良的时候，帮助挺大的 儿童益生菌算是最好的牌子了，孩子拉肚子、消化不良的时候，帮助挺大的</t>
  </si>
  <si>
    <t>太惊艳了！除了颜值不高，没有缺点 真的是没有穿过这么舒服的内裤，太惊艳了！除了长得不太好看，没有缺点！之前一直穿优衣库的那款无痕，觉得痒不知道是不是因为不够不透气，这个一穿上简直不要太舒服，摸起来还不是那种很厚实的棉，上身触感非常好，虽然看起来有松紧在大腿根部，但是不知道是不是因为设计的位置比较好，穿紧身裙子居然基本看不出来！果断又买了两套！</t>
  </si>
  <si>
    <t>还可以 皮质还可以，整体做工比较粗糙，不知道是不是故意搞这种风格，不过价格还可以加税不到两百。我身高171、71kg左右，平时diesel穿30码裤子，这条皮带买的34感觉长度正好没多少剩余，32感觉会短，如果想稍微多留点要选36的。另外宽度较宽适合牛仔裤类，正装裤不太适合</t>
  </si>
  <si>
    <t>粘毛 粘毛严重，也不修身。质量确实还阔以。</t>
  </si>
  <si>
    <t>有色差，版型跟图片不太一样 色差较严重，实际到货不是浅蓝色，有些深</t>
  </si>
  <si>
    <t>差评 保温效果超级差，要不是妈妈把外包装扔了一定要退掉</t>
  </si>
  <si>
    <t>一般，不怎样，冷的时候透气，热的时候保暖就这样 感觉不好</t>
  </si>
  <si>
    <t>正常 职场必备</t>
  </si>
  <si>
    <t>尺寸 此款衣服符合预期，但是肩宽够了，肚子有点大了些。。。</t>
  </si>
  <si>
    <t>偏大 我看了评论说是正常码，平时我穿李维斯，优衣库的都是穿M码的，这次我也买了买了M码，收到货一试发现偏大，无语.</t>
  </si>
  <si>
    <t>声音大，速度一般 声音大，相当大，读盘声，速度一般</t>
  </si>
  <si>
    <t>喜爱就好，买了就好。 手感好，柔软。现穿合适。170,72kg.穿M稍紧，袖子较长。无口袋。总体满意，内外皆可穿。</t>
  </si>
  <si>
    <t>棒棒哒 价格比某宝便宜，现在物流也比以前快了，做工质量不错，细节到位</t>
  </si>
  <si>
    <t>舒适 非常舒适，适合春秋冬三季</t>
  </si>
  <si>
    <t>性价比很高 包装很好，没坏，里面也没有碰坏，都很好，完美一的外购物，以后都可以在这里买补给了</t>
  </si>
  <si>
    <t>手表不错，价格给力 手表很好，包装也可以，物流大概10天左右，关键是价格给力</t>
  </si>
  <si>
    <t>相当不错！ 美亚黑五入手！值！很帅气！</t>
  </si>
  <si>
    <t>好 这个超级好</t>
  </si>
  <si>
    <t>不错，试了一会儿，还是很好的 的确女士不能使，比较粗。使者很顺手，下次买一支蓝的。 就是看评论说不带吸墨器，所以买重了！希望下次商品说明一下清单。 是带吸墨器、一只黑色墨胆、一只蓝色墨胆。不过我还是买了一瓶蓝黑的百乐墨水。</t>
  </si>
  <si>
    <t>不错 可以可以，质量待确认，包装完好</t>
  </si>
  <si>
    <t>很喜欢 小孩喜欢咬，也比较适合</t>
  </si>
  <si>
    <t>不错的选择，除了尺寸稍小 材质好，性价比很高！</t>
  </si>
  <si>
    <t>不错的箱子，真正的监听 人声好，高音有点亮。发热好大</t>
  </si>
  <si>
    <t>价格比国内行货便宜 写入速度大概在48-50MB每秒之间。是sandisk的CZ88至尊超极速U盘写入速度的1/4，CZ88写入可以达到200M每秒。个子比较大。多了一个保护壳。希望质量稳定。</t>
  </si>
  <si>
    <t>舒适轻盈 平常穿几码就买几码，500出头，可谓超值，比某宝代购还有便宜近200，是正品，穿着跑步非常舒服轻盈</t>
  </si>
  <si>
    <t>值得 不错，安静</t>
  </si>
  <si>
    <t>值得购买 尺码标准，皮质柔软，而且底很轻，太舒服了，这双鞋让我特别意外，没想到这么好看，这么舒服。比国内便宜太多，推荐购买。</t>
  </si>
  <si>
    <t>效果 补货，吃着效果不错</t>
  </si>
  <si>
    <t>酷 果然84腰围的只需要买30。</t>
  </si>
  <si>
    <t>非常好的鞋子 皮子的手感，光泽都如预想一样，大小刚刚好，就是穿脱稍微有些困难，其他完美</t>
  </si>
  <si>
    <t>东西做工不错价格也适合 使用下来每次都一样效果，就是鬓角还是需要别人帮忙，最好能够做到不求人的自理发！</t>
  </si>
  <si>
    <t>survivor 好评，造型很有意思，可以进行基本防护。</t>
  </si>
  <si>
    <t>great! 鞋子比较厚实，高脚背的要买大一点，没有鞋垫子，要自备一个，可以考虑ecco的鞋垫，蜜蜡色，非常满意，到手价207元……</t>
  </si>
  <si>
    <t>衣服外观和照片不符 怎么实物和照片不符，有误导嫌疑，本来是看中长袖的。</t>
  </si>
  <si>
    <t>衣服合身，就是线头比较多 衣服合身，就是线头较多</t>
  </si>
  <si>
    <t>能退换货吗？ “我购买的橙色套装里面的杯子上方的边缘处里外都有裂痕印儿，虽然没有完全裂开，但感觉随时小孩摔一下，就会完全裂开，不知道符合退货要求吗？第一次遇到这个情况，这个要退回国外仓库，好麻烦，好心塞”</t>
  </si>
  <si>
    <t>很糟糕的一次购物体验 比美亚直邮慢我忍了 可买来的钢笔被人用过（笔尖有墨水渍 笔里有墨水）二手货当全新卖 太不像话了！！</t>
  </si>
  <si>
    <t>有图为证，大家自己看这个是不是官翻版？ 后标签鼓包，且印制模糊，严重怀疑是不是新品或正品</t>
  </si>
  <si>
    <t>右边的液晶屏为何不亮 不喜欢，差评。右边的液晶登不亮。给亚马逊写了邮件没有回复，我也找不到客服，申请退货后全是英文的地址和邮寄单，故意在设置障碍么？</t>
  </si>
  <si>
    <t>直推不行，上耳放吧 怎么说呢，没有惊喜也没太差，但是笔记本手机直推效果只能说一般，比起我的akg k420差不多，甚至不如。所以考虑直推的小伙伴可以考虑便携式耳机，大耳机真不适合直推。</t>
  </si>
  <si>
    <t>第二次买鞋，仍旧买大了。 我记得当初买的43码，我以为是中国的43，结果发过来是44码28CM的，建议亚马逊以后直接要求商户发鞋子包装盒上面的尺码图。  我本来是去邮局快递回英国的，跑了几次。因为双11的原因，邮局的阿姨同志建议我晚些时候发，免得丢包，最后一次去，邮局阿姨直接买下。</t>
  </si>
  <si>
    <t>细节不好 260脚长，US9.5，长度合适，和其他评论一样，前半部稍微有点紧，不走路没问题，可以忍受，板鞋大多这样。做工有点糙，现在海淘多了，发现还是中国制造的最好。</t>
  </si>
  <si>
    <t>整体不错 漂亮是很漂亮的，价格也合适。但是读写真的声音格楞格楞的，尤其是传输一些冷门格式的时候。速度不错。大文件平均90+，电影啥的平均100＋。小文件速度就没办法了</t>
  </si>
  <si>
    <t>性价比高，总体不错 快递不错，PRIME赞一个，14号下单22号收到，算很快啦~~ 暂时收了我2283，30%税，然而不知道会不会退我税啊，现在不是11.9%么，说是多收的60天内退，好慢。 总体性价比很高了，和面搅拌黄油打蛋都好用，和XX系列比，功率是小了点，同样3档和面感觉完全不在一个级别，毕竟XX是1600的高了600W。然而这个价格已经够好了。 遗憾的是59也是塑料外壳，所以57系列比59贵是有道理的。 说说配件，一般搭配的配件都不给全有点不爽，比如绞肉的只给了细孔的，我用来磨豆沙很好，而绞肉就有些过于小了。 切菜盘也是，给的3片都属于中国人不常用的，想要切丝切粗薯条都要另外配，给的都是磨成泥的盘子。配件也算是商家一贯的营销策略吧。 搅拌杯也是，感觉应该是单独的磨粉搅拌配件更实用，柳橙机就更是了，很占地方，用的机会还不多。  关于和面，开3档以上机头会点头，估计很多人都有这个现象？然而不开3档以上，手套膜不太容易出。这种情况貌似XX好很多，所以如果价格不介意的话，直接XX应该更好吧。</t>
  </si>
  <si>
    <t>这个牌子很好 正吃呢，需要一个过程吧</t>
  </si>
  <si>
    <t>快递速度超出预期，还没穿，不好评价质量 皮质比较舒服，不知鞋底耐磨不？</t>
  </si>
  <si>
    <t>很好 买第二瓶了，价格美丽，质量可靠</t>
  </si>
  <si>
    <t>皮质很棒 鞋子很轻便，皮质及做工很好，鞋盒子跟国内专柜的对比偏薄一些，码数很正。</t>
  </si>
  <si>
    <t>非常满意的一次海外购 美国的牛仔裤型号非常丰富，总归找到一款不用修改裤边的衣服</t>
  </si>
  <si>
    <t>物美价廉 插到xbox one上用，游戏移动到这个上面启动速度立马提升90%。外接电源根本不是事，本来使用环境就一定会有插座。就是5T的在xbox里只显示4.5T有点少。主要还是活动价格不错。</t>
  </si>
  <si>
    <t>很合脚的鞋子。 鞋子很合脚，母亲脚比较宽，国内很多鞋子没有加宽的。很不错。</t>
  </si>
  <si>
    <t>杯子不错 杯子还不错，价格也可以，好评</t>
  </si>
  <si>
    <t>速度与外貌完美结合 刷新了我对优盘速度的认识，漂亮</t>
  </si>
  <si>
    <t>踢不烂鞋子评价 买回来还不错 穿起来也很舒服 鞋子重是肯定的 有些店铺买了穿不了多久会开胶 这双做工还是不错的</t>
  </si>
  <si>
    <t>保温效果超乎想象得好 保温时间长，而且适合小朋友外出一整天的量，非常满意！</t>
  </si>
  <si>
    <t>满意 很好，达到预期，性价比很好</t>
  </si>
  <si>
    <t>牙膏很好用 现在儿子一直在用，小孩子还是很喜欢的，挤牙膏也很方便。</t>
  </si>
  <si>
    <t>挺好 产品不错，宝宝也吸的习惯。</t>
  </si>
  <si>
    <t>还可以 还可以</t>
  </si>
  <si>
    <t>一次完美购物 牛仔裤30/29,这款30/30正合适。物美价廉，穿着舒服，夏天穿也凑活，没有感觉太热。</t>
  </si>
  <si>
    <t>很满意 硬盘体积小巧，稍厚点（对我来说正合适），蓝色大爱！读写时非常安静，比我的笔记本电脑声音都小。试用了一个小时，发热也很小。写入单个文件时在每秒80兆左右，写入大容量文件夹时基本稳定在每秒60兆左右。很不错。</t>
  </si>
  <si>
    <t>穿着舒服大小合适 178 80选M大小合适</t>
  </si>
  <si>
    <t>保温 尺寸没概念，对孩子用有点大了，不过保温是有保证的，主要不想撞杯啊！</t>
  </si>
  <si>
    <t>比较轻便 确实小，买要比平时穿的大一码比较合适。</t>
  </si>
  <si>
    <t>金笔不错 满意，就是包装差些</t>
  </si>
  <si>
    <t>评论 盖子不严，有时候漏水，和这个品牌的形象不符合</t>
  </si>
  <si>
    <t>哎 以为日版舒适性会比美版好点，其实真是半斤八两</t>
  </si>
  <si>
    <t>男176/62kg买m过大了 面料颜色都好，就是推荐尺码太大，175，m码都到大腿裤兜下面了，肩宽也太宽了。</t>
  </si>
  <si>
    <t>严重差评！ 第一次在海外购上买东西，体验非常差，浪费了188的Prime会员费！对产品的真伪，也表示怀疑！1.物流清关非常慢，下单到收到近一个月，打了客服电话询问，物流配送才更新；2.包裹里没有美亚的销售详单（在中亚、美亚、日亚、德亚都购物过，都有购物凭证，为什么这次没有？），没有气泡纸等缓冲物，箱子里只有一个鞋盒和一双鞋；3.不提供清关缴税单，先预收了一千多的税款，一个月后只退了7.1元，打发叫花子吗？客服解释是清关公司集体清关的，请问我这7.1的退费是怎么出来的？总而言之，亚马逊你好牛！从来没有感到这么后悔和失望！ 好在靴子尺码还蛮准，国内37码，现在6M很合适。只是右腿松，左腿紧，曾经被人试穿过右侧的？</t>
  </si>
  <si>
    <t>太垃圾了，尺码严重偏小 这个尺码完全不准，过于偏小</t>
  </si>
  <si>
    <t>面料舒服 就是裤腰有点偏大，腿部却是收紧的，不知道裤腰正常的话，腿部是否会不合适</t>
  </si>
  <si>
    <t>码数合适 不知道这是不是LEE的副牌，为嘛掉色呢？？ 大小、款式还是不错的。</t>
  </si>
  <si>
    <t>非常非常舒服！ 非常非常舒服！</t>
  </si>
  <si>
    <t>笔 涂了色卡有股奶油味，笔很顺滑值得买</t>
  </si>
  <si>
    <t>衣服很棒，很好看，就是偏短 衣服整体体验很棒，很修身，很好看，但是最好买大一号，因为袖子合适，但是衣长稍微较短，一抬手就会露出肚子……</t>
  </si>
  <si>
    <t>物流快，日期新鲜 生产日期就是上个月的，很大一罐，不错</t>
  </si>
  <si>
    <t>衣服不错，穿在身上很舒服 按照这个尺码买的，衣服不错穿着舒服</t>
  </si>
  <si>
    <t>很不错的款 完美的杯子，是我想要的，颜色也很有质感</t>
  </si>
  <si>
    <t>容量大 容量大，性价比高</t>
  </si>
  <si>
    <t>很好 非常好👍</t>
  </si>
  <si>
    <t>运动内衣还是安德玛，质量非常好 很难得写评论，这款非常不错。对比阿迪达斯直接甩开几条街！162，94斤，s码合适！</t>
  </si>
  <si>
    <t>镇店之宝买的，价格太美丽，迄今为止各大网站看到最便宜的。 价格太美丽，虽然不缺，还是忍不住剁手。162/51kg穿着很舒服。</t>
  </si>
  <si>
    <t>很好！ 之前买净水器的那个自带的2月就红灯了， 这次买了一包三个的，能用半年！</t>
  </si>
  <si>
    <t>好 挺好的</t>
  </si>
  <si>
    <t>很喜欢 彻底打破了我对钢笔的观念，钢笔久不写就会塞。以前买的钢笔，都是英雄之类的，书店买的，不知真假，反正写没几次就不想用了，堵住实在太麻烦了，不过这只笔改变了我对钢笔的概念，钢笔原来可以这么顺滑，比水笔还好写，太棒了！</t>
  </si>
  <si>
    <t>保温效果好 保温，保冷一天下来温度还在40度左右，除了怕磕碰容易掉漆</t>
  </si>
  <si>
    <t>很好！ 很好！很强大！喜欢！价格超值！</t>
  </si>
  <si>
    <t>非常满意的一次购物，非常舒服的鞋子 第一次尝试亚马逊的海外购，物流速度超乎我的想象，十天多一天就从英国寄到了我的手上。 爱步的鞋子果然很舒服，本人脚比较宽非常挑鞋，阿迪的鞋几乎没有合脚的，要么是太窄了，要么就太长了。爱步让我有一次神奇的体验，穿着很合脚，同时又显脚瘦。这双鞋是真皮的，透气性也是极佳。 关于尺码：本人在专柜试穿40码合适，爱步是全球同码的，下单的是6.5-7码，到手一穿正好合适。 完美的一次购物和完美的一双鞋！</t>
  </si>
  <si>
    <t>物流超快，六天到北京。 很好用，经常买，和宝宝一起用</t>
  </si>
  <si>
    <t>一次成功的海淘 非常大气，做功精致，很满意</t>
  </si>
  <si>
    <t>很好的衣服 给爹地买的，178 160斤，买的L正合适，就是有点松，里面穿上厚点的衣服应该就行了，很暖和，满意</t>
  </si>
  <si>
    <t>售后根本没保障 水牙线真的很好用，就是无端端坏了，想找个售后都难，联系亚马逊客服只是发了美国洁碧邮箱，自己上网找翻译发邮件过去，全部退信根本没保障，还没购买的自己想清楚吧，找了很多家维修电器，甚至上网找师傅修都没有会修理的。</t>
  </si>
  <si>
    <t>合身 东西不错，推荐</t>
  </si>
  <si>
    <t>质量不错 感觉有点小，应该买大一号。上次买的踢不烂是7.5w的，这双感觉有点小。平时穿255mm的皮鞋。</t>
  </si>
  <si>
    <t>舒适 有弹性的面料，平常穿32或31的裤子，看商品介绍说裤子有弹性，选择了30，很合适，是薄款</t>
  </si>
  <si>
    <t>钢笔 非常好，提前买了黑色的墨水按上一下子就可以写了</t>
  </si>
  <si>
    <t>很好用 功能多，很好用，太太很喜欢，就是清洗时容易划到手。</t>
  </si>
  <si>
    <t>学生表，不值从海外购 就是个学生表，值这个价，但表带太硬。需重新配。</t>
  </si>
  <si>
    <t>比较毛躁 有点毛躁，不知道真假，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</si>
  <si>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夜光不明显 在黑夜，夜光不是十分明显的感觉，手表外形很漂亮</t>
  </si>
  <si>
    <t>货品质量问题 这件衣服非常适合我，没有想到收到货发现严重质量问题，左边袖子穿不上，原来制作的时候面子与夹里扭起来，根本伸不进去，希望以后不要把有质量问题的衣服发给客户，给客户造成巨大麻烦</t>
  </si>
  <si>
    <t>买蛋白粉的朋友先看我这个 我不知道，别人收到的是什么样的，可惜不能上传图片，签收快递的时候，快递单在蛋白粉的背面，开封处他朝下我没看到，签完名就抱走了，我中途才发现，封口那边裂开一半，蛋白粉的胶装桶也被压凹陷了一些，另外打开瓶盖后也没有密封膜，吃的话味道超级甜，不太能接受，冲水后白色变成粉红色的，前天吃了之后喉咙疼到现在还痛，感觉还虚弱一点，真伪我无法辨别，大家不要相信，吃了什么能升天。自然饮食，多吃肉，补充蛋白质就好。不希望还有谁像我一样遭罪。</t>
  </si>
  <si>
    <t>尺码对照表错的，错误误导 尺码对照表完全不对，25.5只相当于国内40，这里却写41。已经退货</t>
  </si>
  <si>
    <t>质量很好 质量很好，内衬是绒面，还没穿，希望不掉毛呀。</t>
  </si>
  <si>
    <t>真的大 真的宽大面料有点薄适合大胖子</t>
  </si>
  <si>
    <t>穿着舒适 大小合适，有弹性，穿起来舒服。</t>
  </si>
  <si>
    <t>塑料味刺鼻，包装无缓。。 原盒没有任何缓冲包装就发过来了！打开盒子，一股刺鼻的塑料味（机器、usb线、配电器，散了很久气味仍然在），看来是不舍得在机器上用点好塑料。</t>
  </si>
  <si>
    <t>喜欢 好用，尺寸适合宝宝，或者一个女生的分量</t>
  </si>
  <si>
    <t>稍大  版型宽松 没看出修身来！</t>
  </si>
  <si>
    <t>舒适，样式，质量 非常满意，非常好的一款鞋子，质量杠杠的，而且价格实惠，物流很快</t>
  </si>
  <si>
    <t>电量比较充足 音质不错，适合跑步佩戴，比有线方便很多</t>
  </si>
  <si>
    <t>黑色中号 身高172cm，体重76kg，选的中号，正合身。供参考</t>
  </si>
  <si>
    <t>修身 很修身！不错不错，还会关注</t>
  </si>
  <si>
    <t>水是甜的 真的好</t>
  </si>
  <si>
    <t>值得拥有 给闺女买的，有点儿显脚肥，舒适度没的说！</t>
  </si>
  <si>
    <t>可爱~ 质量很好，宝宝拿到了就往嘴里塞，四叶草的每个叶片上的纹路都是不同的，宝宝可以一片片玩过去</t>
  </si>
  <si>
    <t>好 质量好，但是长度比较尴尬，日用有些小</t>
  </si>
  <si>
    <t>便宜，好用 2T的价格买到5T，非常划算</t>
  </si>
  <si>
    <t>码数很正 码数很正，按照平时码数买就行</t>
  </si>
  <si>
    <t>很 好 不错，非常好，下次再来。谢谢！</t>
  </si>
  <si>
    <t>尺码 尺码合适，穿着舒适，和美版比起来，更有时尚感！</t>
  </si>
  <si>
    <t>Good 我买大了半码，所以长度偏长，但是W的宽度合适。BTW有两点不太好，一个是在瓷砖地面走起来挺滑的，第二是鞋子有点重，但是鞋子还是很不错的</t>
  </si>
  <si>
    <t>很好 正品，鞋掌比Air max宽，不过很舒服</t>
  </si>
  <si>
    <t>衣服穿着很舒适 买来秋冬天运动穿的，这个天太热先试了一下，大小什么的正好。我173CM 80KG选XL正好，很显瘦。估计大于170CM，70KG-90KG都可以选XL。</t>
  </si>
  <si>
    <t>不错的保健品 在亚马逊商城上找了好久最终选定了莱萃美C0Q10，分2次共买了4瓶该保健品。第一次是从亚马逊直购虽说价格有些小贵，但速度快！在网上可以查的快递的运送状况。第二次也是从相同厂家买的只是从厂家直购价格比第一次便宜些，但速度相对来说较慢，网上查不到快递的运输状况。该保健品服用了一段时间感觉心率平稳了许多，也不知道是否是心里作用。持续使用一段时间后再追加评论。</t>
  </si>
  <si>
    <t>不错的牛仔裤 有弹性，布料舒服，尺码偏大，要小一到两码，适合春秋穿</t>
  </si>
  <si>
    <t>推荐 非常超值 造型优美 功能强大。看了5系多款比较，其实这款也是有自动绕线的。比59少了柳橙和碎肉附件。但59要自己海淘运费起码五六百。 58实在是很划算</t>
  </si>
  <si>
    <t>修身舒适 修身，舒适，有型</t>
  </si>
  <si>
    <t>没型 布料摸起来是挺软很舒服，但是穿起来没什么型，裆部又很紧，看来下次牛仔裤还是要试了再买</t>
  </si>
  <si>
    <t>一般般 感觉比原装的要差一点，一般般吧</t>
  </si>
  <si>
    <t>露点 容易露点 想退 码子不准</t>
  </si>
  <si>
    <t>做工差，线头多 做工差，线头多，有的地方还没缝上，这是全球购里面最差的一次体验。还是本来就是高仿</t>
  </si>
  <si>
    <t>差评 面料比想象中薄，尺寸偏大，领口开领处有漏针洞。退货太麻烦，唉，不如第一件好</t>
  </si>
  <si>
    <t>外观不如想像中的好 体积比西数希捷等等常见的移动硬盘大；铝壳是有橡胶接缝的，所以稍微捏一下壳子，就有吱吱吱声</t>
  </si>
  <si>
    <t>机器自带的搅拌头有划痕！ 机器自带的搅拌头有划痕！是运输过程造成的？还是二手货？</t>
  </si>
  <si>
    <t>非常漂亮的牙刷套装 黑五期间抢的货，近20天才收到，连税不到1250元， 2支牙刷价格超级划算，慢点也就不算什么啦  细圆电源头 220v可以直接用，带充电杯子一个，底座一个  没有旅行充电装，没有旅行充电装，没有旅行充电装- 很不方便，不知道能不能单独买到。  两只牙刷目测一模一样，没有办法区分  拆装所有部件如图，给大家参考下</t>
  </si>
  <si>
    <t>爱步 爱步的鞋子号码标准，一般都很舒服，但是这双一只有点压脚背前面，不是很舒服</t>
  </si>
  <si>
    <t>大 买了还没用 感觉挺保温  太大了 很能装 本来是打算外出用 个人觉得可以买小点</t>
  </si>
  <si>
    <t>抓绒套头运动衫 174cm 68kg 第一次买了条s号 稍小了点 第二次买M号 有点偏大 衣服质量不错</t>
  </si>
  <si>
    <t>做工优质 刚穿 需要适应的过程 不过 越穿越舒适！做工优</t>
  </si>
  <si>
    <t>物有所值 所人佳品 以前自己在姜亚上买过这个，东西是不错的，算是送人很好的选择，但主要是送毕业的学生，觉得不适合送给更高层次的人士，毕竟笔是都市系列！以后有需求还会再买 ，好东西！！！</t>
  </si>
  <si>
    <t>舒适百搭 之前在其乐实体店试过，国内的鞋穿35码，试的3UK，也许是皮质柔软的原因，略微有点点儿松，但是小一码可能又不合适。男朋友40的脚，在实体店试的6.5UK，结果买回来他说有点儿偏大，后面亚马逊给他买的鞋都选的6UK或者7US了</t>
  </si>
  <si>
    <t>这个好用 德国版的滤芯很好  我现在打折买了中国版滤芯 看哪个好以后再评论</t>
  </si>
  <si>
    <t>还好 还可以，性价比一般</t>
  </si>
  <si>
    <t>囤货 欧洲制造，和国内买的一样，性价比高</t>
  </si>
  <si>
    <t>好鞋！ 真皮材质，橡胶鞋底，柬埔寨生产，防滑，大小合适，保暖！</t>
  </si>
  <si>
    <t>质量好 无味，质量好，挺实用的</t>
  </si>
  <si>
    <t>挺合适 这个码数比较适合31到33裤子的人穿，CK的内裤码数都偏大，尤其这种款式宁可买小也不买大，越穿越松懈的。</t>
  </si>
  <si>
    <t>每个宝宝必备 很早之前买的了，现在才想来评价，非常实用，推荐购买</t>
  </si>
  <si>
    <t>质感一流 尺码标准，全皮质感一流包括内衬。价格美丽。</t>
  </si>
  <si>
    <t>保温性好 做工精细，质量可靠，保温性能不错</t>
  </si>
  <si>
    <t>很喜欢 第一次在亚马逊 买到自己喜欢的彪马鞋子</t>
  </si>
  <si>
    <t>非常好的雨鞋 当雨鞋穿，非常好，再不怕踩水了</t>
  </si>
  <si>
    <t>Good 大小合适。价格也可以</t>
  </si>
  <si>
    <t>合适 很好  质量没的说  175/65 XL稍微有点大，挺好。</t>
  </si>
  <si>
    <t>非常合身 非常适合，薄款，面料柔软，适合春夏季节。</t>
  </si>
  <si>
    <t>非常好 非常好的商品，价廉物美，超值!</t>
  </si>
  <si>
    <t>还满意！ 更年期了，营养平衡最重要！天天吃！</t>
  </si>
  <si>
    <t>性价比高 价格非常合适，还会购买</t>
  </si>
  <si>
    <t>满意！ 比较薄，根据正常尺寸选购，M正合适。</t>
  </si>
  <si>
    <t>防水很好 171m63大小正好，衣服比较薄</t>
  </si>
  <si>
    <t>没有承托 超过B杯的千万别考虑，基本没有承托作用。罩杯最多适合B的。</t>
  </si>
  <si>
    <t>无压缩性 排汗不错，无压缩性</t>
  </si>
  <si>
    <t>产品质量问题 裤子过大！ 另外，刚穿了一次，裤子系带的地方就坏了，照片见附件！是否需要寄回才能更换？如果那样就算了，太麻烦，自己缝缝算了！</t>
  </si>
  <si>
    <t>高温警告 PS: 以下测试来自 AW M17R3 i7 6820hk 980m 8G,16g,win10 64专业版 看到970 pro 日常运行温度52摄氏度，我得内心是奔溃的，一开始以为是ssd有问题，百度一看瞬间吓尿，大家的970PRO温度都很高，一个大佬玩个游戏100+的温度······ +优点： 1、MLC 寿命是960pro的2倍，1200TBW 2、写入放大比EVO的要低很多 迁移系统大概490G 显示的写入量0.5T，要是EVO分分钟上1.5T了 +缺点： 1、散热压不住啊，日常运行任务（2个chrome页面，一个FB2K、一个QQ、CrystalDiskInfo）温度就到50摄氏度了······我已经上了散热硅脂垫了不上的时候是52摄氏度。 +解决方案： 1、台式机增加风扇对着吹 2、笔记本上导热硅脂垫，勉强压低几度温度 +游戏温度： 1、warframe 1080P  特效全开 关闭动态阴影 温度温度在52摄氏度 2、吃鸡 最低画质，视野最大 51摄氏度</t>
  </si>
  <si>
    <t>太大 尺码严重不标准 比其他美l码大了一圈都不止 根本没法穿</t>
  </si>
  <si>
    <t>假皮 假皮，穿了四五次就变形了</t>
  </si>
  <si>
    <t>纯水 过滤能力最强的滤芯了，就是一月一换费用不低。</t>
  </si>
  <si>
    <t>总体不错，稍有不足 不足之处：震动厉害，6档之上就快站不稳了，我很担心它会从桌上掉到地上去；档数高了之后，打十分钟机头就发烫。</t>
  </si>
  <si>
    <t>好重 很好，到手只有轻微划痕，重量很适合锻炼身体</t>
  </si>
  <si>
    <t>ojbk 耐克和阿迪均穿41码，这个40正好，鞋子做工没什么问题，符合预期，但是鞋子底部的缝线经过长期踩踏，不容易断么</t>
  </si>
  <si>
    <t>还不错 买回来一直利用率不高，主要是带宝宝出门吃饭用，最近意外的发现这剪刀带弹回的设计很适合刚开始学习使用剪刀的小朋友用，不过那个弹回的塑料片还蛮脆弱的，被我弄折了一个…</t>
  </si>
  <si>
    <t>材料厚实 码数正好，173.66.L码！感觉厚实暖和，材料比国内心要好。</t>
  </si>
  <si>
    <t>非常棒的 身高180 体重75公斤 32/32正合适，给大家参考。平时就穿这码的裤子，这次也非常合身。裤子有点重，春秋初冬穿都没有问题。很喜欢的风格。</t>
  </si>
  <si>
    <t>便宜好使 超价的一个手表。153到手。</t>
  </si>
  <si>
    <t>贝亲小花 好可爱的小花花，小朋友很喜欢</t>
  </si>
  <si>
    <t>太赞了 造型很简约，带着很斯文的感觉。爽！</t>
  </si>
  <si>
    <t>大小合适 厚款，墨西哥产。做工比想像中好，连小铆钉都是Lee专用品。平时穿李维斯511修身版是w32L32，此款腰围虽选小2号，却只是略紧，臀位一样，正好。裤腿大了许多。</t>
  </si>
  <si>
    <t>涩魔张大妈 大妈的493党晒一下，反显略显bigger，就是晚上比较瞎，总体很喜欢。</t>
  </si>
  <si>
    <t>Narumi很精致，推荐购买。 Narumi很精致，推荐购买。这个大小刚好，推荐饭量不是很大的用。</t>
  </si>
  <si>
    <t>很好 设计很好，很实用，一直在使用</t>
  </si>
  <si>
    <t>推荐五颗星 脚感舒适，平时穿37码，这个37码很合适，颜色好搭配，推荐五颗星。</t>
  </si>
  <si>
    <t>正品直邮很快 170，穿m刚好，有点9分裤的样子，压力适当，东西很好哈哈哈哈哈终于跑步时候有保护了</t>
  </si>
  <si>
    <t>好硬啊 173/73尺码很合身，材质确实硬</t>
  </si>
  <si>
    <t>日版 送给男友的 很喜欢 正版哦 和自己日版买的比对过  日版果然质量好 性价比超高</t>
  </si>
  <si>
    <t>家有儿女必备 很好的牙刷，女儿现在一周岁，自己拿着这个刷牙。牙刷质感很好，卫生而且安全</t>
  </si>
  <si>
    <t>凌美2000  f尖 钢笔到了之后笔身比较粗，很流畅，没问题，就是不适合长时间书写，笔身比较重，其他都挺好</t>
  </si>
  <si>
    <t>160/55，合适 夏天还是有些热，下沿容易上卷，其它都特别好</t>
  </si>
  <si>
    <t>户外水杯 杯子轻便大气，户外运动非常实用。</t>
  </si>
  <si>
    <t>爱冠军品牌 衣服好看，穿上效果不错，我165/70kg，有些宽松。</t>
  </si>
  <si>
    <t>消除暗沉，护眼神器 效果很棒，隔天就见效了，眼下暗沉和斑点减轻很多</t>
  </si>
  <si>
    <t>重 好看 舒适 沉重</t>
  </si>
  <si>
    <t>好穿 不掉裆，羊毛有点扎，厚木对我来说比淘宝买的好穿，我可能更注重贴合，扎不扎的不重要</t>
  </si>
  <si>
    <t>舒服 大小合适很舒服，也保暖，弹性很好。就是里面是绒的，有点掉毛，不知道穿久了会怎么样</t>
  </si>
  <si>
    <t>并不满意 才使用过2次  外面的胶已经裂了…… 没有装过沸水，是否是正品值得怀疑</t>
  </si>
  <si>
    <t>这是我在亚马逊购买的第二件蓝牙耳机，用于语言学习，使用体验基本满意， 写评论的当下耳机已经丢失，这款耳机是软线没有运动耳机的特殊功能比如耳机不用时耳塞有自动磁吸挂在脖上不易丢失。亮点是蓝牙连接后手机的蓝牙图标旁有耳机电量显示，虽然这款耳机的电量并不够持久。未来若价格低于150元会考虑再次购买。</t>
  </si>
  <si>
    <t>袜子评价 袜子不太吸汗，松紧度不错</t>
  </si>
  <si>
    <t>差！ 质量简直太差了！未穿之前过了一下水，结果袖子上就破了一个洞。之前在美国买的从来没有出现过这个情况，我真质疑衣服品牌的真实性！</t>
  </si>
  <si>
    <t>鞋垫厚，有点偏小 鞋垫超厚，建议买大半号，我一直穿ecco的41码，这个买了7.5uk，竟然穿进去费劲，，后来换了薄的鞋垫就行了</t>
  </si>
  <si>
    <t>钢笔 粗心大意，发货没有墨水补充装。退货自己也的损失。淘宝上重新购买。笔还可以。给人的评价也就是中评</t>
  </si>
  <si>
    <t>焖粥的效果很好，包装差强人意。 买了两个THERMOS的焖烧罐，首先，要对二位的闷烧和保温效果予以肯定。早上6点半用开水冲的麦片和奶粉，不到8点打开就是稀烂的稠粥了，而且温度依然很高。其次，对物流的包装环节予以谴责。收货后打开纸箱，看到两个小罐子，只有一个有塑料袋包裹，另外一个完全赤裸裸，被磕了几个小坑，除了影响美观，但不影响使用，就这样吧，为这点事找亚马逊耽误时间。</t>
  </si>
  <si>
    <t>还可以 质量还不错，但脚尖处是缝合的，有线楞，不是无缝拼接，看个人接受程度了</t>
  </si>
  <si>
    <t>还行 比国内便宜，但是做工一般，料子容易起球，貌似收到的时候已经有点起球了。</t>
  </si>
  <si>
    <t>很划算 看评论担心遇到质量不太好的，现在用下来半年，没有任何问题，传输速度什么的都没看，哈哈，价格很划算。</t>
  </si>
  <si>
    <t>m都大了一点 m号，对于一个173.160的胖子还是大了一点，想不到可以买s好挑战一下，好期待</t>
  </si>
  <si>
    <t>舒适，比某宝便宜 舒适顺滑，好评</t>
  </si>
  <si>
    <t>好杯 颜值高，做工精致，保温效果很好。</t>
  </si>
  <si>
    <t>性价比高 装修囤货。从下单到收货大概7天，算蛮快的。毕竟是海外购.包装有点简陋。开关有机械感，比13的好。使用后追评！</t>
  </si>
  <si>
    <t>这品牌的衣服做工不错，价格也实惠！ 帮别人买的，略显老气了一点！</t>
  </si>
  <si>
    <t>很好的一款耳机🎧赞 性价比很高，价格比国行实在太多了，音质很好，有监听味，就是低音多了点，可能这样是为了迎合年轻的的口味，不过质感还是很好的，不哄头</t>
  </si>
  <si>
    <t>超值!超值！超值！ 太超值了。不到900的价格，声音水准却是森海hd650级别的，感觉就像中大奖一样。听纯音乐两频延展太棒了，没煲开就非常动听。</t>
  </si>
  <si>
    <t>很好的紧身裤 压缩力超强。跑了一次5公里，一次7公里。十几度的气温，跑起来就不冷了。身高162，体重55，腰围67，身材比较匀称，日常时装穿中号，泳衣穿165。这个XS号的穿脱的时候都比较费力，感觉穿了一次裤子都变形了，不知道S码会不会更合适。裤腿较短，不能完全盖住脚踝。自己拍的照片角度不太好，实际上比照片好看。</t>
  </si>
  <si>
    <t>优秀 质量真的很好，款式也很简单，身子左下角有个小的标志，极简，很喜欢。侧身的地方，没有拼接的痕迹，身子是一体的，这样就免去了和拼接处和身体的摩擦，设计非常棒，料子也很喜欢，我觉得并不像评论说的那样子薄，很喜欢好评。下次有机会还会购买。</t>
  </si>
  <si>
    <t>物美价廉，码略大 版型好看，价格不错！略大半码！里面这件颜色有点太浅！深点会更好</t>
  </si>
  <si>
    <t>ck牛仔裤，果然没让人失望！价格实惠~版型也好看！ 很不错的牛仔裤！颜色也好看，价格灰常实惠啊~腰围二尺七，买的36w  34L，略微长一些~下次买32L</t>
  </si>
  <si>
    <t>亚洲人还是买日版吧 只能买日版，美版太大了，面料也不行。</t>
  </si>
  <si>
    <t>勺 好用，女儿很喜欢，遇热变色，很好用</t>
  </si>
  <si>
    <t>M码 181,70kg，M码合适，除了袖子稍微长一些</t>
  </si>
  <si>
    <t>稳定，便宜。 还是那句，对比国内性价比高，哈哈</t>
  </si>
  <si>
    <t>非常好 特别好，每天用</t>
  </si>
  <si>
    <t>很暖和 买的时候没有说是羊毛裤子，收到才发现是厚裤子。里面有薄绒，很暖和。 157的身高，买了XS号，长度正好。 因为最近胖了，110， 穿着合身，但照镜子赘肉比较明显。不知道S号回怎么样。</t>
  </si>
  <si>
    <t>配送神速 帮朋友买的，日亚的包装没的说，很方便很科学。就是朋友纠结于这个是中国产的。</t>
  </si>
  <si>
    <t>合适家居 164高120斤90胸围当家居服穿着合适</t>
  </si>
  <si>
    <t>小尺寸，大容量 背着很有潮范儿，也能装下不少东西，很不错的一个包包</t>
  </si>
  <si>
    <t>要提 这款丝袜穿着还是比较舒服，但是有一个硬伤，站着时要不间断的跑卫生间去提袜子，我160/50身材也算是有点标准吧！还如此尴尬。</t>
  </si>
  <si>
    <t>产品一般，感觉没博士的品质 这次购买的产品都一般，后悔，还不如实体店</t>
  </si>
  <si>
    <t>弹力很大 还不错，弹力很大，只不过也会刮，时间长了会起球</t>
  </si>
  <si>
    <t>假货 难道没人发现是假货吗？做工如此粗糙</t>
  </si>
  <si>
    <t>不满意 平时穿34的这个买了32的穿着还大腿肥</t>
  </si>
  <si>
    <t>品质比较差 布料太薄，品质没有预想的好。只值二三十</t>
  </si>
  <si>
    <t>裤子有点肥 长短腰围都很合适，只是裤型是宽松型，想要穿着有型的同鞋慎买。</t>
  </si>
  <si>
    <t>手表有点偏重 这款手表总体造型达到了预期，但是手表有点偏重，可能是适合欧美的佩戴习惯吧。</t>
  </si>
  <si>
    <t>有些紧 有点紧</t>
  </si>
  <si>
    <t>合适。 我175，88，穿L的合适，就是肚子的地方有些肥。</t>
  </si>
  <si>
    <t>日立的拖拉机 这价格非常便宜（貌似是日立的官方翻新盘？） 就是这噪音感人 拿远点挂路由器上还能接受</t>
  </si>
  <si>
    <t>不错 还是很好的，牙齿干净了好多</t>
  </si>
  <si>
    <t>ECCO GORETEX 徒步 价格很合适， 快递速度可以忍受，码也是国际一致，喜欢。值得推荐这里买ECCO的鞋子， 多关注价格，性价比还是很高的。</t>
  </si>
  <si>
    <t>第一次亚马逊购物心得体会 第一次用亚马逊，想多说两句。第一，没有客服，自己无法判断你买的东西到底是怎样。第二，包装太烂，拿到东西的时候已经能看到里面的剃须刀包装了。第三，物流很慢，而且网站的物流更新太慢。第四，东西绝对是最棒的！总体来说还是不错的，最少的价格买到了最心仪的东西！</t>
  </si>
  <si>
    <t>塑料导管，规格合适。 比纸质的导管要方便，方便快捷。好评。</t>
  </si>
  <si>
    <t>Samsonite rewind cross-over 非常好，下次继续购买</t>
  </si>
  <si>
    <t>酷酷的 帮别人买的 1米76 160多斤 m的合适  衣长有些短</t>
  </si>
  <si>
    <t>性价比高，值得推荐 肯尼亚产，不过质量不错，很修身，尺码大小跟国内专柜一样，值得推荐，性价比高</t>
  </si>
  <si>
    <t>海淘精品，赞一个 连关税到手不到一千。耳罩外壳是黑色的，不是图片里的灰色。耳罩的天鹅绒很舒服，比我的DT990 32欧姆舒服。虽然是封闭式，戴起来不闷，比爱哭鬼家的550舒服一些。头梁罩是类似于羽绒服那种布，感觉还行，可以更换。 包装盒子里只有一个简易袋子和说明书保修卡。6.5mm耳机插头。别的没了。</t>
  </si>
  <si>
    <t>舒服保暖 毛坎肩，很保暖，大小合适。</t>
  </si>
  <si>
    <t>非常好 款式和材料都非常好</t>
  </si>
  <si>
    <t>买适合自己的衣服 以前去美国一些商店买衣服，有一点觉得非常好，他们尺寸标码非常的全，几乎不用扦边，而在国内买的裤子没有不扦边的。另外现在适合中年男士的裤子在国内已经很难买了，到处都是尖锥形的时髦年轻人裤子而在美国还大多是直筒型的。国内不好买，亚马逊满足我们这个需求，非常满意。</t>
  </si>
  <si>
    <t>关于衣服的尺寸和身材的适配。 身高175厘米，体重66公斤，小号的衣服，跟定做的一样，给后面的朋友一个参考。</t>
  </si>
  <si>
    <t>不错 很好很不错，很好很好。</t>
  </si>
  <si>
    <t>挺好用的 挺好用的，也没有传说中的很重，不累手，比之前家里的那个轻多了。吹干也很快，只需要买个英国转换插头就行，十几块。</t>
  </si>
  <si>
    <t>关于尺寸 身高190、体重100，L号大小合适，质量和穿着舒适度都还可以，好评！</t>
  </si>
  <si>
    <t>还是该买黑色的！ 还是该买黑色的，没黑色好看！</t>
  </si>
  <si>
    <t>颜值担当的铸铁锅，prime免运费很值 17日下单，18日发货，23日清关，25日顺丰送达。还是很漂亮的，不能当工艺品来要求，小沙眼小毛刺和锅边小瑕疵都是有的，整体来说海外购体验很好，觉得亚马逊低调而棒棒哒。</t>
  </si>
  <si>
    <t>Nice look! NICE LOOK! 做工很好，非常保温。 喜歡！</t>
  </si>
  <si>
    <t>很不错的购物体验 电动牙刷好用，就是刷头太贵。 对比了好几家店，基本都是四五十一个刷头。 飞利浦海外购，8个刷头217，加上关税也就240左右，平均30一个，真的便宜。 而且海外购正品率非常高，值得信赖。 你们搞的这个刷头啊，excited！</t>
  </si>
  <si>
    <t>总体上比较合适 186cm，82kg，xl，袖长和衣长都合适，略有点肥，可以接受，适合春秋穿，里面穿一件T恤。做工很好，与国产的Columbia做工差不多。</t>
  </si>
  <si>
    <t>很好的宝贝 到货超快，对宝贝有信心</t>
  </si>
  <si>
    <t>不错的裤子 比g家牛仔裤大1-2个号，腰比较高，面料很舒服，裤脚带收口</t>
  </si>
  <si>
    <t>面料太薄了，而且袖子上有污渍，洗了好久也洗不掉。因为退货实在是太麻烦了，我只有忍了。而且那个小马标太小，根本就不知道是真货还是假货。 面料太薄了，而且袖子上有污渍，洗了好久也洗不掉。因为退货实在是太麻烦了，我只有忍了。而且那个小马标太小，根本就不知道是真货还是假货。</t>
  </si>
  <si>
    <t>三星是给客服 要的黑色，来的不是，不过客服很爽快的处理让我很满意，裤子不错，就是不是我要的颜色</t>
  </si>
  <si>
    <t>偏大太多 布料一般，没弹性，黏灰。偏大不是一点，74kg 170cm，平时穿XL,这款穿M也偏大，不建议购买</t>
  </si>
  <si>
    <t>不是很喜欢味道 没觉得能保持一天，另外水的味道很怪。</t>
  </si>
  <si>
    <t>质量堪忧 坏的！电源线接音箱接触不良，用手扶着调整才能有声音，放手就无声音。处理方式只能退。海外购退货太麻烦了。电子产品还只能海运，三个月到货后才退款，或者有的快递公司运费快赶上产品价格。东西再吸引，下手也得三思。以后也不敢买了。</t>
  </si>
  <si>
    <t>掉色问题 才穿了10天，膝盖处掉色！</t>
  </si>
  <si>
    <t>购物过程基本满意 平时穿43的鞋，买了9.5M，大小合适，冬天穿垫鞋垫也可以。鞋摸起来皮质挺柔软的，穿着也不硬，还挺舒服的。鞋到手的时候左脚脚面的位置有一点擦痕，个人觉得不影响，加上退起来麻烦，也就没追究。物流还挺快，1.11上午下单，1.12发货，1.17就到手了。</t>
  </si>
  <si>
    <t>2件装只有1件 所谓的两件装其实只是刀头网膜组合装，收到后有一种上当的感觉。但就货品而言，包装完好，看起来质量还不错，还没换上使用所以不知道效果。总体满意。</t>
  </si>
  <si>
    <t>三福霹雳马48色 应该买132色或者150色，感觉画人物不够用的。色彩比较鲜艳，叠色也可以，就是笔感不是特别好。寄过来盒子有点磕碰</t>
  </si>
  <si>
    <t>与图片有差异 衣领太高了点，不过保暖效果不错。</t>
  </si>
  <si>
    <t>备用 多买一个，备用，容量大。</t>
  </si>
  <si>
    <t>除了噪音没啥问题 买的时候说十天，结果三天就收到了，很长惊奇。简单试了下没有什么问题，也有四五秒一次的咯噔声，拷数据时减轻了些（连上不用的时候还是一样），数据线和电源线的拔插有点麻烦，其他的都很好。</t>
  </si>
  <si>
    <t>保温性好 买来带饭的，但550ml的小了点。用来装宝宝外出的辅食了。试验过前一天装的粥第二天还是温的，开水装进去第二天还有6-70°。清洗也方便。</t>
  </si>
  <si>
    <t>和专柜一样 非常好的鞋子 号码准确和好专柜试过的一样 唯一就是皮子表面没有经过处理 不能沾染任何水渍 ！下雨绝对不能穿</t>
  </si>
  <si>
    <t>2019年还欠妈妈这双鞋……38码。希望能实现！ 2019年还欠妈妈这双鞋……38码。</t>
  </si>
  <si>
    <t>衣服偏大，质量还行 衣服真的尺码不小，s码大概相当于国内L码</t>
  </si>
  <si>
    <t>价格便宜在质量上就没法奢求了。 价格便宜在质量上就没法奢求了。放清水里面那黑色的水啊，一遍遍，全是黑的。无语。</t>
  </si>
  <si>
    <t>做工很好，布料很好。物超所值 在天猫上专卖店问过，尺码偏大一号左右。168,68kg，穿上腰围稍宽松但还是合适。加税共419入手，价格波动大</t>
  </si>
  <si>
    <t>性价比高 鞋子的款式很喜欢。价格也很合理，赞</t>
  </si>
  <si>
    <t>好评 尺寸正好 好评</t>
  </si>
  <si>
    <t>质量不错 就是图个心里安慰 买来用得少 浪费了</t>
  </si>
  <si>
    <t>不错 物流比想象的快，应该不是国外发的货吧，东西看着和以前买的一样，效果要吃一段时间才知道呢</t>
  </si>
  <si>
    <t>好东西 面料薄软 尺码准 身高180 体重150 胸围98 M正好</t>
  </si>
  <si>
    <t>物流比原定的时间提前好多 手表包装及外形很棒，非常不错</t>
  </si>
  <si>
    <t>东西不错 235的脚 Big kid 5.5M刚刚好。 个人脚背也不高的</t>
  </si>
  <si>
    <t>五星，好用，没异味 很好，没异味，颜色好看。</t>
  </si>
  <si>
    <t>不错满意 质量好，推荐购买！剪东西很快</t>
  </si>
  <si>
    <t>物好价不稳 物好价不稳，一收到货再看降价了…鞋与卖家所发图片一致。合脚，舒适，有绒里，底软</t>
  </si>
  <si>
    <t>小贵 冲动购买，还是挺贵的。宝宝2岁多，还挺喜欢用的不过。</t>
  </si>
  <si>
    <t>173cm,67kg，31W*29L，穿着大小合适，略显宽松 布料比较舒服，Lee还是可信，裤筒粗大，直筒</t>
  </si>
  <si>
    <t>挺好 挺大的一瓶，味道不如小熊糖的另一款</t>
  </si>
  <si>
    <t>超级舒服的无痕内衣 质量好，穿着很舒服～适合夏天</t>
  </si>
  <si>
    <t>慎买 老外的身材和我们不一样的，裤子穿起来不好看。不建议海淘裤子！</t>
  </si>
  <si>
    <t>很一般的皮带 质量一般，很硬，感觉像塑料的，宽度很窄，不适合牛仔裤。本来想打两星，加一星是价钱便宜。</t>
  </si>
  <si>
    <t>Z秒杀 Z秒杀买的，快递超快，第二天一大早就来了，电源线是深圳产的三插那种，说明书是英文的，没有中文版里的菜谱，有点失望。比原来用的mk200小很多，重量差不多，有底噪。可能是刚开的缘故，声音有点干，音质提升没有想象中好。</t>
  </si>
  <si>
    <t>质量很无语 订购的是黑色，发过来的是灰色。质量还我在国内买的爱步有很大的区别，做工非常粗糙！</t>
  </si>
  <si>
    <t>厚 175，65 小号的，里面有毛毛，很厚。</t>
  </si>
  <si>
    <t>大小合适走路有点累 鞋子大小按照尺寸表量脚的尺寸并适当加大半码比较合适，我一只脚230、一只232，235稍微有点点小，因为鞋子比较宽松也还好。刚穿上去的确舒服，鞋垫是气垫的很软。但是气垫的寿命有待验证。另外，鞋底的设计还是差一些，前翘位置靠前或前翘高度不够，走路长的会觉出来有些费力。</t>
  </si>
  <si>
    <t>很有怀旧感 因为看了大家的评论才买的~主要用来早上锻炼用~价钱尚可~外形也很朴实还是好牌子!</t>
  </si>
  <si>
    <t>喝开水太烫 保温效果可以的，这也是优点。但是导致喝热水的时候不太方便（身边不一定就有杯子）， 望改进。</t>
  </si>
  <si>
    <t>包装变了吗 这个包装跟我之前买的不一样，这个要矮一点，桶口小一点且有封口膜，不知道是不是包装改了，冲的时候表面有一些白色小点，口感还行</t>
  </si>
  <si>
    <t>味道大 味精确实大，胜在够便宜</t>
  </si>
  <si>
    <t>值得购买 净高168cm，70kg。胸围100cm，腰围80cm，s号合适，但是衣服本身弹性很好，穿上显宽松，面料很柔软。加税350到手</t>
  </si>
  <si>
    <t>宝宝比较喜欢使用 好用，家里有4个贝亲了</t>
  </si>
  <si>
    <t>OK 穿着合适。</t>
  </si>
  <si>
    <t>建议购买 实物好大，快赶上保温瓶了.</t>
  </si>
  <si>
    <t>松鼠囤货 消耗品，买了囤积，迟早都会用完。有好价格就囤起来。</t>
  </si>
  <si>
    <t>比较满意的裤子! 快递很快,裤子不错.腿细点的按标准尺寸买就可以了,和专卖店差不多.薄型的,稍有点褪色.和图片某些细节稍有不同.整体来说:很满意.高性价比.还好有亚马逊海外购,希望以后品种再多点哦.我还有两条ck在途中,应该不错.</t>
  </si>
  <si>
    <t>感觉质量不错 感觉质量不错，只是裤长选长了，下次选30长度即可</t>
  </si>
  <si>
    <t>薄，合身 身高180，76公斤，X-Large刚刚好。料子比较薄，有点发硬，还好不透。加件长袖内衣，秋天穿正好。</t>
  </si>
  <si>
    <t>非常喜欢 好看</t>
  </si>
  <si>
    <t>还可以 和以前买的外观一样，还没用不知道用的效果一不一样，物流也还可以</t>
  </si>
  <si>
    <t>东西不错，没有工具是个坑 东东到货，包装是简陋了点，不过没关系，商品没有问题就好。关键是没有说明书上所说的安装工具啊！到淘宝搜索，也没这种规格的，真是太郁闷了。本想替换原来的伊奈的那款，现在发现拆不下也装不上。只有两个办法，一个是把台盆卸下来再装，另一个是自己做一套工具。在网上搜了很久，怎么就没有人说到工具的问题呢？他们是自己装的吗？</t>
  </si>
  <si>
    <t>很好，味道清新没有刺激 很好，味道清新没有刺激，小孩子也能用。</t>
  </si>
  <si>
    <t>舒服的，比心亚马逊 我老公178cm，168斤，穿LL刚好，稍微一点点宽松，不厚，穿着很舒服。适合年轻时尚的男子。在国内旗舰店卖的好贵，可以在这买2套多</t>
  </si>
  <si>
    <t>值得购买 有点大，不过质量很好👌</t>
  </si>
  <si>
    <t>舒适、尺码合适，非常满意 舒适、尺码合适，非常满意</t>
  </si>
  <si>
    <t>保温杯 一直心心念念的保温杯，终于买到了，真的特别好</t>
  </si>
  <si>
    <t>牛仔裤 质量很好裤子是有弹些的很有弹力</t>
  </si>
  <si>
    <t>非常满意 鞋子不错，内衬貌似可以拆洗晾晒，穿上就是脚比较显大。颜色也好，性价比高，希望哈尔滨零下30度扛得住</t>
  </si>
  <si>
    <t>物有所值 虽然很多人会笑我，买个铁锅还到美国买，可收到用过才知道绝对合适，国内还没有这样的锅。不瞒大家，夫人每天都用这个锅煎馒头包子准备早餐，甚至连中晚餐做菜有时也用此锅，觉得味道比原来的锅烧的要好，难道是心理作用？！</t>
  </si>
  <si>
    <t>不错 还可以，175斤，178公分，合适，</t>
  </si>
  <si>
    <t>当红产品吧 亚马逊海外购价格很实惠，好像也算个当红产品吧，先入手</t>
  </si>
  <si>
    <t>笔的质量还是有点问题，不知道是不是运气不好呢？ 货几天就收到了，不像系统里说的要半个月后才能收到，这个赞一下，收到时看到包装确实心里打鼓，包装感觉有点随意了，好在笔没坏（看图片），笔上手感觉较轻，笔的样子挺大气的，笔粗细合适，写起字来还是有手感的，出水顺滑，但用了几天就出现了断水情况，拧开笔头清洗以后写没多长时间又出现断水情况，已经同客服反映了情况，还在等结果反馈回来。给予以2星评价：发货速度和写字手感好</t>
  </si>
  <si>
    <t>尺码偏大 库管太大，尺码太大不标准</t>
  </si>
  <si>
    <t>还可以 柬埔寨生产，大小还好，产品包装简陋。快递到货后盒子都被压扁了。</t>
  </si>
  <si>
    <t>秒针不会归零 寄来包装盒还好，可是表不知道为什么指针不会归零</t>
  </si>
  <si>
    <t>一般 把皮肤都破了</t>
  </si>
  <si>
    <t>壶体中间的橡胶垫圈会污染咖啡吗 4天就到货了，很漂亮，唯一的问题是壶体中间的密封垫圈是橡胶的，有味道而且容易沾染污渍，而这类橡胶是很难清理的，这个橡胶垫圈会接触到咖啡液体吗？不解。为此疑问扣一颗☆</t>
  </si>
  <si>
    <t>钢铁侠必备 超硬，找不到面料成分。穿上后有种钢铁侠的感觉。</t>
  </si>
  <si>
    <t>降噪远不如qc35，佩戴舒适度略弱于qc35。 z实惠买的，情况是好，比新品少壹仟多，到重庆四天。盒子封胶拆了，打开后线是散的，耳罩里有一根头发，其他都没动，推测是别人试听后退的货。降噪比qc35差太多，不是我想要的感觉，但是音质比jble55bt要略强。纠结了一天，决定不退了，感觉亚马逊这么耿直，我也不能让他变成三手货，并且还是有点喜欢。电脑推效果好于mate9，估计买个播放器加耳放效果会好些。 听了10天了，觉得还是比e55BT强太多，没可比性。越来越喜欢。</t>
  </si>
  <si>
    <t>质量还行，有点偏大 质量还可以，但是有点大了。</t>
  </si>
  <si>
    <t>派克卓尔 最近较忙 一直未能使用该笔 所以其他方面先不做评价 就收到笔后蘸墨试笔来说 体验还是不错的</t>
  </si>
  <si>
    <t>挺好的帽子 帽檐弧度比较大，比较遮阳，好看</t>
  </si>
  <si>
    <t>真是不错啊。 确实不错，价格便宜不少，建议买大半码或一码的。</t>
  </si>
  <si>
    <t>还不错 直筒，不修身，颜色喜欢，裤型一般，舒服</t>
  </si>
  <si>
    <t>合适 昨天收到，目前感觉还不错，关键是时间不用老去调整了，性价比高。</t>
  </si>
  <si>
    <t>喜欢 穿上之后大家都说好看</t>
  </si>
  <si>
    <t>轻薄有品质。 外观没得说，精致而漂亮。价格可以接受。</t>
  </si>
  <si>
    <t>好用 最爱的牙刷了，没有之一</t>
  </si>
  <si>
    <t>购物愉快，有凉鞋穿了 非常适合，价格很OK</t>
  </si>
  <si>
    <t>海外购方便快捷 味道确实有点大，得散几天。使用的时候，皮带的抽拉不是很顺滑，孔不够多可以自己打。性价比不错，牌子正。</t>
  </si>
  <si>
    <t>正品 容量大，看上去牢固耐用</t>
  </si>
  <si>
    <t>脚背高脚肥的人，建议鞋号买大点。 之前看鞋的图片就感觉可能脚背高的人会挤脚，买的时候特意买大了一号，到货以后穿上发现如果穿厚点的袜子还是会觉得脚背那里有点紧。如果买正常号，估计会小。</t>
  </si>
  <si>
    <t>比预期的小 材质和做工都很赞。物流也挺快，7天到货，显示从英国发货的。买来想洗菜的，最大的可以洗菜，但其它三个不可以，太小了。</t>
  </si>
  <si>
    <t>舒适 鞋子很舒适，漂亮，平时穿39的鞋，买了9C/D，过宽过大了，还是应该按照尺码对照表买的</t>
  </si>
  <si>
    <t>便宜 鞋不错，便宜。</t>
  </si>
  <si>
    <t>没标题 很好，表面简约不简单。</t>
  </si>
  <si>
    <t>很完美 一直很抢手的保温杯，必须买</t>
  </si>
  <si>
    <t>不呛水！好好好！ 吸管有点点胶味，要泡泡水洗洗吹吹！这个杯子不会呛！！！女儿超级容易呛水的，这个吸管里面有十字开口，不会呛水！还送了多一支吸管，可以装到同牌子的杯子上也不呛！挽救了我另外一个本来会呛水的膳魔师！保温一般吧，反正人家本来就写保冷而已嘛。反正也不能装很热的水进去的。</t>
  </si>
  <si>
    <t>物美、质优、价廉、快捷、便利的海外购！ 我一直为补钙不吸收而犯愁。经一位旅居美国的医生推荐，买了拜耳品牌的Citracal补钙剂。11月11日下单，被告知预计11月30日送达，结果11月19日就收到了。我买了4瓶，对比一下价格，比在美国檀香山实体店买的还便宜。真是一次快捷、便利、物美、质优、价廉的海外购！</t>
  </si>
  <si>
    <t>不错 品质做工都不错，物流还算快，下单到收货一周时间</t>
  </si>
  <si>
    <t>母乳宝宝适合 买了三瓶了，宝宝一直吃这个，每天一滴</t>
  </si>
  <si>
    <t>质量不错，样子颜色一般 颜色比较怪异，过大，样子一般是适合老外</t>
  </si>
  <si>
    <t>睡衣，别当外穿买。 舒服是舒服，但是我也是买了才知道是睡衣系列。。。。。。。。。。太坑了吧，就不能在网页说明一下。</t>
  </si>
  <si>
    <t>好的 尺码正正合适，实际颜色居然很好看</t>
  </si>
  <si>
    <t>差 与原来自己的苹果线控耳机对比了一下，音质差太远，感觉有点噪音。特别是听无损音乐时候比较明显，音质不太清晰。后悔在亚马逊海外购了，虽然便宜了几十块钱，但是没法退货。电池续航能力一般，新买回来差不多是五个小时续航，对音质追求高的建议买苹果的。还有接电话延迟，微信语音通话无声音。用了一个多月耳机上这居然是套了一层胶皮，脱落了</t>
  </si>
  <si>
    <t>千万不要在中亚下单！！拍了成人版发来一件儿童版，消费欺诈！！商品价格相差一半一止呢 千万不要在中亚下单！！拍了成人版发来一件儿童版，消费欺诈！！商品价格相差一半一止呢</t>
  </si>
  <si>
    <t>内衣变形 包装不好，内衣被压得严重变形</t>
  </si>
  <si>
    <t>比國內專賣店便宜得多了。。。。。。 以前買的褲子長度是34，感覺稍短，所以這次買36，誰知長了很多，沒辦法只能去改了。除此之外，褲子還是很合身，手工是有點粗糙，線頭也有點，總體還是很滿意的。</t>
  </si>
  <si>
    <t>一般 很一般，不值当。100+购买的，底下的边老是会卷起来。</t>
  </si>
  <si>
    <t>质量一般 机洗两次后，腋窝处脱线开裂。</t>
  </si>
  <si>
    <t>经典的耳机 做工只能说还行吧，不如以前的版本了，尤其是头梁感觉不太结实，准备用台放推，试了下直推，声音很小，音色、音域一般，听一阵可能会好些。</t>
  </si>
  <si>
    <t>合适 囤着明年穿，还没试，应该还不错吧。</t>
  </si>
  <si>
    <t>鞋子很舒服 真的很喜欢，质量也很好。只是鞋垫鞋垫稍微硬一点，因为鞋子稍微有点瘦，我是个脚很瘦的人都感觉有一点点的紧。我建议买大一个号。穿着舒服。</t>
  </si>
  <si>
    <t>满意的购物 大小合适，也是也喜欢，穿着舒适，价钱比国内便宜</t>
  </si>
  <si>
    <t>好 尺码标准，越南造，原价60刀，质量很好</t>
  </si>
  <si>
    <t>非常好的一双鞋 本人运动鞋42.5码，购买码数9d (m)，稍微有一点点小，似乎感觉就是新鞋的惯有的小，穿一阵应该会好，防水，做工非常好，穿起来非常帅。鞋子  本身很高，180cm身高，穿上鞋后大概有185-187左右。  缺点，防滑底在下雨天街上，泥土里都有很好的表现，但如果下雨天走入商场超市等潮湿的光滑地面，需要格外小心，打滑现象比较严重。如果地  面不潮湿没有水，那可以正常行走没有打滑现象。  感谢亚马逊海外购，这是在中国最方便最实惠的海淘方式。</t>
  </si>
  <si>
    <t>最好的轻薄羽绒服 一如既往的舒适</t>
  </si>
  <si>
    <t>合身 物美价廉，我身高175.体重84公斤穿的大号，合身</t>
  </si>
  <si>
    <t>为什么没有鞋垫？ 鞋子很好</t>
  </si>
  <si>
    <t>性价比高 好，冬季穿，舒服。略略略重点。</t>
  </si>
  <si>
    <t>超喜欢 很超值的一对小箱，太有惊喜了！</t>
  </si>
  <si>
    <t>性价比高 目前使用3天，整体不错，等充电以后在追评</t>
  </si>
  <si>
    <t>今天拿到货，很满意 出差到了一个偏远的地方，选择平邮。卓越的态度还是一贯的认真，包装的很好。货很正，我很满意。这款表值得购买。</t>
  </si>
  <si>
    <t>满意的体验 轻巧，保温，值得购买</t>
  </si>
  <si>
    <t>很好 还没用，发货慢，但是4天就到了。包装的也很好</t>
  </si>
  <si>
    <t>！！！！ 帅到不行超级棒真的超级喜欢</t>
  </si>
  <si>
    <t>性价比高 这个表性价比太高了，太喜欢了。你值得拥有。</t>
  </si>
  <si>
    <t>给女儿用的 第一次看到女儿舔盘子。</t>
  </si>
  <si>
    <t>不错 质量很好非常满意～～lee的裤子果然王牌</t>
  </si>
  <si>
    <t>很不错 还不错，看着就知道烫不烫了。</t>
  </si>
  <si>
    <t>轻巧 非常好，出差也随身带着。占的空间少，且很轻。真是物超所值呢。实物与图片无色差。</t>
  </si>
  <si>
    <t>要注意尺码 产品质量不错，就是日版的尺码明显比美版的小了，一是瘦，二是袖子短，大家注意下吧</t>
  </si>
  <si>
    <t>此款居家服材质厚实，性价比高 材质厚实，适合比较凉爽的季节穿</t>
  </si>
  <si>
    <t>耳机只有一边有声音 ，另一边没声音，现在找哪维修都找不到，烦死了 耳机只有一边有声音 ，另一边没声音，难道是我买了个鼓掌耳机？现在找哪维修都找不到，烦人</t>
  </si>
  <si>
    <t>震动有点大 充电很快，做工不错，声音有些大，震动强，有按摩脸部的作用🙌，剃须还行，快，干净</t>
  </si>
  <si>
    <t>衣服长，码子偏长 很薄，所以感觉质量不怎样，衣服偏大，长</t>
  </si>
  <si>
    <t>这个杯子颜色有色差买的人注意了，看起来是玫瑰金的，到手是咖啡色的！~ 这个杯子颜色有色差买的人注意了，看起来是玫瑰金的，到手是咖啡色的！~</t>
  </si>
  <si>
    <t>假货 假货，穿上身不舒服。想不到亚马逊也卖假货。我已经挑自营的，还是一样。非常失望</t>
  </si>
  <si>
    <t>4个月就成这样了 平时写写画画就成这样了，派克很让我失望。</t>
  </si>
  <si>
    <t>尺码比例不对 比例不对，袖子过长，尺码也比国内的大</t>
  </si>
  <si>
    <t>总体还不错 身高180重80，穿上正好。内层掉绒，里面穿黑色的抓绒衣可惨了。不过能够理解接受，这种面料总归是这样的。</t>
  </si>
  <si>
    <t>小了一些，建议大一码 鞋子比较窄，适合脚型瘦的人，建议大一码</t>
  </si>
  <si>
    <t>水洗标不一样 红色是我自己的，拍个图对比一下</t>
  </si>
  <si>
    <t>有些大了 有些大了，肥了，超出了想象</t>
  </si>
  <si>
    <t>好 稍大一点，质量好</t>
  </si>
  <si>
    <t>质量很好 保温好，比想的重些。</t>
  </si>
  <si>
    <t>偏小 177cm 70kg  L是完全合身=偏小  这种卫衣要穿宽松的 完全合身显得跟穿小朋友的衣服一样  送女朋友了</t>
  </si>
  <si>
    <t>价格实惠，性价比高。 价格实惠，性价比高，黑色比较好搭配，属于比较休闲的款式。</t>
  </si>
  <si>
    <t>品质不错！ 可能是第一次买那么贵的耳机吧，感觉很不错，原来一直老版PX200。初听感觉解析很好，以前揉在一坨的声音清晰了，不过低音下潜、高音的透亮还没出来，可能太新了吧，煲一个月后再看看！</t>
  </si>
  <si>
    <t>值 最划算的氦气，没毛病</t>
  </si>
  <si>
    <t>口味不错，含量合适。 口味不错，含量合适。</t>
  </si>
  <si>
    <t>很满意 得益于参考海淘们撰写的评论这条裤子是我在亚马孙买的最合适的一件，分享一下:本人183cm,腰围99cm,体重88kg，属于匀称健壮型，尺码选择36*34，供各位参考。</t>
  </si>
  <si>
    <t>值得购买 锅已经使用有一段时间了 刚开始的时候有点粘且中心位置糊了 后来用刀把糊的地方全刮掉了 现在不粘了 但是感觉锅底好像不平 为什么油总是在四周而中心却没有 总体来说这个锅不错 非常好用 ，现在唯一的缺点就是太重了 一个手拿相当费劲了。</t>
  </si>
  <si>
    <t>性价比高 还是很喜欢这个牌子的，价格便宜</t>
  </si>
  <si>
    <t>短袖 衣服质量非常好，颜色正，洗了一次，没有褪色现象，非常赞</t>
  </si>
  <si>
    <t>合适 身高177，体重195，壮实，码数合适。</t>
  </si>
  <si>
    <t>不错，物有所值 还不错，略逊于上一双黑biom（北京呼家楼民生银行楼下一层买的才600，血赚）就是包装盒散了，不敢想它经历过什么。亚马逊还送了100话费…</t>
  </si>
  <si>
    <t>推荐 穿着很舒服，只看正面晚礼服的即视感。</t>
  </si>
  <si>
    <t>买大1-1.5码吧 平常38，买了39，可以不能再小。尺寸表写39是24.1厘米？？喜欢。做工比踢不烂好多了</t>
  </si>
  <si>
    <t>皮带质量好 腰围85.5cm，最后一个洞有点紧，最后第二洞又有点松。</t>
  </si>
  <si>
    <t>尺码过大 亚马逊提供的尺码参考非常不准确，偏大太多，平常穿xxl，估计这款选择M或L就可以了。</t>
  </si>
  <si>
    <t>防水 种草很久了，非常好的鞋子，防水，好打理，超级值，能够穿大童版真幸福</t>
  </si>
  <si>
    <t>漂亮 鞋子属于灰绿色，不是黑色，很特别很好看，穿裤子很好看600多点买的，觉得特别合适，颜色很深，应该正码，反正我买大了。给需要的个介意</t>
  </si>
  <si>
    <t>不错 样子好看，买贵了</t>
  </si>
  <si>
    <t>外观也不错 质量不错，外观不错。</t>
  </si>
  <si>
    <t>不好用 不知道是不是运气不好的原因，这个U盘远没有想象的好用，读取很慢，总感觉卡顿。</t>
  </si>
  <si>
    <t>非洲产做工差 突尼斯生产，皮子裁切不直，可看见弧度，做工不好</t>
  </si>
  <si>
    <t>鞋面色差 鞋背稍紧  鞋面有色差  穿的比较舒适</t>
  </si>
  <si>
    <t>四瓶都结块了。。。 这样子了。。。。真的不太好吧~~</t>
  </si>
  <si>
    <t>奶嘴三天就坏了 奶嘴三天就坏了，不好！</t>
  </si>
  <si>
    <t>太甜了！ 买的摩卡卡布奇诺味的，实在是太甜了！！一盒纯牛奶一勺都甜的我腻歪啊！！！不好喝啊～～～别的会更甜吗！！</t>
  </si>
  <si>
    <t>做工一般 面料不错，普通版，做工一般</t>
  </si>
  <si>
    <t>三傻太空笔的简陋版？ 看了三傻种的草，感觉没有三傻有质感，应该是那一款的简陋版吧。书写顺滑，拆的时候还是很雀跃。不错。</t>
  </si>
  <si>
    <t>有一件有个肩上小洞，其他都还好。 有一件有个肩上小洞，其他都还好。</t>
  </si>
  <si>
    <t>小一码半 带有美国快餐式的品牌模式，质量不错，细节基本到位，算不上精品，可以接受。</t>
  </si>
  <si>
    <t>品质优良 很好的产品，品质优良</t>
  </si>
  <si>
    <t>还可以 挺可爱的，但是有味道，不知道用热水消毒后还有没有。这里的价格是最优惠的</t>
  </si>
  <si>
    <t>码数正 平时穿m码 但看评论有些说偏大 结果我选了s码 小了点 可能每个人体型不一样 建议还是选择平时穿的码数 腰上有肉肉 有时候穿裙子 需要高腰内裤掩饰下肉肉的哈哈 但是真的有点土</t>
  </si>
  <si>
    <t>满意的产品 确实不错 比国产的机器还是要人性化</t>
  </si>
  <si>
    <t>Timberland Men's Classic Leather Belt Reversible From Brown To Black 价格合适，质量很好，值得购买！长短正好！</t>
  </si>
  <si>
    <t>超值的咖啡机，太喜欢了。 黑五价格给力，不到淘宝最低价的一半，太值了！商品等10天才发货，之后又降价100，遂再买一台送朋友。外形非常高大上，胶囊口味也很好，虽然家里有德龙全自动咖啡机，这个也超级方便适用。 这几天发现个问题，关机后过段时间再开机，发现机器死机，电源键红绿闪烁，按其他键无反应，已经发生3次了，插拔电源解决，不知道是不是通病，亚马逊海外购的产品，国内品牌维修点不给修，只能用着看了，希望不要坏。 用了一个月，基本没再死机过，暗暗松了口气啊。 ps，第一台黑五特价500多，第二台买到半年最低价466，没啥抱怨的了，赞👍🏻</t>
  </si>
  <si>
    <t>nice nicenicenice</t>
  </si>
  <si>
    <t>版型都一样 有点包臀</t>
  </si>
  <si>
    <t>挺好的 一直在用，内置涂层，泡茶后不易清洗</t>
  </si>
  <si>
    <t>很舒服 很合适 很便宜 确实不错 价钱很合适 四百八入手 比淘宝京东便宜多了 穿着舒适 很好很好 耐克穿44其乐买的43号</t>
  </si>
  <si>
    <t>值得入手 国L，买的M刚好，略厚但是吸汗，做工很不错，没有缩水。这个价位国内买不到这个质量</t>
  </si>
  <si>
    <t>很好 到货确实是8320s，值友们放心</t>
  </si>
  <si>
    <t>感觉很舒适 不错</t>
  </si>
  <si>
    <t>宝宝很喜欢 宝宝母乳喂养，有时会瓶喂，用这款奶瓶不会出现乳头混淆很满意。不过奶瓶很胖，要找合适的温奶器可不方便，另外刻度不明显，很难确认宝宝是不是喝完奶了怕他吸空气进去</t>
  </si>
  <si>
    <t>喜欢 没想到非常合适 很喜欢</t>
  </si>
  <si>
    <t>衣服很合适 衣服已收到，大小正好，面料适合春秋穿着。</t>
  </si>
  <si>
    <t>非常不错 孩子一直在用，很好用</t>
  </si>
  <si>
    <t>口感不错 很不错每天给孩子吃几个，比单纯吃糖有好处。</t>
  </si>
  <si>
    <t>还好 173，145斤，S号正好，料子结实，有点像工作服外套</t>
  </si>
  <si>
    <t>袖子长 总体来说还不错！就是袖子超级长，衣服也是长款的，遮住屁股了！胸围还是合适的！</t>
  </si>
  <si>
    <t>少了一支，错色两支 收到，少了一支，错色两支，该怎么处理？</t>
  </si>
  <si>
    <t>很薄 给儿子买的，163㎝腿较长，s号大小还可以，就是面料太薄了，夏天穿应该不错，貌似属于比较透气吸汗的，打算在北方的冬天穿着的话慎入。</t>
  </si>
  <si>
    <t>差评 零分 这个产品应该连一星都不值。买回来用了四天，就不工作了，以为没电了，充电完成后，再也没有重新恢复正常。因为无法创建退货页面，联系了客服，让寄到北京，还让把快递单号留好以便报销快递费用。结果东西寄过去这么久了，前天 收到了退款4.52元！亚马逊中国，你是认真想要继续做下去吗？</t>
  </si>
  <si>
    <t>做好评论不通过审核的准备 比较大，无论是震动还是握把，可以是两个电池的源由，也许会干净一点，但小孩有点抗拒，与日本的电动牙刷比。产品五星，Zhong通快递可以再扣五星，什么鬼快递，不送货，最后一百米做不好，前面的分就没了，被快递坑了。亚马逊审核什人又该删评论了……</t>
  </si>
  <si>
    <t>还是漂亮，就是有点大，有点薄 有点大，我169 76kg，该买s</t>
  </si>
  <si>
    <t>一个冬天鞋底开胶了 平时穿44码，这鞋买的是10m感觉稍微有些大，9.5或者9的应该正好。舒适度也可以，不过不防水，水稍微多点就会往鞋的两边集中造成潮湿。穿到现在也就一个冬天还不是天天穿，可是鞋底居然开胶了。</t>
  </si>
  <si>
    <t>小巧精致，质量优良 小巧精致，质量精良，日本ACE代工，包能装一些日常用品，比国内的质量好</t>
  </si>
  <si>
    <t>总体还算满意，尺寸完美 本人尺寸做参考：新百伦uk6.5，这双uk6完美合脚。 这鞋子应该是越南产的，做工略显粗糙，有线头。脚感不错但鞋底偏硬。 下单10天后到货，坑爹的是价格浮动太大，买完就便宜了50多。</t>
  </si>
  <si>
    <t>尺码，质量 大小还行，袖子实在是太长了</t>
  </si>
  <si>
    <t>使用效果不错 蓝牙耳机音质不错，连接方便，电量很好应该可以达到宣传的六个小时。买的白色很清新哦，比在国内买实惠很多</t>
  </si>
  <si>
    <t>很好 买给女儿用到，一直用这个牌子的电动牙刷</t>
  </si>
  <si>
    <t>卡西欧 好，孩子很喜欢。以后有优惠，我也买一块。</t>
  </si>
  <si>
    <t>有效 年初运动不当，加上年龄原因，导致髌骨软化，蹲起膝盖都有痛感。吃了一瓶绿瓶，感觉好多了，但是有些动作还是有点感觉，也不敢跑步了。继续吃吧</t>
  </si>
  <si>
    <t>鞋好不好膝盖说了算 崭新的鞋，没瑕疵。里面没有鞋撑，也没有塞纸团。我脚长25.5cm，脚掌宽9.5cm，这双鞋长短、宽窄都正合适。以前主要穿ASICS NIMBUS和Kayano，旧款缓震也很出色，但最新款N21和K25鞋底却都变硬了。听说甘油缓震好，试试是否能缓解我的膝盖疼。  这双黑色的已经跑了100km，感觉鞋底缓震、反弾性能出色，稳定性也很好，比N21和K25更适合我。  因感觉不错，又订了双橙色的，标签号码是UK7、US8、EU41、CH26，与上一双同码。</t>
  </si>
  <si>
    <t>好评 越南产，做工精细，面料好。不是修身款，173/70，健身身材，S号完美，腰腹部微宽松</t>
  </si>
  <si>
    <t>两种强度，人性化 两种强度人性化，使用舒服</t>
  </si>
  <si>
    <t>又重量，精致 这款钥匙圈的质量无敌了，本身有一定分量，质感非常棒，很值得购买，我等了差不多一个月才收到，因为第一单在运输过程遗失了。。。（ 不会，哪个以为这是纯金的，所以给扣下来了吧。）彼时我还是亚马逊的会员，所以运费上面正好凑单免了，但是如果第一单遗失后，我正好会员到期还没有续，如果再买的话，运费差不多就是这个物品本身的价格，就不划算了。跟亚马逊联系以后，他们的服务非常好，就是让我哪怕是运费再贵也让我重新下单，然后购买，等收到货以后按照第一单的成交价格退差价。完美的售后。冲着这个，我又续费会员了。</t>
  </si>
  <si>
    <t>实用 小杯子更实用！清洗也简单好多！一天要用好几回，从早到晚吃吃喝喝</t>
  </si>
  <si>
    <t>正品，大爱亚马逊。 大爱亚马逊啊，价格非常给力，加入亚马逊prime还免运费，这款鞋国内是泰国产的，亚马逊海外购是斯洛伐克产的，感觉比国内专柜的质量要更好一点，大小尺码是一样的，价格省了1000多块，快递6天就到了，喜欢的不得了。</t>
  </si>
  <si>
    <t>喜欢 不错不错，比某宝便宜。有新鲜的硅胶味道，稍微洗一下就小的多，用的时候用牛奶或者柠檬泡泡。</t>
  </si>
  <si>
    <t>入手好评 周围环境噪音可以消除50%以上，旅途必备，飞机噪音很好的隔离。声效很好，四种声效模式可以满足我们基本需求。使用时间完全满足长途旅行。唯一缺点，夏天有点热。</t>
  </si>
  <si>
    <t>一直用 孔大了。宝宝适应了一阵。刚开始换有时会呛。</t>
  </si>
  <si>
    <t>袜子很好 袜子很好，应该是正品</t>
  </si>
  <si>
    <t>质量还不错 挺好的</t>
  </si>
  <si>
    <t>说明 首先版型正常，我174，74，M号合适 衣服非常薄，更类似加了一个夹层的皮肤衣，有一定的保暖性，但也只适合户外活动时穿着，如果想在秋季城市通勤时穿，我个人认为偏薄! 它适合在20度以上的天气穿!</t>
  </si>
  <si>
    <t>舒服 很舒服，只是容易破</t>
  </si>
  <si>
    <t>非常好 质量非常好，值得购买</t>
  </si>
  <si>
    <t>安全好用 这个奶瓶设计非常棒，不会漏也不怕喝进空气，材质安全柔软不怕摔，5星好评！</t>
  </si>
  <si>
    <t>性价比挺高的 之前买过其他品牌，发现号码都是偏大的，我身高177cm，体重67kg，穿小码刚刚好。</t>
  </si>
  <si>
    <t>包装简陋 包装太简单，有点怀疑是否是正品。</t>
  </si>
  <si>
    <t>尺寸琢磨不透，不好 买过很多件诺帝卡的Polo，都是合身剪裁，都是L号，有的合适，有的大了，真是伤心，尺寸能不能统一一下。</t>
  </si>
  <si>
    <t>不知道是不是正品，如果是正品不知道是不是次品 是产地的原因还是怎么回事，黄色偏深，而且上面有黑色的点，质量不敢保证啊</t>
  </si>
  <si>
    <t>看着像翻新过的旧鞋 全球购从英国发来的添柏岚鞋，鞋面有黑油渍，还有穿过的褶皱痕迹，翻新再糊弄中国人呢吧？</t>
  </si>
  <si>
    <t>不建议购买 面料差，里也差，特别大</t>
  </si>
  <si>
    <t>小心购买 衣服不是一般肥大，我二百多斤，穿2xl都觉得大很多。质量也很一般，产地haiti。关键没法退，退货费125，比衣服都贵。</t>
  </si>
  <si>
    <t>刷头硬 确实便宜，但刷头比较硬，刷牙齿会有点痛；</t>
  </si>
  <si>
    <t>Made inChina.......才买一个月都破了 有点怀疑是不是正品 Made in china...........尺码稍微偏大一点点</t>
  </si>
  <si>
    <t>防雨毫无压力 身高1.78m，70kg，穿m码正好。衣服标签说明是雨衣，中雨状况下走20多分钟无问题。透气一般。供大家参考。</t>
  </si>
  <si>
    <t>一定要看好颜色 帽型还可以，不厚，适合出去玩带，质量延续了Champion的一贯风格，一般，在标志附近有小跑线，反正这个帽子就是戴个标志，没有太高要求。比较坑的是颜色，写的是黄褐色，照片也看不太出来，实际上是绿色…好吧，还好我是女的，就当军绿安慰自己下吧…</t>
  </si>
  <si>
    <t>监听音箱 899元镇店之宝买的，声音总的感觉沒有预期的好，音响沒有杂音，还可以吧！</t>
  </si>
  <si>
    <t>还行 我觉得这款杯子还挺好用的，最开始使用的时候会漏水，后来没有过漏水现象，不能温度太高</t>
  </si>
  <si>
    <t>非常满意的一次购物 材质很好，尺寸合适</t>
  </si>
  <si>
    <t>值得推荐 很舒适，主人很喜欢的款式！</t>
  </si>
  <si>
    <t>码数合适，穿着舒适 非常好，我平常穿新百伦的码数是42.5，自我感觉脚比较宽。这双鞋买的码数是8 2E，这个尺码相当合适。</t>
  </si>
  <si>
    <t>好评 非常好，质优价廉</t>
  </si>
  <si>
    <t>很好 非常好 36a 料子很舒服 大小很合适 不过聚拢一般 适合小杯</t>
  </si>
  <si>
    <t>真TM的笨重的鞋，招架不住。 脚长272左右，9.5W 的刚刚好，里面空间很大。不夹脚 上脚之后就出现磨脚，脚踝哪里内层应该是塑料片，真的很硬。不知道穿厚袜子能不能驾驭。  没有想象那么好看，也没想象的那么好。幸亏没花钱买10061.</t>
  </si>
  <si>
    <t>nice 娃7月龄亲喂，买过n个牌子的奶嘴都不要，只要这个。消毒方便，便携，也不算很贵。如果自带挂绳就更好了</t>
  </si>
  <si>
    <t>不错 舒适，只是尺码有些许偏大，购买时稍稍注意就好。</t>
  </si>
  <si>
    <t>做工好，大小稍偏大，垫鞋垫合适 对比cat的鞋子，同样9w，长度基本相同，但这款由于鞋型原因会高一点宽松一点，垫个鞋垫正好。本人平时阿迪的42.2/3，cat的9w，洞洞鞋9，大概参考下吧。。。鞋做工很扎实</t>
  </si>
  <si>
    <t>不错 不错 很丝滑。m号 175 145刚好。衣长70。胸围102。有弹力</t>
  </si>
  <si>
    <t>超值小狮子保温杯 网红版的小狮子保温杯，价格不高，先买下留着给儿子用，很漂亮的杯子</t>
  </si>
  <si>
    <t>高性价比开放式大耳 高频有时会有毛刺感，中低频非常好。七百多入手完美体验开放式大耳。</t>
  </si>
  <si>
    <t>很轻很舒服 颜色喜欢，号码合适，轻便舒服！</t>
  </si>
  <si>
    <t>不错吧 不错是不错 就是没笔囊  以前都不知道还有这种钢笔 价格美丽  也不知道 用起来怎样  买来送给孩子老师的</t>
  </si>
  <si>
    <t>不错~ 考虑到价格，这块表在任何方向几乎都无可挑剔。我很欣慰~</t>
  </si>
  <si>
    <t>很好的手表 很好用，耐看。精致的手表。</t>
  </si>
  <si>
    <t>整体还是满意的 功能就不说了，大家都知道 的，说大小吧，我手腕16.5cm，感觉带上正好，，真的不是很大 说明书网上有，很容易就找到了，记得搜casio 3157</t>
  </si>
  <si>
    <t>比较满意的一次购物 大小合适，穿着舒服 160cm 47kg</t>
  </si>
  <si>
    <t>亚马逊不错的。 商品是真的好，防水，性价比高，比在国内网站买要便宜很多。物流也蛮快的小城市8天左右。</t>
  </si>
  <si>
    <t>太薄了 这个也太薄了，敷衍了事啊，实在没见过这么薄的</t>
  </si>
  <si>
    <t>还不错的吸奶器 蛮好用的，吸的不疼，但想双边吸的话还是要配免手扶胸衣。 不知道追奶成功有没有它的功劳，反正现在闲置了，实际使用才不到两个月，感觉有点浪费。。。</t>
  </si>
  <si>
    <t>很薄，175 85穿m 质量一般，很薄，类似薄秋衣的厚度，也就只值三五十的价钱，175 85kg 穿m正好</t>
  </si>
  <si>
    <t>冲着亚马逊客服态度给的3星 收到的奶瓶底部有明显划痕，本想申请换货，客服说这是海外购，只能退不能换。 没办法，只能退款了，客服的服务还是很满意的。</t>
  </si>
  <si>
    <t>质量不行！ 质量太差了！穿了一次就一直掉裆， 还抽丝了。我的天，这是福助的品质吗???难以置信！</t>
  </si>
  <si>
    <t>不推荐 亚马逊boss 衣服，普遍褪色严重，且尺码严重不一致，谨慎购买</t>
  </si>
  <si>
    <t>已经坏了不认盘，不建议购买海淘硬盘，就是个坑 不要买别贪便宜，我已经被坑了，无保投诉无门，也没有人会管，海淘的电器都不能买，国内法管不了，如果是假货也是被坑。</t>
  </si>
  <si>
    <t>很一般 比较硬，样式还是可以，就是穿上不是很舒服，直接给小舅子了。</t>
  </si>
  <si>
    <t>感觉没有偏大？ 鞋子好轻，有网友说鞋垫硬，其实还可以接受。至于说偏大半码这个事情，我觉得并没有，当初看了评论都说偏大。可能我脚比较长，平时穿clark也是穿43。应该买43码就刚刚好，现在买小半码感觉有点点挤，不过也能穿。等这对穿残了，再来买大半码。一线城市，一个星期就收到了</t>
  </si>
  <si>
    <t>舒服 平常穿44的，买的UK9.5合适，舒服，老公喜欢。</t>
  </si>
  <si>
    <t>紧一点 是紧身弹力裤，买的时候尽量大一号</t>
  </si>
  <si>
    <t>效果好 有时没用有时又觉得可以让睡眠更香</t>
  </si>
  <si>
    <t>终于买到吃着放心的善存了 吃了多年，这个是最好的，真品，亚马逊自营商品可以信赖，外包装印刷精细，颗粒光滑细腻，双面都有字符，应该是20年到期。吃完了会回购。</t>
  </si>
  <si>
    <t>搅拌不错 喂宝宝的话还是软头的比较好~！搅拌不错</t>
  </si>
  <si>
    <t>洗后更舒服 非常合适</t>
  </si>
  <si>
    <t>不见了 我家娃娃嘴太小，放不进去，后来就丢了</t>
  </si>
  <si>
    <t>满意 非常喜欢</t>
  </si>
  <si>
    <t>女士长袖 不错的，继续保持</t>
  </si>
  <si>
    <t>质量可以 特别的保温瓶，送人的</t>
  </si>
  <si>
    <t>很喜欢，很实惠 不错不错，8只装，很给力</t>
  </si>
  <si>
    <t>很舒服！ 很好，比toto的恒温龙头更沉，曲脚也小，规格和国内都一样，水很大很舒服。就是龙头与曲脚之间，不能用原配的红色石棉带滤网垫片，会漏水，得自己换6分硅胶橡胶垫片。</t>
  </si>
  <si>
    <t>喜欢 宝宝喜欢这款的奶瓶，所以提前买奶嘴来备用的</t>
  </si>
  <si>
    <t>彪马女鞋 挺好看的，就是鞋底有点硬，平常穿37码，这双买了37.5刚刚合适，真的在尺码上犹豫了好久</t>
  </si>
  <si>
    <t>好 170，120斤，M有一点肥，适合夏季。</t>
  </si>
  <si>
    <t>商品满意 侄子很喜欢，这次还是蛮快速的。</t>
  </si>
  <si>
    <t>内裤 穿起来非常舒服，买了两次</t>
  </si>
  <si>
    <t>很棒 性价比太高了，就是买长了，唉</t>
  </si>
  <si>
    <t>非常轻便 很好， 买给爷爷的，老人家非常喜欢。以前从不去评价，不知道浪费了多少积分，现在知道积分可以换钱，就要好好评价了，后来我就把这段话复制走了，既能赚积分，还省事，走到哪复制到哪，直接发出就可以了，推荐给大家！！</t>
  </si>
  <si>
    <t>价格实惠 说真的不太喜欢带涂层的，到货后才觉悟象印都带的。使用没什么问题</t>
  </si>
  <si>
    <t>面料较厚 质量扎实 尺码合适 开箱及试穿感受： 1、日版开箱后发现衣服固定的比较牢固，由于是二次密封的，不用担心会有液体渗漏进箱子导致衣服泡水的问题 2、服装面料对比白色刺绣LOGO款来说较薄，但也还行 3、尺码问题：本人身高168，体重160，买的L号，穿上感觉稍微宽松，如果你像我一样较胖，L号没问题</t>
  </si>
  <si>
    <t>cute watch &lt;div id="video-block-R1HWBKGEOT9U3X" class="a-section a-spacing-small a-spacing-top-mini video-block"&gt;&lt;/div&gt;&lt;input type="hidden" name="" value="https://images-cn.ssl-images-amazon.com/images/I/71rQJIEifuS.mp4" class="video-url"&gt;&lt;input type="hidden" name="" value="https://images-cn.ssl-images-amazon.com/images/I/710MpGoLSLS.png" class="video-slate-img-url"&gt;&amp;nbsp;比预计的送达时间晚了两天，不影响。表特别可爱！还有背灯！满分！</t>
  </si>
  <si>
    <t>很合适 大小很合适  轻薄保暖性能好 浙江穿足够了  再冷的地方还是要买厚的  酒红色很衬</t>
  </si>
  <si>
    <t>合适 不到160，平时穿26-27的裤子，这款买的2short，超合适，lee的裤子跟levi’s比起来，臀部会稍微放大一点，对胖子更加友好。</t>
  </si>
  <si>
    <t>非常大 我买的是4-4.5uk的码数，结果给我发的是39码的鞋子，这个差的也太大了吧……</t>
  </si>
  <si>
    <t>裤腰太宽松 裤腰太宽松了，没法穿</t>
  </si>
  <si>
    <t>气味大 178高，160斤m号小了点，袖子却长了。版型不如别的牌子合理，气味大，个人不喜欢。</t>
  </si>
  <si>
    <t>不怎么喜欢 产品图片太少了，看不清表带细节，拿到手，这表带真的太薄了，逼人去另买表带的节奏。薄如纸！！！ 我手腕比较细，腕部周长14.5厘米，11月7号收到表，戴上去，表带尾部多出来老长一段，无处安放的青春啊好不好，很希望表带上能再多一个活动的固定环，但是没有。想去钟表店买一个固定环，可是人家不卖。后来想自己剪掉一段表带，犹豫了一会又作罢。  因为表带这一个缺点，我点了一个退货。这是我第一次海外购，退货有点麻烦，要先退到美国，等鉴定之后再确定退款金额。。。  但，我现在没有退。。。因为，我后来想着把表带多出来的部分往固定的表带环里面折进去。。。突然觉得这样好像也可以，，表带很薄好像瞬间成了优点。。。（参看本宝宝所附图片），只不过，，这样的话，表带在手腕上凸起很高。。。  然后：秒钟声音比较大，我放到床边半米，有时候觉得秒针声音很大，睡不着，有时候又觉得听不见秒针声音，有点神奇。 秒针也确实对不准表盘上面的刻度。不过这一点我不介意，我只需要精确到分就行。 戴了七天了，目前比北京时间快了一秒。暂时没有其他大问题。  所以，我暂时不想退货了，原本给的1星差评，现在改到3星中评。  就这样吧。。。怪只怪自己手腕细，，，和，，，眼拙。</t>
  </si>
  <si>
    <t>裤子颜色不对 裤子不错，但是我买的是黑色，给我寄灰色。无语。</t>
  </si>
  <si>
    <t>很糟糕的衣服 质量很糟糕，面料不好，而且做工奇差，和地摊上的衣服相差无几。</t>
  </si>
  <si>
    <t>厚木的袜子不厚木 袜子穿起来很舒服 腰部弹性也好就是脚尖处的缝会踩到脚下脚趾撑得疼  肯定不是日本产的 日本没有加绒的袜子 而且摩擦的地方起球了 太贵了 相对于质量而言</t>
  </si>
  <si>
    <t>时钟很清晰，做工很舒服 快递很快，5天就到货了。时钟很清晰，做工很舒服。完全静音。很适合工作学习。</t>
  </si>
  <si>
    <t>和图片颜色不太一样 图片是个墨绿色的 但到手却是个银色的 但是银色又是和8300的图片一样  所以有点搞不懂</t>
  </si>
  <si>
    <t>很精致 很精致</t>
  </si>
  <si>
    <t>逼格高 2500w功率强 服务好 虽然历经多次下单的坎坷，但最终还是到手了，大小商店均没有看见这款，值得购买</t>
  </si>
  <si>
    <t>很好 日亚包装缓冲是四国海外购当中最好的。这款买来囤货的，要等生完娃一个月才能用，期待效果。尺码见图。app为什么只能上传一张图？</t>
  </si>
  <si>
    <t>做工好，味道不大，挺好 做工很好，味道也不重</t>
  </si>
  <si>
    <t>很愉快 长草名笔，先买了这支，根据颜值和预算，准备以后再收鸟m1000，龙149，凌美帝国。 实物去东京银座伊东屋看过，挺好看。那边价格和国内专柜差不多，6k左右。亚马逊自营2k实在有点买到赚到的感觉。 手持正好，看来标准版适合男士手型。 F尖出水比较汹涌。试了百利金4001和写乐极黑，极黑出水太快，还是百利金4001更合适。回头试下自带墨囊效果。如果和百利金4001差不多或更好，会使用墨囊，毕竟方便，干净。 和写乐大型21kMF尖笔，写起来更顺滑，但很难说哪个更好，写乐挂纸的感觉其实也蛮好。 价格比写乐大型翻番，手握感好很多（写乐太短，写起来必须带笔帽），外观完爆写乐，书写感各有千秋。 不买不开心，买了继续买。</t>
  </si>
  <si>
    <t>bi好就行 快递慢，包装简单，没关系笔好就行。非常漂亮，挺顺滑的，以前握笔姿势不对，有点不习惯</t>
  </si>
  <si>
    <t>买正码就可以，千万犹豫。 买的7.5W，我平时穿39或者40。女。然后，可能是因为胖，160，57kg。穿7.5有一点点顶脚，肯定没有40的舒服，冬天如果穿厚袜子，或者垫鞋垫就穿不下了。</t>
  </si>
  <si>
    <t>很好 性价比高，5分好评。</t>
  </si>
  <si>
    <t>不错的商品 很好，划算没味道，质量可以的</t>
  </si>
  <si>
    <t>不错 178厘米，90KG，穿L码，正好，没有想象中的厚，但是，袖子长</t>
  </si>
  <si>
    <t>上脚很赞 穿上很漂亮，质量么，这个品牌，不需多说。平时穿39码，买的39.5码，总体大小合适，长度稍长一点点，但是欧美鞋子脚背低，本人脚背高，有点压脚背，但可以忍受。</t>
  </si>
  <si>
    <t>很喜欢 我是杭州市区的用户，第一次在亚马逊网站购物，此对音箱从下单到收货只有7个小时，非常快捷，感觉很好。本人非常喜爱西方古典音乐和当下流行歌曲，收到音箱开机后效果非常一般，播放5个小时以后音效大大提高，音箱反面调节键控制明显，现在的声效高音、低音、层次、清晰度都十分满意！真是买对了，给我生活的休闲提供无比的快乐！</t>
  </si>
  <si>
    <t>非常的合适 第一次买到ck如此亲民的价钱，东西非常的棒，我身高162.5，体重49.9穿这个尺码非常的合适。亚马逊一直会有好东西淘，支持亚马逊</t>
  </si>
  <si>
    <t>性价比高 很划算，正品，比官网购买性价比高，很好用。</t>
  </si>
  <si>
    <t>非常好👍🏼 首先感谢祖国，感谢值得买，让我抢到了如此珍贵的宝贝，非常感谢</t>
  </si>
  <si>
    <t>32 32合适， 178公分，170斤，合适的！裤子商标确实没有国内做的高端！材质还不错</t>
  </si>
  <si>
    <t>很喜欢 奶瓶手感真实，没有异味。期待给宝宝使用，第一次在美亚购买，价格不仅实惠，重要的是质量放心，好评高于国内某些代购。准备再购入150ml。</t>
  </si>
  <si>
    <t>好耳机 刚开声高音有点剌，(通常高音带剌耳机煲开都有惊喜)，人声偏远，直推差一些，低音极好，肥而不腻。看电影有层次感。</t>
  </si>
  <si>
    <t>支持亚马逊海外购 妹妹很喜欢，很酷。价格也合适。</t>
  </si>
  <si>
    <t>装修囤货，很好！ 暂时还未使用，装修囤货。但是汉斯格雅的东西真的是很有质感！</t>
  </si>
  <si>
    <t>不错的吹风机 比较合适的价格买到，这款适合家用，颜色也是比较讨喜，目前来讲还是比较喜欢推荐购买。</t>
  </si>
  <si>
    <t>耳机太棒了 耳机特别棒 好推 这个价格真不亏</t>
  </si>
  <si>
    <t>在亚马逊购买商品就是放心 价格合理，货真价实，物有所值。商家服务态度好，发货速度快，值得信赖！</t>
  </si>
  <si>
    <t>建议不买 买之前以为全棉，有弹性腿摆，应该不错，结果第一次穿，就成喇叭裤了！</t>
  </si>
  <si>
    <t>买小了 按照评论买小一个号，结果杯具了，完全穿不了，还是希望亚马逊能把号码标注的详细些，别让我们自己瞎猜。而且退货要自行寄回，太为难顾客了</t>
  </si>
  <si>
    <t>欧美标准 裤管太大了</t>
  </si>
  <si>
    <t>经常断水，不能忍。能换货吗？ &lt;div id="video-block-R2MSCGDGMYV4BI" class="a-section a-spacing-small a-spacing-top-mini video-block"&gt;&lt;/div&gt;&lt;input type="hidden" name="" value="https://images-cn.ssl-images-amazon.com/images/I/91qLMAtkDpS.mp4" class="video-url"&gt;&lt;input type="hidden" name="" value="https://images-cn.ssl-images-amazon.com/images/I/81bl5UyqsMS.png" class="video-slate-img-url"&gt;&amp;nbsp;失望，经常断水。视频上第一行写好的我字的最后一笔断水，视频第一笔雪那一横开始也断水。同时还买了凌美的恒星，都是F笔尖，流畅和顺滑度，凌美明显要强于施耐德。</t>
  </si>
  <si>
    <t>对机器很失望 &lt;div id="video-block-R1RZC4AJ5301V7" class="a-section a-spacing-small a-spacing-top-mini video-block"&gt;&lt;/div&gt;&lt;input type="hidden" name="" value="https://images-cn.ssl-images-amazon.com/images/I/91Tv96TT-MS.mp4" class="video-url"&gt;&lt;input type="hidden" name="" value="https://images-cn.ssl-images-amazon.com/images/I/91NFMtIGcRS.png" class="video-slate-img-url"&gt;&amp;nbsp;很失望。东西就是这样裸奔过来的，一个商品的盒子而已，也没套个纸皮箱啥的。还好，比较幸运，没大碍，就是机器底座边缘坑了一小点。试了打蛋清，声音很大！最低速都觉得大声。运作同时还不断有烧焦的味道出来，不知是不是新机的问题，现在就是担心，万一是有问题的，国内又没保修，就是各种后悔。机器运作过程中会有机器粉末出来，锅底会搅拌不到，声音好大</t>
  </si>
  <si>
    <t>不建议购买！ 购买不到一年坏了，海外购产品，没有发票，导致现在还在保修期的产品，无法保修！真的是十分不方便！</t>
  </si>
  <si>
    <t>普通 感觉皮质不好 造工也有问题</t>
  </si>
  <si>
    <t>强烈建议比国内要小一个码 170cm 85kg 国内穿38 这条裤子穿36足够足够 别像我一样买了3830的结果腰围大了一圈</t>
  </si>
  <si>
    <t>刚刚好 刚刚好，不过卫衣还是穿宽松的比较舒服</t>
  </si>
  <si>
    <t>准原声音箱 箱子分二次收到，远渡大洋完好无损，购入时价格非常实惠，今天试听了一下，三频均衡，电源线用原配的没有换，接了5米长的卡侬线可能对高频有损耗，分别连接手机及电脑无信号时沒有交流声及电磁声，大品牌各种性能控制到位，高中低音均比手里的几款音箱好点，本人不喜欢有音染的音箱追求原味这款音箱是财力有限者的福音。</t>
  </si>
  <si>
    <t>还可以 鞋子不错，颜色和图片差了一点，不过不影响穿着</t>
  </si>
  <si>
    <t>大气 大表盘，非常大气</t>
  </si>
  <si>
    <t>10天到货 表非常漂亮，秒针确实不对刻度，夜光很美。内不含保修卡和说明书，收货时盒子微微破损。</t>
  </si>
  <si>
    <t>总体来说还不错 颜色与图片不符，实物颜色较深，总体来说还不错，好评</t>
  </si>
  <si>
    <t>还不错 质量还不错。我比较胖很适合我</t>
  </si>
  <si>
    <t>不错的牙刷 很好 给家人买了好几只 特别好 运输时间又不长 折扣也不错</t>
  </si>
  <si>
    <t>很好的衣物 手感非常不错，ll的标准身材可以，我需要瘦一些</t>
  </si>
  <si>
    <t>不错 做工一般吧。关键看性价比吧。</t>
  </si>
  <si>
    <t>真的做到无蒸汽 放在电脑桌的角落里，离显示器很近，无蒸汽功能真心点赞。水位显示很直观，出水锁定功能很实用。</t>
  </si>
  <si>
    <t>适合头围大的朋友，做工一般 果真适合头围大的朋友，自认为头够大了，结果调节完头后部空余很大，质量一般，孟加拉产果然不如国内。健身用的，就这样吧！</t>
  </si>
  <si>
    <t>胖纸的福音 胖纸的福音，不够胖慎重哈</t>
  </si>
  <si>
    <t>卡西欧 cool</t>
  </si>
  <si>
    <t>速度快 很快，外型也不错，买了不吃亏。</t>
  </si>
  <si>
    <t>透气防水 透气防水，确实不错！</t>
  </si>
  <si>
    <t>好 海外购日本比美国强多了，包装很整齐，考究，不像美国往箱子里随便一丢，就寄过来了，杯子不错，开始以为应该跟成人保温杯一样保温，差点以为买到了假货，后来发现其实为了安全，并不保温，</t>
  </si>
  <si>
    <t>保温瓶 第二次购买了，朋友看好了又给朋友带一个非常满意。亚马逊包装很精致</t>
  </si>
  <si>
    <t>很好 一如既往的好 不易变形</t>
  </si>
  <si>
    <t>不错 帮人买的，反馈说不错</t>
  </si>
  <si>
    <t>强大到逆天的私有云。。。 私有云的东西关注了很久，中午决定买416PLAY ，美亚的东西实惠，Prime 还包邮。一开始完全没明白这货怎么用，研究了不到一个月，简直是保存数据的神器，功能强大，除了价格就完美了。。。。。</t>
  </si>
  <si>
    <t>不错 笔非常好写，写同时还可以自动旋转，贵有贵的道理。</t>
  </si>
  <si>
    <t>大小合适，面料柔软细腻，值得购买！ 大小合适，面料柔软细腻，值得购买！</t>
  </si>
  <si>
    <t>一直在亚马逊买爱步的鞋，性价比超高 一直在亚马逊买爱步的鞋，性价比超高</t>
  </si>
  <si>
    <t>开始粘锅 到货时发现锅不是正圆，柄有少许松动。用不够一年，锅不粘性能大幅下降，原来刚买时煎蛋不放油都不粘，现在油放少了都粘，失望中。平时洗锅用软布，一向小心。</t>
  </si>
  <si>
    <t>不管用 没觉得管用</t>
  </si>
  <si>
    <t>功能不错 口袋是双层的, 里层的有拉链, 设计得很安全方便. 做工有点粗. 电脑上颜色有点深, 实际的颜色更灰一些.</t>
  </si>
  <si>
    <t>总体一般，好稍小 号小，至少要买大一号的鞋子</t>
  </si>
  <si>
    <t>吸毛 吸毛，白茫茫一片。唉</t>
  </si>
  <si>
    <t>可以 质量和做工不错！</t>
  </si>
  <si>
    <t>此处有标记 购买的买家可以看看 拿到手先试穿了下 并没有评论中特别大的情况，此处标记各位买家注意，尺寸是腰部松紧放到最大后的 所以 36就是放到最大36 不要被某些小妖精欺骗 我们这些比较魁梧的还是正常尺寸或略大些最好。 穿着体验除了腰围比较紧其余臀 大腿等部位都很宽松 口袋是一贯的5.11特色 裤管预留了束绳位给你扎裤腿 但并没有给绳子 老外真抠 吊牌 洗水唛俱全 不过挺简陋 产地柬埔寨 各国说明里有中文 完毕</t>
  </si>
  <si>
    <t>鞋底硬，走时间长了脚痛 鞋子不错，但是走时间长了脚痛，鞋底硬</t>
  </si>
  <si>
    <t>喜欢 很喜欢，颜色亮丽，小巧玲珑，适合女孩子放在书包里。</t>
  </si>
  <si>
    <t>面条机 刚好2人用可以。压出的面条直接下锅，以后不用吃挂面了。可以方便清理所有部分。</t>
  </si>
  <si>
    <t>一般般 杯子的外观漆的颜色不是很好，打开杯盖摇一摇听见明显的响声？为什么会有东西碰撞的响声呢？保温效果还可以</t>
  </si>
  <si>
    <t>音箱还可以,已收到货. 音箱还可以,已收到货.</t>
  </si>
  <si>
    <t>很好很实用 纯棉厚实，穿着舒适，领口袖口设计都不错。</t>
  </si>
  <si>
    <t>质量很好 很惊喜，这是我买到的最好的一根软管。</t>
  </si>
  <si>
    <t>挺好，就是有点重 不错，就是有点重。把南瓜、红薯等打泥很细腻顺滑。苹果打泥还是有颗粒。可能是操作还不熟练吧。</t>
  </si>
  <si>
    <t>安全 质感，样子，都很好，价格非常划算</t>
  </si>
  <si>
    <t>非常满意！！我爱亚马逊！！！ 超级无敌满意！！之前纠结了很久到底买硬皮还是软皮，最后软皮便宜点儿，果断软皮 哈哈哈。价格比国内便宜太多了！而且比想象的要轻一些，就是女版鞋头有点翘，有点压脚背，不是很习惯。一般来说穿36会有点空隙，但是这个感觉刚刚好，不晓得穿厚袜子会不会挤。做工 走线 皮质这些蛮好的，我算是比较挑剔的，都还很满意，没有之前有些朋友说等瑕疵情况，开箱一大股真皮味道。有要买的小伙伴建议早点下单，因为从美国过来还是有点慢的，真心推荐！</t>
  </si>
  <si>
    <t>ECCO 脚感很舒适柔软，非常喜欢的一款运动风的凉鞋 白色夏天看着也很凉爽</t>
  </si>
  <si>
    <t>质量、大小合适 鞋子无明显瑕疵，比较满意，鞋垫是可以拿出来的，鞋面质量不错，穿着舒适，尺码准确。唯一是鞋子无外挂标牌？</t>
  </si>
  <si>
    <t>衣服不错 非常好，除了袖子微微长一点，其他都完美。就是物流太慢!</t>
  </si>
  <si>
    <t>好大一瓶 亚马逊做事越来越好，东西正品而且送货准时。这个钙片值得推荐！</t>
  </si>
  <si>
    <t>重要提醒 以下评论和此物品无关。从2014年开始就亚马逊上购物，一直很愉快，也买了几万块的东西了吧，直到最后一次购物让我失望至极，卖家“THE FIRST OUTDOOR”虚假销售，亚马逊平台毫无监管，毫无力度，毫无规章制度，在此提醒各位买家，擦亮眼睛，谨慎购买！</t>
  </si>
  <si>
    <t>不错是正品 正品！非常好用。买后一直在用</t>
  </si>
  <si>
    <t>最高の対応 最近、仕事や外出先でiPadを使うことが増えたので購入しました。 デザインはスタリッシュでカッコいいです。 ケースを付けてもあまりタッチの感度が下がらず問題なく使えました。 もちろん指紋認証も大丈夫でした。 万が一、落とした時の衝撃防止にもなり防水機能も付いているので安心して使えます。</t>
  </si>
  <si>
    <t>性价比可以 &lt;div id="video-block-R1A9BHYS08ZSAB" class="a-section a-spacing-small a-spacing-top-mini video-block"&gt;&lt;div tabindex="0" class="airy airy-svg vmin-unsupported airy-skin-beacon" style="background-color: rgb(0, 0, 0); position: relative; width: 100%; height: 100%; font-size: 0px; overflow: hidden; outline: none;"&gt;&lt;div class="airy-renderer-container" style="position: relative; height: 100%; width: 100%;"&gt;&lt;video id="14" preload="auto" src="https://images-cn.ssl-images-amazon.com/images/I/A1SDnW-v30S.mp4" style="position: absolute; left: 0px; top: 0px; overflow: hidden; height: 1px; width: 1px;"&gt;&lt;/video&gt;&lt;/div&gt;&lt;div id="airy-slate-preload" style="background-color: rgb(0, 0, 0); background-image: url(&amp;quot;https://images-cn.ssl-images-amazon.com/images/I/71tVc7nIv0S.png&amp;quot;);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center;"&gt;0:15&lt;/div&gt;&lt;div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 style="width: 3.68404%;"&gt;&lt;/div&gt;&lt;div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value="https://images-cn.ssl-images-amazon.com/images/I/A1SDnW-v30S.mp4" class="video-url"&gt;&lt;input type="hidden" name="" value="https://images-cn.ssl-images-amazon.com/images/I/71tVc7nIv0S.png" class="video-slate-img-url"&gt;&amp;nbsp;到货只用了6天还是挺快的。音质很不错对比之前自己用的那种多媒体音箱提升非常明显，暂时没配外置解码器买了条3.5转双卡农的线再加一条绿联的3.5延长线插板载声卡直推（主板是华硕B450-F，板载声卡是S1220A），播放软件是foobar2000出来的声音居然还可以。自己另外买了两条国标的电源线插在桌面上一个单独的带总控开关的插线板上面方便操作，然后加了一对80厘米高的落地支架放在电脑桌两侧大概间隔两米左右的距离，再调整了一下脚架的角度让两只音箱对准中间座位形成夹角，平时坐在桌子前的时候就能很明显的感受到声音是从中间电脑显示器的位置发出来的，部分歌曲还能非常明显地感受到层次距离和位置，我不是发烧友不知道具体怎么描述，低频也有劲一点都不糊反正就是很立体的声音，即便是305这种入门级的监听箱用来日常听320K的MP3歌曲对比普通的2.0或者2.1的多媒体桌面音箱也是有相当明显的优势，当然前提是摆放位置要合理。另外关于底噪这段时间用下来也只是偶尔待机的时候明显一点但出现几率不高，我也搞不明白到底是不是线材的问题所以后来又把才绿联的3.5延长线换成了秋叶原延长线，换上后偶尔才出现的底噪倒是基本没有了，但随之而来的是音质受损，尤其是低音部分变得很糊，所以又重新换回便宜的那条线，这个是比较无语的地方，暂时也没换更贵的延长线所以也不知道到底是怎么回事，等将来有机会配个带平衡口的外置解码器估计就没这方面的事了。总之这个价格下的LSR305是性价比很突出的音箱（JBL的国行太坑了），如果板载声卡还行要求不高的话不用独立声卡和外置解码也能推出不错的声音。</t>
  </si>
  <si>
    <t>好评 比nike大两个码子吧，nike10.5 44.5，这双43，9码就行。皮子应该会反松。皮质不错</t>
  </si>
  <si>
    <t>皮质柔软，脚感舒适，平时35，这鞋有点偏小，买大一码穿着正好 皮质柔软，脚感舒适，平时35，这鞋有点偏小，买大一码穿着正好</t>
  </si>
  <si>
    <t>不错 立体剪裁很舒适</t>
  </si>
  <si>
    <t>穿着舒适，尺码合适 适合春秋和初夏季节，宽松的裤腿穿着舒适。</t>
  </si>
  <si>
    <t>鞋码真的不好掌握 鞋码正合适。ecco休闲鞋40码的，瓢鞋和凉鞋就要41码的，这都是需要花钱才能买到的经验。国内专柜女鞋基本没有39码以上的，很无语。鞋穿着很舒服，鞋内里貌似比较滑，但穿着行走还可以。鞋底防滑耐磨。值得购买。</t>
  </si>
  <si>
    <t>不明白标题是什么 喜欢它的简洁和斯文及做工精致</t>
  </si>
  <si>
    <t>品牌有时候就是硬道理 东西很不错，包装无破损，我是第二次买三福霹雳马的彩铅了，用的还是很不错的！性价比很高，爱画彩铅的建议入手一套</t>
  </si>
  <si>
    <t>包装问题 包装极简，已经领略过了。这次更开玩笑，用了很廉价的透明胶带给笔的包装粘了一大条，我明白你是想黏住包装不让钢笔盒在运输过程中损坏，但是这行为严重破坏了商品的外包装，怎么送人？廉价的透明胶带还脱胶。撕下时还弄不干净，见啥粘啥。</t>
  </si>
  <si>
    <t>看的评论都说码大，买的最小码，可惜腰小了点 175，75kg，s号肩袖正合适，但下面腰略紧。m号应该好点，但因为衣服款式，m号袖肯定长，凑合着能穿</t>
  </si>
  <si>
    <t>和预想有差距 太长了质量一般，样式不错，手感不细腻</t>
  </si>
  <si>
    <t>领口太大 领口过大，质量不如淘宝二十九块一件的，不建议购买</t>
  </si>
  <si>
    <t>衣服上有个洞 买回来试了下大小后直接把吊牌剪掉了 昨天拿出来穿的时候才发现右胸前有个黄豆大小的洞 😒 吊牌没了不敢退货 运费要一百多</t>
  </si>
  <si>
    <t>是真货吗 拉链是超薄的ykk,铜扣也不厚实，前口袋里布是呢龙绸，跟国内五六十元的用料差不多，严重怀疑不是正品</t>
  </si>
  <si>
    <t>鞋子还好，快递速度值得怀疑，欧洲4天就到了 鞋子还好，快递速度值得怀疑，欧洲4天就到了</t>
  </si>
  <si>
    <t>大小合适，保暖效果好 大小合适，穿着舒适，保暖效果好</t>
  </si>
  <si>
    <t>性价比高，但得狠狠地煲 盒子上面被压扁了，还好没压到耳机，减一星。拆开感觉好小，比想象的小，线很细不过很柔软，佩戴很舒适，听诊器效果一般，第一耳很闷，都说final的需要狠狠地煲，先煲一段时间看。</t>
  </si>
  <si>
    <t>尺码跟皮鞋码一样 质感还可以。脚感比想象中硬，没什缓冲。鞋垫确实滑。</t>
  </si>
  <si>
    <t>面料一般般 尺码是标准的，但这个系列面料确实一般</t>
  </si>
  <si>
    <t>冠军卫衣 买过的第二件了，价格实惠</t>
  </si>
  <si>
    <t>商品很好，价格合适 很满意</t>
  </si>
  <si>
    <t>舒适、轻便、好看！ Ecco的鞋只要选对号码，上脚非常舒适。这款比较轻便、好看！</t>
  </si>
  <si>
    <t>为什么小碗没盖子 我想知道为什么我买的这个也是小碗没盖子！</t>
  </si>
  <si>
    <t>好好好！ 好好好！</t>
  </si>
  <si>
    <t>不太厚，只薄薄内里一层加厚 是M 码的，买的也是M 码，比较不厚</t>
  </si>
  <si>
    <t>很不错的焖烧杯，买来给孩子出去玩带饭用的！ 很不错的焖烧杯，买来给孩子出去玩带饭用的！很实用，保温效果很好！</t>
  </si>
  <si>
    <t>已购买 该靴皮子很好，码很准，平时穿什么码就买什么码。</t>
  </si>
  <si>
    <t>水壶不错 搬新家购置的，还没开始用，看起来还不错。</t>
  </si>
  <si>
    <t>硅胶的娃儿喜欢 奶瓶很好用，4月2日在亚马逊海外购下单，结果运输途中包装坏了，亚马逊直接把货退回去了，不得已在国内买了一个，199一个，娃儿用了也开始吃奶瓶了，就赶紧在亚马逊海外购上又下单买了两个，海外购上买两个比在国内一个还便宜，就是包装太简陋了，就一个盒子外面套一个塑料袋。估计也是包装太简陋了，第一次买的包装破损直接退回了。奶瓶拿到后拆开闻了下，没有异味，清洗消毒后就直接给娃儿用了。</t>
  </si>
  <si>
    <t>经济实惠 经济实惠，可以吃好久</t>
  </si>
  <si>
    <t>很好 非常好！舒服，修身，价格也合适！</t>
  </si>
  <si>
    <t>鞋子很好 我收到的鞋子很好，没有瑕疵。鞋子很舒服，款式也简单大方，这个价格买到还是很不错的。我是偏瘦长的脚，平时穿36码，有时有些品牌鞋码偏长也可以穿35.买单鞋时经常出现36的鞋长合适但偏大，35的鞋大小合适，但偏短。这双鞋我买的3.5码，大小合适，稍偏长一点，但是不影响穿着，也不需要放鞋垫。这是我买这鞋的一点经验，供大家参考。</t>
  </si>
  <si>
    <t>很好 布料带点弹性，穿上很舒服。和平时穿的码数一样。</t>
  </si>
  <si>
    <t>好看 厚实 比同品牌更美亚的T恤好太多</t>
  </si>
  <si>
    <t>性价比超高 质量很棒，搭配原厂声卡更好用</t>
  </si>
  <si>
    <t>干净的牙齿可以放心的笑 蛮好用，买来之后m一直用着，餐后洗一洗，牙齿好干净，不用担心牙缝内有异物了。</t>
  </si>
  <si>
    <t>很喜欢这品牌 好！好！好！依旧说：好！👍🤗</t>
  </si>
  <si>
    <t>很精致 没有什么损坏，看起来很精致啊</t>
  </si>
  <si>
    <t>东西不错 还不错 头文字D主要是给周董卖情怀的 右上角那个键你们别纠结了 凹进去本来就是那么设计的 不是坏了 防误触的</t>
  </si>
  <si>
    <t>表很不错 之前看到有些差评，有点担心，不过还是相信亚马逊的自营品质。买过来后，发现手表很好，走时也很准，用了一个多星期了，基本没有误差。手表也很好看，跟图片几无二致。</t>
  </si>
  <si>
    <t>好看 好看，穿起来精神</t>
  </si>
  <si>
    <t>太大了，早知道应该换货的，哎，买一个教训 太大了，早知道应该换货的，哎，买一个教训 太大了，早知道应该换货的，哎，买一个教训 太大了，早知道应该换货的，哎，买一个教训</t>
  </si>
  <si>
    <t>皮质太硬 皮制太硬 建议商家采用略柔软的皮质更好</t>
  </si>
  <si>
    <t>认真写评论… 不得不说做工一般，甚至有些粗糙，有线头、边角处理得不太好，但皮面光泽还不错，皮质硬。鞋帮比较高，有点戳腿；底比较硬，磨合几天再看看。收到表面有灰尘，不影响穿。平时36码、脚瘦脚背不高，这鞋子偏大，买了3码，穿薄棉袜刚刚好。</t>
  </si>
  <si>
    <t>根本没用 看到很多评论都说收到机器是二手的 这个我倒没发现 到货包装贴纸都很好 外观没毛病 里边机器也没有使用痕迹 这点还ok 但是使用效果 我很负责任的说 半点没有 从收到货到现在 坚持每周脱毛之后使用 然后现在该咋长咋长 连变细的状况都没有 虽然黑五买的很便宜吧 但基本上这个钱也是白花</t>
  </si>
  <si>
    <t>质量不过关 暑假放了两个月再去听，就不能听了。质量有点问题</t>
  </si>
  <si>
    <t>海外购自营也有假货 第一次知道自己在亚马逊自营买了假货，信仰都没了。刚开始拆开包装就看到logo模糊不清，我以为只是印刷问题，用过之后发现感觉比以前买的差远了</t>
  </si>
  <si>
    <t>格林童话 看起来不错，再便宜些更好</t>
  </si>
  <si>
    <t>还行，正品 不是纯白色，运动鞋40码，这款7US略大，总价320.</t>
  </si>
  <si>
    <t>东西不错，但没用上 东西不错，没有异味，但我宝宝喜欢把整个入口的感觉，更喜欢玉米香蕉这种形状的</t>
  </si>
  <si>
    <t>尺码 183高，80重，xl.17.32-33刚刚好。希望对大家有帮助。</t>
  </si>
  <si>
    <t>有点小了 买国外的衣服尺码把握不了 衣服短了</t>
  </si>
  <si>
    <t>非常好 所见即所得，剃须简便轻松，对于剃须刀非常满意。但是包装太简陋了，许是要过海关的关系，外包装是开放式的。</t>
  </si>
  <si>
    <t>一次算是开心也不开心的购物体验 东西到了手了，果然是分量十足挺好的，不过太顺了没有阻尼，我想拿来练字感觉完全控不住笔，一下不知道跑到哪去了！！日常书写是挺舒服，但感觉不适合练字。</t>
  </si>
  <si>
    <t>男士 维生素 老公吃着还不错  价格合适也为了均摊税费 一下买两盒。另外其中b族会让尿液变成荧光黄 开始吓一跳。不过只要多喝水 水解掉 就ok了</t>
  </si>
  <si>
    <t>非常满意的一次购物 鞋子质量非常好全皮带包边又是特价买的很划算</t>
  </si>
  <si>
    <t>不错的产品 老婆说好极了，头发小毛躁都没了。插座需要转接，注意。</t>
  </si>
  <si>
    <t>合脚 运动鞋比正装鞋更适合脚掌比较厚的人。</t>
  </si>
  <si>
    <t>必备基础款 非常好，clarks的鞋真的太棒了，基础款，必备，看着像黑色，阳光下显出了深蓝色，很优雅</t>
  </si>
  <si>
    <t>合身 一份价钱一分货，总体来看不错。</t>
  </si>
  <si>
    <t>主要是性价比很高 包装完好，送货还比较快，性价比很高，国内卖的基本款也太贵了。</t>
  </si>
  <si>
    <t>二购 很不错，红色的是第二次购买了</t>
  </si>
  <si>
    <t>不会犯错的选择 很好，款式经典，穿着舒服</t>
  </si>
  <si>
    <t>家居服 舒适柔软，日式风格</t>
  </si>
  <si>
    <t>质量 很好，正品，值得推荐。</t>
  </si>
  <si>
    <t>性价比很高 第一次使用亚马逊海外购，碰巧碰到美亚这块表折扣力度很大，到手才190不到，淘宝代购基本都在350左右，性价比很高！物流差不错走了半个月，能接受，手表也很好！很满意！</t>
  </si>
  <si>
    <t>好了再回购 好大一瓶软糖，价格也很便宜</t>
  </si>
  <si>
    <t>身高 衣服很不错，料子触感也舒服，本人175，体重140斤，m码修身， l码宽松。供参考</t>
  </si>
  <si>
    <t>软皮。真的很OK，非常喜欢 软皮，穿上完全不磨脚，很舒服。很喜欢。</t>
  </si>
  <si>
    <t>很棒棒哟～ 完美～实体店试过，上脚非常舒服，实体店一双亚马逊可以买三双了。</t>
  </si>
  <si>
    <t>物有所值 虽然有点小贵，真的很值啊。不仅漂亮，而且烧水还没有噪音。</t>
  </si>
  <si>
    <t>超级喜欢 超级喜欢这个颜色，好看</t>
  </si>
  <si>
    <t>正品好用。 非常好用的钢笔，而且是正品。比在京东淘宝上买要放心多了。</t>
  </si>
  <si>
    <t>厚款冬天穿 价格非常亲民，是国内专卖店的1/3多，这款裤子是厚款，适合冬天穿，后袋样子与国内款不一样</t>
  </si>
  <si>
    <t>尺码混乱 40/32的尺码大，38/30的尺码小。而我从国外买的levi的38/30是正好的尺码。是不是因为是“自营”的原因，造成的尺码混乱。我还买了2条，只能送人了。</t>
  </si>
  <si>
    <t>一般 裤子合适，有些设计贴心。 脱色，沾毛</t>
  </si>
  <si>
    <t>日码小 买前注意尺码，日码较小</t>
  </si>
  <si>
    <t>不错 我买的是S号，本人身高168，61kg，穿在身上基本合适，不过肩部略宽</t>
  </si>
  <si>
    <t>请不要再发残次品了，好吗？！ 腰带扣金属上有污渍块，很难去掉，最后用挫挫了挫，再用牙膏磨了磨，懒得退，凑活用吧。残次品也发过来，欺负中国消费者咋地？</t>
  </si>
  <si>
    <t>掉绒！ 内面掉绒厉害！材质太差</t>
  </si>
  <si>
    <t>鞋舌下面拼接的那块皮子能不能短一点，避免出现褶皱者，消除对穿鞋者脚趾的摩擦，或使用薄而柔软的皮替代。 风格硬朗，做工不错。皮子偏硬，鞋底也偏硬。我一般的运动鞋穿40这个39.5ee，长宽都合适，就是鞋舌下面那块拼接的皮太长了，形成褶皱，有点压脚背，尤其是脚趾跟部。</t>
  </si>
  <si>
    <t>合适 176cm/65kg很修身、如果再长一点就完美。</t>
  </si>
  <si>
    <t>这条合适的 冠军的尺码真的很诡异只能穿它家的s号，这条是合适的</t>
  </si>
  <si>
    <t>包装感人 笔应该是正品，但包裹包装太简陋了，盒子都破了，真不是我拆的，还好笔没事</t>
  </si>
  <si>
    <t>靴子 鞋子很舒服，皮子柔软，买了大半码，穿丝袜有点大，穿厚袜子正好，就是显得脚比较大，总之还不错！</t>
  </si>
  <si>
    <t>很不错的一个保温壶 相当棒，保温效果很好，物美价格实惠</t>
  </si>
  <si>
    <t>不丑 这个笔还挺好写的。对得起这个价格</t>
  </si>
  <si>
    <t>赞 不错</t>
  </si>
  <si>
    <t>贴身时尚 Lee的设计一直是不错的，非常贴身，感觉很好。</t>
  </si>
  <si>
    <t>保温焖烧都可以 效果不错，就是闷鸡蛋只能一两个，多了就不行了～～</t>
  </si>
  <si>
    <t>无 明明说美国亚马逊发货，可是却是从香港发的，这个看着还不错，希望还没出生的宝宝会喜欢</t>
  </si>
  <si>
    <t>价廉物美 我的脚平时都穿38码的鞋，这双买的5码，穿单袜的话，鞋的长度和宽度都非常合适，但是要是想穿棉线袜穿的话，脚后跟这个部分就会紧的难受，供大家参考。鞋型好看，价廉物美。</t>
  </si>
  <si>
    <t>不错 身高180,体重76，33/32尺寸刚刚好，挺合身，布料比较厚实，可以称的上完美，比较成功的海淘</t>
  </si>
  <si>
    <t>非常满意 非常满意，款式布料都很好！</t>
  </si>
  <si>
    <t>挺好用的 当初也是觉得海淘的价格比国内的售价有优势才买的。但是后续的工作很折磨人，要配变压器，三通，找工人来接开关和安装。喜欢折腾的人再考虑吧，差不多在国内买个就行。</t>
  </si>
  <si>
    <t>品质好，尺码合适 身高170MM，体重60KG，XS很合适</t>
  </si>
  <si>
    <t>各方面都不错，就是裤管太大，身材不粗壮者慎入。 各方面都不错，就是裤管太大，身材不粗壮者慎入。号码和国内差不多，我国内李维斯买36W的，这款也差不多，腰部稍宽松，裤管就不是一般的大了。</t>
  </si>
  <si>
    <t>使用方法 看评论说买到二手的，担心了很久，仔细检查了一下，幸好是新的，开心！</t>
  </si>
  <si>
    <t>印象杯第一次买，真的挺惊艳能这么放心，下次坏了再买 真的很好用的一款保温杯，去年三四月买的，那时还有点冷，早上7点的水到晚上8点还温的，一直只装白开水用到现在。效果很好，只是去香港摔了下杯盖花了点，还好杯身带套，杯身很美，不然就难受了。。。正常工作适用满分的工具</t>
  </si>
  <si>
    <t>好 160cm，98斤…s正好…非常便宜</t>
  </si>
  <si>
    <t>实用性高 所有配件都可以水煮消毒，还有备用吸管挺好的。宝宝五个月，只用了最初的那套，喝水的吸嘴很大，方便，宝宝喜欢。</t>
  </si>
  <si>
    <t>中国制造 中国制造，保温还是很好</t>
  </si>
  <si>
    <t>尺码刚好。 和预期的大小一样！特别的合适，本来想着如果大了就给老公穿，结果还是我穿着好看。身高170，买这个尺码，长短刚好～很满意的一次购物。关键价格合适。刚买完第二天就涨了200多。感觉赚到了。</t>
  </si>
  <si>
    <t>选小了，便宜儿子了 儿子，1.86，53KG，很合适</t>
  </si>
  <si>
    <t>跟＊宝一样样 跟＊宝里边卖的东西一个样，说是新款，但总感觉中间那一天别扭的很……</t>
  </si>
  <si>
    <t>送货快但又小瑕疵 有小瑕疵，还算喜欢吧</t>
  </si>
  <si>
    <t>包装被拆 包装被拆了几次，不知道产品是否原来的，让人不放心</t>
  </si>
  <si>
    <t>零售后 不到3年坏了，并且亚马逊这边没有任何售后服务，差评！</t>
  </si>
  <si>
    <t>从此对亚马逊粉转黑 满心期待，结果收到个什么破旧东西！！！不是消费者的锅，还得消费者自己联系快递，还得自己垫付运费，还得后续自己去找他们报销！只想说电商如此发达的2018年，这种质量，还是洗洗睡吧！一直对亚马逊褒奖有佳，prime会员费也一直交，呵呵，这就是会员服务，要不是还有个kindle，直接删除账号了！ 从此亚马逊粉转黑，除了电子书，再也不混迹亚马逊这个电商了，后续如果还有其他问题，直接上12315吧</t>
  </si>
  <si>
    <t>衣服质量不错，就是较大 我一米七三，六十八公斤，S号又肥又大，仅供参考。</t>
  </si>
  <si>
    <t>线头多 材质还好，但是偏小</t>
  </si>
  <si>
    <t>面料一般，价格低 本人170cm，80kg，L号打球正好，不是修身款。</t>
  </si>
  <si>
    <t>一般 质量一般，杯型不适合我。</t>
  </si>
  <si>
    <t>还不错 颜色比图片深一点，，</t>
  </si>
  <si>
    <t>轻巧保暖，特别实用款 藏蓝色M码，标签上写165/88，轻巧厚实167身高非常合身，袖长正好。外部两个带拉锁插手兜，内侧有一个口袋，有防风针织袖口，里侧背部、口袋内里是保暖绒里，帽子可拆卸、帽子毛边可拆卸。越南产。前年买了同款过膝的冬天雪场站半天完全不冷，今年再买短款。</t>
  </si>
  <si>
    <t>总体很满意。 身高178厘米，体重72公斤，裤角长了一些，总体很满意。</t>
  </si>
  <si>
    <t>舒服 穿着舒服，保暖，合适</t>
  </si>
  <si>
    <t>森海果然是我的选择 森海塞尔还是森海塞尔！正品无疑，选耳机就像是选择女朋友，看你是喜欢大屁股黑妞beats还是喜欢邻家女孩的森海，吸了大麻干黑妞，的确很爽，没错。但是森海需要你温柔呵护，就像陪初恋走过的路，以及无数个思念的日日夜夜，和甜蜜细腻的爱。自己喜欢哪款买哪款，我更喜欢后者，所以我选择了森海。</t>
  </si>
  <si>
    <t>颜色好看 比较喜欢裤子的颜色。</t>
  </si>
  <si>
    <t>满意啊！喜欢啊！开心啊！ 好穿！料子很舒服，不卷边。实物颜色比图片好看，偏肉粉一些。</t>
  </si>
  <si>
    <t>合身 衣服蛮好，我身高173体重76kg选的L尺码很合身，衣服很贴合身体，比较修身，总体来说很满意！</t>
  </si>
  <si>
    <t>看着很可爱，速度还是不错的 看着很可爱，速度还是不错的</t>
  </si>
  <si>
    <t>实用 光洁度好，实用，外观设计一般</t>
  </si>
  <si>
    <t>第一次网购这个品牌，值得推荐 挺好的衣服，做工可以。170,65kg，买S最合适。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</si>
  <si>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值得购买的商品。 效果还不错哦。收到的时候包装完好无损。性价比高。 戴在耳朵上运动不会脱落。适合运动，但是降噪确实一般，但是对于要用于户外运动的人挺好。</t>
  </si>
  <si>
    <t>质量好 穿着不紧绷，挺舒服的，大陆北方初冬可以穿</t>
  </si>
  <si>
    <t>海星 挺不错的，用着还行。能便宜点更好</t>
  </si>
  <si>
    <t>喜欢 非常舒适的全棉内衣，喜欢。</t>
  </si>
  <si>
    <t>帅气十足 颜色与图片符，穿着舒适，鞋型一型半显秀气，号码正，产地柬埔寨，此款短靴穿或脱会稍费力些。</t>
  </si>
  <si>
    <t>稍微有点贵，可惜奶瓶打碎了。奶瓶停产了，这款，剩下好多的奶嘴，浪费 稍微有点贵，可惜奶瓶打碎了。奶瓶停产了，这款，剩下好多的奶嘴，浪费</t>
  </si>
  <si>
    <t>材料 以为壶身是不锈钢的！怎么是塑料的？</t>
  </si>
  <si>
    <t>超级保温 来货还是很注意包装，外包装完整也很新，清洗方便，效果还不好评价</t>
  </si>
  <si>
    <t>thinkbaby餐具 物流给力，物美价廉，大爱，喜欢，赞一个。棒棒哒棒棒哒棒棒哒棒棒哒棒棒哒棒棒哒棒棒哒棒棒哒棒棒哒棒棒哒棒棒哒棒棒哒棒棒哒棒棒哒棒棒哒棒棒哒棒棒哒棒棒哒棒棒哒棒棒哒棒棒哒棒棒哒棒棒哒棒棒哒棒棒哒棒棒哒棒棒哒棒棒哒棒棒哒棒棒哒棒棒哒棒棒哒棒棒哒棒棒哒棒棒哒棒棒哒棒棒哒棒棒哒棒棒哒棒棒哒</t>
  </si>
  <si>
    <t>好看不贵 灰色更好 版型很好，看着也很漂亮，平时穿l买m就行。灰色比黑色更好看。</t>
  </si>
  <si>
    <t>很好 音质非常赞，就是夏天戴着有些热</t>
  </si>
  <si>
    <t>很满意，简单，大方 很满意，物有所值，毕竟只是这个价格，个人觉得划算了！</t>
  </si>
  <si>
    <t>商品有划痕 笔盖上有明显划痕，做工上有瑕疵</t>
  </si>
  <si>
    <t>发了有瑕疵产品过来 一收到，袋子上大大的 肩上污点 ，一看，果然有。 先不论能不能洗干净，这样发过来也不合适吧？</t>
  </si>
  <si>
    <t>还可以，但别期望过高。 其实还好，买回来有些悔了，其实三防最多用到一防。至于说好看的，不知道审美在哪里。。。。再一个是mlc。</t>
  </si>
  <si>
    <t>质量差 失望，非常失望，质量太差了，第一次差评，哭了，呜呜呜</t>
  </si>
  <si>
    <t>怀疑真伪 德国海外购，物流显示荷兰发货，仅仅五天竟然送到了，怀疑货品真伪及发货渠道，多次沟通完全不能提供任何海关单据，且十九大期间竟然没有贴北京安检证明，开箱后鞋子标签缝歪，以穿着永久不起褶为特点的ecco鞋子，未穿着已经有明显皮褶，希望大家认真辨别真伪，不要遭受损失</t>
  </si>
  <si>
    <t>质量差 感觉是假货，用了几个月就掉皮了。很差</t>
  </si>
  <si>
    <t>很硬 样子漂亮，但此种材质估计就是硬，patagonia 的也是如此硬。</t>
  </si>
  <si>
    <t>还可以，速度不错。 速度还可以，从下单到现在11天收到。音质没有超越期望，低音有些浑浊，当然或许与华硕声卡不给力有关，中高音还是层次分明有韵味，感觉比上个铁三角mx50好，听音乐不错，所谓偏冷的感觉很喜欢。</t>
  </si>
  <si>
    <t>提前收到的，鞋子很不错 给4星是因为刚买完还没收到就降价了，客服不给补差价，郁闷。我脚长248 宽107左右，而且脚面高，看评论选了这个尺码长短合适，左右就是买了宽码还是稍微有点儿窄，不过影响不大，高度没问题。样子 质量很不错。</t>
  </si>
  <si>
    <t>标颜色跟图片不一样 为何图片是银标我买回来是金标的</t>
  </si>
  <si>
    <t>勺子手柄太厚 勺子的外观很漂亮质量也不错但是勺子手柄非常的好孩子拿着不太方便</t>
  </si>
  <si>
    <t>夸张一点 鞋底挺长的，适合徒步，开车不太方便。</t>
  </si>
  <si>
    <t>超值 会员连运费267，8支可以说是很低了。HX6730用跟原装一样。</t>
  </si>
  <si>
    <t>满意 很满意的一次购物，质量很好价格可以，以后还来</t>
  </si>
  <si>
    <t>很棒的手表，点赞 原先不知道这个牌子，很实惠划算，学生带着很合适，很棒，目前都很满意。</t>
  </si>
  <si>
    <t>性价比高 小巧安静，比国内便宜。</t>
  </si>
  <si>
    <t>1000买的 一定要对照尺寸表和自己脚长度，我平常穿43，美版欧版42足矣。会员免了运费</t>
  </si>
  <si>
    <t>很值！ 买了这个表，给我正在上高中的弟弟用！  简单、干净，这就是我需要给他的，也正是这款表所表现出来的，而且价格也很公道，所以“非常喜欢”。  推荐给小学生、中学生佩戴。</t>
  </si>
  <si>
    <t>很好 这次速度也挺快，收到包装没有破损，还有个外箱，值得购买，亚马逊服务一流，购物体验很棒</t>
  </si>
  <si>
    <t>好鞋 防水出色，就是捂脚，秋冬季可穿，</t>
  </si>
  <si>
    <t>裤子非常漂亮 裤子是真不错 很满意 结实 我选的裤腰正好  裤子有点肥  但是要是里面穿棉裤应该正好 活动很舒服 大动作都很好  选裤腰时一定要多好自己的码  这个裤子不防水</t>
  </si>
  <si>
    <t>没发票 包裹性比较好 鞋头有点硬</t>
  </si>
  <si>
    <t>各方面都不错，唯一不足就是没有任何logo在外。 我178，72kg，皮肤略黑，绿色很适合，L码大小很合适，衣服蛮好。</t>
  </si>
  <si>
    <t>37码买6.5正好 第一次海淘买到合适的尺码，平时37码，买的6.5，松松的正好～价格连税九百多，一千不到，价格不算好，但是款式质量都满意，开心</t>
  </si>
  <si>
    <t>493，差不多史上到手最低价 493党来告诉你什么叫性价比</t>
  </si>
  <si>
    <t>很棒 很好，很值</t>
  </si>
  <si>
    <t>亚马逊尺码表与实际有差别 大的原因是亚马逊的尺码表有问题，自己由于是第一次海淘鞋子，顾虑太多，所以选大了，其实和国内同品牌专柜的尺码表完全一样，按照国内专柜同款尺码表购买完全没问题的，鞋子产地柬埔寨，经典款确实很漂亮，下次再购买一双更合适的尺码。</t>
  </si>
  <si>
    <t>小孩子也变得喜欢洗手了 很好，小朋友也很喜欢！</t>
  </si>
  <si>
    <t>值得购买！ Ecco鞋子，穿上就是舒服！不过有一点小瑕疵，地板砖上过时会咯吱咯吱的响，小尴尬</t>
  </si>
  <si>
    <t>实用，也很实惠，一如既往支持 实用，也很实惠，一如既往支持</t>
  </si>
  <si>
    <t>非常好的餐具 1. 很漂亮； 2. 可以拆开，容易清洗； 3. 材质非常好</t>
  </si>
  <si>
    <t>180 85kg L号有点紧 平时穿感觉不如纯棉的舒服，透气性没想象的那么好，可能适合运动穿吧！</t>
  </si>
  <si>
    <t>Final E3000 500元内微动圈耳机性价比颜值第一 从喜欢它的颜值开始，日亚在价格比较低的时候从手，包税运费也比淘宝国内代理要便宜100元，试听三天后感觉，高步清晰明亮，中频有质感，低频稍显不足，不过这也是微动圈耳机的通病，人声及纯乐解析度高，乐器分离效果明显，不知道再煲机一段时间后的效果如何。戴感好，因为耳机单元小，可以插入耳道内，线材软不易打结，佩戴后没有听诊器效益，总之一个字值！</t>
  </si>
  <si>
    <t>号码小了，我176，72千克，腰围32，M号没法穿 这个型号的，尺码偏小。我买别的型号m号就可以，这种m号穿不上。内裤不退，压箱子底了。</t>
  </si>
  <si>
    <t>买大了。。。 之前没买过，平常买的码数，这里买了就买大了，还有这里的尺寸，只有胸围，没有衣长等之类的参考，下次买要注意了</t>
  </si>
  <si>
    <t>尺寸太小了 表盘尺寸太小了</t>
  </si>
  <si>
    <t>真假难辨 做工太次了，很多线头，不像修身直筒，腿围很肥大。不过这个价格估计也就能买这个。</t>
  </si>
  <si>
    <t>不要购买 底部有渗水现象，我以为是没插好，结果是常态！！！</t>
  </si>
  <si>
    <t>好 囤货，好评</t>
  </si>
  <si>
    <t>用一年，坏了，不耐用！ 我只用了一年三个月就坏了，还不知道要去哪里修！！！！</t>
  </si>
  <si>
    <t>鞋子是不是正品？ 鞋子没有签？鞋带有一处被挂坏了，鞋底感觉被试穿过，最主要是物流让我有点迷惑，提前一周送到了！！！这让我一度怀疑是不是国内发货。 穿了一段时间之后让我确定这是正品，所以我决定再买一双。</t>
  </si>
  <si>
    <t>请问原装鞋盒呢？ 不懂为什么鞋盒不是puma原装鞋盒，就是一个没有任何图案的纸箱</t>
  </si>
  <si>
    <t>尴尬 散装的，有点无语。</t>
  </si>
  <si>
    <t>如有些购买者提到的裤腰处脱线 裤子整体挺好的，适合夏天不太热的天气穿。唯一的不足就是，裤腰处松紧带做工不行。刚买回来，就脱线了。去缝纫店自己处理一下，穿着比较舒服。</t>
  </si>
  <si>
    <t>一般 不是很喜欢</t>
  </si>
  <si>
    <t>挺不错 裤子试了一下，非常合适，还有点小微弹，舒服</t>
  </si>
  <si>
    <t>正品 刚拆开来的时候味道大，而且包装都烂了，先用沸水消毒，还是有味道然后蒸汽消毒，味道才没有了，我想应该是正品，不然应该还是有味道的</t>
  </si>
  <si>
    <t>东西很好，就是价格，比成人的要贵一点 东西很好，就是价格，比成人的要贵一点</t>
  </si>
  <si>
    <t>质量很好很精致 送闺蜜宝宝的礼物，还另外配了奶嘴给她，真很实惠，比淘宝天猫便宜很多很多，做工也很精致</t>
  </si>
  <si>
    <t>温度稳定，好用 很喜欢这种厚重的感觉，温度稳定</t>
  </si>
  <si>
    <t>Clarks Orinoco Spice 女式短靴 Black (Black WLined... 一直用的品牌，好好。</t>
  </si>
  <si>
    <t>物美价廉看着高档 三百不到，带带玩 但外形非常好，大表盘和皮表带让别人误以为很高档哈哈</t>
  </si>
  <si>
    <t>「海淘中的清流一股」 切尔西鞋，很中意，裸脚长265MM，41.5码。对于亦真亦假的考拉海淘，而今亚马逊海外购你成为一股清流。时效性非常高，整个运输过程总计耗时9天。</t>
  </si>
  <si>
    <t>使用很方便 牙膏很实用我女儿喜欢可以用很久太方便使用了。</t>
  </si>
  <si>
    <t>nice 好用，宝宝喜欢用它带吃的出门。</t>
  </si>
  <si>
    <t>标准尺寸 买第二双了，标准尺寸，打折的时候购买价格是国内专柜的三分之一。</t>
  </si>
  <si>
    <t>合适 178cm.74kg。这个号合适，希望能帮助到其它买家。</t>
  </si>
  <si>
    <t>传说中的三频均衡 木耳瞎烧，很好听，有点卡耳朵，便宜。很满意</t>
  </si>
  <si>
    <t>很棒的 一看就觉得不错，非常棒的一套彩色铅笔，唯一不好是比较贵！不舍得用啊</t>
  </si>
  <si>
    <t>百搭款，很喜欢 好穿，百搭。第一次在亚马逊购物，商品很正，特价买到爽歪歪，就是关税有点心疼。</t>
  </si>
  <si>
    <t>平时穿36的穿4码刚好，4码是37码啊 平时穿36的穿4码刚好，4码是37码啊，我美码穿5.5</t>
  </si>
  <si>
    <t>非常满意！ 非常好的帽衫，适合春秋季穿着，内里有绒非常保暖，穿着舒适且美观大方，非常满意！</t>
  </si>
  <si>
    <t>好鞋 性价比高，物流速度也不错，鞋子比国内品牌穿起来舒服，总体感受就是一个字，棒！</t>
  </si>
  <si>
    <t>物美廉价 物美廉价哦，比国内便宜一半还多，就是号码确实大，去专柜试一下，再过来买</t>
  </si>
  <si>
    <t>材质好 手感好 材质好，手感棒棒的，每一个零件都有可以承受的最高温标示，细节挺好。奶嘴是两个孔的，盛满水倒置后水是一滴滴的下来，相比新安怡的连成一条线的下来要好多了。味道就是硅胶味道，目前还没有消毒，用后追评。</t>
  </si>
  <si>
    <t>好 和同品牌其他款式相比小了点，183,92有一点点紧身，可以。棉是比马棉。</t>
  </si>
  <si>
    <t>2星不能再多了！ 左脚严重压脚背（不要说我脚背高，足球鞋从来没压过），右脚很合适。另外，白色的内衬会摩擦后粘到裤脚和袜子上，重点这个内衬还是胶的，完全粘不掉！图上裤脚的白色点状部分已经是处理过好多次以后剩余的！等于还废了一条裤子？</t>
  </si>
  <si>
    <t>有损坏！磨痕！ &lt;div id="video-block-R2I4MG625G40QE" class="a-section a-spacing-small a-spacing-top-mini video-block"&gt;&lt;/div&gt;&lt;input type="hidden" name="" value="https://images-cn.ssl-images-amazon.com/images/I/A1RWDEEoPPS.mp4" class="video-url"&gt;&lt;input type="hidden" name="" value="https://images-cn.ssl-images-amazon.com/images/I/91Oue58qjnS.png" class="video-slate-img-url"&gt;&amp;nbsp;新买的鞋子为什么会有划痕和磨痕？是便宜不少，到这也不能发残次品啊！</t>
  </si>
  <si>
    <t>质量一般 怎么说呢，这质量一言难尽啊！</t>
  </si>
  <si>
    <t>比美国本土带回的要差许多。 塑料味儿非常大，袋子比较薄，做工粗糙。比之前用的美国本土带回的要差很多。</t>
  </si>
  <si>
    <t>质量 连接耳机之后微信一直闪退，用蓝牙耳机打电话或者开语音通话的时候会突然变成外放，这个也是呵呵了，好几次让我特别尴尬。买回来一个多月。使用不到两个小时显示电已耗光，关闭耳机重启后又显示还剩一半的电量。联系了亚马逊的客服，客服让我联系JBL的国内售后点，打国内售后点的电话，他们说海外购的商品不保修。维修需要的费用比较高，我也是醉了，要买的慎重考虑吧，这个已经被我"珍藏"在抽屉角落了</t>
  </si>
  <si>
    <t>质量非常差，用了一个月杯盖卡扣就自己扣不上了 非常非常差，海外购一生黑</t>
  </si>
  <si>
    <t>面料不错，修身，不用专门买小一号 面料不错，修身，不用专门买小一号</t>
  </si>
  <si>
    <t>比想象的颜色要深。 轻薄，透气性好，175.78公斤，M号，大小正合适。</t>
  </si>
  <si>
    <t>有效期一年效果需要看效果 刚刚收到 有效期明年2020年11月。不知道效果如何。</t>
  </si>
  <si>
    <t>买大了一号 39的对于我刚刚好，选40的就有点大，24.5cm计算一下，按照运动鞋的尺码是容易选错鞋。</t>
  </si>
  <si>
    <t>颜值可以 舒适不够 平时运动鞋都是38，这双6us有点大，估计5.5刚好。印度产，鞋底略硬。</t>
  </si>
  <si>
    <t>价格是否更好。 结构简单，但是做工很好， 拆解也比较简单。做NAS很方便。</t>
  </si>
  <si>
    <t>衣服很好 很好穿着很舒服，柔软贴身。</t>
  </si>
  <si>
    <t>物超所值的休闲格子衬衣 款式很喜欢。在南方的湿冷天气穿觉着也很保暖。</t>
  </si>
  <si>
    <t>不好用，没处修理 用了没几次就坏掉了，到当地的博世修理也没人敢拆，没配件啊！！！！！特别失望😔</t>
  </si>
  <si>
    <t>漂亮的鞋 帮女儿买的，她很喜欢。</t>
  </si>
  <si>
    <t>好 好，值得买，非常值得买</t>
  </si>
  <si>
    <t>很好 天天在用，很好，贝亲的也用了，感觉都好用</t>
  </si>
  <si>
    <t>这个东西还不错 确实挺潮的，就是表带稍微硬了</t>
  </si>
  <si>
    <t>第一次海淘 全是英文，应该是正品，拿着有分量，奶嘴很软弱，一大一小加邮费，比同事在韩国买的还便宜，比淘宝的也便宜快100元，发货其实蛮快的····</t>
  </si>
  <si>
    <t>太好了 鞋子真的给力</t>
  </si>
  <si>
    <t>200块，很值 这做工，棒棒哒，剪裁也很完美。冬天冷。里面要加衣服穿，所以特意买了XL，和我预料中的一样。官方给出的尺码很标准。 我本人的身材数据如下，供大家参考。：体重81，身高172，胸围106，腰围86，肩宽55，臂围40。图上我加穿了一件冠军的无绒卫衣。。肩够宽能撑起袖子，不会长。</t>
  </si>
  <si>
    <t>物美价廉 比商场便宜一千呢，放办公室早上来一杯热咖啡开启忙碌的工作时间，味道也不错</t>
  </si>
  <si>
    <t>尺寸很合适 不愧是加宽，我的小肥脚有救啦 O(∩_∩)O</t>
  </si>
  <si>
    <t>英亚的包装一如既往的简陋 中亚日亚一向过度包装，英亚一向不包装，原盒贴个快递单就寄来了。里头东西没问题。</t>
  </si>
  <si>
    <t>不错 很不错，透气保暖，能再厚点就好了。</t>
  </si>
  <si>
    <t>看中的是性价比。 里面是型号为ST8000DM004的桌面版限速盘。</t>
  </si>
  <si>
    <t>很满意 第一次跨境购这么贵的东西，总体来说还不错。看不懂外语的朋友，这款可以下载350.75的中文说明书，基本一样~~~</t>
  </si>
  <si>
    <t>Nice 非常轻便，夹层多，大小可以放得下一本书。</t>
  </si>
  <si>
    <t>保温效果很好 到手就亲自测试了一下保温效果，结果很满意。加满73度的水，6小时后63度，18小时后49度，24小时后45度。</t>
  </si>
  <si>
    <t>性价比最高 尺码准确，鞋子舒适，快递速度很棒，亚马逊会员体验不错</t>
  </si>
  <si>
    <t>物有所值 价格因素，就是值这么多钱，不要奢望不过百元买一身高科技面料的运动装，不现实</t>
  </si>
  <si>
    <t>质量次，不可以和国内的商品比较 东西质量真的很一般，布料特别硬，不适合日常穿着。</t>
  </si>
  <si>
    <t>脱穿有点困难 有难难穿上脚啊 就是那个松紧带还是过紧 脱下也很费力</t>
  </si>
  <si>
    <t>解析度好 解析度挺好 就是基本上都是塑料材质廉价感太强，有点偏贵</t>
  </si>
  <si>
    <t>掉色 霉臭！ 同一个页面买的衣服有的好有的差 这次买的掉色严重的霉味也很大 哎就为了LOGO品牌觉得质量有保证 结果很失望</t>
  </si>
  <si>
    <t>送错货，不知道能不能换 订单下的58200，送来了52120……</t>
  </si>
  <si>
    <t>不值得买 178高，买的L码偏大，下摆确实长。穿上去有点不敢上街，真**像路边小贩卖的便宜货。</t>
  </si>
  <si>
    <t>适合运动 拿到手和感觉中有些不一样，适合运动但不适合平时休闲穿着，车缝材料还算不错，这个价格不能要求太多吧</t>
  </si>
  <si>
    <t>面料比较薄 二次回购了，这次海外直邮时间稍微有点长，依然是很简单的包装，感觉这次的衣服比第一次买的还要薄一点，177、77公斤，买的M，个人觉得合适，喜欢穿宽松的可以拍大一码。</t>
  </si>
  <si>
    <t>还行 19.07大概650入手，似乎是新品，贴纸完好，机器没有指纹什么的。其实我推测，应该是有的人夏天脱完毛之后退货，所以秋冬二手货多。</t>
  </si>
  <si>
    <t>经典造型 装酷必备，就等脚长大，</t>
  </si>
  <si>
    <t>合适，便宜 便宜，哈哈。185 185买了L🐴，刚刚好。</t>
  </si>
  <si>
    <t>上脚效果不错 跟图片一致，上脚效果不错。我一般穿5码，因为脚背高偶尔有些鞋款得6码，这款5.5码我穿着稍松不过影响不大。</t>
  </si>
  <si>
    <t>生气 气惨了，买小了一号，172，190斤买的M号，买L号刚好，不想退，送人！！！</t>
  </si>
  <si>
    <t>正合适 身高169Cm，体重75公斤。腰围2尺9。34W29L正合适。</t>
  </si>
  <si>
    <t>初烧够用了 心里一直种草，等不到双十一了。音箱到手，包装简简单单，箱角由于运输磕碰有些变形，好在里面的音箱表面外观没有受到损伤，其中一个音箱底角有瑕疵，看来品控有点差，可以看图。这些都是小事，好在声音还是可以的，比原来的多媒体音箱提升明显，没听过更好的，满意了。</t>
  </si>
  <si>
    <t>轻巧 挺好的杯子，就是比预想的稍微小了一点，很轻巧。</t>
  </si>
  <si>
    <t>舒服好穿，性价比高 舒服好穿，性价比高</t>
  </si>
  <si>
    <t>176，73合身 裤长选错了，略长，尺码应该是准的</t>
  </si>
  <si>
    <t>胖子的选择 对于我们这些胖子18几二百多斤买这个美款的正好！做工不是很精致都是洪都拉斯一些小国铜工生产的吧？万额的资本注意！</t>
  </si>
  <si>
    <t>卡西欧 完美493买的  还要什么自行车  耐操 经典</t>
  </si>
  <si>
    <t>超好的锅 锅有点大，品质感超赞  黑五折扣果然名不虚传，连运费不到300元，看到恢复原价不禁心中窃喜</t>
  </si>
  <si>
    <t>好东西继续追单 帮朋友买的，非常满意，又准备追单了</t>
  </si>
  <si>
    <t>还不错 包包不错，大小合适，不过anello的标签感觉像是纸做的，有点小low</t>
  </si>
  <si>
    <t>物流信息 补充维生素很不错的产品</t>
  </si>
  <si>
    <t>超级好用！ 我能说我一直等了一年多吗？呵呵。一直有湿杯，就等干杯打谷物呢，比面粉还细腻。就是芝麻、核桃、花生等油性大的坚果打不碎，不过也能理解。超级推荐。</t>
  </si>
  <si>
    <t>timberland的经典很好看 不错，帮同学买的，价格实惠，希望质量也不错</t>
  </si>
  <si>
    <t>信得过Clarks 大牌子就是大牌子，300+的价格性价比没的说了，做工很满意</t>
  </si>
  <si>
    <t>双侧吸奶器好用方便 买来送儿媳妇用，她说非常好用</t>
  </si>
  <si>
    <t>170以上请买L 质量还是不错的，尺码被评论误导了，唉，这种衣服还是买大点吧。我174,130斤，m号太小了，比较贴身，穿着跑步差不多。该买l号</t>
  </si>
  <si>
    <t>杯子不错 杯子送人的，朋友很喜欢，居然外面很多人买这个系列，颜值很高。</t>
  </si>
  <si>
    <t>尺码过小 平时都是37  这次买的37.5但小了  前面很紧  换货不方便  只能将就了</t>
  </si>
  <si>
    <t>质量还行 肯尼亚产，面料一般，松紧感觉没什么弹性，做工也很一般，商标要拆掉，不然很咯人，不值这个价钱</t>
  </si>
  <si>
    <t>颜值很高，可惜沾了颜色洗不掉？ 给孩子做了胡萝卜泥，勺子上的黄颜色怎么也洗不掉，现在看起来有点脏脏的。</t>
  </si>
  <si>
    <t>缺省与刮痕 货品的颈部有擦痕掉漆的现象，机头的后面缺一个螺丝</t>
  </si>
  <si>
    <t>名不符实 鞋型偏长，欧码，美码9.5对应国内43，这鞋子得44了。</t>
  </si>
  <si>
    <t>太臭啦 东西太臭啦，差点被熏晕了，扔到阳台晾着去了，不知道以后能不能用，退货比较麻烦，严重怀疑是假货！</t>
  </si>
  <si>
    <t>小巧玲珑 颜色非常好看，容量不够大，做工精细</t>
  </si>
  <si>
    <t>货品质量 衣服产地孟加拉，用料柔软，建议亚洲人小1个码买，本人偏胖单穿还是会大点，加个卫衣或毛衣就正好。</t>
  </si>
  <si>
    <t>没认真开过锅了，但用几回锈了 煎牛排花纹漂亮，但是超容易生锈，伤心，</t>
  </si>
  <si>
    <t>为何有木头味？ 用了一段时间，水杯内底部有麻点坑，有一股木头味，没搞懂咋回事。谁知道原因？</t>
  </si>
  <si>
    <t>鞋偏大，显脚长 国际快递也非常快，4号下的单10号就到了！鞋子很好很舒服，崭新的。就是鞋偏大，我运动鞋穿38.5或39，这个uk5.5大了一个手指多一点。而且鞋型挺显脚长的</t>
  </si>
  <si>
    <t>2个装 性价比高 杯子不错 不漏水 方便洗</t>
  </si>
  <si>
    <t>哭 哎，还没见到了，回到家阿姨消了毒，全部变形了</t>
  </si>
  <si>
    <t>鞋超棒，我爱亚马逊 收到，太漂亮了！两幅鞋带编织的和缎面的，一直断码，耐不住对她的喜爱，按照运动鞋尺码买的6.5也就是38，皮鞋穿36（下单以后就有5.5和6了，也是气结），穿上也不会大很多，关键颜值高啊，怎么都忍了！买了prime ，587加税，到手670左右，可以接受。还想买麂皮的，就怕不耐脏，粉色好可爱啊</t>
  </si>
  <si>
    <t>好评 儿子好喜欢这个杯子，喝水都多了好多。</t>
  </si>
  <si>
    <t>轻便，时尚，音质效果挺好，值得推荐 轻便，时尚，音质效果挺好，值得推荐</t>
  </si>
  <si>
    <t>效果 健身后吃的，不错。</t>
  </si>
  <si>
    <t>全新无味，性价比高，小半码合适吧 超出预期，包装完好全新，没有有些人说的气味，按小一码买的，长度合适，脚背略有点小，不过完全可以接受。早知道不被评论误导，多买几双了。</t>
  </si>
  <si>
    <t>价格实惠 做工粗犷，煎牛排专用，不粘锅。</t>
  </si>
  <si>
    <t>好 鞋子穿着舒适，鞋底软，尺码有点偏大适合我这种细长型的，款式易搭配，喜欢。</t>
  </si>
  <si>
    <t>很好，穿起来很舒服 很喜欢亚马逊海外购，这款裤子弹性很好很舒服，尺码准确，数据给大家参考：183cm，74kg，腰围90cm，蛋蛋到脚跟80cm，选择w34，32正好。要是有w35就好了，冬天穿就合适了。</t>
  </si>
  <si>
    <t>舒服 到货迅速，非常满意</t>
  </si>
  <si>
    <t>老型号了 用了很长时间才想起评价，声音品质挺高，就是不易推动，高音扩展性还是表现力不是很足，人声及音场突出，对于一般发烧友来说值得品鉴下。</t>
  </si>
  <si>
    <t>安德玛T恤 形不错，面料贴身舒适度不够好</t>
  </si>
  <si>
    <t>第一次书写 今天刚收到就用水清洗了一下（笔尖有墨水的痕迹，上清水后笔管里有蓝色墨水，没上清水前是看不到有任何夜体）。上墨书写，隔3分钟、6分钟各书写了一次，也和英雄329写了几个8对比。价格贵也有他的道理。详情看图。</t>
  </si>
  <si>
    <t>产品质量 美观时尚</t>
  </si>
  <si>
    <t>有珠光 超漂亮 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</si>
  <si>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裤子不错 裤子色泽没有图片效果好，略差一些，但已不错，国内售价至少是2倍以上， 物有所值。腰围准确，腿围略有偏大，要注意。</t>
  </si>
  <si>
    <t>尺码偏大 质量还不错，就是有点偏大，比平时穿的码数小一号就正好</t>
  </si>
  <si>
    <t>好用 一如既往的好用</t>
  </si>
  <si>
    <t>速度快 很好用，读写速度都很快。3年前买过一个64G的不够用了这次直接买256的</t>
  </si>
  <si>
    <t>鞋子非常的舒适 鞋子穿起来非常的舒适，鞋底是软的，适合上班族休闲穿。比我之前购买的chark的鞋子都要软。不错的产品</t>
  </si>
  <si>
    <t>不好 哥伦比亚一向值得信任，这个皮带除外。皮是花的，质量一般般。</t>
  </si>
  <si>
    <t>比之前买的128g要慢 比之前买的128g要慢 写入约60mb</t>
  </si>
  <si>
    <t>没有售后 用了两个月，完全按说明书要求，都是中小火烧，冷了以后才洗，结果竟然蹦瓷了。明明十年质保的锅，国内售后说海外购的他们不管，亚马逊说需要专卖售后管，反正就是都不管呗。想买的考虑一下售后问题吧。</t>
  </si>
  <si>
    <t>质量有问题 2017年10月购买，到现在还没有一年的时间，出现掉数据的情况。实测没问题拷贝进去的文件（视频），已播放就出现报错，在硬盘中自建了多个丢失文件夹，很多文件拷贝进去就找不到了，就在丢失文件夹中找，不知道怎么回事，以前没有遇到过这样的情况。现在想格式化一下看能否修复，但是8T硬盘中的文件多，没有硬盘能够拷贝的下，很郁闷的一次购物！</t>
  </si>
  <si>
    <t>完全不推荐购买 价格不错，但是打开来用的时候发现，一包18块，里面有一半多都破了，白色颗粒全都漏出来了</t>
  </si>
  <si>
    <t>物流很快 以前从不去评价，不知道浪费了多少积分，就要好好评价了，后来我就把这段话复制走了，既能赚积分，还省事，走到哪复制到哪，最重要的是，不用想还差多少字，直接发出就可以了，推荐给大家！！还是要说下产品，鞋子质量不错，基本无色差。就是价格起伏大。</t>
  </si>
  <si>
    <t>f-91 比想象中的要小。。</t>
  </si>
  <si>
    <t>可爱的餐具 直接在美亚上面买的这款，整体还可以，但是其中一个有生锈的情况，不过亚马逊帮忙解决了，要求高的宝妈慎重考虑！</t>
  </si>
  <si>
    <t>偏大偏大 主要是便宜，尺码偏大，亚马逊买东西就是产品信息少，瞎买，175.75穿s码都大一点</t>
  </si>
  <si>
    <t>笔尖太粗 亚马逊买了这支笔，真是几经波折，与客服沟通好几次，邮了快一个月了今天算是收到了；肯辛顿系列的笔吐墨还算均匀，唯独有一点不好，就是笔尖太粗，写的字比牛都粗大，加之南方天气湿气较重，纸张不怎么干燥，根本不能随时随地的施展它的价值。</t>
  </si>
  <si>
    <t>质量 山支大哥的粉丝 第一次在亚马逊买东西 帽子很棒</t>
  </si>
  <si>
    <t>合适，有一次成功购Under Amour 在亚马逊多次购买Under Amour的衣服了，这次买的同样很成功。欧版衣服一定买小一号的！我178cm，100kg，穿L的合适，供参考。面料是较厚、速干的那种。</t>
  </si>
  <si>
    <t>STAUB珐琅铸铁锅 收到时外卖纸箱开裂，吓了一跳，还好里面完好无损，就是便宜些就好啦</t>
  </si>
  <si>
    <t>很满意 非常舒服，适合夏天，肩带不会下滑</t>
  </si>
  <si>
    <t>用很久 东西还不错，质量比较好，吹风效果还行，但没有想象中那么那么好，感觉可以用好久。</t>
  </si>
  <si>
    <t>做工精细 帮朋友买的，她说刚好大小合适，上身舒适。</t>
  </si>
  <si>
    <t>尺码标准，配送速度可接受 配送速度超出预计，尺码比较标准，好评。</t>
  </si>
  <si>
    <t>还可以，值得购买 还可以，值得购买还可以，值得很赞，第二次买了。这次一次性买了三瓶，和家里人一起补充。</t>
  </si>
  <si>
    <t>很好用 很好用，用完第一次开机时的蓄电，现在充电完成，不知蓄电持久性怎样。如果电量持久，就完美了。</t>
  </si>
  <si>
    <t>物美价廉！！ 去年买的鸡心领的，这次买了个圆领的。不错，两百来块钱从大老远空运到家，物美价廉！友情提醒，我身高183体重80，M穿的正正好，千万别按照国内的尺码买。</t>
  </si>
  <si>
    <t>氦气的 性价比高</t>
  </si>
  <si>
    <t>漂亮且价格合适的衬衣 买一件送老婆，非常合身，版型非常不错。</t>
  </si>
  <si>
    <t>速度快 读写速度非常快，外壳好像也是金属的，非常满意</t>
  </si>
  <si>
    <t>表很实惠，外观设计稍作改动会更好 对于喜欢运动人士来说这款表非常好，走时精准，防水性能良好，价格实惠！特别表带扣很好很牢固，不管是海滩游泳，还是酒吧蹦迪，都不用担心脱落！玻璃镜面应当设计与表边齐平而不应当是稍微高了一点，这样可以防止镜面刮花！</t>
  </si>
  <si>
    <t>很不错 腰围82cm买32刚刚好，黑色的是美国产的，棕色的印度产的，黑色的皮带头做工比棕色的好太多了，棕色的皮带头看上去有污渍的感觉但是擦不掉，黑色的就没有</t>
  </si>
  <si>
    <t>舒服，轻便 喜欢，很轻便的一只表，夏天带很舒服，但是表盘很小，适合小朋友和女生</t>
  </si>
  <si>
    <t>十磅够劲 包装大到没朋友 哈哈 过瘾</t>
  </si>
  <si>
    <t>很方便，好安装 不错，挺好用</t>
  </si>
  <si>
    <t>舒适还好看 好看好看 老妈也让我给她买一件 这件真的太好看啦</t>
  </si>
  <si>
    <t>质量 鞋子质量很好，穿着很舒服，款式也喜欢</t>
  </si>
  <si>
    <t>颜色搭配不错 很好，颜色鲜艳，使用方便</t>
  </si>
  <si>
    <t>好用 牙刷很帅气，功能齐全，好用</t>
  </si>
  <si>
    <t>翻车了 感觉要翻车，右脚的内侧有明显折皱、凸起，应该是做工问题，不知道怎么过的质检……</t>
  </si>
  <si>
    <t>做工一般 做工一般，国产</t>
  </si>
  <si>
    <t>页面信息跟收到的不一样 下单时看评论和问答大都说是全棉、薄的，之前买过一条同款灰色，也是全棉、薄的。这次买条黑色，收到是厚的，82%棉。货不对板，太混乱。</t>
  </si>
  <si>
    <t>太大了 太大了。起码大了2个号！买的XL，我觉得其实M就行。</t>
  </si>
  <si>
    <t>这鞋不可以买 假货，坚决不能买</t>
  </si>
  <si>
    <t>尺码超大 和国内尺码比超大超大的，同样是XL比国内大十几公分，此款面料较厚，夏天穿会比较热，由于第一次购买，尺码不了解，选择的商品根本没法穿，建议买小两号</t>
  </si>
  <si>
    <t>尺码偏大 面料舒适，尺码偏大。</t>
  </si>
  <si>
    <t>很硬 低腰，裤腿有点长，裤子很硬，洗过依旧很硬</t>
  </si>
  <si>
    <t>值得拥有 平底鞋36，这个买的6m，非常合适。皮质柔软，很服帖，走、跑、跳、淌水，完全没有一点不适。  配袜子、裤子都很漂亮。买的时候四千出头，比专柜便宜太多了。一周之后到手。</t>
  </si>
  <si>
    <t>评价 没有用，感觉还可以。说是有活动返代金券，可是我没有收到，不诚信。</t>
  </si>
  <si>
    <t>粘在一起了 同一牌子，女性复合维生素软糖很好，这个粘成一坨了</t>
  </si>
  <si>
    <t>龙头选择高仪没错 好重的一个龙头，龙头的外包装也是相当的好。</t>
  </si>
  <si>
    <t>象印保温效果就是好用！ 刚收到杯子！老牌子就是不同！保温好用！朋友同事一直用这牌子！值得拥有！</t>
  </si>
  <si>
    <t>下单收到5天？没有详细物流信息！谁给科普？美国能这么快？ 使用后修改评价，正品！有显著效果，跟客服核实是美国发出！还会回购！ 12号下午下单，15号到国内，16号到我手里！美国发货？没有详细的物流信息，作为海淘n单的人我不知道东西是哪来的！</t>
  </si>
  <si>
    <t>鞋很轻，穿上合脚舒服 鞋很轻，穿上合脚舒服</t>
  </si>
  <si>
    <t>何以解忧唯有杜康 很早之前就在关注这个笔，碍于价格一直没有下手。这次终于下定决心入手，果然收到就很惊喜。德国过来也就一周多到了，打开后蘸墨水试了很顺滑，而且蘸一点墨水可以写二十个字左右，然后灌墨，不得不说出墨很均匀鼻尖很顺滑，磨砂的手感也很棒，但是出墨量比较大就是大家说的水枪，不过都可以接受，很喜欢。</t>
  </si>
  <si>
    <t>好 给宝宝做辅食的，用了三个月了，蛮好的，还没发现问题</t>
  </si>
  <si>
    <t>一款不错的产品！ 非常好的产品，音质清新通透，造型经典，尺度适中，好评！</t>
  </si>
  <si>
    <t>便宜，质量保证 价格确实实惠，等好价格入手真比裸盘便宜。就是包装太不像话，盒子套个外箱就漂洋过海发来了！美亚是不是太自信了？</t>
  </si>
  <si>
    <t>越听越喜欢 小身材，大嗓门，音染少，音场广阔，通透干净，耐听，专业素质丢一般多媒体喇叭几条街。60多平米的大客厅箱子还没到，先用这个小不点过渡下，居然依然惊喜不断，听小作品和白噪音，有几分专业HiFi大箱的气场。90年代开始玩箱子和耳机，年纪越大越容易感动，要求越低，回归音乐享受即可。</t>
  </si>
  <si>
    <t>不错喔 裤腰可以拉伸，适合退粗又想修身的人</t>
  </si>
  <si>
    <t>不错 非常好的一次体验，比实体店便宜一半</t>
  </si>
  <si>
    <t>183CM86KG 183CM86KG，肌肉男，拿到衣服一穿刚刚好，但懂了你们说袖子长身子短是什么原因了，你们肩膀和背太窄了，正常码你们撑不起来的</t>
  </si>
  <si>
    <t>第一次买，尺码还可以。 183CM 81KG 选34W 32L正正好好，套个绒裤穿也不错，颜色跟商品简介图片一模一样，没什么水洗，而且带弹力的。只是这个颜色确实显得不够高级哈！感觉还是值得的。对了，刚跟国内买的李维斯 比了一下尺寸，我的501是 36W 34L， 摆着看竟然一样大哈。。。。</t>
  </si>
  <si>
    <t>很好 质量好的样式也很喜欢</t>
  </si>
  <si>
    <t>满意 ck还是品质有保障，颜色也很正，比图片强多了，就是稍微大了点，</t>
  </si>
  <si>
    <t>做工不错 很结实的适合户外运动 做工不错 很结实的适合户外运动</t>
  </si>
  <si>
    <t>还可以 做工款式都很一般，希望防水耐久性能好</t>
  </si>
  <si>
    <t>尺码偏大 偏大，其他都可以，不错</t>
  </si>
  <si>
    <t>肥瘦可以，质量感觉一般 肥瘦版型还可以，颜色有点花里胡哨，不是很纯，质量感觉并不是很好</t>
  </si>
  <si>
    <t>货好价好全都好 颜色是国内没的，价格倒是国内的一半还少，按照平时的码买的，试穿了下正好多一指。</t>
  </si>
  <si>
    <t>该羽绒服好棒 喜欢</t>
  </si>
  <si>
    <t>气味重，太大 衣服尺寸不标准，衣服太大了，买了两件中码，一件比另一件明显大很多，大太多了，大一个码不止，至少两个码。美国直邮，本来很好喜欢的，结果拿去洗时换了很多次水还是气味很大，石油化学气味很重，换几次水还会褪色。</t>
  </si>
  <si>
    <t>不建议购买 鞋比较硬，穿了没多久就有点开胶，因鞋帮低还硬，磨脚踝那一块，不推荐购买</t>
  </si>
  <si>
    <t>需求 尺码都太大，有没有小尺码的呀</t>
  </si>
  <si>
    <t>仿品 质量问题</t>
  </si>
  <si>
    <t>性价比差 只适合当内衣穿，比较薄，做工样式和背心差不多，像T恤那样穿肯定是不合适的，肩膀不宽，但较长，只有扎起来穿，否则不好看，要是买内衣，我何必买它呢，毕竟和内衣比，价格要贵点的，另外标的位置低了</t>
  </si>
  <si>
    <t>现在体验很差 内裤没有盒子 是用普通透明塑料袋包装的。商品寄过来外包装也不是亚马逊以前用的纸盒子，而是泡沫黄信封。海外购体验很差。</t>
  </si>
  <si>
    <t>美中不足 手感可以，但皮面有瑕疵，这么远发过来，是检查不慎重还是就是发次品？</t>
  </si>
  <si>
    <t>喜欢，但是长牙把齿齿啃掉吃了 还是不要给长牙孩子用吧，我们把齿都吃掉了，还好小，估计随便便出来了。</t>
  </si>
  <si>
    <t>略长 保暖，里面有薄绒。180，75公斤略长</t>
  </si>
  <si>
    <t>买的L码，尺码偏大 质量很好，手感很舒服，但尺码买大了懒得换啦，送别人穿了，我的胸围为106cm左右，该买M号的合适。</t>
  </si>
  <si>
    <t>偏大，有质感，很舒适 182cm，108kg，买了两件，L的合适，XL的有些大但也能穿，供参考</t>
  </si>
  <si>
    <t>之前还夹脚，后来好了点 偏大之前还夹脚，后来好了点</t>
  </si>
  <si>
    <t>亚马逊的愉快购物体验 亚马逊棒极了，衣服也很棒</t>
  </si>
  <si>
    <t>价格合适，鞋子漂亮 17号下单，22号发货，30号收到。之前买的4孔短靴6.5w，稍微偏大，这款买的同码，特别合适！越南产，很漂亮的鞋子</t>
  </si>
  <si>
    <t>煎牛排必备 煎牛排鲜嫩多汁，相当赞！下单后11天到货，比系统到货时间提前了8天。</t>
  </si>
  <si>
    <t>值得购买 非常喜欢，大小适中，颜色漂亮</t>
  </si>
  <si>
    <t>puma板鞋 鞋子不错啊，适合脚瘦的人穿，就是快递让人很无语</t>
  </si>
  <si>
    <t>收到了，也用了，很好啊 收到了，也用了，很好啊</t>
  </si>
  <si>
    <t>小熊糖 小熊糖很不错很好吃的</t>
  </si>
  <si>
    <t>合适 合数，舒适。很是喜欢。</t>
  </si>
  <si>
    <t>版型宽松 版型宽松，177cm 80kg M码稍微有点大，穿上身子显得圆鼓鼓，袖长刚刚好。</t>
  </si>
  <si>
    <t>很小巧精致 一切都好，个人感觉小了点。想喝凉点水，等的时间长了点。</t>
  </si>
  <si>
    <t>尺码合适，好穿 鞋子尺码很准，对于脚大的我来说，亚马逊非常好用。</t>
  </si>
  <si>
    <t>不错的焖烧杯 日亚的东西包装一直都很仔细，杯子做工优质，没有异味，发货周期也不长</t>
  </si>
  <si>
    <t>不错 鞋非常舒服 爱步的忠实粉丝 希望有更多的促销</t>
  </si>
  <si>
    <t>非常方便好用的体温测温计 测温计做工精致，测量体温非常方便，国内电商和实体店卖的都是6520，这里卖的是6520B，应该是最新一代产品，看模样和6520长得一样，功能上不知道差在哪，关键是国内可能有假货，这里是海外购，应该有品质保证，值得购买。</t>
  </si>
  <si>
    <t>鞋子很好看 鞋子穿着很舒服，很好适合，我是41.5码的</t>
  </si>
  <si>
    <t>一直买的 一直买这个给宝宝补维D  挺好的</t>
  </si>
  <si>
    <t>大小合适。质量很好。 177重72公斤。穿上大小合适。质量很好。</t>
  </si>
  <si>
    <t>个人觉得不错 适合不喜欢钢圈的人群 只要舒服 对塑形要求不要太高的</t>
  </si>
  <si>
    <t>舒适透气的幼儿园室内用鞋 鞋子质量很好。小子四周岁，上小班，穿上说有点舒服😄，再也不用担心脚闷在毛毛虫里面，湿气太重。掉皮了。</t>
  </si>
  <si>
    <t>比某东上买的替换刷头好多了。和原机上的一样 如题。正品。。。比某东上买的替换刷头好多了。和原机上的一样</t>
  </si>
  <si>
    <t>快递包装需要提高 牌子好 快递也算快，但是包装还得上点心。快递盒子里没有任何减震的材料或者气囊。导致东西运到的时候严重变形。毕竟是从国外运来，千里迢迢，包装还是上点心吧</t>
  </si>
  <si>
    <t>快过期的产品 这也太过分了吧，还有半年就过期，这么一大瓶，如何用的完，对亚马逊太失望了</t>
  </si>
  <si>
    <t>New Era男士MLB Basic NY Yankees 9Forty可调节棒球帽 New Era 4月9日订购的 ，今天刚刚敲门送到 ，迫不及待的打开一看 ，担心的问题还是出来了 ： 1】帽子帽檐部分与图片不同 ，网上看好的是帽檐部分没有缝纫机扎线而收到的商品帽檐出扎了 8 道线较难看 ，不是平板光面的 。</t>
  </si>
  <si>
    <t>黑五确实便宜 手表不错，但是表带太次了</t>
  </si>
  <si>
    <t>质量不好 布料很差劲，薄且透，怀疑是假货</t>
  </si>
  <si>
    <t>建议还是去实体店看完再买吧， 买了2款XL 的都是日亚的 大小不一样，。而且100KG 192.胸围100 推荐L。XL 回家穿着紧绷绷，跟训练紧身短袖一样。</t>
  </si>
  <si>
    <t>很好的滤芯 更换方便，价廉物美，值得购买</t>
  </si>
  <si>
    <t>总体感觉还好 两档水压可选，水压强度本人还能接受，总体感觉还好，唯有不足就是水箱小点，我使用一次要加三次水，当然，这是旅行便携型，也就理解了。</t>
  </si>
  <si>
    <t>非常满意的一次网购 很修身，完全贴合腿型，腿粗慎购。质量非常不错，正品。175，75KG，W31L32，尺寸正好。</t>
  </si>
  <si>
    <t>这条不错 虽然不修身，但总体还是挺合适的，我levi's穿3232，这个也穿3232，裤长相比长一点，但是正合适我</t>
  </si>
  <si>
    <t>质量不错 第三次购买这个品牌的牛仔裤了，手工不错👍布质也不错👍</t>
  </si>
  <si>
    <t>不错 不错，老婆很满意！乍一看很简约，细看确很有型，穿上很舒适。虽然购买时的价格比现在略高一些，但觉得仍很值。国内皮鞋穿37码</t>
  </si>
  <si>
    <t>完美 体重74，身高173，买的s码刚好</t>
  </si>
  <si>
    <t>舒适么 高大上的品牌，品质感十足，普通品牌的价格买到这种品质的品牌的东西跟开心，价格真的觉得很实在了。能用得住的好东西</t>
  </si>
  <si>
    <t>😍😍😍😍😍😍 史努比迷当收藏周边了，不得不说表本身质量很好，夜光设计很实用。</t>
  </si>
  <si>
    <t>满意 松紧带的裤腰，大小正好，颜色也正，好评。</t>
  </si>
  <si>
    <t>性价比高 170，60kg，尺码合适。</t>
  </si>
  <si>
    <t>好产品 与美国带回来的一样。</t>
  </si>
  <si>
    <t>合体，厚薄 夏天穿厚，适合春秋天穿。</t>
  </si>
  <si>
    <t>合适 不错，给老公买的，他很喜欢</t>
  </si>
  <si>
    <t>好用！ 商品是可以打五星的，只是刚收到就降了50，也不保价，不开心。配件齐全，安装时注意不要滑丝，很方便。</t>
  </si>
  <si>
    <t>三福霹雳马 非常鲜艳顺滑，比辉柏嘉红盒油性好用多了～画画非常享受</t>
  </si>
  <si>
    <t>超喜欢，性价比很高 因为本来就想要直接换芯的钢笔，赶上打折就买了。很好用也很漂亮，物流超级快，性价比很高啊！</t>
  </si>
  <si>
    <t>很好很好很好很好很好很好 很好很好很好很好很好很好</t>
  </si>
  <si>
    <t>物美价廉 很合身，健身或者平常穿都不不错！</t>
  </si>
  <si>
    <t>颜值妥妥滴 机子颜值很棒。泡奶系统对牛奶及清洗有要求，按照要求放乳脂3.5以上的冰牛奶能出来稳定不喷的奶泡，如果用常温牛奶，出来的奶泡会有点喷溅，且比较烫。但是喜欢奶泡的就很好，110ml牛奶，能全部都变成奶泡。同时也有分体的奶泡机和mini，分体的奶泡机好处是有时候可以打点可可牛奶、椰汁牛奶，还可以热玉米汁等等，清洗也比较方便，看需求。</t>
  </si>
  <si>
    <t>包装也不错 性价比很高</t>
  </si>
  <si>
    <t>袖子比较长 S码稍微大点，还不错170.65</t>
  </si>
  <si>
    <t>尺码很重要 鞋子很好，老挝产，全鞋垫，很软，压脚什么的不存在的。就是买大了，贼气。退货又赔两百块。😭</t>
  </si>
  <si>
    <t>合预先想的差不多 非常不错，面料厚实，版型也合身，但是颜色不如店家展示的那么鲜亮</t>
  </si>
  <si>
    <t>做工精致，传输速度快 非常轻薄，做工精致，备份我整个大学的资料只花了一两个小时，写入速度大都在30mb/s以上，峰值应该有70mb/s吧，非常满意。</t>
  </si>
  <si>
    <t>性价比超高 很厚！冬天安逸！但是裤脚大，属于宽版！样式一般了点！不是小脚！总的来说，性价比超高！</t>
  </si>
  <si>
    <t>偏大，产地柬埔寨 买的xs，衣服偏大，产地是柬埔寨，做工有点粗糙。</t>
  </si>
  <si>
    <t>不舒适 买大了一码，有点磨脚踝，感觉还不如买国产的鞋子，太磨脚了</t>
  </si>
  <si>
    <t>盖子盖不上 盖子盖不上的，好失望好失望……</t>
  </si>
  <si>
    <t>一般般 不好穿，质量一般</t>
  </si>
  <si>
    <t>味道很大 收到味道很大，就给退了，不知道是不是正品</t>
  </si>
  <si>
    <t>上当了，布料很差 尺寸纯粹瞎标，买了又没法换，只能扔了</t>
  </si>
  <si>
    <t>会渗色。版型好。 比较厚，版型很好。 但会渗色出来，我买的是深蓝，用清水一泡，有浅粉红色渗出，过几次后用洗衣液手洗，水呈浅墨绿色，一直手搓过水五六次后，才正常，以前买的安德玛不会渗色的。</t>
  </si>
  <si>
    <t>可以 还可以</t>
  </si>
  <si>
    <t>音质还是不错的 音质还是不错的，目前正在欣赏</t>
  </si>
  <si>
    <t>施耐德的钢笔总体还不错。 施耐德的钢笔我之前用过他家的BK402，众所周知，它漏墨的毛病让人实在难以忍受，所以才换了这款BASE。 施耐德的钢笔鞋子顺滑就不必细说了，这是优点。但是他家的钢笔也有其缺点，那就是笔尖太粗了，F尖基本上可以跟别家的M尖比较了，非常不适合书写汉字。如果作为签字笔或者临时在便签上快速记录一些简单的事情还行，要是抄笔记或者用来考试就很坑了。</t>
  </si>
  <si>
    <t>第一次买这个牌子。 尺码太少，大个点的女人穿着有点紧。</t>
  </si>
  <si>
    <t>很舒适 第一次买这种无钢圈的，确实很舒适</t>
  </si>
  <si>
    <t>窄型，码偏小。 还好我买大一码，否则就小了。鞋上脚舒服，薄荷绿显清新。谢谢！</t>
  </si>
  <si>
    <t>水壶 不错！热水壶太高级开始前还不会用，研究了半天才弄明白～不错～</t>
  </si>
  <si>
    <t>值得购买 穿着舒适大方，非常好！</t>
  </si>
  <si>
    <t>好用 好用，就是六个有点多</t>
  </si>
  <si>
    <t>码偏大，选小一码刚刚好。 物流不错提前到了，选小一码刚刚好，这个颜色比黑色好看很多，显得不那么无聊。</t>
  </si>
  <si>
    <t>挺好的 身高171CM，体重69KG，胸96，腰85。这件衣服穿着贴身，不宽松，我试了一下，里面穿一件保暖内衣，外面套上它，也还行，要是能够再宽松一点点就更好了。总体来说还是满意的。</t>
  </si>
  <si>
    <t>推荐 适合没有补充维生素习惯的大人养成习惯。糖的坚持性会比较高。我家已经不需要这个啦啦啦。偶尔换换口味。</t>
  </si>
  <si>
    <t>稍微有点大 质量很好，比预想的有点大</t>
  </si>
  <si>
    <t>舒适 好用，我儿子吃这个也不抗拒乳头。</t>
  </si>
  <si>
    <t>(宝ᴗ宝)喜欢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</si>
  <si>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小朋友喜欢 好看好吃</t>
  </si>
  <si>
    <t>好。 虎牌的杯子买了好多了，喜欢，就要是日本产就更好了。</t>
  </si>
  <si>
    <t>不错 感觉还不错吧∶需要煲机</t>
  </si>
  <si>
    <t>质量好 质量好，性价比高，180，80公斤，m号紧身可穿，l号可能更好</t>
  </si>
  <si>
    <t>好用好打理 买了好久了才来写评论，只要放点油煎东西就不沾，以前买的爱仕达的平底煎锅虽然不沾，但用的时间久了四周锅沿上会有厚厚的刷不下来的油层，这个绝对不会，每次用完随便一刷干干净净，只要擦干绝不生锈！</t>
  </si>
  <si>
    <t>和保温杯一起，包装真是贴心，赞一个 4L不算大，还有两个侧兜，实用性也不错，怕5L的有点大就选了小一点的，总体很满意。</t>
  </si>
  <si>
    <t>终于吃完了 吃了几个月了 感觉有点效果 但毕竟不是药物  还是从自身日常保护做起</t>
  </si>
  <si>
    <t>不错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</si>
  <si>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颜值高 质量挺好的，很漂亮，颜值高，不过宝宝还是很容易一手抓起来就扔了，可能长大点就不扔了，现在9个月</t>
  </si>
  <si>
    <t>简单好用 很好用。使用简单，冲洗得很干净。</t>
  </si>
  <si>
    <t>太紧了 太小了，料也一般，以后得选L号了</t>
  </si>
  <si>
    <t>还行 细节和gap之流差不多 袖子略短 穿的s 买个logo吧</t>
  </si>
  <si>
    <t>不知道哪里出问题 就穿一次，背部有一大块起球变皱，是不是买来时就这样就不知道了，衣服手感很好，170cm123斤S码合身</t>
  </si>
  <si>
    <t>主要是尺码问题 我选了欧洲码41就是英国码7.5  收到的是欧洲码41英国码变成了7  然后鞋子就小了一点  看起来货不错  前头跟图片有差别 但不影响  在瓷砖上很有些滑</t>
  </si>
  <si>
    <t>UK3 平时穿的35这次买的UK3 刚刚合适 完美</t>
  </si>
  <si>
    <t>袖子特长 看了评论买的，大了，真大了，袖子特长，面料还可以</t>
  </si>
  <si>
    <t>总体可以 原以为尼龙表带和帆布表带没多大区别，但佩戴后感觉表带显单薄，不如帆布的休闲。除此之外其他各方面都比较满意。一个小瑕疵：这表美国保修三年，但美国之外只保一年。虽说这是厂家的保修策略，但亚马逊中国的商品描述太粗略了，购物时竟然看不到关于保修的说明和提示，收到货才知道。</t>
  </si>
  <si>
    <t>还好 一般吧</t>
  </si>
  <si>
    <t>还行吧 没有音量键 声音有点单薄 煲机中 过段时间再看看</t>
  </si>
  <si>
    <t>样式如图，做工有点堪忧 第一次亚马逊海外购，UPS的快递包装太坑了，完全是圆通的水平，还没中国亚马逊自己的好，ECCO的舒适度没的说，但是我这双做工太粗糙了，针线很多跑偏，脚踝正面皮子有个死折，海外淘不想退了。</t>
  </si>
  <si>
    <t>很好 小朋友一直用这个牙膏</t>
  </si>
  <si>
    <t>可以清洁水蛋残留 确实如之前的评论所说，水蛋的残留可以清洁掉，值得入手。</t>
  </si>
  <si>
    <t>很实用 温度高勺子会变颜色，奶爸奶妈必备</t>
  </si>
  <si>
    <t>质量还是不错的， 质量还是不错的，满意</t>
  </si>
  <si>
    <t>海外购很快 不错的，质量很好，也很舒服，海外购也很快。</t>
  </si>
  <si>
    <t>很好很可爱 买来送人的  但是太可爱都舍不得送了 比国内买到的质量好而且便宜很多</t>
  </si>
  <si>
    <t>家用非常好，功能多，只是配件不多 声音挺小，效率高，价格比国行天猫便宜很多，只是机头会有点晃</t>
  </si>
  <si>
    <t>可么多么 手感很棒，开水烫过没异味。</t>
  </si>
  <si>
    <t>外观漂亮 读写速度快 外观漂亮 读写速度快 就是边缘会略割手 苹果商店只有金色 买到了心爱的银色  搭配新买的MACBOOK PRO 赞</t>
  </si>
  <si>
    <t>旅行必备 选了很久选了这款，旅行必备</t>
  </si>
  <si>
    <t>穿着舒适，物超所值。 今天收到鞋子试穿了一下，非常合适。本人脚长225，脚弓低，型偏瘦，大脚趾微上翘，平时都买36码，这双也是。脚感舒适，不宽不窄，不长不短，刚好合适。脚背也没有网上有人说的压脚感觉。外形时尚，物超所值，名不虚传。</t>
  </si>
  <si>
    <t>很好，很轻便 169/74kg，买的medium，很合适，略微大了一丁丁点，不过完全ok。</t>
  </si>
  <si>
    <t>还是不错的 觉得就这个价格而言还是不错的</t>
  </si>
  <si>
    <t>有效 这个钙片对我来说比较有效</t>
  </si>
  <si>
    <t>美国直邮 效期的话我觉得2019.11月, 没什么可担心的 保健品首先是正品，美国直邮，放心。看了大家的评论, 我一直不理解, 一瓶保健品一个月就吃完了, 有效期还有半年以上, 很合理啊.</t>
  </si>
  <si>
    <t>目前使用很好 新品 目前使用很好 新品 4t硬盘</t>
  </si>
  <si>
    <t>物超所值 非常可爱的杯子，宝宝很喜欢</t>
  </si>
  <si>
    <t>不错 买个家里老人的，希望能有效果。</t>
  </si>
  <si>
    <t>good 做工很好，大小正合适175cm70kg</t>
  </si>
  <si>
    <t>衣服挺不错的 178CM 74KG L尺码正好合适 冬天打网球穿穿蛮好的 价廉物美 比国内买实惠好多</t>
  </si>
  <si>
    <t>好 大小正合适，材质不错。</t>
  </si>
  <si>
    <t>还好 东西很好，运输中摔了几个不影响使用的坑，但是让人非常不爽，打包的时候不能长点心吗。。。</t>
  </si>
  <si>
    <t>tri veper 款式，面料和鞋底都不错，做工稍差，郁闷的是提鞋带轻轻一拉就断了一端，不知道是个例还是普遍现象。另外尺码偏大，但41和40的价格差了一倍，为省钱买大了。</t>
  </si>
  <si>
    <t>不像正品而且发错尺码 没有原装鞋盒，只有一个牛皮纸颜色的鞋盒，鞋盒上没有标识，没有任何票据，鞋子上没有产地标识，跟以前买他家的鞋子的不一样。等了那么多天，发过来的竟然和我买的尺码不一样！买的6码发的我7码，根本没法穿。退货了税还没有退给我，说发给我等额优惠券也好几天没动静。对于这次购物非常失望！</t>
  </si>
  <si>
    <t>一地摊货 果然地摊货，一周就烂成两半了</t>
  </si>
  <si>
    <t>坑 7天到了，虽然是正版的，但是盒子都扁了，彩铅也断了几支，坑货，差评</t>
  </si>
  <si>
    <t>衣服过大 衣服过大，不太适合亚洲人。</t>
  </si>
  <si>
    <t>再次购买了 速度很快。正好碰到节日清关慢了，现在的包装太简单了吧</t>
  </si>
  <si>
    <t>无 2017年的鞋，皮质干的很，液体鞋油都用了1/3瓶晕，其它没什么问题。</t>
  </si>
  <si>
    <t>稍微有点肥 比起其他品牌，腰围似乎大了一号</t>
  </si>
  <si>
    <t>太值了 搞活动买的，太值了！不是日本直邮，是从本地仓发出的，不知道怎么回事……开始有点担心，收到发现做工很好，跟网上一些细节都一样，应该是正品了。  1.2mm的厚度的确感觉薄了一点，看评论有人一年就穿了有点吓人啊……口碑品牌，希望质量过硬啊。  还未开锅，以后来更新。</t>
  </si>
  <si>
    <t>JBL 305P MKII 有源5寸两分频录音棚监听音箱（新型号） JBL 305P MKII 有源5寸两分频录音棚监听音箱（新型号）特价便宜，声音漂亮，无杂音</t>
  </si>
  <si>
    <t>很好用的 很好用的，送给爸爸用了。</t>
  </si>
  <si>
    <t>不错 大小合适，颜色挺清新，穿着舒服</t>
  </si>
  <si>
    <t>很不错的鞋子！ 平时运动鞋44码，这次买的43EU很合脚！脚感很好，皮面也很柔软，上脚非常舒服！</t>
  </si>
  <si>
    <t>入门级之中性价比非常高的选择 作为这个级别的产品，二代在各方面已然做得相当不错。其中一只的外包装在运送中出现了破损的情况，好在内包装和箱子都完好无损，有惊无险...整体还是特别满意的！</t>
  </si>
  <si>
    <t>不错 亚马逊自营的海外购非常不错，比其他平台的海外购好多了。衣服不错，款式简单，值得推荐。</t>
  </si>
  <si>
    <t>价格变化有点快 耳机没到手就疯狂降价，然后又疯狂涨价，搞不懂，亚马逊客服联系比较麻烦，其他都很满意，海外购有些耳机也不是很便宜，至于音质，主观的东西不妄加评论，自己喜欢就好</t>
  </si>
  <si>
    <t>質量好 在日本用過後覺得很好用，就在這搜索到了，質量不錯，安裝也方便的。</t>
  </si>
  <si>
    <t>物超所值 买之前不了解这一款，买完之后在网上搜说明书的时候，发现这款评价超高！确实实物比图片好看！</t>
  </si>
  <si>
    <t>喜欢 喜欢G系列。风格硬朗。</t>
  </si>
  <si>
    <t>起球 起球，沾灰。衣服偏大</t>
  </si>
  <si>
    <t>物有所值 是壶身螺纹钢，加热是由加热干不是在底盘，我认为这样更好。效率高。有蓝色指示灯。</t>
  </si>
  <si>
    <t>奶瓶很不错！ 奶瓶是正品！也没有味道！宝宝用的很好，如果能一色各选一个就好了！再就是运送速度能再快点就更好！</t>
  </si>
  <si>
    <t>非常满意 正品，穿着很舒服，比商场便宜很多。</t>
  </si>
  <si>
    <t>很漂亮 帽子很漂亮，正品。赞</t>
  </si>
  <si>
    <t>冷门神器 音质非常棒，层次清晰，弦乐超棒，看电影非常的好，声音在拜亚动力里稍微偏暖，非常舒服，可能还没有煲开，低音略有一点多，人声突出，总体还是非常不错的</t>
  </si>
  <si>
    <t>很好 性价比高，质量很好，价格也不错</t>
  </si>
  <si>
    <t>亚马逊还是比较靠谱 昨天中午收到货，经过昨晚与今天的拷贝测试，总容量4.54T，速度稳定在80MB/秒。峰值为120MB/秒。总之，不错的成绩单。</t>
  </si>
  <si>
    <t>偏小 有一条大点，其余両条偏 小</t>
  </si>
  <si>
    <t>总体还可以 162高53公斤买的M号偏大。骨架大的可以。偏瘦的应该买S。里面有绒。</t>
  </si>
  <si>
    <t>好 本人腿比较粗！特意买肥的，后期裁裤腿！</t>
  </si>
  <si>
    <t>偏大 不适合国人体型，偏大，不修身</t>
  </si>
  <si>
    <t>快要过期的药品能不能销毁别拿出来 买了四瓶都是2020年1月到期，还有五个月到期 严重影响顾客的购买期望</t>
  </si>
  <si>
    <t>实物的外观一般，还是照片好看些 目前走时准确。做工一般，蓝圈与照片上有差异，太亮！手表好不好，也不是戴上几天就知道的。等用上几年才能评价。</t>
  </si>
  <si>
    <t>lee牌假货 做工粗糙，铆钉与正版不一致。后口袋双曲线做工很差，一看就是假货。被我妈水洗了，没法退货，好在尺寸还合适，能穿。</t>
  </si>
  <si>
    <t>https://www.amazon.cn/dp/B00B9FN7DM/ref=cm_cr_ryp_prd_ttl_sol_0 商品质量没什么问题，但是快递真的很差劲，包裹送到以后完全被挤压到不成形状，让人很郁闷！</t>
  </si>
  <si>
    <t>东西不错就是尺码比较大 180cm/75kg  买了件xl的太大了。。。。。。。。</t>
  </si>
  <si>
    <t>耳机 十分快，米国人工资那么高，为什么东西比国内便宜好多？想想可以从遥远的米国买东西心里都美滋滋的。东西很好，希望是正品。</t>
  </si>
  <si>
    <t>很漂亮 很漂亮也很舒服，只是稍微大了点</t>
  </si>
  <si>
    <t>等你等得好辛苦 等了一个半月才发货。绿色的那个水杯吸管有点弯，不过影响不大。</t>
  </si>
  <si>
    <t>很好 180  160穿m的正好吧，衣服不错，很实惠</t>
  </si>
  <si>
    <t>划算 还不错，软塑料袋，划算。</t>
  </si>
  <si>
    <t>36码偏大了一点 我平时穿36码的，这款鞋子码数偏大了半码！其他都Ok！是正品</t>
  </si>
  <si>
    <t>好用 用后口腔觉得很舒服。</t>
  </si>
  <si>
    <t>如意的鞋子 结实，时髦，舒适，价格合理，送货快捷</t>
  </si>
  <si>
    <t>胸包 轻便、好看！</t>
  </si>
  <si>
    <t>好用 适合做辅食的家庭，必备</t>
  </si>
  <si>
    <t>东西不错~ EMS快递超神速，当天的订单第二天就到了，耳机不错，戴着舒服，音质饱满吧~（不太懂。。）要是能再便宜点就好了，价格有点虚高</t>
  </si>
  <si>
    <t>Wrangler 男士 经典直筒牛仔裤 卡其色 38W x 30L ... Wrangler Authentics Men's Sportswear 前面那位网友对尺码描述得很到位，感谢</t>
  </si>
  <si>
    <t>还没用上 不知道效果怎么样 现在怀孕还穿不了 希望生完能管用 不能理解prime会员商品为什么不能和非会员商品一起免运费 而且明明一起发货 一起到的 非得分两个盒子 一点都不环保</t>
  </si>
  <si>
    <t>薄雾蓝 这个颜色真的赞爆了！价格真便宜，物流也快，5天就到了，非常满意！</t>
  </si>
  <si>
    <t>很好 挺好的</t>
  </si>
  <si>
    <t>适合多人的炖锅 买来当炖锅的，四口人左右的话大小刚合适。做工和质感比lc稍差，黑珐琅也没有白珐琅好用，但是密封性确实更好，炖汤水分流失非常少。带的蒸笼是老款的，这个倒是质感一流沉甸甸的，是凹到锅里面那种，不是图上这种，好处省地方，缺点是蒸的时候锅里的水要放得很少</t>
  </si>
  <si>
    <t>平时穿42半的国内尺码运动鞋，这个号码很合适 如图所示，买了2E的，因为没有标准款了。以为会很宽，好在并没有。按尺码对照表买基本没有错，这款鞋夏天穿还是有点厚，虽然很多网眼。舒适度不错，配色也还可以，与图基本无差别。</t>
  </si>
  <si>
    <t>质量不错，价格合适推荐回购 平时穿ecco 41码皮鞋，这款鞋买大1码正合适。适合春秋穿，虽然有网眼和gore-tex材料，但并不适合夏季穿。蓝色效果不错，还有内增高效果。</t>
  </si>
  <si>
    <t>大小合适，图片拍的不好 大小合适，多少有些不舒服，多穿几天再看</t>
  </si>
  <si>
    <t>回头客 自然之宝钙片用了一年了，感觉效果很好。</t>
  </si>
  <si>
    <t>便宜好用 非常好用，烧水快，声音不大，比国内便宜很多</t>
  </si>
  <si>
    <t>非常喜欢的鞋子 非常喜欢的鞋子，穿起来很舒服，就是感觉不耐脏，耐克阿迪42码，这款41码刚合适。</t>
  </si>
  <si>
    <t>适合 长度裤头非常适合，不用改，惊喜！</t>
  </si>
  <si>
    <t>非常舒适 厚木的袜子就没让我失望过，很好</t>
  </si>
  <si>
    <t>不错 质量可以，但是要提前买两个4转3的软管，TB上一条十几</t>
  </si>
  <si>
    <t>要求坚决退款，退货 收到了，破坏了的牛仔裤</t>
  </si>
  <si>
    <t>！阿杜去咯也饿。薄 很薄，不好，夏天可以穿</t>
  </si>
  <si>
    <t>鞋子过大 鞋子过大穿不了，鞋子头部会有折痕，退货邮费需要165贵的离谱，打算挂在咸鱼上卖了</t>
  </si>
  <si>
    <t>坏的 插上电源按了怎么没有反应啊，不会是坏的吧。看评论是不需要转换头的啊，不会这么倒霉吧，前几个月买电动牙刷也是寄过来个坏的</t>
  </si>
  <si>
    <t>瑕疵 严重失望，这是瑕疵品吧？</t>
  </si>
  <si>
    <t>有异味，慎重考虑 非常失望的一次购物，买来就没用过一直丢在抽屉</t>
  </si>
  <si>
    <t>178/79KG,穿L码刚好 178/79KG,穿L码刚好，国内买的话都是XL或者XXL的，美国这个码确实偏大</t>
  </si>
  <si>
    <t>想买7.5的码买成8.5的，唉！ 鞋子不错很软舒服，买大了，正好家里老人这个码，给老人穿结果老人嫌鞋底太软踩地不踏实，我又拿回来穿了......</t>
  </si>
  <si>
    <t>正品！优质价格实惠！ 非常好，170/75买S码正好贴身！唯一的就是快递太慢！</t>
  </si>
  <si>
    <t>买到合适而心仪的裤子高兴到飞起 买衣服裤儿网购，很难完全合适的，所以这条裤子到了试穿很合适很好看，赶紧再买了一条</t>
  </si>
  <si>
    <t>总体不错 16号下的单子，8号才收到。虽然让传身份证报关我耽误两天，但是快递实在不给力。说好的5号到呢，愣是给拖到了现在。皮带质量不错，2尺7的腰36的长了一点，要是34就好了。不能改短，自己打得眼，太丑了。</t>
  </si>
  <si>
    <t>亚马逊良心商家 太喜欢了。亚马逊良心商家，水壶收到一个月了，突然收到邮件说出口税减少，退我5毛8分钱。钱虽然不多，但是这种对消费者的态度让我一生粉</t>
  </si>
  <si>
    <t>很好用 五百不到入手，很好用</t>
  </si>
  <si>
    <t>合适 选择的尺码正正好好，穿上很正，是预期的效果！</t>
  </si>
  <si>
    <t>太满意了 大超预期，不到六百超级好用，国货里这价根本没得挑。</t>
  </si>
  <si>
    <t>好用的铁锅 比我想象的好一些，热得快，而且也不粘，柄的设计比较合理，不会掉，重量也合适。满意</t>
  </si>
  <si>
    <t>不错 东西不错，收臀部收得很紧！</t>
  </si>
  <si>
    <t>赞 很好用，和我姐宝宝一人一把</t>
  </si>
  <si>
    <t>背起来好好看，好多朋友都喜欢。 好看，很喜欢，尺寸刚刚好。质量还不错，做工精细</t>
  </si>
  <si>
    <t>鞋子的质地是什么。 鞋子的质量不错，鞋底很厚，属于比较沉的那类鞋。</t>
  </si>
  <si>
    <t>不错 还没使用！已拿到手！看上去不错</t>
  </si>
  <si>
    <t>透气舒适 面料舒服有弹性，不到一周就收到了。</t>
  </si>
  <si>
    <t>性价比超高 以前那个洁碧冲牙器用了几年之后水管裂了，一直纠结是换个管还是买个新的。正好赶上亚马逊活动，果断入手！又能冲牙的感觉太棒了！而且比国内买便宜太多了，性价比超高！</t>
  </si>
  <si>
    <t>可以 海外购的码比国内大一号，173，60公斤S号刚好</t>
  </si>
  <si>
    <t>大小刚好 健身使用，跑步也可以用，质量很好的，比国内的好多了。</t>
  </si>
  <si>
    <t>非常不错，穿着舒适。 非常不错，舒适，价格很美丽，要买大一点</t>
  </si>
  <si>
    <t>满意 海淘+prime会员购入，价格合适，快递很快。英国版本，不像之前买的国内版有专门的纸质说明书，盒子上写着针对英国水质进行优化，不知道是不是也适合国内。用到现在没有出现黑色渣子，到目前为止满意的购物。</t>
  </si>
  <si>
    <t>终于入手了 尺码很正，本人脚长252，供参考。</t>
  </si>
  <si>
    <t>经典款，运输包装有待提高。 2E宽版，内长260，上脚很好看，鞋舌偏窄，重量不轻。第二双了，平时穿着上工地完全没问题，不怕钉子和磕碰，有点重，并不适合长时间步行。做工不错，经典款，可以穿好几年。物流速度还可以，比预计早5天就到了，但是运输包装还是差了些，原装鞋盒加塑料袋的包装保护不足，鞋到后，鞋盒都散了，还好鞋没伤着。</t>
  </si>
  <si>
    <t>舒适度好 穿着很舒服，没有束缚感</t>
  </si>
  <si>
    <t>保质期到2021年 现在买的都没有问题，保质期都是到2021年，据说绿瓶对运动损伤有效果，买来试试</t>
  </si>
  <si>
    <t>质量很好 很保暖 非常暖和 五度以上一双可以搞定</t>
  </si>
  <si>
    <t>裤腿有褪色 送来时裤腿有一块明显褪色</t>
  </si>
  <si>
    <t>建议裤子还是慎重购买，尺寸难把握 怎么说了，裤子的码数我参考那个尺寸表对照的，然后就挂了，买回来腰围大好多，我在亚马逊买了四条裤子，基本都不合适</t>
  </si>
  <si>
    <t>一般般吧 172  73公斤腰围合适，腿上稍紧，特别是小腿上紧，建议腿细的人穿，弹性不怎么好！</t>
  </si>
  <si>
    <t>j粉色塑料外壳有瑕疵 饭盒盖有划痕 完美主义就别买了 粉色塑料外壳有瑕疵 饭盒盖有划痕 完美主义就别买了 而且外壳要么太松了 要么太紧了</t>
  </si>
  <si>
    <t>脱胶 好像其他买家也反馈脱胶情况，怀疑是次品</t>
  </si>
  <si>
    <t>衣服尺码 衣服质量还可以就是尺码偏小一点</t>
  </si>
  <si>
    <t>很糟糕 没有吊牌、没有万宝龙logo，请官方给个合理解释。真的好像三无产品</t>
  </si>
  <si>
    <t>好 可以入 价格可以</t>
  </si>
  <si>
    <t>是睡衣哦 质量样式都很好，只是没想到是睡衣😂</t>
  </si>
  <si>
    <t>领口 领口有些大 别的还可以</t>
  </si>
  <si>
    <t>耳机太大 降噪还行，地铁用还行 耳机太大了，有多大呢？你想像一下，带着耳机你可以用余光看到耳机🎧</t>
  </si>
  <si>
    <t>一直支持亚马逊 很喜欢，戴上就摘不下来了，品质真的很好</t>
  </si>
  <si>
    <t>值得拥有 早上倒开水，晚上还很烫，大约十小时</t>
  </si>
  <si>
    <t>好裤子 好裤子，材质好，防污易清洁。样式与质量都很好。</t>
  </si>
  <si>
    <t>象印 好东西 外观漂亮 轻巧 性价比👍🏻推荐使用</t>
  </si>
  <si>
    <t>电压 电压是100～240v国内不用变压器直接能用，个人觉得挺好用。</t>
  </si>
  <si>
    <t>颜色没有图片好看，但版型真是不错 颜色没有图片好看，但版型真是不错</t>
  </si>
  <si>
    <t>非常棒 173cm,80kg，买的w33-30l，以前一直想买海外的，好多次因为尺寸原因放弃，这次参考别人，果断出手，很完美。裤子腰有些弹性，不错。</t>
  </si>
  <si>
    <t>鞋 英国发货 质量很好 大小合适 颜色耐看雅致 版型好看 平底舒适耐穿</t>
  </si>
  <si>
    <t>衣服穿着挺舒服，就是价格高了点 面料质量还不错</t>
  </si>
  <si>
    <t>入门近厂监听音响的不二选择 1，2016年曾经购买过一对JBL 305P MKI，作为书架箱非常好，配一个好的声卡可以发挥出很大的潜能，有源音箱无需额外配置功放，轻松达到效果。 2，据查询资料，第二代 JBL 3 系列监听同样拥有 JBL 7 系列和母带级 M2 系列的声场控制波导技术。能够提供惊艳的细节、清晰的声像、大范围甜蜜点和令人印象深刻的动态范围。高音头部分则加入了电磁波的屏蔽，在高频带来更快速地反馈，低音盆做了新设计，带来的反馈曲线和更少的谐波失真。高低音单元都使用D类功放。升级应该真的有所进步了，这点如果有对比过可以听的出来，很明显。 3，JBL 305P MKII音响适合做5.1环绕和7.2环绕，因为了解这个箱子的素质这次就直接配了两套7.1，即使现在用不到如此多的组合，因为当你配置一套环绕后会发现没有比这更具有性价比的组合了，毕竟一套7.1也只有7系列和真力丹拿一只的价格，电源线用个转接头就好了，确实是性价比很高的音响了，正巧装修差不多了，全屋配置了这个箱子，影音系统一下省钱不少。</t>
  </si>
  <si>
    <t>手感非常不错 笔杆伸缩的手感非常好 拿在手里也很有质感 单从外形和设计上来说 没有任何问题 非常优秀 可是这个笔芯。。。。写起来非常费劲，完全没有流畅的感觉 难道太空笔都是这样吗？</t>
  </si>
  <si>
    <t>舒适 袜子舒适合身，值得购买</t>
  </si>
  <si>
    <t>不错，纯棉，价格也合适 不错，纯棉，价格也合适</t>
  </si>
  <si>
    <t>手感及使用均不错，清洗也方便 手感及使用均不错，清洗也方便，比其他电商便宜不少。只是宝宝用后不吃母乳，因为相对母乳，用奶瓶吃更省力。目前海外购清关速度较慢，这个只能感叹一下了。</t>
  </si>
  <si>
    <t>很不错的耳机 在满减的时候买的很值得</t>
  </si>
  <si>
    <t>值得拥有的衣服 剪裁简洁，质量很好，上身效果好。</t>
  </si>
  <si>
    <t>质量挺好的 荷兰原厂生产的，充好电后动力充足。用着很舒服的，第一次在亚马逊上购物，物流挺快的，希望能用的久一些。</t>
  </si>
  <si>
    <t>适合这个季节出门戴的渔夫帽 很好看的渔夫帽，颜色也很好搭配衣服，喜欢</t>
  </si>
  <si>
    <t>快递员专用？ 合身，质量不错，只可惜，穿上身像个顺丰快递员：（</t>
  </si>
  <si>
    <t>很满意的鞋子 我是41的脚，美码9.5，英码7，这个牌子第一次购买，买的10码，大半个手指，穿着很轻便，鞋底稍微薄一点，作为板鞋，很满意</t>
  </si>
  <si>
    <t>满意 一米六二，一百斤，头一次海外购买裤子，看评论研究半天，买了short2，套薄秋裤试的，合适，就是裤腿下半截不是紧的，稍微松些，版型好看，有弹性，挺满意的</t>
  </si>
  <si>
    <t>值得入手 便宜，声音值这钱，女声利器，值得入手</t>
  </si>
  <si>
    <t>不知道好不好用 不知道好不好用，不过吃完之后基本没有在抽筋过。</t>
  </si>
  <si>
    <t>不错 好 手感不错吧有份量的收波成功</t>
  </si>
  <si>
    <t>33的腰围95厘米皮带买大了一号 腰围33英寸，买95厘米的已经到了最紧的扣眼，我应该买90厘米的刚好，95厘米的需要再去打个孔以便穿起来没那么松。一句话总结，就按你的裤子腰围买，如果没有对应腰围英寸的尺寸，则加一英吋即可。我33英寸的腰，买34英寸（90厘米）的皮带即可。</t>
  </si>
  <si>
    <t>一般吧 大小还行，就是鞋子偏硬，主要是防水</t>
  </si>
  <si>
    <t>三星最多了 不想多说什么，欧美的包装极度不负责，外盒没有，塑封包装也没有，就连一个塑料袋都不给套，直接商品就赤膊地送来了，然后ECMS的物流单竟然直接贴在了商品上，真是长见识了，滤芯包装盒的八个角，没一个角是完好的，全部砸了个稀巴烂，我是给我亲戚买的，当我把这个像垃圾桶里捡出来的东西给我亲戚，请问，如果是你，你送得出手？？ 最后客服打了8折，为了解决了这个问题，不过东西只能我自己用了，送不出手，唉。</t>
  </si>
  <si>
    <t>锈迹斑斑 买了很长时间了，一直没用。今天拿出来才发现居然锈迹斑斑！</t>
  </si>
  <si>
    <t>实在太大了 为什么2XL那么大，比我平常买的2XL大2倍都有</t>
  </si>
  <si>
    <t>派克圆珠笔 质量比较轻，性价比较好，就是笔芯是蓝色的</t>
  </si>
  <si>
    <t>还不错 1、表盘不大 成人感觉稍稍小了一点点 2、不锈钢表带背面打磨的有些毛糙 不影响使用 看着揪心 3、绿色的背光灯 稍稍有点不喜欢这颜色</t>
  </si>
  <si>
    <t>穿多久都不会过时的说 很经典的一双鞋，百搭</t>
  </si>
  <si>
    <t>还不错 纯棉的，有点厚，适合冬天穿，质量还可以吧，不过没有我之前买的 Lacoste好</t>
  </si>
  <si>
    <t>适合175 本人身高175，体重70kg，买s的很合适。面料也不错。</t>
  </si>
  <si>
    <t>补钙吸收特别快 吃过很多种钙，这个很方便的,VD和K同时都有了，但是如果忘了吃，作为孕妈妈一下就感觉出来了。。。</t>
  </si>
  <si>
    <t>碗中爱马仕 不愧是碗中的爱马仕很好用。</t>
  </si>
  <si>
    <t>英标，电压国际通用，效果不错！ 本来都申请退货了，因为是英标，后来咨询了客服，自己买了转换头，就能用，用后效果不错，垂顺，好多档。赞！</t>
  </si>
  <si>
    <t>好评 非常不错。虽然经常去日本，还是选择在网上购买。方便。</t>
  </si>
  <si>
    <t>非常不错，种草已久终于拔草！ 做工和款式都很喜欢，实物上身很不错！值得购买！</t>
  </si>
  <si>
    <t>质量好 质量挺好的。只弄了土豆泥，别的还没做。</t>
  </si>
  <si>
    <t>很舒服.价格便宜 这个系列非常棒了.有弹性.穿着很舒服</t>
  </si>
  <si>
    <t>很个性，很喜欢，就是走时感觉不太准 和手机时间比较了一下，感觉每天慢一秒呢</t>
  </si>
  <si>
    <t>东西不错 比较喜欢</t>
  </si>
  <si>
    <t>第一次选码，拍错了 拍错了，退了</t>
  </si>
  <si>
    <t>新品提示大家 衣服很好看，大小刚刚合适，本人185cm，134斤买的L号非常合适，衣服质量也不错👍正版</t>
  </si>
  <si>
    <t>除了小点其他都完美 历时一个多月吧，终于收到了锅，主要是发货等待的时间很长，物流时间一周左右吧。 先说为什么要海淘炒锅。按理说中国人做菜还是买中式炒锅合适，但是呢，我想买一款不粘锅，不粘锅的涂层安全性很重要，我对国产锅的涂层不放心，所以一直买进口的不粘锅。这是我海淘决定性的理由。 收到锅的时候看包装就觉得小，打开一看，果然比我正在用的韩国麦饭石30cm的锅小了一大圈。原本觉得28cm也不会小到哪里去，真拿到一看，有点出乎意料。特地量了一下，直径确实是28cm，可能是因为平底锅，看起来更显小。 用了快一周吧，嗯，大小居然够用！一家三口的菜量，炒青菜也没有问题，就是菜比较多的时候不敢颠锅，怕一不小心就颠出来了。 锅一点都不粘，菜炒完之后都不用洗锅，用厨房纸巾擦一下就ok了！干净方便，炒出来的蔬菜也好吃，能自然出水，不容易炒蔫儿。 锅是made in France，品质从品相上就能看出来非常不错，锅很轻，女性单手操作没问题，就是中间的红点点没觉得有什么特别，看不出高温下的变化。 推荐给单身人士或小家庭使用，这个价格也合适。</t>
  </si>
  <si>
    <t>基本合适 175cm82KG95腰围，32-32腰部单穿刚好，裤腿长一丢丢，有点像西装裤腿了。</t>
  </si>
  <si>
    <t>吸盘碗 包装很好，而且物流也算快的，三个装从小到家设计合理，这一套可以用很久</t>
  </si>
  <si>
    <t>鞋子大小合适，鞋面较宽 码子合适。 鞋子比较宽大，适合脚比较肥的人。 鞋的上下两部分都是皮子，下部的皮子包住了整个脚底。让后鞋底分几块粘上。 还有单独的一个鞋垫，带后跟的。</t>
  </si>
  <si>
    <t>硬 很硬 没错 但是还合适就是不知道可以用多久</t>
  </si>
  <si>
    <t>很合适 178，70kg。31w32L正合适，成功的一次购物。满意！</t>
  </si>
  <si>
    <t>还行 吹干速度蛮快。。。。至于那个什么钠离子目前看不出啥效果。。。。。</t>
  </si>
  <si>
    <t>简单实用 较喜欢</t>
  </si>
  <si>
    <t>和国内专柜买到的品质一样，没有瑕疵 和国内专柜买到的品质一样，没有瑕疵，鞋子是印尼产的，真的金属灰，但是不亮，应该也很好搭配</t>
  </si>
  <si>
    <t>很好用 很好用。比起在猫店狗店买的所谓原装头好太多了</t>
  </si>
  <si>
    <t>穿着舒适，尺码略大 全棉穿着舒适，尺码略大。L对应175，欧码。身高185，90公斤，打底穿正好</t>
  </si>
  <si>
    <t>好大 买了4short，175，140斤正好穿</t>
  </si>
  <si>
    <t>还可以咯 这个颜色比图片深太多，穿上还是满舒服尺寸我175，63公斤M码有点点大，线头有点多，不退了…</t>
  </si>
  <si>
    <t>眼霜让我很迷 这眼霜一蹦的用量太多了。。双眼根本都吸收不了。。量少的话，质地又比较稀薄。。很迷，不知道用多少合适。</t>
  </si>
  <si>
    <t>裤线歪的 大小合适为什么给一星，腿部本应该在侧面的裤线，每次穿上都会到脚面前，垃圾作工，本来我从来不评价，为了你我必须来！</t>
  </si>
  <si>
    <t>亚马逊退货差评 质量很差，办理退货，根本没人理，打电话给客服也没用，亚马逊没有售后</t>
  </si>
  <si>
    <t>耳机质量差 2019年3月8号购买，使用4个月左右，左耳麦在听音过程中突然发出哧啦哧啦的噪音，问了亚马逊客服，如果要维修只能自己找厂家联系维修，闹心！</t>
  </si>
  <si>
    <t>宽鞋型注意 一如既往的舒服，瘦脚星人表示这款显得脚好肥，在里面哐当，其他都完美 物流一如既往的垃圾</t>
  </si>
  <si>
    <t>酸酸的甜甜的 味道酸甜，孩子吃起来不排斥，效果应该长期去看 20年6月到期，还算不错，不像有的海淘保健品到手后想不过期得一天吃一礼拜的量</t>
  </si>
  <si>
    <t>Logo标签换个材质可以有90分 老问题，包的logo标签是纸质的很容易皱，其他我觉得可以，这款是小的，你们选购的时候不要买错了哦</t>
  </si>
  <si>
    <t>偏大 皮子不错，是正品。但尺码略大，专柜37的，这次买37的比较嫌大，有点儿郁闷😒</t>
  </si>
  <si>
    <t>很好 很好，暖和好看，大小正合适 182cm/83kg</t>
  </si>
  <si>
    <t>性价比很高的钢笔 很有质感，就是刚开始写，摩擦力有点大，不过写多了之后就流畅了，可能是新笔的原因</t>
  </si>
  <si>
    <t>性价比高 性价比很高的一个牌子，很喜欢。刚拿到做了个色卡，没有想象的那么软，估计是用的纸不是很好原因，倒是挺推荐这款彩铅。听说三福霹雳马挑纸。</t>
  </si>
  <si>
    <t>星空蓝 后面才注意到没有上墨器还要自己配 不过还好，手感可以</t>
  </si>
  <si>
    <t>不错，就是略薄，容易破 不错，就是略薄，容易破</t>
  </si>
  <si>
    <t>太大 买大了，平时37，这个大了一码不止。想要退货，但是留恋鞋子的舒适和轻便，还是留下了。只是显得自己的脚好长，鞋跟能塞进两个手指</t>
  </si>
  <si>
    <t>太好啦 真棒啊</t>
  </si>
  <si>
    <t>非常舒适 很舒服，裸脚穿着，底是皮的，不粘。我一般35，这款最小36，因为是系带的，还行。唯一，鞋带容易松。</t>
  </si>
  <si>
    <t>很合适！ 很合适！</t>
  </si>
  <si>
    <t>如何安裝 東東品質無話說，頂級了。不過無中文安裝說明，得補習一下英文才行。中亞應做點工作，翻譯好，同時，這個是110V的，明确告知，這樣才行！</t>
  </si>
  <si>
    <t>特别好的设计 特别好的玩具 买给二宝的 结果大宝也喜欢 从不同乐器的单声部饭，多种乐器合奏 设计特好</t>
  </si>
  <si>
    <t>很好很强大 保温效果不错，买来当暖壶用…</t>
  </si>
  <si>
    <t>码足 40小宽脚，穿着前面还有余量，码很足，显得稍微有点脚长，但是在可以接受的范围之内，如果是40瘦脚妹妹的话，再小一码就可以了。鞋底有点滑，在大理石地面上直呲溜，需要贴个底。</t>
  </si>
  <si>
    <t>好 德龙这款真的很好，虽然亚马逊上有的东西很垃圾，比如蛋白粉，比如衣服，比如物流，比如客服，但这个不给五星都觉得良心会痛</t>
  </si>
  <si>
    <t>没有异味，还没用，不过看着不错，不知道是不是真的从美国邮来的，总之一直查不到物流动态，显示清关种一直，但是快递已经到了 没有异味，还没用，不过看着不错，不知道是不是真的从美国邮来的，总之一直查不到物流动态，显示清关种一直，但是快递已经到了</t>
  </si>
  <si>
    <t>物美价廉 很舒适的一双鞋，但是尺码比正常码偏大一码左右，我平时穿41.5的运动鞋。这双41的穿着像42，唯一美中不足</t>
  </si>
  <si>
    <t>质感不错，宝宝喜欢。 比较萌，质感不错，宝宝6个月，爱咬耳朵，很喜欢这个玩具。但家长同志要注意，我家宝宝爱耍手，毕竟不规则形状，小心碰到宝宝。</t>
  </si>
  <si>
    <t>轻便，柔软，很薄，一款简单的表。我就喜欢这种类型的表。 比起其他的很厚，很多功能的金属表，我还是喜欢这种，戴在手上很舒服。其实手表只要有时针分针就行了，其他都是多余的，用来炫耀就更不必了。</t>
  </si>
  <si>
    <t>值得信赖 感觉不错 无异味</t>
  </si>
  <si>
    <t>很好 鞋子很好，老公很喜欢😘</t>
  </si>
  <si>
    <t>质量好很满意 身高180体重170很合适。面料稍厚，做工精良。</t>
  </si>
  <si>
    <t>太棒了 看了评论，果断买小两号的，果然正好。第一次用海外购，速度很快，东西超级好</t>
  </si>
  <si>
    <t>看这松紧带旁边的跑出来这么一条橡皮筋是什么鬼 刚收到货，预计24日到货，结果11日就到货，很快。打开一试，是我农村人不懂新款设计吗？这松紧带旁边的跑出来这么一条橡皮筋是什么鬼？？？因为海外购退货麻烦，所以拿次品来卖？？? 说下尺寸：我172，75公斤，穿M码臀部有些宽松。长度是合适的。</t>
  </si>
  <si>
    <t>！ 本来是蛮合适的，一洗居然穿不下了，还好有个儿子，只能给他穿了</t>
  </si>
  <si>
    <t>大小质量 124斤 身高168。  穿m小。。。 验了是正品。  但是做工真不好。 不值这个价钱。 比较薄。没有那种厚重感。</t>
  </si>
  <si>
    <t>第一次用Prime会员购买 东西还是很满意的，但也有让人很无语的地方： 1、居然用第三方快递（申通） 2、作为易损产品，只有一个包装盒，无任何放摔措施 给三星完全是看在东西没坏的份上了。</t>
  </si>
  <si>
    <t>使用过的，一星，不能再多了 使用过的，插头和吹风配件有明显使用过的痕迹，考虑要不要退回去。清关速度看就不是好兆头，下单当天就清关了，海外购竟然卖二手货，失望！还有设计天生缺陷，冷风键竟然要一直按着。</t>
  </si>
  <si>
    <t>尺寸小了。且衣服没有海绵垫，没办法穿 尺寸小了。且衣服没有海绵垫，没办法穿</t>
  </si>
  <si>
    <t>还好吧 看上去质感很好，但是很轻，安装师傅说应该是塑料镀鉻</t>
  </si>
  <si>
    <t>很集中的罩杯 比较集中，看起来显大大大呵呵😄</t>
  </si>
  <si>
    <t>不错 尺码正常 比较薄 适合夏天穿</t>
  </si>
  <si>
    <t>一般吧 老奶奶内裤，纯棉，舒服，但跟日亚另一个内衣品牌比起来实在有差距</t>
  </si>
  <si>
    <t>比较喜欢 177，74kg。M号长短合适，的确像其他评价说的有点瘦，不适合胖子</t>
  </si>
  <si>
    <t>便宜好用 比辉博嘉上色，但是画不尖细。亚马逊的价格无敌了。打算以后再买点水彩配着这套用</t>
  </si>
  <si>
    <t>简单易用，稳定静音 简单易用，适合嫌Nas太过麻烦的家庭用户，如果软件针对中国大陆地区再做一下优化会更好。</t>
  </si>
  <si>
    <t>挺合适的，弹性也不错。 挺合适的弹性也不错。</t>
  </si>
  <si>
    <t>很好 漂洋过海这么远完好无损！</t>
  </si>
  <si>
    <t>轻薄抓绒质地 183cm，70kg，偏瘦体型，L码的正合适。轻薄的抓绒质地，颜色略偏灰，透气具有一定的保暖性。推荐贴身穿里面，体感柔软舒适。</t>
  </si>
  <si>
    <t>偏小 尺码偏小，要按大一码买。</t>
  </si>
  <si>
    <t>设计合理，好抓握 设计非常合理，宝宝最爱的牙胶</t>
  </si>
  <si>
    <t>保温效果不错 保温效果不错，十多小时后还烫</t>
  </si>
  <si>
    <t>。。。 皮带收到，有点松自己改了一下已经能穿</t>
  </si>
  <si>
    <t>国内水质太差了 国内水质太差了，由于家里没装粗过滤，此款日常使用2个月水流明显变小。</t>
  </si>
  <si>
    <t>满意 不错，和想象中的一样好！</t>
  </si>
  <si>
    <t>好鞋 穿着舒服，和运动鞋一样的感觉，颜值也不错</t>
  </si>
  <si>
    <t>非常满意 品质做工一流，比预期的更厚更保暖。迷彩色很不错。</t>
  </si>
  <si>
    <t>洗牙器 网上查询评论，最终选了这款。</t>
  </si>
  <si>
    <t>太便宜了 尺码很准，非常合适。</t>
  </si>
  <si>
    <t>颜色，面料，尺码 特别喜欢，颜色也很正</t>
  </si>
  <si>
    <t>底噪可以忽略 这款音箱受路由器、手机辐射的影响，经测试没有这些发射东东时，底噪可以忽略。声音比较干净。</t>
  </si>
  <si>
    <t>价格实惠 喜欢：价格比较实惠，外型很好，读写速度很快，比较好的移动硬盘。</t>
  </si>
  <si>
    <t>满意的一次购物 一次性买了两双，物美价廉，没有味道，尺码是按照脚丫内长选择刚好，给买家参考</t>
  </si>
  <si>
    <t>正品 穿的舒服是正品。</t>
  </si>
  <si>
    <t>perfect 大小刚刚好，177 150的m码，深圳过冬搓搓有余了，也比较舒服，好看，不过还有点小线头</t>
  </si>
  <si>
    <t>回购 这个材料不错的，第一次买大了送人了 都很喜欢 又回购了一个  180 180斤 穿L</t>
  </si>
  <si>
    <t>版型不好看 质量比李维斯的差很多，裤型舒适度也比不上lee的，总体感觉一般</t>
  </si>
  <si>
    <t>香港发货 测速发现明显比网上评测的要低一些，欧洲前置仓(香港)发货。不知道是不是二手货，总觉得不如德亚直邮的好。</t>
  </si>
  <si>
    <t>还不错吧，海漂了好久，比网站给出的预定送达日晚了1天到达。 用了下，速度那是还不错的。就是物流速度可谓是乌龟爬了。 U盘头套上面的那个突出的点有点脱胶的痕迹。有些担心会掉下来。 漂了半个月才回来。漂洋过海第一单，还是值得纪念的。</t>
  </si>
  <si>
    <t>东西不真，会脱落！ 东西不真，宝宝出牙后一咬，勺子上会有塑料东西成丝状被咬下，而且很多，果断换掉！</t>
  </si>
  <si>
    <t>假货！ 味道很大，质量很差，到处是线头，还给我发错尺码</t>
  </si>
  <si>
    <t>臭气熏人 手感柔软，够厚。气味太大了，洗也洗不掉，想扔掉了～～～～～</t>
  </si>
  <si>
    <t>偏小一码 平时穿40的运动鞋，这个必须买41的，否则会顶到脚趾头</t>
  </si>
  <si>
    <t>总体满意 很满意，商品很好，但是觉得发货不是很快</t>
  </si>
  <si>
    <t>需要长期服用吗 养护关节</t>
  </si>
  <si>
    <t>可以 对女生稍微大了一点，还是可以</t>
  </si>
  <si>
    <t>舒适无负担 舒服，现在已经不买带钢圈的内衣了，夏天当打底也不错，而且弹性大，从孕前一直穿到孕中期都没问题</t>
  </si>
  <si>
    <t>购买过此商品 希捷科技 储备与 5 TB 携带式外接硬盘 USB 3.0, 红色... 非常实用，小巧玲珑，容量超大，无以伦比。卖家周详，国外国内，及时告知，快递准时，热情服务。就是运费由买方给付，事先毫无知情。届时催缴，好不尴尬。.“眼前多少难甘事.自古男儿当自强“。好在货已到手，付些运费又算得了什么？</t>
  </si>
  <si>
    <t>赞一个 一百七十多入手，没什么可以挑剔的，正常尺码，裤型  偏向一点点宽松</t>
  </si>
  <si>
    <t>休闲皮鞋 尺寸和想要的一致，穿了一段时间比较跟脚，很好👍</t>
  </si>
  <si>
    <t>评论 囤货还没用，东西收到了包装很好发货很快！赞一个</t>
  </si>
  <si>
    <t>质量和舒适度非常好 非常舒适</t>
  </si>
  <si>
    <t>推荐 东西很好，尺寸标准，值</t>
  </si>
  <si>
    <t>好看！ 正宗的美产，买了2e头，很合适！上脚也很好看！15天到手，很满意！</t>
  </si>
  <si>
    <t>OK 吃了这个每天下面都是硬邦邦的</t>
  </si>
  <si>
    <t>物美价廉特别好 物美价廉特别好</t>
  </si>
  <si>
    <t>值得购买 很棒，</t>
  </si>
  <si>
    <t>尺码 尺码比男款准确，偏大半码左右。</t>
  </si>
  <si>
    <t>分量很足，不是不粘锅 是很沉的铁锅，用料足实，不过会粘，很皮实，经得起折腾，看自己的取舍了。</t>
  </si>
  <si>
    <t>还不错 我平时穿37的鞋，有时候也穿36，但是36码我穿着就比较紧那种。这双鞋我买的4uk，稍微大了半码，但是鞋带系紧就还好。如果小一码估计又是没有余地那种。打开了没有异味，鞋子很轻，做工也比较精细。不知道是不是正品，但至少看着不错。穿着很舒服。反正比淘宝旗舰店便宜啦～</t>
  </si>
  <si>
    <t>耐克鞋 帮朋友买的。回去让他试了下，不错。感觉棒棒的。</t>
  </si>
  <si>
    <t>偏大一码 165cm 55kg 穿s很合适 给大家参考 衣服不错面料软 有弹性 比较舒服</t>
  </si>
  <si>
    <t>好 宝贝是正品 非常好用 支持</t>
  </si>
  <si>
    <t>会回购 喜欢</t>
  </si>
  <si>
    <t>还行。 质量还行，就是不知道防水效果怎么样？</t>
  </si>
  <si>
    <t>偏长 整体不错就是偏长不知道怎么改，怕改了变形，买的M号，168/65</t>
  </si>
  <si>
    <t>棉质毛衣 欧美码，棉质，有型有款。</t>
  </si>
  <si>
    <t>好看 质量好，厚实，貌美，很喜欢，白搭</t>
  </si>
  <si>
    <t>The quality of the clothes is not asked, it is a big feeling, I have to pay attention later. The quality of the clothes is not asked, it is a big feeling, I have to pay attention later.</t>
  </si>
  <si>
    <t>婴儿维生素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</si>
  <si>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名过其实的吸盘碗 沾水吸上也会被孩子拔起来，而且塑料的装热饭总是不放心，用久了也易磨损。一直只是用来装水果或者做玩具了。最后体会着吃饭还是thinkbaby的碗好用，从小用到大。孩子吃饭掀碗是一个探索的必经阶段，随便给个不怕摔的便宜小碗玩就行了，过了这个瘾，就会乖乖捧着碗吃了。小绿芽的保温碗也是一样的鸡肋，闲置着。</t>
  </si>
  <si>
    <t>鞋一般 比较硬，舒适差</t>
  </si>
  <si>
    <t>边缘化品牌拉回到主流是付出一定代价的 流行不好追，时髦不好赶，边缘化品牌拉回到主流是付出一定代价的，比如。。。</t>
  </si>
  <si>
    <t>漏奶漏奶漏奶 东西很差，跟我在美亚买的不一样，关键老是有破的会漏奶</t>
  </si>
  <si>
    <t>尺码大 鞋不错，就是尺码大一码。。</t>
  </si>
  <si>
    <t>colour difference 颜色差别较大，实物颜色比图片颜色浅。</t>
  </si>
  <si>
    <t>希望久穿后会越来越舒服。 鞋内无内衬？不适合冬天穿。首穿脚感不是很好，鞋舍搁脚背。鞋头比想象中宽大。鞋底全部一样平。皮质还是挺软的，希望耐穿。总体初始感受一般。</t>
  </si>
  <si>
    <t>还好 有点小划伤，其他还好</t>
  </si>
  <si>
    <t>有小瑕疵，但总体接受 尺码比较准确，我身高178CM、体重83KG，购买的32X32，只是腰部略微偏小了一点点，完全不影响使用。但牛仔裤寄来后有个别装饰钉脱落，算是小瑕疵吧，售后也及时进行了处理。总体是一次满意的购物。</t>
  </si>
  <si>
    <t>178，130斤，xl刚好 质量好，包装细致</t>
  </si>
  <si>
    <t>非常不错 价格实惠，你值得拥有，自从在海外购买了商品后，真的一发不可收拾啊。</t>
  </si>
  <si>
    <t>想知道与之适配的吸墨器的规格型号 没有吸墨器，只有一个墨胆。是塑料外壳。打开后笔头内有蓝色墨水，可以写10几个字，可能是出厂检验时蘸的墨水。写字流畅，不漏墨，笔杆粗度设计的有厚实感。不知道适配的吸墨器型号是多少，整个订单页面也没给出具体信息。</t>
  </si>
  <si>
    <t>好 很便宜，我买的第一个花了400多。这个也就一半多价钱，很好</t>
  </si>
  <si>
    <t>很大很漂亮 非常漂亮，表盘超级大。</t>
  </si>
  <si>
    <t>读取150mb  写入有90到100MB 不错  写入速度在90到100M之间，就是看重他的保修，全球联保，客服也相当专业··</t>
  </si>
  <si>
    <t>大爱的5050 prime免邮，含税到手2300，正品，皮质非常好，一般腿视觉显瘦10斤，简直赚翻～</t>
  </si>
  <si>
    <t>面料舒服 面料舒服，厚实。希望耐穿</t>
  </si>
  <si>
    <t>Clarks粉 很喜欢clarks 的鞋子，入了好多双！这双也满意，37码入4uk合适</t>
  </si>
  <si>
    <t>衣服大小 衣服和预想的一样，以后有需要还会回购，和男朋友一起买的，买的情侣衫，比代购便宜，衣服应该是纯棉的，我买的m码，很宽松，我162.62斤，可以把衣服打结穿上，也可以塞进裤子里</t>
  </si>
  <si>
    <t>非常棒！！！ 非常棒 绝对是正品 平时穿36-37的码 这双买的36 非常合适 物流也很快 拿到手时包装完好 拆开里面的包装也很好 价格比国内便宜了接近一半 简直不能再赞了👍！</t>
  </si>
  <si>
    <t>凯伍德厨师机 挺好的，完美，一点也没磕碰。5档晃的很厉害</t>
  </si>
  <si>
    <t>小巧，精致，音质讨耳 性价比高！感觉比之前买的舒尔215音色好！</t>
  </si>
  <si>
    <t>宝宝喜欢 挺好，价格可以。发现小朋友这种头用得费，不知道为啥</t>
  </si>
  <si>
    <t>喜欢的水壶 颜值超高，粉嫩粉嫩</t>
  </si>
  <si>
    <t>good 价格比国内优惠很多，现在有两把欧乐比牙刷，一个旧款，一个超声波款，都可以用！</t>
  </si>
  <si>
    <t>very good good</t>
  </si>
  <si>
    <t>超级实用！ 很实用~~PPSU的比玻璃的好用多了 轻便又耐热 推荐</t>
  </si>
  <si>
    <t>运动鞋44标准皮鞋43----9.5ee 阿迪44买的9.5ee 裸脚穿有一点空隙 垫了一双运动鞋垫 正正好好  脚感在工装靴里算是好的 不软不硬  不过与运动鞋没法比  鞋头皮质很软 这头很硬</t>
  </si>
  <si>
    <t>上身效果不错  性价比高 167  48kg  穿着稍微宽松点  质量不错  380的价格买到  比较满意  上身效果不错。</t>
  </si>
  <si>
    <t>欧版的，比国内的尺码要大，我穿着合适 材质很薄，透气性好，但是不耐磨，很容易起球</t>
  </si>
  <si>
    <t>净水器原包装箱破旧！ 净水器原包装箱破旧！</t>
  </si>
  <si>
    <t>劣质产品 正常使用一年不到就已经损坏，基本上只能报废，评论中太多这种情况了，此外，海外购的产品需要自行联系产家，购买前慎重考虑。</t>
  </si>
  <si>
    <t>连续两次下单，连续两次尺码发错 我真的对亚马逊无语了，这已经是第二次下单了货还是发错，第一次订单拍的XXL，收到的结果是XL，我想这一次可能是偶然性的，也就听客服的选择了去退货并且再重新下单，结果第二次下单收到的还是XL，这是系统瘫痪了还是接单的人不识字？能不能认真点？？？一来一回这损失我找谁负责？</t>
  </si>
  <si>
    <t>粉的质量让人怀疑 可能买假货了跟以前买的粉比差别好大……</t>
  </si>
  <si>
    <t>还不错 使用快一年了，还是挺不错的。</t>
  </si>
  <si>
    <t>就那样吧 还罢了，皮带有点硬，比想象中的小，貌似不太适合男的用，小气了点！</t>
  </si>
  <si>
    <t>这是薄款 裤子很薄老婆把我骂了一顿，说明上也没看到是不是薄款以后要注意了。发货速度很快！</t>
  </si>
  <si>
    <t>啊啊啊啊 你们收到的机器冲泡口底部表面是这样的吗，看起来像是脏的或者用过的，但是摸了感觉擦不掉，难道是一种涂层？另外我的外包装没有封口。你们有吗</t>
  </si>
  <si>
    <t>值得拥有 好好好，漂亮，质量好，喜欢，喜欢。</t>
  </si>
  <si>
    <t>好 超级划算的一次购物。无缝缝接，厚度适中，太舒服了，这价格赚到了，内衣还是要选恒适，专业做内衣的就是不一样</t>
  </si>
  <si>
    <t>效果很好 吃了以后，效果很好.</t>
  </si>
  <si>
    <t>含税900+，完美 帮同事买的，同事评价是perfect，特别是用于炖菜。</t>
  </si>
  <si>
    <t>好用的水壶 好用好用好用</t>
  </si>
  <si>
    <t>质量还是不错的，就是会稍微有点小。 质量还是不错的，就是会稍微有点小。总的来说不错。</t>
  </si>
  <si>
    <t>要买日本亚马逊的 衣服特别好，面料很舒服</t>
  </si>
  <si>
    <t>尺寸 有些小了，腰有些低。</t>
  </si>
  <si>
    <t>性价比高的一款产品 很好用，而且在亚马逊海外购比国内买便宜一半。真心不错。</t>
  </si>
  <si>
    <t>质量非常好 做工细致，暗红色看起来感觉很高档。价钱也划算</t>
  </si>
  <si>
    <t>鞋型偏大，建议买小半码 同一个长度，穿起来要比皮鞋大一点，建议这款沙漠靴买小半码。</t>
  </si>
  <si>
    <t>带线控，听歌和麦克风体验 自己是个不懂耳机的外行，在阅览论坛和贴吧等终于找到非常适合自己的耳机，在国内购物软件上购买太贵了，在亚马逊足足省下四分之一，再说使用感觉，跟着网上教程煲机，个人听不出煲机前后的差距，不过本身的声音就已经足够让我兴奋了，人声很清晰透彻。在跟朋友连麦时线控麦克风曾经出了点问题，就是自己说话声音特别小，容易被周围的环境音盖住，后来经调整，发现原来是自己type-c耳机转接线的不兼容性引起的，在朋友的3.5mm插口上表现得很正常，人声不再那么小，但是环境音如周围的关门声，马路上鸣笛声，还是会毫无衰减的录进去，当然了只作为通话的话，线控麦克风十分够用了，k歌的话，在安静的环境下表现也是很不错的。总体上我觉得真的超级良心的购物体验。</t>
  </si>
  <si>
    <t>觉得好看。加上关税差不多290，便宜了一点点。 觉得好看。加上关税差不多290，便宜了一点点。</t>
  </si>
  <si>
    <t>质量不错！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</si>
  <si>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大大大 和国内码数相差三级不止，两百多斤xl 居然大的邪乎。</t>
  </si>
  <si>
    <t>正货 正品好货。价格亲民:划算！</t>
  </si>
  <si>
    <t>不错 面料柔软，此款是薄型，适合春秋穿。</t>
  </si>
  <si>
    <t>终于买合适了。 一米八，190斤，终于买合适了。有点肚子的买这个号合适。</t>
  </si>
  <si>
    <t>好看 不是纯白色，稍微有一点米，里面有一层薄绒，搭配裙子很好看</t>
  </si>
  <si>
    <t>颜色鲜艳 好漂亮好漂亮，不错啊</t>
  </si>
  <si>
    <t>好看 本来要美淘，发现中亚价格很合适啊，到货也很好看，哈哈。</t>
  </si>
  <si>
    <t>值得拥有 降噪效果明显，做工精致，外观漂亮</t>
  </si>
  <si>
    <t>一大一下怎么穿 两星是给物流的。其实款式做工都不错，很好。但是给我发两支不一样的大小是闹哪样，明显一只鞋穿着舒服，一只紧好多，刚开始想着穿穿就会松，以为是我脚的问题，结果同事问我怎么鞋子感觉一大一小。我也是醉了。亚马逊也太不细心了。一只太紧脚疼。皮质很舒服 穿着不打脚</t>
  </si>
  <si>
    <t>偏大 舒适性尚可，170cm，76-kg。感觉就是睡衣。衣长袖子长，大小还可以。估计180cm的正好</t>
  </si>
  <si>
    <t>特供 尺寸合适，材质也过的去，但明显感觉是为了打折活动做的特供版，细节做工一般</t>
  </si>
  <si>
    <t>两次发的不一样 “为什么第一次买的是多米尼加产的再次购买就是孟加拉国产的？版型都不一样 一款是10361 A11 一款是10361 4898”</t>
  </si>
  <si>
    <t>质次价高 穿了几个月，腋下就脱线了，薄的一比的垃圾货，白瞎了三张毛爷爷</t>
  </si>
  <si>
    <t>生锈的靴子 为什么会生锈？这是假的</t>
  </si>
  <si>
    <t>希望越做越好 感觉就是好像鞋底有点胶不是很牢，有点小失望😔</t>
  </si>
  <si>
    <t>不错 没有图片好看、精致，但这样的价格，可以了。</t>
  </si>
  <si>
    <t>一款值得买的杯子 杯子不错很漂亮 这一款对得起他这个牌子的做工 保温2天没问题 估计能3天，比他的mmj系列强很多价格低的话可以入手 很高很酷</t>
  </si>
  <si>
    <t>硬盘不错 不含税786.7，加税880，价格不错 快递也很快，从下单到收到共5、6天时间（是不是假的海淘：）） 就是自己保护不当，钢琴镜面部分已经有很多划痕，因此要是从一个保护盒就好了</t>
  </si>
  <si>
    <t>见仁见智吧 穿着还行，用料也不错，做工也好，不过呢，跟我之前在美国买的不一样，这个呢，可以用款式的变化来解释；但是呢，这个楦型明显是中国人的，不像之前在美国买的那样宽松，所以见仁见智吧，</t>
  </si>
  <si>
    <t>很不错的漱口水，但是一下子涨价30% 1月下旬买的，今天准备回购，发现竟然涨价了！！！还一下涨了30% 之前买过TheraBreath的喉咙喷剂和润喉糖，感觉还不错，中规中矩。这次入手了漱口水，真的很惊艳，口感非常温和毫无刺激性，清新的气味可以在口腔里停留较长的时间。 一瓶含量将近500ml，一般3周左右就会用完。 因为漱口水比较重，所以选择Prime免邮会非常划算，不过我发现很多海外购的商品这几天价格都上浮了不少，比如bunchems的玩具从69涨到了100，leapfrog的点读笔涨了将近50元，这款漱口水套装也涨了30多。。。我还特意看了下汇率，仍然是在6.8-6.9之间浮动并没有多大变化。 唉～～</t>
  </si>
  <si>
    <t>锋利无比 莫非这就是传说中十大凶器之一的双煞剪？已造成流血事故两起，，，</t>
  </si>
  <si>
    <t>满意，鸭绒，85%含绒量 本人170cm，65kg，穿S号刚刚好。一点点小肚子，看不出来，完美。这个衣服是欧版，2018年5月生产的，鸭绒，700蓬松度，85%充绒量,闻了下也没有鸭子味。其实就是73060, Guide系列。做工比较精细。200g左右的充绒量在江浙沪过冬足够了。国内这款据说是鹅绒，90%充绒量，但是价格一直在1499元以上。本尊这个guide黑五买的，900多块不到1000到手，算满意吧，marmot性价比确实比大象和鸟高不少。当时marmot shadow款也有优惠，1300多到手，可惜我下单guide亚马逊也发货了，也就没有更换省得麻烦。等下一次需要时候再考虑shadow 还是换rab家的。</t>
  </si>
  <si>
    <t>一次愉快的购物 宝贝很不错，值得一买</t>
  </si>
  <si>
    <t>买就对了 非常好的一条腰带，性价比很高，长度合适，32的腰围买34刚好最后一个扣眼，完美！两个颜色搭配不同裤子用！</t>
  </si>
  <si>
    <t>好 挺好用的，物美价廉啊！</t>
  </si>
  <si>
    <t>物有所值 跟实体店购买的一样，价格优惠一半，超值</t>
  </si>
  <si>
    <t>非常不错 尺寸很准，价格实惠！</t>
  </si>
  <si>
    <t>很好 1米73，79公斤，M号正好。产地柬埔寨，材料好，颜色正。冬天当内衣穿，春秋可单穿。肯定是正品啦，左下内侧有激光防伪标签。</t>
  </si>
  <si>
    <t>非常好 刀头没有用，就是网坏了，买时网没有卖的</t>
  </si>
  <si>
    <t>不漏 寄到就给宝宝用了，一点不漏，9个月大宝宝马上就能自己喝水了。</t>
  </si>
  <si>
    <t>喜欢的牌子 感觉也不错。穿上合适</t>
  </si>
  <si>
    <t>质量不错 很不错的衣服，喜欢穿。</t>
  </si>
  <si>
    <t>颜值和功能超赞 安静加热速度快，保温效果好，实在是太喜欢啦</t>
  </si>
  <si>
    <t>不错 20度左右穿比较舒适。 172CM, 67.5KG,穿M码非常合适。 轻薄，透气，吸汗功能就不能太强求了，它本身就这么薄，能吸多少汗呢！ 总体很满意。</t>
  </si>
  <si>
    <t>MA-1黑色S 170，70公斤，S码刚好，购买后一直是即将发货，无数次的给客服打电话，终于在取消授权又重新授权后才发货，下单一个多月才收到，实际发货到收到只用了7天。衣服没话说，完美！</t>
  </si>
  <si>
    <t>建议购买 很好很喜欢</t>
  </si>
  <si>
    <t>很好 正正好好，不错一次购物</t>
  </si>
  <si>
    <t>非常愉快的购物 174身高67公斤，衣服合身，袖子长了一公分，有一点点肥，别人看不出来，同事都说很帅</t>
  </si>
  <si>
    <t>安怡 皮带很好，牛皮的，好好。腰围85厘米，皮带稍微大了一丢丢。</t>
  </si>
  <si>
    <t>zhengpin 感谢，已经用上了，好。正品</t>
  </si>
  <si>
    <t>很划算 买的比较划算，试了一下，比较满意</t>
  </si>
  <si>
    <t>不！厚！道！有使用痕迹！ 送货员送货的时候，特意说这是海淘的，收到了可不能退。还纳闷之前快递员没说过的，结果呢！打开后发现送来的主机黑色面有多处小划痕和擦拭痕迹！不知道是别人退的还是样品，不过配件看着可以。生产日期，盒子上标的是18年10月，机器上没找到。用了一下，挺静音，打奶油也挺快。到货也挺快，7天就从国外寄到手了。</t>
  </si>
  <si>
    <t>无 海外购买贵，还是亚马逊中国便宜。而且，蒸汽锅消毒变形了，开水烫下又变形了。为什么朋友用没事就我的有问题呢？</t>
  </si>
  <si>
    <t>不值得买 非常一般，不论是版型，面料还是做工。和淘宝货差不多，去实体店绝对看不上的那种！偏大了一码半，所以可以考虑买小小号的，那样穿才有点型。牛仔外套还是去实体店试过才知道适不适合自己！另外感觉实体店的面料做工要好一点，这个线头很多，都怀疑是高仿</t>
  </si>
  <si>
    <t>鞋子太差了 这鞋子和商场卖的完全不是一个东西 斯洛伐克产 不论是皮质手感 还是鞋带 都和商场专柜不一样 我不能断定海外购德国买来的这双鞋是假货 但又严重的质量问题</t>
  </si>
  <si>
    <t>俗人互 包装太差，盒子都烂了，保温效果一般</t>
  </si>
  <si>
    <t>太差劲 收到裤子，已经褶皱得一塌糊涂，上面沾着好多不知名的动物毛，太恶心了。</t>
  </si>
  <si>
    <t>还可以吧，挺合身的 合身，还可以。</t>
  </si>
  <si>
    <t>日历 个人很喜欢这款手表，就是这个日历显示，一直就是显示每月都是31天😂😂</t>
  </si>
  <si>
    <t>好杯子，性价比一般 这个系列真的轻，保温效果没试过，应该不会差。之前就用虎牌的，弹盖的那款，很方便，保温能力不错。不过一百多的价格性价比就一般了</t>
  </si>
  <si>
    <t>还可以 适合打底穿，就是稍微薄了点</t>
  </si>
  <si>
    <t>其本符合预期，42的脚正好合适 其实看不太出来中外差别。 而且这种鞋子…不知道该怎么刷</t>
  </si>
  <si>
    <t>挺好的 尺码比较标准。穿起来比较合身，很不错。只是有些修身，体型丰满的人，慎重购买。</t>
  </si>
  <si>
    <t>正品 一直用Dr Brown的奶瓶。奶嘴没那么大。</t>
  </si>
  <si>
    <t>好用 洛极的东西，一个字，好</t>
  </si>
  <si>
    <t>好 宝宝最喜欢软软的勺子，第二次买了</t>
  </si>
  <si>
    <t>良好的体验 女款的尺码跟运动鞋的尺码一样就好了。之前买了双10061，看着价格合适正好入手凑一对情侣款，收到的这对外观无瑕疵，挺不错的，6号发货，11号到手，总体体验很好。</t>
  </si>
  <si>
    <t>不错 款式做工不错，第二次买了。物流慢！</t>
  </si>
  <si>
    <t>还不错 挺合适的，亚马逊最强的就是图片不美化</t>
  </si>
  <si>
    <t>衣服挺好 挺好的，衣服大小也挺合适买了一个外套和一个衬衫。样式也挺好看，就是快递有点慢。做工确实也不错。不错👍</t>
  </si>
  <si>
    <t>尺码 质量真是不错，超级满意！</t>
  </si>
  <si>
    <t>尺码偏大 个人173左右身高，70kg，选了最小的S码，还是偏大，衣服里面的绒毛容易掉，衣服洗涤过程中容易沾毛。穿穿还是舒适的，颜色适合暖男。</t>
  </si>
  <si>
    <t>很满意 相当不错，很满意，个头不小</t>
  </si>
  <si>
    <t>非常满意 实际比照片好看，表盘是深蓝色，不是图片显示的黑色，做工和样式都很好。走时精准，光动能+电波对时真的是太省心，根本不用管，100米防水平常生活用水也不用摘下来，每天凌晨2点自动接收电波对时，2点收不到的话会在凌晨3点、4点分别自动再收一次。也可以手动收波，很方便，但没接触过电波表的可能会有些不太理解怎么弄，其实很简单：  1. 收到货后打开包装见到光（可以是阳光和灯光）就会自动走时了（这时会看到三个针自己一通转调时间，很好玩）。 2. 调整时区。这里因为是海外购买的，所以默认时区是london，需要自己手动将手表调为自己所在时区，中国时区可选择BJS，也就是北京时间。具体调时区办法说明书里有详细说明。 3. 一共两个钮，短按右下的那个（说明书里叫“A钮”）检查最近一次收波是否成功。如果秒针停在“OK”上，说明最近一次收波成功，如果停在“NO”上，说明最近一次收波失败。 4. 如果自动收波一直失败，那么可以强制手动收波，方法是长按A钮两秒左右，秒针会指到表九点钟方向的“RX”上，说明正在收波，整个收波过程大约要2-15分钟，我一般2分半左右就可以收到波了。 5. 如果强制收波也失败，那说明信号不好或电波塔正在维护，这时可到空旷处再次手动收波或等维护完成。  我国国家授时中心全国只有一个电波发射塔，设在河南商丘，作用是每天定期发送带有国家授时中心发布的时间信息，供相关产品进行时间同步，电波覆盖半径最大1500公里，可以简单的这么算一下：在中国地图上以商丘为中心，拉一条直线到长春为半径，画一个圆，这基本就是覆盖范围了，如果不在范围内可能会收不到电波。另外这个发射塔每天发波21小时，每天5点-8点停机检修。  光动能储藏动力180天，也就是说哪怕在没有光线的情况下也能走180天，在没有电波对时的情况下，这款表每月的误差大约在正负15秒，电波对时精度在0.1ms-1ms。  其实从功能上来说，光动能+电波表对所有机械表的优势都是碾压级的，无论多高端的机械表。当然，高端机械表早就走的是奢侈品路线了，起的是首饰的作用。但他们走奢侈路线也是被逼无奈，因为当年在走时领域被各类电波、石英、电子光动能表打的落花流水毫无还手之力，所以以瑞士为代表的机械表行业才被迫向奢侈品路线转型，宣传手工、限量、往表上招呼各种大宝石，基本套路和钻石一样，就是成功女人要有大钻石，成功男人要上机械表。其实吧，能走大众市场的谁爱干奢侈品啊，根本没人家赚钱。  上面这些可能有些喜欢机械表的会不爱听，说我这说到底其实还是没钱，对这种说法我当然是要反驳的：  你说对了，确实没钱。</t>
  </si>
  <si>
    <t>好 鞋底不是很软很弹，刚上脚有些硬，一段时间后软一些。总体还行，因为档次不是很高。</t>
  </si>
  <si>
    <t>真的太好了 幸好眼急手快下了单，很满意，发货到收到杯子一共六天，很快的、现在杯子自营一直没有货啊</t>
  </si>
  <si>
    <t>用了一支很不错 买完就发现德亚更便宜 不过跟国内比就不用说了 另外质量真的好 上次国内官方店买没几天刷毛就歪七扭八了</t>
  </si>
  <si>
    <t>非常不错 非常合适 和想象的一样好看</t>
  </si>
  <si>
    <t>本人比较挑剔  亚马逊的服务真的  一个字好！ 比较薄的一款。适合北方春秋穿。女人都懂打底裤最怕裆不舒服。不过小日本的裁剪和是很科学的。裆部到大腿内部都加了三角裁片。很舒服。因为是瘦版不喜欢太捆着特意买了L。很合适。本人163。 47kg。实物颜色要再紫一点</t>
  </si>
  <si>
    <t>象印粉色杯子，单手控 特别漂亮！之前的虎牌丢了，这个更好看</t>
  </si>
  <si>
    <t>包装 非常喜欢！表盘的简洁和明亮一直我想要找的。 只是包装过于简单，就像买耳机一样，只有一个塑料盒子。真是庆幸它能平安抵达。</t>
  </si>
  <si>
    <t>不错不错 一回来没有煲好，但一听就和我的air完全不同的风格，这就达到了我的要求。 还有就是我还蛮喜欢这款耳机的佩戴方式，尽管大，但戴着并没有不舒服。 还在煲机中...期待</t>
  </si>
  <si>
    <t>正合适，不错的购物体验 173。75公斤。32w32L正合适</t>
  </si>
  <si>
    <t>好产品 好用，长时间佩戴稍累，没有中文说明。</t>
  </si>
  <si>
    <t>过硬 裤子过于坚硬，无弹性，低腰，没法穿</t>
  </si>
  <si>
    <t>弹性不够好 买的尺寸刚好，但太稀松了，底部往上滑</t>
  </si>
  <si>
    <t>穿久了会变脏，难清洗 白鞋很容易变丑，需要费功夫保养，鞋底薄，买大了一号，穿起来有点松</t>
  </si>
  <si>
    <t>褪色 水洗褪色严重</t>
  </si>
  <si>
    <t>亚马逊真是我碰到最差的国内购物网站了 1.货物没有到达我手上，没有接到任何叫我拿货的电话，却显示是我本人签收 2.结果反馈后让他重新派送，结果让我自己去拿 3.自己去拿还不说，结果还给我个错误地址 4.所以我只能退货 是的，我是很喜欢这个商品，但是不喜欢这种服务态度，让我感觉能恶心好几天，也许以后我再也不会考虑亚马逊上买东西了吧</t>
  </si>
  <si>
    <t>很真实 买下的钢笔里面居然有墨水，里面没有使用说明</t>
  </si>
  <si>
    <t>！！ 表盘很薄，很轻，这很卡西欧！就是表盘太小了，不够炫酷，还好手腕细。质量也不错，收到时，包装被挤变形，表都出来了，但是没有一点划痕，居然什么事都没有。</t>
  </si>
  <si>
    <t>170 55 男生 买的XS刚刚好，挺合适的，袖子长了一点，后背鼓，但这衣服应该就是这种款式，身高170 体重55仅供参考</t>
  </si>
  <si>
    <t>大小合适 右手腕有红色公司的logo，大小合适，内衬绒，保暖效果好，但是由于不是全棉不透气，整体评价不错。</t>
  </si>
  <si>
    <t>掉色严重 造型很好，还退税了，就是会掉色</t>
  </si>
  <si>
    <t>尺码稍大 高161，重100，S码还是偏大，如果喜欢修身款的建议买小一码。</t>
  </si>
  <si>
    <t>还是完美 6号就是李维斯711裤型的W30腰围，长度大概是L30或L32吧，中高腰、弹力贴身裤型、ykk拉链，裤腰是弹力松紧带可以不用系腰带。一切都很符合期待！</t>
  </si>
  <si>
    <t>我一直都喜欢。 这个剃须刀好用。</t>
  </si>
  <si>
    <t>穿上很舒服，是我喜欢的类型，物有所值。 穿上很舒服，是我喜欢的类型，物有所值。</t>
  </si>
  <si>
    <t>收到 货物已经收到不知道ise是否会安装</t>
  </si>
  <si>
    <t>值得购买的包 包很不错，一点异味都没有，空间大，出去玩能装很多东西</t>
  </si>
  <si>
    <t>尺码合适 尺码合适、本人身高172cm、68kg，29比较适合。</t>
  </si>
  <si>
    <t>大小合适 便宜划算做工还好</t>
  </si>
  <si>
    <t>挺好 合适，便宜。1米68，80公斤 亚马逊还是很可信的。</t>
  </si>
  <si>
    <t>为信仰充值 盒子稍稍有点旧，东西肯定是正品行货，做工一般般，音质谁用谁知道，正在煲机中。 如果你喜欢摇滚，不要犹豫，入大马勺肯定没错。</t>
  </si>
  <si>
    <t>宽松版，不错 不错，179,85kg，应该买36*32，34的有点长了</t>
  </si>
  <si>
    <t>非常给力的硬盘 比京东999的时候略微便宜，到手测试后发现声音比国行的还小。  给力。 自己的晒单在这里： [……]</t>
  </si>
  <si>
    <t>不错，速度快 之前买了几次海外购收到的的物品包装都压烂了，里面的东西也是脏的，和客服反应了两次，这次买的包装很好，装在盒子里，外面还有塑料袋，速度也提前了，非常满意</t>
  </si>
  <si>
    <t>满意 衣服还可以，孩子穿稍微大了一点，也能穿。</t>
  </si>
  <si>
    <t>沉 质量挺好的，就是确实和说的一样会有一点磨脚后，但是穿比较长的袜子就好了，好沉，虽然确实很喜欢。</t>
  </si>
  <si>
    <t>推荐 175 74公斤 15.5合适！袖长自己量下靠谱</t>
  </si>
  <si>
    <t>五星 设计合理，非常实用，质量很好，中国制造。</t>
  </si>
  <si>
    <t>要买就买质量好的。 前年去日本旅游帮小孩买过。东西好、做工精、质量硬。退休了常常外出，这次自己也买过。喜欢💕。</t>
  </si>
  <si>
    <t>满意的鞋子 很满意，价格不错质量很好穿起来舒服！</t>
  </si>
  <si>
    <t>非常好 158cm，50kg，非常合适。很满意，收藏了断时间，400左右的时候入手，超值。德亚的东西比美亚靠谱</t>
  </si>
  <si>
    <t>还不错 随便试了试，别嫌弃袜子，正常鞋码我是43/44都可以，买的44的，稍微大一丢丢丢，还不错</t>
  </si>
  <si>
    <t>品质如一 12年第一次买这个产品，孩子很喜欢，现在二胎了顺便卖点给大的当零食吃非常不错</t>
  </si>
  <si>
    <t>煮水一股塑料的味道 煮水一股塑料的味道，不敢喝，不推荐购买，后悔买了这个…</t>
  </si>
  <si>
    <t>颜色比图片深，袖子比较长，比劳伦拉夫的M号小 颜色比图片深，袖子比较长，比劳伦拉夫的M号小</t>
  </si>
  <si>
    <t>运输 产品看起来不错，还没有安装。看上去冷热水管比较短，不知道能不能装上。快件到国内由申通快递转运，收到时发现包装已经被打开，见图。还好东西没掉。</t>
  </si>
  <si>
    <t>为何卖临期保健品，不事先告知消费者？ 又在卖临期保健品，2018年11月收到的保健品，2019年8月就到保质期了，为何这样的临期保健品，卖家不事先告知消费者？？？差评！</t>
  </si>
  <si>
    <t>材质不好，没有吊牌，可能是假的 材质不好，和国内专柜不一样，寄过来也没有吊牌，可能是假的</t>
  </si>
  <si>
    <t>不是原装的。 与图片不符，并且刀头也没有弹簧，肯定不是原装的，感到受骗了，但是能用。</t>
  </si>
  <si>
    <t>白色透明 裤腿的底端的一圈封口比较磨，抬腿动作会不够顺，而拉伸裤子，但是面料弹性足够，不会感觉紧！</t>
  </si>
  <si>
    <t>不错 大小合适 平常37.5/38，选了6.5w，大小适中稍宽，穿上冬天袜子刚刚好。耗时一周收到广州。到手价800左右，正常价，活动期间应该能有更优惠的价格。中国制造，比实体店便宜个两三百。</t>
  </si>
  <si>
    <t>刷毛很少 刷毛很少，也比较硬，适合Lv4以上的电动牙刷使用者</t>
  </si>
  <si>
    <t>下围偏小 30d，下围正常，杯罩感觉略小</t>
  </si>
  <si>
    <t>对牙齿跟牙龈健康有所改善 一开始以为可以连手机App的，结果连老半天没连上，原来这款是没用这个功能，有点小失望，一开始刷牙有点不习惯，总觉得刷头太大，刷到牙龈上有点疼，后面使用久了，这个症状也就慢慢消失了，牙齿白了点，吃酸的东西也没有牙齿受不了那种情况，还是挺不错的牙刷，我觉得还是要买个转换器插座，充电底座一直充不满点，我一直是用旅行装的在充电，充电头是用苹果手机的充电器</t>
  </si>
  <si>
    <t>值得拥有，质量很好！ 大牌驾到，值得拥有，质量很好，性价比很高！</t>
  </si>
  <si>
    <t>为什么需要标题？ 挺好看，平时穿运动鞋38码，这个买38码可以穿厚袜子</t>
  </si>
  <si>
    <t>质量好，做工精致 内衣质量不错，就是号买小了</t>
  </si>
  <si>
    <t>很舒适 标准内衣，舒适</t>
  </si>
  <si>
    <t>推荐买奶瓶 质量特别好，买了两个，价格比天猫便宜太多了，早就应该在亚马逊买东西了，以后还会常来的。</t>
  </si>
  <si>
    <t>满意 感觉还是不错的，大小合适</t>
  </si>
  <si>
    <t>好东西 我喜欢，重，不粘，我喜欢</t>
  </si>
  <si>
    <t>很好，价格平易 很好，价格平易，已用上</t>
  </si>
  <si>
    <t>皮带柔软、漂亮、静音 一直想买一条皮质柔软舒适的皮带，在亚马逊上看到这条，非常喜欢。到手后，系在最后一扣刚好，皮质柔软，真正的头层牛皮，人为的掩盖修饰少，皮带扣处用牛皮包了一圈，使在穿系过程中不会发出叮叮当当的声音，完全静音。价格方面，当时买的时候价格为241.44元，加上进口关税28.73元，合计270.17元，现在价格195.71元，降了45元多。</t>
  </si>
  <si>
    <t>不错的选择 不错的鞋，穿上起脚，舒适</t>
  </si>
  <si>
    <t>舒服 挺舒服的 穿习惯这种 以前内衣都byebye啦</t>
  </si>
  <si>
    <t>很不错 身高160厘米，体重56公斤，S码很宽松，感觉在小一码会更合适。</t>
  </si>
  <si>
    <t>肥大 尺码很大，买的时候注意，170，135斤S码还稍微有些肥</t>
  </si>
  <si>
    <t>实用 非常实用！</t>
  </si>
  <si>
    <t>40 下单7UK，给发得8M，出人意料的合适……本人40脚，建议购买8或者7.5</t>
  </si>
  <si>
    <t>非常合身 g-star版型一如既往的好</t>
  </si>
  <si>
    <t>不是羽绒服，是棉衣 衣服挺不错的 实惠保暖</t>
  </si>
  <si>
    <t>很可爱质量很不错的一款牙胶 非常的可爱宝贝很喜欢手感很好质量也不错啊</t>
  </si>
  <si>
    <t>满意 以前国内专柜买38，这次纠结了很久买了5.5，穿起来也很合适。到手后穿去重庆暴走了几天，鞋子很舒服一点都不累。</t>
  </si>
  <si>
    <t>非常好的氨基酸奶粉 解决了孩子牛奶过敏问题 非常好的一款奶粉。孩子牛奶、鸡蛋、小麦过敏。总算找到了这款氨基酸奶粉。奶粉大人喝起来很难喝，酸酸的很怪。但是孩子爱喝，完全不排斥。每天晚上睡觉前都能喝150-200ml</t>
  </si>
  <si>
    <t>鞋型很好！ 43买10正好。鞋子上脚非常棒，鞋型很好，显修长，包裹性很好。关键这个颜色好看。准备再买一双同款的换着穿。</t>
  </si>
  <si>
    <t>味道很重 附赠的小搅拌杯有很重的塑胶味道，洗了好几遍也不顶用，浪费食材。主力的那个杯子还不错。</t>
  </si>
  <si>
    <t>鞋子有问题，服务不错 发过来的鞋子有问题，表面划伤，鞋底和鞋面胶粘的不好，感觉像残次品，好在亚马逊服务不错，经过多次沟通，问题解决了</t>
  </si>
  <si>
    <t>鞋垫呢？ 我就是看了说有鞋垫才买的，哪有？</t>
  </si>
  <si>
    <t>是美国亚马逊的退货中心寄来的货 1. 没有美亚打印的购买小票 2.外箱写着商品名称OPTICAL READER,价格294.48美元，根本和我购买的硬盘不符合 3.最最不可忍受的是外箱写着寄出地址是美亚的AMAZON.COM RETURNS CENTER(美亚退货中心),所以说这是别人退货的?又寄到中国来了? 4.联系了中亚客服，说已知悉，会给我答复，过去了4天，没有人联系过我 5.中亚的客服越来越烂，海外购价格越来越高</t>
  </si>
  <si>
    <t>最差劲的棉做的衣服 比国内大一码，非常糙的棉，很差劲</t>
  </si>
  <si>
    <t>垃圾 用了很长时间才记得评论，其实买回来的时候就已经存在这些问题，手表不能秒针不能走正，一按指南针功能，秒针跳跑，一跳就跳四五秒，吓死人，项目到在亚马逊也能买到这样的货品，失望！！！</t>
  </si>
  <si>
    <t>正常大小 这个是多米尼亚产的，做工一般，还是中国产的质量最好。和正常皮鞋一般大小，千万别以为这靴子偏大。</t>
  </si>
  <si>
    <t>橡胶塞味道大 杯子保温效果好，但是装入热水后杯盖橡胶塞味道很大</t>
  </si>
  <si>
    <t>粘毛严重 裤子版型不错，挺好看的，就是有一缺点：太会粘毛了，每次洗完晒干后整天裤子上全是白白的碎屑，要用胶布清理老半天，搞得都敢经常穿</t>
  </si>
  <si>
    <t>没有标题 德国发货。国内转顺丰，比预期快了一周。贼棒。体验了prime，免邮费到手850不到，比国内便宜太多。匡威1970s穿36.5，af1也是36.5，nike跑步鞋38的我，正常37的脚，uk4.5挺宽松，还可以偷偷塞内增高鞋垫。上脚很帅，但是……一直祈祷希望是孟加拉国的，结果是多米尼加的，唉，钢印有些浅，这点不太满意。</t>
  </si>
  <si>
    <t>值得购买 值得购买，物美价廉。</t>
  </si>
  <si>
    <t>号码一定要选对，亚马逊退货成本有点高 衣服质量很好，双层中间还夹了一层薄薄的丝绵，国外码偏大一号，选M号就可以了，大了一号只能送家人穿了</t>
  </si>
  <si>
    <t>很满意 颜值超高啊，和TOTO那套比，更喜欢这套，还没有安装，不知道花洒好不好用</t>
  </si>
  <si>
    <t>价廉物美 崔玉涛推荐的益生菌，还挺好使的，应该是正品，还比较便宜。</t>
  </si>
  <si>
    <t>很好 普通7天就到了，比预期的快，马来西亚产，插到电脑上速度还可以。自己配了个包，完美</t>
  </si>
  <si>
    <t>挺好。暖和，有点捂脚 平时的皮鞋是40码，clark的是UK6。这个US7M长度完全合适，宽度略微欠缺，建议最好选2E。</t>
  </si>
  <si>
    <t>很赞 很舒服 皮软</t>
  </si>
  <si>
    <t>加强在包装，这可是国际物流呀 包装太简单了！还好没有坏，朋友推荐买的，据说很有用，还没到添加辅食的时候，囤货中</t>
  </si>
  <si>
    <t>大中小三个 可以随着宝宝的长大换大碗</t>
  </si>
  <si>
    <t>面料和样式都不错 这条裤子蛮不错的，裤子的面料有点弹性样式比较修身，尺寸也比较正确，就是防水性能不知如何、没有试过。美亚海外购的物流速度也很快，一个星期就到了。推荐</t>
  </si>
  <si>
    <t>价格优惠 搞活动买的，价格优惠，家里囤的可以用几年了</t>
  </si>
  <si>
    <t>价格便宜 不错的裤子，价格很便宜。</t>
  </si>
  <si>
    <t>很好保真和我日本药妆店买的一样 这次买的使用感非常好，感觉特别柔软，立马再囤点</t>
  </si>
  <si>
    <t>真不错 这款产品比预期的要好，薄厚适宜，颜色漂亮，比较喜欢</t>
  </si>
  <si>
    <t>都很好 都很好</t>
  </si>
  <si>
    <t>牙刷 刷头有点宽，但是牙刷毛挺柔软的，挺好用的</t>
  </si>
  <si>
    <t>颜值很高 粉粉的很好看，怕摔了自己装了保护套</t>
  </si>
  <si>
    <t>大小合适 身高172，体重68公斤，衣服合身</t>
  </si>
  <si>
    <t>好! 很好用，玻璃厚实，没有异味。配套的是ss奶嘴，宝宝容易吸。</t>
  </si>
  <si>
    <t>值得购买 做工特别好，用这个机器做咖啡超级方便，从德国运到北京用了7天，神速！就是买完了还没到货就降价了……最低价格应该是340人民币左右。</t>
  </si>
  <si>
    <t>满意 奶瓶还是日本的质量好</t>
  </si>
  <si>
    <t>物有所值 总的来说，物有所值，非常好</t>
  </si>
  <si>
    <t>尺寸 第一次快递袋子里只有个纸片，爽快的退了，又下单了，到了，正好😊</t>
  </si>
  <si>
    <t>不会买了，书还可以 和街边卖的20的差不多，掉色，23天才到。和系统自己提示的时间晚了三天。以后不会买了，在这里买书还是很不错的</t>
  </si>
  <si>
    <t>不好 产品设计问题，袖子又长又瘦，身长不够，很难选对尺寸</t>
  </si>
  <si>
    <t>一分钱一分货 M码，穿着者170cm、65kg，看评论后选的M码，算是比较合适，稍稍偏长一点点。 整体来说，布料偏软，松松垮垮，估计不耐穿。</t>
  </si>
  <si>
    <t>漏件 买回家后一直没用，也没有拆开，昨晚打开居然少了一把刮刀，大家购买的话一定要好好检查。</t>
  </si>
  <si>
    <t>质量令人失望的champion champion超高人气不知是从何而来的，质量令人失望，袜子脱下后满脚黑色的碎絮，可以肯定质量是绝对不过关的，不建议购入。</t>
  </si>
  <si>
    <t>便宜果然没好货  一句话垃圾 刚洗完澡穿上去一身的线头，我又要重洗。衣服尺码大的要死，客服推荐的中码还是大了很多。 直接丢垃圾桶。</t>
  </si>
  <si>
    <t>Ck内衣 面料手感质量都不错，就喜欢这种设计简单的款，穿上身很舒适</t>
  </si>
  <si>
    <t>长了点 裤腰还行，就是裤腿长了点，薄，如果腿粗的还是不要买这款。还有如果比较雄伟或者容易升旗的，建议不要买这种面料的裤子，很容易被人看到。</t>
  </si>
  <si>
    <t>不如预期的好，颜色与图片差别大 &lt;div id="video-block-R4STTM1Y7UHOO" class="a-section a-spacing-small a-spacing-top-mini video-block"&gt;&lt;/div&gt;&lt;input type="hidden" name="" value="https://images-cn.ssl-images-amazon.com/images/I/612EM79utpS.mp4" class="video-url"&gt;&lt;input type="hidden" name="" value="https://images-cn.ssl-images-amazon.com/images/I/916S1H0VqIS.png" class="video-slate-img-url"&gt;&amp;nbsp;颜色和展示的差太多了！这款鞋尺寸稍偏大，鞋型前部较宽松，颜色不如想像中好看，透气性还不错，鞋垫是纤维织物面泡沫质</t>
  </si>
  <si>
    <t>希捷4T移动银盘 红色 价格优惠，就是没有保修。厚度稍厚，应该超过1CM，没有办法放进笔记本电脑使用，实际可用容量3.6T左右。红色有点骚，HD tunePro测速读取最快140M/S+,慢的话94M/S+，读平均138M/S以上，不知这速度如何？</t>
  </si>
  <si>
    <t>不是为了品牌，谁穿这个？ 抛开品牌不谈 1.同价位单从面料来说，相比的大多数常规品牌衣服要差。 2.掉色非常严重 但我就是为了这个牌子才买的啊😳😳😳</t>
  </si>
  <si>
    <t>好 小巧方便！附带两个小杯子和勺子！110和220两种电压可调，在壶底有调节开关，默认220V</t>
  </si>
  <si>
    <t>合身 身高170cm，体重67kg，L码正好。稍微有点薄，不碍事，都是为了胸口的logo来的</t>
  </si>
  <si>
    <t>好评 保温效果一流，一键开关单手都无问题。灰色不建议购买，手印收集器，和手机屏幕一样。还不如买1.4L的。</t>
  </si>
  <si>
    <t>很舒适 很舒适，和没穿一样！</t>
  </si>
  <si>
    <t>好货得好评 这个价位的手表算不错了，你值得拥有！</t>
  </si>
  <si>
    <t>清洗有点问题 清洗完以后，去垢灯常亮，为啥</t>
  </si>
  <si>
    <t>不起球 本人女  160  60KG  偏长  但是个人很喜欢  不起球</t>
  </si>
  <si>
    <t>不错不错 果然要买大一号，重量轻，鞋底软，就是适合瘦脚的穿，透气会比运动鞋差。总体可以。</t>
  </si>
  <si>
    <t>下手买吧 相信日本产的东西。</t>
  </si>
  <si>
    <t>不到500 黑五之后，一块一块滴降价。挺大的一个，声音也不小。效果呢有待检验</t>
  </si>
  <si>
    <t>法国眼霜 吸收很好，保湿不搓泥，还在继续用当中</t>
  </si>
  <si>
    <t>奶泡机坏了咋办 很开心因为是bug价买的，后悔没多买几台。 颜值真的高，用起来也很方便！唯一不太好的地方就是奶泡机果然像网上说的一样没用几次就坏了。前两次真的能打出很细腻丰富的奶泡，后来就只有热奶的功能了</t>
  </si>
  <si>
    <t>很好看 平时阿迪穿36码，这个5.5码穿着有些宽松，不过上脚很好看，系紧点就可以了</t>
  </si>
  <si>
    <t>好评 真的很不错，推荐</t>
  </si>
  <si>
    <t>包装 很漂亮，很沉，没有掉漆和气眼。只在原包装外面加了一层薄牛皮纸，原包装里面也没有任何缓冲材料，好在没有磕坏，这种包装老外真能忍。</t>
  </si>
  <si>
    <t>还行 173/70kg，手臂有些紧</t>
  </si>
  <si>
    <t>产品不错 洗的很干净</t>
  </si>
  <si>
    <t>nice 质量真好</t>
  </si>
  <si>
    <t>很好用 并没有容易漏啊。说明书写了这个袋子最多装180毫升，不能装太多了。</t>
  </si>
  <si>
    <t>推荐 正品无疑，鞋子很好，轻便属实，达到运动鞋水平，样子比运动鞋好看多了，鞋码比运动鞋大约一码</t>
  </si>
  <si>
    <t>快递很快，表面不耐磨 八天送到，配送比某东快了不止一个档位。手表外形很酷，看着很结实，调试几下以后就可以用了。比较担心表面，因为是树脂的，所以可能会不耐磨</t>
  </si>
  <si>
    <t>很好 密封很好 可以拆开清洗，没有气味</t>
  </si>
  <si>
    <t>很一般 就是条篮球裤，透气还行</t>
  </si>
  <si>
    <t>运输太差了 东西挺好，运输太暴力！没有一点缓冲措施，直接盒子就来了，都烂了，太差了</t>
  </si>
  <si>
    <t>良心真实评价 包装绝对要差评，收到时包装都是半开，而且泡沫纸都不包一层，感觉很幸运笔收到后还能用，这一路从美国颠簸过来都没坏，写起来还可以挺顺滑的，就是有点粗，出水量賊大，早知道写起来这么粗我就不买这款了。如果包装能好点包两层泡沫纸再密封一下我就给五星</t>
  </si>
  <si>
    <t>不保暖 真的不暖和！呵呵，都不如50元的加绒保暖裤暖和，</t>
  </si>
  <si>
    <t>性价比最低耳机 重，佩戴极不舒服，压头，音质普通，很后悔，线倒是很多</t>
  </si>
  <si>
    <t>无 明明图片上看起来是软皮，拿回来却是硬皮，不过也很喜欢，但是不知道为什么走路咯吱咯吱响</t>
  </si>
  <si>
    <t>还可以，但是偏硬 自家软管配自家花洒不会出现因为花洒多个垫片无法完全拧合差2毫米的问题。 这个软管相比传统包螺纹铝皮的软管还是偏硬的，安装上以后会保持一个比较僵硬的曲线，但不会影响使用。 好处是比螺纹软管好清理，并且不会出现螺纹外包软管拿下来就自行缠绕成麻花状的问题。 软管接入水阀门的地方给了两个垫片，不漏水的话只用一个就好，垫片预先拿几十度热水泡一下会有助于安装。</t>
  </si>
  <si>
    <t>按照评论买的小一号的，正好 Levi's穿38/32&amp;nbsp;的，这个买36/32的，腰围正好，裤长稍短</t>
  </si>
  <si>
    <t>挺好的 事实上我也不知道好不好，帮别人买的， 我也没有看过， 但是听买的人说 很不错</t>
  </si>
  <si>
    <t>除了重量意外都很满意 功能很赞，吹风机里的战斗机，只是重量稍大，女士单手使用时间长了稍感吃力。</t>
  </si>
  <si>
    <t>欧版偏大半码至一码 此款健乐士休闲鞋完美至极、做工一点瑕疵都没有、是本人最理想的海淘货品。意大利的品牌中国代加工，做工生产堪称完美。不愧是世界的大品牌、这样的好货品希望亚马逊经常推出与客户分享。这款鞋属于欧版鞋、大家选购的时候一定要选小一码或一码半。话不多说晒图为证。</t>
  </si>
  <si>
    <t>不知道舒适度怎么样 因为一直穿ecco的鞋子 所以这次买的尺码很合适 平时都是穿39码的 这次买的也是 希望对大家有帮助</t>
  </si>
  <si>
    <t>可选的焖烧杯 特别好，晚上8点放入了开水，早上8点还是烫嘴的，保温效果不错，其他的功能还没试</t>
  </si>
  <si>
    <t>很好 质量很好，很有手感，很喜欢。</t>
  </si>
  <si>
    <t>丰程快递？包裹有破损被拆痕迹 收到包裹时纸箱有几处破洞，封口标签被整齐划开，不知是不是丰程快递所为...建议国内段不使用这样的快递公司。东西很好。</t>
  </si>
  <si>
    <t>不错 开始用了 挺好的 只是不知道比六个月的到底能大多少</t>
  </si>
  <si>
    <t>非常合适 选大半码能穿厚袜子 非常合适 最喜欢从亚马逊买鞋了 价格便宜还保证正品 会一直来的</t>
  </si>
  <si>
    <t>没有 秋天适合最好</t>
  </si>
  <si>
    <t>发货错误 给我送了个dt880，盒子上贴个dt990的标签，我就呵呵了</t>
  </si>
  <si>
    <t>很喜欢 衣服大小挺合适的，活动购买合算，以后再来</t>
  </si>
  <si>
    <t>很顺滑，很好写。 说实话，我下单后才看评论，看到大家的评价毅然申请退货。收到货后还是好奇打开看看，发现原来这就是那种墨水芯笔，可以买替换芯。我收到的是一支纯蓝笔芯，试用了下，笔芯很好写啊，很顺滑，只是没有签字笔细。于是又取消退货留下了。</t>
  </si>
  <si>
    <t>好 很好，原来买的150ml的，寄过来包装都很好</t>
  </si>
  <si>
    <t>穿过最舒服的牛仔裤 非常喜欢！这是我穿过最舒服的牛仔裤，可能因为有弹性，感觉像穿秋裤一样，可以毫无压力地下蹲和跑步。和100来块钱的牛仔裤还是有区别，明显高档一些。</t>
  </si>
  <si>
    <t>好看 舒适 码正 非常好看舒适的一双小皮鞋。鞋子是窄长的，虽然鞋的后半部分是窄的，但是前面又比较宽，不会挤脚。我的脚不宽不窄，平常uk5 us7.5，这双码很正，脚趾前也稍微有点空余，所以个人认为只要不是胖脚应该不用买大。</t>
  </si>
  <si>
    <t>好 偏大，穿着舒适，性价比高</t>
  </si>
  <si>
    <t>看着不错 不懂这种和牙刷柄上的有啥区别</t>
  </si>
  <si>
    <t>三荣TOTO 真的很好用就是头子出水太节水了</t>
  </si>
  <si>
    <t>超赞的安抚奶嘴 这个奶嘴 软软的 一体的 宝宝很喜欢 用它来安抚宝宝 真的太棒了</t>
  </si>
  <si>
    <t>东西不错 质量看起来可以，由于皮硬加上偏窄，导致穿久了后脚跟疼，自己换了薄鞋垫，好了很多，总体满意</t>
  </si>
  <si>
    <t>比较满意的 质量其实不错。就是确实过大，穿着不跟脚，而且较沉。可能要磨合一段时间吧。但确实帅的 穿着好看。所以小伙伴要考虑尺码再下单哦。还有就是内部空间过肥。</t>
  </si>
  <si>
    <t>不满意 裤头大，和修身版型描述不符，掉色严重，LP非常不满，觉得这泊来品也不过如此</t>
  </si>
  <si>
    <t>一般般 一般吧。穿起来挤大母脚指头。码数偏大一个码</t>
  </si>
  <si>
    <t>很一般 很一般</t>
  </si>
  <si>
    <t>为什么颜色是选项不是中文？ 第一次在这海外购，购买的袜子图片看着是黑色，商品名称都是中文，颜色却是日文，照图选的，寄来是咖色！退货还特麻烦！很不满意！</t>
  </si>
  <si>
    <t>海淘售后服务没有 单键操控还是不方便。一个多月无法充电，竟然找不到官方维修和售后服务！</t>
  </si>
  <si>
    <t>缩水盘！！ 本想海外购会有保障，没想到竟然是缩水盘！！！太失望了</t>
  </si>
  <si>
    <t>腰围93，选择L码略宽松一点 本人腰围93厘米，选择L号尺寸适中，有一点宽松。喜欢正合适的可以选择M号应该也没问题。这个做工就要见仁见智了，接缝处见图片，不知道是不是假的，看商标怎么是韩版的。</t>
  </si>
  <si>
    <t>还行 基本款式，可能国外的尺寸有点大，也有些长</t>
  </si>
  <si>
    <t>大小 看了一些评论才选择M，本人172，体重120，但是M明显有些紧，看来还是要买L才行啊。对了，质量很好，比美版好很多。</t>
  </si>
  <si>
    <t>总体很值得 布料非常舒服。只是略微肥了一点，总体来说挺好的！</t>
  </si>
  <si>
    <t>略小 稍微紧了点儿，再大一号就好了</t>
  </si>
  <si>
    <t>以开封了不敢食用 东西收到了但是开过封了。不敢喝客服以帮我办理退款手续了</t>
  </si>
  <si>
    <t>很好 很不错</t>
  </si>
  <si>
    <t>nb 好用</t>
  </si>
  <si>
    <t>111 质量好，长短正合适！</t>
  </si>
  <si>
    <t>水壶 保温性能好，做工完美，品质棒棒滴</t>
  </si>
  <si>
    <t>很好的选择 非常适合，YY的鞋包裹性很好，轻，很舒适。</t>
  </si>
  <si>
    <t>舒适 胸92cm，大号合适，是我穿过的最舒适的文胸，以后还有可能购买，领型适合某些V型领的衣服，聚拢效果好又不觉得不舒适</t>
  </si>
  <si>
    <t>剃刀 非常好，刀片锋利剃刀精致</t>
  </si>
  <si>
    <t>双传感器，超大表盘，适合型男！ 卡西欧Casio Men's SGW-100-2BCF 男款双传感器 运动石英表 ，这是一款来自卡西欧的运动手表，采用树脂橡胶表带，结实耐用。内置日本石英机芯，时间精准，基本不会出现时间误差，电池电量长达10年。手表表盘采用LC模拟显示器的时间显示方式，此外还有日期和星期显示。具备数字罗盘和温度计双重感应器，较适合户外活动佩戴，另外还有世界时间、EL背光、闹钟、倒数计时器、秒表等功能，也是比较全面。手表的防水深度是100米，表径51.5mm，超大表盘，适合型男！</t>
  </si>
  <si>
    <t>真的不错，低温不沾 开锅成功煎的饺子，基本不沾，受热均匀，做东西好吃，锅份量够足锻炼腕力不错的选择。漂洋过海受了一点轻伤。值得拥有</t>
  </si>
  <si>
    <t>噪音滴手感棒。 好用，噪音低，手感轻柔，不暴力，赞！</t>
  </si>
  <si>
    <t>莱斯硬盘 外观很拉风（别人评论），用了很长时间很可靠。就是价格贵。</t>
  </si>
  <si>
    <t>Good 此款应该是目前清洁力最高的洗碗块了吧，洗涤效果极好。相比国内同类产品，性价比也算不错。</t>
  </si>
  <si>
    <t>均衡 可以的，换线+功放低频有输出，大力出奇迹，够了</t>
  </si>
  <si>
    <t>物美价廉 东西挺好的，保质期到2020年10月，价格适中。</t>
  </si>
  <si>
    <t>满意！ 舒适，好穿！</t>
  </si>
  <si>
    <t>挺喜欢的 176，90kgL正好，买了两次，一开始买黑的发过来灰的，话说灰的也很好看就留下了，再买了一件黑的</t>
  </si>
  <si>
    <t>个人很喜欢，值得推荐！ 下单第二天就到，很给力。耳机设计很人性化，松紧可自动调节的，音色比我以前买的入门级耳机好很多，目前正在煲机中。</t>
  </si>
  <si>
    <t>不错 200颗，美版善存，比中国便宜好多</t>
  </si>
  <si>
    <t>很好用 好，非常好，用了马上见效</t>
  </si>
  <si>
    <t>好清洗的奶瓶 这个奶瓶孩子接受度很高。清洗非常方便。而且价格非常合适。比代购要便宜！</t>
  </si>
  <si>
    <t>提升老计算机性能最方便的部件 老Mac Pro不舍得完全报废，正好老Mac Pro还有一个硬盘位，也正好系统盘是1TB的，把原系统盘的数据拷贝到这个SSD后，系统运行速度从以前的几乎不可忍受到完全可以日用的水平；又可以投入服务了！</t>
  </si>
  <si>
    <t>过于宽松 注意尺码，欧美尺寸偏大</t>
  </si>
  <si>
    <t>总体一般 面料、做工、舒适度一般，和价格是匹配的，相当于全价买了一件佐丹奴。</t>
  </si>
  <si>
    <t>裤子质量 裤子总体还行，但是太硬了，不舒服。</t>
  </si>
  <si>
    <t>580多买的，再买就涨钱…… 580多买的，再买就涨钱……发现好几次了</t>
  </si>
  <si>
    <t>无售后 奶粉盒用热水消毒变形了！！！！根本没有售后跟买配件的地方！机器都没打开过！购买须谨慎！！</t>
  </si>
  <si>
    <t>很一般 面料不好，穿上不舒服</t>
  </si>
  <si>
    <t>坑人卖假货，客服态度恶劣 先说下流程，本打算买一款西铁城太阳能手表，看中款式后搜索比价后发现有说德国海淘很便宜，来亚马逊看一下是便宜很多，担心假货百度了也打电话问了亚马逊客服。收到的意见是标示亚马逊自营发货的不可能假货，如果怀疑可以找西铁城官方鉴定，出鉴定书售后。 8月23号买的，物流信息是荷兰阿姆斯特丹发货易客满，9月7号收到的。打开一看有保障书，但是保修卡一面是空白的，没有出厂信息，也没用价格小票或者发票之类。咨询西铁城客服说要寄到北京五星维修中心去鉴定，收鉴定费和运费。没办法百度了一下亚马逊假货和西铁城假货之后还是比较担心，寄过去西铁城维修中心。 经过一系列的沟通后，西铁城那边给的正式回复是无出售来源信息、价格证明和出厂信息，不能认为是西铁城售出产品，没有鉴定资格，不能做鉴定。没办法打电话给亚马逊客服，第一个打给海淘负责客服，听我说完情况后直接挂我电话，第二次打给国内网站客服，说明问题后直接告诉我，海淘产品就是这样3无的，跟黑货和私货一样没有任何信息，反正亚马逊就是正品，鉴定是不可能的，西铁城不受理是不管的，反正亚马逊就是从西铁城直接进货过来的。（然而西铁城根本不承认这货是从西铁城流出的）要售后的话，要不自己去亚马逊德国官网申请，要不就选择30天内无条件退货，不影响二次销售情况下自己付运费。 首先不说我折腾来折腾去在这件事上花的精力，寄去西铁城北京来回邮费68（顺丰+保价，西铁城只接收顺丰等高价快递），在算上寄回荷兰邮费的损耗，我这口气就出不去，头一次在亚马逊海淘，售前客服态度不错使劲骗，售后客服挂电话还爱要不要。这么大一公司这样运营，不怕告吗？这个事，没完！</t>
  </si>
  <si>
    <t>好看 不穿袜子太磨脚了，一天磨出来五个泡</t>
  </si>
  <si>
    <t>也就那样 跟国内买到的不到100多不到200的牛仔裤差不多，估计是lee里比较低端或者劳保的系列吧。高腰，宽裆对前列腺比较友好，裤腿肥，还是建议大家买slim fit版本。 已经扔掉了……实在失望</t>
  </si>
  <si>
    <t>鞋子超级舒服 老公说，这双鞋超级舒服，便宜又舒服，划算！</t>
  </si>
  <si>
    <t>质量可以，尺寸偏大 质量可以，但是尺码偏大，我穿33的买的32的还是有点大，买31的估计差不多</t>
  </si>
  <si>
    <t>手机不易推啊 外观小巧，佩戴舒适，侧睡没问题，氛围感很好，均衡杂食，就是有点吃推力，后期上个平衡线</t>
  </si>
  <si>
    <t>还不错 六年前买过同款  这次送人还是选它</t>
  </si>
  <si>
    <t>业余爱好者 还没有用，试了试，根绝很好</t>
  </si>
  <si>
    <t>好极了 正品，保温杯效果不错</t>
  </si>
  <si>
    <t>185cm80kg选了L码正好 185cm80kg选了L码正好，唯一一个脖子那比较紧，但还可以。</t>
  </si>
  <si>
    <t>满意一百分 真心满意的鞋子，红色很好看，脚长230买5Mus很合适，拍下一星期到货，满意一百分！</t>
  </si>
  <si>
    <t>超值，无论是价格还是颜值 买来做视频配音的，不要隔得太近容易喷，我没买防喷罩，15cm的距离完全不会喷。很细碎的声音都能录到，所以尽量选择环境安静的时候录，即插即用，电子小白的福音，本来想买雪白的，但银色价格划算就选了这个颜色，开箱后十分开心，银色耐看，并且比图片更亮白更好看，底座坚刚，放桌上很稳固啊。唯一的不足，换模式的转扭不牢，不过那个是可以按回去的</t>
  </si>
  <si>
    <t>价廉物美 比较轻薄的硬壳，适合春夏当雨衣穿，关键价格也便宜，还不错</t>
  </si>
  <si>
    <t>非常好的产品 非常好的价格，非常好的质量。</t>
  </si>
  <si>
    <t>质量很好 质量真的很好，没有像评论里说的那么差劲， 洗完之后可能有点掉毛毛，s码对于我来说上面都正好，下摆螺纹收口处有些紧，其他的都很满意！再说一遍质量真的超级好！不到二百块钱买这个卫衣真的是值到爆！</t>
  </si>
  <si>
    <t>软弹 很漂亮，德国的精致体现的很充分，钢笔尖软弹，比日本笔金尖都软，但是，个人感觉有一定书法功底的人用起来会很爽，但是像我这种谈不上会书法的人来说，真的不好控制，等我先拿写乐14K好好练练，练好后再用鸟笔爽吧！</t>
  </si>
  <si>
    <t>耳机不错，性价比高 比某东和某宝便宜，音质很好，用来做编曲的，高中低音频比较平均，总体不错。</t>
  </si>
  <si>
    <t>很好的耳机 德国原产，做工和包装都很完美。</t>
  </si>
  <si>
    <t>物有所值 质量非常好，特别漂亮，包装很好，愉快的购物</t>
  </si>
  <si>
    <t>赞 颜值很高，很小巧，看上去很不错</t>
  </si>
  <si>
    <t>音质好 物超所值，音质也非常好，值得拥有</t>
  </si>
  <si>
    <t>做工精致 喜欢，不过折扣力度和平时比也没有太大</t>
  </si>
  <si>
    <t>嗯 质感很好。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</si>
  <si>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很漂亮的一款篮球鞋 孩子穿上之后还挺合适的。上次也买过一款美津浓的篮球鞋。鞋子的皮面有稍许气味，需要在阳台上透透气。</t>
  </si>
  <si>
    <t>物美价廉 专柜试好了来买的，便宜太多了</t>
  </si>
  <si>
    <t>棒 东西很好，做工棒不愧是大牌，上脚很舒适。平时穿36.5买的4/4.5刚刚合适。</t>
  </si>
  <si>
    <t>不是安全鞋，同尺码比在国外买的大 总体来说不是很满意主要原因如下： 1.因为要在工地现场使用，而且在国内尚未发现哪家CAT专卖店卖安全鞋，所以特地到亚马逊按照安全鞋去搜索的，结果货到了并不是安全鞋，没有防砸钢板，鞋子厚度也不够，适合春天秋天穿，达不到应有的防护标准。 2.相对比以前在国外购买的，相同尺码本次购买的偏大，大概大了半码左右。 3.鞋垫是不可拿出样式的，不方便清洗、更换。 4.时间上倒是可以接受，11月26日订购，12月10日到货。 5.鞋子是越南产，质量上相对比上回在国外买到的中国产外销的差了一些，尤其在手感上差别很大。 6.鞋舌部分是独立的，并非和两侧连接到一起的，也就意味着防水防尘性能较差，完全和普通的鞋子没区别。 总的来说，作为一双工装样式的普通鞋，我觉得还不错，但是不知道为什么会分到安全鞋的区域里，作为一双安全鞋，明显不及格，突然觉得对亚马逊还是很失望的。</t>
  </si>
  <si>
    <t>长短大小合适，但是版型太大 长短大小合适，但是裤腿太大，不适合亚洲人吗？</t>
  </si>
  <si>
    <t>不喜欢 买的2-7岁 我女儿才22个月，洗完穿上膝盖处都不到，也算是满坑的了。包装很简陋，居然这种东西大家都能说很好很好，无法理解</t>
  </si>
  <si>
    <t>有十几秒会没有反应 不好，要是把文件直接拖进电脑或者HDD  而不是复制粘贴，就会有大概十几秒的时间是没有反应的，不知道有没有人遇到，其他还好</t>
  </si>
  <si>
    <t>吃了没什么效果 吃了半个月那样，每天三粒，最近几天半夜小腿有点小抽筋，不知道是自身原因还是产品问题</t>
  </si>
  <si>
    <t>袖子太长了 一如既往L码合适，纯棉的穿起来也很舒服，不过袖子有些太长了，真的太长了</t>
  </si>
  <si>
    <t>衣服不错 衣服柔软，保暖性好，穿着舒适。可以给5分。 还有负一分给亚马逊。没想到现在亚马逊服务这么贴心了，为了避免我的麻烦，连吊牌都帮我提前剪掉扔了。我为亚马逊的产品管控默默的伸出了大拇哥，果断的向地指去。</t>
  </si>
  <si>
    <t>首件London frog 很正式，上班穿没问题，却是丑了点，不过本来就是这种风格。</t>
  </si>
  <si>
    <t>总体不错 总体来说还不错用，需要一个转换插头，和面中档会有晃动，打蛋和搅拌都没有晃动</t>
  </si>
  <si>
    <t>买了三件，大小合适。 买了三件，大小合适，洗过多次不掉色。</t>
  </si>
  <si>
    <t>给老公买的，质量还可以 质量还可以，也就是还可以而已，买的比较便宜，尺码按照评论建议的去买也很合适。</t>
  </si>
  <si>
    <t>包装 以为是一瓶480粒包装，到货是2瓶 240粒包装，2020年08月到期，看着挺好的，试试效果</t>
  </si>
  <si>
    <t>很好 一直在吃</t>
  </si>
  <si>
    <t>第一次 蛮不错的  性价比很高  第一次海淘好评</t>
  </si>
  <si>
    <t>美版衣服这样很不错了，追求品质的请绕道买日版 女生，身高163，体重108，S号穿起来大一点点，很不错</t>
  </si>
  <si>
    <t>尺码非常合适 女生身高166体重65公斤，穿这款M号非常合适，还略宽松，千万不要买大了。</t>
  </si>
  <si>
    <t>鞋码偏大 鞋很棒，但是偏大，买了双10UK码的 适合45或者45.5的穿</t>
  </si>
  <si>
    <t>会一直买 孩子挺喜欢吃，会经常买</t>
  </si>
  <si>
    <t>所有的功能都喜欢 收到后对照说明书试了所有的功能，应该是正品。虽然国内不保修，但相信这个品牌也没那么容易坏吧。原来应该是收波好的伦敦时间，在广东这边强制收波不成功，可能离洛阳那边太远了，只好看看以后去别的城市时再试试。光动能挺好的，不用怎么去打理，我觉得挺适合我。走时挺准的，这个价格我觉得值得吧。</t>
  </si>
  <si>
    <t>满意 效果真的太好了，给身边的亲友买了好多，很满意。</t>
  </si>
  <si>
    <t>汉斯格雅花洒，德国海外购。 硬头货，好东西才贵。我用嘎鸡窝夹上楼的，这东西，挺沉啊！还没有安装，应该没有问题。配件齐全。德国🇩🇪原厂正品。汉斯格雅是花洒世界之母。只要到家包装没有破损，就没事。6.2订单，6.24德国发货，经过阿姆斯特丹，到中国上海，通关，顺丰快递到家。7.2日。</t>
  </si>
  <si>
    <t>评价 东西还是不错的，就是包装太差了，送到家里的时候，包装盒破了个洞，幸好滤水壶没坏掉</t>
  </si>
  <si>
    <t>舒服 海外购，尺寸是比较麻烦的一件事，所以给大家一个参考，本人167厘米，53公斤，穿S号正合适，不是很紧身的那种喔</t>
  </si>
  <si>
    <t>最新重量级产品好用 说明书虽然是德国的，现在APP那么多，我翻译成中文很快，其实只要知道几个重点操作就可以了，对于一个使用过不同品牌的厨师机，还是很容易学会的。做菜更得心应手了！</t>
  </si>
  <si>
    <t>对我来说非常合身 感谢评论里的某位朋友，你说的“别听信某些人的评论，一定要买合身号码的...”对我来说太适用了。因我长期健身，胸背部厚。如果按照绝大多数人的选择推荐而买了小一号的话，一定会被勒得很难受！！衬衫（严格说算个小外套了）做工中规中矩，厚实又舒服，穿着很随意。一百多的价格有这个品质非常合算。满意的一次淘货。</t>
  </si>
  <si>
    <t>正品 跟香港买的一样，应该是正品</t>
  </si>
  <si>
    <t>收到 质量好</t>
  </si>
  <si>
    <t>每月都要更换奶嘴，在每次使用都消毒的前提下 奶嘴一定要定期更换~配合奶瓶子使用的</t>
  </si>
  <si>
    <t>好像之前的评错了…… 腰围96cm，看了评论买的38，刚好系到最后一个孔。皮带摸起来手感很棒！买的时候价格126.66，为了凑够200还买了别的，两件关税总计也就24.99块。大概这是最低价了吧</t>
  </si>
  <si>
    <t>买贵了，但值得 买了这双鞋子，还没到货就降价100元，有点不爽。平时穿正装皮鞋 43码，这双合适，鞋子适合南方冬天穿着，脚感舒适，因为鞋子使用的扣子式，一按一松穿脱方便，质量上佳。</t>
  </si>
  <si>
    <t>包装太差 塑料袋 东西没问题，但是为什么英国的有外包装盒子，德国的就一个塑料袋，盒子烂掉，一堆滤芯在塑料袋里逛荡，没发现滤芯有烂的（独立塑料包装也看不清），就这样吧，还是会员服务，失望！！</t>
  </si>
  <si>
    <t>长颈鹿 大小比较适合宝宝抓，就是有点味儿，放了好多天都散不掉，都不敢给宝宝咬</t>
  </si>
  <si>
    <t>尺码不好选，买几件全是大的 以后不敢买了。。。。</t>
  </si>
  <si>
    <t>很差 太差了，包装盒明显之前被人打开过，奶瓶放的位置都不对，寄到以后盒子损坏，奶瓶都掉了出来</t>
  </si>
  <si>
    <t>亚马逊最差的商品 1、只要签收就不退不换，任何问题都会告诉你没问题，叫你联系售后； 2、石英表1周慢10秒，这是石英吗？</t>
  </si>
  <si>
    <t>恶心 恶心！明显瑕疵还发货</t>
  </si>
  <si>
    <t>不错 我老婆穿大小非常合适</t>
  </si>
  <si>
    <t>鞋子挺好 鞋子很舒适，相当不错，就是稍显捂脚。</t>
  </si>
  <si>
    <t>大家参考 本人高173体重140斤穿32/30的正好。裤子材质不错，版型很好适合秋冬穿着。</t>
  </si>
  <si>
    <t>瘦 鞋子挺好，就是太瘦了</t>
  </si>
  <si>
    <t>评论不靠谱 跟中国售卖的尺码是一致的。我看评论说比中国尺码肥，故意买了小一码，结果，瘦。而且，这裤子是瘦版，为什么有人说肥呢。我这个是弯曲贴身的，太瘦了。</t>
  </si>
  <si>
    <t>sd卡 价格比较合适，速度一时半会看不出来，大品牌值得信赖。海外购很方便，速度也可以</t>
  </si>
  <si>
    <t>亚马逊客户 裤子非常合身，和图片所示一样</t>
  </si>
  <si>
    <t>一次愉快的海淘 鞋子很好，第一眼觉得是不是小了？？？穿上之后刚好，同时辛苦快递小哥了，很敬业</t>
  </si>
  <si>
    <t>good 买给朋友的生日礼物~ 包装精美，价格也很合适。非常满意</t>
  </si>
  <si>
    <t>一次开心网购 款式、颜色，正是自己喜欢的。</t>
  </si>
  <si>
    <t>250欧姆的评价 这款耳机三年前购买于法国，外表特别朴实，但是欧洲无论电视台还是专业的音乐广播电台都在用着一款。因为是封闭式的，所以对外噪音隔绝很是不错。特别是在录音棚，旁边还有架子鼓和吉他外放的时候，可以隔绝掉很多“麻烦”。美中不足的是白色的标太容易掉色，不到半年颜色就已经淡好多。但是音色没的说，原来是80-90年代研制出来的，到了2000之后革新了一下技术，但是型号没变。另外，250欧姆，用macbookpro，ipod classic，手机，ipad都能放，但是非常不建议，因为完全发挥不出250欧姆应该有的能力。如果想用笔记本，ipod，手机等便携设备，建议80欧姆，国外也有32欧姆的。如果真想用250欧姆建议买一个pre amp，一般情况下我的这个250Ω我只插在我的RME UCX上，把音量放最大，这250Ω的完全可以当成一个小功放。而外出我用拜亚的custom one。音质嘛，一贯没的说，但是监听耳机本来的目的是还原声音的真实性，而不加入任何的修饰，每个频率的响应频率一贯的好。在欧洲80欧姆和32欧姆版本的线是直线，而250欧姆版的是弹簧样的线。提醒一下带框架眼镜的，带这耳机和某些眼睛镜腿，会引起耳朵附近不舒服。待时间久了耳朵会出汗，不过冬天倒是省了御寒的耳包。</t>
  </si>
  <si>
    <t>满意 鞋子样式很好，做工细腻，穿着舒服。物流速度也快，关键是可知到达时间。</t>
  </si>
  <si>
    <t>非常棒 非常不错的产品。面料柔软舒适透气，裤型设计得非常合理，穿起来很舒服服帖。价格也很不错。</t>
  </si>
  <si>
    <t>质量很好，值得购买，可以的 质量很好，值得购买，可以的</t>
  </si>
  <si>
    <t>大爱的鞋子 就像为我定制的，非常舒服，鞋子很轻很软，还会继续关注这个牌子的鞋</t>
  </si>
  <si>
    <t>一条不错的裤子 买之前看过很多买家的评论，众说纷纭，我只能说众口难调，适不适合只有买过才知道，总的来说这条裤子的做工、款式还算是中规中矩，毕竟品牌是实力在那里，一次不错的购物经历</t>
  </si>
  <si>
    <t>太棒了！！！ 非常舒服，有些厚实，冬天穿没得说啊，价格也十分美丽，国内很难买的！！</t>
  </si>
  <si>
    <t>好耳机 有一个AKG702普通版耳机，听歌是笔记本直推，DT990在直推下和702比是各有千秋，可能低频要好一些，买之前很担心，怕不喜欢，现在基本上是天天都听，不错，是个好耳机，可以买，不会后悔。</t>
  </si>
  <si>
    <t>值得拥有 又美又好用～值得拥有</t>
  </si>
  <si>
    <t>还不错的 喜欢，好看的，平时38码！6.5刚好合适</t>
  </si>
  <si>
    <t>偏大 质量不错，172,65kg,L码大好多，M可能更合适。</t>
  </si>
  <si>
    <t>柔软舒适 宝宝喜欢，我也喜欢</t>
  </si>
  <si>
    <t>很好用 1.笔杆的塑料感很强，比较粗。外观感觉差点。 2.书写流畅，出水控制的很好，用起来很舒服。 3.粗细程度适中，个人觉得还是比较适合写汉字的。 4.配备了吸墨器，但墨胆的价格也不高。</t>
  </si>
  <si>
    <t>好评 就是薄了点，其它还好</t>
  </si>
  <si>
    <t>还可以 177 72 m。有点小，贴身穿</t>
  </si>
  <si>
    <t>质量好价格优惠。 裤子比实际标的要偏大几个厘米，主要可能是材料稍微有点弹性造成的吧。总的来说是很满意的</t>
  </si>
  <si>
    <t>掉毛严重！ 掉毛实在太老火，不建议购买</t>
  </si>
  <si>
    <t>不是马勺铁粉还是放弃吧 以蓝牙耳机来说音质是可以的，但是，这个但是是最关键的，戴久了耳朵疼的像不是自己的，真的就是买个好看，颜值同类我真找不到比他更高的，比那个BO更好看，但是半入耳多少漏音。既不能久戴也不能开响，就当保护耳朵了。 还是原来用的大法SBH70无论从实用性舒适性来说完胜，但是用了2年，单边坏了，然后这个型号都没了，大法家比他贵的也没他好。 相当不理智的选择，但是看其他评论真没看出来这么不实用。当然，不跑动、耳洞特别大、马勺铁粉、无需丝毫防水功能的可以入。再说一句，漂亮是真的漂亮。</t>
  </si>
  <si>
    <t>质量 穿上没有想象中舒服，跟以前买的ecco比，脚感差，以前的是Damen Combat Boots,</t>
  </si>
  <si>
    <t>还行 大小合适 但是很普通  很普通 不值这个钱</t>
  </si>
  <si>
    <t>还算可以吧 配件还是不如原机配件，配件用了才半年褶皱的地方就出现了，割的脸疼。如果给190买配件刀网的话，我建议还是重新买个剃须刀吧！</t>
  </si>
  <si>
    <t>很好 东西确实好，口气没有了，哈哈！</t>
  </si>
  <si>
    <t>好 试了试，效果还好！还要看看长期效果如何。</t>
  </si>
  <si>
    <t>包装不到位 以前一直买，这次大盒子没单独包装，盖子松了。</t>
  </si>
  <si>
    <t>移动硬盘 很喜欢这个商品，很轻巧便于携带～</t>
  </si>
  <si>
    <t>我买的这件衣服是多大码？ 我喜欢这件衣服的样式</t>
  </si>
  <si>
    <t>收到 很好</t>
  </si>
  <si>
    <t>Ecco鞋子确实不错 非常喜欢，以后还会买</t>
  </si>
  <si>
    <t>品质优良 品质优良，应该算非常不错的选择</t>
  </si>
  <si>
    <t>笔记本速度提升 在网上研究了好久选择的这一款，速度确实很快，即插即用，而且海淘比国内便宜很多</t>
  </si>
  <si>
    <t>蛮好 稍微有点大</t>
  </si>
  <si>
    <t>非常合适，和前面评论的一样 感谢前面的那位详细的评论，国内买不到四眼的。这个超2k是走行邮渠道的，可以把预缴税费要回来</t>
  </si>
  <si>
    <t>好 女儿用很合适</t>
  </si>
  <si>
    <t>海淘速度，鞋子合适 平时穿45的，买的uk10正合适，海淘不到一周就到了。</t>
  </si>
  <si>
    <t>头一次买奶瓶 一 快递真心很慢 等的伤不起 要很长长长时间 二 奶瓶有轻微的味道 清洗一下后味道基本没有了 三 跑了这么远 不要指望包装会有多好 盒子都变形了 不过的确不影响使用 四 没得把手 comotomo 没得这个把手 要自己去配</t>
  </si>
  <si>
    <t>好货！ 质量好，颜值高，价格合适。喜欢😘！</t>
  </si>
  <si>
    <t>很好 170 70kg 略微有肚腩的老男人…s怕小…m怕大…最后还是买了m…内穿t恤正合适…除了袖子长…我需要挽一下…胳膊本就短…供参考…</t>
  </si>
  <si>
    <t>大容量低价格 这款用了很长时间，一直运行良好，主要用来存电影，非常不错</t>
  </si>
  <si>
    <t>很好的手表 质量很好，漂亮的不像话</t>
  </si>
  <si>
    <t>提供一下我的尺码 我脚长265，平常穿亚瑟士的跑步鞋是43.5。因为脚板有点厚，就买了9.5W的稍微有一点点大。</t>
  </si>
  <si>
    <t>好 很好，口味清淡，效果明显</t>
  </si>
  <si>
    <t>鞋子穿着舒服 一直相信着牌子的鞋子，这次也一样穿着柔软舒服，可惜我买的是37码收到货是38码，还好是绑鞋带的，否则又要换了。</t>
  </si>
  <si>
    <t>无 喜欢，超划算，同样的质量比国内便宜太多</t>
  </si>
  <si>
    <t>Stabilo HB铅笔 价格实惠，书写效果不错。纠正孩子握笔，好评！</t>
  </si>
  <si>
    <t>性价比好的刷头 这款刷头价格很实惠，刷毛比较软，很好，买少了，应该一次囤上2盒</t>
  </si>
  <si>
    <t>很好 非常好，很适合平时休闲穿</t>
  </si>
  <si>
    <t>常备保健品 一直买这个牌子的吃，日常保健很不错</t>
  </si>
  <si>
    <t>CK ck的内裤确实不错！纯棉内裤，重点是穿着舒服，款式新颖。</t>
  </si>
  <si>
    <t>好 质量真的不错，价格很合适，有夹棉，侧口袋有两层，内层有拉链，还有内口袋，粘封</t>
  </si>
  <si>
    <t>一点都不保暖 看见代购各种宣传有多保暖，就在亚马逊入了，千万。不要相信有多保暖，冬天可以穿啥的，很薄，在南方冬天穿两双都撑不住，不能相信代购的话。</t>
  </si>
  <si>
    <t>不太合身 袖子有点短，肩膀有点宽</t>
  </si>
  <si>
    <t>外观漂亮功能单一 外观漂亮，但功能设计有问题</t>
  </si>
  <si>
    <t>怀疑是否是正品 鞋子做工很粗糙，鞋边都有明显的胶水痕迹，不像正品其乐，旗舰店的质量比这好的多，</t>
  </si>
  <si>
    <t>彻彻底底的垃圾，穿在身上就是笑话 太垃圾了，无法接受的垃圾。大量的跳针，线头，缝线不直。无法忍受</t>
  </si>
  <si>
    <t>感觉，衣服有点大，其他，还好 The quality of the clothes is not asked, it is a big feeling, I have to pay attention later.</t>
  </si>
  <si>
    <t>质量一般 书写很流畅，但是笔断了</t>
  </si>
  <si>
    <t>不错 质量摸上去还行，但是穿起来真的超舒服，码数偏小，但对我来说刚好，还会考虑回购</t>
  </si>
  <si>
    <t>质量还行 还行吧，就是尺码有点偏大</t>
  </si>
  <si>
    <t>性价比高 鞋子很合适，实物比图片好看，上脚很帅气，就是皮硬了一点，应该是新鞋的缘故，应该穿一段时间就能好。总体来说对价格和商品都是满意的。</t>
  </si>
  <si>
    <t>不错 孩子很喜欢，带着舒服，声音也不大，可以带着上英语网课。</t>
  </si>
  <si>
    <t>好货特价 非常喜欢 推荐大家购买</t>
  </si>
  <si>
    <t>尺码准，用料好，做工精 首次购买该品牌，非常好！</t>
  </si>
  <si>
    <t>本打算再买一件的，可惜涨价了，再等等看了 虽然有些薄，但是很舒适透气，做工精致，材质也很棒，正常尺码购买即可，夏天必备</t>
  </si>
  <si>
    <t>太值了，太喜欢了。 太值了，太喜欢了。好</t>
  </si>
  <si>
    <t>穿着很舒服 穿着很舒服，29寸的裤腿还是有点长，不过卷起来还是挺有感觉的。裤腿和预想的一样肥，工装风。很舒服。</t>
  </si>
  <si>
    <t>很满意 替人买的，反应不错</t>
  </si>
  <si>
    <t>非常喜欢。第三次购买了 美标的L+W 非常科学；让人能买到满意的裤子； 希望正装也出一点长的裤子；期待中</t>
  </si>
  <si>
    <t>磨砂黑色不错 磨砂颜色不错，杯子也不大。</t>
  </si>
  <si>
    <t>净化水质，便捷。 德国直邮的，等了半个月值得！非常好用，虽然容量小些，但最够用了。特意用了个新电热水壶试用，真的一点水垢都没有。没遇到碳末残留的问题。</t>
  </si>
  <si>
    <t>很好的洗手液 很香很好用推荐。</t>
  </si>
  <si>
    <t>满意 男朋友很喜欢 开心的不得了</t>
  </si>
  <si>
    <t>好裤子 质地很好，穿着舒适！</t>
  </si>
  <si>
    <t>非常满意 鞋子非常好 两周从日本寄过来</t>
  </si>
  <si>
    <t>尺码合适，面料穿上后体感舒适 160cm，75kg，M号合适</t>
  </si>
  <si>
    <t>全新的，特别实惠，一点都不疼！ 全新的，价格非常实惠！以前用过小伙伴的，这次自己下手了！要先剃毛，两天后长出小茬子效果更好，因为激光只对生长期的毛发最有效果，剃毛会刺激毛发新生！这也就是为什么，不用脱毛仪，千万不能随意剃！一点都不疼才买的，第一次要用一档或者二档，慢慢等皮肤适应，再提高，推荐两周用一次，毛发都是有生长周期的，太频繁对皮肤不好！</t>
  </si>
  <si>
    <t>小清新色 小清新颜色，出门带着喝水很方便，和普通保温杯差不多重，颜值还要高点。</t>
  </si>
  <si>
    <t>价格有优势 亚马逊的这个价格可以把天猫双十一的价格甩开几条街。试穿了下，身高168的我，L-LL合适，感动终于找到不用使劲提档也不会因为过短而把大拇指穿出窟窿的连体袜了。180D适合十几度左右的天气，南方过冬妥妥的。</t>
  </si>
  <si>
    <t>高级保温饭盒 很保温，价格也很高级啊。。。。</t>
  </si>
  <si>
    <t>适合脚窄的人 做活动买的很划算，加上运费关税才不到三百。大小很合适，但是估计更适合脚窄的人，走路还好，不走路就觉得挤脚</t>
  </si>
  <si>
    <t>鞋子不错 平时nike运动鞋穿40码250cm，这双穿39码 8，245cm正好，稍微大一点点。因为女鞋男穿，本身脚不宽，所以合适。脚宽的同学需要慎重一点。</t>
  </si>
  <si>
    <t>还不错 感觉不错，做了一次豆浆一次果泥，棒棒哒。做果泥的时候多少还是得加点水。那跟黑色的东西研究半天，原来是搅拌用的。</t>
  </si>
  <si>
    <t>一天一滴，很方便 医生让女儿补d3，这个很好，一滴一天，十分方便</t>
  </si>
  <si>
    <t>一般 175、69，码号倒是合适，但质地和做工都比较一般，和网页上的效果差别挺大，二件都退掉了，不推荐。</t>
  </si>
  <si>
    <t>That's OK 还可以吧，就是收到包裹，里面的表盒都烂了。表在外面掉着，表带、表盘都有不同程度磨损，看着很闹心。为什么不包装好一点呢？</t>
  </si>
  <si>
    <t>感觉一般 剪裁与质地一般，感觉不像正货！只能送人了……</t>
  </si>
  <si>
    <t>太垃圾了。 这裤子起球球，真不好，还不如几十块钱呢，</t>
  </si>
  <si>
    <t>就想知道坏了怎么办…… 应该说并没有怎么折腾它，然而就是坏了，怎么办</t>
  </si>
  <si>
    <t>男生买要注意 如果你是男生，可能要买大两码，因为女鞋长度合适，但宽度过窄</t>
  </si>
  <si>
    <t>质量 质量中等</t>
  </si>
  <si>
    <t>还可以 里面有接缝，保温还可以</t>
  </si>
  <si>
    <t>Balabalabala 这个日本铁锅还是不错的，锅体薄受热快，铁纯度高，目前没有生锈的迹象，油烟也不大，不过家里很少爆炒，要煤气灶比较好用，电磁炉不好掌控火容易糊，不要把它想象成神锅，铁锅都得养着，炒菜都会有点黑，只要锅体没有有害元素，这锅就是值得，超市很多铁锅都带其他乱七八糟金属元素</t>
  </si>
  <si>
    <t>凯伍德厨师机 &lt;div id="video-block-R23MIVUE4WI8XR" class="a-section a-spacing-small a-spacing-top-mini video-block"&gt;&lt;/div&gt;&lt;input type="hidden" name="" value="https://images-cn.ssl-images-amazon.com/images/I/91jZ1GT6zHS.mp4" class="video-url"&gt;&lt;input type="hidden" name="" value="https://images-cn.ssl-images-amazon.com/images/I/91EpFbgAkNS.png" class="video-slate-img-url"&gt;&amp;nbsp;感谢网友的点评和推荐，买到了我想要的好东西，省时省力、操作简单，包装精美，发货快！</t>
  </si>
  <si>
    <t>很满意 比国内的尺码大1个码左右，款式、面料、颜色都不错，性价比很高，比去专门买实惠很多</t>
  </si>
  <si>
    <t>可以变色的小勺 Munchkin的安全汤匙，可以变色的方式来保证食物不至于太烫。很不错</t>
  </si>
  <si>
    <t>很喜欢 自己安好的，很简单，下出水龙头可旋转，很省空间，做工精致，花洒的按摩功能还真的很猛。</t>
  </si>
  <si>
    <t>非常满意 非常成功的海外购 生产期刚刚一个月 很满意</t>
  </si>
  <si>
    <t>正品 没问题，鞋子正品，放心购买，大小合适。</t>
  </si>
  <si>
    <t>还可以吧 没有想象中那么好，凑合使用吧</t>
  </si>
  <si>
    <t>物美价廉 比想象的好很多</t>
  </si>
  <si>
    <t>糖果色手表 太好看了！糖果色！我觉得粉色比黄色的好看 ，我同学比较中意黄色的。超青春的！</t>
  </si>
  <si>
    <t>清洗能力超强 144块分为8包，每包18块。很完好，没有出现碎包等现象。 Quantum作为Finish最高等级系列果然名不虚传。标准清洗模式下，煲了三小时老火汤的一圈浮沫已经在锅壁粘得很牢，一样洗得干干净净。 注意这种尺寸仅适用于8套及以上的洗碗机。</t>
  </si>
  <si>
    <t>不错 衣服真的很长，适合寒冷、下雪的日子，我1.69米，快到脚腕了，大小合适</t>
  </si>
  <si>
    <t>宽松的好 布料稍有弹性，做工好，宽松也不粘毛，所以又买了第二条</t>
  </si>
  <si>
    <t>面料很透气 穿着舒服，透气凉快。好!</t>
  </si>
  <si>
    <t>性价比高 158/45kg，买的加小，穿脱略微有点儿费劲，但是穿上之后就不觉得紧，不计税费50多入手超级划算，运动穿挺好的。</t>
  </si>
  <si>
    <t>非常好 非常好，160高 50公斤，M码刚好</t>
  </si>
  <si>
    <t>笔尖没有普通的lamy滑顺。 重量不错。 比较粗壮~</t>
  </si>
  <si>
    <t>配件齐全，值得入手，高性价比厨师机 博世的品质不错。英版德版产地是一样的，只是德亚没有59340，而且是全塑料机身，不像59其他系列，有部分金属，但机子下面有四个吸盘，放台面上很稳。硅胶桨和绞肉的都有，这是最值钱的配件，声音四档以上比较大，但空转不会刮到不锈钢碗，碗很大，足够一家三口的量。半小时可以出手套膜。到货速度奇快，五天到手。从收到货到现在，几乎天天做面包，跟外面的一样好吃。</t>
  </si>
  <si>
    <t>容量不打折 跟国内买的优盘最大的不同是：容量不打折。说是128G，就是128G，不像国内的优盘，标称容量总是比实际容量小一点。</t>
  </si>
  <si>
    <t>很好 还没用呢，不过看外观确实厚实，做工没有想象的那么精致，太沉了，对中国的弱不禁风的小女生来讲是太重啦，老婆说不能用太沉。</t>
  </si>
  <si>
    <t>性价比极高的一次购物。 东西很正。关键是价格很好。</t>
  </si>
  <si>
    <t>评论真不靠谱 质量款式很好，就是有些大了。190cm 90KG 买了XL太大了，退货半个月也没人来拿，后来给朋友穿了，他200cm 120kg穿着刚好。XL的袖子太长而且太肥了，如果不是肚子特大的长臂猿，190以下建议买L的。</t>
  </si>
  <si>
    <t>颜色不错 海外购了个中国产无语了，此表怎么那么像二手物品连表面的保护膜都没有，之前买的任何一块C家表都有表面保护膜贴的。此表较小只适合小个女生或喜欢细小表款的朋友。</t>
  </si>
  <si>
    <t>差劲 我脚长正好25.5。8.5w刚好穿进，如果同样大的脚最好买大一码。至于抓地防滑就更是扯蛋——比那种发泡底的鞋子当然要强点——但任何一双工作皮鞋都会比我买的这双好</t>
  </si>
  <si>
    <t>看起来很可爱～ 设计不合理，握柄太宽太厚，宝宝拿不住！</t>
  </si>
  <si>
    <t>鞋子的舒适度 鞋子应该是标准码的，跑步穿的，我的脚有点宽，所以感觉有点紧，其他都好</t>
  </si>
  <si>
    <t>不行 布看起来像工衣，买了s，但尺寸超大</t>
  </si>
  <si>
    <t>不好 &lt;div id="video-block-RGYBLE94JB3DZ" class="a-section a-spacing-small a-spacing-top-mini video-block"&gt;&lt;/div&gt;&lt;input type="hidden" name="" value="https://images-cn.ssl-images-amazon.com/images/I/71eCq0dxDVS.mp4" class="video-url"&gt;&lt;input type="hidden" name="" value="https://images-cn.ssl-images-amazon.com/images/I/71k+DsPMv7S.png" class="video-slate-img-url"&gt;&amp;nbsp;第一次揉面20分钟自动停止了，继续几秒钟就停止，一直几秒钟自动停止，不知道是不是坏了，然后玻璃碗我取不出啊，卡住了，取一天都没取出，问客服也没有售后帮忙解决，1700多买的都没做成功一次</t>
  </si>
  <si>
    <t>彪马 一只鞋的鞋头有一点歪</t>
  </si>
  <si>
    <t>这鞋比国内专卖店瘦 我脚长230，平时穿36码，这次对照EU36买的，3.5UK，5-5.5US穿上偏小了一点，脚紧，这鞋比我平时国内买的瘦一些。应该买EU36.5，4UK，6US，给后面的买家一个真实的参考吧。也方便自己以后对照买。脚肥的人还是在国内专卖店买吧，国内的宽大舒服一些，更适合我们中国人。</t>
  </si>
  <si>
    <t>便宜 有味道，水里煮下，用用就好了，硬的哦！</t>
  </si>
  <si>
    <t>无 不是那种纯白，类似于米白，介意的还是慎拍</t>
  </si>
  <si>
    <t>及格！ 及格！</t>
  </si>
  <si>
    <t>注意尺码 美码就是大，还好裤子不错，性价比高，随便穿穿也是不错。</t>
  </si>
  <si>
    <t>感觉不错 效果不错，睡眠质量提高</t>
  </si>
  <si>
    <t>很好 很好，外观一般，但不粗糙，用料实在。声音刚刚拿到一听就很好，但愿煲机后能有惊喜。</t>
  </si>
  <si>
    <t>palladium！ 很喜欢大小也合适应该是挺保暖的</t>
  </si>
  <si>
    <t>感动 女声及小编制一流，居然听到感动了。</t>
  </si>
  <si>
    <t>帮别人买的 估计是挺好的，没说什么。</t>
  </si>
  <si>
    <t>符合预期 满分好评</t>
  </si>
  <si>
    <t>通勤、出游都适合，有点偏大 秋冬季最好穿的的短靴，走路久了也不会觉得很累。皮质适中，亚光。鞋码还是有些偏大，我通常穿clarks37号会觉得略小一点，这双因为鞋型的关系长度偏长，也没有觉得很紧窄。</t>
  </si>
  <si>
    <t>物美价廉 同款国内要翻一倍的价格了吧，这款美货的质量还可以，大小也适中。</t>
  </si>
  <si>
    <t>粉色 给女儿买的杯子，做工很紧致，用来很长时间了</t>
  </si>
  <si>
    <t>ck内裤不一般 舒服的感觉，很厚的棉料</t>
  </si>
  <si>
    <t>第二双入手 又买了一双，唯一走多远的路都不打脚的鞋</t>
  </si>
  <si>
    <t>推荐非常不错的移动硬盘 亚马逊买过几个wd移动硬盘，氦气硬盘，非常不错，以后会在买</t>
  </si>
  <si>
    <t>性价比高 还不错，虽然不是最便宜的，但是很好用</t>
  </si>
  <si>
    <t>不错 下单后一周收货，包袋完好，耳机体积比想象中大，做工不算精美但有德式的严谨。 同用PC直推，音量比MSR7小三分之一，不知煲机后会不会大声点。</t>
  </si>
  <si>
    <t>过滤水做饭用很方便 挺好用，过滤水做饭放心多了，西藏这边水硬度大</t>
  </si>
  <si>
    <t>比孕婴店便宜很多！ 正品！好，已经用上了！</t>
  </si>
  <si>
    <t>给娃备货呢 母乳暂时够用，偶尔用一次奶瓶，还是挺不错的，宝宝喜欢</t>
  </si>
  <si>
    <t>好用 喜欢😊</t>
  </si>
  <si>
    <t>舒适，很好 不错，给孩子用的，一百多的价格很划算。</t>
  </si>
  <si>
    <t>黑色型号是300s 黑色的型号应该是300s…要买的朋友注意了</t>
  </si>
  <si>
    <t>很好的一次 尺寸刚刚好，修饰体型，肩部，胳膊都合适，显得人比较年轻，很喜欢的一件上衣，以后可继续关注</t>
  </si>
  <si>
    <t>太紧了 这是男士内衣, 居然这么紧身, L的胸围居然只有83, 全靠弹性撑起来, 设计失败! 袖子太短,只有53cm,大家仔细看配图也是很短的, 穿上后袖口离手腕还有三四厘米, 这样不舒服也影响保暖. 失败! 后衣长只有70,按说到72比较标准. 失败中的失败! 不知道是不是残次品,真实奇葩!</t>
  </si>
  <si>
    <t>- -不太开心 我是因为做了正畸才买了这个便携装，用了四五次这样就要充电，只有高中低三个档位，要完全冲洗干净至少要装2次水。另外我觉得体积有点大，不是很好拿。最主要的是发现黑五的价格比我买的时候便宜了200！</t>
  </si>
  <si>
    <t>购物体验不是很好 有点偏大，往下滑，感觉不是很好</t>
  </si>
  <si>
    <t>烂皮带千万不要去买 我网购多年从来不去差评人家，这次实在忍不住了。千万千万不要去买这款皮带，实在是太烂太烂了，衬里好像是纸做的，收到刚刚试用，往腰上一围皮带衬里就会有裂痕。</t>
  </si>
  <si>
    <t>尺码太大了，不要相信尺码参考表 显示的尺码和实际到货差距太大了，起码大2个号，买二次都是一样的，根本没有办法穿。尺码参考表和到货一点都不对</t>
  </si>
  <si>
    <t>还行 质量嘛，内里有线头，料子还可以，穿起来也还行吧</t>
  </si>
  <si>
    <t>偏大 偏大，买了S的，但是袖子太长了。。。</t>
  </si>
  <si>
    <t>特价的时候买的 见到降价了 立刻入手 本身是要买32欧的 但见到250欧降价就入了这个 我是用IPC直推的 推得不太好 但也比我之前那个PX100好 声音还是挺通透的 听起来很爽 相信如果买个音放会更好 带在头上有点夹头 不过还算舒服。第一次买大耳机，感觉不错 还在煲机。不太懂行！</t>
  </si>
  <si>
    <t>包装不太满意 从快递工作人员手上拿过货时,让快递人员打开外包装箱,一看,发现手表的内包装箱是打开的,手表3分之2部分已经露出来. 感觉是被人打开过内包装的情景. 当我准备签收快递单时,快递人员却说:你不用签字,只要你付款就可以了... 这是怎么回事呢</t>
  </si>
  <si>
    <t>款式经典，脚感舒适 我是38码的瘦脚，以前买过38的ecco板鞋，穿着有点顶脚。这次狠心买了39码，UK6，略大一点点，但是符合我的要求——舒服。鞋底白色部分确实有大家说的小洞，但是不影响穿着。皮质柔软低调，舒适度很高。下单到手有一周时间，满意。</t>
  </si>
  <si>
    <t>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</si>
  <si>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非常愉快的购物 满意满意非常满意！非常愉快的购物体验！穿着很舒服，以后就在亚马逊上买买买了</t>
  </si>
  <si>
    <t>必备的实用品。 挺好的，下单到送家里，前后一个月。小v很实用，马力强劲，值得购买的必备品。</t>
  </si>
  <si>
    <t>包裹性非常好，穿着舒适 此双鞋子穿着舒适，包裹性非常好，本人平时穿43码正装皮鞋，穿这双鞋子略长（约半指长），鞋子产地为斯洛伐克，做工精致，值得购买。</t>
  </si>
  <si>
    <t>满意 穿着舒服，还不错！</t>
  </si>
  <si>
    <t>几乎无声还挺薄 运输超级慢，历时半个月以上。以至于到货没几天，prime试用期都要到期了。简直恐怖。硬盘很好，看起来像是单片盘，且几乎无声。比之前7200转的希捷好很多。</t>
  </si>
  <si>
    <t>很不错的杯子 用了几天，保温效果好，杯子无任何异味，材质等摸上去很好</t>
  </si>
  <si>
    <t>保修 非常不错的箱子，素质很好。但就是感觉有一个箱子打开过，喇叭上也有东西，两根电源线也都不一样，箱子差500多号，希望以后能发连号的</t>
  </si>
  <si>
    <t>style ringer tee材质很好 棉材质摸起来很舒服 复古风</t>
  </si>
  <si>
    <t>长了点耶！ 喜欢你！长了点耶！太长了！</t>
  </si>
  <si>
    <t>合适 上档次，薄、合适大热天穿</t>
  </si>
  <si>
    <t>太好了 非常好的渔夫帽，简直拯救了我的一头卷发。</t>
  </si>
  <si>
    <t>物超所值 价格实惠，质量非常好，点赞。</t>
  </si>
  <si>
    <t>加绒款 质量超预想，非常好，还会再来购买</t>
  </si>
  <si>
    <t>尺码真合适，应该可以穿个5~8年 给家人买的，用作生日礼物。平时运动鞋穿40码，40码正合适。穿着也挺舒适。 就是有一点，鞋子比较重，妥妥工装鞋的分量。一分钱一分货，不错~</t>
  </si>
  <si>
    <t>质量不错 看起来质量不错，这几天用了汤碗和餐碗，喜欢。看了看海淘的价格便宜不多少，值</t>
  </si>
  <si>
    <t>收到货的感受 非常满意！物美价廉，货真价实！是一块霸气的手表！</t>
  </si>
  <si>
    <t>价钱便宜，随便穿穿还是不错的。 价钱便宜，随便穿穿还是不错的。</t>
  </si>
  <si>
    <t>尺码偏大 美版的衣服是有些大，修身的也很宽松，质量非常棒，很便宜。海蓝色没有海军蓝好看。</t>
  </si>
  <si>
    <t>非常漂亮，又好用 这个确实好用，每天都用，不占地方又时尚！大爱</t>
  </si>
  <si>
    <t>怎么说呢？还有更好的工作头戴耳机吗？ 这个耳机从买到已经用了有一年多了，真的说不尽的好。 因为业余会做剪辑和音乐项目，这个监听耳机真的非常胜任，声音听得……很清…晰。 包耳的设计和海绵保证长时间佩戴也非常舒服，也不会夹头，这点太重要啦。 平时听一些器乐摇滚声场也非常棒，总之就是非常好，适合做视频音乐或者在家听歌，外带可能会比较占地，但是如果需要整天长时间戴耳机我还是会把它带上。 关键是价格，真的比很多花里胡哨的头戴耳机实惠多了！ 相信我佩戴体验最重要了，花更多的钱买一个带着不舒服还漏音的高端耳机干什么呢？这个监听耳机就够用了！</t>
  </si>
  <si>
    <t>值得购买 舒服</t>
  </si>
  <si>
    <t>太窄不推荐购买 皮带非常窄，不到3厘米宽度，说明里压根没提到，通常添佰岚的皮带宽度都有3.5厘米至少，所以这款皮带很误导。</t>
  </si>
  <si>
    <t>包装我只服骨维力 包装我就服骨维力了。向来海淘的产品包装都是比较环保而简单的，骨维力的包装我服！外纸盒容积是瓶子的好几倍，而真正钙片只有瓶子底上薄薄一层…这铺张浪费，果断想给个差评！至于产品效果我也不知道，反正保健品，正需要给老妈补钙而买的，但愿有限吧。</t>
  </si>
  <si>
    <t>硬 估计不是牛皮吧，比较硬，用用看吧！</t>
  </si>
  <si>
    <t>鞋子是残次品 鞋子穿着舒服  好看  只是有一点瑕疵  怀疑是残次品</t>
  </si>
  <si>
    <t>假货，大家不要买 假的假的假的假的假的假的假的假的假的，真的是假的假的假的假的假的假的假的假的，我家宝贝用这个喝水还是用啦有半个月啦，每次打开奶瓶都有一股焦味，当初以为是奶奶味，后来发现不是的，建议大家不要购买啦，我当时买是因为没有看他的评论，看到啦就不得买啦，包装问题和另一个购买者是一样的，假货</t>
  </si>
  <si>
    <t>便宜 这应该是CK的基础款，产地肯尼亚，有点偏小，质量其实一般，但是胜在比国内便宜好多。</t>
  </si>
  <si>
    <t>裤子比较宽大 裤子比较宽松，薄款的，夏天穿可以</t>
  </si>
  <si>
    <t>还可以吧……不好不差 还可以吧……不好不差，杯子没有盖子的</t>
  </si>
  <si>
    <t>性价比不错 故意买的长的，回来自己剪了一下，质量还不错，扣子略简单了一点，200多也算值了</t>
  </si>
  <si>
    <t>好看 鞋子略紧，粉色很好看</t>
  </si>
  <si>
    <t>看评论选择码子 评论区的意见要认真看。本人180cm，100kg，中国产服装一般是2XL，看评论后，果断选择L，很合身，质量也与价格相匹配，不是有的评论形容的那么差。</t>
  </si>
  <si>
    <t>东西很好，价格实惠 很棒，是氦气的</t>
  </si>
  <si>
    <t>很暖很不错 貌似刚才评论错了，想评论另外一家店铺的，不知道怎么删。这件衣服很暖很不错</t>
  </si>
  <si>
    <t>合适 身高182，体重140，m码合适。</t>
  </si>
  <si>
    <t>hh Amazing！</t>
  </si>
  <si>
    <t>可以 换上了又像新的一样了</t>
  </si>
  <si>
    <t>质量好 到手380+，是修身款，我172，66公斤，肩宽40，供大家参考。这衣服袖子真的好长哦，我的手都算长的可，仍然有富余</t>
  </si>
  <si>
    <t>好 很大一瓶，确实很滋润，会回购</t>
  </si>
  <si>
    <t>玻璃瓶比较容易清洁 小宝宝非常喜欢，大口径的奶嘴吮吸起来更舒服</t>
  </si>
  <si>
    <t>还是很不错的 锅的重量不大，感觉如果炒菜的话，会有点点小。应该买大点。如果中国买家买的话，还是建议买30CM以上的。</t>
  </si>
  <si>
    <t>棉质非常好 上身很舒服 帮同事也买了好几件</t>
  </si>
  <si>
    <t>好 不错，大小合适，质量很好</t>
  </si>
  <si>
    <t>超级好看 很好看  就是税费太贵了</t>
  </si>
  <si>
    <t>不错 经济实惠量又足！挺好听</t>
  </si>
  <si>
    <t>不错 不错，很酷！浪琴换了个卡西欧，朋友们都说买了个卡通表</t>
  </si>
  <si>
    <t>修身版 修身版型，自己买的小了点儿。</t>
  </si>
  <si>
    <t>腰尺寸过大 质量不错，面料厚度适中，春秋穿合适</t>
  </si>
  <si>
    <t>不错 我37.5的脚 之前在国内买一双37码的穿了两年还是挺大的 这次买了36码的刚刚好但是穿上去真的好痛 果然鞋还是大点好 配色很独特 走在路上不会撞鞋 价格也比国内优惠很多</t>
  </si>
  <si>
    <t>很好的鞋子 1、内增高的神器啊，穿着感觉抬头挺胸的感觉； 2、内衬比较舒服，鞋很重，但感觉很舒服； 3、比较透气，可以穿一天； 4、不足，裤子比较难配，牛仔裤裤脚会把鞋染色；皮面容易脏，不好打理。 5、购买注意鞋号的选择，有个女士儿童鞋号表，有个男士鞋号表，选错了，鞋尺寸就不对了。</t>
  </si>
  <si>
    <t>重点是码要买准 鞋型好看，真材实料，非常低调。重点是码要买准，脚面低，不适合垫鞋垫的。头几次会有些磨脚，相信穿穿就好了，鞋底比复刻版的生胶底耐磨吧，哈哈！产地 印度</t>
  </si>
  <si>
    <t>质量不错，价格也很优惠 质量不错，价格也很优惠</t>
  </si>
  <si>
    <t>表盘直径尺寸与介绍不符 介绍里写的表盘直径37mm，严重不符，量了一下，联调节把也不到37，真正的表盘直径（玻璃部分）不到30mm，男的戴太小了，女士戴差不多。</t>
  </si>
  <si>
    <t>大了 鞋是好鞋，但是太大了！退货又太不方便，只能闲鱼了</t>
  </si>
  <si>
    <t>很好，以前从不去评价，不知道浪费了多少积分 很好，以前从不去评价，不知道浪费了多少积分</t>
  </si>
  <si>
    <t>谨慎选择 不开心。。买了两个，前后使用都没超过半年。。有点莫名其妙。。。</t>
  </si>
  <si>
    <t>面料 面料太次了</t>
  </si>
  <si>
    <t>差评，维修难 差评！调周几的齿轮用了两周就出问题了，打客服电话说海外购商品找商品厂家客服，精工中国大陆电话根本打不通！差评！我准备向工商部门投诉了</t>
  </si>
  <si>
    <t>质量差 薄薄一层，单穿露肉又扎，当秋裤穿了两天脚头穿了个大洞，质量真差。</t>
  </si>
  <si>
    <t>还行吧 用了一年，插头有点接触不良了 以前urbanears都会另送一个转接头的，现在不送了。不然还还能继续用的，它的线是没问题的。 不过也就200块钱的耳机，用一年也可以了</t>
  </si>
  <si>
    <t>质量可以，稍微偏大，价格波动大！！ 有点长，但是宽度可以，属于瘦版的，质量样子都可以，但是距我买的时候才刚过一周多，价格就便宜了200元！大家如果想买，还是加到购物车里，看价格合适的时候入手吧</t>
  </si>
  <si>
    <t>整体而言满意 布料有弹性，孟加拉造，做工勉强合格，主要是明线缝纫比较考手艺，有一边袖子的钮扣门没缝好，如果我是质检员这件要算次品的，还好不碍眼也不影响穿着，166CM，52KG 买了S码，肩部和腋下仍然略松，袖子也略长，160CM以下的纸妹们慎买，整体而言满意。觉得Lee比Levis更具经典牛仔风格，性价比也更高。</t>
  </si>
  <si>
    <t>不错的产品 老公基本就是穿牛仔，性价比高</t>
  </si>
  <si>
    <t>有点小 建议运动鞋买大一码。</t>
  </si>
  <si>
    <t>裤子质量没问题 裤子比较薄，建议亚马逊在服装类商品上完善产品的薄厚说明，同时亚马逊的反馈速度很快，这个裤子客观评价3星，亚马逊的服务5星。</t>
  </si>
  <si>
    <t>好 一般人都可以用这个码，大个几厘米都能用的，粉色也OK</t>
  </si>
  <si>
    <t>赞！ 平时着37码，呢对4.5非常合脚轻便舒适，刚上脚感觉鞋底有一点硬，穿久了还好，贴脚，总之很好，所在三线城市没专卖店，这里比某猫便宜，会员还免海外运费超值！</t>
  </si>
  <si>
    <t>物美价廉值得拥有 真的很喜欢，冬天穿暖和！！亚马逊服务很好，过了很久还给我退了21元的税！！！</t>
  </si>
  <si>
    <t>北面赞一个！ 11🈷22号下单，27号已经到手，快递速度赞一个！ 衣服是薄款，面料摸上去很细腻，大牌子做工很好！质量没的说！ 本人175CM，85公斤，M码合适，希望可以帮助到其他人！</t>
  </si>
  <si>
    <t>美而实用 锅子很重，质地厚实，包装严实，没有任何的小瑕疵，颜值爆棚，真材实料。</t>
  </si>
  <si>
    <t>商品好，价格划算 价格划算，T恤+短裤一共129，赶上活动合适</t>
  </si>
  <si>
    <t>质量不错 手感和质量不错，腰部和脚部是加厚的。但比想象中的小了点，给儿子穿了，😄</t>
  </si>
  <si>
    <t>运动 跑步用非常好</t>
  </si>
  <si>
    <t>V-Moda M-100的评价 我是一名专业的音乐制作人兼DJ，我觉得这个耳机非常不错，而且各个频段听的非常清楚，给我的感觉很舒服</t>
  </si>
  <si>
    <t>没压力 没压力，比较舒适，价格美丽</t>
  </si>
  <si>
    <t>防滑鞋 不错，就是鞋子防滑不太好</t>
  </si>
  <si>
    <t>价格合适，如果没有prime还是买了吧 小姐姐有家了</t>
  </si>
  <si>
    <t>很好 给儿子买的，他很喜欢</t>
  </si>
  <si>
    <t>很可爱 不错，硅胶的材质，方便清洗。大小感觉比图片要小。但更实用。太大反而不好</t>
  </si>
  <si>
    <t>做工好，版型合身 160CM，48Kg，M号很合身。实物颜色比图片深一点，很好看。日版做工很好</t>
  </si>
  <si>
    <t>德国产，比飞家的好用 第一次用博朗，干净还快速</t>
  </si>
  <si>
    <t>莱斯，值得拥有 3.1的接口，速度和3.5寸移动硬盘持平，比之前我用的提高了50%，大赞，可以没有黑灰色，银色太亮眼了，也没有其他人评价的那么容易割手，莱斯一如既往值得信赖</t>
  </si>
  <si>
    <t>除了价格，其它都不错 想买3.5升的，错买成2.4升的，放办公室用也不错。材质感觉比国产的厚些，出水盖也不容易掉。</t>
  </si>
  <si>
    <t>好大一桶！ 可惜没有巧克力味的。</t>
  </si>
  <si>
    <t>性价比高敢合适 价格非常合适，功率随大，可能由于220V确实不如预想风量大，360入手</t>
  </si>
  <si>
    <t>出水比较粗 哈哈。比之前的钢笔，粗了很多，之前使用百乐的F45的。手感，这个明显比百乐的厚重。德国货嘛。当然里面的旋转，我很喜欢，第一次用，新鲜啊。出水好多，所以写出来的字厚实，每一笔都很粗。</t>
  </si>
  <si>
    <t>盖子不紧 收到时，有一个杯子没有包装，盖子设计的不好，宝宝随便一弄就松开了，</t>
  </si>
  <si>
    <t>比较厚，塑料外壳。 比预想中的要厚很多，而且外壳是塑料的。</t>
  </si>
  <si>
    <t>大小 有些小 我身高172cm体重69kg 建议买m</t>
  </si>
  <si>
    <t>不认识，没吃过 不知道啥是正品，只觉得相当模糊，包装好劣，说是二手瓶贴广告纸不为过；只不过只是觉得看着不舒服。。。也许就这样也说不定。</t>
  </si>
  <si>
    <t>干扰严重 上平衡线，声音和底噪均可接受。但抗干扰能力太差，无法适应我的桌面环境。放电脑桌上一直出现高频滴滴的蜂鸣声，无法忍受，吃灰中。解决不了自己桌面干扰的用户，慎重购买。</t>
  </si>
  <si>
    <t>很差做工 不是棉的，特别薄…质量很一般</t>
  </si>
  <si>
    <t>深度不够 别的都好，就是深度不太够，再深点就好了。</t>
  </si>
  <si>
    <t>货物不合身 这次买的同样32*32比上次同样尺寸明显宽长得多了，明显偏大，考虑路途遥远将就一下算了。</t>
  </si>
  <si>
    <t>没怎么用 孕晚期买的，用上之后感觉胎动减少就不敢再用了</t>
  </si>
  <si>
    <t>比较薄 尺寸选的比较准，175 / 80KG 选的32W/30L, 裤型还不错，就是很薄，不知道能撑多久</t>
  </si>
  <si>
    <t>有点长，太薄！ 有点长，太薄！</t>
  </si>
  <si>
    <t>必备款 五天到货价位合理。较难清洗。</t>
  </si>
  <si>
    <t>喜欢 设计很好 舒适  大方 好用 谢谢 衣料也很好</t>
  </si>
  <si>
    <t>很不错 很好看，172，70kg，s合身</t>
  </si>
  <si>
    <t>面料处理很好 这个品牌的内衣产品比国内的要好太多，还有就是日本各品牌的尺码一致性基保持很好</t>
  </si>
  <si>
    <t>合适 买了两双，41和42，我平时41半，42不嫌大，给父亲买的41的，很合脚，大小肥瘦都可以，很满意，不愧为经典。就是美亚的包装越来越简陋了，直接一个塑料袋装的鞋盒子，收到时盒子已经稀烂，好在是鞋没什么问题。</t>
  </si>
  <si>
    <t>性价比高 声音很纯净 就像是天然的泉水 听过两百多小时后会更加清晰 尤其是低音</t>
  </si>
  <si>
    <t>牛仔裤 裤子略微有点短</t>
  </si>
  <si>
    <t>鞋子很合适，大小刚好，适合脚瘦的人。 平时穿别的牌子皮鞋36的略挤，37的又大了。这双36刚好。</t>
  </si>
  <si>
    <t>合适 170CM 68KG 很合身，有点小肚子也看不出。</t>
  </si>
  <si>
    <t>物美价廉，国产出口。 动力强劲，震动感很强，所以使用时有点嗡嗡声，当然这也不算是什么问题。之前自己买了一个，这个是国产出口的，价格很不错。送给老父亲，希望他喜欢。</t>
  </si>
  <si>
    <t>轻薄，干净，非常喜欢 轻薄，干净，非常喜欢，适合手腕细一些的男生</t>
  </si>
  <si>
    <t>还不错 脚长265，货到了担心挤脚，穿上发现正正好。</t>
  </si>
  <si>
    <t>质量有保障，价格实惠 荷兰原厂生产的，至少质量有保障，充好电后动力充足。价格和某宝差不多，但是至少真啊，看着某宝上大多都是假货。</t>
  </si>
  <si>
    <t>不错的T恤 T恤本身无功无过，就是包装一打开还是有比较重的味道，先要洗洗再穿。</t>
  </si>
  <si>
    <t>稍稍有点短 本人174，76KG，买了 34w 30l，腰围正好，裤脚大小合适但有一点点短，是那种正好到鞋子的短，我喜欢裤脚有点堆积的。</t>
  </si>
  <si>
    <t>穿着很可以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</si>
  <si>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非常好的家庭存储中心 看了历史评论有点担心收到二手货，到手后检测结果是全新0通电，就是运转时隔几秒就是"克勒"一声，数据传播速度能达到200多m/秒</t>
  </si>
  <si>
    <t>满意 运输包装好，可拆卸易清洗。早上装的汤，中午还是烫的。</t>
  </si>
  <si>
    <t>如风达快递就是垃圾 手表不错的，外观好看，还很轻，走时很准。老公直接带着放水龙头下冲，没事。但是。如风达快递太坑了。很长时间不派送，经过催单后，还直接把状态改成已签收了。后面过了三天才给我送的。</t>
  </si>
  <si>
    <t>强推 这款4010真的超级好，穿上感觉不到穿了，而且很有型，穿稍紧点的衣服都没问题。80b穿l号合适</t>
  </si>
  <si>
    <t>做工不精细，中国制造，不是进口的 做工不精细，中国制造的，不是进口的，价格太贵了，不太值</t>
  </si>
  <si>
    <t>鞋盒破损严重 鞋子不错 ，鞋盒破损严重</t>
  </si>
  <si>
    <t>长度合适，腰围过大 正常体型裤长可以选平时的，腰围最好选小一个码</t>
  </si>
  <si>
    <t>这样的质量，怀疑是高仿 没穿2个月、就这个样子了。彪马官方售后说找亚马逊，亚马逊说一个月之内给换，超过时间去找官方售后。建议大家不要入手了！</t>
  </si>
  <si>
    <t>太坑了 与实际物品不符，虚假标价。😳</t>
  </si>
  <si>
    <t>一分钱一分货 确实是棉质地，看精梳度，让人明白一分钱一分货，哈哈，不值得期待的。</t>
  </si>
  <si>
    <t>包装不一样 为什么亚马逊上买的on和香港买的on桶外形差这么大，而且生产日期的印刷也不一样，谁能告诉我为什么</t>
  </si>
  <si>
    <t>捣鼓了一天，终于通了 &lt;div id="video-block-R28N3UZXO4CG7L" class="a-section a-spacing-small a-spacing-top-mini video-block"&gt;&lt;/div&gt;&lt;input type="hidden" name="" value="https://images-cn.ssl-images-amazon.com/images/I/91uDLyYpUBS.mp4" class="video-url"&gt;&lt;input type="hidden" name="" value="https://images-cn.ssl-images-amazon.com/images/I/91YVd23pCgS.png" class="video-slate-img-url"&gt;&amp;nbsp;收到货后发现里面有赠品：六粒胶囊，看评论都说没有赠品，于是开心不已。立即将机器插上电源准备用了，“悲催”的是竟然不能出水，联系亚马逊客服给了一个krups中国售后电话，却始终打不通。后来通过某猫了解到了应该是要联系雀巢售后，但联系后用加温水的办法，依就解决不了问题。期间用牙签戳过，甚至对着入水口用力吹过气等手段，然而一切都是徒劳的。最后拿掉水箱，拿出过滤网，直接往入水口加水试，一次、两次.....，有感觉了，最后终于彻底通了。设计不合理，太折磨人了！</t>
  </si>
  <si>
    <t>穿着有点不舒服 样式很好，颜色也很漂亮，但脚后跟有点磨脚，鞋子比想象的窄</t>
  </si>
  <si>
    <t>还行 虽然也与实体店买的有差别，感觉硬一些，弹性差一点，但还能穿。</t>
  </si>
  <si>
    <t>好 长短合适，质量也非常不错。</t>
  </si>
  <si>
    <t>还是派克钢笔用着最顺手 从上中学的时候就梦想着拥有一支派克钢笔，到现在几乎收全了所有的系列，嗯，是一种情怀了。</t>
  </si>
  <si>
    <t>经久耐用，时尚小巧 材质和做工不要太好，很多功能性设计注定是一款相当实用的挎包。  绿色简直太好看了，正装休闲都可驾驭。</t>
  </si>
  <si>
    <t>可以 布料什么的都可以，颜色也和图片差不多</t>
  </si>
  <si>
    <t>不错 水壶挺好的 送人购买的</t>
  </si>
  <si>
    <t>高性价比 咖啡豆不错，高性价比啊。</t>
  </si>
  <si>
    <t>方便和适用型号 小家庭很方便使用，用于750pro这一款！</t>
  </si>
  <si>
    <t>好货 两个一起买</t>
  </si>
  <si>
    <t>尺寸合适 大小正好，喜欢，能便宜点就更好啦</t>
  </si>
  <si>
    <t>橄榄绿水壶 外观漂亮，做工很好，复古味道很浓。很喜欢。</t>
  </si>
  <si>
    <t>货真价实 日期很新鲜，好大的一瓶啊，相信，美国亚马逊。</t>
  </si>
  <si>
    <t>质地非常舒适 刚好夏天，厚度刚好，很不错👍</t>
  </si>
  <si>
    <t>很好，孩子爱吃，吃完再买 很好，孩子爱吃，吃完再买</t>
  </si>
  <si>
    <t>鞋子质量不错 我43的脚，穿10M的刚好，鞋底有些硬，但考虑到是训练鞋也是应该的，总体质量不错</t>
  </si>
  <si>
    <t>完美的购物体验 鞋子很棒，600元就到手了，正品，踩屎感很不错，</t>
  </si>
  <si>
    <t>值得购买的大馒头 东西做工不错，用料扎实，是森海的声音，比一代馒头更舒服全包耳，戴着不累，大馒头真的是太经典了，出3代的话接着买！</t>
  </si>
  <si>
    <t>轻巧好用 轻巧好用，现在煮菜都用它，除了不能做带骨头的菜。本来想着要煎饼的平底锅，这个锅还是有深度的，更适合煮菜。</t>
  </si>
  <si>
    <t>买大了，牛仔裤买36的，这个看评论买大一点，太长了，自己打了两个孔 买大了，牛仔裤买36的，这个看评论买大一点，太长了，自己打了两个孔</t>
  </si>
  <si>
    <t>非常好看，手感有点像levis那款 170 128斤，M码刚好好，胸围小了点而已，暴露了我的胸肌🤪</t>
  </si>
  <si>
    <t>非常舒服 面料非常舒服，但是后面总爱贴在沟沟里，对于穿不好T字裤的我来说不适应。</t>
  </si>
  <si>
    <t>面料尺寸 喜欢，面料舒适，微弹性，好</t>
  </si>
  <si>
    <t>非常漂亮！ 质量不错，非常满意！</t>
  </si>
  <si>
    <t>磨脚 很喜欢这个牌子，以前买过几双，都还可以，很舒服，这双虽然大小合适，但脚腕太紧，还磨脚，穿了半天血都磨出来了，不知客服怎么处理？给换还是给修？</t>
  </si>
  <si>
    <t>可以用 我就是要不是羽绒的。省的钻毛。就是还有些线头需要处理</t>
  </si>
  <si>
    <t>费用大概都付给设计师和梅花标了吧。。。 外观设计出众，远优于AKG最近的一众lowb产品，比起701等也是不遑多让； 做工用料过于廉价； 声音解析勉强合格，结像能力差； 耳罩很大，佩戴较舒适； 一款帅气的廉价AKG大耳，适合办公室及个人PC日常使用，不适合正儿八经地听音乐。</t>
  </si>
  <si>
    <t>性价比高貌美 平时37.5的正常宽度脚，刚试穿非常合适，有一定内增高功能，显脚瘦，穿久了略微有点挤脚，可能亚洲人脚宽吧，总之性价比很高，也很舒服。</t>
  </si>
  <si>
    <t>差 太烂了 感觉都是旧的 瞬间一生黑</t>
  </si>
  <si>
    <t>大家海外购一定要慎重 本来想的大小应该不会差别太大，无论如何也不会去退换货的， 结果一双鞋2个尺码，真是头一次遇到，服了，还要自己去寄退回英国，真是服了。</t>
  </si>
  <si>
    <t>价格便宜 173，67kg买的S码。肩膀累窄。衣服容易起球，不过胜在价格便宜。</t>
  </si>
  <si>
    <t>海外购的价格比较实惠 音质还不错，特别是通话很清晰。电池使用时间段了点，有效距离只有4-5m作用。</t>
  </si>
  <si>
    <t>质量不错 布料很舒服，做工很好，颜色和图片中基本相同，不错。  第一次海外购，尺码掌握不好，稍大，退货麻烦，</t>
  </si>
  <si>
    <t>头大慎买 脑袋大的还是不要买这款了，带着比较紧</t>
  </si>
  <si>
    <t>还行 质量不错，很轻。 我身高180，体重82公斤，穿L码长短正好，稍微偏肥，供后来者参考。 请问是否会退税，税太高！</t>
  </si>
  <si>
    <t>几天后感受 10月19下单，10月26到手，用了几天，感觉不错，经典款式，值得信赖！</t>
  </si>
  <si>
    <t>尺寸 完美，尺寸合适</t>
  </si>
  <si>
    <t>正品 还不错，就是码比国内的大点，瘦子穿肯定大了。还好我有点啤酒肚，正好，质量不错。</t>
  </si>
  <si>
    <t>很合身 非常合身，30x32 170cm，70kg弹性十足</t>
  </si>
  <si>
    <t>舒服好穿 之前让人肉帮忙代购的，这款特别特别舒服，不过适合胸小的，大了会觉得没型</t>
  </si>
  <si>
    <t>还是不错的 刚收到货，听了一下，还是能感觉出来比煲开的dtx910强，值得拥有，32欧还是很好推响的，至于好效果用什么系统就不清楚了，呵呵，价格厚道啊，不白盯了几个月</t>
  </si>
  <si>
    <t>耳机到手 耳机终于到手，正在煲耳机中</t>
  </si>
  <si>
    <t>评论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</si>
  <si>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800毫升的，超级大 手一抖买大了，本来想买给弟弟的，以为是跟小狮子一样600毫升的，不过上商量还是很好的，贴纸自己贴，又买了三个透明吸管杯，准备出去时候拿这个带温水给他俩分。现在活动蛮好的，如果有货的话，下周再买个小狮子</t>
  </si>
  <si>
    <t>质量很好 要是有个挂绳就好了。台湾产的。做功不错</t>
  </si>
  <si>
    <t>可么多么奶瓶手感好，适合刚出生宝宝用 第一次在亚马逊买东西，下单至收货等了十二天，不知道是不是正品，奶瓶有胶味，经过各种洗，热水消毒，再加柠檬水浸泡才去味的，总的来说奶瓶还是不错的，价格便宜，只是我家宝宝一周岁了一直喝贝亲的，给他换这个就不爱喝，我个人觉得刚出生宝宝开始用这种的比较好，奶嘴很软</t>
  </si>
  <si>
    <t>适合男士用 性价比太高了，买了好多象印</t>
  </si>
  <si>
    <t>好 不错，就是图个可靠，现在的平台假货太多，只有亚马逊敢信了</t>
  </si>
  <si>
    <t>不错！ 身高182，体重75公斤，穿M码合适。衣长略长一些，面料属薄款。这个价格可以，性价比高。</t>
  </si>
  <si>
    <t>孩子不是很喜欢玩这个，啃啃还是不错的 孩子不是很喜欢玩这个，啃啃还是不错的</t>
  </si>
  <si>
    <t>码大，舒服 唯一不好的就是码大了，165，55，平时穿27或者28，这次觉得还是有点肥，裤腿啥的撑不起来，穿成宽松的版型。但是还是很喜欢，面料和做工啥的真的好，穿着舒服！</t>
  </si>
  <si>
    <t>方便 很好哦，食物放进去不易变质。而且还可以放奶嘴随时携带超级方便</t>
  </si>
  <si>
    <t>味道不错 味道比巧克力的好很多，期待有效果！</t>
  </si>
  <si>
    <t>满意 天冷要穿秋裤，买条宽松点的裤子，身高185，体重94kg，腿粗腰肥，平时牛仔裤都得w38起，看了评论，最终选择了W36L34的，腰有松紧，大小合适，这价格就不谈做工了，质量凑合。给大家一点参考。</t>
  </si>
  <si>
    <t>衣服质量好 有点大了，不过还可以凑合穿，参考数据给的不太准确</t>
  </si>
  <si>
    <t>長度標準，但是衣服比較肥 182cm64kg  买的M號  長度符合中國人規範，不會太長太短。但是寬度真的很寬，合適有肌肉的人穿，可以呈現三角身材。衣服做工很不錯，也很保暖，非常喜歡</t>
  </si>
  <si>
    <t>后期保修怎么解决？ 书写不流利，而且后期维护没办法，现在后悔死了，也退不了，不过另外一支还挺不错。</t>
  </si>
  <si>
    <t>面料一般 面料一般</t>
  </si>
  <si>
    <t>还行吧 170/55，S码，稍长一点点，稍肥一点点，其他肩宽袖长都是可以的。产地越南，包装有些简单，不碍事。但发货的这件是瑕疵品么，腰部有个小补丁。补丁和衣服颜色一致也就算了，为什么一定要用那种亮亮的绿色呢，好像怕别人看不到似的。看了以往评论，其他买家也有这样的情况，看来买衣服也如买彩票哈。</t>
  </si>
  <si>
    <t>硬板板的 太硬了……怎么穿噢………</t>
  </si>
  <si>
    <t>不好用。 这个打蛋器也就是颜值高了吧。两个打蛋头又没有安反在中高速打的时候两个打蛋头会碰撞。下次还是不要光看外表买东西了。第一次在亚马逊买东西就这么不满意，也不知道怎样联系售后…</t>
  </si>
  <si>
    <t>尺码比我买G-STAR的牛仔裤短了3厘米左右！ 尺码比我买G-STAR的牛仔裤短了3厘米左右！别人也是36-36的！！裤型一般，一份价格一分货，200多买的，最后只退了100多块钱，因为退货需要扣除125做运费，之前的税钱也不退！</t>
  </si>
  <si>
    <t>偏小 衣服本身质量可以 但是偏小  奇了怪了  以前的CK号都大一圈的</t>
  </si>
  <si>
    <t>尺码严重不准 裤子挺好，只是千万不要按照尺码表购买。尺码严重不准。32W标称82.5cm，实际上足有88cm。退货还得自己寄回英国。晕死。只能去找裁缝改了。</t>
  </si>
  <si>
    <t>性价比高 面料是全棉的，穿着舒适透气，厚薄适中，不过机洗晾晒时要小心，衣服材质属于容易变形的那种。大小合适，172/70公斤穿S号正好</t>
  </si>
  <si>
    <t>还不错 价格合适  底不是很软  看看能穿多久吧</t>
  </si>
  <si>
    <t>设计贴心 保暖性很好，透气性也很不错，八分袖设计比较贴心，主要是怕冬天露出保暖衣袖，只是还要适应一下，衣袖总是往上窜。</t>
  </si>
  <si>
    <t>保温杯 品牌质量可靠，使用方便，下次继续买</t>
  </si>
  <si>
    <t>好看舒服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</si>
  <si>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质量上乘，很棒，性价比高 给媳妇买的。尺码很正，颜色跟图一样没色差，买过很多ck内衣了这款属于质量上乘，跟在巴黎打折村的款差不多</t>
  </si>
  <si>
    <t>款式很好 挺好，款式很好</t>
  </si>
  <si>
    <t>很合适 我身高178，体重145斤，穿了正正好好。很合适，一直比较重要宽松一点的，这款正合适。</t>
  </si>
  <si>
    <t>高大上的小v 长草已久的小v终于到手了，下单后23天收货，试做了豆浆，完胜街上卖的养生豆浆，特别细腻。疑问是21号下单，25号收到清关网的短信进入清关程序，可直到收货也没有收到清关扣税信息。</t>
  </si>
  <si>
    <t>z.cn的物品靠谱，放心。谢谢！ 很好，喜欢，一次购买俩。美国回来的时间9天，也快。</t>
  </si>
  <si>
    <t>满意 舒服贴身，不痒不干。</t>
  </si>
  <si>
    <t>睡袋用了有两年 用了两年才来评论哈哈，很喜欢这个睡袋</t>
  </si>
  <si>
    <t>合适舒服 鞋不错，专柜试过来买的，6码适合36的脚穿，皮质很好，就是有几个小线头，价钱合适，比专柜便宜一半多。</t>
  </si>
  <si>
    <t>很好 鞋跟舒服，暖和，轻便。物流很快，一个星期就到了。上脚稍微有点儿紧，适合脚面低的人。</t>
  </si>
  <si>
    <t>小孩很喜欢 很漂亮，小孩非常喜欢</t>
  </si>
  <si>
    <t>非常喜欢 想买利其尔的杯子，可是一直觉得花式一般，一直没下手，后来发现出了这款pokemon，真的毫不犹豫下手了，然后朋友见到也很喜欢，再帮忙买了两个，还有朋友想买😄</t>
  </si>
  <si>
    <t>完美 不错哟 大小合适的样子</t>
  </si>
  <si>
    <t>cool 非常舒服，手感很柔软，十几度的成都穿完全OK，价格比商场的便宜好多，划算爆咯</t>
  </si>
  <si>
    <t>还行 大小合适，容量较大。带子偏薄。前面的口袋进出不便。</t>
  </si>
  <si>
    <t>速度快 很好用，速度超快至于糟心嘛我觉得还是在可以承受的范围之内的，打出来的果汁口感也特别好！</t>
  </si>
  <si>
    <t>硬盘质量 硬盘包装很简单，一个大纸盒子里直接装了一个小盒子，然后一路咣当到中国，清关的时候花了好几天，买回来全扫显示没有坏道，速度还可以，噪声方面，只要放地上就没那么大声，放在桌子上声音比较大，另外硬盘显示有四次使用记录，未正常断电，累计时长为零，应该不会有问题，目前正在使用中</t>
  </si>
  <si>
    <t>非常好 是厚款，但手感柔软。大小长短合适。比在国内购买便宜多了。</t>
  </si>
  <si>
    <t>与描述不一致 塑料雨衣的感觉。透气性不好。厚度只能春秋穿。</t>
  </si>
  <si>
    <t>客户体验不好，给1分 买的小了，但是不知道如何办理退换货，好郁闷啊，页面也没有详细的介绍，感觉客户体验做的十分差..</t>
  </si>
  <si>
    <t>德国海外购的运输比其他的国家都慢 和其他国家的订单一起下的，发货最快，可是其他国家的订单都到齐了，这个迟迟未到，德国的运输需要加强啊。</t>
  </si>
  <si>
    <t>只能说勉强 相对这个品牌来说，实物的质量做工结合价钱来说，只能说勉强吧。</t>
  </si>
  <si>
    <t>假货 假得有点过分了</t>
  </si>
  <si>
    <t>左右脚宽度不一样差差差 左脚比右脚宽好大 好明显 走路不舒服 看起来特别明显 穿出去好丢人 又不好退邮费贵 ？为什么会犯这种错误？</t>
  </si>
  <si>
    <t>还是喜欢的 刚开始用感觉声音还是不错的，操作也灵活，可惜的是防伪查询失败</t>
  </si>
  <si>
    <t>鞋子做工可以 25cm的脚长，买了26cm的，想想要是买大了点，可以加双鞋垫。没想到刚刚好很合脚，不过感觉再大一码更舒服。 怎么过了两周，价格便宜一80元呢， 变动真快。</t>
  </si>
  <si>
    <t>性价比高，样式不错，做工毛糙了些 第二双三瓣鞋了，穿着还是舒服的，但是做工有点毛糙了，小部分皮质有点问题，总体还过得去，性价比高</t>
  </si>
  <si>
    <t>很不错的裤子 很不错的裤子，穿起来很舒服，有弹性，不会觉得紧</t>
  </si>
  <si>
    <t>没有这种衣服的对比表 裤子质量很好，就是衣服太肥了，如果亚马逊能将国外衣服型号与国内型号有个对比表就更好了。</t>
  </si>
  <si>
    <t>感觉还可以 感觉还可以，效果不是一天两天能提现的。</t>
  </si>
  <si>
    <t>不错 大小合适，也挺好看的</t>
  </si>
  <si>
    <t>质量非常好 超级喜欢，包装真的很用心。</t>
  </si>
  <si>
    <t>好用的彩铅 以为要20天可是11天就到了！铅笔也好用的不得了，非常满意</t>
  </si>
  <si>
    <t>布拉布拉布拉 压脚尖。够硬。踢不烂</t>
  </si>
  <si>
    <t>还没有 还没有，龙头倒是挺好用的</t>
  </si>
  <si>
    <t>太大 太肥了。买之前一定按尺码表的买基本不会出错。意大利产地。质量很好，就是太大。本人高183重190，l码正好。</t>
  </si>
  <si>
    <t>包装真的太好了 用塑料膜固定这个商品的包装盒，太完美了，不像许多客户说的收到破的商品，真怀疑是不是有些人言过其实，或者自欺欺人。</t>
  </si>
  <si>
    <t>尺码正 171cm，75kg，大小正好，面料很好</t>
  </si>
  <si>
    <t>商品颜色有些做旧 牛仔裤似得面料，有点像工作服，L的适合180CM穿的</t>
  </si>
  <si>
    <t>还不错 不错.铂金色很有质感.做工细节差点.音质不错.</t>
  </si>
  <si>
    <t>满意 刚好合适，衣服很柔软。</t>
  </si>
  <si>
    <t>型男的朋友 版型不错，体型差谨慎</t>
  </si>
  <si>
    <t>五星推荐 超级舒适，正码37不大不小，五星推荐</t>
  </si>
  <si>
    <t>好 穿着啊好舒服，很喜欢！不错</t>
  </si>
  <si>
    <t>第一次买索尼的 这个价格的头戴式蓝牙耳机，性价比超高，音质也不错，续航给力，出差坐车坐飞机总带着</t>
  </si>
  <si>
    <t>很好 做工正规，结实耐用</t>
  </si>
  <si>
    <t>不错 好衣服，穿着舒服</t>
  </si>
  <si>
    <t>冠军休闲运动服 喜欢该品牌的东西，布料较厚实柔软舒适，休闲运动都不错，买了两套服装都比较喜欢。活动期间购买优惠</t>
  </si>
  <si>
    <t>巨人的衣服 1. 很棒的衣服，布料很厚实，穿上很舒服。 2. 尺码跟传说的一样大。 3. 我1.78米，76Kg，选的M号，正合适。   国内的衣服一般要穿XXL，有点伤自尊。 4. 这款衣服，选正确了尺码，就是一次愉快的体验，选错了尺码，买的就是面袋。</t>
  </si>
  <si>
    <t>推荐尺码不合适 买长了，看着还不错，就是用不了</t>
  </si>
  <si>
    <t>一般吧 没有看上去那么有份量，包装和logo模糊不精致应该也是国内产品，中评</t>
  </si>
  <si>
    <t>太大了 不喜欢 商品太大了 退货也不好处理 还需要自费运费</t>
  </si>
  <si>
    <t>不满意 非常不好的一次购物，包装盒是comotomo，里面的产品是别的品牌，而且奶嘴上面都是脏的点点，联系客服后，让办理退货，但是要先垫付邮费，寄往美国，很不开心。后将情况以邮件形式反映，直接给办理了退款。遇到这样的事情，以后不敢在这买了，之前一直很信任亚马逊。</t>
  </si>
  <si>
    <t>东西比较正中 没想象的好，一般穿穿</t>
  </si>
  <si>
    <t>好评 速度没有什么惊喜，读取速度还行，写入速度挺慢36.7MB/S，价格还不错。做工太粗糙了点，伸缩的接口不太方便，不如sandisk CZ48好用，速度也没CZ48块</t>
  </si>
  <si>
    <t>好吃 很好吃，家中小宝很喜欢。但是不太懂EPA为什么高于DHA</t>
  </si>
  <si>
    <t>很帅！质量很好，就是味道太大了！ 买的第二双了，感觉棕色比黑色好看啊！这次终于买对码数了！耐克穿45.5，这个买了11.5D，很舒服。鞋不用说，质量很好，唯一不足的就是这次的鞋有很重的味道，很难闻！</t>
  </si>
  <si>
    <t>满意 是夏天穿的，比较薄，质量不错。散腿的就长不少</t>
  </si>
  <si>
    <t>尺码准确 穿着舒适 我是非常标准的265脚码，8.5UK比美码9.5M还准确，物流十天到手。这款鞋外形可能有人不喜欢，但上脚后非常漂亮，其乐的互动气垫技术不是吹的，像踩在棉花上一样舒服，是我穿过最舒服的鞋，做工和皮子都非常不错，强烈推荐。</t>
  </si>
  <si>
    <t>不错！ 款式新颖，时尚潮流！</t>
  </si>
  <si>
    <t>好看又实用！！ 图案真的很可爱啊！！比自己海淘方便多了！！</t>
  </si>
  <si>
    <t>款式不错 不错，效果很好，与预想的一样</t>
  </si>
  <si>
    <t>超轻，舒服 舒服，超轻，放松双脚，就是码确实有一点大，不过还是不错滴</t>
  </si>
  <si>
    <t>东西很棒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</si>
  <si>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好用的，在日本也买了很多家里都囤这个和那个贼软那个。 好用的！！！！家里都囤货呢！！！不喜欢用超声波牙刷了改用这种了！！</t>
  </si>
  <si>
    <t>调音取向和以往不同 以前有过一个一代，调音取向和三代不太一样，三代的不太喜欢。</t>
  </si>
  <si>
    <t>还是比较喜欢的 穿着还是比较舒服的，秋冬运动、跑步必备。</t>
  </si>
  <si>
    <t>喜欢 正在煲机，音质不是一般的好，本人不是专业人士，头一次买这么贵的耳机，奢侈一把。</t>
  </si>
  <si>
    <t>挺好的 下单大半个月才收到，应该是个人信息核对那里比较拖时间，发了货之后就很快送到了，而且快递小哥人超级nice。耳机还没煲，但感觉已经够用了。</t>
  </si>
  <si>
    <t>罩杯选小一码 按照尺寸表正好介于AB罩杯之间，选了A杯会有点压胸而且会挤出沟（据说这样就是罩杯小了），所以一般按照平时尺寸减一个罩杯就行。</t>
  </si>
  <si>
    <t>不错 喜欢大包装很合适吃着</t>
  </si>
  <si>
    <t>颜色好看，超轻 日亚包装很好，杯子颜色漂亮，轻巧方便，正是我想要的。</t>
  </si>
  <si>
    <t>够大 不错，够大了，备用</t>
  </si>
  <si>
    <t>偏宽松的鞋型，喜欢紧凑的绕道！ 第二次买，不解释！</t>
  </si>
  <si>
    <t>超高性价比 刺绣非常精致，内衬手感舒适，很软，很舒服。非常性价比的体验。</t>
  </si>
  <si>
    <t>性价比 Lee的品牌，至少比国内的商家实在的多</t>
  </si>
  <si>
    <t>太大太大太大了 根本没法穿，太大了，冠军的衣服质量还是不错的，但是这尺码真心看不懂，海外购来的也不好因为这100块不到的东西去折腾，送朋友穿了，他整天穿着不肯脱，气死我了。</t>
  </si>
  <si>
    <t>和正品不一样 越看越像假货</t>
  </si>
  <si>
    <t>Calvin Klein Men's Underwear Made in Kenya, the quality is not so good. And the problem is I don't know how to choose the size, last time I bought Middle size, it's ok for me, but I don't know why I still choose the same Middle size, it's a liitle small then previous one.</t>
  </si>
  <si>
    <t>刷毛硬 刷毛好硬，跟国内酒店的一次性牙刷一样</t>
  </si>
  <si>
    <t>是不是正品 第一次在网上买，口感和味道跟我在美国带回的有点差别。给孩子喝的，心里比较忐忑</t>
  </si>
  <si>
    <t>衣服掉色严重，不建议购买 印度产，黑色掉色严重，已用过再洗两次，水都是黑的，对这牌子质量失望</t>
  </si>
  <si>
    <t>还算满意 dhl国内顺丰，一个星期。皮质很好，东南亚生产，不满意那条拉链，用什么拉链，不好拉。国内竟卖1599，傻才买。</t>
  </si>
  <si>
    <t>海外不能换货 这款鞋子是不错的，本人穿就是偏大，</t>
  </si>
  <si>
    <t>目测外观不错！ 目测外观不错！但愿可靠性，稳定性好一些。</t>
  </si>
  <si>
    <t>无 比国内c k同码数好像要窄一点</t>
  </si>
  <si>
    <t>综合评级 一直在用西部的便携硬盘 手里7/8个了 性能稳定 噪音小 没有受电压因素无法读盘的问题 最近买的两个西部盘2T和4T均出现数据线质量问题，其中4T还是海外购。都是数据线问题，接上后硬盘灯亮，半天不出现盘符（无法认盘）！ 更换原先的老线，2秒就识别可用了，希望西部加强数据连线的品控。不要因数据线的问题导致退货，毕竟不是所有购买者都有多余的数据线的！</t>
  </si>
  <si>
    <t>捡到宝了 超级舒服，做工真心好，穿着舒适，暖和，贴身，弹性也很好，更重要的是某猫旗舰店同款卖到400多，亚马逊海外购简直良心啊！</t>
  </si>
  <si>
    <t>尺码比较足 26.3的脚，宽脚，肥瘦合适，长度大概有0.5的空余，此鞋尺码比较足</t>
  </si>
  <si>
    <t>是我想要的 先说产品：价格公道，产品中规中矩，不是专业人员无法评估产品，个人感觉不错。 尺码是系中间孔的周长！尺码是系中间孔的周长！尺码是系中间孔的周长！宽度3cm。国人审美应该更喜欢宽一点的，但窄显腿长，我是认真的。 再说购物体验：就本次而言很完美。下完单就降价又没价保本来很沮丧，打客服一个小哥哥大义凛然说无法解决，还好第二次一个小姐姐出面开了绿灯返还了差价。 严重建议：要加入价保功能，不然严重影响购物体验。刚下单商品正在路上你跟我说价格下调20%？什么心情各位自己体会！反正没有那个小姐姐我是一定会退货的，在此表示感谢！</t>
  </si>
  <si>
    <t>颜控  做工细致 按扣设计，罩衣覆盖范围大，非常实用，颜值高，车边整齐，除了贵没毛病。</t>
  </si>
  <si>
    <t>Bosch 博世TWK7S05 电水壶 外形很好看，冲着品牌去买的。</t>
  </si>
  <si>
    <t>尺码参考 178cm，72kg，腰围84cm，这个码正好</t>
  </si>
  <si>
    <t>德国制造 大盒装，德国造</t>
  </si>
  <si>
    <t>很好 非常好，我手细很合适</t>
  </si>
  <si>
    <t>超高性价比 非常高的性价比！国内专柜仅够零头。</t>
  </si>
  <si>
    <t>大小合适，穿着舒服。 大小合适，穿着舒服。</t>
  </si>
  <si>
    <t>as expected 用了几天，很好，符合预期</t>
  </si>
  <si>
    <t>超值 超值的商品，买了好几次。300以下都值得入手，送人拿得出手。</t>
  </si>
  <si>
    <t>一开声就很棒！不过就是没搞清楚亚马逊为何卖这个价？？ 耳机还行吧  几年用的是第二天，感觉很震撼！不愧是拜亚！三频都很棒！声音主要还是偏向人声监听的。我就是没搞清楚为什么卖这个价！不赚钱了啊！强调一下现在在用手机直推250欧的，一点也不失望！！！不过我还是没搞清楚为什么卖这个价！ 翻新的啊？</t>
  </si>
  <si>
    <t>非常超值，普通青年必备，实用主义首选。 海外购买的，第一次下的订单等了10天没有物流的状态更新，客服说可能是丢了，客服立马给我又下了一单。我看是礼品卡支付的。 手表收到后，很惊喜，性价比还真是高。两百多的手表，没有一点做工的瑕疵，规规矩矩的。 最最惊喜的是，这个手表是带夜光灯的，右侧的旋钮按下去，表盘就亮了，我想这也是叫easy reader的原因吧，但是官网并没有写啊。 总之是非常超值的。</t>
  </si>
  <si>
    <t>很满意的一次购物 东西很好，物流也在合理范围内</t>
  </si>
  <si>
    <t>亚马逊客户 非常好，就是衣袖有点点长，可能是美国人的手臂长点的缘故，</t>
  </si>
  <si>
    <t>版型很好 很瘦，要大一码才可以，版型很好，适合脚非常瘦的人</t>
  </si>
  <si>
    <t>可以 印度产，S码，标注的是腰围71-77cm</t>
  </si>
  <si>
    <t>复古 外观漂亮复古喜欢！就是走针声音有点大</t>
  </si>
  <si>
    <t>袖子偏细 袖子偏细，胳膊粗的谨慎购买。</t>
  </si>
  <si>
    <t>大了 这款173 85KG 有点大了，这个面料棉含量很高，但是比较容易变形。同一品牌同一尺寸不同款大小不同。</t>
  </si>
  <si>
    <t>一般，感觉pny没落了 做工不好，读写速度还行，用了一个月才送到，慢。</t>
  </si>
  <si>
    <t>棉服 一分价钱一分货，只能这么想！</t>
  </si>
  <si>
    <t>走字不准 走字不准，大概一天会慢五分钟的样子</t>
  </si>
  <si>
    <t>只收到钢笔，没有笔芯。 只收到钢笔，没有笔芯。</t>
  </si>
  <si>
    <t>质量不行，音质不错 签收后，使用不到两周就坏了，无法开机无法充电。音质不错，可惜质量太差。</t>
  </si>
  <si>
    <t>杯子是中国制造的 24号发货的，27号就收到了，这么快的速度，不知道是不是真的从日本发货的。狮子杯居然是made in China，晕！如果不是广发卡优惠减一百肯定不会买！</t>
  </si>
  <si>
    <t>厚了点 夏天穿感觉有点厚，不想说什么了</t>
  </si>
  <si>
    <t>和图片一致 帽子面料柔软 有点像麂皮步的 还不错</t>
  </si>
  <si>
    <t>号大 号码比国内实体店大至少半号到一号，两只都有磨损划痕，如果是猫狗家可能就退了，可是海淘嘛，加上非完美主义者，又是这种皮质，买个冬天厚羊毛鞋垫，穿起来也是美滋滋。总之差强人意吧。</t>
  </si>
  <si>
    <t>质量好，就是耐用度有点低，每月需更换一次 质量不错，家里正常饮用水。整一个月，就得换一次，要不就会有水锈</t>
  </si>
  <si>
    <t>物有所值 非常不错的质地，完全符合我的期望</t>
  </si>
  <si>
    <t>由于在亚马逊买的东西太多，已经没有办法详细一一评论。为什么买的多，当然是因为东西好。不相信的可以看我买过多少东西，我绝对是亚马逊的死粉了。。原谅我只能复制粘贴。。 由于在亚马逊买的东西太多，已经没有办法详细一一评论。为什么买的多，当然是因为东西好。不相信的可以看我买过多少东西，我绝对是亚马逊的死粉了。。原谅我只能复制粘贴。。</t>
  </si>
  <si>
    <t>OK 还没用，看上去不错，先放放</t>
  </si>
  <si>
    <t>尺码 属于细长款式, 需要买大半码。我买前碰巧在实体店试过，我的常规码数41.5码夹脚，试42码非常好，所以订了42</t>
  </si>
  <si>
    <t>满意 专柜试过后海外淘。海外国内价格差太多了。穿着舒适，价格合理，很满意。</t>
  </si>
  <si>
    <t>超值入手 亚马逊给力！ 之前一直惦记着K701，看到这个价格毫不犹豫的入手了，么有耳放用电脑直推的，个人以为听上去已经比UE900舒服多了，慢慢煲吧，相信以后上耳放后会更惊艳！  好评！</t>
  </si>
  <si>
    <t>满意 很不错 质量很好 吸附也很牢固 但这种毕竟是吸附到表面 不是粘到桌子上 也不能要求太高啦 个人感觉非常棒！宝宝也喜欢 宝妈们放心买吧 挺实用的</t>
  </si>
  <si>
    <t>值得购买 身高183，体重93公斤，穿XL舒适宽松，非常满意。</t>
  </si>
  <si>
    <t>质量无问题 腰围 84，买的 34 码，穿牛仔裤最后一个孔还是有点大，买 32 的就好了，还能便宜 30 块钱。</t>
  </si>
  <si>
    <t>象印保温杯 水杯轻盈，橡胶气味不大，女儿非常喜欢</t>
  </si>
  <si>
    <t>好大一盒 孩子非常喜欢，很漂亮的外盒，完好无损</t>
  </si>
  <si>
    <t>过大 质量可以，但是偏大，我175CM,85KG，XL的大，如果买L的就正好</t>
  </si>
  <si>
    <t>卡西歐G-SHOCK系列G-5600E-1DR 優點：太陽能供電，電力更持久；超級經典的5600，八邊形錶盤；非常漂亮，簡約之美；外觀嶄新，無任何瑕疵；泰國製造，做工特別精緻；多語言說明書，附有簡體中文和繁體中文；錶盤高度較低，可以縮進衣袖裡面，天冷的時候戴著也很方便。缺點：暫未發現。</t>
  </si>
  <si>
    <t>性价比高 身高180，体重75，有肚腩，穿起来很合身，也很舒服，便宜啊</t>
  </si>
  <si>
    <t>不错，以为是老款西铁城芯，收到是精工 不错，以为是老款西铁城芯，收到是精工</t>
  </si>
  <si>
    <t>很喜欢 很喜欢这幅耳机的声音，特别是解析度很高，很多小细节都听得出来，古典交响乐真的没话说。 不过怎么总感觉有点偏音，左耳比右耳声音大，可能我是新手不懂这些，有没有高手指导下啊？？？</t>
  </si>
  <si>
    <t>汉斯格雅花洒，品质不用说 朋友说很好</t>
  </si>
  <si>
    <t>价格合适质量好 价格合适，质量好，值得购买</t>
  </si>
  <si>
    <t>还可以 这样价格抢到还算满意，质量不错，贴身有点紧，应该是自己比较胖吧！</t>
  </si>
  <si>
    <t>好 大小合适，物美价廉</t>
  </si>
  <si>
    <t>量少，稍贵 还不错，才开始吃，就是量太少了，一个大瓶子装了30片，只盖着瓶底。</t>
  </si>
  <si>
    <t>很棒 用了，手感不错，而且好溶</t>
  </si>
  <si>
    <t>henhao 囤货的还没有使用，好看</t>
  </si>
  <si>
    <t>图文不符, 产品介绍跟实际性能存在差距 1、实物与介绍的产品图片对比， 图片中有四把刀片， 但是实际收到的商品是三把刀片， Meat Blade变成了一个量杯。 2、另外比较严重的问题是转速达不到标称的参数值。 按照介绍最高可以达到18000 rpm， 但是实际使用的情况是感觉是二档连一档标称的10000 rpm都达不到，不知道是不是我收到的商品存在质量问题，或者是产品本身的性能就是达不到宣传的转速指标。精确的空载转速有待用专业测速仪测试了才知道。</t>
  </si>
  <si>
    <t>太大，太长 这个衣服也太大了吧，平日穿XL的，买了L的还大很多，本人身高有178，可是也是长很多，不适合</t>
  </si>
  <si>
    <t>～ 物流超级慢，鞋也偏大，退货运费太贵</t>
  </si>
  <si>
    <t>假货 假货，还不如国内的。</t>
  </si>
  <si>
    <t>速度快，发货质量一般 3月8日下单的。15日到货。速度蛮快。美中不足的是，他们用袋子装了发货过来的。里面奶瓶的盒子已经比较破烂了。</t>
  </si>
  <si>
    <t>瑞士产！ 希望滤芯质量能有保障才选择从亚马逊德国网玩购买，收到后发现是瑞士产，心有疑虑！还未使用，旦愿没问题！</t>
  </si>
  <si>
    <t>一般般吧 今天穿了，确实掉档，太尴尬了，丝袜还行，这天气中原地区穿还行，再冷就不行了</t>
  </si>
  <si>
    <t>弹性一般 还可以 弹性一般</t>
  </si>
  <si>
    <t>很漂亮，很简洁，很容易操作 和国内在热卖的料理机相比，这款粉碎机设计的非常人性化，红色部分是电机控制等驱动部件，电源线平时可以绕在上面。下部容器是塑料的，容器上面还有个方便取下的带孔上盖，这个盖子把装食物的容器和上部驱动电机分隔开。 使用时，把刀片先放好，下部容器中间有一个小突起，和刀片中心孔吻合。然后放入待粉碎的食物，盖上盖，正确盖好刀片杆会套在上盖的中心孔，盖上红色的电机部件，很容易盖，对准中心即可。插上电源就开始粉碎了，没有什么选择按钮开关等，直接，简洁。 由于装食物的容器有上盖，把食物和电机部件隔离，电机部件不与十五接触，不需清洗，粉碎结束只需清洗容器及上盖和刀片即可。 放入食物的量可参考说明书给的一个表，有食物种类，和粉碎时间（s), 说明书有德文，英文，朝鲜文，等多种文字，就是没有中文。 可能的缺点：由于刀片和驱动电机的连接不是刚性链接，需要容器底部的凸起点支撑刀片驱动杆，高速旋转的刀片驱动杆和容器底部凸起点的摩擦会不会导致底部塑料凸起点有塑料粉末产生？也可能不会。</t>
  </si>
  <si>
    <t>合适的内衣 不错，很好的内衣，大小合适，面料薄，舒适。173，79，L刚好。</t>
  </si>
  <si>
    <t>荷兰原产、很不错 荷兰原产、很不错</t>
  </si>
  <si>
    <t>非常棒 质量很好，厚实。典型的美版尺码，尺码表很准。</t>
  </si>
  <si>
    <t>以后我就认nimbus这个型号 这款鞋非常适合我的脚，穿着脚前掌宽阔舒适。鞋子好不好，只有自己的脚知道。缺点就是贵，再就是鞋底好像没有亚瑟士ahar+耐磨橡胶的字样，不知鞋底耐磨不</t>
  </si>
  <si>
    <t>鞋挺好，码不对 鞋不错，就是码不对，8.5是41的，不是42的。鞋里面有码，就是页面不标</t>
  </si>
  <si>
    <t>版型超好的一条裤子 平时27，这个27腰部稍稍宽松，但是弹力好，穿着合身，26应该更修身。面料较薄适合春夏秋穿，上身非常柔软舒服，版型好。满意！</t>
  </si>
  <si>
    <t>过大 很大，S码都很肥，质量很好，有点弹性，但没有兜，图片这个没拍出来</t>
  </si>
  <si>
    <t>好极了 一直买不到ecco很合脚的鞋，不是码数偏大就是脚感僵硬，这双算是改观吧，比平常尺码小一号正好，调整了系带，包裹性不错，脚感也特别舒服。防滑效果好极了</t>
  </si>
  <si>
    <t>走时精准 这款手表很有质感，外观大气，尺寸和重量都很符合我的要求，带了几天了，最主要走时很准，希望它会一直陪伴我，好评</t>
  </si>
  <si>
    <t>吸力大 很好用，吸力大宝宝拿不起</t>
  </si>
  <si>
    <t>合适 175 70kg M码合适。厚薄适中。唯一美中不足是内标签太多且还是老式缝制上去的，还要自己动手取下。否则影响穿着体验。</t>
  </si>
  <si>
    <t>棒棒哒 特别棒的心心念了很久，终于找到了喜欢的颜色，没有评论中所说的沙眼，简直完美！</t>
  </si>
  <si>
    <t>海盗船u盘 物流挺快的，u盘主控是银灿的，写入33m，读取110m，还可以吧。</t>
  </si>
  <si>
    <t>漱口水 超级大的漱口水 好用呀</t>
  </si>
  <si>
    <t>一直使用的产品 一直使用的产品，对我来说很有效果</t>
  </si>
  <si>
    <t>尺寸 尺寸差不多，刚好合适，我168，体重115斤，健身的，m码刚好，还有点显身材～好评呀～</t>
  </si>
  <si>
    <t>价格不错 虎牌这个杯子好像很火，出现频率很高。日亚海外购买的，经常断货。</t>
  </si>
  <si>
    <t>好 口碑产品很不错的！棒</t>
  </si>
  <si>
    <t>一般。 笔尖比较粗。笔尖比较粗。笔尖比较粗。笔尖比较粗。</t>
  </si>
  <si>
    <t>需小心使用的牙刷 中国生产，HX939W，产品需小心使用。使用半年就坏了。维修中心说可能摔了，虽然外观无任何损坏，只能补差价362元换新，不支持维修。</t>
  </si>
  <si>
    <t>有一件有霉点 有一件有霉点感觉是积压造成的，懒得退了，其他两件质量还行，希望亚马逊注意质量问题</t>
  </si>
  <si>
    <t>小，缩水严重，拿到手就有小孔 质量如题，本以为和美国超市一样，实际是淘宝货。这是ck最惨的一次，</t>
  </si>
  <si>
    <t>不是新鞋 发的是别人试过的退货，而且刚买完就降价</t>
  </si>
  <si>
    <t>两裤管不一样宽 两个裤管腿围脚围不一样，一个宽松一个紧，很明显，误差2CM。这是我历来买的裤子最奇葩的一条，又没有客服能联系。</t>
  </si>
  <si>
    <t>总体满意 鞋子应该不适合冷的天气，鞋子中后段有收窄的效果，光脚穿很显脚瘦，鞋面有几处划痕，不仔细看不察觉，总体满意。235cm瘦脚穿这个码挺合适，穿厚点的袜子包裹感很强。</t>
  </si>
  <si>
    <t>保温效果一般 保温效果一般，虽然是保冷杯，但是热水温度下降较快，听亲戚说正常4个小时是可以的，但是实际使用时发现并不那么如意</t>
  </si>
  <si>
    <t>还可以 1米75，85公斤，比较合身，袖子稍长。很轻就是穿上有哗哗的声音。</t>
  </si>
  <si>
    <t>奶嘴型号不对 盎司奶瓶配了2号奶嘴，应该是1号啊？ 2个8盎司奶瓶配了3号奶嘴。应该是2号啊？ 一盒奶嘴2个，选择1号，实际是1个1号，1个3号。 怎么回事？？？</t>
  </si>
  <si>
    <t>衣服 衣服质量还行，价格实惠，没有模特穿的好看</t>
  </si>
  <si>
    <t>包装不错 速度还是比较快的，刚拆开，还没使用，看着感觉还不错，挺轻的</t>
  </si>
  <si>
    <t>不错 速度很快 性价比高 很好</t>
  </si>
  <si>
    <t>很好 非常不错，做工很好，穿着舒适，透气性那就不用说了</t>
  </si>
  <si>
    <t>比预想中要好 170.66穿s稍微长一点点，比预想中要好，性价比还是很高的</t>
  </si>
  <si>
    <t>好评 还不错吧，比在国内买便宜，鞋子不错，就是脚后跟有点大、</t>
  </si>
  <si>
    <t>好看的 比较薄，很适合夏天。</t>
  </si>
  <si>
    <t>尺寸 身高172，体重80，上身稍大</t>
  </si>
  <si>
    <t>真品 这个可以正宗的</t>
  </si>
  <si>
    <t>好用 好用，时间长了会漏水，中国产的</t>
  </si>
  <si>
    <t>万能帮手？ 比代购便宜很多。洗菜洗排骨、煮汤、炒菜都很好用，只是一个锅要用完了洗。不能炒鸡蛋的会糊锅。说是底部不能碰水洗起来比较不那么方便。菜谱是德文的看不懂。整体好评。</t>
  </si>
  <si>
    <t>我的御用丝袜~厚木 亚马逊直邮很给力，一直很喜欢厚木家的丝袜，材质上乘，喜欢他家丝袜有脚型的这种设计，第一次买9号色号，太好看了，以后就这色号了</t>
  </si>
  <si>
    <t>不错 第一次海淘，为了宝宝，货运速度比想像的快，但是收到货后打开外面的快递盒，里面的奶瓶已经跑出来了，居然没塑封，希望是正品，不过奶瓶真的好萌好可爱，手感也很好，希望宝宝能喜欢</t>
  </si>
  <si>
    <t>厚实牢固 腰围34，根据推荐买了36码，正合适。皮质厚实，比较耐用的感觉，颜色比图片淡一些，做工还是很扎实的，一百出头很可以了。</t>
  </si>
  <si>
    <t>你的时候就想说明了一切 我说你的生活方式！！</t>
  </si>
  <si>
    <t>划算 码数很准，比tb官方店便宜一半，鞋底蛮舒服的，也不磨脚，但是走久了还是有点累</t>
  </si>
  <si>
    <t>比较贵的笔芯 笔芯写字时候有点动，颜色不错</t>
  </si>
  <si>
    <t>实物与图片对比 我感觉实物比图片好看，做工比较好</t>
  </si>
  <si>
    <t>快买 泰产 油皮无暇精彩质感 码很准</t>
  </si>
  <si>
    <t>超值 很不错的！发货快，10天就从加州到了国内，真是神速！东西很棒，价格美丽！</t>
  </si>
  <si>
    <t>美貌牙刷升级版 拍下一周就到了，好快，用sonicare几年了，终于试下升级版。开始以为没杯子，到手发现是换成了矮底座，也不错。电源是两孔浴室版，不必担心不方便</t>
  </si>
  <si>
    <t>比某宝便宜，希望是正品 挺划算，物流很快，两把不同颜色的，换着用，用后追评</t>
  </si>
  <si>
    <t>价廉物美 还可以的，包虽少但容量大。</t>
  </si>
  <si>
    <t>炭粉泄漏 每次换新滤芯后，反复过滤五六次仍然会有炭粉，以前买的德版过滤两次就没有了，不同地区产的生产工艺还不一样麽！？</t>
  </si>
  <si>
    <t>特价 表壳有瑕疵，无打磨。机芯稳。总体属于特价货。不亏。</t>
  </si>
  <si>
    <t>塑料感太强 速度中等，备份用吧！！！</t>
  </si>
  <si>
    <t>居然少了一根 居然里面少了一根946，为什么会发生这种情况</t>
  </si>
  <si>
    <t>太大了，色差太大，老头穿都嫌弃 1. 特别大。仔细查看了很多数据，还是很大，主要是袖子上半段，特别肥，和做戏的衣服没区别，没法穿。 2. 色差大。买的黑色，拿到手，看起来是从灰尘里拿出来的一样，因为有一点磨毛面，更难看。 直接给老人穿了。</t>
  </si>
  <si>
    <t>的确 表面的确很容易花。而且我发现一个特别奇怪的事情，它指针大多都对不上数字。 而且表带带久了放在桌面上就不是和买来一样平平的。（是不是废话，不要打我） 不过感觉还是不错。</t>
  </si>
  <si>
    <t>宽松舒适 宽松舒适，大小长短正好。</t>
  </si>
  <si>
    <t>还不错，毕竟便宜。 质地挺舒服，但是有不少线头，感觉做工略廉价，不过这牌子也就是美国超市货，不像国内给做成了中高端…</t>
  </si>
  <si>
    <t>还不错 用了过后，口气比较清新，保持的时间也比较长。</t>
  </si>
  <si>
    <t>对想买这款产品的小伙伴的建议 没有好的前端还是不要买这款，推不动的。。。有好前端的也用不上买这款。。。定位很尴尬。。。</t>
  </si>
  <si>
    <t>质量还不错 春夏秋正好，版型也好</t>
  </si>
  <si>
    <t>衣服尺寸刚刚好，穿着舒服 衣服尺寸刚刚好，穿着舒服</t>
  </si>
  <si>
    <t>衣服 不错，刚合身，款式也喜欢，174s码</t>
  </si>
  <si>
    <t>挺不错的 第一次买亚马逊海淘产品，9天时间就到了，产品没有中文说明书，只有自己到网上去找 东西不错</t>
  </si>
  <si>
    <t>尺码合适，质量不错 183cm,67kg，买的30*34，感觉正合适，摸起来手感不错，略厚，颜色不太好看，其他的都挺满意的，比起实体店六七百的售价划算很多</t>
  </si>
  <si>
    <t>性价比超高 后来补入的一款，之前活动款没了，价格涨了十几元，还是很划算的。质量不错，家人一人一个杯子，满意，黑五期间入手确实赞</t>
  </si>
  <si>
    <t>Tiger虎牌儿童保温杯。。。。。 东西不多，开水一点不会漏，但是出水口的橡胶垫圈容易被小孩抠下来，找不到。</t>
  </si>
  <si>
    <t>舒服凉快 非常舒服</t>
  </si>
  <si>
    <t>合适 大小合适，穿起来很舒服，原来皮鞋买43的，凉鞋买44的合适</t>
  </si>
  <si>
    <t>很好 特价入的，相当超值，强烈推荐</t>
  </si>
  <si>
    <t>性价比高 图片看起来很大，实物大小如图，可参照便利贴。美亚直邮，物流迅速、包装完好，外壳没有划伤或使用痕迹，使用起来有轻度噪音但可以接受，与另一个WD移动硬盘间移动数据，存储速度80-110MS。唯一要吐槽的就是自带的WD软件，需要在线下载安装，在国内不采取一定方式无法一键安装。</t>
  </si>
  <si>
    <t>手感很好，用习惯了 在其它地方买到假货，还是这个正宗，一笔就知道真假，用这个笔芯习惯了，一直买，就是有点贵</t>
  </si>
  <si>
    <t>正品很好看 正品很好看，但是表带断了很伤心</t>
  </si>
  <si>
    <t>非常棒，值得购买 平常正常版美国品牌靴子穿US8，比如天木兰和CAT，这款8EE宽度（41.5）稍长了一些，估计自己正常皮鞋码41、UK7、US7.5正合适，不过户外靴子大一点适合长时间穿着。靴子从质感到脚感非常棒，有皮革的香味，美国产，略重，夏季初上脚不是很闷，值得购买。建议买宽版按照自己国内皮鞋尺寸就好。送的半鞋垫有点滑，收藏了很久，最低1655入手，税费400多，应该可以退些吧？</t>
  </si>
  <si>
    <t>一直在用comotomo 最近一直好价，忍不住多囤了几个，也为小宝准备了小的，好用。。。</t>
  </si>
  <si>
    <t>皮鞋 很喜欢，就是稍打了点，希望以后与到此类问题，可以更换</t>
  </si>
  <si>
    <t>非常好 不是那种过度保护宝宝的妈妈，但因为饮食重要，还是买了各种不同材质的碗，仍然不放心，直到买了这款。买过陶瓷的，打掉好几个，木碗担心它的漆，搪瓷的一摔也会露出里面的铁皮，塑料的就更担心热食放入会有有毒物质析出了。后悔没早买这款，非常方便，碗外面的套子松紧正好，平时不会掉，拿下来也可以用。碗盖特别方便，出门不再用食品袋装碗，只要盖上盖子就好了。推荐！</t>
  </si>
  <si>
    <t>码数超大 170 ／140选s刚好，码数是真的大。我某衣库上装平时都是xl的</t>
  </si>
  <si>
    <t>质量好 比国内好品牌还便宜 两百多买三件 从加州运过来 半个月吧 质量是真不错 细滑紧密 很不错</t>
  </si>
  <si>
    <t>完美 很完美，买的美版牛仔裤腰围是32，选择皮带34尺寸，扣中间的孔。供参考。</t>
  </si>
  <si>
    <t>赞 很好看</t>
  </si>
  <si>
    <t>保温能力差 给小朋友买了一个，给自己买了一个，都是象印的，这个不怎么保温，不建议购买！</t>
  </si>
  <si>
    <t>有塑料味道 煮出来的水有塑料味道，可能由加热系统内部释放出来的，请大家谨慎购买啊，德国的产品质量也很一般！</t>
  </si>
  <si>
    <t>一般的运动裤 一般般，比较容易起球</t>
  </si>
  <si>
    <t>临近保质期 买了两瓶 居然到9月就过期了 每天吃两粒 吃不完就过期了 居然发货是临近保质期的</t>
  </si>
  <si>
    <t>尺码超级大！！ 尺码超级大！！！老公178，160，正常码2xl稍显宽松但这个码能再装半个他（？？？</t>
  </si>
  <si>
    <t>码数不准确，质料一般般 这次small跟国内s一样，我完全穿不下。差评。  质料也真的很一般，不是全棉。</t>
  </si>
  <si>
    <t>皮质舒服码数偏大 适合瘦脚的人穿，肥脚高脚背的就别了，鞋子本身很舒服，但因为过于瘦脚，脚趾还是起泡了。鞋子偏大，我是240的脚要的uk4.5正合适。</t>
  </si>
  <si>
    <t>合身 尺码大很多，要综合买家信息</t>
  </si>
  <si>
    <t>170的身高，有点长了 平时国内穿34的，这个买了32，就是有点长了</t>
  </si>
  <si>
    <t>尺码 全家人人手一双的鞋子，舒适，百搭～我37的脚，4码刚刚好</t>
  </si>
  <si>
    <t>也是稍微有点大 亚马逊的尺码一直都显示的不太准确，所以购物有风险</t>
  </si>
  <si>
    <t>满意 包装印刷都比较正规，相信海外购，给宝宝吃比较放心。运输也比较快11天就到了。</t>
  </si>
  <si>
    <t>还不错，值得购买 175高，69公斤。正好合适。就袖子稍微有些长！</t>
  </si>
  <si>
    <t>大方漂亮 金色，大气漂亮！镀层很亮，表盘光亮，镶钻的工艺很精湛！外观满分！表链长度足够大，若手腕细则可卸掉几节。性价比很高，推荐。关于走时准确性未做观察，现在的技术不会差到哪去。时装表，好看就足够了</t>
  </si>
  <si>
    <t>海外购主要是尺寸和是否正版问题 高173.重95kg，选择LG尺寸合身，透气性好，喜欢</t>
  </si>
  <si>
    <t>标准码 159,55kg，m码刚刚好，特别完美，不紧也不大，买了以后没到货的时候看评论担心买小了呢</t>
  </si>
  <si>
    <t>两只音箱都没有保修卡 音箱我很满意  为什么两只音箱都没有保修卡  不知道怎样和你们联系  只好在这里说了抱歉</t>
  </si>
  <si>
    <t>很好 孩子大了吃600的，很好</t>
  </si>
  <si>
    <t>划算 买的S，175 cm/70kg 正好，给后来的人参考</t>
  </si>
  <si>
    <t>好用，快递神速 东西很好，不锈钢的转头很好冲洗，也用过搅拌棒！特别说物流超快啊！从英国到上海就一星期，棒棒哒</t>
  </si>
  <si>
    <t>好质地 喜欢WMF的几乎所有的产品。希望不要因为需求量大了而降低产品的品质。</t>
  </si>
  <si>
    <t>好用 看了评论之后才购买的，特别好用</t>
  </si>
  <si>
    <t>日版的就是做工好 身高170，体重63，m码合身，版型非常好，做工没得说，比美版的好……L码的也可以穿，并不显大</t>
  </si>
  <si>
    <t>质量不错 质量不错，但是我的头有点大，这个小了点</t>
  </si>
  <si>
    <t>很喜欢，颜色也漂亮，冲完牙很舒服 比预期时间到的早，4号发货，15号到的，充完牙齿特别舒爽，因为刚拔了智齿，后面两个洞、很容易掉东西进去，饭后特别难清理，之前一直用针筒代替来的，有了水牙线就不用担心啦，而且牙的缝隙冲的也很干净，目前刚开始用，最高用到四档吧，蛮舒服的</t>
  </si>
  <si>
    <t>适合的美国运动产品 Champion是美国众多质量优异运动品牌之一，产品坚固耐用，虽然稍有些大却不过分，而且不显臃肿，我也会向我的亲朋好友推荐。</t>
  </si>
  <si>
    <t>东西不错 拆下来，放群晖里了，不错</t>
  </si>
  <si>
    <t>good 有点重，电波有点难成功样</t>
  </si>
  <si>
    <t>绝对好评。 非常好，价格美丽，皮质及鞋底柔软适中，上脚后非常舒服。该靴整体设计出众，鞋头明显比正装皮鞋的尖头设计更具美感。考虑再入手一双黑色同款。该靴尺寸偏大，但因其设计出众，及时在大一码的情况下穿着感受也不会带来任何不适，强烈推荐。</t>
  </si>
  <si>
    <t>好！ 178/60 偏瘦，S码正好，性价比太高了。感谢亚马逊。</t>
  </si>
  <si>
    <t>完美 好，没的说</t>
  </si>
  <si>
    <t>满意的一次购物 机芯不如同价位日本表，指针总是对不准刻度。但是外观很漂亮，表身很厚，质感很棒。表带是皮质的，佩戴很舒适。希望电池能足够耐用，防水达到标示的水平。</t>
  </si>
  <si>
    <t>没有介绍说的那么神奇。 功效没有说的那么有效神奇，当保健品长期吃还可以的。</t>
  </si>
  <si>
    <t>影响了情绪 ecco鞋有很多双，这双的感觉不怎么好，穿了鞋底不舒服，而且会臭脚，翻看鞋底竟然有个瑕疵小坑，鞋舌的产地是后贴的</t>
  </si>
  <si>
    <t>佩戴感受 帽沿较小，有点薄，不适合有风的时候戴，容易吹起来。</t>
  </si>
  <si>
    <t>合适 175mm, 75kg, M,第一次穿正好。洗了一次，严重缩水，无法穿。</t>
  </si>
  <si>
    <t>一分价钱一分货 一分价钱一分货，什么bug都遇到了，卡顿，微信视频时无声音，突然爆响，续航差，不能降噪，手机是xsmax，我已经放弃这款耳机了</t>
  </si>
  <si>
    <t>假的 还没穿印花就开始裂开了，很明显是假货</t>
  </si>
  <si>
    <t>质量差 卡扣头居然断了</t>
  </si>
  <si>
    <t>机器摇晃厉害，配件不安全 差评！基础搅拌摇晃厉害、噪音大。配件研究半天不知道如何更换，更有甚者手指被剖开，急诊缝了三针，加上破伤风针花了500多，手指神经到现在还是坏死，麻麻痛痛，残了</t>
  </si>
  <si>
    <t>42码版型合适，我的脚不属于肥胖也不是瘦版 开始会担心比国版大，上脚后发现完全合适，不大不小，42码就买42码就行了。穿了两天后来评论，那就是新鞋一定要穿袜子，毕竟新鞋入口端还未完全软化。没有短袜，所以有啥袜子就穿啥袜子，别怕丑</t>
  </si>
  <si>
    <t>屌丝乱评 美国版，比国内便宜点，他们所谓的199也不知道在哪里买的？用了两天了，音质感觉一般，不过对得起这个价格吧，这些内容都是比较主观的，所以仅供参考。</t>
  </si>
  <si>
    <t>大家看清颜色再买 质量挺好,但颜色如下图,有点浅,不理想</t>
  </si>
  <si>
    <t>百搭利器显腿长 漆皮比较硬初期穿会磨脚，预备防磨脚膏。鞋底子非常舒服</t>
  </si>
  <si>
    <t>舒适 舒适，家里穿</t>
  </si>
  <si>
    <t>喜欢 US7 码对于日常穿38码，高跟鞋39码的人来说，前面有那么点挤脚。然而，整体很喜欢。</t>
  </si>
  <si>
    <t>比国内的漱口水味道好些 比国内的漱口水味道好些，清淡</t>
  </si>
  <si>
    <t>较薄，凉快 紫色很好看，不透，大小也合适，不是棉的，很凉快</t>
  </si>
  <si>
    <t>很喜欢，可以直接烧水手冲咖啡。 很漂亮的壶，大小刚好适合冲咖啡泡茶的二人家庭。</t>
  </si>
  <si>
    <t>大小合适，性价比很高！质量好 M码，171CM  80公斤，给大家参考，大小长短合适，袖子长度适合，肥瘦适合，性价比很高！质量好，值得买入</t>
  </si>
  <si>
    <t>不错，海星三可以 不错，亚马逊的东西就是靠谱，应该是真的，精致</t>
  </si>
  <si>
    <t>有小码就好了 我买的最小码，大了。平常穿3839，登山鞋穿过40。这个鞋很奇怪，穿着虽然冷，但是并不害怕，好像抗寒能力提高了一样。</t>
  </si>
  <si>
    <t>[郡是] 无钢圈文胸 不会产生汗味 运动文胸 EB9005H 女士 比较理想，面料舒适，做工考究</t>
  </si>
  <si>
    <t>核实 鞋舌头上没有白标，怀疑是假的。到专柜核实了，是正品。</t>
  </si>
  <si>
    <t>大小是否合适？ 还可以，里面是抓绒的，穿起来很暖和，性价比也高，性价比感觉还是刮高。我身高174cm，体重67kg，穿s码，刚刚好。</t>
  </si>
  <si>
    <t>买贵了 穿着很帅气也挺舒服。送了半掌鞋垫。鞋底材料不耐磨，穿了几天脚后跟外倒就磨掉不少。还有这鞋连运费加关税总价在1600—2000元可以下手。我买将近三千，实在等不了了…</t>
  </si>
  <si>
    <t>好 亚马逊的服务真是没得说，赞。至于这箱子，总体感觉超值，就是总觉得声音太松，不知道是不是听惯了耳机的缘故</t>
  </si>
  <si>
    <t>这种鞋子比一般板鞋小半码 脚特别瘦的人适合穿 脚胖的就不要考虑了 这种鞋子比一般板鞋小半码 脚特别瘦的人适合穿 脚胖的就不要考虑</t>
  </si>
  <si>
    <t>值得购买 很好看，质地细腻，大小适中，图案也清新。比淘宝代购价格便宜多了。</t>
  </si>
  <si>
    <t>东西很好，就是包装全散开了 货提前收到了，比预计的快了两三天，戴在手上很酷</t>
  </si>
  <si>
    <t>Calvin Klein Women's Invisibles Hipster Panty,... 非常不错，确实是无痕的，很薄，媳妇很喜欢</t>
  </si>
  <si>
    <t>很棒 用了2年，换了刀头后像新的一样</t>
  </si>
  <si>
    <t>好用到回购送家人的耳机 音质相对于挂耳式来说非常不错，挂耳偏宽松舒适。买的给家人在家里不打扰别人用的。肯定不适合运动，会掉。</t>
  </si>
  <si>
    <t>划算，舒服 本人平时穿7码，这次买了7.5码，刚开始穿觉得稍微大了点，穿着穿着就比较合脚了，还是比较舒服的，370买的，美国直邮，很划算！</t>
  </si>
  <si>
    <t>质量 质量很好用来给宝宝装肉松一类的辅食很好用，玻璃很厚实，看着就有食欲</t>
  </si>
  <si>
    <t>尺码 首先亚马逊海外购的物流令我吃惊一批，从下单到收货才6天。网购鞋类产品最难搞的就是尺码，爱步的尺码国外和国内码一样，去专卖试一下就可以，我是43码的</t>
  </si>
  <si>
    <t>没什么作用 没什么作用</t>
  </si>
  <si>
    <t>蓝瘦 我180cm，100Kg，买的L号的，超级肥大，袖子能长10公分，穿上肥大肥大，而且退货运费就要125元，崩溃，不退穿不了，退了伤钱包！</t>
  </si>
  <si>
    <t>Charles River Apparel 男士凯旋外套 171,71KG S码正合适，面料偏硬，没有之前买的同一牌子的外套手感那么舒服</t>
  </si>
  <si>
    <t>儿童手表，成人不适合 整体品质不错，表盘太小，表盘表带材质儿童化，成人佩戴不合适。</t>
  </si>
  <si>
    <t>尺寸 尺寸严重过大</t>
  </si>
  <si>
    <t>太硬太胖 裤子简直就是粗帆布，太硬，而且码数过大，裤腿过于太宽，想改都不好改，送人的话也不太合适，索性只能办退货了，退货过程中还遇到不愉快，有个别客服服务太让人伤心。</t>
  </si>
  <si>
    <t>合身 袖子有些长 衣服较大 体重60身高168</t>
  </si>
  <si>
    <t>整体还好 面料舒服，长短合适，腰围稍大，在接受的范围内，比国内专柜的腰围大两码左右，裤型属于直筒型，较宽松，裤子较厚适合冬季穿，价格喜人，大约只有专柜的三分之一</t>
  </si>
  <si>
    <t>比国内码大半码 有点大了</t>
  </si>
  <si>
    <t>有点线头 总体还好 比起国内旗舰店和专柜 包装显得很寒酸 不过胜在价格优惠太多</t>
  </si>
  <si>
    <t>海淘比国内便宜 哈哈，革命领袖推荐的。超低音震撼,很适合听古典音乐。</t>
  </si>
  <si>
    <t>实用，8T硬盘都比这个贵。 容量是7g多，海外购比国货便宜太多，快递也很快。5400转日常用也够了。</t>
  </si>
  <si>
    <t>正品 愉快的购物体验！</t>
  </si>
  <si>
    <t>不错 挺好的，做工精致</t>
  </si>
  <si>
    <t>尺码合适 平时36码，看评论后选择4m ,很合脚</t>
  </si>
  <si>
    <t>标题 除了包装比较简单外，其他都还可以</t>
  </si>
  <si>
    <t>保温且大 较大，保温，颜色适合稳重的人，哈哈</t>
  </si>
  <si>
    <t>很轻的一双学生运动鞋 很轻，一款学生运动鞋。实际购买的是240mm鞋，稍微有点小，不过不影响，磨合期后会正常。平时的十几双鞋都是240-245mm。今次若放大5mm购买245mm就完美啦。</t>
  </si>
  <si>
    <t>好 不含下水配件。被评论误导。东西真心好。全整</t>
  </si>
  <si>
    <t>很舒服的面料 比之前买的棉质的舒服，186  86穿L合适</t>
  </si>
  <si>
    <t>正品 货真价实</t>
  </si>
  <si>
    <t>裤子布料厚实，防皱，刚合适。 裤子很厚实，防皱。裤型好。陪尖头皮鞋一流。美国裤子是按腰围和裤长来分类，34x31，就是腰围34英寸，裤长31英寸。一旦确定，任何裤子都很好买。</t>
  </si>
  <si>
    <t>不错的微波炉 使用方便，简单，中国制造</t>
  </si>
  <si>
    <t>出色的性价比 声音非常惊喜，而且做工精致，重量轻，佩戴舒适。真是平价好耳机</t>
  </si>
  <si>
    <t>好裤子。 180cm，70kg，尺码正合适。图片色差较大，做工跟国内专卖店相比略粗糙了些。</t>
  </si>
  <si>
    <t>裤子尺码 商品送货速度非常快！本来预计16号到的，6号就到了！只是，裤头比预想的要大一些。。。建议购买的小伙伴买偏小一码的！裤子质量真的很好！</t>
  </si>
  <si>
    <t>满意 很舒服，版型很号，便宜</t>
  </si>
  <si>
    <t>百元内，海淘只要14天的Koss KSC75，一耳朵非常满意。 早就闻名于koss pp的大名，但头型不适合头戴，就注意到了ksc75。虽说soomal上的ksc75评测也是带有评测者的个人感受，但不得不承认，较大部分的评论还是非常的中肯的，一个百元内、更是开放式的挂耳式耳机，一耳朵能有媲美拜亚dt235似的声乐感及频响度，还能有什么能够挑剔的呢。说到外观，个人不觉得丑，倒是较类似索尼大法的更为个性，且音质更显诚意。还有一个不得不提的优点就是夏天也不会让耳朵闷热，适合长时间佩戴。这次也是一次买了两个，明知道这东西送妹子，耳机的结果肯定也只是作为一个随便乱放最后被遗失的下场，并不会被珍惜。如此作为对于毕竟不喜欢你的人再怎么讨好都像尝试去叫醒一个装睡的人一般自作多情。</t>
  </si>
  <si>
    <t>合身 183cm，79kg穿l号，标准身材没有肚子，合身衣服偏长</t>
  </si>
  <si>
    <t>应该没有更低的价格了 Oral-B 还是这款刷头最好最高级，国内3个大概卖139，而亚马逊海外购这里8个才卖这价钱，可以说是白菜价了。 到手后打开一看，和牙刷本体自带的完全一样，说明没有买错，确实就是这么便宜。</t>
  </si>
  <si>
    <t>锅好，胶也好。 说1月5号到，结果圣诞节到了！历时九天～开心啊。买的10.25的，没觉得大也没觉得小，一两个人够用的。表面也没有啥问题。等用吧！其实我觉得最棒的是粘商标的胶，跟果冻似的。从锅上撕下来，锅上不留一点痕迹，从商标上撕下来，商标也是完好。胶也是完好……😂→→→→→→→→→→→→→→→→→什么情况？我又买了一只12英寸的给朋友，难道一个产品只能发一次评论吗？20160528</t>
  </si>
  <si>
    <t>质量差，扎线稀松！ 做工差，穿了几次结果穿腰带的那些地方脱线了，真是无语。第一次买裤子在这地方脱线，只能自己掏钱去加工修复！太无语了</t>
  </si>
  <si>
    <t>一般 笔迹较粗，主要是出水的流畅性一般，经常出现首笔不出水的现象，但若下笔较重，则出水又好一些。总之，出水的流畅性及由此带来的使用感受，与百乐笔又较大差距。另外，笔头较大，对于写汉字这种笔画精细的文字，稍感别扭。</t>
  </si>
  <si>
    <t>品控有问题 拼接的皮革颜色不一致，买的是8.5C，到货是8.5。正在犹豫是不是退货。</t>
  </si>
  <si>
    <t>不好 第一次在亚马逊评论商品，真是因为这裤子质量差，超级薄，很廉价的那种薄，极度不推荐</t>
  </si>
  <si>
    <t>退货退款太麻，找个客服半天找不到。现在快两月，一点信息没有。 货品不合适，退款快两个月，一点信息都没有，感觉石沉大海。</t>
  </si>
  <si>
    <t>略小 建议比正常尺码大一个 日版这件m有点小 172/70kg  之前买的美版m都合适 日版确实有点小</t>
  </si>
  <si>
    <t>还行吧 包装里什么都没有。就一张美国亚马逊的发货单，包装过于简单，真有点担心啊</t>
  </si>
  <si>
    <t>包装差 味道四十分</t>
  </si>
  <si>
    <t>一般推荐 质量一般，洗过几次有点变形了。</t>
  </si>
  <si>
    <t>kitchenaid配件 榨果汁用挺不错，还可以过滤果渣</t>
  </si>
  <si>
    <t>很不错 二子不吃辅食，只能当小碗用了。磨了几次西瓜汁和水果泥，不错呦。</t>
  </si>
  <si>
    <t>很好的铅笔。 质量很好，物超所值。</t>
  </si>
  <si>
    <t>物美价廉 裤子挺薄的，适合春秋天，大小根据size chart买的很合适，很多评论说起球，已下水洗了三次暂未发现，毕竟只有一百多块，穿着玩玩儿</t>
  </si>
  <si>
    <t>好东西！需要再来买。 买来用了一段时间才来评论，东西比国内卖的便宜得多，配我的810，我是看储存卡评测网站说这个是cf卡中速度最快的，买了后，果然很快，连拍给力！</t>
  </si>
  <si>
    <t>面料很舒服，透气快干 尺码准确，178,78KG，胸围100左右，穿美码M 穿上修身，显瘦</t>
  </si>
  <si>
    <t>赞赞赞赞 等了十天终于到手了比想象中的要好</t>
  </si>
  <si>
    <t>很好的裤子，特宽松 特别宽松的裤子，比国内的长一个号，宽松好几个号，很舒服</t>
  </si>
  <si>
    <t>奶嘴很柔软，宝宝喜欢 宝宝拒绝了贝亲，吃这款。😬</t>
  </si>
  <si>
    <t>干净！亮洁！ 简直比某猫买的好太多！！！而且相比之下好像还划算一些。洗出来的碗我只想用“亮洁如新”四个字来形容。</t>
  </si>
  <si>
    <t>不错 衣服质量做工很不错，尺码偏大</t>
  </si>
  <si>
    <t>可以拥有 非常不错</t>
  </si>
  <si>
    <t>十分满意的一次海外购 跟我预期效果一样。尺码标准，穿着舒适，颜色很正。</t>
  </si>
  <si>
    <t>质量非要好，柔软舒适，值得一买。 非常满意，布料柔软细腻，舒适，做工精细很合身，170，体重75公斤，穿M号非常适合。</t>
  </si>
  <si>
    <t>很不错 质量不错，很喜欢，很实用</t>
  </si>
  <si>
    <t>好穿哦 有压力又舒服的袜子，是雾面的，显瘦，很喜欢</t>
  </si>
  <si>
    <t>赞 黑五买的，折合人民币280+多吧，挺划算的 我买的是西班牙产的，还没有用，看起来像是正品</t>
  </si>
  <si>
    <t>不错 不错，便宜实惠啊，很喜欢，183，73kg，M码合适</t>
  </si>
  <si>
    <t>合适 身高175cm，体重78kg，M号合适。</t>
  </si>
  <si>
    <t>值得入手 不错，很漂亮，质量很好</t>
  </si>
  <si>
    <t>很划算 黑五买的，还用了亚马逊会员的免邮试用，很划算 比某宝还便宜，关键是放心啊 但是这种一级过滤的还是过滤力度不够，烧出来的水还是有沉淀物，上面也有白蒙蒙 把滤芯用完准备换3M的了 亚马逊能不能自营3m8000t这款净水器呢</t>
  </si>
  <si>
    <t>色差不是很大 未过水的情况下大小合适，175，70，纯色视觉效果还不错，比图片要好看一些。希望不会缩水。</t>
  </si>
  <si>
    <t>好评 今天刚收到的，还不错，因为是囤货的，没拆，不过摸着质量不错，主要这个纯进口的价格很美丽</t>
  </si>
  <si>
    <t>味道太大了 蜡笔看着还可以 我就是味道太大了。不知道是不是正品。之前买的美乐的丝滑蜡笔就没有味道 我这个还号称比那个还好 我可是为什么味道这么大呢</t>
  </si>
  <si>
    <t>一般般 夏天穿有点闷脚，而且后跟不跟脚。 前端穿了一天就出现褶皱了。 果然这鞋只有颜值可以</t>
  </si>
  <si>
    <t>盖子不太好拧 盖子不太好拧 螺纹总对不齐</t>
  </si>
  <si>
    <t>太大 给大家一个参考吧，180-73kg。M号实在太大了。面料感觉也就这样吧。</t>
  </si>
  <si>
    <t>没有售后，坏了就报废 一星给亚马逊守售后，产品本身使用体验很棒 但是很难说你买到的是不是一次性产品，毕竟使用出现问题后亚马逊是无法提供解决方案的，国内也无法修理海外购产品，售后体验非常差，只管卖不管质量，客服态度再减一分，负分！</t>
  </si>
  <si>
    <t>没有正规包装，随意一个塑料袋 怎么连正规包装都没有！散货吗</t>
  </si>
  <si>
    <t>鞋蛮好的 平常穿40码选的 7.5M，大小合适； 添柏岚PRO已上脚：鞋行走时不重，鞋长26CM 脚趾比较宽裕，脚踝位置有轻微磨，鞋帮高度正好合适，杏色个人比较喜欢。</t>
  </si>
  <si>
    <t>使用方便 一直在用，应该可以吧，不过用时间长了会有杂质</t>
  </si>
  <si>
    <t>不是特别好用 感觉研磨起来不是特别好用 还可以</t>
  </si>
  <si>
    <t>裤子不错，大小合适。 很合身，我167厘米，59公斤，大小合适，裤子很厚，有一点弹性。我用尺子量了一下29码的裤头79厘米左右。</t>
  </si>
  <si>
    <t>尺码偏小 很帅气，就是尺码偏小了，穿着挤脚</t>
  </si>
  <si>
    <t>不错 好看的 脚有点扁的不合适</t>
  </si>
  <si>
    <t>ok 泰国产 用着还不错 买日亚的完全不用担心磕碰 包装很好</t>
  </si>
  <si>
    <t>性价比高 不错，含税不到六百块钱，大小合适，不带拉出的</t>
  </si>
  <si>
    <t>小资生活 咖啡很好喝</t>
  </si>
  <si>
    <t>相当好的伴侣 这是我用过的最最最好的一款，日常、运动都合适。</t>
  </si>
  <si>
    <t>不错的鞋 与专柜一样，一共714大洋，刚买完就降了一百多，哭，还好鞋子很满意，他家鞋有的穿38码，有的穿39码，这款穿39正好。</t>
  </si>
  <si>
    <t>不错的东西 给朋友买的，听说不错。</t>
  </si>
  <si>
    <t>说明书 怎么没有说明书。求来一份。</t>
  </si>
  <si>
    <t>CK尺码很合适，很满意的一次购物 身高 175cm，体重62kg，选的L号很宽松，但是合适，不过每个人追求的体感不一样，仅供参考。</t>
  </si>
  <si>
    <t>很好！ 质量很好，保温效果非常好</t>
  </si>
  <si>
    <t>非常好用！ 许多地方都买不到一次性墨水套筒（嘿嘿，文笔店都说太高大上）。有时忙，没带墨水也是常有的事！</t>
  </si>
  <si>
    <t>应该还行 暂时不知道效果 朋友推荐的这个牌子 国内长期吃伊可新说有毒素 所以换成这个了</t>
  </si>
  <si>
    <t>真空保温 中国制造的，除了蒸汽冒的很厉害，不像虎牌的无蒸汽，其他都很好，</t>
  </si>
  <si>
    <t>非常好 小点，但质量没得说，就是怎么其中一个拉链上没有绳子</t>
  </si>
  <si>
    <t>合体舒适 亲肤透气合体，纯棉，薄薄的，个矮的，只接当长袖穿</t>
  </si>
  <si>
    <t>按照标注鞋子的尺码买就可以 给大家剧透几乎最低的价格，含税不到240元入手，这可是我等了很久抄底入手的，性价比太高了，而且鞋子依然很好品质不错！ 这里的46就是中国的46码，大家照着选就行</t>
  </si>
  <si>
    <t>简单好用 挺好的一直在用，跟行货没区别，感觉这种的刷的更彻底一些，不过时间太久伤牙龈。</t>
  </si>
  <si>
    <t>安德玛Polo衫 速干面料，款式也很好，价格比国内便宜一半，穿上很好看。</t>
  </si>
  <si>
    <t>对比现在用的880Pro 如果不是为了隔音，声音真的比880差了点意思，频响特性简直就是性冷淡…880声场宽宏，低频量感比刚买的这个770好多了，而且听感特别有那种暗暗的金属质感，这个770也许是么有煲机，听感一股塑料味…</t>
  </si>
  <si>
    <t>非常的漂亮一个奶瓶 已经给宝宝用上了，应该是的正品，没有味道</t>
  </si>
  <si>
    <t>值得！ 非常好，穿了对健身塑形有效！</t>
  </si>
  <si>
    <t>不值得 版型还行，布料太差不值，洗后变形</t>
  </si>
  <si>
    <t>太小了 感觉现在美版也变小了？什么情况，之前美版买m码都是偏大两个码数，现在跟国内一样码了，难道美国人减肥成功了</t>
  </si>
  <si>
    <t>包装内衬保护不够，漏了。 比Tb贵一些，但是放心。另人遗憾的是包装不够稳妥，漏粉了。</t>
  </si>
  <si>
    <t>太大了 外国号码太大了，跟国内不是一个概念，起码大两个号码，买回来根本没法穿，质量还不错，</t>
  </si>
  <si>
    <t>东西不便宜，打开包装一片狼籍 产品包装非常旧，而且变形。打开盒子以后，里面的配件盒子也糟烂不堪。说明书也很旧。不知道是不是二手货…… 还没有安装</t>
  </si>
  <si>
    <t>非常瘦非常长 不知道什么身材能穿，非常瘦非常长</t>
  </si>
  <si>
    <t>与之前购买的UK7.5相差太大 尺码与之前购买的UK7.5相差太大，只，根本无法穿（感觉有43码了）</t>
  </si>
  <si>
    <t>还行 还不错，不过表盘的颜色是米白的，非纯白，适合搭配休闲衣服。就是不知道没电了的话，能不能换电池，还是？</t>
  </si>
  <si>
    <t>磨脚踝 按平时码数买的有点磨脚</t>
  </si>
  <si>
    <t>还行 身高173，体重165，选择的L号，正合适，供参考。奇怪，国外的商品吊牌上没有价格吗？颜色和图片略有偏差。</t>
  </si>
  <si>
    <t>偏大半码到一码 材质  质感还将就  和预期的相差不大  但是真的比国内码字偏大半码到一码  本想退了重买一双小得  但是退货运费要一百多  就不划算了  所以就将就穿了</t>
  </si>
  <si>
    <t>不是真皮 不是皮的，都人造革。全黑，上下班通勤</t>
  </si>
  <si>
    <t>求大佬解释 这是几代的至尊高速，颗粒是tlc还是mlc</t>
  </si>
  <si>
    <t>正确的选择 不错，尺码正好。值的。</t>
  </si>
  <si>
    <t>好，很好！ 完好无损的送到，送货快，等宝宝大一点给她玩</t>
  </si>
  <si>
    <t>比较满意。 尺码跟以往同品牌的一致，料子有些硬。直筒裤的原因，小腿和裤脚有些肥。还可以。185/95，穿36/32合适。供参考。</t>
  </si>
  <si>
    <t>大~ 大，身高183，体重192，居然hold不住L码。袖子略长，我已经属于胳膊较长的人了，衣长尚可，关键是胸围实在是宽阔了点…… 内有绒毛，套着衬衫试了一下，整个衬衫全是毛，还得洗洗了。这个价格也不能要求太高了~</t>
  </si>
  <si>
    <t>还行 冲动时买地东西  没什么不好的  不过也没看出来什么很好的地方</t>
  </si>
  <si>
    <t>挺好的蓝牙耳机。 声音挺好的，主要是舒服，通话质量也不错的，满分。</t>
  </si>
  <si>
    <t>味道一般 孩子不想吃了，我天天在吃</t>
  </si>
  <si>
    <t>很棒的裤子 很棒的裤子，尺码标准，面料舒适，性价比也高，非常满意！</t>
  </si>
  <si>
    <t>很好的产品 买多个了，轻便，无涂层。</t>
  </si>
  <si>
    <t>还行吧 版型修身，袖子稍长，做工一般，不过价格不贵可以接受</t>
  </si>
  <si>
    <t>裤子还行。 身高170，体重75kg穿32/30略长，不是小脚裤是修身直板，穿靴子很不错，很有弹力！</t>
  </si>
  <si>
    <t>好 好好，非常不错，好好好</t>
  </si>
  <si>
    <t>不错的裤子 裤子款式是我喜欢的，做工很好，比国内同价位的好多了</t>
  </si>
  <si>
    <t>合身舒适 正好合身很舒适</t>
  </si>
  <si>
    <t>看清楚了不是光面的，是磨砂面的 购买的是时候看清楚了，不是光面的，是磨砂面的</t>
  </si>
  <si>
    <t>还不错，挺好的 ecco的鞋子质量和舒适度都很好，这样买比国内价格优惠。</t>
  </si>
  <si>
    <t>buy it！ 超级合适 抓紧下手哦～</t>
  </si>
  <si>
    <t>不适合贴身穿 不适合贴身穿，羊毛有点扎</t>
  </si>
  <si>
    <t>买大了 比国内便宜，全棉质量挺好的。</t>
  </si>
  <si>
    <t>很不错 穿着很舒适，尺码很正，葡萄牙生产的</t>
  </si>
  <si>
    <t>有胸垫中度支撑 有胸垫，支撑性好，是我穿过不分罩杯（32d）的运动文胸里面最好的一个，强烈推荐</t>
  </si>
  <si>
    <t>质量不好，走线很差 172/64，S码头合适。 这个裤兜设计太低，走线不好，裤子开缝爆裆，质量很一般。</t>
  </si>
  <si>
    <t>做工不好。 不喜欢。产地不是中国。很差</t>
  </si>
  <si>
    <t>质量不错 应该买大一码的，穿着有点夹脚！质量还可以！</t>
  </si>
  <si>
    <t>降噪效果差 降噪效果几乎可以认为没有</t>
  </si>
  <si>
    <t>产品尺寸不清楚 产品太多参数不标明，也太过宽松大了，裤子面料很好，退货也不 人性化</t>
  </si>
  <si>
    <t>警惕亚马逊利用海外购售卖残次品 网购基本都是默认评价，但是亚马逊售卖的这款产品真是特别过分，把自己的购买体验写下来供大家参考吧。 简单说：1.就洁碧水牙线功能本身而言，可以买，确实冲着比较干净比较爽。2.尽量别亚马逊海外购，图便宜的话就碰运气吧。3.海外购很可能利用规则卖残次品，残次品问题爆发多超过亚马逊规定的30天时间，之后即便是专业认定的产品重大质量问题，它都有各种理由推脱，实在说不过去，就干脆不回复了…… 详细：本人6月8号下单，签收时间至今亚马逊没给出，模糊记忆结合它发货时间就当6月29号吧，中间因拔智齿还停用过一段时间。12月21日发现该产品使用异常，电池灯闪烁但产品不工作，次日遂与客服联系，客服表示海外购商品超过30天只能消费者自己找卖家或是自己找修理店维修，让其提供卖家沟通链接，表示提供不了。心想既然自己以便宜价格买了，那就自己修吧。于是联系洁碧中国官网客服，客服表示这种情况系产品原因，如果在中国官网购买都会整机退换，但海外购不在售后服务范围（全程客服都很尴尬的表示不处理海外购商品，国行的话这种一定要给顾客整机退换）当时还狭隘的以为国行客服不爱搭理不在人家售后范围的产品，直到又联系上专业修理洁碧水牙线的商家，才知道这种情况是机器本身原因导致电池进水，无法维修，出现这种情况机器就相当于报废了。洁碧官方和亚马逊都宣传该产品具有防水功能，本人因为其是口腔清洁工具，平时都不将产品放在浴室或卫生间这种相对有点潮湿的环境，每次用完也都会擦干表面水分，这么仔细的用，不到半年电池就能渗进水，这产品质量到底差到什么程度？！至此，本人还天真的以为亚马逊是不小心卖出了问题产品，于是再次联系亚马逊客服，告知相关情况。几经周折，亚马逊终于承认不存在海外卖家，这是它们自己仓库商品，但不确定是不是消费者使用不当导致该情况，而且订单超过六个月了，亚马逊不负责了（只因为消费者6月8号下单，亚马逊就坚持超过六个月了！实际签收时间两次向客服查询，要么回复找不到，要么干脆不回复。海外购配送时间有多长大家也都知道，按订单显示已发货都6月29号了）。虽然对这种两次询问专业人士，人家一听就知道是产品质量问题的情况，亚马逊还非说可能是消费者使用不当，本人心里已经很崩溃了，你卖的防水机器电池进水了，还要怀疑消费者什么！？但为了打消其顾虑，本人表示亚马逊可以调回产品进行专业检验。客服表示，让消费者自己去检验，真是产品质量问题再找它们报告…（真的是店大欺客啊，从实际签收看，绝对是六个月内产品质量问题，亚马逊竟然把法律规定的举证责任推给消费者！！）至此，彻底看清了亚马逊的卑鄙，以前看评论各种机器出问题，亚马逊以海外购规则借口不处理，本人只以为是便宜机器折旧快的问题，但真的没想到其公然售卖有重大质量问题的产品。 海外购30天的退换期，电子产品的残次品问题爆发多数不会这么快，等问题爆发了，亚马逊就可以以此借口推脱，哪怕是特别明显的重大质量问题，也可以怀疑消费者，或是根据下单时间来以订单超过6个月的名义不负责，如果贩卖残次品，确实有不小的利润空间…… 第一次用亚马逊海外购，给了不小的教训，写出来，供参考。</t>
  </si>
  <si>
    <t>疑惑的眼神 的确便宜，还没开始用呢！不够刷毛会偏软一些，也不确定是不是正品</t>
  </si>
  <si>
    <t>偏大 190cm，98kg，还偏大偏长！</t>
  </si>
  <si>
    <t>送给妈妈的。 颜色很漂亮，但保温效果比象印差些</t>
  </si>
  <si>
    <t>薄 太薄了，本来想冬天当卫衣穿的，型不是很好，我日本产的质感差很多，怪不得比日本的便宜很多</t>
  </si>
  <si>
    <t>跟自己身材一致就好 不了是极好的，比上次的V领的强。好看不坏。</t>
  </si>
  <si>
    <t>一直在使用 质量比国内买的好，不掉黑模，</t>
  </si>
  <si>
    <t>莱卡布的，舒服！ 到手才知是莱卡的，舒服极了！选了库长32的，太长了，才知此尺寸是从裆部起算的！下次定29的！</t>
  </si>
  <si>
    <t>一如既往的给力！ 货真价实，肌肉确实有增长！</t>
  </si>
  <si>
    <t>货真价实 嗓音小，配件齐，操作简单</t>
  </si>
  <si>
    <t>不错值得购买 给孩子买的，刷牙时间可以保证，应该比自己用牙刷刷的干净。</t>
  </si>
  <si>
    <t>非常好 提前了12天收到，本来预算11月15号收到的，今天就收到了，上脚很舒服，很好看，应该是正品</t>
  </si>
  <si>
    <t>舒适百搭 小跟很稳，颜色比图片要深一点，上脚显白百搭，很满意。37码半的脚，国内码穿37小，38有时候大有时候行，这个欧码37.5正好</t>
  </si>
  <si>
    <t>回购 一直回购的东西</t>
  </si>
  <si>
    <t>一般般 快递好慢，价格不实惠，中国制造</t>
  </si>
  <si>
    <t>很满意。 尺寸颜色都很满意一次愉快的购物。</t>
  </si>
  <si>
    <t>非常满意 收到了，颜色和预想的一样，尺码正合适，超级喜欢。</t>
  </si>
  <si>
    <t>还好 看着质量不错，前期囤货买的。很快就要开始投入使用了。</t>
  </si>
  <si>
    <t>非常满意 配送速度还是挺快的，衣服质量不错，手感非常舒服，尺码应该是偏大的，我175高，7重，穿m码还有点大，相比国内高高在上的价格，还要什么自行车？</t>
  </si>
  <si>
    <t>很喜欢且好用的米饭锅。煮饭熬粥做小份量煲都合适。 这是我家使用频率很高的锅。看了一下评论说说个人经验。其实说明书写的很清楚。拿一合来说大火烧7-8分钟（用定时器定时），看到“出汽”的时候，再煮1-2分钟。关火，焖半个小时。一杯米配200ml水。一合能煮三碗粥。个人认为这锅的设计能够防止溢锅。</t>
  </si>
  <si>
    <t>裤子 大小合适，穿了正好，</t>
  </si>
  <si>
    <t>红色炫表，一款骚值得入手的卡西欧骚 对于一米八几的我来说，表显得有点小，不过很漂亮，红色不是特别鲜艳的样子，不过也很赞，美亚发货，整体速度还行，价格优惠，总的来说，值！</t>
  </si>
  <si>
    <t>还是蛮喜欢的 素质真心不错，个人更喜欢人声贴耳些的声音，唯一的遗憾吧，还没煲开，低音过多的音乐会乱哄哄，可能换个素质好的播放器会好些吧</t>
  </si>
  <si>
    <t>很满意 首先颜值高就不说了 其次 勺子看上去小小的 但能装很多东西 花边碗不容易打翻</t>
  </si>
  <si>
    <t>舒服 不薄，穿着舒服，购买内裤最满意的一次！ 物流很快，5天！ 174，150斤，平日穿2.4-2.5尺的裤子，L码刚好！</t>
  </si>
  <si>
    <t>推荐购买。 不错，非常满意，这鞋码非常适合国内都很难买到，做工精细推荐购买，希望能更多款上架供选择。</t>
  </si>
  <si>
    <t>稍微有些小，面料还行。 稍微有些小，面料还行。</t>
  </si>
  <si>
    <t>质量一般 东西很正，皮面磨损太快了</t>
  </si>
  <si>
    <t>一般 说实话啊，真心一般啊，不咋地啊。不知道能不能退货啊。</t>
  </si>
  <si>
    <t>差不值得，真的差 差差差，没穿1次收到货就是起球，logo快脱落</t>
  </si>
  <si>
    <t>偏小、偏小 穿41号的鞋子，听说这款鞋子偏小，买了52号的，竟然还是小了，真是无语，退货非常不划算，不划算。建议不要买！</t>
  </si>
  <si>
    <t>号码偏大 身高178，体重85公斤。这个号码好大！</t>
  </si>
  <si>
    <t>皮带头会褪色 皮带用3个月，皮带头就褪色了，但是皮质是棒棒的</t>
  </si>
  <si>
    <t>173cm  63kg  买L偏大，不过我喜欢大点 布料不怎么样有点硬，一般般，不是很好。</t>
  </si>
  <si>
    <t>还可以 穿着很暖和，有一点重，腋下等有经常摩擦的部门会起球。</t>
  </si>
  <si>
    <t>粗 比较粗，然后被我不小心摔了一下。心疼ing</t>
  </si>
  <si>
    <t>高强度减震 高强度减震，适合胸大的。</t>
  </si>
  <si>
    <t>性价比高 应该是氦气盘，非常不错，已经顺利转保至国内。</t>
  </si>
  <si>
    <t>整体不错 刚一开始听，觉得低音太差，但是解析度非常好。稍微煲一煲以后，低音明显提升。满意。</t>
  </si>
  <si>
    <t>我觉得是正品 为信仰充值，爱阿玛尼，爱亚马逊</t>
  </si>
  <si>
    <t>脚肥脚面高的买大一码 穿着挺合适的，脚背高不好买鞋，我买的是3e加宽版，脚背高都和普通版区别不大，还好我有先见之明买大一号，不然又穿不进去了。</t>
  </si>
  <si>
    <t>有个盖子就完美了 质量好，不粘锅，唯一的缺点是没盖子</t>
  </si>
  <si>
    <t>性价比高 MY BOOK是SMR 元素PMR 其实对于挂PT来说没差。</t>
  </si>
  <si>
    <t>好！ 有了这个洗手液，小朋友对于洗手这件事情不抵触了。</t>
  </si>
  <si>
    <t>好 非常完美，几乎无瑕疵</t>
  </si>
  <si>
    <t>性价比很高 到货比预期的早，品质很好，和免税店买的一样，柔暖舒适，性价比很高</t>
  </si>
  <si>
    <t>整体不错，165cm/59kg穿M码，里面只能穿一件T恤，性价比还是比较高的 面料柔软舒适</t>
  </si>
  <si>
    <t>舒服 柔软合适，性价比高。</t>
  </si>
  <si>
    <t>健身再小一号 174，71公斤，穿M，略大，由于穿的是紧身速干衣，所以略大。打篮球穿M合适，健身该买小一号。</t>
  </si>
  <si>
    <t>喜欢 200左右买Lee,问题是还超合身，我是该赞这裤子呢还是赞我的身材，哈哈哈~ 面料是有一定弹性的，很舒服。</t>
  </si>
  <si>
    <t>满意 一周到货，超出预期。油皮，质量好，百搭。平时穿运动鞋是42的，这个买8D（M），相当合适</t>
  </si>
  <si>
    <t>Nautica Men's Feathered Edge with... Nautica Men's Accessories 质量很好，穿着很舒服，满意。</t>
  </si>
  <si>
    <t>champion卫衣 合身，穿着很暖和</t>
  </si>
  <si>
    <t>亚马逊现在海外购很方便啊 亚马逊现在海外购很方便啊 英国直邮 价钱便宜又方便快捷  看上这款小粉好久啦终于入手 各方面都很喜欢 手感很好 到手大概15天吧 这款代购都在1200左右 赚到了哦</t>
  </si>
  <si>
    <t>好评 个人感觉没标的比较好看，袖子卷一点好看</t>
  </si>
  <si>
    <t>德国制造，品质保障 两个字，通透；四个字，物超所值。</t>
  </si>
  <si>
    <t>真是棒棒哒！ 这杆笔真是棒棒哒！ 顺滑！各种顺滑！不论哪个角度写都很顺滑！ 送了蓝色和黑色墨胆，还有一支吸墨器，不想用墨胆的同学也可以直接打墨水，真是贴心！ 笔握起来也很舒服，握笔的设计很好。但是笔杆于我有点粗，庆幸没有买施耐德智者。 推荐！</t>
  </si>
  <si>
    <t>符合预期 特意穿了才来评价的，袜子很好，不掉档，看起来挺薄的，但穿着暖暖的，15度左右穿着不觉得冷。</t>
  </si>
  <si>
    <t>失望 和图片有点区别，长了点，很薄，失望~~~~~~~~~~~~~~~~~</t>
  </si>
  <si>
    <t>鞋跟有点硬 鞋跟有点硬，穿着没理想舒服</t>
  </si>
  <si>
    <t>鞋面和鞋底连接处有破损，做工太差 全是线头 第一次亚马逊上买到质量这么差的ecco，左脚右面鞋面和鞋底连接处有破损，鞋扣上全是线头，居然还是葡萄牙产，必须退货，第一次亚马逊海外购退货！</t>
  </si>
  <si>
    <t>Boss的皮带质量真差，两个月脱皮！亚马逊客服说国外买的没有售后。。。无语 向亚马逊反映，他们说海外购没有售后。。。 去年买过一根，也是表面脱皮。 不知道是不是假货。差评！</t>
  </si>
  <si>
    <t>写入速度17-19m，扩容盘，实际容量在50g左右，退货麻烦，正在办理 usb3.0口写入速度17-19m，检测软件提示扩容盘，实际容量在50g左右，写入50g后资源管理器无响应，电脑死机，退货麻烦，正在办理</t>
  </si>
  <si>
    <t>垃圾！！！！！！ 收到的就是残次品！！！！垃圾！！！！！！</t>
  </si>
  <si>
    <t>速度很快 速度很快。只是外形比以前的厚重了，携带不如以前的方便。</t>
  </si>
  <si>
    <t>安心可靠 还不错</t>
  </si>
  <si>
    <t>还可以 衣服偏大，质量还可以</t>
  </si>
  <si>
    <t>舒适度一般，偏大 37.5的脚，买的5Uk还是大一点，鞋子有点重，穿着硬，压脚背，优点是样子大气，送人了。</t>
  </si>
  <si>
    <t>Very beautiful! 用了几天，笔尖的写感就钢尖来说相当出色，甚至比我的某些金尖笔都舒服。但是有个缺点，气密性似乎不好，上墨后放两天居然就不能一笔出水了。</t>
  </si>
  <si>
    <t>东西不错，刚好用上 东西不错，刚好用上。</t>
  </si>
  <si>
    <t>整体质量很好 优点：衣服有弹性，上身效果很不错，颜色比图片上的漂亮！ 缺点：下摆比较收腰，对于身材很有要求；袖子有些长；侧口袋太浅，基本属于装饰。</t>
  </si>
  <si>
    <t>一次完美购物体验 太喜欢这双鞋了，有型，颜色好看。与脚很贴合。而且11月2日准时到达。没有等很长时间。</t>
  </si>
  <si>
    <t>不错的购物经历 第一次海外购，各方面都超预期，值得下手！</t>
  </si>
  <si>
    <t>非常好 大小正好合适，果然是原版，表带有点硬不过习惯就好了，就是邮寄有点慢，邮了20多天，哈哈，好在货还满意，总之很满意。</t>
  </si>
  <si>
    <t>贴身舒适价格好 非常贴身，一直买这个牌子，亚马逊价格便宜。</t>
  </si>
  <si>
    <t>不错，虽然觉得两只鞋不是很对称，但是便宜啊哈哈哈 不错，虽然觉得两只鞋不是很对称，但是便宜啊哈哈哈 啥时候有钱了入一双成人版~哦也</t>
  </si>
  <si>
    <t>感受 质量不错！穿着舒适透气！</t>
  </si>
  <si>
    <t>口感温和，但清新效果强劲，必须再次购买 口感温和，比之前买的李施德林好很多，不会有刺激口腔黏膜的不适感。气味清新，按照它的使用说明，可以有效的清新口气。就是价格略贵，2瓶100元，漱口水使用频次高，使用比较快。</t>
  </si>
  <si>
    <t>机器很好 包装很好，机器更有性价比。</t>
  </si>
  <si>
    <t>可以 给宝宝囤货的 哦耶哈哈</t>
  </si>
  <si>
    <t>面料很舒服 我老婆很喜欢，跑跑步，不错</t>
  </si>
  <si>
    <t>炒鸡便宜 主要是太便宜了…乱穿吧</t>
  </si>
  <si>
    <t>已经开始服用了 从美国寄过来的，应该是正品～已经在给宝宝服用了～</t>
  </si>
  <si>
    <t>marshall mid anc 写两周到，其实一周不到就来了，速度很快。 东西没问题，能够aptx编码连接，是正品，国内假货太多，行货定价太不合理，海淘还是不错的。 至于耳机本身，音质还行，性价比不高，样子好看就行了。</t>
  </si>
  <si>
    <t>非常不错的购物体验 东西依然很好</t>
  </si>
  <si>
    <t>好 尺码偏大一点，颜色正。</t>
  </si>
  <si>
    <t>物流给力 亚马逊购鞋很愉快 鞋子很流行 大小合适</t>
  </si>
  <si>
    <t>好 性价比超级高，还会再买！</t>
  </si>
  <si>
    <t>便宜 很满意的，便宜几百块划算</t>
  </si>
  <si>
    <t>美亚直营，用的放心 母乳宝宝每天一滴正好</t>
  </si>
  <si>
    <t>蛮好的一次购物 发货速度比想象中的快。 勺子有的，要挖挖…('･_･`) 没有封盖的。 真的很像煤气罐…('Д` )</t>
  </si>
  <si>
    <t>不错 182cm78kg，M 码内穿一件T恤合适，有绒，性价比不错。</t>
  </si>
  <si>
    <t>太大，退色严重 买了M码给我爸穿的，结果太大了，只能当睡衣穿。第一次下水，退色太严重。</t>
  </si>
  <si>
    <t>偏大 超级大，我163.130斤，买的m码，还是很大，s应该合适吧，料子倒是很舒服</t>
  </si>
  <si>
    <t>太大，太大 183cm 85kg，按照腰围选择，拿到货腰围确实可以，但是，臀部和裤管实在太大了。穿着舒服确实挺舒服。</t>
  </si>
  <si>
    <t>掉色严重 黑色的T恤掉色掉的太离谱了，真不知道啥质量</t>
  </si>
  <si>
    <t>海外购不如叫海外坑 6月买来8月背带上的五金件就坏了，自己也没办法修，找亚马逊说退换货期只有1个月，退部分钱让我自己修。问题是我自己去哪找人修，如果不修这个包就没法用了。这就是亚马逊大力推广的海外购，质保期只有1个月。200多买的商品质量不好，售后有只有1个月，还不如买淘宝20快包邮的。</t>
  </si>
  <si>
    <t>瑕疵 很遗憾 有瑕疵</t>
  </si>
  <si>
    <t>价格不稳定 铅笔价格忽高忽低，像过山车一样，买了一个，几小时后就降了一百多，只能又买了一个，把贵的退了，等了好久终于到了，发现有一支笔断了，小伤心💔</t>
  </si>
  <si>
    <t>日用入门之选 作为 Pelikan 之所谓“经典”系列，M205 这种银色装饰的还是比较低调，蓝色的大理石纹，有珠光反射，颜值也不错。 因为是不锈钢铱金笔尖，比金尖感觉软，因此会觉得有弹力。EF 属于比较细的，可以爬格子。但是笔尖开缝比较细，又容易受力变形而分开，因此随着书写的力度变化，墨迹的浓淡变化比较明显。这是与 M400 金尖不同之处。估计写多了，开缝变大会墨迹浓淡变化会减轻。如果对此比较敏感，又能接受 F 尖的粗细，自然买 F 比较合适。 比 M400 略小、略轻，但手感区别不大。</t>
  </si>
  <si>
    <t>物流比预估的快了不少 买给母亲大人的新年礼物，到货之后还特意电话我说很喜欢哈哈哈。</t>
  </si>
  <si>
    <t>价格很好，机器有点重，不过档次很好。 2000w需要在240v电压下使用。220v电压是1700w，也足够使用。要买一个转接头。</t>
  </si>
  <si>
    <t>手工锻打成型 心仪很久的铁锅，日亚一直断货，到货后使用非常趁手，有几点不满之处：  1.号称整铁打造，把手处焊接明显，上下均有焊迹，把手应该是夹上去的，牢固度貌似问题不大。 2.木质把手手感舒服，但长度较短，容易碰到下沿铁质，注意烫着。 3.敲打问题，锅体不是很圆，类似葫芦形，锅盖不好配置，放在燃气灶上不是很稳，这点尤其注意。 4.中亚不地道，2次秒杀间隔5天，价位跌了50.  其他都是优点，跟描述的一致，导热快而且均衡，买这个也就求个安心，铁锅不含其他有害杂质就行。</t>
  </si>
  <si>
    <t>太好用 一周左右收到，海淘快；有卡布、拿铁功能，非常方便；价格便宜。</t>
  </si>
  <si>
    <t>挺好的，宝贝很喜欢 挺好的，宝贝很喜欢</t>
  </si>
  <si>
    <t>评论 颜色很正，鲜艳，喜欢😍</t>
  </si>
  <si>
    <t>快递很快 东西很好</t>
  </si>
  <si>
    <t>很好，性价比高 版型很好，这条裤子买了三条，上班穿穿，性价比高</t>
  </si>
  <si>
    <t>厚实的衣服 衣服很结实，颜色也不错。</t>
  </si>
  <si>
    <t>保温不错。 以前觉得啥杯子还不是一样。用了才知道确实不一样，就保温来说，在16小时后，可直饮的温水竟然还是温的。很赞。</t>
  </si>
  <si>
    <t>满意 很好，很舒服，很有弹性，像没穿一样，第一次海淘，十分满意</t>
  </si>
  <si>
    <t>不错，穿着舒服 鞋子不错，穿着也行，只是物流的速度比不上降价的速度，鞋子还没收到，就降价了</t>
  </si>
  <si>
    <t>满意 178CM，84KG，刚好合身</t>
  </si>
  <si>
    <t>商品正品，非常喜欢，推荐购买 商品正品，非常喜欢，推荐购买</t>
  </si>
  <si>
    <t>给爸妈还有自己用的 吃一顿时间，也没有什么感觉。应该过得去吧。</t>
  </si>
  <si>
    <t>还算不错 国内穿41合适，这鞋7.5M有点夹脚。鞋子做工没问题</t>
  </si>
  <si>
    <t>很轻松 很舒服，很轻，真的和没穿差不多，就是有一点点偏大。。。</t>
  </si>
  <si>
    <t>好东西 真货，牦牛皮，made in China，合脚，舒服，1000不到，哈哈哈哈</t>
  </si>
  <si>
    <t>颜值高 装修囤货还没安装，颜值很高，没有廉价感，手感也不错</t>
  </si>
  <si>
    <t>号码偏大 号码偏大、对照表不准。建议买小一号</t>
  </si>
  <si>
    <t>非常好 非常好，典型白牙风格，给了朋友，可惜一直等不到这个价格了。</t>
  </si>
  <si>
    <t>亚马逊海购RL长袖衬衫 布料柔软，衣服很好，值得推荐！</t>
  </si>
  <si>
    <t>很实用 硅胶勺很柔软。金属的那头用来刮搅拌棒刀头上的辅食泥或者直接刮苹果，很方便。</t>
  </si>
  <si>
    <t>11 186cm，105kg，退役游泳运动员，xxl正好，跟我海淘的欧码耐克一样，尺码没毛病，不像其他人说的过大。</t>
  </si>
  <si>
    <t>棉含量过低，舒适度很差 棉含量过低，舒适度很差，有点像纸摩擦皮肤的赶脚</t>
  </si>
  <si>
    <t>Lee 男士 精选经典款直筒牛仔裤 Boss 29W x 30L 裤子比较厚，是秋冬或初春穿的。应该是中高腰的，腰围比较合适（不把上衣扎进去需要系皮带的那种），在里面穿条稍微厚点的保暖裤，大腿处刚好（但还是没绷直），小腿还是非常宽松（直筒的还是不太适合比较瘦的），长度是没穿鞋站着时脚后跟能踩到裤脚的边缘。 商品尺寸：[腰围：78cm/30.71in，裤长：104cm/40.94in，裤内裆长：78cm/30.71in，裤脚宽：20cm/7.87in] 实际尺寸：[身高：168cm，体重：54kg]</t>
  </si>
  <si>
    <t>太大了…… 只能给我妈穿了，至少大一码以上。</t>
  </si>
  <si>
    <t>鞋垫呢？ 不是说有屌炸天的鞋垫么？并没有啊！这包装这叫一简陋</t>
  </si>
  <si>
    <t>少滤芯？？？ 貌似只送了壶，没有滤芯</t>
  </si>
  <si>
    <t>商品尺码把成人和幼儿的混在一起，误导消费者选错尺码！ 商品尺码把成人和幼儿的混在一起 误导消费者选错尺码！ 非常不满意的一次购物体验！</t>
  </si>
  <si>
    <t>有味道 比香蕉味道小一点，但还是有味道。质量很好，4个月不太会拿。</t>
  </si>
  <si>
    <t>很轻很轻很轻 很轻很轻很轻，不过穿了几天有一只鞋的鞋底噗噗漏气</t>
  </si>
  <si>
    <t>有点旧 有点旧。感觉像旧货。已经闲鱼卖了。</t>
  </si>
  <si>
    <t>听感 质量：第一次用森海塞尔的耳机，质量上乘 听感：未煲开，一上耳人声有少少偏前，带有少许齿音，细听感觉有少许音染。待煲开后会有惊喜</t>
  </si>
  <si>
    <t>快递是真的慢，一个多月才到。不过真香 等了一个月才收到，快递也太慢了！不过真香，这价格没啥好犹豫，很舒服，不管是佩戴还是声音。而且还只是苹果手机直推。上个播放器估计会更好。懒得折腾了。</t>
  </si>
  <si>
    <t>很不错，很好。 买了好几次了，一直在用。</t>
  </si>
  <si>
    <t>123 唔知点解咁多差评。快递速度快，硬盘安静，读写速度满意。想买的课可放心出手。</t>
  </si>
  <si>
    <t>质量很好 好大一盒，打开看了看质量很好，还木有使用，外观还不错哦，主要可以连手机太棒了</t>
  </si>
  <si>
    <t>Nice Very good,cost efficient!</t>
  </si>
  <si>
    <t>好宝贝 还没有给孙子用呢，看着不错，</t>
  </si>
  <si>
    <t>真心比M200MKII强 很小的声音，都能听得很清楚。M200MKII这点不行，声音小了就没感觉。 大姐姐的声音就好像从显示器中发出来的一样，完全可以忽视显示器旁边的E5。  就是有点所有有源音箱都有的底噪，得换个声卡了。  请问你们的E5，打开开关的时候会不会“啪”的一声？我的一个箱子有一个箱子没有。。。</t>
  </si>
  <si>
    <t>不错 非常不错</t>
  </si>
  <si>
    <t>入坑胶囊咖啡机的新手选择 又买了一个，这次价格贵了点，但是多了一盒6个的体验装，而且包装盒外面还有一个箱子，感觉上次那个就是拆分过得。</t>
  </si>
  <si>
    <t>好 某宝旗舰店都卖假货 不得不亚马逊来试试水 效果还不错</t>
  </si>
  <si>
    <t>总体来说还是挺舒服的 总体来说挺舒服的，不磨脚，可能是因为我买了稍大一个码吧。 平时我穿耐克，NB的鞋子都是43码的，其实买9 M的就可以了，但是这款我买的是9码W的，所以刚感觉脚还是有些空量没有办法填满，最后点了鞋垫之后稍微好了很多，但是还是有些孔亮，问题不大，也不磨脚，就是我是在南方，现在还是有点热。基本上就是偶尔穿一下这样，平常穿的是休闲鞋</t>
  </si>
  <si>
    <t>LEE裤子 裤子很好，很合身。172 65公斤买的31-30，希望给需要的朋友一个参考。</t>
  </si>
  <si>
    <t>很好 穿着舒适，略有弹性，果断再买条别的颜色。</t>
  </si>
  <si>
    <t>宝宝用品 宝宝很喜欢，很实用！！！</t>
  </si>
  <si>
    <t>质量很好，码不大 国内44码运动鞋，这个44码刚好。质量很好，适合秋冬。</t>
  </si>
  <si>
    <t>长短合适就是鞋型有些窄 爸爸很喜欢，穿着舒适，正品没有其他问题，活动购买很是划算哦</t>
  </si>
  <si>
    <t>满意呢 第一条lee 之前都没买过lee，这一条性价比不错 174  ，72kg 大小刚刚好</t>
  </si>
  <si>
    <t>质量不错！有质感 很好，海购回来的时间也不算久，以后还会关注！</t>
  </si>
  <si>
    <t>好推，声音细节到位，听感完全对得起这7百+的价格 比家中德行600欧dt800好推多了，容易出好声。目前用天龙的DA-10推的效果十分满意，比之前的dt880要好出一耳朵。在没找到好的dt880耳放前此耳机是我唯一的选择。直推或简单前端玩家建议入此耳机，很好驾驭。千万别入dt880，普通前端也就能发个声，响度有，但细节一般，人声很不到位。</t>
  </si>
  <si>
    <t>自制奶黄糕，红豆沙 省事不少，虽然卖相不好但是味道不错。</t>
  </si>
  <si>
    <t>博朗剃须刀，男人值得拥有！ 德国品质.博朗剃须刀你值得拥有.之前有个国内生产3000S.这个德国产5030S更好.更贴面.电机声音小.不错</t>
  </si>
  <si>
    <t>梅粉色很漂亮 可以，但是感觉盖子稍微有点单薄，不过比虎牌的肯定要好</t>
  </si>
  <si>
    <t>耳机音质不行，地摊货音质，不值 物流很快，一周就收到了，超出期望，但是音质让我很失望，甚至不如苹果自带耳机，甚至不如cx185，心也是塞的。</t>
  </si>
  <si>
    <t>有落差 今天刚收的货，打开有一股刺鼻的气味，不知道洗过之后还有没有</t>
  </si>
  <si>
    <t>大小 系统说的买M号正好 结果太小了 脱都脱不下来 紧身衣了解一下</t>
  </si>
  <si>
    <t>无语 真是烂的一比，来了以后味道很大 made in china我都忍了 尼玛扣头为什么没了，补偿了百分之三十 然并卵 很难休修</t>
  </si>
  <si>
    <t>裤子太大 照着尺寸买，但买回来的裤子太大，没法穿。海外购也没办法退，退货费自己出，退货的运费跟裤子价格差不多。</t>
  </si>
  <si>
    <t>尺寸需要注意！ 平时穿冠军的S码大小都合适，结果这件稍微有点紧了。本人173cm,62kg，S码偏小，属于勉强刚刚合身那种，平时健身，感觉胸部那里非常挤。如果买M就能穿得很舒服了，给后买的网友一个参考。</t>
  </si>
  <si>
    <t>一共买了两台，这一台有正常！！！ 一共买了两台，另一台有问题！！！插上无法识别硬盘，换接口、换数据线、换电脑都不行，怀疑运输中损坏了。但是考虑到可以转保，国内保修，就没退货，就是返修时间很长很麻烦！！！。。。。。 这台正常使用，可是没过多久美亚出了神价格到收720块rmb的车。。。。。</t>
  </si>
  <si>
    <t>包里面没拉链 做工不错，就是里面的夹层没有拉链，放钱包什么的重要物品缺乏安全感。要是能改进一下就好了！</t>
  </si>
  <si>
    <t>大小合适 跟国内尺码差不多，还可以</t>
  </si>
  <si>
    <t>看样子还可以 看着不错，还没有使用</t>
  </si>
  <si>
    <t>不错 东西不错，穿着比一般的要暖和。</t>
  </si>
  <si>
    <t>很大，很便宜 如果你是用pc，是要折腾下的，不然不能识别噢，请自行网上补攻略</t>
  </si>
  <si>
    <t>开箱即用~不错！ 没大考虑是否国产，要不咱是世界工厂呢。 做工精细，烧水快，噪音低，过滤网细密。 基本符合咱的消费理念：常用的DD用好的！</t>
  </si>
  <si>
    <t>非常愉快的一次海外购 非常好，包装完好无损。</t>
  </si>
  <si>
    <t>给孩子补充维D的 同事推荐给孩子补充维D的东西，孩子也没发现排斥的感觉，也挺方便的。</t>
  </si>
  <si>
    <t>好 好好好</t>
  </si>
  <si>
    <t>尺码 号偏大，42码鞋感觉像43-44的</t>
  </si>
  <si>
    <t>鞋 大小合适，没有想像中的重，颜色正，鞋底较厚。</t>
  </si>
  <si>
    <t>物有所值 比较薄，保暖性一般，毕竟价格实惠。</t>
  </si>
  <si>
    <t>可以 刚收到货，很好，物有所值。刚收到货，很好，物有所值。刚收到货，很好，物有所值。</t>
  </si>
  <si>
    <t>非常好 喜欢象印的设计，质量一如既往的好。</t>
  </si>
  <si>
    <t>比较满意的一次海淘 第一次全球购，整体比较满意，prime会员很好用。表虽是made in China 不过物美价廉，也相信亚马逊的商品。不错</t>
  </si>
  <si>
    <t>好！ 非常喜欢，舒适，品质如一！</t>
  </si>
  <si>
    <t>比国内版的看上去要精致 收到宝贝，但没有使用，比以前买过一个国内版的做工看上去要精致，价格也便宜。，</t>
  </si>
  <si>
    <t>舒服 裤子薄，舒适，最好再便宜点</t>
  </si>
  <si>
    <t>👍 趁黑五提前备货，东东看起来比较精致</t>
  </si>
  <si>
    <t>好用的保温杯。 这款保温效果好，轻便，之前家里有一个了，觉得好用所以才又买了这个。</t>
  </si>
  <si>
    <t>舒适，推荐 一般穿80B的，这款没有适合尺码，就买到75B，也合适。罩杯尺码准确，穿着非常舒适，价格实惠，现在已经迷上无钢圈内衣了，买得停不下来了。</t>
  </si>
  <si>
    <t>完美！ 家里已经有一堆双立人和酷彩的锅了，绝大部分是从专柜买的，用过多次之后，觉得24厘米的应该会更加实用，所以就想从海外购买一个试试看。结果呢，真的是很惊喜！质量比专柜的都好得多，而且价格比专柜便宜很多。就是比网上的也便宜！几乎没有任何瑕疵。这才是真正的正品应该有的质量。万分后悔从专柜买了那么多！以后继续从亚马逊上买！</t>
  </si>
  <si>
    <t>和我预想の一样适合，很棒！这个价格买到！很开心！质量棒棒哒！ 和我预想の一样适合，很棒！这个价格买到！很开心！质量棒棒哒！</t>
  </si>
  <si>
    <t>衣服很好，关税奇怪，谁懂告诉我一下 没啥说的，m码66厘米长，胸围99厘米左右，厚度中等，偏宽松型，170/68kg很合适。唯一不解的是头批买了两件，每件180多，关税每件才20几，总共409元。现在每件178，同样的两件加关税要430多了，难道没有一个固定关税？怎么随时在变，就算变也该是根据物品种类和单价来定啊！</t>
  </si>
  <si>
    <t>冠军t 没有吊牌，衣领处剪接位明显，质量差，像退货！</t>
  </si>
  <si>
    <t>鞋底过硬 脚底有点硬，走路起来有点酸痛</t>
  </si>
  <si>
    <t>稍微有点小 稍微有点小，主要是没弹性。</t>
  </si>
  <si>
    <t>是新机器吗？ 插座头怎么有油污？是新机器吗？严重怀疑！搅拌的做工感觉也不精致。</t>
  </si>
  <si>
    <t>一个月没到就坏了 一个月没到就坏了，不能充电了，国内还不能保修。半年前买了个白色的却还好好的，也是醉了。大家慎重考虑要不要买</t>
  </si>
  <si>
    <t>无不锈钢内胆，塑料壶 原以为是有不锈钢利胆的，没想到就是一个塑料壶，不推荐购买。</t>
  </si>
  <si>
    <t>不方便 泡奶没有贝亲方便。得用勺子搅拌 最后的奶嘴里的奶要竖很高才能喝。</t>
  </si>
  <si>
    <t>号码严重不符 本人177，体重170，体型偏魁梧。参考其他买家评论，购买的L号仍然偏大，袖长，衣长还可以，主要是宽度是体重200的人才撑得起来。适合胖子或小叮当。衣服很厚实，红色也是有些偏暗的，我喜欢。就是国人和老美的体型差距确实有点大。</t>
  </si>
  <si>
    <t>合适 穿着不是很舒适，大小合身。凑合当睡衣穿吧</t>
  </si>
  <si>
    <t>鞋子太瘦 8天到货速度快，价格便宜，做工可以越南制造，和描述相符，号码不准，，鞋前面太瘦夹脚严重，我脚就挺瘦的了也没法将就，真不知道做给多瘦的脚穿的，只能送人了，第一次海淘很失望。平时穿41码，这双8.5US小一码。</t>
  </si>
  <si>
    <t>刷头还不错 刷头还不错，价格比较划算。</t>
  </si>
  <si>
    <t>非常好！价廉物美！非常好！价廉物美！ 非常好！价廉物美！非常好！价廉物美！</t>
  </si>
  <si>
    <t>颜值高，保温效果不错 保温效果不错。好看～～～</t>
  </si>
  <si>
    <t>做工精美，质量很好 不得不说，质量，做工都是没话说</t>
  </si>
  <si>
    <t>伤到膝盖，所以突然想起这个 最近运动的时候上到膝盖，就突然想到这个了，这个价格比跟国内便宜而且是直邮的，加了关税也比国内便宜，所以为什么不从亚马逊买。刚刚开始吃也不知道效果怎么样，最先因为这个没有货我买了另外一种，稍微便宜点，只要成份上基本一样少几个但是多了VD，试试看</t>
  </si>
  <si>
    <t>值 大小刚好，质量杠杠的，喜欢！</t>
  </si>
  <si>
    <t>裤长偏长 裤长比其它款的30L要长</t>
  </si>
  <si>
    <t>利其尔杯子 很好的一套杯子，盖子五个月七八月的都有了，质量很好，吸管，配件齐全，喜欢</t>
  </si>
  <si>
    <t>第一次海淘买牛仔裤，合身、价格好 下次黑五再来两条。  腰比较瘦，但小腿粗。。。打球多造成的可能。 平常买牛仔裤很难买到合身的。lee和levis店里买了两条还算合身，但价格太贵。 这次海淘正赶上打折，加运费不到300，店里都是上千的。很划算。 主要是穿着很合适，甚至比店里买的还贴合，略微有弹性，不紧。冬天能套个薄一点儿的保暖而不会影响坐卧蹲走。 按自己平时穿的裤子尺码选就好，合身</t>
  </si>
  <si>
    <t>胖子的福音 其实速度比亚马逊自己预估的要快，裤子挺喜欢，国内遍地修身还是老外的裤子适合我啊，哈哈哈哈，我178穿30L够了，大概是我不喜欢穿太长的裤腿原因吧，我也可以穿32L的</t>
  </si>
  <si>
    <t>很有英伦范的鞋子 质量很好，版型很正，穿了一个月了，各种穿法，鞋都没变形。时尚又经典。 缺点： 1、鞋是瘦版，鞋口很紧的，所以最好买大一号到两号都可以～ 2、买的时候说是新的，但是送来时明显是二手鞋。而且各种其乐的规范包装都没有，也没有三包卡～ 但是实在是太喜欢了，就留下了～</t>
  </si>
  <si>
    <t>好 性价比高，囤货用的，应该不错吧</t>
  </si>
  <si>
    <t>很经典圆珠笔 外形很经典，笔芯功能算是完美了。这种黄铜结构加镀铬品质的笔不多。虽然价格小贵但还是值得的。</t>
  </si>
  <si>
    <t>生娃标配 没什么说的，生娃标配，老大用完了，老二买了接着用</t>
  </si>
  <si>
    <t>一般的oralB牙刷都可以用，prime免了运费海外购就很划算了 一般的oralB牙刷都可以用，prime免了运费海外购很划算了。</t>
  </si>
  <si>
    <t>很满意 正合适，也很舒服，很满意的一次购物</t>
  </si>
  <si>
    <t>好 质感不错，为了笔芯旋转笔头略有松动，正常写字没问题</t>
  </si>
  <si>
    <t>性价比较高，值得推荐 之前看了评论以为这个笔很重，只能做正儿八经的签字笔，拿到手一看还行，也不是特别重，笔舌不出意外是歪的，写字不多的话可以作为日常用笔使用，飞白现象一开始有，但是后面写了差不多200个字后基本就没有了，墨水用的是极黑，基本保持一天一次的频率，能保证下笔记即出水，感觉还不错</t>
  </si>
  <si>
    <t>全新正品 10T1000块的价格不知道多久才会出现，噪音略大</t>
  </si>
  <si>
    <t>海淘价格不错 海淘价格不错</t>
  </si>
  <si>
    <t>尺码正好 质量不错 178cm 80kg 尺码正好 袖子没有太长 也不紧身 颜色也没色差 价格实惠</t>
  </si>
  <si>
    <t>合适 身高1米65，体重122。这个号码正合适。如果喜欢宽松的人，需要再放大一号。</t>
  </si>
  <si>
    <t>很好 己多次购买价格适中本次到货包装很好</t>
  </si>
  <si>
    <t>太大了 尺码对照表不准确，太大了</t>
  </si>
  <si>
    <t>掉色 洗多了衣服前面的logo会掉</t>
  </si>
  <si>
    <t>东西正品，包装稀烂。 大英帝国穷得连个盒子都不舍得给。任由着孩子单枪匹马漂洋过海而来。讲真话，从盒子的对比上看，靠谱程度依次为日本》美国〉德国=英国。东西没损坏是万幸</t>
  </si>
  <si>
    <t>太大了 买了s码还是太大了，衣服太长，质量感觉一般吧，看在价格的面子上，总体还可以</t>
  </si>
  <si>
    <t>尺码不准 这个尺码严重诡异，我美版所有T恤衬衫都是L这一件肥的你怀疑人生</t>
  </si>
  <si>
    <t>表带褪色 我是3月24号收到货的，今天是5月6号，也就是一个多月，表带竟然褪色！！！首先是维修点电话一直无法接通，没有人接，再次客服说表带不保修，价值一千多块的表带，质量是不是太差啦？如果说戴了半年，也就算了，太气愤了！！！</t>
  </si>
  <si>
    <t>突然发现左右音响声音差的很大，右侧很大，左侧很小 突然发现左右音响声音差的很大，右侧很大，左侧很小，把右侧去了左侧跟没有一样。另外已经尝试过声道了。</t>
  </si>
  <si>
    <t>有点薄，春款吧应该！ 我身高178，体重79kg，有小肚子！ M号还是大，长度差不多，可是裤腿太大太肥呀，习惯穿修身的，这穿着像水桶呀！腰围也有余！ 多看看评论估计我会选S！</t>
  </si>
  <si>
    <t>缺乏与中国服装尺码的对比，很容易买大 缺乏与中国服装尺码的对比，很容易买大</t>
  </si>
  <si>
    <t>性价比还可以 用下来还可以 就是揉面团这个头晃得有点夸张 不知道其他两个牌子如何</t>
  </si>
  <si>
    <t>衣服不错，是薄装 款式好，料子也不错，就是有点薄</t>
  </si>
  <si>
    <t>大叔裤！ 颜色与图片有色差，应该是比图片浅一点的卡其色,感觉带一点土黄色。料子有弹性，精纺斜纹裤，厚度适中，春秋穿合适，舒适度可以。32码腰围84公分，中低腰，前裆较长，裤腿偏肥，比较适合大叔级年龄穿着，感觉比我3年前买的CK纯棉33码slim型裤子裤型差。那条裤子相当满意，这条只能说还可以。不到300元到手，性价比还行。我体型：169公分，73千克，腰围90，臀围99，这款32x30尺码合适。</t>
  </si>
  <si>
    <t>质量上乘的厨房餐具 福腾宝厨房餐具套件 美食 4 件套（不锈钢）质量上乘，材质较厚，远比在一般商场里出售的不锈钢厨房餐具厚实和材料优秀。虽然价格小贵点，但使用起来值。</t>
  </si>
  <si>
    <t>很好 宝贝很喜欢，二宝大了需要还会再买的！物流很给力</t>
  </si>
  <si>
    <t>挺好 挺好的包</t>
  </si>
  <si>
    <t>货是好货，就是我还没穿过 衣服很好，身高182，选的大码，挺合适的。就是人太瘦了，目前还不好意思穿上健身😂</t>
  </si>
  <si>
    <t>推荐这款鞋子 非常满意的一双鞋子，应该是印度制造的。不错👍前年去英国没有关注这个牌子的鞋。将来再去英国一定要买几双鞋子。</t>
  </si>
  <si>
    <t>实惠 实惠、性价比高、稳定、安静</t>
  </si>
  <si>
    <t>希捷 希捷硬盘质量是好，但是亚马逊的包装太差，来到之后，内外包装都破损。亚马逊的服务质量在飞速下降。</t>
  </si>
  <si>
    <t>款式不修身 一米八三，一百四十多斤，W31L32，号是合适的，款式是肥款直筒，有点大，凑活穿吧</t>
  </si>
  <si>
    <t>A good shopping prime会员8天就到了 我角偏宽 但还是可以穿的 鞋很漂亮 建议大半码</t>
  </si>
  <si>
    <t>还行~ 买了m竟然有点点宽松。</t>
  </si>
  <si>
    <t>甜甜的，宝宝很是喜欢 甜甜的，宝宝很是喜欢，自动挤出的，很方便</t>
  </si>
  <si>
    <t>硬盘入手后一定看清楚格式！ 买回来之后没仔细看就开始传资料，传到一半发现是exFat格式的硬盘，于是有赶紧把资料往回传，改硬盘格式……#手动滑稽</t>
  </si>
  <si>
    <t>囤货 很方便，可以记录时间等</t>
  </si>
  <si>
    <t>超划算 平时穿40码的鞋，这款8.5大小正合适</t>
  </si>
  <si>
    <t>还不错 第一买，感觉还可以吧。</t>
  </si>
  <si>
    <t>好 偶尔在日本带回来一只，用了牙龈不出血了，很好用。</t>
  </si>
  <si>
    <t>极致的性价比，舒服了。 价格真香。内里加绒很舒适，高邦的上口沿有一点摩小腿，穿久了有一点捂。这是我第五双clarks了，鞋型的大小都很稳定，按照正常的脚长买就行。</t>
  </si>
  <si>
    <t>物有所值 80cm的腰，刚刚合适。173、69，都不用改裤脚</t>
  </si>
  <si>
    <t>好用 好用，价格实惠！凑单买的，太值了！只是日用装很小，就比卫生护垫大一点。</t>
  </si>
  <si>
    <t>鞋子很好 鞋子穿的很舒服</t>
  </si>
  <si>
    <t>价格合适很不错 可能需要买大半码，也可能是我脚宽。总体不错</t>
  </si>
  <si>
    <t>11 非常喜欢爱步的鞋，给父亲的生日礼物，感谢亚马逊</t>
  </si>
  <si>
    <t>儿童手表 手表本身没有问题，但太小太玩具，尤其被照片所对比后的失落感。</t>
  </si>
  <si>
    <t>德国工艺也不严谨 德国人也不是我们想像的那么严谨，用了两个月就坏了，幸好中国也可以联保，找到成都保修点给换了手柄整个部件，没有这个型号，换的是国内5100系列的部件，说不影响使用，现在用起也可以。</t>
  </si>
  <si>
    <t>GUNZE 郡是 无钢圈文胸 温柔物语 GUNZE 郡是 无钢圈文胸 温柔物语 没有形状，上身效果不好</t>
  </si>
  <si>
    <t>有划痕 鞋面有划痕，海外购真怀疑是国外残次品！</t>
  </si>
  <si>
    <t>材质 垃圾，皮带是人造革的，硬邦邦，慎买。本人裤子30码</t>
  </si>
  <si>
    <t>∴挺好用 很好用，不过笔如细啊!笔盒为什么不一样啊?求解释</t>
  </si>
  <si>
    <t>满意 很不错的，很适合，还会继续关注的</t>
  </si>
  <si>
    <t>比图片看起来小很多 made in Germany，冲着这几个字去的，不过比想象中小很多。装修囤货，暂时还没用。应该没什么问题吧。</t>
  </si>
  <si>
    <t>颜色有差异 颜色有差异</t>
  </si>
  <si>
    <t>两只鞋不是特别一致。 做工不算精细，也还说得过去，没什么大毛病，不过是线头多点，排线不是太整齐，总的来说挺漂亮的鞋。需要提醒大家的是，我这双鞋并不像很多评论里说的偏大。我穿的73537是8.5W的，松紧正好，长度也算正好但略有富余。因为评论里大多说这款鞋鞋号偏大，所以买了8.5D，结果是长度毫无富余，前后都顶上了，左脚还可以说是恰好吧，问题是右脚后跟磨得厉害，而且偏紧，有点勒脚。</t>
  </si>
  <si>
    <t>超快的海外购 本来以为会一个月才能送到，没想到国庆节第一天就送到了，只有半个月的时间，真的太快了！硬盘声音还是有的，不过工作起来只要稳定长久就足够了！</t>
  </si>
  <si>
    <t>华哥尔 质量好，穿着很舒服。</t>
  </si>
  <si>
    <t>做工好，衣服偏小 东西倒是不错，做工也蛮好，就是偏小了</t>
  </si>
  <si>
    <t>真品 真品无疑，下次再买</t>
  </si>
  <si>
    <t>非常棒的海外购体验！非常棒的煎锅！ 海外购的送货速度很快，从北美拉斯维加斯发出一周时间就到了，给力！赞👍！铁锅很厚实，做工非常棒，煎牛排，效果非常好！</t>
  </si>
  <si>
    <t>舒适 超舒适，穿上零感觉，从没穿过这么舒服的内衣</t>
  </si>
  <si>
    <t>评价 舒服，无负担。</t>
  </si>
  <si>
    <t>不错 不错的手表，值得拥有</t>
  </si>
  <si>
    <t>包装需要改进 除了包装不好，其余很好</t>
  </si>
  <si>
    <t>很合适，不管是哪方面都合适 合身，价格给力，颜色好看</t>
  </si>
  <si>
    <t>实用 帅气，实用非常好</t>
  </si>
  <si>
    <t>满意舒服 颜色好看，满意，面料舒服。</t>
  </si>
  <si>
    <t>好笔！ 给别人的礼物，很高大上啊！</t>
  </si>
  <si>
    <t>很好 裤子很合身，面料也不错</t>
  </si>
  <si>
    <t>轻巧好用 做工手感都不错，就是等的时间好长。30cm是比普通人家用的小一点，一家三口倒也够用了，小点轻巧点倒也方便，女生单手可以颠菜。洗后加水煮开，然后用肥肉随便开了锅，静置了小半天就用上了，挺好用的啊，图片是我开锅第一道菜。随便炒的一个哨子肉，只要不下土豆和生粉类淀粉特高的食材，不会粘锅。</t>
  </si>
  <si>
    <t>保温效果不错，就是盖子有点松。 烧的沸水，放了24小时了，摸着烫手。保温不错。</t>
  </si>
  <si>
    <t>舒适内衣可以外穿 布料是真的舒服！大小也合适，虽然是内衣但外穿也可以，黑色不透？！</t>
  </si>
  <si>
    <t>很舒服，不是修身，宽松 穿着很舒服，不过老美的版型很粗壮啊，不修身，裤腿宽，总体上满意。</t>
  </si>
  <si>
    <t>好吃 挺好吃的，但是维生素含量能有多高就不知道了。</t>
  </si>
  <si>
    <t>个人更喜欢这种美产的 还是美亚的这个好，仔细看香蕉齿国内的好多是台湾产的那种，齿细而且稀疏…这个密而且齿粗</t>
  </si>
  <si>
    <t>有刺鼻气味 尺码偏小，颜色同网页图案不一致，鞋子散发刺激性气味。</t>
  </si>
  <si>
    <t>小了 看评论下的单，S码太小，我170，75Kg 应该M，仅供参考 棉质摸着很粗</t>
  </si>
  <si>
    <t>习惯模式的杯盖容易坏 吸管模式的杯盖太容易坏了 用了两个月就开始扣不紧 弹起 放包里漏水 之前天猫国际买了一个 以为是假的 没想到海外购的也是这个毛病 看来是设计问题</t>
  </si>
  <si>
    <t>有被拆开的痕迹 有被拆开的痕迹，大家注意。</t>
  </si>
  <si>
    <t>差评 质量堪比50块钱货品，内绒会掉，做工不忍直视，还不如淘宝假货</t>
  </si>
  <si>
    <t>领围太小 领围太小，袖子太长</t>
  </si>
  <si>
    <t>除了价钱不美丽，其他还不错 看了其他人的推荐买的，东西不错，不能用硬勺子刮，使用挺方便的，就是价钱稍贵，比其他平台贵一些，但是为了保证正品，多花点儿钱也行了~</t>
  </si>
  <si>
    <t>新的就是不一样 新的刮得还挺干净的</t>
  </si>
  <si>
    <t>港版美版内部大小差好多 买的2e也就是w宽。都说亚洲人脚比较宽，而且我的前一双踢不烂的在香港买的也是w，但是这双实在有够大，而且加宽了后鞋头看起来有点包子，不太好看了。凑胡穿吧。至于楼上说亚马逊尺码对照表不对的，你们有仔细看嘛？声明，我有仔细看，我的问题是港版和美版不一样。美版还是建议选d吧。</t>
  </si>
  <si>
    <t>容量大，够用 暂时挺好的，容量超级大，不知道能用多久</t>
  </si>
  <si>
    <t>海外购尺寸大小是个技术活 1.75米80公斤略胖。这个尺寸太大了</t>
  </si>
  <si>
    <t>172cm  75kg，选的S号，正正好 172cm  75kg，选的S号，正正好，衣服做工精良，没有线头，绣的Logo很漂亮，穿着舒服，两面都可以穿，帅气，不足的一点是里面的那一面口袋设计是反着的，反过来穿以后手得从前往后插进口袋，反人类，但是正面穿的时候里面的那个反口袋就非常顺手啦</t>
  </si>
  <si>
    <t>象印水杯 杯子很不错，磨砂手感，实物颜色偏暗</t>
  </si>
  <si>
    <t>很划算 165 55穿XS稍紧，但可以接受</t>
  </si>
  <si>
    <t>挺好的 好看，显得脚修长，鞋底磨损比较快</t>
  </si>
  <si>
    <t>scorpio 这件是我最喜欢的一件，性价比超高，而且穿起来很宽松，适合肩宽的人穿起来会很有型</t>
  </si>
  <si>
    <t>超值划算 很优惠的价格所以买了十二个存着</t>
  </si>
  <si>
    <t>轻便舒适 喜欢，上下班步行穿，轻便舒适。极力推荐！</t>
  </si>
  <si>
    <t>不错！！！ 不错！！！</t>
  </si>
  <si>
    <t>尺寸合适 本人胸围94，这件衣服不能再小了。这个衣服是日本产的，不是欧码</t>
  </si>
  <si>
    <t>正好 162cm，128斤，M码肩膀都正好合适！</t>
  </si>
  <si>
    <t>终于有替换装了 之前的牙刷头用到毛都有点分叉了，终于有补充弹药了，感觉换上，体现完美新感觉。哈哈哈。</t>
  </si>
  <si>
    <t>好 不错哦～很好哈～继续回购～</t>
  </si>
  <si>
    <t>工艺好 和小镜子一样，赞，喜欢</t>
  </si>
  <si>
    <t>质量，尺寸 保暖性很好，皮肤穿着很舒适，我会继续关注近期又买了一件深色的，大赞</t>
  </si>
  <si>
    <t>好看，好穿，值得买 为了1千大洋，果断买大了一个码。贴心的是收腰很好，买大了也不怕😊。瞬间有赚到的感觉。实物红色没有图片中亮，但是也是很好看的红，棒棒哒。</t>
  </si>
  <si>
    <t>速度不够快 三防u盘 样子好看 如果u盘是mlc颗粒速度快点 再加上个全球终身质保 就像闪迪至尊超极速那样就完美了</t>
  </si>
  <si>
    <t>刺猬 好可爱 买了一套给宝宝用</t>
  </si>
  <si>
    <t>不错的，保温效果很好 不错的，保温效果很好</t>
  </si>
  <si>
    <t>okokok好 不错，有品牌的就是好</t>
  </si>
  <si>
    <t>实惠 很划算的，给家人备货了</t>
  </si>
  <si>
    <t>很好看价钱也合适 非常好，鞋子很漂亮，价钱也超合适，而且很快就送到了～</t>
  </si>
  <si>
    <t>码数不标准 同时买了两条同码的裤子，腰围相差有近两公分。想退都找不到款号，怕退错了引起麻烦就全部留下了</t>
  </si>
  <si>
    <t>电池不行 只能用两次，两次后必须充电，进口的也就这样！</t>
  </si>
  <si>
    <t>质量差 有质量问题</t>
  </si>
  <si>
    <t>帽沿偏小 感觉帽沿太小，遮挡不了多少阳光。</t>
  </si>
  <si>
    <t>质量太差，售后太差 质量真是太差了，亚马逊海外购商品质量堪忧，跟专柜比起来差太多了。很多年都没遇到过鞋开胶，才穿了两周不到…海外购基本没有售后…</t>
  </si>
  <si>
    <t>漏水 漏水啊！冷水也漏水！之前在淘宝上看到评论说漏水，以为海外的不会漏，结果一样的，有点失望</t>
  </si>
  <si>
    <t>硬 不舒服 脚底发硬 走路硌脚 假货吗 还是正品就这样</t>
  </si>
  <si>
    <t>Lee Uniforms 男式修身直筒 5 袋裤 刚拿回来硬的跟纸板一样，久了定型效果还是不错，不易变形</t>
  </si>
  <si>
    <t>颜色正，显休闲。 72cm/160cm - s号腰正好，腿臀略宽松显休闲。长度正好啊。</t>
  </si>
  <si>
    <t>大童鞋 按平时的尺码买的，刚好合适，就是童鞋会比成年款的窄，脚胖者不合适</t>
  </si>
  <si>
    <t>不习惯 一个纸箱一个纸板就从美国漂洋过海来到中国，纸箱没坏，锅也没坏。话说锅真沉啊，刷锅是个问题，不敢放水池里啊，怕压坏。炒完菜最好过段时间刷啊，太热。手柄太短。不习惯，没法掂勺啊。</t>
  </si>
  <si>
    <t>设计很经典简约 很早之前就看中Braun这一系列的表，非常喜欢这款经典简约的设计，没有任何过多的装饰，金属表带的质感也很不错。商品包装很好，看得出来肯定是正品。亚马逊的发货很快，不到24小时就收到表了。</t>
  </si>
  <si>
    <t>34要买36比较合适 很好。就是这个上面的标号是最大尺码。比如说不是34，那就是最多34。所以建议买大两号种子选手</t>
  </si>
  <si>
    <t>非常好用，适合宝宝自用和喂饭 喂饭特好用，这是第二套了</t>
  </si>
  <si>
    <t>补充营养，好吃 第一次购买，补充营养，很好吃，一天两颗，能吃很久。</t>
  </si>
  <si>
    <t>OK 挺合身的，感觉不错，就是稍稍又一点薄，</t>
  </si>
  <si>
    <t>评价 &lt;div id="video-block-R1RRZP2L1XIRHN" class="a-section a-spacing-small a-spacing-top-mini video-block"&gt;&lt;div tabindex="0" class="airy airy-svg vmin-supported airy-skin-beacon" style="background-color: rgb(0, 0, 0); position: relative; width: 100%; height: 100%; font-size: 0px; overflow: hidden; outline: none;"&gt;&lt;div class="airy-renderer-container" style="position: relative; height: 100%; width: 100%;"&gt;&lt;video id="7" preload="auto" src="https://images-cn.ssl-images-amazon.com/images/I/514FsKOVS8S.mp4" style="position: absolute; left: 0px; top: 0px; overflow: hidden; height: 1px; width: 1px;"&gt;&lt;/video&gt;&lt;/div&gt;&lt;div id="airy-slate-preload" style="background-color: rgb(0, 0, 0); background-image: url(&amp;quot;https://images-cn.ssl-images-amazon.com/images/I/81Krj-PvctS.png&amp;quot;);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center;"&gt;0:00&lt;/div&gt;&lt;div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value="https://images-cn.ssl-images-amazon.com/images/I/514FsKOVS8S.mp4" class="video-url"&gt;&lt;input type="hidden" name="" value="https://images-cn.ssl-images-amazon.com/images/I/81Krj-PvctS.png" class="video-slate-img-url"&gt;&amp;nbsp;我这块是泰产，物流很快呀！</t>
  </si>
  <si>
    <t>一定要买，最合适的 相当合适啊！物美价廉！还要再买</t>
  </si>
  <si>
    <t>不错的 很好，一直用这款，双封口放心</t>
  </si>
  <si>
    <t>很好 很好，不错。使用方便</t>
  </si>
  <si>
    <t>好鞋 鞋子很合适，我平时穿37，这个正好，夏天穿透气，不闷，很好很喜欢</t>
  </si>
  <si>
    <t>基本上合适 平时穿运动鞋42码，量了下脚长26cm，脚较肥。买8.5的感觉还行，前面有点点压脚背，估计穿一段时间就好了，如果再买更大的会长。供参考</t>
  </si>
  <si>
    <t>东西很好 一直用贝亲奶嘴奶瓶，东西很好。</t>
  </si>
  <si>
    <t>东西很好方便饮水 安装简便，过滤的水蛮洁净的</t>
  </si>
  <si>
    <t>非常舒服 太好的裤子，有弹力很舒服，舍不得换洗了，其他牛仔裤都不想穿了！</t>
  </si>
  <si>
    <t>很好 很好，就是买的时候没看清，奶嘴是3个月龄宝宝用的</t>
  </si>
  <si>
    <t>奶袋可以 并没有评论中所说的味道啊，感觉奶袋可以的，暂时没发现不好的地方</t>
  </si>
  <si>
    <t>划算 比淘宝旗舰店划算太多！made in 越南，鞋子做工不错，宽度正好，长度有些长了，可能是我脚宽，鞋舌确实磨脚，需要穿长袜子</t>
  </si>
  <si>
    <t>够宽松 USA（L），183、97，屁股大、腿粗，这个短裤够宽松，设计很合理，当然布料看上去很廉价</t>
  </si>
  <si>
    <t>价格给力 相比于国内或网上，如此价格买到正品超值了，锻炼孩子好的生活习惯</t>
  </si>
  <si>
    <t>好 速度稳定，声音很轻，手感不错</t>
  </si>
  <si>
    <t>帮朋友买的，质量不错！ 帮朋友买的，</t>
  </si>
  <si>
    <t>非常棒 上次买的稍微大了点点，这次的正好。淘宝上也买过无钢圈，两次后无法忍受扔了。这个是真的物超所值！</t>
  </si>
  <si>
    <t>太重。皮质一流。款式一般，已经过时了。 运动鞋42，这个尺码刚刚好。做工不太精致。皮质一流。比较重，大概超过500克了。</t>
  </si>
  <si>
    <t>中规中矩 料子和做工真心一般般。173/67kg，S码刚好，修身</t>
  </si>
  <si>
    <t>背面粗糙 物流快，发货等的花儿都谢了。虽然我只用正面，但是背面也太粗糙了吧，看着太影响整体美观了，这让我怀疑是不是德国的好。想到那条疤痕和这么粗糙的背面我只能给三星。</t>
  </si>
  <si>
    <t>气味太大 这次买的跟之前的不一样，好大味道，不知道什么味，亚马逊也不靠谱了</t>
  </si>
  <si>
    <t>太大 我是2尺8腰围，买的L洗完那叫一个大</t>
  </si>
  <si>
    <t>买大了… 很不错的衣服，就是大了一号…</t>
  </si>
  <si>
    <t>存储利器，值得购买！ 货物不错，加上税费但价格不低，还没有包。总的值得买！</t>
  </si>
  <si>
    <t>袖子长 袖子超级超级长超级啊</t>
  </si>
  <si>
    <t>满意 鞋有点压脚面，还好拍的是宽版的，如果冬天穿厚袜子建议拍大半码的。鞋的个别地方有磨损，总体还行，毕竟比在国内买要便宜很多，八百入手。</t>
  </si>
  <si>
    <t>第一次的亚马逊 表盘还挺小的，表带硬，考虑换一根，总体跟描述的一样。日常佩戴应该没什么大问题</t>
  </si>
  <si>
    <t>简约，实用 很多朋友都说好看哦</t>
  </si>
  <si>
    <t>只用施德楼 德国人做的东西值得信赖！</t>
  </si>
  <si>
    <t>好用 比原来的洁碧水牙线好用，喷水频率更高，更柔和。</t>
  </si>
  <si>
    <t>价廉物美 牙刷头很合算，这个刷头感觉比我国内买的稍微大一点点，但不影响刷牙，很好！</t>
  </si>
  <si>
    <t>推荐 气味儿也好，孩子爱上洗手了</t>
  </si>
  <si>
    <t>操作简单 做工很不错 喜欢的颜色和款式 操作简单方便</t>
  </si>
  <si>
    <t>一如既往的好 一如既往的好，173，80，选的M号，有些紧身，但不贴身。布料柔软，比champion做工用料好的多。</t>
  </si>
  <si>
    <t>值得买 高大上的品牌，品质感十足，普通品牌的价格买到这种品质的品牌的东西跟开心，价格真的觉得很实在了。能用得住的好东西</t>
  </si>
  <si>
    <t>本人178，69公斤，应该买L号 本人178，69公斤，略瘦。其实这次买错了，以为是美版的，就买了M号，结完账才发现是日版的，日版的尺码和国内差不多，所以应该买L号就正好，M号略微小了一丢丢，所以就给我老婆穿了，下次我再买一件就变情侣装了。面料很柔软舒适，厚薄适中，春秋季穿刚好。</t>
  </si>
  <si>
    <t>质量好 孕期囤货还没用上，奶瓶质量很好，希望宝宝喜欢。</t>
  </si>
  <si>
    <t>有点大 有点大</t>
  </si>
  <si>
    <t>舒服，胖了也能穿 挺舒服的，不错，突然胖到100kg也还能穿</t>
  </si>
  <si>
    <t>质量 非常好，谢谢</t>
  </si>
  <si>
    <t>推荐购买 尺码很标准，颜色很正，质量很好。</t>
  </si>
  <si>
    <t>good 商品早已收到，比想象要快，商品很好！喜欢！</t>
  </si>
  <si>
    <t>棒 非常保温，喜欢再次去入购2个</t>
  </si>
  <si>
    <t>很好 面料很好，比较薄，不压胸，即使平胸也不会塌</t>
  </si>
  <si>
    <t>超好用 比以前用的1000w的吹风机好用多了。以前很烫，还吹得慢，现在风力大，不会觉得特别烫，吹干了头发比较服帖，有光泽。我怀疑这货是不是都卖到国内了。一个转换头就好了，不用变压器。还是挺方便的。</t>
  </si>
  <si>
    <t>OK 尺寸合适面料薄很舒适。</t>
  </si>
  <si>
    <t>海外购方便，运输快捷，包装结实，正品无疑 海外购方便，运输快捷，正品无疑，不用担心包装，很结实的</t>
  </si>
  <si>
    <t>啊哈太好用了,不用打个蛋像拿电钻一样了 这款打起来挺轻柔  但是却很快的能打发蛋液  用的时间短,效果又经原来好太多,感觉原来像是拿着个电钻在打蛋,现在太顺手了</t>
  </si>
  <si>
    <t>大小 挺好的。第一亚马逊海购，质量真好，就是好肥，我192cm，体重92kg，XXL的好肥大。欧美版和国内的确实不一样。</t>
  </si>
  <si>
    <t>尺码不标准 之前买了一条直筒31的，发觉裤头大了些，然后买这条30的。却觉得裤头太紧，感觉不同款式的尺码不准，差别大。</t>
  </si>
  <si>
    <t>老头衫而已 老头衫一件，不要抱太大希望</t>
  </si>
  <si>
    <t>质量 这件衣服的质量很一般，</t>
  </si>
  <si>
    <t>差评 看了评论很多说外包装有撕开的痕迹，拿到手后看了下左右两边粘条新的。嗯。打开一看，里面装机器的塑料盒子已经破的不成型，呵呵。以前很信任亚马逊，再见吧。我再也不偷懒了，还是自己海淘去。</t>
  </si>
  <si>
    <t>不好 4月份买了个亚马逊美国自营婴儿面霜，寄了个3月过期的给我，投诉了再买，5月寄来的还是过期货！5月到现在多次投诉客服，现在还没一个说法给我。所以这个奶粉的质量我也很怀疑。</t>
  </si>
  <si>
    <t>纸盒批号与瓶子的居然不一致 本来相信大平台，大品牌。吃了几片才发现，瓶子上的批号和包装盒的居然不一样。不然吃，退货中</t>
  </si>
  <si>
    <t>略大 平时adidas穿44码，us10. 这个我买了UK9，还是稍微大了点儿。UK8.5我想基本就合适了。</t>
  </si>
  <si>
    <t>好用 瓶子质量很好比中国这边对好，就是盖子一开始好用后面总是对不上口子，不知道为什么。</t>
  </si>
  <si>
    <t>比想象稍微小一点点 比想象中稍小，基本的东西还是能装得下，小的暗袋也足够多，好评</t>
  </si>
  <si>
    <t>容量略略小，速度还不错 容量略略小，2T的只剩下1.8T，缩水成分有点大。 速度还不错，用3.0的插口。1g的东西瞬间转移。 价格也蛮实惠的，我买完我同事想买，结果涨价啦！</t>
  </si>
  <si>
    <t>春秋天穿合适 质量很好，就是感觉买M号小了一号，175，85公斤应该买L号合适。</t>
  </si>
  <si>
    <t>Casio Men's MQ24-7E Casual Watch With Black... 看起来很精致，不错，邮寄也很快</t>
  </si>
  <si>
    <t>海外购初体验～ 第一次用亚马逊的海外购，物流比预期快，东西也不错～靴子穿大不穿小，所以尺寸刚好，可以穿厚毛祙。</t>
  </si>
  <si>
    <t>不错。 可可以的！</t>
  </si>
  <si>
    <t>海外购亚马逊非常棒 这款电压是110V，一定要购买电压转换器，我买的是2000W的，机器功率只有几百瓦，但考虑到变压器散热，买的瓦数比较大，机器跟卖场的一样，如果购买KL款请注意，KL应该是特供款，是定制款</t>
  </si>
  <si>
    <t>非常好 非常好用，出水量大。</t>
  </si>
  <si>
    <t>太美太划算 太美了！价格超好！太划算了</t>
  </si>
  <si>
    <t>满意 舒适，适合春秋冬季穿着。物流较快。</t>
  </si>
  <si>
    <t>好锅 好锅，感觉很耐用，也很好清理</t>
  </si>
  <si>
    <t>不错好值得购买 全棉的很好，穿着舒服 ，虽然是男式但是上身还是很秀气，拍的M码161m,55kg.修身。</t>
  </si>
  <si>
    <t>正品，不错 性价比比较高</t>
  </si>
  <si>
    <t>挺不错的长谷园 挺不错的土锅，还好拆箱完好无损。煮粥开锅，煲了一两次汤，挺满意</t>
  </si>
  <si>
    <t>好！ 细节做工考究，全黑显逼格。</t>
  </si>
  <si>
    <t>超轻又舒适 第一次买到这么轻的内衣，又舒适，真的很好</t>
  </si>
  <si>
    <t>穿着舒服，尺码偏大半号。 产地泰国，荷兰阿姆斯特丹发货，一个星期到货。穿着舒服，尺码偏大半号，脚往前顶后面可以一指轻松放下，李宁的鞋子后面一指比较压迫目测比李宁运动鞋长0.3到0.5厘米。不满意地方，两只鞋子的鞋面皮软硬与毛孔粗细不太均匀，穿着时候变形不是很均匀。看来泰国工人手艺有待提高。缺点不明显，可以接受，总体非常满意。</t>
  </si>
  <si>
    <t>值得拥有 非常值，不要期待直推，没戏。如果放能搭配好人声会有改观。做工粗糙了点，单元外侧的DT990使用双面胶粘上的。总的来说相当好，</t>
  </si>
  <si>
    <t>超赞 一分钱一分货啊，美哭了。 165高，47公斤，S码合适，内还可加毛衣抓绒。</t>
  </si>
  <si>
    <t>餐盘颜值很高 做活动时入的，价格很合适，勺子是真的好用啊很适合宝宝自己吃饭用，大人喂饭的话手柄有点短，餐盘颜值很高</t>
  </si>
  <si>
    <t>号码太大 号码太大了，至少大两个号码，请购买者注意，但是很舒服</t>
  </si>
  <si>
    <t>坏了 没多久 很失望 已经坏了 本来以为这个质量好  里面掉了</t>
  </si>
  <si>
    <t>大小正好 特别好看，喜欢</t>
  </si>
  <si>
    <t>尺寸合适。值得推荐。 尺寸合适。值得推荐。</t>
  </si>
  <si>
    <t>剃须刀 一直使用的品牌，刮得又快又干净，很喜欢。</t>
  </si>
  <si>
    <t>盖子重 造型挺好看，就是盖子实在太重，用着很不顺，当玩具了。</t>
  </si>
  <si>
    <t>稍微有点窄 前面紧有点紧，稍微有点磨脚，希望穿段时间会好些。送的很快，虽然是soft但没有想象中那么软。</t>
  </si>
  <si>
    <t>衣服一般 衣服质量一般，随便穿穿可以，比平常略大一点</t>
  </si>
  <si>
    <t>好看不实用 密胺，无法水煮消毒，还脆皮，小朋友摔一次到地上，烂了。</t>
  </si>
  <si>
    <t>绝对一坑，须谨慎 就是个抗，你🐎尺码表里写的就是骗鬼的，太特me坑了，你这评论里都有商品是否合适干嘛不把尺码表写准了，专业坑人么，想退一看就能退二三十块钱，呵呵了，就没见过如此厉害的购物软件</t>
  </si>
  <si>
    <t>走走就停了，刚开始以为是没电了，换了电池，之后还是这样，退觉得麻烦邮费又贵，总之是一次不愉快的购物 刚用一天，走走就停了，刚开始以为是没电了，换了电池，之后还是这样，怀疑是质量问题，表面开灯了之后可以见到6的位置有缺损，退觉得麻烦邮费又贵，总之是一次不愉快的购物。</t>
  </si>
  <si>
    <t>保温性 挺喜欢的  就是感觉杯盖的杯口处按压的地方有点松 压不紧的感觉</t>
  </si>
  <si>
    <t>感觉不如上次tb美国直邮的 还算可以吧 质量说，能用。</t>
  </si>
  <si>
    <t>值得买 不错，很薄很舒服，无痕</t>
  </si>
  <si>
    <t>货没到手就降价50元，我？？？ 暂时没过敏，包装比较卫生方便，然而刚买完就降价，凭空损失50元非常不爽= =</t>
  </si>
  <si>
    <t>没盖子啊可惜 质量不错，可惜没盖子</t>
  </si>
  <si>
    <t>包装满分 就凭日本人如此细致的包装已经够100分了！碗给bb囤货的还没使用，应该会不错！现在海淘已经不用其他平台了，prime满200免邮，既保真又快速！棒！</t>
  </si>
  <si>
    <t>彩铅 不错，挺好的，应该是真的</t>
  </si>
  <si>
    <t>很好的产品 裤子不错的，不过我买大了一码。</t>
  </si>
  <si>
    <t>是否和美国超市购买的品质一样 价格有点贵</t>
  </si>
  <si>
    <t>推荐购买 质量对得起这个价格，产地中国。</t>
  </si>
  <si>
    <t>保温好 保温好，不漏水，外观漂亮！</t>
  </si>
  <si>
    <t>这个系列不错 可以。一如既往，看能用多久</t>
  </si>
  <si>
    <t>性价比好 一切都满意，170，M码合适。</t>
  </si>
  <si>
    <t>实惠 吃了大半瓶了，没有不良反应，实惠</t>
  </si>
  <si>
    <t>与描述的一致 好 洪都拉斯生产 质量不错 舒适</t>
  </si>
  <si>
    <t>满意！ 非常满意的一次购物！</t>
  </si>
  <si>
    <t>满意 没啥可所说的，挺满意。</t>
  </si>
  <si>
    <t>很合适 非常合适 就是袖子长了一点 和AF品牌的衣服一样的胸围尺码很准 亚马逊海购速度很快 谢谢</t>
  </si>
  <si>
    <t>标准的防护鞋 标准的防护鞋，不过拿这个穿去上班实在是有点奢侈，大底足有3cm厚，不过感觉不是很耐磨</t>
  </si>
  <si>
    <t>. 试穿很合身 码数没选错 稍微有点透 夏天也不影响</t>
  </si>
  <si>
    <t>这个价格比较合理 本人183,78公斤，穿L有一点点大</t>
  </si>
  <si>
    <t>很好看 很好看的一双女鞋，尺寸正好，老婆很喜欢，现在每天穿着。老婆反馈貌似鞋底有点硬滑？其他没有任何缺点。海外购非常好，国内这价格买不到</t>
  </si>
  <si>
    <t>超级保暖 优点： 1、保暖性能很强啊~~~~初春的时候别人羽绒服大衣，我只要这个一件再来件衬衫和薄薄的春秋外套就可以了 2、比一般的秋衣薄很多很多，厚度和衬衫春季衬衫差不多 3、贴身设计挺好 4、洗了几次没有起毛球</t>
  </si>
  <si>
    <t>书写流畅，耐用！ 美亚里评价最好的中性笔，名不虚传，书写流畅，耐用。</t>
  </si>
  <si>
    <t>是正品 很好，和之前买的一样。孩子很喜欢！</t>
  </si>
  <si>
    <t>舒适 皮面柔软，上脚舒适，透气略差，比国内码大半码，价格比国内双11还低些。</t>
  </si>
  <si>
    <t>吸力太小！ 底下的吸盘吸力不大，宝宝轻轻一提就把碗捧起来了，兜嘴倒是不错，宝宝的下巴可以在上方防止掉落，但是捧起来后就没用了！</t>
  </si>
  <si>
    <t>款型怪怪的 裤子布料有些硬，裤型怪怪的，前面很宽松，后面很紧。很奇特的设计，凑合穿</t>
  </si>
  <si>
    <t>宽松舒适，随穿随来 对于亚洲身材的人来说，这款裤子更适合欧美人穿，因为稍微有点大，特别是屁股的地方，显得就是挂在上面的，毫无违和感，作为休闲来穿，其实蛮不错的，宽松，舒适，就是它的第一感觉.</t>
  </si>
  <si>
    <t>假的 绝对是假的。无容置疑</t>
  </si>
  <si>
    <t>产品质量超级差！ 裤子质量极差，布料硬得极为不舒适！</t>
  </si>
  <si>
    <t>很不好… 怀疑真假 都是钻石款…我朋友的不一样… 用了几天有问题… 用到现在坏掉了…</t>
  </si>
  <si>
    <t>偏小 买小了点，以为会偏大</t>
  </si>
  <si>
    <t>东西还行 大小合适，物流也还可以，包裹没有破损，鞋子上脚蛮舒服的，里面是皮质的。</t>
  </si>
  <si>
    <t>舒服 ，适合居家穿。 挺舒服，不过偏大。居家穿不错。</t>
  </si>
  <si>
    <t>挺好的 在中国什么码，就买什么码</t>
  </si>
  <si>
    <t>满意的体验 一直向往一条正宗Lee牌牛仔裤，这次会员日让我如愿以偿。东西到手后非常满意！</t>
  </si>
  <si>
    <t>百搭经典 休闲皮鞋很好穿 百搭款式。鞋面容易积灰 不易清理</t>
  </si>
  <si>
    <t>非常好 比商场便宜太多了，基本上一样的东西，反正我超级喜欢。</t>
  </si>
  <si>
    <t>尺寸 尺寸很合适，材质也不错，比店里的便宜，穿在身上也很舒服。</t>
  </si>
  <si>
    <t>不错的选择 非常不错，质量也棒</t>
  </si>
  <si>
    <t>满意 满意</t>
  </si>
  <si>
    <t>值得购买！ 实体店没有这款，没法试穿，网上看了合适就下单了，特别合脚又舒适，完美的一次购物！</t>
  </si>
  <si>
    <t>CK 衣服很保暖偏厚偏重，款式比较老旧</t>
  </si>
  <si>
    <t>非常漂亮 价格小贵，非常漂亮。颜色很好</t>
  </si>
  <si>
    <t>价格优惠，收货快！ 鞋子非常好，大小适合很喜欢！七天到手，物流很快！</t>
  </si>
  <si>
    <t>基本可以 还是可以的</t>
  </si>
  <si>
    <t>对闪迪 UDMA7 16GB的评价 产品好用、未发现质量问题、价格合理、发货快，很满意。</t>
  </si>
  <si>
    <t>尺码 168／70kg s码合身尺码</t>
  </si>
  <si>
    <t>suitable The biom series is suitable for work and leisure, and the price is much cheaper than domestic shopping malls.</t>
  </si>
  <si>
    <t>机器非常好，速度超快的就送来了 订购的时候显示12号有货，11号提前发货，16号已经到手用上了，买了这么多次海外购这次大概是最快的了，很幸运的是包装还加了外箱，完美到手，里面赠送的胶囊下月底到期。新款的机器配色非常漂亮，很大气，已经使用过了，打的奶沫很细腻，以前我用全自动机器，奶沫要自己打，经常掌握不好，感觉胶囊机更适合我，可以保证每杯都有一定的水准。另外clean键很实用，打了奶咖后会闪烁提示清洗，按住到提示灯灭掉就清洗好了，很简单，没用完的牛奶可以放回冰箱里，感觉真是超级方便，推荐购买！</t>
  </si>
  <si>
    <t>很好！ 快递真快。版型是我想要的。很好。</t>
  </si>
  <si>
    <t>值得买 修身，尺码合适。</t>
  </si>
  <si>
    <t>好 舒服，非常好，没有紧绷</t>
  </si>
  <si>
    <t>zheng pin 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</si>
  <si>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休闲裤 这个是帮同事买的，非常合适，价格超值</t>
  </si>
  <si>
    <t>好评 是正品，也是绝对的海外直邮。价格比国内便宜很多。只是大腿肥的注意，我的裤子大腿部分有些紧。</t>
  </si>
  <si>
    <t>质量不错，板型太大 商品质量很不错，唯一的遗憾是衣服型号按照我的身高体重亚马逊智能推荐型号下单后，会大出这么多（偏大两个型号），退货还得承担运费，希望以后能够得到改进。</t>
  </si>
  <si>
    <t>好 还好，较软，金属扣也还可以。不满意的就是边沿有黑线。从图片也可以看得出。</t>
  </si>
  <si>
    <t>不是新鞋，质量有问题 两只鞋都有折痕，左边的折痕非常严重，不是新鞋</t>
  </si>
  <si>
    <t>非常差，不推荐购买，十分廉价的产品 非常差，调时自己不注意就会碰到，走时不准，完全是件垃圾，已扔</t>
  </si>
  <si>
    <t>两用的是否有吸管呢 本身水杯还可以，没什么异味，两用的应该带有吸管吧，然而没有，我在淘宝上看到人家都是有吸管套住不知是不是发货时搞忘了</t>
  </si>
  <si>
    <t>稍微有点长 加绒挺保暖，颜色也不错，稍微有点长</t>
  </si>
  <si>
    <t>还行 不是本人喜欢的长绒棉，面料质感一般，没我以前买的CK质量好，不过也比以前买的便宜</t>
  </si>
  <si>
    <t>一款较高性价比的耳机 曾经用大法的MDR-950BT，因为低音实在是太令人头疼，所以决定换个三音均衡的监听。 这款耳机的海外购价格真的要比国内低不少，650左右拿下相当合算。 清关比想象中的快，一周时间就到了。 耳机没有对哪个音域有偏重，虽然不像很多主流耳机能让人体验到很明显的节奏感（重低音），但是长时间的聆听体验反而令人非常舒适，你能完整的体验到一整首歌曲的全部特色，而不是仅仅只是一部分。 耳罩略小，有点夹头，电话线设计的音频线，真的非常长也很方便，真要戴着在路上好像也不难看（当然不推荐）。</t>
  </si>
  <si>
    <t>正品 正在吃，待效果。</t>
  </si>
  <si>
    <t>很棒的一支笔，值得购买 很棒的一支笔，值得购买</t>
  </si>
  <si>
    <t>太棒了 太棒了</t>
  </si>
  <si>
    <t>好 180，82kg穿L合适，没有线头与之前买的灰色一样都很好，赞下芝麻开门派送员非常给力，谢谢</t>
  </si>
  <si>
    <t>质量、包装都很不错 中国制造，但质量一流，物流从日本到国内，没有任何磕碰与损失</t>
  </si>
  <si>
    <t>肉类好搭档 和牛排简直绝配。用来煎其他的肉类也很好吃</t>
  </si>
  <si>
    <t>效果 还可以，冬天在衣服里面穿还不错的</t>
  </si>
  <si>
    <t>不错 很好用的一款电动剃须刀。各方面都满意。</t>
  </si>
  <si>
    <t>舒服 非常轻薄舒服，但不塑形，夏天凉快。看注重什么了吧。号码准确</t>
  </si>
  <si>
    <t>美版裤子 加绒冬天穿很舒服，亚马逊海外购值得信赖。</t>
  </si>
  <si>
    <t>时间怎么调 挺好看的，就是到了以后盒子都压扁了，送人的，不知道时间怎么调</t>
  </si>
  <si>
    <t>超高性价比的塞子！ 好大的声场，细节清晰，还没煲就已经相当给力了，隔音效果也非常棒！</t>
  </si>
  <si>
    <t>高性价比 除了噪音稍微有点大，性价比真是太高了，写入速度将近200m/s</t>
  </si>
  <si>
    <t>推荐 很舒适，值得拥有，大力推荐</t>
  </si>
  <si>
    <t>很好 做工极佳，拿到手里有分量，比起原来的小家伙，不觉得多费水。三种模式切换流畅，水压不足时，普通模式（不加空气的那种）也能用。</t>
  </si>
  <si>
    <t>西铁城bm8475 国际物流很给力  货品和想象中的一样棒👍🏻</t>
  </si>
  <si>
    <t>东西挺好 穿起来有点紧，估计穿几天会松点。 鞋挺不错的，轻便。</t>
  </si>
  <si>
    <t>1 太瘦，所以贴合不是太好，使用感受还是不错的</t>
  </si>
  <si>
    <t>不错 平时穿41，UK7.5正好 质量OK，穿着舒适</t>
  </si>
  <si>
    <t>製造工藝非常好。 非常喜歡，製作工藝簡直完美。不過還沒開始用呢。</t>
  </si>
  <si>
    <t>还不错 有点大 有点长 但是30的又怕短了</t>
  </si>
  <si>
    <t>按说明操作，很好用 昨天晚上把煮了3分钟的粥，倒进去，今天早晨带到公司吃粥～～～</t>
  </si>
  <si>
    <t>稍显失望 皮质不错，款式简单好看，但致命缺陷是有一处缝纫线没接好，另外找裁缝处理好了…</t>
  </si>
  <si>
    <t>偏大 严重偏大 尺码过大啊！至少大一个码。别的品牌的另一条挺好。在亚马逊购物是个碰运气的事？😂</t>
  </si>
  <si>
    <t>国内的更便宜 国内都只卖240左右，但是国内的包装不同，而且附带的刷头是最差那种。这个附带两个好的刷头</t>
  </si>
  <si>
    <t>退货不方便 海外购退货很不方便，买到不合适的商品要退就要付出高额运费，很不划算。像这件内衣，胸型很奇怪，整个就是薄薄地一片布，丝毫看不出好的裁剪和设计的细节。不推荐这件衣服。海外购这种贴身的衣服不试不知道合不合适，试了就不能退，还是别买这种。</t>
  </si>
  <si>
    <t>不推荐 做工粗糙  不敢给孩子用</t>
  </si>
  <si>
    <t>全是划痕啊 这个龙头包装盒里面没有隔断，里面的金属接头和卡子把龙头划蹭的全是划痕</t>
  </si>
  <si>
    <t>外形复古，质感好 功率大，水开得很快，整体质感也很好。里面有块红色的塑料被我拆掉了。但是内壁的温度计还是塑料，这个不能拆，但愿能用得安全吧。外观很喜欢，总体不错！</t>
  </si>
  <si>
    <t>做功差。 做功差。一般货。薄了</t>
  </si>
  <si>
    <t>东西不错，就是底噪有点大，声音清脆直白！ 东西不错，就是底噪有点大，声音清脆直白！</t>
  </si>
  <si>
    <t>简单好用 操作简单方便，就是奶泡常常会喷出来</t>
  </si>
  <si>
    <t>往屁股里钻啊。。。 尺码偏小，往屁股里钻啊。。。好苦恼。。。</t>
  </si>
  <si>
    <t>可以入 灰色是有点发绿的那种，不是很冷色调的灰。有点微微的透肉，穿着保暖效果还可以，但没感觉到发热。</t>
  </si>
  <si>
    <t>国内使用要配变压器 质量很好，仍然made in China，由于是销往日本的，电压为100V，功率700W，需要增配变压器，国内使用时切忌直接把插头往电源插</t>
  </si>
  <si>
    <t>非常好 要订比正常尺寸小两码的。我175，65kg定小码的正合身。</t>
  </si>
  <si>
    <t>机器搅碎厉害 机器挺强大的，不管肉还是菜一会儿就打成泥了，就是打出来的肉做馅口感差些</t>
  </si>
  <si>
    <t>好看 实物颜色要深一点。杯身和扣锁的配色很漂亮。舍不得用！</t>
  </si>
  <si>
    <t>不错 面料柔软舒适，就是太薄了，秋天当秋裤穿吧。</t>
  </si>
  <si>
    <t>Regular fit牛仔裤 173cm，体重90公斤，买的36W x 29L，肥瘦和长度正合适。 36W指的是腰围是36英寸，即2.54cm x 36 =91cm，和国内牛仔裤的36W基本是一样的。裤长29L没太弄明白，应该指的是立挡下开始量的裤长，量了下差不多2.54cm x 29 =74 cm。 之前 2016年11月29日的评论提到了裤型的问题，这款裤子适合壮些的买家，也查了下资料，转发给大家参考（摘自“海淘美国Polo恤和T恤尺码Fit详解：从Ralph Lauren到始祖鸟，不同品牌的尺码经验真人体会”。）：  欧美修身型在腰身上比较瘦，尤其是slim fit或者custom fit，可以很好的贴合肚子不明显的帅哥。Original Fit或者Regular Fit，Classic Fit一般都是美国标准身材。 什么是美国标准身材？就是身高跟你一样，但是横截面要宽很多的哪一种。 肚子比较大---&amp;gt;Original Fit，Regular Fit，Classic Fit 肚子不明显---&amp;gt;Custom Fit或者Slim Fit。 什么是肚子？---&amp;gt;Slim Fit。</t>
  </si>
  <si>
    <t>排毒 长期服用，可能会好吧</t>
  </si>
  <si>
    <t>偏硬 外形好看，扣头精致。材质偏硬。黑五抢的，8天到货，发现价格又降了一截</t>
  </si>
  <si>
    <t>很好 质量不错，大小合适。。。。</t>
  </si>
  <si>
    <t>大牌品质 做工果然大牌，佩戴舒适。</t>
  </si>
  <si>
    <t>有待使用 囤货，宝宝还没用，不知道怎么样</t>
  </si>
  <si>
    <t>码号合适 1.75米，码号合适</t>
  </si>
  <si>
    <t>商品质量非常好 质量非常好，与卖家描述的完全一致，非常满意,真的很喜欢，完全超出期望值，发货速度非常快，包装非常仔细、严实，物流公司服务态度很好，运送速度很快，很满意的一次购物。</t>
  </si>
  <si>
    <t>鞋型时尚，皮质好，舒适大方。 海外购的速度太惊人了，快的让人难以置信……鞋子实在是太舒服了，这是穿过最好的鞋子，外观很时尚，之前买过一款低的，很喜欢这款的样子，快成爱步迷了，加上税1千多点，这个价只能在国内买半双……哈哈😊，还会继续关注海外购，实惠。</t>
  </si>
  <si>
    <t>不错 身高180，体重74公斤，穿m码刚好，里面可以穿一件衬衫加一件薄毛衣。挺满意的～</t>
  </si>
  <si>
    <t>不错 东西不错 全新未拆封 ！</t>
  </si>
  <si>
    <t>不管多少钱都不应该发别人退货的残次品把 买到了别人退货的商品，跟以前买的对比一下就知道了， 而且一只脚有鞋撑，一直没有，没有鞋撑的那只鞋鞋头车线有跳针，但是算了，谁叫这双便宜呢，不知道是不是美国运过来的，感觉物流信息很乱一会在苏州，一会在美国的。</t>
  </si>
  <si>
    <t>颜值高 很漂亮</t>
  </si>
  <si>
    <t>物有所值 真的超级喜欢，非常支持，质量非常好，与卖家描述的完全一致，非常满意,真的很喜欢，完全超出期望值，发货速度非常快，包装非常仔细、严实，物流公司服务态度很好，运送速度很快，很满意的一次购物</t>
  </si>
  <si>
    <t>杯子不错。 挺好的，不漏水，中午放了温水，晚上还有点温，保温性不错，快递速度也可以，一个礼拜左右就收到了。唯一不足之处就是盖子还有有点味道的，打算泡点柠檬去去味。</t>
  </si>
  <si>
    <t>完全吸不住 完全吸不住啊，一拔就掉下来。</t>
  </si>
  <si>
    <t>磨脚 不知道为何有时候会磨脚，皮都破了</t>
  </si>
  <si>
    <t>严重偏宽，掉绒，掉色 内有薄绒且掉绒。178高175斤，胸围108腰围二尺七选了M号，偏宽，袖子也长。个人感觉更适合180-185高，180斤的帅哥穿。</t>
  </si>
  <si>
    <t>海淘便宜，但要谨慎 表面有划痕，类似瑕疵品</t>
  </si>
  <si>
    <t>尺码 尺码严重不合适啊。我买的40码、发过来一看38.5。我也是醉了</t>
  </si>
  <si>
    <t>破洞+明显污渍 洋垃圾 家人收的快递，太快手把包装都扔了，搞到退不了货……明显质量问题，破洞+明显污渍，</t>
  </si>
  <si>
    <t>鞋子有瑕疵 一只鞋上有小划痕，嫌麻烦懒得退换了</t>
  </si>
  <si>
    <t>10361 多米尼加产 这个鞋有5个产地，买到的多米尼加的做工不怎么样。  贴吧鉴定初步判定是真。  如风达快递很慢。。</t>
  </si>
  <si>
    <t>我没电好快哦 价格确实是在低的时候入手，关机不方便，还有我怎么那么快就没电了！怎么肥事！！！</t>
  </si>
  <si>
    <t>冠军 这牌子还可以。做工还好。第一次买没经验。这码大了好多。不过海外寄的。速度还有点快。如以后有买就一定要小心尺寸了。价格我觉得差不多。加税加运费的。这次懒得换了。</t>
  </si>
  <si>
    <t>稍微买宽松一些的尺码，穿着更舒适 穿着腰围有些紧。参考之前买的凯文一样的号码。质量没得说。</t>
  </si>
  <si>
    <t>发货慢，音质还将就，索尼味 发货运输很慢，音质还将就吧！</t>
  </si>
  <si>
    <t>好 带着工作运动 都很方便</t>
  </si>
  <si>
    <t>很完美的一次海淘 平时运动鞋43 9.5 这鞋子我买了9还是大半个码 做工OK 国内制造 安稳</t>
  </si>
  <si>
    <t>正品，家人用下来觉得不错 正品家人用下来觉得不错</t>
  </si>
  <si>
    <t>尺寸刚好 这鞋穿上很合脚，穿它出去走路脚感很舒服，缓震效果好，平时上班穿它足够了，尺码合适！物流很快很及时！</t>
  </si>
  <si>
    <t>很好的东西 43,买9.5,正好，以前看见朋友在美国买的和这个差不多的，东南亚和国内的都挤脚</t>
  </si>
  <si>
    <t>好 可抽拉，欧标三分转接，很好！</t>
  </si>
  <si>
    <t>好用 好看用了好久，小宝宝适用</t>
  </si>
  <si>
    <t>一次不错的购物体验！ 自己39码买这款EU40 US(6一6.5)的尺码正好，鞋子显瘦，鞋子做工非常好！泰国产的，上脚很舒适没有硌脚的情况，轻重合适，起脚！非常满意!</t>
  </si>
  <si>
    <t>Excellent！ 非常棒的铸铁锅，很好用，麻麻再也不用担心我煎牛排和鸡排了。锅子的确很沉，非常感谢一路配送的快递员。 唯一缺点：容易生锈。 锅子特别需要爱护，用过两小时内必须洗掉，洗净后一定要再烧下烤干。 否则会有铁锈。</t>
  </si>
  <si>
    <t>不错 奶瓶不错 一直用可么多么的</t>
  </si>
  <si>
    <t>盆小号，下单前一定要有概念啊 的确物有所值，但是四件套盆实在小号，下单前是看了尺寸，但没想到那么小。还得去宜家买超大不锈钢盆，好洗菜啥的😊☹️</t>
  </si>
  <si>
    <t>质量很不错！ 装在1dx上的，虽然还没有经历14张高速连拍考验，到现在为止性能还不错！</t>
  </si>
  <si>
    <t>舒适 我是170cm高，体重52，穿着很舒适，而且比淘宝上那些代购还便宜，是正品，会回购</t>
  </si>
  <si>
    <t>完美，很多声音都解析出来了 笔记本配E5，一定要再配个usb声卡，否则底噪太大！我配的是同品牌的audiobox usb gold&lt;a data-hook="product-link-linked" class="a-link-normal" href="/dp/B00FW4J7VW/ref=cm_cr_getr_d_rvw_txt?ie=UTF8"&gt;PreSonus 普瑞声纳 AudioBox USB Gold&amp;nbsp; 2通道USB音频接口 (土豪金限量版 内附Studio One录音软件)&lt;/a&gt;，连接线是&lt;a data-hook="product-link-linked" class="a-link-normal" href="/Monoprice-6英尺XLR-公转1-4英寸-TRS-公电缆（亚马逊进口直采-美国品牌）/dp/B001UJEKZ6/ref=cm_cr_getr_d_rvw_txt?ie=UTF8"&gt;Monoprice 6英尺XLR 公转1/4英寸 TRS 公电缆（亚马逊进口直采,美国品牌）&lt;/a&gt;，这线比电源线都粗。。。。连上声卡以后，底噪全无，以前听不到的声音都出来了，完美啊！！！好马配好鞍，不能只买马，不配鞍啊！</t>
  </si>
  <si>
    <t>非常值得 爱人非常喜欢!跟菲仕乐1万5的价格比起来，跟白捡一样!外型功能完全一样，还多不少配件! 试用了一会，中国电压完全没问题!</t>
  </si>
  <si>
    <t>非常赞！ 球鞋37，皮鞋38，欧码一般可以穿37.5的，UK4.5的。所以这双选了6.5W的，宽度适合，不要选小，这个宽度还觉得稍微有点窄。另长度的话基本上正好，7码稍大一点也可以选，供大家参考！鞋子超级赞，价格超级划算！！！</t>
  </si>
  <si>
    <t>值得购买 我觉得挺好的，可以购买！</t>
  </si>
  <si>
    <t>小身材桌面音箱 声音挺干净的，但低音不算太好，Size摆在那，也不能要求太高。关键比起我在这买的E5，它不会出现电脑传过来的电流声（那个真是太烦人了）。</t>
  </si>
  <si>
    <t>神速 4日下单，8日就收到货。包不错，大小正好。我是春夏季节上下班步行的时候用的，不喜欢手包和提包，而双肩包又太热，所以选择了这款。</t>
  </si>
  <si>
    <t>仿冒品太多，尺码有点尴尬 180/80KG  买的L 衣长很合适，但是袖子有点长，这个衣服仿品太多了，出去遇到一大堆， 就跟 你开着保时捷发现满街都是SR9 开着极光 结果到处都是 X6，，，，。。。。。</t>
  </si>
  <si>
    <t>版型基本谈不上，松松垮垮，老头穿的吧，退了 版型基本谈不上，松松垮垮，老头穿的吧，退了</t>
  </si>
  <si>
    <t>不出水了 用了一个多月，不出水了</t>
  </si>
  <si>
    <t>质量一般般 手机相机吃色，实际颜色偏亮，不是很粉，有点挑人。衣服很薄，里面穿黑色打底都有点看出。手感不好。看评论都说大两个码，但是这款好像不怎么大，本来想买宽松感的，结果m码贴身穿。总体实话说，这卫衣国内卖100块可能都要考虑考虑再买，退货不方便，留下随便穿穿。洪都拉斯产。</t>
  </si>
  <si>
    <t>不值得购买 听信网上言论，说是双刀头，结果是单刀头。 化了更贵的价格，最重要的是不能退。</t>
  </si>
  <si>
    <t>我没看懂就买了后悔 印尼产的、国内有卖，感觉是国内商家挂国外的网店，误以为是英美产品</t>
  </si>
  <si>
    <t>鞋子很好，购物体验很差 款式和颜色都很不错，鞋带偏细；物流速度也很快；但是在收到鞋子当天，发现同一产品非常显著的降价，体验很差；给鞋子5星好评，给购物体验-4星，综合评价1星。</t>
  </si>
  <si>
    <t>女士短靴GORETEX 没给五分，是因为老婆每次穿要借助鞋拔才能穿进去，这个设计可能有点点小瑕疵，码子还是准的。 整体还是愉快的购物。价格变动太大了， 像是股市一样。</t>
  </si>
  <si>
    <t>还好，是正品 还好，是正品，，就是宝宝吃了大便是绿色的，辅助益生菌也没有用。。</t>
  </si>
  <si>
    <t>挺好 老墨的做工也不错，赞</t>
  </si>
  <si>
    <t>有点掉色 买了四条这个lee品牌的牛仔裤，只有这条裤子用盐水浸泡时会掉颜色，而且很严重，希望再次洗时不掉色了，，，</t>
  </si>
  <si>
    <t>还可以的 衣服穿着挺舒服的做工有点小瑕疵</t>
  </si>
  <si>
    <t>维生素糖 我认为的还可以</t>
  </si>
  <si>
    <t>珐琅锅 很重的锅，大约十斤，像评论里说的锅盖就很重，没有日亚包装好，还好在国内段用的顺丰，锅完好无损，加税814到手，感觉很划算啦，希望能耐用</t>
  </si>
  <si>
    <t>粉很细。味道可以 粉很细，味道可以</t>
  </si>
  <si>
    <t>棒 洗碗机还没安装，还没有使用经验，先囤了洗涤块里的顶级品！哈哈～</t>
  </si>
  <si>
    <t>快递问题 手表不错，发到过来也没有烂，就是快递盒变得有点破烂</t>
  </si>
  <si>
    <t>非常喜欢 非常满意，虽然袖子长了点，但是贴身感杠杠的，吸汗保暖也是一流，非常喜欢。173 65Kg中码合适</t>
  </si>
  <si>
    <t>裤子不错 裤脚不是很瘦，质量、面料、版型都挺好。</t>
  </si>
  <si>
    <t>完美尺寸，可以参考 完美的尺寸，非常合身，不是很厚，适合秋冬季节穿着。不过也正是因为非常合身，里面只能穿衬衫，无法添加哪怕一件马甲了。看了不少评价说配套的裤子偏小，我看是31 的还有点担忧，但是竟然也合身，还有1寸左右的偏大。给要买的兄弟姐妹们一个参考：172/65，胸围98，腰围2尺3，38S完美。</t>
  </si>
  <si>
    <t>值得拥有 非常好，价格又便宜。以后买鞋首选亚马逊啦</t>
  </si>
  <si>
    <t>值得买 非常好，老款6610-01可以用。而且很划算。</t>
  </si>
  <si>
    <t>尺码、材质都符合预期 尺码、材质都符合预期</t>
  </si>
  <si>
    <t>东西不错物流快，五星 不错哎，第一次在亚马逊买东西，体验感很好，比我想象的更快</t>
  </si>
  <si>
    <t>很好用 没有笔囊，把原来的笔囊安上了！笔很好用喜欢</t>
  </si>
  <si>
    <t>合身 老公182cm150斤穿这件风衣很合适，里层摇粒绒很柔软，性价比很高啊，满意！</t>
  </si>
  <si>
    <t>好 很好用，方便携带，去哪里都可以喝到纯净水啦</t>
  </si>
  <si>
    <t>性能不错 保温性能好，外表不错</t>
  </si>
  <si>
    <t>味道不错 这次运输没有问题，做饭出来味道不错。</t>
  </si>
  <si>
    <t>大方 表很大方 在没有灯的夜里有夜光 很满意</t>
  </si>
  <si>
    <t>蘑菇睡袋 干净漂亮，柔软舒适，喜欢</t>
  </si>
  <si>
    <t>好评 物流很快，穿着非常舒服，价格实惠，好评</t>
  </si>
  <si>
    <t>还不错 做工精致 不错的选择注意记住你把它放哪里了</t>
  </si>
  <si>
    <t>就是地摊货的质量 款式码数还勉强接受，但面料就是一地摊货！不值得这价格。</t>
  </si>
  <si>
    <t>太紧身了！,价格没保护！ 太紧身了，建议拍的码数要大2码，衣服质量还行！就是价格拍下没两天就降了80元左右！</t>
  </si>
  <si>
    <t>没啥感觉 感觉一般和我几十年前的没啥区别，就是体积小了不少，挺便携的</t>
  </si>
  <si>
    <t>不如国产鞋 鞋的设计有问题，对脚弓的支撑没有，造成脚趾过多吃力，走路超过两公里就会脚疼。</t>
  </si>
  <si>
    <t>差评 臀围做的比国内小，料子还超差，不如买个安踏，秒杀美冠</t>
  </si>
  <si>
    <t>太大，残次 尺码相当于国内三XL，而且腋下有残次品标示</t>
  </si>
  <si>
    <t>差劲 亚马逊的客服真是所有电商里最差的。亚马逊客服从来都是蛮横霸道的，除了会删除评论不会干别的，怪不得在中国生存不了。</t>
  </si>
  <si>
    <t>还不错 挺软的牛仔料，穿着很精神，160，48，xs合适。里面穿一件厚毛衣袖子也合适那种。还是蛮实穿的。就是，领子后面标签的那一块牛仔布不是完全缝在衣服上，我之前没有穿过这个牌子不知道是不是就是这样，但是这样感觉不太舒服</t>
  </si>
  <si>
    <t>感觉不错。 一直喂母乳，奶瓶还没用上。</t>
  </si>
  <si>
    <t>有线头 上脚很舒服，鞋型好看，但是做工稍微有些毛啊，有些地方有线头，看了下产地……多米尼加共和国……做工还是赶不上咱China 啊，跟东南亚的也没法比</t>
  </si>
  <si>
    <t>补钙佳品 在澳洲时常吃，回国后补购。年岁渐长，牙齿有些酸，吃点钙片补补。澳洲的保健品是值得信赖的。</t>
  </si>
  <si>
    <t>值得买 酸酸甜甜的，一大瓶，家人喜欢。补维生素效果无法考证。</t>
  </si>
  <si>
    <t>五折好划算！！！ 之前在网上代购过一双，觉得很好穿！超显瘦！就又买了一双！</t>
  </si>
  <si>
    <t>boon 挺好的，基本现在美国的东西都是made inChina了</t>
  </si>
  <si>
    <t>真假 应该保真</t>
  </si>
  <si>
    <t>物美价廉 是正品，穿一段时间脚感会上升，适合标准脚型</t>
  </si>
  <si>
    <t>质量超好，价格偏高 杯子很好用，做工精细，密封性好</t>
  </si>
  <si>
    <t>很好 很不错 比我预期还好 很喜欢</t>
  </si>
  <si>
    <t>又便宜又好 又便宜又好，美帝的物质真丰富</t>
  </si>
  <si>
    <t>超棒的耳机 超棒的耳机，带多久耳朵都不疼，音质超棒的</t>
  </si>
  <si>
    <t>稳 音质三频均衡，头戴后观感很棒，没毛病，主要原配耳机套有点小，听久了耳朵很疼，换了套套后，舒服多了</t>
  </si>
  <si>
    <t>会员日试买了一件 东西很不错，要批评亚马逊：没有将码数翻译成A75、C80之类，搞到我想买又不敢买多，怕码数不合适。现在将码数图片奉上，供各位参考</t>
  </si>
  <si>
    <t>本是凑单来的 大小很合适，我和老公都能拎，这个男生拎出去还蛮好看的</t>
  </si>
  <si>
    <t>稍微偏大 腰围86左右，平时买裤子都是32吧，这个买32稍微偏大，31足够了，因为有弹性，腰上也有弹性伸缩带</t>
  </si>
  <si>
    <t>物美价廉的钙片 这个钙片主要是买给外婆和老妈吃的，外婆说只有吃这个钙片晚上脚才不会抽筋，也算是经常搞活动的商品了，每次有活动就买4瓶放在家里，还不是美滋滋</t>
  </si>
  <si>
    <t>偏大一码 产地斯里兰卡，码数比国内偏大一码</t>
  </si>
  <si>
    <t>很 满意 质量很好，颜值也不错哦，和伊奈、KVK差不多，性价比超高，满意</t>
  </si>
  <si>
    <t>质量不错 质量不错，宝宝很喜欢。</t>
  </si>
  <si>
    <t>it's good it's good</t>
  </si>
  <si>
    <t>版型好 颜色也好 值得购买 178、78kg，腰围31，穿31*30刚好，长度极佳。不过本人小腿粗，所以略紧，但裤子本身弹性不错，所以还算舒服。算是超过预期。</t>
  </si>
  <si>
    <t>完美的鞋子 尺码标准，用料足，做工也不错，款式很棒，比某宝便宜的多，正品还有保障，下单到收货耗时仅十天，总之非常满意。</t>
  </si>
  <si>
    <t>非常非常好 很漂亮，很舒服，看了很久，终于出手，非常满意</t>
  </si>
  <si>
    <t>裤子太薄，不适合北京的冬天穿 裤子太薄，不适合北京的冬天穿，图片上看着很厚实，发现根本不是这样的。。。。。 裤子太薄，不适合北京的冬天穿，图片上看着很厚实，发现根本不是这样的。。。。。 裤子太薄，不适合北京的冬天穿，图片上看着很厚实，发现根本不是这样的。。。。。</t>
  </si>
  <si>
    <t>不是大一点儿啊 又肥又大，亚马逊的尺寸对照也不知道是谁做的，根本不准好吗</t>
  </si>
  <si>
    <t>一双性价比超高的靴子 一周就收到了 很快。鞋子是非常非常舒服 款也好看 但是我收到的鞋子有瑕疵。虽然售后很快解决了 但是心里还是希望收到一双完美无缺的鞋子 希望以后发货前能好好检查</t>
  </si>
  <si>
    <t>一般般 这种三刀头的剃须刀一般般啊，感觉不太好用</t>
  </si>
  <si>
    <t>还不到两个月就坏了 这个Waterpik真的不敢恭维了。出差三天回来，昨晚想用一下，突然按电源键就没有反应了，应该是坏了。看来网上有些人也讲，海外购的真的容易坏，有没有保修。杯具了。我在亚马逊购物很多年了，买了很多东西，这次是最悲剧的一次了。</t>
  </si>
  <si>
    <t>滤芯数量不对 我收到的才11个滤芯，为啥子</t>
  </si>
  <si>
    <t>做工很不错 这个价位做工很不错，声音还行，就是中高音衔接不算好</t>
  </si>
  <si>
    <t>有点小 衣服款式颜色都是喜欢的，但是尽管买了大码，还是比预期小了点。</t>
  </si>
  <si>
    <t>降噪别选他，音质不错 1.音质没的说，比bose和索尼同价位强。 2.降噪是真的没救啊，是没花钱在这上面吗。 3.感觉还不如自家非降噪耳机。</t>
  </si>
  <si>
    <t>号码偏小 比正常ECCO的鞋码小一个号，号码偏小，正好偏小一个码子，选择时一定要选择大一个号码的，给大家做个参考</t>
  </si>
  <si>
    <t>尺码合适 36.5这个刚好，就是下雨不能穿，会很难受</t>
  </si>
  <si>
    <t>很棒 1.78，63kg，30×32正好，做工精细，价格肯定低于国内</t>
  </si>
  <si>
    <t>好评 用起来很舒服，推荐购买</t>
  </si>
  <si>
    <t>很喜欢 250欧的pro版还是挺好推的，声音干净，没有音染，声场开阔。乐器分离度很高，很喜欢这种纯净声音</t>
  </si>
  <si>
    <t>很不错 185cm 87kg 2尺9腰围 W38L32很合适 而且有弹性里面加条裤子没问题 做工嘛在细节上有些小瑕疵 不过考虑到价格还是很值得 整体好评</t>
  </si>
  <si>
    <t>合适舒服 合适舒服，186 90kg，合适</t>
  </si>
  <si>
    <t>非常赞 舒适，性价比高，穿着好看，唯一不足就是整体做工有点点糙，但不影响这是双好鞋</t>
  </si>
  <si>
    <t>摸着不错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</si>
  <si>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KOSS耳挂式最棒的一款 我买耳机，需求有三： 1、低音够好； 2、不能漏音 3、必须是耳挂式，避免耳朵疼  这款高斯，是我特意退掉京东的铁三角，然后海购回来的。 KSC75之前我一直用，后面线端接触不良被我拆坏了。所以再次购买。另外亚马逊海外物料很威武！</t>
  </si>
  <si>
    <t>prime我服 prime的便利与快速的确与别不同，原本预计10号送达的竟然2号就到了，而且这锅连包装估计得有5公斤，运费就算是国内运输也得50多。</t>
  </si>
  <si>
    <t>质量好 真的不错</t>
  </si>
  <si>
    <t>舒适 脚感很好</t>
  </si>
  <si>
    <t>象印 一家人出去够喝了</t>
  </si>
  <si>
    <t>尺码选择，供参考。 我此前凭感觉买了一条此款裤子，胖瘦长短都很合适，非常的幸运。所以这次是完全按照上次尺码买的。 我列出来自己的尺寸：我身高173cm，体重87kg，大腿比较粗，围度约60cm（大概要两张A4纸的长度）。 我买的是34W*30L。 希望给举棋不定的各位以参考。</t>
  </si>
  <si>
    <t>最好用的洗碗块 超级好用的，洗得比classic干净很多，用了这个再也不想用回classic了。</t>
  </si>
  <si>
    <t>颜色有偏差，穿着舒适 实物是深蓝，没有紫色，不过质量还是不错</t>
  </si>
  <si>
    <t>正品，软软的，好可爱 是美国直邮的，3月17号下单，26号就收到了，速度挺快的。100块左右比国内的便宜，奶瓶应该是正品，很软，摔了不会碎，还有淡淡的硅胶味(正常的硅胶都是有淡淡的味道)，奶瓶好可爱好Q，宝宝喜欢。😄😄</t>
  </si>
  <si>
    <t>很好 不错。包装没有发现破损；晚上用了一块，确实比较干净。</t>
  </si>
  <si>
    <t>尺码 大小合适，穿上后真的有点点在发热</t>
  </si>
  <si>
    <t>物超所值 笔尖有一点点歪，扭一扭就正了，整体感觉超值，写感比写乐21K硬，顺滑度一样。喜欢的话遇到六百多元的镇店之宝价千万别错过。</t>
  </si>
  <si>
    <t>尺码 质量不错，偏大</t>
  </si>
  <si>
    <t>好笔，适合写中文！ 特别划算，比2000多的派克世纪好呀！</t>
  </si>
  <si>
    <t>有瑕疵 便宜是便宜，但是有瑕疵，退货不方便，不建议购买</t>
  </si>
  <si>
    <t>一般般，没有传说中的那么好 之前是网红眼霜，用下来真心一般，除了盒子比较有新意，用下来真没什么效果，价格也不便宜，真心一般般</t>
  </si>
  <si>
    <t>中评 已收到。不知道表是不是真的，很好看，复古。表带，图片和实物比有色差，而且表带表面不能划。轻轻用指甲划一下就会出印记。印记不会消失。</t>
  </si>
  <si>
    <t>次品 洗一次以后，面料皱巴巴的、里面的棉花好像少了很多，又空又薄。</t>
  </si>
  <si>
    <t>耳机只有左边的有响，右边没声音。而且有使用痕迹，不是新的。 奸商，气死我了。我说 怎么会这么便宜。这个耳机只有左边的有响，右边没声音。而且有使用痕迹，不是新的。极为愤怒，亚马逊这么大的网居然出售有问题的产品。大家记住天上不会掉馅饼这句话是对的。</t>
  </si>
  <si>
    <t>无 比我想的要硬很多 走路靴的部分磨太厉害了 希望到时候能好一些吧</t>
  </si>
  <si>
    <t>挺好用的 晕S咯，又降价了，东西可以的，用过了是通用的，比在国内买便宜好多，这下可以用2年了。</t>
  </si>
  <si>
    <t>性价比高 用于NAS备份数据 通电稍微有点声音 拷贝速度基本150+</t>
  </si>
  <si>
    <t>有点失望，实物远不如图 质量没有想象的好，有点失望，不过纯棉还行吧，实物远不如图</t>
  </si>
  <si>
    <t>不知道音质如何？先差评了再说！在下了单的18天后，完全看不到要发货的迹象！ 就算它是耳机中的战斗机，汽车中的劳斯莱斯，围棋中的柯洁，也要差评，与森海塞尔HD 25 无关，与卖它的商人正相关！差评！ 另： 差评几天后收到货。丑！这玩意掉地上，不识货的人看都懒看，更不说要弯腰得捡了。先不管这些了，马上接上个MP3不断续的放音14个小时（这70殴的就是手机都能推得动，有模有样的，音量很大，只是不耐听而尔）。 然后接上老款的清华吴刚2.6F耳放。放些民歌类的，清晰，透澈。作为对比，旧耳机的发音如一幅画，这HD25也如一幅画，立体画！原耳机的声音扁平，只X,Y轴！HD25表现的明显多了一轴，Z轴！ 好评！从一星改为四星，不能再多了，省得好骄傲。</t>
  </si>
  <si>
    <t>挺好哒 162-53公斤除了袖子长点其它都比较合适。款式也蛮大方的。偏休闲款，适合自己需求。</t>
  </si>
  <si>
    <t>好吃不贵 非常不错，孩子非常爱吃，价格比国内便宜，下次还在这买</t>
  </si>
  <si>
    <t>好！满意。 这个好！完全没有什么橡胶的味道，孩子没出牙的时候，天天拿着磨，听着那摩擦的声音，很开心，孩子半岁就出牙了。。。。</t>
  </si>
  <si>
    <t>早买早享受 两个重要特点居然没介绍，一，自带过滤器，效果不会很好但一定比没有强，而且拆开清理很方便；二，最高支持85°，太阳能热水器无忧使用</t>
  </si>
  <si>
    <t>物有所值 177，72kg正好合适，穿着比较舒服。适合春夏穿，薄款，质量还行吧，颜色稍微比图片偏浅色一点</t>
  </si>
  <si>
    <t>质量好，中国产。很喜欢，价格实惠。 质量好，中国产。很喜欢，价格实惠。</t>
  </si>
  <si>
    <t>大家买得时候一定要看清楚尺寸！他们的皮带跟我们的有差距！他们的分尺寸！要看好了下单 我就买断了！留着跟孙子用吧！都不知道怎么退货！</t>
  </si>
  <si>
    <t>越用越有感觉 开始时感觉一般，煲过一段时间后，响应、低音都有较大提升，日常用够了。</t>
  </si>
  <si>
    <t>真的偏大 注意选码 真的是很大了 193cm 体重93 应该买L的真好 美版真的是大的吓人</t>
  </si>
  <si>
    <t>用着很好 用了几个月了，感觉很好。</t>
  </si>
  <si>
    <t>质量好 做工精细，质量好，纯棉质地，面料柔软，穿着舒服，大小合适，版型不错，衣长袖短，很适合打底，出乎我意料，喜欢的赶紧下手吧，绝对物有所值。</t>
  </si>
  <si>
    <t>很好用 盒子完好无损，只是铅笔有一支笔头断芯，毕竟从海外邮回来的，真是太好用了，下次用完再来买哦！！</t>
  </si>
  <si>
    <t>日本第一铁锅 第一次买日本铁锅 没有涂层的期望用时间长一点</t>
  </si>
  <si>
    <t>值得好评 176cm 85kg L正好 不错</t>
  </si>
  <si>
    <t>音质不错，戴久稍有点压头 音质不错，秒杀价格很给力</t>
  </si>
  <si>
    <t>非常好，孩子喜欢 非常好，上学路上每天听英语。</t>
  </si>
  <si>
    <t>希望有用 查了一下这个品牌不错，但很多人说管用，很多人说没用。希望我是有用的那个</t>
  </si>
  <si>
    <t>没用明白别乱黑这么好的机器 真的好用。有几点建议送给想买的朋友。①pro600对于普通家庭来说打蛋盆的容量稍大一点，可以考虑更小那款。②铸铝件，包括打蛋盆，都会掉黑，多清洗几次，一开始揉几次面都扔掉，再用就好了。③有人说搅拌一会就不动了，那是因为面团太干，机器自动停止工作了。所以告诉大家，别搅拌太干的面团。④银色好看。</t>
  </si>
  <si>
    <t>不错的鞋子 挺舒服的 物有所值 很好</t>
  </si>
  <si>
    <t>五星是给这价格的 这件polo真心便宜，做工也不错，可惜，太大太大大太大大大大了</t>
  </si>
  <si>
    <t>码数偏大 一般吧，不是特别好看！</t>
  </si>
  <si>
    <t>质量很一般 袜子质量一般，线头多，不推荐购买。</t>
  </si>
  <si>
    <t>东西方的差异 怎一个大字了得啊！，裤腰正好，可是裤腿宽大且长，还是薄的，秋冬单裤是穿不了的，放着吧。本人170/73.5，裤子卖的小号s</t>
  </si>
  <si>
    <t>商家是色盲还是脑子有问题？ 看看商品标注的颜色（下单商品颜色），再看看我实际拿到的颜色，你们有没有一点点责任心，还是眼睛脑子都要去医院检查一下？等待了那么多天，等来的不是自己下单的商品，我无语。</t>
  </si>
  <si>
    <t>无聊的裤子 本人身高一般体型偏胖，因此买裤子都需要改裤脚（因为对各种肥佬专供不感冒），看到在亚马逊可以到合适尺码的牛仔裤还是比较欣慰，所以买了一条，果然合适，还以为不错哦，结果穿上体验，除了尺码合适其他都不合适，既不是修身款，又不是宽松型，松松垮垮又鼓鼓囊囊的，像个老人裤，无聊透顶。</t>
  </si>
  <si>
    <t>不理想 不理想</t>
  </si>
  <si>
    <t>还好，就是做工差点儿。 还好，就是做工差点儿。</t>
  </si>
  <si>
    <t>颜色很重要 颜色挑错了，建议绿色的肤白买，我穿了感觉变黑了。</t>
  </si>
  <si>
    <t>大小合适 大小合适，做工一般。一分钱一分货。平时170码，这件LL合适</t>
  </si>
  <si>
    <t>全新/二手? 外观无可挑剔，盒子破破烂烂的无所谓，我觉得能把做包装的钱省下来把表做的更实在一点也是很开心的。但从我拆开拿起表那一刻我就怀疑这是否是全新。理由如下：B站有up主开箱过同款表，新表表冠处有一个卡片（图2），要取下卡片，表针即开始运动。但问题是这个卡片我根本没见到，从我看到表的那一刻，6点处秒针就在走。不知道亚马逊是不是塞了块别人退掉的表给我，开箱也没录像取证懒得找客服了，第一次亚马逊海外购体验不是很理想。</t>
  </si>
  <si>
    <t>基本满意 鞋比在店里试穿要紧一点点，价格相差好多。</t>
  </si>
  <si>
    <t>给别人买的 给别人买的，主要是便宜</t>
  </si>
  <si>
    <t>划算 看了好久终于买了 拿回来就试了一杯 真的有prime会员很划算 还有16个胶囊赠送 不过是欧洲两脚的接口</t>
  </si>
  <si>
    <t>东西还行 尺码很正 尺码和国内一毛一样的 所以穿啥码买啥码就行 我买大了一码送别人穿了 料子虽然比国内专柜差，比起二线品牌还是强的，做工可以 买的黑色，有些类似弹力西裤了</t>
  </si>
  <si>
    <t>保暖性好 春秋装，保暖性好，尺码还可以不算偏大</t>
  </si>
  <si>
    <t>温度感应很实用，以防烫嘴 温度感应很实用，以防烫嘴</t>
  </si>
  <si>
    <t>舒适，有品质。 舒适，有品质，物超所值。</t>
  </si>
  <si>
    <t>唯一一次海外购，只有这个产品是满意的 买了两双鞋，一条皮带，只有皮带是满意的。。。质量很好，又柔软，尺寸也刚刚好。</t>
  </si>
  <si>
    <t>不错的一款支架 这支架太喜欢了</t>
  </si>
  <si>
    <t>能用一辈子 非常好的小型笔，适合随身携带，太棒了。看起来能用一辈子。</t>
  </si>
  <si>
    <t>物流快，鞋子还可以 皮质的，鞋子轻，就是鞋底硬，需要加个舒服的鞋垫。脚宽的话，从上看会有些丑。</t>
  </si>
  <si>
    <t>很舒服 买来当睡衣穿，蛮舒服，洗完感觉缩水了点。</t>
  </si>
  <si>
    <t>哎呀嘛杠杠滴！👍 13号下单，25号拿到～两个颜色都敲美的，金色自留，酒红送朋友～从日本大老远送来，包装也完好无损，特别棒，亚马逊的服务体验每一次都超赞。昨晚试了下装了开水，今天早起喝刚好，宿舍限电，以后也可以自己焖粥焖鸡蛋了～开心！</t>
  </si>
  <si>
    <t>合身，与预期一样 商品与预期一样，合身！</t>
  </si>
  <si>
    <t>袜子质量好，颜色深 弹性一如既往地大，然而颜色比肤色深得多，好在这么厚的袜子是在冷天穿，还是深点好，不然别人看着冷</t>
  </si>
  <si>
    <t>强烈推荐！！！ 大小合适，质量很好，发货超快，非常满意！</t>
  </si>
  <si>
    <t>价格美丽 很快，一周就到了，上脚非常合适，也很好看。 愉快的一次购物哦</t>
  </si>
  <si>
    <t>尺码 尺码相当准 同样的鞋感觉日本市场的质量特别好</t>
  </si>
  <si>
    <t>香草味还行 这款香草味的蛋白粉还行，多希望能送一个量杯。没有贴中文产品说明标签，可能是由于国外直接发货，非中国商家转销的原因。</t>
  </si>
  <si>
    <t>5610 493入的哈哈哈，终于撸了5600系列</t>
  </si>
  <si>
    <t>无可挑剔 感叹一下怎么有这么舒服好穿的内衣</t>
  </si>
  <si>
    <t>我可以很负责人的说，手机直推不出恶音 近日购得此监听，用荣耀7旗舰版直推还是可以听的。但是真的没有比较就没有伤害，如果抱着随便一听的角度那么可以这样，如果追求高音质还是得上耳放。可以说这价位，直推已经比我早年买的森海塞尔px200一代好不少了。</t>
  </si>
  <si>
    <t>偏大一码 偏大一码，39码的脚，买了6UK，长了，买575的应该更合适</t>
  </si>
  <si>
    <t>产地，发货地 居然是MADE  IN CHINA. 那我海淘干嘛，费这么大劲，这不是骗人嘛。</t>
  </si>
  <si>
    <t>其它都好，就是掉色，掉色！ 把卡其色裤子给染的…………，外面的牛仔衬衣也沾上一条条黑线，无语了，国外的货就这副样子吗？</t>
  </si>
  <si>
    <t>噪音大 有噪音，震动比较大，不知道这个是不是正常。</t>
  </si>
  <si>
    <t>严重掉色 严重掉色，质量很差！</t>
  </si>
  <si>
    <t>质量堪忧 穿了3个月，有开线，有撕裂</t>
  </si>
  <si>
    <t>涉嫌涂改日期，打印日期地方被白色膜覆盖，慎购！而且拒绝退货、拒绝索赔。 我之前在美国购买的相同款虾青素，日期打印在说明书右下方空白处，批号：1400301415，OCT 2017，这次购买的此款虾青素，说明书右下角原打印日期的地方，有明显的长方形白色覆盖膜，批号日期重新打印在瓶底部：1400301564 NOV2019，而我在美国购买的虾青素，说明书右下角打印日期的地方，根本没有长方形的白色覆盖膜，该产品涉嫌涂改日期，而且店家、亚马逊客服拒绝退货，拒绝索赔，慎购！</t>
  </si>
  <si>
    <t>手感好，M尖不是很粗。 漆面控制的比同时买的LX灰色的笔要好一些。赤铜色有个性。就是笔夹不是铜色的。</t>
  </si>
  <si>
    <t>很硬  皮质很硬 颜色不错  就是皮质很硬 勒腰</t>
  </si>
  <si>
    <t>性价比高，就是质量出点问题 千万别提前面这里，一提就断了断了断了，而且只能修成这样子了。最便宜的一双爱步出问题了</t>
  </si>
  <si>
    <t>略肥 长短做工等值得这个价格，有一点，silm thin款穿起来还是有点肥。不是贴身款。</t>
  </si>
  <si>
    <t>衬衣 不错，值得买，很好，</t>
  </si>
  <si>
    <t>可以把这几年买的3A游戏都塞进去了 速度如图，比我希望的更好。跟隔壁的鸡血960pro的区别只有在拷贝和开机的时候有体现。尽管闪存颗粒价格水涨船高，然而是国内行货的6折多一点，再加上现在TLC颗粒的寿命也挺稳，各位真的可以考虑来这么一块彻底取代HDD做游戏、专业存储了（存艺术片的仓库盘除外），对比后者在日常性能的提升显而易见，属于用过就回不去的差别。</t>
  </si>
  <si>
    <t>非常好 拍下到送达一共7天，产地中美洲，我1米8穿长度29很合适，裤脚都不用卷。穿起也舒服，天热穿也不闷，甩韩版十条街。最主要是价格实惠啊！</t>
  </si>
  <si>
    <t>非常好 175 150 腰围78穿29/30正好，版型无敌非常合身显腿长，中低腰很修身但并不紧绷难受。这款应该算gstar工装裤基础款，可惜亚马逊款式太少不够多</t>
  </si>
  <si>
    <t>很不错 这个价格超值了，很喜欢的款式</t>
  </si>
  <si>
    <t>好帽子 设计相当好看的帽子，颜色也好看，是好帽子，我给个赞！好！</t>
  </si>
  <si>
    <t>码数偏小 码数比起nike、adidas之类的偏小很多。164、65kg，L码刚刚刚刚好，一点富余都没有。看来以后还是得买美版。</t>
  </si>
  <si>
    <t>满意 非常好，面料舒适，感觉比国内的质量要好，就是发货慢了点，可以理解。比国内小一码买即可</t>
  </si>
  <si>
    <t>售后 带了半年多了，皮质的表带现在有些问题，感觉用不了多久就会断！</t>
  </si>
  <si>
    <t>不错，适合春秋穿 老婆不喜欢这个款式，有没有想入手的</t>
  </si>
  <si>
    <t>白人说不好？那是白人聋了！ 虽然外网都说不好，但是我偏要说好！ 清楚！舒服！好清楚啊，解析真的很清楚，根本没有外网说的糊成一坨的感觉，349买到大便宜啦～～～比k52好，我买过k52坏掉叻</t>
  </si>
  <si>
    <t>适合腰细腿粗的人 170,63,腰围二尺三寸五，选的w29L30，结果Jive颜色的比其他颜色短，凑合能穿。腰细腿粗选这款牛仔裤正好。</t>
  </si>
  <si>
    <t>好用 试了一下很好用</t>
  </si>
  <si>
    <t>值得拥有的裤子品牌 性价比高，连续买了三条这个牌子的裤子，最近又买了体恤，裤子抗皱性好</t>
  </si>
  <si>
    <t>很好的鞋子，prime会员购买相比国内更加划算 物流很快，下单十多天到手的，亚马逊prime会员很值。鞋子本身质量很好，做工棒，质感很足。这款是常规宽度版本，可能不适合脚掌宽的人，但对我来说是正好的：足弓部分稍有点紧反而很有安全感，前足空间就很大了，后部的支撑也非常到位，作为日常穿着十分适合。长期使用体验有待更新。</t>
  </si>
  <si>
    <t>老而弥坚的耳机 监听耳机的味道，味精不多</t>
  </si>
  <si>
    <t>不错 买的34L有点长，腿儿短还买长的…要配靴子穿喽…质量不错</t>
  </si>
  <si>
    <t>ecco 非常喜欢这款鞋、无论颜色、款式、穿着舒适度都非常不错！我会继续关注！</t>
  </si>
  <si>
    <t>快递喜人，鞋子满意 快递比预计的快了半个月，在年三十之前送到，真是个大惊喜。 鞋子挺舒服的，没有磨脚的感觉，也没有感到压脚背。 脚长262mm，略宽，平时耐克42，彪马41，这次选了8.5很合适，供参考。</t>
  </si>
  <si>
    <t>推荐。 非常舒适，如果号就在两个号码之间，推荐选小一些。</t>
  </si>
  <si>
    <t>勺子放在上面不用找 美亚淘过一次味道一样</t>
  </si>
  <si>
    <t>实用 质量很好，使用方便。</t>
  </si>
  <si>
    <t>颜色不对 寄错颜色了吧，怎么这么深</t>
  </si>
  <si>
    <t>没想像中好 收到商品有拆过的痕迹；本看中香蕉那款，但产品说明表明适合0～12个月的宝宝，我家宝宝17个月了，所以买的这款，但宝宝用时才发现因为有鲨鱼背鳍，能伸到宝宝嘴里的部分不多，买来我家宝宝现在长磨牙用的，但还够不着里面一点的牙龈，有点失望。</t>
  </si>
  <si>
    <t>不推荐 里面抓绒掉毛，一穿一身黑，不推荐</t>
  </si>
  <si>
    <t>码太大 码太大啦，160穿xs还是大。不知道码怎么定的。</t>
  </si>
  <si>
    <t>不建议买这个 购买之前看到过一些负面评论，但是也没选到别的什么好壶所以还是买了。 拿到一看，发现之前大家描述的问题几乎全存在：塑料件做工用料都很粗糙，两侧水位线刻度高低不同， 不锈钢壶身不隔热（这个是个人选择倒是无可厚非），此外我的这个壶壶嘴内侧还有一大一小两处磨损，硬伤！ 能证实的优点是噪音很小很安静。 总体评价差，让我很怀念留学时用的Tefal水壶，强烈建议亚马逊引进Tefal，同时建议Braun找个靠谱的代工工厂</t>
  </si>
  <si>
    <t>不值购买 不耐高温消毒，汤盆浅，慎重购买</t>
  </si>
  <si>
    <t>面料舒服 太大了，本人身高184，体重100KG，买了XXL太大还可以接受，算是宽松款，但问题是太长，衣长都过臀部了，目测买L就合适了</t>
  </si>
  <si>
    <t>买大了 面料很舒服，就是买大了。</t>
  </si>
  <si>
    <t>性价比高 质感不错，尺码正常，鞋子偏窄，里面只能穿薄袜。</t>
  </si>
  <si>
    <t>在网页商品图片下面标出生产国家 还是不错的</t>
  </si>
  <si>
    <t>裤子有些长 1.72的净身高，S码的裤子，还是长了一点</t>
  </si>
  <si>
    <t>用后方知好 包装完好，使用也不错。对中老年人很有用，犹如漱口，清洁口腔比漱口效果好。</t>
  </si>
  <si>
    <t>挺好的，合适 挺好的，不过唯一的问题就是，可能被人试穿过</t>
  </si>
  <si>
    <t>还不错 很好，身高163，体重106，正合适，不是很厚，正好合适。</t>
  </si>
  <si>
    <t>很好 比预想更好，不错的购物</t>
  </si>
  <si>
    <t>超级漂亮和好看的剪刀 剪刀非常漂亮而且好用，长度大概是13寸Macbook Pro的宽度，颜值高，质量好</t>
  </si>
  <si>
    <t>性价比高的类美善品锅 刚开始是找不到开通电源的开关，以为是次品，差一点就退货了。慢慢使用后，发现功能和美善品差不多，菜谱照着美善品就可以了，价格是美善品的五分之一。</t>
  </si>
  <si>
    <t>质量，保暖 看了山支大哥推荐的购物单买的，终于到货，耳朵和头在寒风中都得到了保护，质量很好！</t>
  </si>
  <si>
    <t>喜欢 喜欢，一小会就把肉打碎了。</t>
  </si>
  <si>
    <t>益生菌 动物图案，也方便携带和吃，非常好可惜没有赶上活动价</t>
  </si>
  <si>
    <t>值得购买 这个价格很意外，不错！</t>
  </si>
  <si>
    <t>性价比非常高 容量足够大，感觉买得很划算，满意</t>
  </si>
  <si>
    <t>维c 不错，还没吃，挺大一瓶，一天一粒也方便。</t>
  </si>
  <si>
    <t>配色很好，合体 东西不错，喜欢</t>
  </si>
  <si>
    <t>这个价位要什么自行车，不过挺值的，便宜，中规中矩 还行，这个价位要什么自行车，便宜，中规中矩，淡如白开水</t>
  </si>
  <si>
    <t>很好的牙刷 比国内价格公道的多，电压通用，一个充电器够用，两口子用刚刚好，模式也多</t>
  </si>
  <si>
    <t>很棒 给朋友带的 很好看 布丁布丁</t>
  </si>
  <si>
    <t>很好 比较方便，会回购</t>
  </si>
  <si>
    <t>好 不漏水，3岁以下都适合，设计合理轻巧，而且有备用吸管</t>
  </si>
  <si>
    <t>便宜又实惠 便宜又实惠</t>
  </si>
  <si>
    <t>好箱子! 这对箱子买了一段时间了，经试用，个人觉得这个音箱声音平衡耐听，低音绝对够用，高音柔和不刺耳。亚马逊促销时的价格是物超所值。推荐购买，当然前端要匹配搞好，不然效果就差了些。</t>
  </si>
  <si>
    <t>满意 德国原产，貌似质量要好点，关键还便宜。</t>
  </si>
  <si>
    <t>不好 里面太多的塑料制品了，都在壶里面，烧水势必会有味道。</t>
  </si>
  <si>
    <t>只能给3星 还没用起来 ，等天冷用起来，2个送人了，自用一个，说说我留下来那个，漆都花了，掉了几块，也是醉了，等后面用了看保温效果吧。</t>
  </si>
  <si>
    <t>还可以 帮同事买的，他说还可以，蛮保温</t>
  </si>
  <si>
    <t>漏奶 用到最后一盒最后两包居然发现奶袋下方侧边压合的地方会漏奶，一点点渗出来的。很难说是什么心情。居然现在每次装奶都担心一会是不是要再换一个奶袋。</t>
  </si>
  <si>
    <t>不推荐购买 先前买了一条 Champion 的网眼短裤，觉得既便宜又穿着舒服，看到这条长裤价格也不贵就买了，结果很难让人满意。  1，裤子很薄。虽然是宽松式的，大概因为我走路非常快的缘故，大腿内侧已经有了磨损。本来就很薄的裤子，估计穿着寿命不会长； 2，裤腰部分有脱线的情况。经常在提裤子时发现一条长长的线。拽断后，过一段时间，又冒出长长的一条； 3，颜色不是我预期中的深蓝色，有点‘自来旧’；  通常我会将‘色牢度’作为评价服装质量的标准之一，但因为上面 1,2 两项，已经不需要再看色牢度了。</t>
  </si>
  <si>
    <t>压脚背 首先鞋子做工很好，值这个价。 我的脚是很标准那种，跑鞋uk7.5 eu41.5,皮鞋uk6.5,亚马逊的爱步也买过几双，从来没有出现过不合脚，但是这双我参照评论，买大一号uk7,上脚后因为大了一码长度明显偏长，但因为鞋垫太厚，还是压脚背压的厉害，加上徒步鞋非常硬，导致上脚非常难受。如果你的脚不是特别瘦那种，不推荐购买这款。如果一定要买，换个鞋垫也能解决，但是原配鞋垫看起来很高级的样子，不用又可惜。</t>
  </si>
  <si>
    <t>喜欢 喜欢，很漂亮，还没用。</t>
  </si>
  <si>
    <t>期盼能用久一点 收到就用了，确实不粘，但是不知道能用多久，之前在亚马逊上也买过一个不粘锅，不到一年涂层就掉了</t>
  </si>
  <si>
    <t>大小合适，质量一般 38.5的脚，平时穿39，买的us8M正好，大小很合适。价格加税一共580。但是！！鞋子质量真的不敢恭维，设计问题走路滑跟，两边外翘，不跟脚，走一步就有折痕，而且顶到脚趾关节疼，鞋带感觉很难绑紧，换了丝带款稍微紧些。 不知道是正品？大家都是如此？掉跟这件事真的很烦人。</t>
  </si>
  <si>
    <t>可以试试 墨西哥生产的。质量一般。 价格便宜。 腰口有开线，嫌麻烦，自己封缝吧，就这样吧。 170cm.68kg.  W 31L30 合适。</t>
  </si>
  <si>
    <t>非常好 非常好，做工细节都很好</t>
  </si>
  <si>
    <t>很好 大小合适 和耐克 其乐的大小差不多 选一个号就行</t>
  </si>
  <si>
    <t>鞋子很好，比预想的要好。稍微偏大，尺码说明里面7UK对应40.5，我穿上刚好，但我一般穿41.5。鞋底稍微有点硬，但这个系列就是这样的。总之很满意，比国内要便宜很多，物超所值！ 鞋子很好，比预想是要好</t>
  </si>
  <si>
    <t>maca 与上次一样的好，第二次购买，价格略涨了</t>
  </si>
  <si>
    <t>很好很不错 首先看皮子油亮光滑，质量不错而且很好打理，何况这种工装靴也不需要太过操心。其次大小合适，我买的W头的，我的脚长26.5厘米，穿阿迪耐克一般是26.5，这个是8码加宽正好。如果没有加宽就得8.5了，我的上一双靴子就是这样。价格也很合适，703大元买的，80的税费，因为这双鞋，我又买了一年的PRIME，估计年底还要买一些东西的，毕竟国内这个价格可买不到这样的鞋</t>
  </si>
  <si>
    <t>妈妈觉得不错 我家的锅太重，妈妈来时拿不动，特意买了一个，没想到妈妈还挺喜欢，又给妈家买了一个。</t>
  </si>
  <si>
    <t>方便 价格实在是美丽，使用方法简单，方便随时做复杂的食物。</t>
  </si>
  <si>
    <t>好评 焖烧杯很精致，容量大，保温效果不错，还没开始煮粥，相信一定是很不错的</t>
  </si>
  <si>
    <t>非常好的表 非常好的手表，走时很准，也很漂亮。</t>
  </si>
  <si>
    <t>适合速度训练的一款跑鞋 很适合短跑训练的一款跑鞋，前脚掌没有后脚的gel缓震，着地和发力都很给劲儿，包裹性也很好，可用于速度训练。</t>
  </si>
  <si>
    <t>鹅蛋奶瓶 这个奶瓶在年29的时候终于收到了，但是是我自己到邮政局去取的，不知道为什么邮政局说是包裹不负责邮寄，但是储奶袋却送到了规定的地址。好评是送给商品的不是送给物流的，这个奶瓶非常不错，放在手里像个鹅蛋，洗刷起来应该会很方便，奶瓶的质量非常好，没有一点点的味道。</t>
  </si>
  <si>
    <t>沉稳大气 首次在＂亚马逊＂给爱人买的，鞋的面料及大小跟预想的一样。个人觉得，这款鞋适合中年人，穿着有档次。</t>
  </si>
  <si>
    <t>不错 整个瓶身都很软，摸着很舒服。</t>
  </si>
  <si>
    <t>尺码还可以 还不错，身高172，体重72kg，s码还算合适</t>
  </si>
  <si>
    <t>确实偏大1码 欧版码数，自动买小一码。</t>
  </si>
  <si>
    <t>非常实惠的牙刷，原厂的品质还是有保证的 趁着低价的时候屯了一波，这种生活消耗品多囤一些显然是没有坏处的。整个海外购的体验也非常棒。</t>
  </si>
  <si>
    <t>尺码准确度很重要 总体感觉不错，比较舒适，略感粗糙。亚马逊上面海外购鞋子的尺码对照有些混乱，各码鞋子对应的脚长一定要准确才行。</t>
  </si>
  <si>
    <t>非常棒的理发器 剪发理发，短圆发型非常适用，希望耐用</t>
  </si>
  <si>
    <t>真正的隐形 穿过这个袜子，再也不想穿国内的了！不容易勾丝，有隐形！</t>
  </si>
  <si>
    <t>不错 手表很好看，但是表太小了，外观好评</t>
  </si>
  <si>
    <t>这款眼霜从乳液转换成水的过程非常快，非常滋润，一点点就够。非常强大！！！ 这款眼霜从乳液转换成水的过程非常快，非常滋润，一点点就够。非常强大！！！</t>
  </si>
  <si>
    <t>皮带 价格合适，性价比高，到货也快，非常不错</t>
  </si>
  <si>
    <t>差评 刚刚开始买到手觉得物超所值！现在很后悔！洗两次之后，居然松了！松了！就是那种轻轻一拉整件衣服就掉了的松！有点过分！</t>
  </si>
  <si>
    <t>有点儿坑 裤子太长了 而且起球 还没洗就只穿了几次就起球</t>
  </si>
  <si>
    <t>尺寸偏小 我是38的脚，袜子尺码感觉偏小，</t>
  </si>
  <si>
    <t>两件冠军牌子的T恤 亚马逊卖的全是洋垃圾，买了两件T恤，竟然连吊牌都没有，衣服皱的跟梅干菜似的，在美国估计就是几美分一件，到中国就成奢侈品了</t>
  </si>
  <si>
    <t>千万不要买 收到就是个坏的，一边不响，去索尼售后也不管维修，真是垃圾，自认倒霉了。</t>
  </si>
  <si>
    <t>质量差，不要买 质量很差，建议大家不要买，穿了一天蕾丝就起球了，而且罩杯还塌陷，</t>
  </si>
  <si>
    <t>码比正常码大 质量是挺好的 但码太大 选了L码 感觉可以穿到胸 只能当睡裤穿了</t>
  </si>
  <si>
    <t>性价比高 款式还可以，皮硬了点，穿着还行。</t>
  </si>
  <si>
    <t>被试穿过，有瑕疵 平时穿39，买8.5正合适，但不幸的是跟很多评论一样，鞋子明显有试穿过的痕迹，一只鞋鞋头还有点开胶，鞋带上还沾了一点棕色的污渍，觉得退换太麻烦就收下了，我买的时候加税要七百多，买了还没收到就降价100，海外购老客户了，这次购物体验实在称不上有多好</t>
  </si>
  <si>
    <t>脚细不好看！！ 脚长24cm，不胖不瘦，美码都穿7.5。。看评价买的7m，长半码宽度合适，大小算可以。但脚细啊，120+的体重肉都长上半身了靴子撑不好看。这靴子还是适合小粗腿，我一155的姐妹（小腿粗）穿着都比我好看。本人168，脚细的真心不推荐。已闲鱼。。</t>
  </si>
  <si>
    <t>danner danner是一双不错的鞋子。7.5d和7ee长度差的不多只是窄了一点。就是GTX内里不知道怎么不防水了。唯一的缺点就是亚马逊买的danner内置的半掌鞋撑没有了，这可是danner的精华所在啊！</t>
  </si>
  <si>
    <t>速度快 发货速度极快，一周就从美国到中国了，买品牌的东西，质量一点也不用担心，赞！</t>
  </si>
  <si>
    <t>好 很好用，舒服的质感，超赞</t>
  </si>
  <si>
    <t>不错 尺寸和材质都比较满意</t>
  </si>
  <si>
    <t>很舒服的选择 超级凉快，特别适合我这样的孕妇，洗起来也很方便</t>
  </si>
  <si>
    <t>值得购买 很好，不会静电，摸起来肉肉的</t>
  </si>
  <si>
    <t>喜欢的帽子。 相当不错，做工非常到位。木有线头什么的，挺好的。快递也很给力啊，从英国到中国并收到才用了七天时间，现在海外购的速度比直邮都快啊。爽，很棒的购物体验。</t>
  </si>
  <si>
    <t>不错～可以一直一直一直用～ 传家宝系列～</t>
  </si>
  <si>
    <t>一般 gakki同款 但是美版的真的是做工不怎么样，不过考虑到美版这个价格，也还算是可以接受了</t>
  </si>
  <si>
    <t>不错 用了一段时间，有效果</t>
  </si>
  <si>
    <t>很满意的水瓶 收到了，看起来很不错，宝宝超喜欢，已经抱着喝水了！</t>
  </si>
  <si>
    <t>不错 价格没话说，比国内直接买便宜多了。4tb的比较厚，可以理解。没啥噪音，做工各方面也不错，速度也可以。</t>
  </si>
  <si>
    <t>很实用的搅拌机 简单方便实用，准备少许食材很快就能做出果汁和冰沙，噪音不时很大，实用后清洗也很方便。是值得拥有的一台搅拌机。</t>
  </si>
  <si>
    <t>舒适透气 舒适透气，适合夏天的户外活动时穿。而且穿上挺帅的。价格更是实惠。</t>
  </si>
  <si>
    <t>衣服穿着舒适 衣服穿着舒适，没有过于宽松现象，值得购买。</t>
  </si>
  <si>
    <t>无钢圈感觉跟没穿内衣一样，特别舒适 衣服很美貌，因为没有钢圈加上材质柔软轻盈，穿上后感觉没穿一样。可以比平时穿的内衣买小一点，平时买75B的，他家的同号穿着稍微有些大。</t>
  </si>
  <si>
    <t>满意 第一次中亚 尺码合适 身高178 重145 w34 l32 到脚踝 不喜欢的可短一码 质量不错 大家按尺码买就好 认真评论</t>
  </si>
  <si>
    <t>版型挺好，质地硬朗结实 版型挺好，质地硬朗结实</t>
  </si>
  <si>
    <t>喜欢彪马产品 产品款式颜色很喜欢，平时穿41码鞋，稍微紧了点。总体物有所值，大爱！</t>
  </si>
  <si>
    <t>好溶解，口味好 试了一下，口味像高乐高，很好吃，但不是特别甜，可接受范围，自己用普通水杯冲的，盖盖子猛摇，溶解很好，有沫子，没有溶不了的块状物。没有洗杯，继续喝水用了，有一点点臭味。包装不好，开快递的时候有一点撒粉，勺子在里面不好找，需要用筷子找半天，用后体验，目前没感觉，刚用一次。第一次买蛋白粉，不知道真假</t>
  </si>
  <si>
    <t>喜欢 很喜欢， 一直信赖膳魔师</t>
  </si>
  <si>
    <t>给孩子当饭碗了，捻点东西挺方便的！ 给孩子当饭碗了，捻点东西挺方便的！</t>
  </si>
  <si>
    <t>包装粗糙简陋盒子破了 不仅没包装，都不用胶带粘一下盒子就寄来了。盒子都破了。滤芯马上就漏出来了。亚马逊你真可以。</t>
  </si>
  <si>
    <t>没有图片上的羽绒服收纳袋！ 没有图片上的羽绒服收纳袋！其它的满意！！！</t>
  </si>
  <si>
    <t>看起来还不错。 没有想象的难看，还挺好看的</t>
  </si>
  <si>
    <t>鞋底有些硬 鞋底很硬，不适合日常穿着，第一次买这种鞋穿，可能是不习惯这种风格吧</t>
  </si>
  <si>
    <t>不太满意  与正品连外观都不同 非正品  穿着还行</t>
  </si>
  <si>
    <t>谨慎购买 后悔买之前图便宜没看评论，质量真的次，最多一周刷毛就炸了，还不如国内山寨货</t>
  </si>
  <si>
    <t>左脚严重磨脚 想要买此鞋的同学要慎重啊，左脚严重磨脚，才穿了一天，脚后跟皮就磨破了。由于我们这边温度昨天才冷，所以买来到现在才穿，结果客服说因为签收时间已经超过一个月了，不给退货。深刻的教训啊。。。。。。</t>
  </si>
  <si>
    <t>实际大小比鞋码大不少 按照260买的，但实际鞋子大了一码</t>
  </si>
  <si>
    <t>一般，论坛神器 感觉声音发闷，真心一般，但是对得起满减100的价格。论坛上的神器。</t>
  </si>
  <si>
    <t>不错的鞋除了有些大 鞋子质量没的说，款式也很好看，就是尺码怎么那么大，这次买的8号，去年买了款式差不多的9号，结果今年的8号比去年的9号还要大至少一个码。</t>
  </si>
  <si>
    <t>好评 T恤版型不错，布料质量一般</t>
  </si>
  <si>
    <t>喜欢 还是这个鞋子码靠谱，按照平时穿的下单就行</t>
  </si>
  <si>
    <t>喜欢 手感好，穿着舒服，也好看！什么时候还打折一定多买两件!</t>
  </si>
  <si>
    <t>很好 质量很好，很舒适</t>
  </si>
  <si>
    <t>漂亮舒适赶紧买 不要犹豫，就是赶紧下手。尺码标准舒适度一流衬托脚型漂亮。120分</t>
  </si>
  <si>
    <t>皮带不错 喜欢他们家的皮带，简约，保真，皮实，已经开始用了，很man</t>
  </si>
  <si>
    <t>内衣不错 内衣挺好，穿着舒适，满意</t>
  </si>
  <si>
    <t>ecco鞋舒适美观 很喜欢ecco的鞋子，一下子买了2双，这款鞋非常的舒适透气，就是价位高了一些，含税850+，有点点小贵，不过穿着时尚舒适，5星好评。</t>
  </si>
  <si>
    <t>味道 不会辨别真假，但是味道是真的好喝</t>
  </si>
  <si>
    <t>1.62，胸围89.体重60.M码合适，这款牛仔上衣上臂比较瘦，胳膊粗的妞儿慎买 1.62，胸围89.体重60.M码合适，这款牛仔上衣上臂比较瘦，胳膊粗的妞儿慎买。质量很好，颜色图片。</t>
  </si>
  <si>
    <t>价格很合适购买 不错的半入耳式，音质接近苹果有线耳机，风格是JBL一惯的调音，偏人声中段…</t>
  </si>
  <si>
    <t>有点短 175cm，70kg，M号袖子够长但身高有点小</t>
  </si>
  <si>
    <t>性价比高的一次海淘 172厘米，145斤，穿这个尺码稍稍大一点，比Wrangler的同尺码要宽松点，做工很扎实，面料厚实，适合秋冬季，裤腿有点大，这是美版的风格吧，但是穿着比较舒服。买的价格146+关税，160左右，性价比高。</t>
  </si>
  <si>
    <t>尺寸很标准 尺寸很标准，按国际单位换算就可以了，皮带质量很轻，但很结实。</t>
  </si>
  <si>
    <t>过大 170的个子，70公斤的体重穿上有个大。质量很好</t>
  </si>
  <si>
    <t>保温性能好，外观时尚 外观好看，可以拆卸的口，清洗方便，比国内网站的代购还便宜，老妈很满意</t>
  </si>
  <si>
    <t>很好，并且相信以后会做的更好，对中国茶人来说，对水质的要求特别高，可是天然的山泉水很难求，过滤壶的出现刚好解决了这个问题，但相信以后在设计的美感方面会更好 这一款更精致了，一次过滤出来的水刚好煮上一壶茶，而且换滤芯的提示更简单明了～</t>
  </si>
  <si>
    <t>满意 满意的一次购物</t>
  </si>
  <si>
    <t>古典利器 用了一台aiwa CD随身听播放了一张麦景图古典CD, 大大改变了我对这张CD的看法，以前是没有好的耳机呀。尤其是鼓声，非常好，这幅耳机是古典利器。我没有耳放，但AIWA的推力可能不错。</t>
  </si>
  <si>
    <t>宝宝很喜欢，颜色做工都对得起品牌 宝宝用了一阵了，保温效果一般，但对这个年龄正合适。</t>
  </si>
  <si>
    <t>弹力质量都不错 之前在国外买了一条老公穿着特舒服。首次尝试在亚马逊买，虽然越南生产但是质量不错。弹力和布料还是挺好的，主要是跟国外一个价格比国内便宜。</t>
  </si>
  <si>
    <t>象印 非常喜欢，买了又再买</t>
  </si>
  <si>
    <t>发货错误 尺码不对，买的是9uk，发过来是9.5uk，大了一大截。亚马逊这是怎么了</t>
  </si>
  <si>
    <t>腰不对 犹豫之后还是没有退换</t>
  </si>
  <si>
    <t>软件问题 很快收到了东西，但是有一个问题，播音和录音都设置成yeti，这样就不同时录制人声和电脑内部的伴奏。应该怎么办</t>
  </si>
  <si>
    <t>保温不像虎牌杯 保温效果一般</t>
  </si>
  <si>
    <t>褪色严重的残次品 从来没见过这么差的质量，褪色严重，放在洗衣机，把其他的衬衫T恤全部染色了。</t>
  </si>
  <si>
    <t>次品过滤器 三个里面只有一个可以用，另外两个都会漏出黑粉，过滤的水完全不能用</t>
  </si>
  <si>
    <t>裤子 身高178体重145买的m号还是有点长</t>
  </si>
  <si>
    <t>还不错，价格划算 不知道蛋白质含量是不是比罐装的少，又或者是现在肌肉长到一定程度没以前好长了。</t>
  </si>
  <si>
    <t>172cm  75kg，选的M号，大了不少，应该选择S号的，退了，衣服本身很不错，轻，质感好 172cm  75kg，选的M号，大了不少，应该选择S号的，退了，衣服本身很不错，轻，质感好</t>
  </si>
  <si>
    <t>部分部位偏大了 腿部、臀部尺码偏大明显，腰部合适。</t>
  </si>
  <si>
    <t>奶瓶 用起来没觉得哪里有问题，可以</t>
  </si>
  <si>
    <t>适合 牙膏刷起来很好用。比国内便宜。</t>
  </si>
  <si>
    <t>性价比高 买了几件，价格很好，质量也不错啊，我170高，75公斤重属于偏壮实类型身材，穿L号才合适。亚马逊的物流速度也超级快的，3天就到货了。衣服整体别要求太高，冠军的性价比还是很不错的。</t>
  </si>
  <si>
    <t>值得拥有 废话少说，绝对是值得拥有的一双鞋</t>
  </si>
  <si>
    <t>不错！ 之前家人吃了维骨力效果很好。但好了也就没有继续吃，两年后手部关节又疼了。之前是绿标的，这次试试蓝标</t>
  </si>
  <si>
    <t>好用 非常好，德国寄过来包装也没有任何损坏，比老版的改进了不少，容量适合一家人用</t>
  </si>
  <si>
    <t>很好 随便买的，结果很不错。喜欢用直身杯。杯口处不锈钢比较厚（是双层的），喜欢</t>
  </si>
  <si>
    <t>活动价性价比非常高 没仔细听过8010等一众3寸监听，所以没法做同尺寸对比。跟家里最小5寸的sc205对比，全面逊色特别是低频，且复杂声音场景下有点发混（可能是便携解码的锅），另外做工一般。但对于价格如此便宜的3寸音箱而言，已经足够惊艳了，小屋子近场聆听非常合适，在2000-2500档能算得上非常有竞争力了。</t>
  </si>
  <si>
    <t>质量真的超级好！！！胖脚买大半号就好 收到鞋子真的超级满意，从买到收到就10天吧，超级快，而且质量超级好！！！最关键的事我平时就是UK4，脚型胖，有拇外翻，但是脚背不高，这次看网友说的买大半号，正正好好还大一点点，没出现不好穿脱的情况，超级满意，给胖脚MM的建议，买大半码，质量好的特别棒，但是我买的很贵，将近别人的2倍了</t>
  </si>
  <si>
    <t>给后面的买家参考数据。 本人身高178cm，体重72kg，胸围97cm，臂长186cm，选择的是M码，如图所示，袖子相当合适，此款修身，可做内胆，也可当外套穿，冲锋衣是Alpha SL，都配图了。</t>
  </si>
  <si>
    <t>性价比高 牙刷头系消耗品，性价比高。8个里面还分开独立包装，每个刷头还自带清洁保护盖。</t>
  </si>
  <si>
    <t>好腰带 皮带比国货好，是否真皮不知</t>
  </si>
  <si>
    <t>很好 四种工作模式区别很明显。做工不错。东西也真的很大，收到之前还准备买个支架呢，收到后发现根本不用买，高度够了。:) 有更高工作模式需求的建议买PRO 运送速度真的好快,从下单到收到货不过5,6天的时间!几乎没有在任何环节耽误时间.增加了以后在中亚买美亚东西的信心！</t>
  </si>
  <si>
    <t>设计完美！ 轻便舒适！显脚瘦！满意的！</t>
  </si>
  <si>
    <t>Lee长裤 我身高1.69m  体重75kg.  腰围96cm。  购W34  *  L30  收到后试穿很合身，就是裤长偏长2cm. 如果选W34 * L29会很好， 发评论供大家参考。</t>
  </si>
  <si>
    <t>黑色 有点点大 不过还是好看的</t>
  </si>
  <si>
    <t>比较合适 还算比较合适</t>
  </si>
  <si>
    <t>太漂亮了 很袖真，很可爱，很漂亮，忍痛送给一个女孩了，很喜欢。</t>
  </si>
  <si>
    <t>漂亮的卡西欧 好看，漂亮，实用，喜欢。</t>
  </si>
  <si>
    <t>鞋底缓震还舒适 平时耐克42.5，43，这个43.5穿上合适，跑步还没跑，拿来压马路，真心感觉鞋底很舒适！现在坐在这里开会，感觉有点热。</t>
  </si>
  <si>
    <t>大小合适材质亲肤柔软 尺码标准、穿着舒服、材质做工都很好。满意</t>
  </si>
  <si>
    <t>挺合适，整体比较满意。 长度刚刚好，挺合适。 当然味道还是有的，个人能接受。感觉有点硬，可能用多一段时间会软一些。皮质的话不好说，因为平时接触的不多，只能说个人是满意的，正面皮质是滑的，但不会反光，背面是糙面，摸起来很粗糙，也会有点点掉黑色的颗粒，皮带侧面及打孔都没有其他处理，都是直接把皮带的表剥层都直接展现出来了。皮带头钉缝线的处理也还可以，并不会爆线头，可能是运气好。皮带金属卡扣会不会脱色就需要时间来检验了。 这里有一些数据，可以供需要的人参考，其中所量的皮带是34码的。  皮带头到尾104.3CM； 皮带全长108CM（包括皮带金属扣）； 皮带宽3.35CM； 皮带厚3MM； 第一个孔圆心距皮带最尾部约11.35CM； 每个孔圆心相距2.5CM； 共5个孔。</t>
  </si>
  <si>
    <t>好 刚穿右脚脚裸处磨脚的厉害，加了个磨脚贴就解决了。</t>
  </si>
  <si>
    <t>不怎样 看上去虽然和图片上的是一样的，可是质量看上去就像是街边货，果然一分钱还是一分货的~~~ 所以我打算自己去把表带换成金属的可能还好看点。</t>
  </si>
  <si>
    <t>可以 外观很好看，很轻，里面有涂层，但保温效果不是传说中那么好，24小时都很勉强。</t>
  </si>
  <si>
    <t>料子一般。 做工还可以，只是料子看起来不怎么样，穿着感觉也一般，没有达到预期，标牌也很粗糙，不知道是否是正品。本想退货，后来想想来回太麻烦，所以就留下了。仅供参考。</t>
  </si>
  <si>
    <t>糟心的一次购物体验 黑五的时候下的单，结果等了好久都没收到，后面一查询，包裹早已被签收，问了身边的同事都说没有帮签收，赶紧联系快递公司，却说要寄件方才能发起查询，联系了亚马逊客服，又等了十多天，终于搞清楚是快递被误投给别人了，又几番周转才终于取回快递，外包装已经被拆，商品还算是完整，也不知道被用过没有，总之挺糟心的</t>
  </si>
  <si>
    <t>亚马逊的品质 左右标示都用印的，简单到让人怀疑是否是正品，材质较硬，穿起来不舒服，第一次买，很失望</t>
  </si>
  <si>
    <t>质量差，没用几次就充不上电！ 质量超级差啊，十分不建议购买，买了半年就不能充电了，充不上电，而亚马逊没有任何售后！！一颗星都不想给</t>
  </si>
  <si>
    <t>尺码 开始看评论买的！本人体重220身高183。自己买的L号的太小了扣子扣不上送人了！</t>
  </si>
  <si>
    <t>不错的一支钢笔 第一次用德国笔，笔尖很顺滑，下水很流畅，主要特点一是笔尖很粗，M尖就已经达到我日常办公用的上限了，再粗就只能作为签字笔用了；二是笔身很粗，我185的壮汉拿在手上都觉得有点粗，刚开始不是太习惯；三是笔套有点松，笔套旋转到位会有个卡扣提示到位了，但不紧，有晃动；四是工艺不算完美，我这只笔是个笔舌是个歪的。</t>
  </si>
  <si>
    <t>和日亚海淘的包装不一样 和我原来日本买的不一样</t>
  </si>
  <si>
    <t>穿着还舒服 洗过后有点变形，没开始那么好看了</t>
  </si>
  <si>
    <t>上脚没有图片好看，远看像布鞋。 上脚没有图片好看，粗看有种布鞋的廉价感。也可能跟我买大了撑不起来有关。不过还是喜欢clarks这个牌子。 阿迪耐克运动鞋43码，这个买8.5码大了半码，穿8码正合适。</t>
  </si>
  <si>
    <t>裤子 夏天可以穿的，不太厚，裤腰太大了，和描述尺寸不符</t>
  </si>
  <si>
    <t>LEE非常好 质量挺好，版型很好，还要继续买</t>
  </si>
  <si>
    <t>漂亮，不便宜 漂亮，不便宜，还可以</t>
  </si>
  <si>
    <t>好 8t够一年存了，数度没测过，但感觉还比较快，性价比不错了！</t>
  </si>
  <si>
    <t>挺好 薄型的，夏天穿适合，做工还不错</t>
  </si>
  <si>
    <t>还在试用中 amazon global从欧洲发货的，大概10天到上海。包装是无拆包装很好！牙刷和京东买的sonicare 电动牙刷的原装刷头还是有些不一样的，试用了一下，没有不适，那就很好了，如果确实可以听到三个月，再来更新，暂时给个好评！</t>
  </si>
  <si>
    <t>应该是三年了  买了以后扔在家里 没带几天  记得父亲外出做工带过 标上沾满了漆点 如今父亲已经不在 整理东西的时候发现了它 竟然还在正常的走动。那时候的感觉 我会带这只表一生了。用水和肥皂把漆点擦洗干净，作为一种念想 我会一直带着 应该是三年了  买了以后扔在家里 没带几天  记得父亲外出做工带过 标上沾满了漆点 如今父亲已经不在 整理东西的时候发现了它 竟然还在正常的走动。那时候的感觉 我会带这只表一生了。用水和肥皂把漆点擦洗干净，作为一种念想 我会一直带着</t>
  </si>
  <si>
    <t>很合适 听了各位的评论，我185CM,95KG买Ｌ码正合适</t>
  </si>
  <si>
    <t>很满意！ 包包非常好👍！外观看着不大实际很能装！内部分层非常的合理，做工扎实！很满意！！</t>
  </si>
  <si>
    <t>东西不错 东西不错，穿的很舒服，尺码是标准美码，偏大</t>
  </si>
  <si>
    <t>合适 很好很合适，非常喜欢</t>
  </si>
  <si>
    <t>都还好啦 目前为止完全没有其他人说过的裂纹开胶掉皮的问题，缝合粘贴都很不错，可能天气比较干爽。34、33的裤子买36号的正合用。颜色皮感都还好了，和价格吻合，不要奢望皮革了，复合皮胶粘胶缝是不可避免了。又加购了一条，凑单的，中国制造，包装扎实。配牛仔裤不错。</t>
  </si>
  <si>
    <t>质量好。 质量非常好，性价比高。</t>
  </si>
  <si>
    <t>不错！ 宝贝提前收到了，很适用，核心是半入耳这点很好，久戴也没有不适，听音乐、打电话都不错，特别是开车或运动时较为方便。</t>
  </si>
  <si>
    <t>到货很快，很舒服。 一个星期就到货了，价格便宜，很舒服，70c 穿m 的正好，罩杯其实是有点形状的，不是完全的软的一块布，还是基本上兼顾了舒适和形状的。舒适真的是第一位的。</t>
  </si>
  <si>
    <t>很好 质量很好，上脚很舒适。国内鞋穿41码，买的也是41码，大小合适！</t>
  </si>
  <si>
    <t>推荐给大家！！ 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</si>
  <si>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海外购好 东西很好，穿上象皮肤一样</t>
  </si>
  <si>
    <t>设备稳定运行了几年 美亚买的，用了几年才想起来评论，到现在还没塞满，没出过问题，桌面硬盘，做下载盘，几乎一直开</t>
  </si>
  <si>
    <t>！ 鞋底太硬，不舒服</t>
  </si>
  <si>
    <t>大小合适 大小合适，就是裤腰收紧的绳子太长了。</t>
  </si>
  <si>
    <t>材质太硬了 不好用，浪费了</t>
  </si>
  <si>
    <t>非美亚发货！广州发的！慎买！ 根本不是美亚发货。竟然是从广州发顺丰来的。气味大，有折痕，不敢用。美亚不能直邮了才选择中亚海外购。亚马逊让人失望。宝妈不要浪费钱了。</t>
  </si>
  <si>
    <t>一致性 网页上的颜色与实物区别较大！</t>
  </si>
  <si>
    <t>一分钱一分货，质量一般 177，  77公斤，尺码偏宽松，质量一般，面料比较容易变形的样子，一分钱一分货吧</t>
  </si>
  <si>
    <t>商品不错，值得购买。 音箱功率偏小，很挑音源，几百元的监听十分超值，要出好声需更换音箱线和3.5转莲花插头。</t>
  </si>
  <si>
    <t>价格便宜 款式很好，材质也挺好的，价格便宜，缺点是尺码不准，一个码，三件不一样大。</t>
  </si>
  <si>
    <t>超级适合大胸，秒杀nike，阿迪，迪卡侬！ 这款运动内衣真的超级适合大胸，罩杯合适，就是底围偏小，要比平时穿的内衣小一个码，每次穿的时候要带延长扣很不方便，但是减震性能一流，秒杀nike，迪卡侬，强烈推荐！</t>
  </si>
  <si>
    <t>偏大一些 这个好像和国内的码不同，感觉偏大一些，因为海外购，所以不好退换了</t>
  </si>
  <si>
    <t>艾高象鞋 又轻又舒服的休闲户外鞋 日常也好搭配 比同码运动鞋感觉大半码</t>
  </si>
  <si>
    <t>鞋子质量很好 鞋子漂亮，质量很好。</t>
  </si>
  <si>
    <t>非常合适 鞋子很棒</t>
  </si>
  <si>
    <t>你值得拥有！ 到手980，基本没毛病，小瑕疵都在心理承受范围内，炖肉无可挑剔，效率高，油烟少，味道绝了。购物车还有五个锅子，每天都忍不住打开看价格有没有变化，期待一个一个都收入囊中。</t>
  </si>
  <si>
    <t>买那个塑料杯 这个杯子哪里买呀，我的坏掉了</t>
  </si>
  <si>
    <t>很喜欢这个面料，非常不错。176 70 穿M号 很喜欢这个面料，非常不错。176 70 穿M号</t>
  </si>
  <si>
    <t>效果 喜欢这个品牌</t>
  </si>
  <si>
    <t>鞋子还是可以的 给老爸买的，他很喜欢，我妈说码子买大了，穿起来是前面有点空，质量目前看起来还是不错的，很轻，很好走路。</t>
  </si>
  <si>
    <t>孩子很喜欢的斯凯奇 女儿马上穿上，合适，鞋底较舒适。</t>
  </si>
  <si>
    <t>谨慎选择变压器 朋友第1台洁碧 被公牛变压器烧了后 才发现原来很多台洁碧水牙线被公牛烧坏了，就告诫我一定要做好变压器功课，跟朋友一起看了很久买了舜红变压器，用着很顺手 没有不会用 就是觉得多了一个牙刷 有点不需要。。。早知道买水瓶座那一款。。</t>
  </si>
  <si>
    <t>要不要这么好看 这个蓝色实物比图片好看多了，非常满意</t>
  </si>
  <si>
    <t>衣服会有点大，比国内减少两码 衣服已经减了一码了，但是有点大</t>
  </si>
  <si>
    <t>123 第一次买，看到实物终于明白为啥有人买它上瘾了。。做工颜值真不是洛极之类能比的。。</t>
  </si>
  <si>
    <t>正品 滤水壶是正品，但是包装太简陋了，好在水壶到手没有坏</t>
  </si>
  <si>
    <t>好 很好 平常nike穿39 这个8码正好 价格也好</t>
  </si>
  <si>
    <t>快乐购物 适合老年人穿的</t>
  </si>
  <si>
    <t>精工登山表 表不错，正品无误，表盘色应该是军绿，不是深绿。蛇头针和数字刻度非常漂亮。很满意。物流够快，很赞。</t>
  </si>
  <si>
    <t>产地 这个内裤真的不错，很舒适，相比优衣库尺码稍小一点点，影响不大。</t>
  </si>
  <si>
    <t>杯子很保温 杯子外管漂亮，袋子做工考究，主要是轻且十分保温，头天晚上放入约50度温水，第二天早上起来还是温的，很难得</t>
  </si>
  <si>
    <t>很不错 很不错👌</t>
  </si>
  <si>
    <t>超级实惠，很舒服 看起来跟其他内裤没区别，但穿起来真是很舒服，绝不会夹着卡着，X号够大，胖子穿没问题</t>
  </si>
  <si>
    <t>满意 很棒！</t>
  </si>
  <si>
    <t>希捷产品很垃圾 一次买了四个同样的希捷硬盘，拿到货后，其中一个直接在电脑上读不出来！退货，一开始还让我自己去邮局寄快递，运费呢，以购物券的形式返给我，太不要脸了！协商好几天，最后才同意上门取货，就这从取货，到退给我钱，折腾2个多月！希捷电子产品垃圾！</t>
  </si>
  <si>
    <t>没的说了，包装全碎 晕死，运来包装全碎了，清关太久太久，很久没运到，运来也是没包装的，连个盒子也没有，全玩完。邮局问我是否签收，想想算了，不计较了。很生气。</t>
  </si>
  <si>
    <t>马靴 柬埔寨产的 做工不是很精细 面料写的是皮革 但是感觉不像皮子了像革</t>
  </si>
  <si>
    <t>不好用 不适合吃中餐的宝宝，买回来只用了勺子，盘子没用</t>
  </si>
  <si>
    <t>中国造 尺寸偏大 90%锦 19%莱卡 价格高 退货成本更高 中国造 尺寸偏大 90%锦 19%莱卡 价格高 退货成本更高 中国人与美国人的思维方式载然不同 第一次在亚马逊上购物 存在诸多不方便</t>
  </si>
  <si>
    <t>不好用 不好用啊，不平，中间高边上低，油都往旁边流</t>
  </si>
  <si>
    <t>好听的声音 声音醇厚，是我喜欢的风格，低音不过，没有什么好设备，一个小耳放接手机就挺好听了，直接连手机声音还是干瘪一些不建议。做工只能说一般了，头梁皮套有刮痕，打开皮套金属还有很明显的上漆不均匀。总的来说九百以下是不错的选择。</t>
  </si>
  <si>
    <t>还不错，懂点英文的还是美亚直邮吧。 还不错，懂点英文的还是美亚直邮吧，中亚售后太差。</t>
  </si>
  <si>
    <t>过大 衣服质量一般  身高175  体重70kg那个 L的过大  应该s的正合身  希望能帮到你</t>
  </si>
  <si>
    <t>质感好，显瘦 面料挺好的，尺寸跟标注里面是一样的，非常准确，款式好，显瘦！价美物优！</t>
  </si>
  <si>
    <t>有味儿 就是拧紧后 密封性不是特别好偶尔会有点漏 奶嘴的孔比较小 个人觉得是正品 但是别人说她家的那个没味跟我这个不一样</t>
  </si>
  <si>
    <t>几个月才到货，但值了 用过电动牙刷的都恨那个厂家为啥刷头那么贵，这个合二十块钱一个，不用边刷牙边骂人了</t>
  </si>
  <si>
    <t>质量不错，只是感觉颜色发错了，不是我要的色儿 15号下的单，20号发的货，30号收到，基本就是半个月的样子，从发货到收货前后刚好10天，上次亚马逊英国买的鞋子也是这个时间，不谋而合的巧合，衣服颜色偏深，比较喜欢浅色的款，不过试穿了一下，感觉还是可以的，大小刚刚好，量身定做的一样，哈哈哈，总体满意，暂时没毛病，价格合理。</t>
  </si>
  <si>
    <t>有点压脚背 这个鞋子UK和US的尺码一致，我买的UK8.5，我的国内尺码42码，长度合适，但是感觉有点压脚背。</t>
  </si>
  <si>
    <t>合身，有弹性 不错，穿着挺舒服的！</t>
  </si>
  <si>
    <t>氦气盘没翻车 其实氦气空气性能都差不多，只是觉得氦气盘逼格高一点</t>
  </si>
  <si>
    <t>法琅锅炊具的新宠 比预计提早收到了宝贝，是原装进口的，包装也非常好，法琅锅工艺精湛，完美无瑕，非常喜欢。等用后再追加评论。</t>
  </si>
  <si>
    <t>非常喜欢 非常喜欢，商品完好无损。新不锈钢搅拌桶的清洁，要先和一点点面团，用面团把整个不锈钢搅拌桶反复擦擦，下次再用搅拌桶和面，面团就不会有黑色的了。</t>
  </si>
  <si>
    <t>很好 首先，鞋底非常厚非常软，弹性十足，主要是因为鞋垫有两层，是粘在一起的，穿上至少增高一公分。皮质柔软，但不是特别透气，应该秋冬季穿合适，但我在新疆伊宁市，冬季零下20几到30度肯定会冷，深秋初冬差不多合适。其次，本人脚长257mm，脚宽10.8cm，uk7.5正合适，给大家一个参考</t>
  </si>
  <si>
    <t>合脚好看 太好看了鞋子超级喜欢合脚</t>
  </si>
  <si>
    <t>帅气的单肩包 日亚的送货速度真的是太棒了，背包稍有些偏大，里面分格很少，面料不错，总体质量很轻便，重要的外观很帅气，比较满意。</t>
  </si>
  <si>
    <t>日本线产品质量好于美产，日本快递细致 符合预期，日本线符合亚洲人体型，按大一号尺码比较有卫衣的感觉。质量就不说了，没问题的，比100左右的美亚好多了，当时一度想买便宜的美产，还好忍住了。日本人发快递都有强迫症，看图里就知道我说什么，包装箱易拉设计，跟拆饼干盒子一样，衣服用橡皮筋扎好贴在一个硬挺的纸板上，运输过程不会移动分毫。以后多到日亚淘好货潮牌</t>
  </si>
  <si>
    <t>极黑是目前我见过的最好的墨水 可能是我见识少，但这是我用过的最好的墨水。别的墨水都洇的纸，用极黑竟然不洇，而且极黑防水</t>
  </si>
  <si>
    <t>值得拥有 非常好非常喜欢！</t>
  </si>
  <si>
    <t>很好 音箱质量很好</t>
  </si>
  <si>
    <t>好看又舒服 穿起来好看又舒服，但比一般运动鞋确实会重不少</t>
  </si>
  <si>
    <t>不错 整体感觉不错，轻便，表面做工精致，内侧有点粗糙，设置也很容易，这个价位已经够用了。</t>
  </si>
  <si>
    <t>比较薄，略修身 各位，我非常负责的说，对北方来说，这款裤子是春夏款，比较薄。我是看有的评论说“比较厚、秋冬款”买的，现在看估计是广东人说的。另外，裤子总体略偏瘦。</t>
  </si>
  <si>
    <t>非常好用！ 价格很友好，比某宝便宜一百多，然后容量还超大，用了半年都很正常~ 给亚马逊点赞~</t>
  </si>
  <si>
    <t>非常好 墨水送来时没有漏，很不错。书写很流畅，用在派克笔上，放了一周才书写都没有断墨现象。</t>
  </si>
  <si>
    <t>Lee 男士修身直筒牛仔裤 质量很不错的，几乎没有色差，尺码是美国码，偏大，身高185，体重75kg穿32×32的就可以了。</t>
  </si>
  <si>
    <t>衣服偏长 之前买了件黑色，再购件蓝色对换，质量没问题，有点偏长，价格浮动偏大</t>
  </si>
  <si>
    <t>略大 平时穿255的，这次买的250的还大了一点，其他都很好</t>
  </si>
  <si>
    <t>用了一年多点，那个切换开关就坏了。 用了一年多点，那个切换开关就坏了。</t>
  </si>
  <si>
    <t>还可以 比较鸡肋，研磨效果一般般，现在就当个容器在用，否则就闲置了。</t>
  </si>
  <si>
    <t>一般般吧 布料比较削，透光，版型没问题，领子也不是那么高，但没想到布这么差，凑合事吧</t>
  </si>
  <si>
    <t>物流太差 物流太差，整个盒子全被雨水泡烂。好在里面商品有塑料袋。</t>
  </si>
  <si>
    <t>海外购 海外购商品物流太慢，尺码太难把握，不是过大就是过小，而且售后服务退换货太麻烦</t>
  </si>
  <si>
    <t>皮质似乎有问题，谨慎选择 货物外观和天猫Clarks旗舰店一致，但是皮质似乎不一样，很明显皮质不细腻，感觉不满意。需谨慎选择！</t>
  </si>
  <si>
    <t>码号大的离谱 质量一般，颜色有偏差，码号偏大，我173，体重73公斤，L号的太大了，只有180以上的人才能穿，</t>
  </si>
  <si>
    <t>买小了 看了很多评论选的M，穿着感觉有点小了，身高176，体重88，穿L应该可以。</t>
  </si>
  <si>
    <t>有味道 杯子很漂亮，当作保温杯用的，保温效果特别好，但是倒入开水后过一段时间盖子上有味道。</t>
  </si>
  <si>
    <t>面料很有弹力，十分贴身，内里起绒，很保暖 优点：面料很有弹力，十分贴身，内里起绒，很保暖 缺点：要平摊晾干，否则可能会变长，   大腿内档处，有三角拼缝，刚穿有些不习惯 ps：按平时尺码穿即可</t>
  </si>
  <si>
    <t>鞋没有标牌 不知为何鞋没有标牌，鞋到手四百多元性价比不高，喜欢这个品牌可以购买</t>
  </si>
  <si>
    <t>袜子不错的 是毛巾底的袜子 ，非常厚</t>
  </si>
  <si>
    <t>耳机素质 用了一段时间，很有素质的耳机，德国生产，电脑，手机直推效果都不错，长时间听也不累。用台放推效果非常好，前提是音源素质要高，一般用24bit 以上或dsd播放，初烧完全够用，性价比非常高。</t>
  </si>
  <si>
    <t>不要买海外亚马逊的，太久才收到货！ 东西不错，就是漂洋过海，苦等半月，打开一看，产地是江苏。建议直接订购国内亚马逊的东西！</t>
  </si>
  <si>
    <t>正品 物美价廉</t>
  </si>
  <si>
    <t>做的比说的好，提前一周收到。赞！ 关注很久，只喜欢这款色，终于等到6折。比街款运动鞋，吸眼球。但是鞋底比较硬，更像户外鞋。</t>
  </si>
  <si>
    <t>不错 的确不错，码子准确。</t>
  </si>
  <si>
    <t>穿的是真舒服 买大了点，不过鞋带系好也能穿，这双比10061舒服太多了，10061是真的硬</t>
  </si>
  <si>
    <t>棒 扎实耐穿，帅气有型</t>
  </si>
  <si>
    <t>不衬托 日亚的价格略贵，舒适度很好，冬天穿估计更合适，因为没有胸托对胸型要求度还是很高的</t>
  </si>
  <si>
    <t>好水杯 该系到水杯都很好，超轻、保温好，锁扣使用方便，又不影响喝水口。</t>
  </si>
  <si>
    <t>平时穿的38 鞋子颜色很好看，只是我脚背太高有点小，不过还好，脚背高的联系买大半码</t>
  </si>
  <si>
    <t>很好 东西很不错，挺便宜，要是关税在没有就好了</t>
  </si>
  <si>
    <t>这条裤子可以提升魅力值喔！ 这条裤子是我目前穿过的最好的一条运动裤。</t>
  </si>
  <si>
    <t>kvl3100 抖动比较厉害,希望能多用一些日子,面包手套膜揉不出来</t>
  </si>
  <si>
    <t>改善口气效果好 我从记事起就有很严重的起床口气，第一次用是睡前刷牙后用的，没想到早上起来难闻的口气没有了，真的是好多年没有的感觉！必须怒赞！就是漱口的时候有一点辣舌头，不过吐掉就好了，然后嘴里就一直是木糖醇甜感，还蛮舒服的。肯定会回购，等降价了多囤一点～</t>
  </si>
  <si>
    <t>不错的裤子 颜色较正，不怎么掉色，有弹性，软，舒适，薄厚适中。</t>
  </si>
  <si>
    <t>很好啊很好啊很好啊很好啊很好啊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</si>
  <si>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专业录音棚监听音箱 这款音箱外观漂亮，做工精致，低音扎实，中音饱满，高音清晰，各音乐声部层次分明，非常喜欢。</t>
  </si>
  <si>
    <t>不错！ 速度100M/S。这个价格很不错，而且便携性也很好。</t>
  </si>
  <si>
    <t>感觉不错 赶上活动，价格只有平时一半左右。空气雨淋感觉不错，由于尺寸比原来柯洛玛100大了，而且要把混水阀开大才行，所以感觉比原来用水多了。</t>
  </si>
  <si>
    <t>质量不错，穿着好看 至少买大了，退了以后又拍了合适的，质量真不错，款式也好</t>
  </si>
  <si>
    <t>质量应该原厂的，不象国内那种20元4支的。 质量不错，这种就耐用。 全家人一年刷头的解决了。</t>
  </si>
  <si>
    <t>质感粗糙 不是纯棉，加了5%的其它纤维，有点粗糙的感觉，不是很舒服。有点失望。</t>
  </si>
  <si>
    <t>衣领有点跨 160,51,L号稍微大一点，但是质量比加绒的差多了，穿一次就有一点掉衣领，有点跨。价格很便宜，到手155.6。不建议购买，希望对妹子们有帮助。</t>
  </si>
  <si>
    <t>硬的布料 非常硬的布料，比牛仔裤的布料硬，一般人不大合适</t>
  </si>
  <si>
    <t>把手磕掉一块 海外购买锅，完全就是堵运气，买个酷彩的，宁波发货锅盖还磨的惨不忍睹，买个staub的，把手磕掉不算小的一块,因为旁边的也跟着有些松动，好担心大块掉了生锈，哭啊！</t>
  </si>
  <si>
    <t>ECCO也就这样 脚趾和后跟空间还好，其他就是渣渣了。鞋子窄且压脚面。还没收到货时就降了两百，失望</t>
  </si>
  <si>
    <t>码数与实际适合体型 真是无语了，平时穿的XL，看评论说偏大，下单M，还是偏大了两个码以上，难不成下次要订XS？跨越4个码表示接受不了，如果退货估计连运费都不止这个价，就连妈妈都穿不下这码，只能送人了，还不是谁都能hold住这个码数</t>
  </si>
  <si>
    <t>还行 鞋子没毛病，鞋码标准，穿着很舒服，毕竟是ECCO，不过颜色和网页图片有偏差，太深了，接近棕色了。</t>
  </si>
  <si>
    <t>质量 感觉不像真的还没有水洗也不知道会不会掉毛 制作比较粗糙 总体还好</t>
  </si>
  <si>
    <t>合适 可以是</t>
  </si>
  <si>
    <t>。。。没有标题 给男朋友买的男款8.5us，跟平常的鞋子一样长，平常穿41码比较多。款式还可以，质量也不错，就是鞋底有点硬。</t>
  </si>
  <si>
    <t>裤子 价廉物美，随便穿穿最合适</t>
  </si>
  <si>
    <t>很漂亮 很漂亮的杯子，杯盖颜色稍微暗点，材质不一样没办法。保温性能出色。送LP上班用。</t>
  </si>
  <si>
    <t>质量很棒 质量很好！因为是英亚海外购，插头是英标的，需要配一个英标转国标的插头，转换插头网上很容易买到。</t>
  </si>
  <si>
    <t>挺舒服 柔软暖和，袖子偏长，现在降价200以内很抵</t>
  </si>
  <si>
    <t>还不错 给爸妈买的，一开始用不习惯，后来就用顺了。奇怪的是全球说明书中没有中文版，尴尬😅</t>
  </si>
  <si>
    <t>稍微大了，质量不错 牛仔裤裤头差不多，但是裤腿稍微有点大，不喜欢的可能要去改一下</t>
  </si>
  <si>
    <t>划算 笔杆细小不适合太小的，三岁以内用不了。不过很划算，准备送人。</t>
  </si>
  <si>
    <t>非常好，没啥可说的 非常好，没啥可说的</t>
  </si>
  <si>
    <t>🔥 包包不错 能装很多东西 最主要是cooool</t>
  </si>
  <si>
    <t>满意 流行环保包装的今天，货品安全抵达，高兴; 日亚品控可以，除外部一小瑕疵，内锅完美。</t>
  </si>
  <si>
    <t>草莓味道不好，不是吗 草莓味道感觉有好多香精，不能忍受，蛋白还是不错的</t>
  </si>
  <si>
    <t>OK 175、65kg，M is perfect，略有弹力</t>
  </si>
  <si>
    <t>美 质量很好，容量也大，也很好看、别致</t>
  </si>
  <si>
    <t>很好 188/85，根据评论买的M，说明安德玛美版和冠军一样偏大，注意不要买错了。面料很柔软舒服，快干，但是不薄</t>
  </si>
  <si>
    <t>移动硬盘 外观beautiful。传输速度快！</t>
  </si>
  <si>
    <t>低配PTer存储用盘 PTer，使用近一年快装满了，除了噪音有点大，其他都很好。主要是存储用，当时黑五贪便宜买下的，推荐～（可惜现在断货了）</t>
  </si>
  <si>
    <t>无 挺好的，发的也挺快</t>
  </si>
  <si>
    <t>现在买鞋只买爱步 穿爱步的鞋子就是舒服</t>
  </si>
  <si>
    <t>满意！ 这款应该是产地来自上海！但质量很好！之前用过一个,保温效果非常好，数年后因为漏气不保温了这次又重新买了！包装很好！亚马逊比较靠谱！</t>
  </si>
  <si>
    <t>非常不错！ 非常不错，中国制造，国内尺码41，海外购也一样，就是实物与图片提供的不同，图片为浅棕色，实物为浅灰色</t>
  </si>
  <si>
    <t>满意 很快，尺码合适，38～7.5，好看，不怎么会撞鞋的小白</t>
  </si>
  <si>
    <t>物有所值 感觉很好哦，不会撞机～</t>
  </si>
  <si>
    <t>好看 性价比高。款式好看。</t>
  </si>
  <si>
    <t>绕了一圈还是made in china 绕了一圈还是made in china</t>
  </si>
  <si>
    <t>叉子还好，勺子有点大了 叉子还好，勺子有点大了</t>
  </si>
  <si>
    <t>售后很好 价格便宜，尺码不准，袖子过长，售后很好</t>
  </si>
  <si>
    <t>假冒伪劣产品 同样的款式/型号，本来只是颜色不同，现在收到的商品完全不同！</t>
  </si>
  <si>
    <t>质量问题 买到就是坏的</t>
  </si>
  <si>
    <t>是不是有两个止回阀呢？？ 我装完剩下两个逆止阀，不知道是热水器还是这个恒温花洒的 ，知道的大哥麻烦说一下</t>
  </si>
  <si>
    <t>质地比较清爽 效果还是有的，质地也比较清爽，适合春夏季用。</t>
  </si>
  <si>
    <t>衣服有点大，穿起来挺好，很舒服 衣服有点大，穿起来挺好，很舒服</t>
  </si>
  <si>
    <t>价格诱人，做工稍粗糙，质量应该没问题 物流比想象中快，电压是120v，325w，需要购买500w变压器，即使这样价格还是比国内便宜一半。厨师机做工比较粗糙，后面有一个黑色电线都有裸漏出来，还有机器前方的地方卡扣不严密，能看见螺丝。不过以上问题自己想办法都解决了，开机也没问题。在这么低的价格面前，这些小问题都不是问题。</t>
  </si>
  <si>
    <t>提前了8天到货 之前看预期时间是20号，然后昨天忽然来了亚马逊的快递还奇怪来的是什么。 裤腰正好，然而……欧美人都是长腿男神么，太长了……</t>
  </si>
  <si>
    <t>比国内任何一家网站都便宜 还没用, 完全没有评价里说的二手嫌疑, 产品全新, 封口完整. 用过同品牌的东西, 效果很好.</t>
  </si>
  <si>
    <t>性价比很高 450买到的 还送了礼包 初烧 前段用笔记本推的。。据说只能推6成左右 木耳觉得还好吧😂</t>
  </si>
  <si>
    <t>好用 不用很细腻的食物都可以研磨，方便好清洗</t>
  </si>
  <si>
    <t>非常好 很轻，葡萄牙产，亮色有点偏红，应该是标准的36，355的脚穿略大一点点。</t>
  </si>
  <si>
    <t>180身高，74KG。选W32L32腰围正好 裤子穿上很舒适，样式也很好看。选号正好合适，我180身高，74KG。选W32L32腰围正好，裤脚略微宽松，其他完美</t>
  </si>
  <si>
    <t>快递真快 应该是正品吧，用起来还不错。快递非常迅速，只7天就从国外邮递到了</t>
  </si>
  <si>
    <t>整体满意 整体满意，网上说里面是红盘，不敢拆开确认，运行时噪音略大。</t>
  </si>
  <si>
    <t>留着三个月以后用， 期待宝宝会很喜欢、比较满意的一次购物</t>
  </si>
  <si>
    <t>轻薄有弹性 之前没有春夏穿的薄牛仔裤，夏天都是休闲裤和西裤过来的，这款牛仔裤性价比很高，算上关税不到200元，真的太合算了。</t>
  </si>
  <si>
    <t>凯驰吸尘器期待好用 一直想买个好的吸尘器，商场里看到了这个v7，价格贵的有点牙痒痒，还好，亚马逊让我拥有了它，长途跋涉来到了我家，狠狠的研究了一下，希望好用</t>
  </si>
  <si>
    <t>再次买 再要买一双稍小一点的</t>
  </si>
  <si>
    <t>nice，版型超级好 东西很正！五星好评，无需多说。</t>
  </si>
  <si>
    <t>容易发热 读写速度合格。做工精致。</t>
  </si>
  <si>
    <t>地道的跑步鞋很好 很漂亮，400多买的，喜欢</t>
  </si>
  <si>
    <t>方便，好用 里面还有一套喜欢，很好用，40度水放在里面半天没问题</t>
  </si>
  <si>
    <t>很合适 很好的鞋</t>
  </si>
  <si>
    <t>明牌就是名牌，东西就是好 刚收到，东西不错，物流给力，给个赞！</t>
  </si>
  <si>
    <t>关于沙沙声 里面的沙沙声是因为真空层里面加了金属箔片，用于热反射，更好的保温</t>
  </si>
  <si>
    <t>是正品吗？ 很好，裤腿还可以拆卸</t>
  </si>
  <si>
    <t>牛津布衬衫 衣服很好，适合秋冬搭配</t>
  </si>
  <si>
    <t>新启用时塑料味很大，大概烧水五次左右就没啥味了 新启用时塑料味很大，大概烧水五次左右就没啥味了。但是，壶底部接缝处出现锈迹。</t>
  </si>
  <si>
    <t>上面写着电水壶，实际是保温杯！！！ 上面写着电水壶，实际是保温杯！！！难道不知道电水壶和保温瓶的理解不一样吗。再说连根电线都没，怎么就和电有关系了！！！</t>
  </si>
  <si>
    <t>很薄，不值 188 85 2尺7腰，买l码大小合适，但是太薄了，根本不适合秋季穿，感觉就20多的地摊货，不值这个价位</t>
  </si>
  <si>
    <t>薄 175，65，小号还有些长，布料有些薄，版型很瘦，穿上跟秋裤似的。</t>
  </si>
  <si>
    <t>异响，不敢用，退货 硬盘有异响，全盘坏道扫描后半段明显不好，退货了</t>
  </si>
  <si>
    <t>唉，不上档次，一点都不上档次 一看就知道电子表。。外观还可以吧。。</t>
  </si>
  <si>
    <t>久违的海外购 赶上活动买一个，感觉应该是正品。但是为什么又没有发票！这次赶着活动，弄个了prime会员试用，结果买了两件东西，一个国内购，一个海外购，居然都没有发票，这是什么操作啊。东西看着还可以，但是不知道为什么瓶子里有小颗粒，干燥剂漏了。。。这真的无法想象，这究竟是质量问题还是什么问题呢，而且干燥剂的包装上写有中文，其余地方都没有，异常费解。</t>
  </si>
  <si>
    <t>做工一般 不知道为啥，感觉做工没有以前的好了，纯棉的，穿了几个月，已经有几条都坏了点了。以后买莫代尔的会舒服些</t>
  </si>
  <si>
    <t>产地非德国 特意海外淘德国下单更贵的，结果到手的还是英国制造的，有点郁闷！不过外包装倒是没问题…有纸箱套着无破损！</t>
  </si>
  <si>
    <t>Beyerdynamic DT 240 Pro耳机很不错 已使用过400小时，音质很好，大品牌，质量好，物超所值。唯一的小缺憾是佩戴不是很舒适，有些夹头，耳垫太软，金属夹子又紧，耳廓贴到了耳机内侧。这一点要向日系耳机学一下。</t>
  </si>
  <si>
    <t>去污效果不错 平心而论，去污效果是不错的，但是还达不到直接洗净水蛋碗的程度啊</t>
  </si>
  <si>
    <t>好u盘 速度稳定 很好 一点没毛病</t>
  </si>
  <si>
    <t>很好很满意，尺寸很合适。 很好很满意，尺寸很合适。</t>
  </si>
  <si>
    <t>好 做工精细。</t>
  </si>
  <si>
    <t>好 品牌服饰，品质优良，略小</t>
  </si>
  <si>
    <t>非常合适 简直不能再棒，非常合适，质量非常好</t>
  </si>
  <si>
    <t>还不错 还不错</t>
  </si>
  <si>
    <t>耳机很棒 包装很简单，耳机直接装在未封口的纸盒里，但能用这个价格买到DT770pro,十分划算。耳机声音很好，三频衔接自然不刺耳，声场在封闭耳机中很出色，上放之后动态犀利，直推也不出恶声。目前发现的缺点是6.35转换头和3.5插头连接不太好。</t>
  </si>
  <si>
    <t>购入三天，分秒不差 这款表真是超值了，购入三天分秒不差，据说误差5-25秒都是正常的，但我这个基本没什么误差，有点难以置信，可能是运气好，中奖了。</t>
  </si>
  <si>
    <t>啥标题 身高172 体型中等 要买S</t>
  </si>
  <si>
    <t>喜欢 期待了很久，终于买到了，以前想着买这款耳机送给喜欢的人作毕业礼物，现在，是送给我自己。还是很喜欢，名副其实</t>
  </si>
  <si>
    <t>外观漂亮 感觉不错，就是要配个转换插头，并且要能支持大功率的</t>
  </si>
  <si>
    <t>超美的一款灯 超喜欢，希望蓄电久一点。</t>
  </si>
  <si>
    <t>布料厚实 按英寸号略宽松了点。布料厚实，做工中规中矩。</t>
  </si>
  <si>
    <t>Lee 男士现代系列极限运动修身直筒牛仔裤 Theo 34W x 32L ... 身高181CM 体重92KG 34W32L很合身，有弹性，不是紧身款。拉链金属的，质地不太好，图片拍摄时补光，实际有轻微色差。总体很满意！裤长如果能再长1公分就好了。</t>
  </si>
  <si>
    <t>海淘划算 帮同事买的，已经是第二次了。会员，连税180左右</t>
  </si>
  <si>
    <t>比较满意 本以为要等很久，没想到很快就到了。东西没什么问题，没气味，包装也完好。</t>
  </si>
  <si>
    <t>合身 价格也OK，就是比较薄。</t>
  </si>
  <si>
    <t>使用感受 看很多人推荐犬印的骨盆带，效果还是有的，重在坚持！站着和走路的时候带不错，坐着就带不了，躺着带又不够舒服。我屁股比较多肉，感觉都被压扁了。臀围孕前94，现在98，L码带起来很合适。在亚马逊买还是很值的，包裹寄来的时候很完好无损。</t>
  </si>
  <si>
    <t>性价比高 给NAS用，很划算！</t>
  </si>
  <si>
    <t>内衣 爱起静电，穿着舒服，</t>
  </si>
  <si>
    <t>精准省心 走时精准，调好以后不需要操心电池续航。表盘不算大，适合夏天上班时用。</t>
  </si>
  <si>
    <t>面霜 比想象中好太多了，这么一大只，好评</t>
  </si>
  <si>
    <t>比想象的薄 比想象的薄，是夏天穿的裤子，现在穿冷了，健身房穿不错，就是不知道会不会起球，165，55kg，s 码</t>
  </si>
  <si>
    <t>时间走得不准 时间走两天会慢4到5分钟。几天后都要调日历，</t>
  </si>
  <si>
    <t>发错货物 送的货和图片不一致，是女版的</t>
  </si>
  <si>
    <t>韩国产 是韩国产的，和在加拿大买的质量有点不同，而且标签好扎人</t>
  </si>
  <si>
    <t>感觉像是奥特莱斯版本的，很廉价 原来在美国LEE官网上海淘过好多条，最近减肥成功，原来的都肥了，看见亚马逊能直接购买，图省事就买了两条，结果到手以后很令人失望，面料的手感比从官网上直接购买来的差的很远，做工也很粗糙。如果不是假货的话，感觉就是奥特莱斯版本的。本来想退货，又觉得很麻烦，亚马逊又不一定认可退货理由。算了吧，凑活穿。建议购买的人慎重考虑！</t>
  </si>
  <si>
    <t>穿着不舒服！ 大小合适，但面料较厚，穿着很不舒服！</t>
  </si>
  <si>
    <t>次品，再也不买日本亚马逊发货的 买回来几天，盖子里的密封塞那快就用掉出来，一盖上盖子就掉出来！质量太差，严重怀疑是次品。</t>
  </si>
  <si>
    <t>还不错 很薄很轻很舒适 都有点像睡裤了 而且裤腿太长了</t>
  </si>
  <si>
    <t>做工不错，价格偏贵 看不出产地，外观不错，功能件设计的简洁实用，价格偏贵了些。</t>
  </si>
  <si>
    <t>小了点 168cm,70公斤。m号小了，</t>
  </si>
  <si>
    <t>太差了 买了2个月不到就坏了，国内不知道还能不能保修，呵呵</t>
  </si>
  <si>
    <t>客服很给力，积极协助解决问题，商品基本符合预期 客服很给力，积极解决问题，商品基本符合预期</t>
  </si>
  <si>
    <t>很好 很好，虽然外包装压扁了，但里面都是好好的。</t>
  </si>
  <si>
    <t>还可以，又买了 182 80公斤，稍微有点大</t>
  </si>
  <si>
    <t>很舒服 很满意这款鞋子，舒服码子合适，</t>
  </si>
  <si>
    <t>做工精细用料考究 日本🇯🇵版的虽然贵点，但质量做工真心不错</t>
  </si>
  <si>
    <t>材质 袖子长，软，完美，最爱</t>
  </si>
  <si>
    <t>很好 性价比不错</t>
  </si>
  <si>
    <t>不错的体验 以前在美亚买过，质量很好；这次中亚海外购，很方便，速度也快。</t>
  </si>
  <si>
    <t>孩子用，说好！ 英制插头得找合适的插座，好用，充电快！价格比国内便宜！</t>
  </si>
  <si>
    <t>小朋友爱喝 大概半个多月时间收到的，两位小朋友都爱喝，算是没白买。打算喝完再来买</t>
  </si>
  <si>
    <t>很超值的桌面监听 这个价位的听过很多，这箱子没啥特别厉害的地方，表现很均衡，唯一不满的就是低音丰满得有点过了。要是能少点丰满度，增加点层次感就一流了。 总结而言，超值！</t>
  </si>
  <si>
    <t>不错 东西还是不错，物美价廉</t>
  </si>
  <si>
    <t>相当赞的夹克~~~ 175  69买的M号，里面搭件较厚卫衣完美驾驭~平时健身，上身看起来相当赞~</t>
  </si>
  <si>
    <t>轻便 轻便 做工不错，这大小是我想要的！ 包装超稳妥，包包保护得很好，不愧是日亚！赞👍</t>
  </si>
  <si>
    <t>第二桶了 对增肌有帮助，继续!</t>
  </si>
  <si>
    <t>还不错 挺好的，面料也挺舒服</t>
  </si>
  <si>
    <t>可以 牙刷毛软，就是刷头太大了，比上次买的还大</t>
  </si>
  <si>
    <t>ecco还是真的屌啊 第一双爱步，除了到手后发现一些不碍事的小瑕疵，以及高帮鞋穿脱稍有费时外，综合感觉非常完美，皮质细腻柔滑似美人肌肤。鞋底完全一体化且轻比运动鞋，舒适度满满。</t>
  </si>
  <si>
    <t>还不错 德国工艺，很精致，不过笔真的很短啊！还有笔尖真的很软弹，写字不太适应，可能对于写字功底好的人更适合吧，慢慢磨合吧，希望能够人笔合一！</t>
  </si>
  <si>
    <t>实用且好看 出差使用的。杯子自重比较轻，装水量合适，大小也比较适合装在手提包里面</t>
  </si>
  <si>
    <t>很多瑕疵 好几根笔芯里面有杂质其中有一根木头断了</t>
  </si>
  <si>
    <t>褪色 合体，但褪色严重。希望耐用</t>
  </si>
  <si>
    <t>还不错 大小还合适。料子也不错。就是HUGO的logo是反的。感觉好奇怪。</t>
  </si>
  <si>
    <t>读写速度达不到标称值，发热严重 读写速度达不到标称值，发热严重</t>
  </si>
  <si>
    <t>"WHITE"?" BLACK"? 喜欢它的款式，但发错了颜色！颜色！颜色！ 居然外包装上还是“WHITE”的标签！错得离谱。</t>
  </si>
  <si>
    <t>假货无疑 像劣质雨衣，假货，太明目张胆了吧</t>
  </si>
  <si>
    <t>合适 是薄款的，天热穿正好，还行</t>
  </si>
  <si>
    <t>四星 很不错，适合涂全身大人一起用。</t>
  </si>
  <si>
    <t>滤芯有破损 不知道怎么运输的，那么硬的壳都能打破一个，弄得粉末到处洒</t>
  </si>
  <si>
    <t>太大 鞋子不错 就是太大了 比阿迪达斯的39码大很多</t>
  </si>
  <si>
    <t>中西宝贝代理的 在海外购下的单，发过来却是什么中西宝贝的代理商。。没太明白海外购，在美亚上没找到这个价格的。有淡淡的异香，不知是否特意加的。儿子第一天比较爱玩，第二天就怎么也不玩了，直接扔。</t>
  </si>
  <si>
    <t>使用便利 使用很便利，研磨婴儿食物非常方便</t>
  </si>
  <si>
    <t>舒服 无痕不勒 棉质柔软舒适 一直都是穿无骨的内衣，平时穿75b.码数刚好</t>
  </si>
  <si>
    <t>表盘非常薄，很时尚很漂亮，不足的是镜面太容易留下指印，还有就是纯黑虽好，但光线一暗实在是看不到时间呀！！ 表盘非常薄，很时尚很漂亮，不足的是镜面太容易留下指印，还有就是纯黑虽好，但光线一暗实在是看不到时间呀！！</t>
  </si>
  <si>
    <t>掉色 纯棉的材质上身很舒服，但是掉色有点严重</t>
  </si>
  <si>
    <t>非常好，值得推荐！ 非常好和袜子，穿着舒适，质量上乘</t>
  </si>
  <si>
    <t>味道太重了，有点难闻 味道有点重，耳机看着精致，但是我无法鉴定真假，应该真的吧。保修卡包装袋上的透明胶开启过，有个小折角。不知道会不会是别人退回来的。耳机听起来比苹果原装耳机好一点。耳机线是真的廉价啊。</t>
  </si>
  <si>
    <t>水洗牙线 大中小三个模式，可能才使用，目前只能适应low模式。好用！速度超级快！</t>
  </si>
  <si>
    <t>本来是买3.5L的，结果下错单选择了2.4L，为什么总避免不了手误。 本来是买3.5L的，结果下错单选择了2.4L，为什么总避免不了手误。</t>
  </si>
  <si>
    <t>很好的钢笔 这下安逸了，还愿了，只是还觉得不够粗，准备再买了b尖的，日本钢笔21k阻尼大，我喜欢</t>
  </si>
  <si>
    <t>不错 老人吃了有效果，还会再买</t>
  </si>
  <si>
    <t>工作电压是220伏吗？ 产品描述没有告知工作电压，不然买回国内烧了。</t>
  </si>
  <si>
    <t>好评 七百出头，实际容量3.6多些，存储也蛮快，很满意。</t>
  </si>
  <si>
    <t>正品 怕买到假货，试了一下，戴了两年了，果然是真货，走时比较精准，没有出过问题。</t>
  </si>
  <si>
    <t>满意 之前买过一双白色，耐克穿8这双偏小买的8.5，十分合适，预计两周收到，结果一周就到了，速度不错，满分</t>
  </si>
  <si>
    <t>无 很好看！很喜欢！幸亏买大一码，穿着正好</t>
  </si>
  <si>
    <t>还行吧 看了评论过高的估计了自己的一身材，买的S号小了，留给家里人穿。量了一下，衣服胸围106cm，腹围87cm，衣长63cm，袖长63cm，给大家一个参考。又买了一件大号的，身高161cm体重60公斤，年纪大了不喜欢紧身的，L号大小合适，上身后感觉舒适，袖子长了点，蓝色的没有灰色的好看，将衣服平铺量了一下，L号胸围112cm，腹围102cm，衣长65cm，袖长65cm。</t>
  </si>
  <si>
    <t>日本产三荣洗发抽拉水栓 虽然大部份材料都是塑料制造的，但做工精细，转动时三个档位有明显感觉，物有所值。进水管短的问题很好解决，感觉到没有有些人讲的那么复杂。我是去百安居买了二根外丝不锈钢编织软管装上便是，（即一头是外螺纹一头是内螺纹）螺纹就是国标4分的。</t>
  </si>
  <si>
    <t>鞋型偏瘦，6uk适合39脚，价格不错 收到时鞋子完好，没有划痕，试了一下，39的脚，看了评论买了6uk，宽度稍紧，长了1厘米多点，鞋子看着很长，舒适度还可以，鞋面皮子很软，试完发现鞋面有轻微折痕，满意价格，专柜打完折1000多点，这个到手420多，另外专柜没有大码。</t>
  </si>
  <si>
    <t>理发神器 很好用，超方便！</t>
  </si>
  <si>
    <t>很满意 比国内买便宜一百多，很好，就是显脚长</t>
  </si>
  <si>
    <t>尺码对照表严重误导 鞋子质量和物流没得说，亚马逊还是值得信赖的，最生气的是尺码对照表太误导人了，兼职大的离谱，希望能有改进</t>
  </si>
  <si>
    <t>产品的表面材质好吸灰 产品传输速度还不错，不过表面使用的材质太吸灰了，一直黏在上面，这点有点不爽！</t>
  </si>
  <si>
    <t>用了十几天杯盖就坏了，请问是否有单独的杯盖套件买呢 用了十几天杯盖就坏了，请问是否有单独的杯盖套件买呢</t>
  </si>
  <si>
    <t>两次购买的M号大小不一样 5月买了一次M号，尺码正好，8月又买了一次，选择的一样的衣服一样的尺码，居然衣服长出了超过五公分，可衣服上写的尺码还是M，这也太扯了吧！</t>
  </si>
  <si>
    <t>鞋子严重偏大。 穿了快两个月了，首先鞋子很沉！！平时36瘦脚，买的4M的，大太多了，我垫了两双鞋垫穿最后的袜子才刚好，想换其他尺码发现都没货，将就穿。我都是下雨下雪穿，这样鞋子不会进水，踩起来放心。</t>
  </si>
  <si>
    <t>这个手表能换电池吗？ 昨天下的定单，今天就送到了，JOYO送货还真快。整体感觉还是不错的，就是秒针走时好像对不准格！我想知道这个手表能换电池吗？看后盖不像能换的，好像拆开就装不上了？谁换过电池？</t>
  </si>
  <si>
    <t>还行 衣服还行，classic Fit适合有啤酒肚的男士穿，平台身材的还是slim版本的吧!</t>
  </si>
  <si>
    <t>166 53kg 穿s的很肥。。。海淘换货不易，互相提供参考。。。 不是纯黑色，肥肥的，不过忽略美观性的话也可以穿。。。穿起来里面的绒绒会稍微成团的凋落，清洗轻微掉色，束脚口也比较肥，基本用不到弹性，不过比牛仔裤暖和。</t>
  </si>
  <si>
    <t>非常粗 粗……巨粗……加强版的M……根本不是EF</t>
  </si>
  <si>
    <t>。 正。脚感没得挑，反馈牛逼。我nike跑鞋穿44.5，这双这个码有一点大，但还能穿。</t>
  </si>
  <si>
    <t>值得购买的一款硬盘，好东西 价格实在，配送也挺快。试用了一下，没有声音，1.4g的文件就用了30秒不到，飞快。一句话，好东西！</t>
  </si>
  <si>
    <t>非常满意 非常好用，和原装的刷头没有任何区别，而且这个价格也很实惠，买一次可以总好久好久，物流也很块，非常满意的一次购物</t>
  </si>
  <si>
    <t>质感很好，感觉不错，值得购买 质感很好，感觉不错，值得购买</t>
  </si>
  <si>
    <t>质量不过，大小合适 质量不过，大小合适</t>
  </si>
  <si>
    <t>很满意的一次购买 欧码可能略大一点，可以忽略，穿起来很舒服，脚底也很舒适。包装是全新。包装盒没有烂，顺丰快递很满意。</t>
  </si>
  <si>
    <t>推荐购买 非常赞！号码合适，一点也不磨脚，穿起来很轻便，颜色也很好看。</t>
  </si>
  <si>
    <t>满意 版型很好，鞋垫比较滑和硬，自己更换后舒服多了</t>
  </si>
  <si>
    <t>很大瓶的钙片 等了近一个才收到，很大瓶应该可以吃很久。</t>
  </si>
  <si>
    <t>物流很快 很舒服，确实不错，没想到物流很快，比预先安排快了太多</t>
  </si>
  <si>
    <t>正品 不错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</si>
  <si>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满意 很不错，目前穿不了，剖腹产要等伤口完全愈合才能穿！尺寸选择可以小一码，出了月子应该就正合适！</t>
  </si>
  <si>
    <t>性价比高 这个价格买还是挺划算的 夜光很帅</t>
  </si>
  <si>
    <t>虎牌 粉色很可爱，质量很好。日亚的快递包装真扎实。</t>
  </si>
  <si>
    <t>真皮很柔软，斯洛伐克产的 东西是真皮的，很软，尺码很准确，最嗲的是鞋内自带半码增高垫，很灵的，穿在脚上很舒服，老婆很喜欢，价格比国内专柜便宜的不是一点点。</t>
  </si>
  <si>
    <t>很好 这个完全是囤货，价格很优惠。。。。</t>
  </si>
  <si>
    <t>非常不错 女鞋男穿，参考了之前的买家，本人穿耐克跑步鞋是40码，这双女鞋选的8.5M，脚趾留有合适的位置，可以说长短合适的，就是刚穿有一点点的窄，过一段时间应该会更好。脚胖的人要选W的。不过鞋型真心好看，把铁片去掉完全和男款差别不大。防水也试过了，很赞！！！</t>
  </si>
  <si>
    <t>很不错 第一次买，感觉还可以</t>
  </si>
  <si>
    <t>不错，值得买 第二次购买了，我觉得这皮带还不错，选的尺寸也刚好。过了十几天还退了税费</t>
  </si>
  <si>
    <t>售后怎么搞？ 挺舒服的感觉但是现在有个问题 就是螺丝掉了两个 我想问怎么处理</t>
  </si>
  <si>
    <t>喝了增肌效果不错 喝这款蛋白粉已有半年多了，增肌效果比较明显，在亚马逊海外店购买比较放心，需继续努力！</t>
  </si>
  <si>
    <t>穿着舒适 面料微弹，穿着'感觉很舒适</t>
  </si>
  <si>
    <t>面料太硬 面料太硬了，像帆布做的。有人说洗一下就好一些，但愿如此。海外购，退起来费劲，将就用吧。</t>
  </si>
  <si>
    <t>遗憾 产品本身没有问题，外形也酷，包裹性很好，唯一是亚马逊质控出了问题，连续两双出现了严重的损伤，退货了，有保价权利，择机再买</t>
  </si>
  <si>
    <t>碎了一个碗怎么办？ 碗很好，很喜欢。但第一个碎的，外面看包装都很好，好像邮寄出来前就碎了。</t>
  </si>
  <si>
    <t>退货经历 我黑色同款穿41的，这个就有点小。退货了，六百多买的鞋，最后只返回258.65，其余的都扣运费了，一次惨痛的购物体验</t>
  </si>
  <si>
    <t>包装简陋，质量一般 本来是想要送人的礼物，怎么能连个盒子都没有？包装粗糙就一个塑料袋，腰带质量看起来✌️一般般，不知道还以为是个假的😰 首次差评，太让人尴尬了</t>
  </si>
  <si>
    <t>不要买 我这个产品有问题，之前用过另外一款挺准的，这次新产品误差很大，耽误宝宝治疗了，深恶痛绝，差1.4°，太可恨了。</t>
  </si>
  <si>
    <t>保修问题 夹耳问题我觉得这种耳机都这样吧。另外我好像听不出传说中的好音质</t>
  </si>
  <si>
    <t>偏长，不知如何区分是否专柜正品 国内品牌运动鞋平常穿42码，脚长260mm，应该根据尺码表的脚长买比较合适，US8.5有些大，感觉质量还可以，不知道如何区分是否专柜正品</t>
  </si>
  <si>
    <t>尺码很准 修身 180/80kg  W33-L32大小完美 尺码很准  布面是磨毛感觉的  整体很修身 甚至一点点紧身  很低腰 供参考</t>
  </si>
  <si>
    <t>感觉被使用过啊 笔很好，也很喜欢，但是为什么我拆封后用温水清洗，出来了几点蓝色水？笔盒也不是密封包装的！</t>
  </si>
  <si>
    <t>尺码合适 鞋子刚好合脚，平时穿35，鞋面有点瑕 疵，有块泛白，边缘也有胶水的痕迹</t>
  </si>
  <si>
    <t>原装好用 原装正品，质量好，价格合适。</t>
  </si>
  <si>
    <t>实用至上 挺好的 用了两周 每天半小时到一小时 昨天才充第一次电 办公室用 降不降噪没所谓 也不夹耳 蓝牙距离10米没问题 总体很好</t>
  </si>
  <si>
    <t>物有所值，顺丰快递 很满意，顺丰到家。字母那里有瑕疵。不过这个价格也已经很满意，以后还会继续买的</t>
  </si>
  <si>
    <t>很不错的手表 做活动的时候买了，历经11天到了我的手上，很惊喜。各方面都很好，我是做工程检测的，经常要去试验室，接触到灰、水很多，这款表太适合我了</t>
  </si>
  <si>
    <t>硬盘还行，包装太简陋 德国过来的硬盘包装还这么简陋啊，不过好在东西没出问题，😁测了一下速度大概120MB左右，亚马逊黑五价格真心不错</t>
  </si>
  <si>
    <t>带汤用 保温性超强，价格跟日本当地买也差不多了，每周喝汤必备</t>
  </si>
  <si>
    <t>保暖 轻巧方便，很保温，颜色也是很爱</t>
  </si>
  <si>
    <t>皮带手感不错 2尺八腰围买100的大了一点点，腰带是意大利制造</t>
  </si>
  <si>
    <t>还不错哦 突尼斯产的 看起来还不错 从阿姆斯特丹到上海竟然只用了两天 它是坐飞机来的吗</t>
  </si>
  <si>
    <t>不错 帮朋友买的 但是要买个转换器才能在国内用</t>
  </si>
  <si>
    <t>很经典的一块时间利器 总体来说很满意，唯一的遗憾就是反显的可读性实在是差了点意思 争取有机会再买一个小红圈正显</t>
  </si>
  <si>
    <t>比一般的肯定强，但是感觉也没什么作用 基本没怎么用，感觉再好的收腹产品都无用，</t>
  </si>
  <si>
    <t>标准声音，声音标准 感觉耳塞的声音，这就很接近终极了。</t>
  </si>
  <si>
    <t>非常满意 172/69，穿w32l30很合身，有点弹很舒服。</t>
  </si>
  <si>
    <t>质量 厚度适中，做工精良。</t>
  </si>
  <si>
    <t>合适 质量很不错，尺码也合适</t>
  </si>
  <si>
    <t>感受外企电商的售后服务，赞！ 第一次买Clarks的男鞋，没搞明白码，拦截办理了退货，遗憾，没有到手。不过，第一次感受亚马逊的售后服务，没有过的顾客体验，非常好的服务。</t>
  </si>
  <si>
    <t>三福霹雳马 很快的收到货，开心^ω^，断了一支白色的，别的都是完好的。如果海关税没有那么贵（140左右）那真是愉快的一次购物。</t>
  </si>
  <si>
    <t>为宝宝囤货，很实惠 为宝宝囤货，很实惠，</t>
  </si>
  <si>
    <t>好玩意 这个是真心不错，外观也够</t>
  </si>
  <si>
    <t>象工作服 178，78公斤，s号袖子身长合适，脖子紧。</t>
  </si>
  <si>
    <t>满满地廉价感 售价很廉价，事实也确实很廉价。抖起来薄铁片声音不绝于耳，表带卡口不紧会自动松脱。</t>
  </si>
  <si>
    <t>锅底变白了，外面变花了 给三星吧，没想象中那么好，按这个价钱都不知道是否算值？ 按说明开锅了，内侧还好，用猪皮擦完油亮油亮的，炒菜也没糊，我也是刻意多放了油。 锅外面就有点看着让人担忧，开锅之后，外面烧出来好多蓝花花。而且，锅底，很明显，外面的黑色保护层没了，变白了。两张照片对比很明显。锅底开锅后，和周围的颜色对比也很明显。 难道是残次品。。。</t>
  </si>
  <si>
    <t>产品真假不确定 衣服无水洗标，成分标签，很怀疑商品的真假，棉偏薄，偏硬，不知是否是纯棉</t>
  </si>
  <si>
    <t>鞋子后面大前面小 货在途中就降价了 客服说没有保价一说 拒收不退税费运费 好吧 那说鞋子 后面脚后跟大 要掉鞋似的 前面脚趾那却很窄 穿起来有点累 不太舒服</t>
  </si>
  <si>
    <t>为什么会这样 笔还是可以的，但是我没有想到笔芯居然是次品，不出水。是糊弄，还是整体质量问题</t>
  </si>
  <si>
    <t>怀疑参假 太假，硬，穿半小时就卡脚。</t>
  </si>
  <si>
    <t>不错 恰到好处</t>
  </si>
  <si>
    <t>跟图片的一个样 质量还是不错的,这种表就是轻,还有表盘小了一点点,不过这个价格还不错啦</t>
  </si>
  <si>
    <t>硬伤：鞋面鞋底车线胶合连接处无内衬隔离磨脚趾 有个硬伤，买的自己正常内长尺码，鞋面和鞋底车线连接，车线位置的鞋内没有任何填充物隔离车线和胶合位置，会导致无法避免的磨脚趾。Nike和Adidas这种车线连接结构的鞋都有内衬隔离连接处，这双puma偏偏没有不知道为什么。</t>
  </si>
  <si>
    <t>带碗盖，颜色很鲜艳 带碗盖，颜色很鲜艳。</t>
  </si>
  <si>
    <t>没什么问题 亚马逊威武~价格能再便宜点就更好了</t>
  </si>
  <si>
    <t>复查了下可能是正品 网上购物还是有风险，哎，这年头买啥都不放心。中国实在不知道该怎么吐槽真伪难辨</t>
  </si>
  <si>
    <t>做工精细质量不错 稍微大了一点，看起来很不错。</t>
  </si>
  <si>
    <t>漂亮 很喜欢，非常漂亮，自驾游作为水壶来用，喜欢象印内壁的涂层，干净好清洗</t>
  </si>
  <si>
    <t>好用又美丽 颜色好温柔，漂亮！算是好用，揉面团揉了很久，轻微发热。快递给力，绕了大半个地球，一周就到了，那么大那么重，还用的UPS，亚马逊的物流真是神级。</t>
  </si>
  <si>
    <t>不错，推荐 给娃用了一段时间电动牙刷，效果还不错。在亚马逊购买替换刷头，性价比高。不错。</t>
  </si>
  <si>
    <t>价格大小都挺合适的 171高，只有50公斤，买了S号</t>
  </si>
  <si>
    <t>又一次满意的海外购体验 剪裁时尚，尺码标准，价格比线下店要实惠不少</t>
  </si>
  <si>
    <t>好鞋 很好很强大，跑久了会觉得稍微有点重</t>
  </si>
  <si>
    <t>发货很快 靠谱 之前买了一个TOTO的厨房龙头 收到后觉得很不错 所以又买了一个花洒 ，后面还加了一个水池龙头。不得不说包装虽然不豪华但是很简约很棒，东西手感很棒</t>
  </si>
  <si>
    <t>最划算的购物 英国海外购没想到这么快就收到货，5天时间！我都开始怀疑是不是同城快递了！东西真好，高端大气。值得推荐</t>
  </si>
  <si>
    <t>好东西 不错，水流大，舒服，节水效果没做测试！</t>
  </si>
  <si>
    <t>不错 包装和图片不大一样，希望东西是一样的，毕竟是自营，应该不会错</t>
  </si>
  <si>
    <t>搅拌器 非常好用，我已经是第四次帮助家人和好友购买了。</t>
  </si>
  <si>
    <t>很满意 质量很好，大小合适</t>
  </si>
  <si>
    <t>比想象的颜色浅 还担心7uk是41呢，另外一双鞋可是41这款是40，亚马逊买东西点靠运气。</t>
  </si>
  <si>
    <t>还不错，中规中矩 中规中矩吧，穿着是真挺舒服，但是脚背高的联系买大一码</t>
  </si>
  <si>
    <t>感觉很棒 大小正合适，非常靓，明天就穿它了。</t>
  </si>
  <si>
    <t>内衣 很舒服，准备再买一件</t>
  </si>
  <si>
    <t>五星满分 这个碗无论做工还是造型就是儿童碗中之王 性价比也高 孩子特喜欢 买的很多其他的 只是大人觉得好看孩子并不喜欢</t>
  </si>
  <si>
    <t>超级棒 好喜欢质量好，品质保证功能齐全</t>
  </si>
  <si>
    <t>舒适 Ecco的鞋子买了几双了，不仅非常舒适合脚，还很耐穿，不会脱胶，鞋底防滑耐磨</t>
  </si>
  <si>
    <t>质量有问题 旁边全部脱胶，有明显的质量问题，慎入。</t>
  </si>
  <si>
    <t>太薄太肥，不太满意。 裤子有点薄，也很肥大，和我买的卫衣都是navy蓝，但看上去颜色也不匹配。不满意。</t>
  </si>
  <si>
    <t>I'm angry!!! Now I'm as elder to tell you something usefully:'Men Sheng Fa Da Cai',and more, to young too sample, sometimes naive! the package is broken,I'm angry!!! If the report is bias later, you will be respondance, and something  good is that logistical is very fast,I'm statisfied</t>
  </si>
  <si>
    <t>包装，正品？ 刚收货的时候这个包装很简陋，盖子都没盖紧，箱子里都是蛋白粉的粉末，拧开盖子都没有封口。让我有点怀疑是后面灌的粉</t>
  </si>
  <si>
    <t>压脚背！ 长度合适，无色差。 但是压脚背压的太疼太疼了，穿了这么久，还是只能穿半天，到了下午就非常疼</t>
  </si>
  <si>
    <t>30元地摊货水平 次到家了，sei买sei后悔！</t>
  </si>
  <si>
    <t>不错，物有所值 合身，但颜色比图片上浅多了。</t>
  </si>
  <si>
    <t>放心安全的卫生巾 这个品牌一直放心，快递也好快，一周就到了，一包还挺多的，比国内便宜</t>
  </si>
  <si>
    <t>质量做工好 穿着舒服，有韧性。做工也好。价格实惠</t>
  </si>
  <si>
    <t>偏小，式样老 物流挺快的，这个比较随机，不代表一般水平。尺码不能按照它所标称的来。比如，M号对应腰围是32-34，L是36-38，我平时裤子腰围是32，照理应该买M码，但看了其他人评论后，我选了L，正合适，甚至比我现在穿的还小一点点。产地：印度。材质感觉是一二十年前国产“三枪”使用的那种直纹的棉布，双腿收口也采用那时的方式，缝了一圈像卷边一样的同材质布料，不知道会不会像当年三枪一样越穿越大，最后松松垮垮，四处漏风。</t>
  </si>
  <si>
    <t>擦地机器人的评价 看了别人的好评下单的 到货后就后悔了 一是没有中文说明书.二是要备该品牌的专用擦布 欲退货却被告知德亚的商品需自行退货 想想麻烦 就自己用用算了 平心而论 这个擦地机器人质量还是不错的 工作时的声音也很轻 但工作效率很低 擦一次客厅要二个小时 干擦+湿擦起码半天时间 而且好多地方擦得不干净 真的不是很适用</t>
  </si>
  <si>
    <t>造型不错 活动时候买的六七十，甜甜的软糖，小孩子习惯</t>
  </si>
  <si>
    <t>皮质，鞋型不错 很好的鞋，皮质好，颜色不怎么看得出红，只有鞋头部分在阳光下能看到，这和预想的有点差距，不过也很好，低调，哈哈</t>
  </si>
  <si>
    <t>质量好，保暖，合脚 鞋子质量很好，也很暖和，零下十度的天老爸也一样穿出去~只是不是很防滑</t>
  </si>
  <si>
    <t>舒服 大龄佛系的选择 理智如我，特意选小一码M码数完全能hold住。估计L就偏大了。尺码表还是不太准的。那些什么聚拢就不要选择了。</t>
  </si>
  <si>
    <t>轻盈无负担 背部的设计好轻盈，值得入手！以后都穿这个</t>
  </si>
  <si>
    <t>满意 173身高68公斤L号很合适</t>
  </si>
  <si>
    <t>超喜欢～ 特别好用～看到第一眼就喜欢了～</t>
  </si>
  <si>
    <t>衣服不错 质量很好，3件，现在换着穿，估计别人看来我都不换衣服的</t>
  </si>
  <si>
    <t>不错，有点小瑕疵，可以接受。 一抽屉酷彩，哈哈中毒太深。</t>
  </si>
  <si>
    <t>很好，质量没有问题。建议购买 很好，质量没有问题。建议购买</t>
  </si>
  <si>
    <t>舒适 裁剪合身，轻微弹性，穿着十分舒服</t>
  </si>
  <si>
    <t>https://www.amazon.cn/dp/B00YP5X1TI/ref=cm_cr_ryp_prd_ttl_sol_0 很不错的一次海淘。 主要是看中样子。别的无所谓。快递很满意。</t>
  </si>
  <si>
    <t>好 偏瘦，长短正合适，性价比高</t>
  </si>
  <si>
    <t>123 老婆给满分，黑字比彩的时尚太多太多。。</t>
  </si>
  <si>
    <t>这件比较满意 这件比较令人满意，尺寸跟设计都可以</t>
  </si>
  <si>
    <t>质量不错，性价比高 质量不错，合身。165，110买的4号。</t>
  </si>
  <si>
    <t>果然很棒！ 非常满意的产品。便携、轻巧、精致。音质低频缺乏，煲机后看看能否提升。个人认为目前最好的无线头戴，没有之一。</t>
  </si>
  <si>
    <t>值得购买 妈妈说像以前的线袜，但是一点都不热，我是汗脚，穿有些袜子脚很臭，这个穿了一点都不臭，值得购买</t>
  </si>
  <si>
    <t>比较大 如果不是买来泡枸杞的话，这杯子太大了，不是很方便携带</t>
  </si>
  <si>
    <t>碧然德过滤芯 好，发货快</t>
  </si>
  <si>
    <t>最满意的内衣 衣服大小很适合，也很舒服，以后就选这牌子啦，国内大牌没法比！~</t>
  </si>
  <si>
    <t>冠军 还不错，就是有点薄，不知道产地是哪里？</t>
  </si>
  <si>
    <t>不错的鞋子 鞋子很好，偏窄一点点</t>
  </si>
  <si>
    <t>还有半年的保质期 2018年1月到保质期 买前考虑好</t>
  </si>
  <si>
    <t>样子不错，码数太大 我平时穿国内xxl的衣服，版小了还要穿xxxl的，这个我估计l的我就穿得下，xxl太肥了，感觉我胖到三百斤都撑不起来。。</t>
  </si>
  <si>
    <t>不建议购买 质量和质地真的是太差太差太差了……线头还特别多</t>
  </si>
  <si>
    <t>没售后，不要买 如题。 4个月不到，蓝牙连接不上了。 电话给亚马逊，告知海外淘不负责售后。 联系Marshall，发现海淘产品不能维修。 所以一句话。 不要买</t>
  </si>
  <si>
    <t>质感还行 偏小了点  两胯有点紧  感觉版型偏小的</t>
  </si>
  <si>
    <t>靴子偏大的 要买小一码 我平时255的运动鞋刚好，被人忽悠买了260的靴子还是加宽的。穿起来跟船一样啦。下次买250 正常宽度的就可以了。仅供参考。PS 鞋子很不错</t>
  </si>
  <si>
    <t>很棒的产品，已成为每日必做功课 冲牙器很棒，每天使用它清洁2次已成为每日必做功课，每次两水箱水冲得很干净。白色很漂亮，全球通用电压，使用方便。 唯一缺点：充一次电如果每天使用的话，只能用3-4天低电压灯就亮了提示充电，不知道是个例还是通病。</t>
  </si>
  <si>
    <t>需要慢慢煲的耳机 外观可以接受，佩戴也还舒适。至于声音，开声低音量过大而且散，简直不能直视，煲了一段时间了，现在有所好转。总之还是可以的</t>
  </si>
  <si>
    <t>收到的时候鞋盒完全烂的 收到的时候鞋盒完全烂的，不过里面的鞋看着像是新的，也只能这么想了</t>
  </si>
  <si>
    <t>不错的体验 第一次购买，速度还是可以，比预计的快，裤子尺寸很合适，质量不错，体验比较完美</t>
  </si>
  <si>
    <t>满意 东西很好，是自己想要的</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</si>
</sst>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row>
    <row r="2">
      <c r="A2" s="1">
        <v>2.0</v>
      </c>
      <c r="B2" s="1" t="s">
        <v>3</v>
      </c>
      <c r="C2" t="str">
        <f>IFERROR(__xludf.DUMMYFUNCTION("GOOGLETRANSLATE(B2, ""zh"", ""en"")"),"After not want to open up a second-hand opening, and the other dirty, this model can not connect a Bluetooth, can not see is not being used, the machine a try, do not know really easy to use")</f>
        <v>After not want to open up a second-hand opening, and the other dirty, this model can not connect a Bluetooth, can not see is not being used, the machine a try, do not know really easy to use</v>
      </c>
    </row>
    <row r="3">
      <c r="A3" s="1">
        <v>3.0</v>
      </c>
      <c r="B3" s="1" t="s">
        <v>4</v>
      </c>
      <c r="C3" t="str">
        <f>IFERROR(__xludf.DUMMYFUNCTION("GOOGLETRANSLATE(B3, ""zh"", ""en"")"),"Tight-fitting models, suitable for tall, thin type I 173,66kg, s tight code, only bottoming wear. Work in general, thread and more, beginning to wash will fade, and more to soak a few times.")</f>
        <v>Tight-fitting models, suitable for tall, thin type I 173,66kg, s tight code, only bottoming wear. Work in general, thread and more, beginning to wash will fade, and more to soak a few times.</v>
      </c>
    </row>
    <row r="4">
      <c r="A4" s="1">
        <v>1.0</v>
      </c>
      <c r="B4" s="1" t="s">
        <v>5</v>
      </c>
      <c r="C4" t="str">
        <f>IFERROR(__xludf.DUMMYFUNCTION("GOOGLETRANSLATE(B4, ""zh"", ""en"")"),"Capacity is not the same as the English do not like the subject, Chinese display capacity is 8t, bought before we know is 6t, could not buy things amazon")</f>
        <v>Capacity is not the same as the English do not like the subject, Chinese display capacity is 8t, bought before we know is 6t, could not buy things amazon</v>
      </c>
    </row>
    <row r="5">
      <c r="A5" s="1">
        <v>4.0</v>
      </c>
      <c r="B5" s="1" t="s">
        <v>6</v>
      </c>
      <c r="C5" t="str">
        <f>IFERROR(__xludf.DUMMYFUNCTION("GOOGLETRANSLATE(B5, ""zh"", ""en"")"),"Under the waist will roll under waist will roll, hot summer wear")</f>
        <v>Under the waist will roll under waist will roll, hot summer wear</v>
      </c>
    </row>
    <row r="6">
      <c r="A6" s="1">
        <v>5.0</v>
      </c>
      <c r="B6" s="1" t="s">
        <v>7</v>
      </c>
      <c r="C6" t="str">
        <f>IFERROR(__xludf.DUMMYFUNCTION("GOOGLETRANSLATE(B6, ""zh"", ""en"")"),"Satisfied with the size and almost home, 172m77 kg, 32 is appropriate, this is loose type, legs wider.")</f>
        <v>Satisfied with the size and almost home, 172m77 kg, 32 is appropriate, this is loose type, legs wider.</v>
      </c>
    </row>
    <row r="7">
      <c r="A7" s="1">
        <v>5.0</v>
      </c>
      <c r="B7" s="1" t="s">
        <v>8</v>
      </c>
      <c r="C7" t="str">
        <f>IFERROR(__xludf.DUMMYFUNCTION("GOOGLETRANSLATE(B7, ""zh"", ""en"")"),"Overseas cheap stuff is good stuff, is a bit long transport time. But also the value. Together with fast response speed, read speed, feel good.")</f>
        <v>Overseas cheap stuff is good stuff, is a bit long transport time. But also the value. Together with fast response speed, read speed, feel good.</v>
      </c>
    </row>
    <row r="8">
      <c r="A8" s="1">
        <v>5.0</v>
      </c>
      <c r="B8" s="1" t="s">
        <v>9</v>
      </c>
      <c r="C8" t="str">
        <f>IFERROR(__xludf.DUMMYFUNCTION("GOOGLETRANSLATE(B8, ""zh"", ""en"")"),"A good coat cold I have purchased an other brand shirt style jacket, very warm, so buy this color again. First of all, this is a shirt colors and styles of jackets, shirts in the traditional sense (can also be worn as a shirt), size coat is natural size. "&amp;"Secondly, this coat is definitely still wear underwear. It lamb in English, it is what we often say that the fleece. Third, this jacket will not play static, but it is best to wear cotton underwear. Suitable temperatures 5-15 degrees wearing this coat, ju"&amp;"st to wear a short-sleeved compassionate enough. Bangladesh manufacturing, quality can be.")</f>
        <v>A good coat cold I have purchased an other brand shirt style jacket, very warm, so buy this color again. First of all, this is a shirt colors and styles of jackets, shirts in the traditional sense (can also be worn as a shirt), size coat is natural size. Secondly, this coat is definitely still wear underwear. It lamb in English, it is what we often say that the fleece. Third, this jacket will not play static, but it is best to wear cotton underwear. Suitable temperatures 5-15 degrees wearing this coat, just to wear a short-sleeved compassionate enough. Bangladesh manufacturing, quality can be.</v>
      </c>
    </row>
    <row r="9">
      <c r="A9" s="1">
        <v>5.0</v>
      </c>
      <c r="B9" s="1" t="s">
        <v>10</v>
      </c>
      <c r="C9" t="str">
        <f>IFERROR(__xludf.DUMMYFUNCTION("GOOGLETRANSLATE(B9, ""zh"", ""en"")"),"Affordable, comfortable inexpensive, comfortable, will buy again")</f>
        <v>Affordable, comfortable inexpensive, comfortable, will buy again</v>
      </c>
    </row>
    <row r="10">
      <c r="A10" s="1">
        <v>5.0</v>
      </c>
      <c r="B10" s="1" t="s">
        <v>11</v>
      </c>
      <c r="C10" t="str">
        <f>IFERROR(__xludf.DUMMYFUNCTION("GOOGLETRANSLATE(B10, ""zh"", ""en"")"),"🐘 excellent printing quality has been tried, good results")</f>
        <v>🐘 excellent printing quality has been tried, good results</v>
      </c>
    </row>
    <row r="11">
      <c r="A11" s="1">
        <v>5.0</v>
      </c>
      <c r="B11" s="1" t="s">
        <v>12</v>
      </c>
      <c r="C11" t="str">
        <f>IFERROR(__xludf.DUMMYFUNCTION("GOOGLETRANSLATE(B11, ""zh"", ""en"")"),"Okay go before the evaluation, I do not know how many wasted points, points can change money now know, they should look carefully evaluated, then I put these words to copy to go, both to earn points, but also the easy way, where are copy where, most impor"&amp;"tantly, do not seriously review, do not think how much worse word, sent directly to it, recommend it to everyone! !")</f>
        <v>Okay go before the evaluation, I do not know how many wasted points, points can change money now know, they should look carefully evaluated, then I put these words to copy to go, both to earn points, but also the easy way, where are copy where, most importantly, do not seriously review, do not think how much worse word, sent directly to it, recommend it to everyone! !</v>
      </c>
    </row>
    <row r="12">
      <c r="A12" s="1">
        <v>5.0</v>
      </c>
      <c r="B12" s="1" t="s">
        <v>13</v>
      </c>
      <c r="C12" t="str">
        <f>IFERROR(__xludf.DUMMYFUNCTION("GOOGLETRANSLATE(B12, ""zh"", ""en"")"),"I feel good ah! Low may I ask, feeling just fine. 175,78 election M, are also quite suitable. Native American clothes more suitable for long-bodied people!")</f>
        <v>I feel good ah! Low may I ask, feeling just fine. 175,78 election M, are also quite suitable. Native American clothes more suitable for long-bodied people!</v>
      </c>
    </row>
    <row r="13">
      <c r="A13" s="1">
        <v>5.0</v>
      </c>
      <c r="B13" s="1" t="s">
        <v>14</v>
      </c>
      <c r="C13" t="str">
        <f>IFERROR(__xludf.DUMMYFUNCTION("GOOGLETRANSLATE(B13, ""zh"", ""en"")"),"Clothes line 175 75kg M number just good clothes are a bit thick")</f>
        <v>Clothes line 175 75kg M number just good clothes are a bit thick</v>
      </c>
    </row>
    <row r="14">
      <c r="A14" s="1">
        <v>5.0</v>
      </c>
      <c r="B14" s="1" t="s">
        <v>15</v>
      </c>
      <c r="C14" t="str">
        <f>IFERROR(__xludf.DUMMYFUNCTION("GOOGLETRANSLATE(B14, ""zh"", ""en"")"),"Very satisfied with the title written eight loaded, actually received was 12, we worry very affordable price, confirmation is genuine, you can buy")</f>
        <v>Very satisfied with the title written eight loaded, actually received was 12, we worry very affordable price, confirmation is genuine, you can buy</v>
      </c>
    </row>
    <row r="15">
      <c r="A15" s="1">
        <v>5.0</v>
      </c>
      <c r="B15" s="1" t="s">
        <v>16</v>
      </c>
      <c r="C15" t="str">
        <f>IFERROR(__xludf.DUMMYFUNCTION("GOOGLETRANSLATE(B15, ""zh"", ""en"")"),"8.15 am playing well! The disadvantage is small but tight left foot just right, and I was left-handed, really no way out")</f>
        <v>8.15 am playing well! The disadvantage is small but tight left foot just right, and I was left-handed, really no way out</v>
      </c>
    </row>
    <row r="16">
      <c r="A16" s="1">
        <v>5.0</v>
      </c>
      <c r="B16" s="1" t="s">
        <v>17</v>
      </c>
      <c r="C16" t="str">
        <f>IFERROR(__xludf.DUMMYFUNCTION("GOOGLETRANSLATE(B16, ""zh"", ""en"")"),"The quality of the clothes get our hands on a lot of new clothes to glue hair, very strange, I do not recommend buying")</f>
        <v>The quality of the clothes get our hands on a lot of new clothes to glue hair, very strange, I do not recommend buying</v>
      </c>
    </row>
    <row r="17">
      <c r="A17" s="1">
        <v>5.0</v>
      </c>
      <c r="B17" s="1" t="s">
        <v>18</v>
      </c>
      <c r="C17" t="str">
        <f>IFERROR(__xludf.DUMMYFUNCTION("GOOGLETRANSLATE(B17, ""zh"", ""en"")"),"Stylish hats stylish, comfortable wearing.")</f>
        <v>Stylish hats stylish, comfortable wearing.</v>
      </c>
    </row>
    <row r="18">
      <c r="A18" s="1">
        <v>5.0</v>
      </c>
      <c r="B18" s="1" t="s">
        <v>19</v>
      </c>
      <c r="C18" t="str">
        <f>IFERROR(__xludf.DUMMYFUNCTION("GOOGLETRANSLATE(B18, ""zh"", ""en"")"),"Fine workmanship, material good comfortable fit, very much.")</f>
        <v>Fine workmanship, material good comfortable fit, very much.</v>
      </c>
    </row>
    <row r="19">
      <c r="A19" s="1">
        <v>5.0</v>
      </c>
      <c r="B19" s="1" t="s">
        <v>20</v>
      </c>
      <c r="C19" t="str">
        <f>IFERROR(__xludf.DUMMYFUNCTION("GOOGLETRANSLATE(B19, ""zh"", ""en"")"),"Great 235mm, uk4 very appropriate, very good foot wear. Buy cherry red, produced in Vietnam, with yellow laces. 400+ start. Amazon's customer service is also great.")</f>
        <v>Great 235mm, uk4 very appropriate, very good foot wear. Buy cherry red, produced in Vietnam, with yellow laces. 400+ start. Amazon's customer service is also great.</v>
      </c>
    </row>
    <row r="20">
      <c r="A20" s="1">
        <v>5.0</v>
      </c>
      <c r="B20" s="1" t="s">
        <v>21</v>
      </c>
      <c r="C20" t="str">
        <f>IFERROR(__xludf.DUMMYFUNCTION("GOOGLETRANSLATE(B20, ""zh"", ""en"")"),"Artifact Artifact Artifact recommended by a friend, a twin sons who set up early to practice together, eat a few mouthfuls can own, we have just one year old")</f>
        <v>Artifact Artifact Artifact recommended by a friend, a twin sons who set up early to practice together, eat a few mouthfuls can own, we have just one year old</v>
      </c>
    </row>
    <row r="21">
      <c r="A21" s="1">
        <v>5.0</v>
      </c>
      <c r="B21" s="1" t="s">
        <v>22</v>
      </c>
      <c r="C21" t="str">
        <f>IFERROR(__xludf.DUMMYFUNCTION("GOOGLETRANSLATE(B21, ""zh"", ""en"")"),"Writing a dollar an easy to use, beads heart a million times better than the dawn of")</f>
        <v>Writing a dollar an easy to use, beads heart a million times better than the dawn of</v>
      </c>
    </row>
    <row r="22">
      <c r="A22" s="1">
        <v>5.0</v>
      </c>
      <c r="B22" s="1" t="s">
        <v>23</v>
      </c>
      <c r="C22" t="str">
        <f>IFERROR(__xludf.DUMMYFUNCTION("GOOGLETRANSLATE(B22, ""zh"", ""en"")"),"Okay wore a short-sleeved or long-sleeved T-shirt Slim just good, then freshman yards estimated to be slightly loose a little! Just do not know is not genuine")</f>
        <v>Okay wore a short-sleeved or long-sleeved T-shirt Slim just good, then freshman yards estimated to be slightly loose a little! Just do not know is not genuine</v>
      </c>
    </row>
    <row r="23">
      <c r="A23" s="1">
        <v>5.0</v>
      </c>
      <c r="B23" s="1" t="s">
        <v>24</v>
      </c>
      <c r="C23" t="str">
        <f>IFERROR(__xludf.DUMMYFUNCTION("GOOGLETRANSLATE(B23, ""zh"", ""en"")"),"With sports and leisure pants. Shoe size can receive, is the point Pianzhai")</f>
        <v>With sports and leisure pants. Shoe size can receive, is the point Pianzhai</v>
      </c>
    </row>
    <row r="24">
      <c r="A24" s="1">
        <v>5.0</v>
      </c>
      <c r="B24" s="1" t="s">
        <v>25</v>
      </c>
      <c r="C24" t="str">
        <f>IFERROR(__xludf.DUMMYFUNCTION("GOOGLETRANSLATE(B24, ""zh"", ""en"")"),"Dark clothes fall and winter wild wild section")</f>
        <v>Dark clothes fall and winter wild wild section</v>
      </c>
    </row>
    <row r="25">
      <c r="A25" s="1">
        <v>5.0</v>
      </c>
      <c r="B25" s="1" t="s">
        <v>26</v>
      </c>
      <c r="C25" t="str">
        <f>IFERROR(__xludf.DUMMYFUNCTION("GOOGLETRANSLATE(B25, ""zh"", ""en"")"),"Good pants are very appropriate size marked accurately.")</f>
        <v>Good pants are very appropriate size marked accurately.</v>
      </c>
    </row>
    <row r="26">
      <c r="A26" s="1">
        <v>5.0</v>
      </c>
      <c r="B26" s="1" t="s">
        <v>27</v>
      </c>
      <c r="C26" t="str">
        <f>IFERROR(__xludf.DUMMYFUNCTION("GOOGLETRANSLATE(B26, ""zh"", ""en"")"),"Good quality is a little expensive, with hot dishes or porridge is very rapid cooling, as well as a lunch box with cover for outdoor use, orange is very beautiful.")</f>
        <v>Good quality is a little expensive, with hot dishes or porridge is very rapid cooling, as well as a lunch box with cover for outdoor use, orange is very beautiful.</v>
      </c>
    </row>
    <row r="27">
      <c r="A27" s="1">
        <v>5.0</v>
      </c>
      <c r="B27" s="1" t="s">
        <v>28</v>
      </c>
      <c r="C27" t="str">
        <f>IFERROR(__xludf.DUMMYFUNCTION("GOOGLETRANSLATE(B27, ""zh"", ""en"")"),"Deserve to have good running shoes, very satisfied.")</f>
        <v>Deserve to have good running shoes, very satisfied.</v>
      </c>
    </row>
    <row r="28">
      <c r="A28" s="1">
        <v>2.0</v>
      </c>
      <c r="B28" s="1" t="s">
        <v>29</v>
      </c>
      <c r="C28" t="str">
        <f>IFERROR(__xludf.DUMMYFUNCTION("GOOGLETRANSLATE(B28, ""zh"", ""en"")"),"Suitable this brand briefs I bought a little code, buy big yards on four corners of the appropriate material is very comfortable to wear in summer, 71 kg high-173")</f>
        <v>Suitable this brand briefs I bought a little code, buy big yards on four corners of the appropriate material is very comfortable to wear in summer, 71 kg high-173</v>
      </c>
    </row>
    <row r="29">
      <c r="A29" s="1">
        <v>3.0</v>
      </c>
      <c r="B29" s="1" t="s">
        <v>30</v>
      </c>
      <c r="C29" t="str">
        <f>IFERROR(__xludf.DUMMYFUNCTION("GOOGLETRANSLATE(B29, ""zh"", ""en"")"),"Hemming bad handkerchief soft, but edging rough work")</f>
        <v>Hemming bad handkerchief soft, but edging rough work</v>
      </c>
    </row>
    <row r="30">
      <c r="A30" s="1">
        <v>1.0</v>
      </c>
      <c r="B30" s="1" t="s">
        <v>31</v>
      </c>
      <c r="C30" t="str">
        <f>IFERROR(__xludf.DUMMYFUNCTION("GOOGLETRANSLATE(B30, ""zh"", ""en"")"),"False false impression that I bought the spoon and fork length are not the same, not the same color and could not be opened back")</f>
        <v>False false impression that I bought the spoon and fork length are not the same, not the same color and could not be opened back</v>
      </c>
    </row>
    <row r="31">
      <c r="A31" s="1">
        <v>4.0</v>
      </c>
      <c r="B31" s="1" t="s">
        <v>32</v>
      </c>
      <c r="C31" t="str">
        <f>IFERROR(__xludf.DUMMYFUNCTION("GOOGLETRANSLATE(B31, ""zh"", ""en"")"),"Also two shoulder straps, shoulder strap Flanagan fine sutures to do bad, but fortunately did not intend to use! Leather no big taste")</f>
        <v>Also two shoulder straps, shoulder strap Flanagan fine sutures to do bad, but fortunately did not intend to use! Leather no big taste</v>
      </c>
    </row>
    <row r="32">
      <c r="A32" s="1">
        <v>4.0</v>
      </c>
      <c r="B32" s="1" t="s">
        <v>33</v>
      </c>
      <c r="C32" t="str">
        <f>IFERROR(__xludf.DUMMYFUNCTION("GOOGLETRANSLATE(B32, ""zh"", ""en"")"),"OK 1, or some chuck, or the most comfortable in-ear 2, more balanced sound quality, each part 3 are relatively clear, the price is slightly higher, the sound quality is not recommended for purchase")</f>
        <v>OK 1, or some chuck, or the most comfortable in-ear 2, more balanced sound quality, each part 3 are relatively clear, the price is slightly higher, the sound quality is not recommended for purchase</v>
      </c>
    </row>
    <row r="33">
      <c r="A33" s="1">
        <v>4.0</v>
      </c>
      <c r="B33" s="1" t="s">
        <v>34</v>
      </c>
      <c r="C33" t="str">
        <f>IFERROR(__xludf.DUMMYFUNCTION("GOOGLETRANSLATE(B33, ""zh"", ""en"")"),"Comfort soles hard, the other ok. Number small one yard to one yard half.")</f>
        <v>Comfort soles hard, the other ok. Number small one yard to one yard half.</v>
      </c>
    </row>
    <row r="34">
      <c r="A34" s="1">
        <v>4.0</v>
      </c>
      <c r="B34" s="1" t="s">
        <v>35</v>
      </c>
      <c r="C34" t="str">
        <f>IFERROR(__xludf.DUMMYFUNCTION("GOOGLETRANSLATE(B34, ""zh"", ""en"")"),"It is generally too loud, too loud")</f>
        <v>It is generally too loud, too loud</v>
      </c>
    </row>
    <row r="35">
      <c r="A35" s="1">
        <v>5.0</v>
      </c>
      <c r="B35" s="1" t="s">
        <v>36</v>
      </c>
      <c r="C35" t="str">
        <f>IFERROR(__xludf.DUMMYFUNCTION("GOOGLETRANSLATE(B35, ""zh"", ""en"")"),"Good good fabric, cut is right, is not Slim")</f>
        <v>Good good fabric, cut is right, is not Slim</v>
      </c>
    </row>
    <row r="36">
      <c r="A36" s="1">
        <v>5.0</v>
      </c>
      <c r="B36" s="1" t="s">
        <v>37</v>
      </c>
      <c r="C36" t="str">
        <f>IFERROR(__xludf.DUMMYFUNCTION("GOOGLETRANSLATE(B36, ""zh"", ""en"")"),"AIU good delivery is too slow, waited four or five days, but the logistics very good, 7 days after the arrival of AIU delivery, much faster than the speed of all kinds of transport, good customer service attitude Central Asia. Banana received to see the p"&amp;"ackaging label should be produced in the United States, no smell of open, relatively easy to stick hair, silicone products but always inevitable, children liked to play the first time, do not know for how long")</f>
        <v>AIU good delivery is too slow, waited four or five days, but the logistics very good, 7 days after the arrival of AIU delivery, much faster than the speed of all kinds of transport, good customer service attitude Central Asia. Banana received to see the packaging label should be produced in the United States, no smell of open, relatively easy to stick hair, silicone products but always inevitable, children liked to play the first time, do not know for how long</v>
      </c>
    </row>
    <row r="37">
      <c r="A37" s="1">
        <v>5.0</v>
      </c>
      <c r="B37" s="1" t="s">
        <v>38</v>
      </c>
      <c r="C37" t="str">
        <f>IFERROR(__xludf.DUMMYFUNCTION("GOOGLETRANSLATE(B37, ""zh"", ""en"")"),"Better than expected good")</f>
        <v>Better than expected good</v>
      </c>
    </row>
    <row r="38">
      <c r="A38" s="1">
        <v>5.0</v>
      </c>
      <c r="B38" s="1" t="s">
        <v>39</v>
      </c>
      <c r="C38" t="str">
        <f>IFERROR(__xludf.DUMMYFUNCTION("GOOGLETRANSLATE(B38, ""zh"", ""en"")"),"Pitt Zander filter effectiveness.")</f>
        <v>Pitt Zander filter effectiveness.</v>
      </c>
    </row>
    <row r="39">
      <c r="A39" s="1">
        <v>5.0</v>
      </c>
      <c r="B39" s="1" t="s">
        <v>40</v>
      </c>
      <c r="C39" t="str">
        <f>IFERROR(__xludf.DUMMYFUNCTION("GOOGLETRANSLATE(B39, ""zh"", ""en"")"),"High cost! Cost-effective! To my ears it! enough!")</f>
        <v>High cost! Cost-effective! To my ears it! enough!</v>
      </c>
    </row>
    <row r="40">
      <c r="A40" s="1">
        <v>5.0</v>
      </c>
      <c r="B40" s="1" t="s">
        <v>41</v>
      </c>
      <c r="C40" t="str">
        <f>IFERROR(__xludf.DUMMYFUNCTION("GOOGLETRANSLATE(B40, ""zh"", ""en"")"),"Not too large do not buy small shoes with no obvious flaws fine Dominica bought before and does not produce slim ankle lining is too large floral yellow boots that section than the 10361 but less than half the code or whether to wear me in his hand Floral"&amp;" than feeling a little big fat point 37.5 feet to buy 7.5w us / 5.5uk can not be small")</f>
        <v>Not too large do not buy small shoes with no obvious flaws fine Dominica bought before and does not produce slim ankle lining is too large floral yellow boots that section than the 10361 but less than half the code or whether to wear me in his hand Floral than feeling a little big fat point 37.5 feet to buy 7.5w us / 5.5uk can not be small</v>
      </c>
    </row>
    <row r="41">
      <c r="A41" s="1">
        <v>5.0</v>
      </c>
      <c r="B41" s="1" t="s">
        <v>42</v>
      </c>
      <c r="C41" t="str">
        <f>IFERROR(__xludf.DUMMYFUNCTION("GOOGLETRANSLATE(B41, ""zh"", ""en"")"),"Pretty good today received, check the next model, 4T, WD's blue plate, 5400 rpm. Simple tried, in all aspects okay.")</f>
        <v>Pretty good today received, check the next model, 4T, WD's blue plate, 5400 rpm. Simple tried, in all aspects okay.</v>
      </c>
    </row>
    <row r="42">
      <c r="A42" s="1">
        <v>5.0</v>
      </c>
      <c r="B42" s="1" t="s">
        <v>43</v>
      </c>
      <c r="C42" t="str">
        <f>IFERROR(__xludf.DUMMYFUNCTION("GOOGLETRANSLATE(B42, ""zh"", ""en"")"),"Buy-back would have been a good thing to wear this super good, immediately after arrival at a single, with the money to buy another color.")</f>
        <v>Buy-back would have been a good thing to wear this super good, immediately after arrival at a single, with the money to buy another color.</v>
      </c>
    </row>
    <row r="43">
      <c r="A43" s="1">
        <v>5.0</v>
      </c>
      <c r="B43" s="1" t="s">
        <v>44</v>
      </c>
      <c r="C43" t="str">
        <f>IFERROR(__xludf.DUMMYFUNCTION("GOOGLETRANSLATE(B43, ""zh"", ""en"")"),"Nice has received very red, the UK direct mail only five days to go. Very nice Nice. During transport has been so I'm looking forward to, with a few days made him look like a very wild, walking down the street feel like the most beautiful street in Aberde"&amp;"en.")</f>
        <v>Nice has received very red, the UK direct mail only five days to go. Very nice Nice. During transport has been so I'm looking forward to, with a few days made him look like a very wild, walking down the street feel like the most beautiful street in Aberdeen.</v>
      </c>
    </row>
    <row r="44">
      <c r="A44" s="1">
        <v>5.0</v>
      </c>
      <c r="B44" s="1" t="s">
        <v>45</v>
      </c>
      <c r="C44" t="str">
        <f>IFERROR(__xludf.DUMMYFUNCTION("GOOGLETRANSLATE(B44, ""zh"", ""en"")"),"Like very good use, I received the same day used!")</f>
        <v>Like very good use, I received the same day used!</v>
      </c>
    </row>
    <row r="45">
      <c r="A45" s="1">
        <v>5.0</v>
      </c>
      <c r="B45" s="1" t="s">
        <v>46</v>
      </c>
      <c r="C45" t="str">
        <f>IFERROR(__xludf.DUMMYFUNCTION("GOOGLETRANSLATE(B45, ""zh"", ""en"")"),"not bad! Is the original! With very good. It is shipped super-slow speed!")</f>
        <v>not bad! Is the original! With very good. It is shipped super-slow speed!</v>
      </c>
    </row>
    <row r="46">
      <c r="A46" s="1">
        <v>5.0</v>
      </c>
      <c r="B46" s="1" t="s">
        <v>47</v>
      </c>
      <c r="C46" t="str">
        <f>IFERROR(__xludf.DUMMYFUNCTION("GOOGLETRANSLATE(B46, ""zh"", ""en"")"),"Good insulation effect, high color value to my father bought, he liked all kinds of insulation Cup, for this very satisfied, I feel Yen value is high, the insulation effect is also very good")</f>
        <v>Good insulation effect, high color value to my father bought, he liked all kinds of insulation Cup, for this very satisfied, I feel Yen value is high, the insulation effect is also very good</v>
      </c>
    </row>
    <row r="47">
      <c r="A47" s="1">
        <v>5.0</v>
      </c>
      <c r="B47" s="1" t="s">
        <v>48</v>
      </c>
      <c r="C47" t="str">
        <f>IFERROR(__xludf.DUMMYFUNCTION("GOOGLETRANSLATE(B47, ""zh"", ""en"")"),"Amazon has been genuine trust, thermal pot is the Japanese version. Insulation for a long time, a long time favorite, finally bite. Baby also like")</f>
        <v>Amazon has been genuine trust, thermal pot is the Japanese version. Insulation for a long time, a long time favorite, finally bite. Baby also like</v>
      </c>
    </row>
    <row r="48">
      <c r="A48" s="1">
        <v>5.0</v>
      </c>
      <c r="B48" s="1" t="s">
        <v>49</v>
      </c>
      <c r="C48" t="str">
        <f>IFERROR(__xludf.DUMMYFUNCTION("GOOGLETRANSLATE(B48, ""zh"", ""en"")"),"Comfort is not transparent thin white outer wear, comfortable fabrics. 17275 wearing appropriate")</f>
        <v>Comfort is not transparent thin white outer wear, comfortable fabrics. 17275 wearing appropriate</v>
      </c>
    </row>
    <row r="49">
      <c r="A49" s="1">
        <v>5.0</v>
      </c>
      <c r="B49" s="1" t="s">
        <v>50</v>
      </c>
      <c r="C49" t="str">
        <f>IFERROR(__xludf.DUMMYFUNCTION("GOOGLETRANSLATE(B49, ""zh"", ""en"")"),"Blue is a great show points, buy big on the 1st, but add insoles or closed foot. Pressure phenomenon instep with foot wear can not be avoided, while wearing just fine")</f>
        <v>Blue is a great show points, buy big on the 1st, but add insoles or closed foot. Pressure phenomenon instep with foot wear can not be avoided, while wearing just fine</v>
      </c>
    </row>
    <row r="50">
      <c r="A50" s="1">
        <v>5.0</v>
      </c>
      <c r="B50" s="1" t="s">
        <v>51</v>
      </c>
      <c r="C50" t="str">
        <f>IFERROR(__xludf.DUMMYFUNCTION("GOOGLETRANSLATE(B50, ""zh"", ""en"")"),"Perfect boots! First overseas purchase direct mail, very good experience, to a total of ten days. Shoes are very fit, usually wear sports shoes to buy 40 or 41 of this 7.5EE just add insoles, parcels and comfort are the best shoes I wore a. Ref plus taxes"&amp;" a total of 1600, is still very cost ~ looking forward to the foot feeling after a run-in period -")</f>
        <v>Perfect boots! First overseas purchase direct mail, very good experience, to a total of ten days. Shoes are very fit, usually wear sports shoes to buy 40 or 41 of this 7.5EE just add insoles, parcels and comfort are the best shoes I wore a. Ref plus taxes a total of 1600, is still very cost ~ looking forward to the foot feeling after a run-in period -</v>
      </c>
    </row>
    <row r="51">
      <c r="A51" s="1">
        <v>5.0</v>
      </c>
      <c r="B51" s="1" t="s">
        <v>52</v>
      </c>
      <c r="C51" t="str">
        <f>IFERROR(__xludf.DUMMYFUNCTION("GOOGLETRANSLATE(B51, ""zh"", ""en"")"),"Good quality 173cm, 70kg, m wearing a little big, like loose words are right, I should like compact s better")</f>
        <v>Good quality 173cm, 70kg, m wearing a little big, like loose words are right, I should like compact s better</v>
      </c>
    </row>
    <row r="52">
      <c r="A52" s="1">
        <v>5.0</v>
      </c>
      <c r="B52" s="1" t="s">
        <v>53</v>
      </c>
      <c r="C52" t="str">
        <f>IFERROR(__xludf.DUMMYFUNCTION("GOOGLETRANSLATE(B52, ""zh"", ""en"")"),"re series, recording the best choice for use with a recording bought in Taiwan, where is re20, home recording would have 20 to buy, when to buy out of stock, to buy a 320. How should I say, it is certainly better than ordinary microphone, including some c"&amp;"ondenser mics, record out treble is very beautiful, great texture, very solid bass, then 20 kind of blessing is not pleasure, but also a very real reaction out of people sound color, in short, is a great value really high color, black good read, good-look"&amp;"ing than the next 20 to say the logistics, they are inconsistent with the payer and the recipient, customs clearance when the delay, a full five card in Beijing then the wind day delivery, next day arrived, spent a total of 15 days, courier bags is very h"&amp;"igh-tech, Xu is a child kraft paper bag material like cotton, the most important thing is pretty good, only spent a total the 2500, than any other platform, including suppliers are much cheaper, also only 20 3000, Taiwan in 8000 I bought ... terrible soun"&amp;"d card Yamaha ur22ll, the built-in microphone preamp is great, the sound can be pushed, listen to people say other sound cards, dynamic not move, you need an external mic preamps, this really have to pay attention ...... Finally, this series of microphone"&amp;"s recorded vocals really great, after all, come standard with CNR")</f>
        <v>re series, recording the best choice for use with a recording bought in Taiwan, where is re20, home recording would have 20 to buy, when to buy out of stock, to buy a 320. How should I say, it is certainly better than ordinary microphone, including some condenser mics, record out treble is very beautiful, great texture, very solid bass, then 20 kind of blessing is not pleasure, but also a very real reaction out of people sound color, in short, is a great value really high color, black good read, good-looking than the next 20 to say the logistics, they are inconsistent with the payer and the recipient, customs clearance when the delay, a full five card in Beijing then the wind day delivery, next day arrived, spent a total of 15 days, courier bags is very high-tech, Xu is a child kraft paper bag material like cotton, the most important thing is pretty good, only spent a total the 2500, than any other platform, including suppliers are much cheaper, also only 20 3000, Taiwan in 8000 I bought ... terrible sound card Yamaha ur22ll, the built-in microphone preamp is great, the sound can be pushed, listen to people say other sound cards, dynamic not move, you need an external mic preamps, this really have to pay attention ...... Finally, this series of microphones recorded vocals really great, after all, come standard with CNR</v>
      </c>
    </row>
    <row r="53">
      <c r="A53" s="1">
        <v>5.0</v>
      </c>
      <c r="B53" s="1" t="s">
        <v>54</v>
      </c>
      <c r="C53" t="str">
        <f>IFERROR(__xludf.DUMMYFUNCTION("GOOGLETRANSLATE(B53, ""zh"", ""en"")"),"Good quality cotton, a little little freshman does not affect")</f>
        <v>Good quality cotton, a little little freshman does not affect</v>
      </c>
    </row>
    <row r="54">
      <c r="A54" s="1">
        <v>5.0</v>
      </c>
      <c r="B54" s="1" t="s">
        <v>55</v>
      </c>
      <c r="C54" t="str">
        <f>IFERROR(__xludf.DUMMYFUNCTION("GOOGLETRANSLATE(B54, ""zh"", ""en"")"),"Highly cost-effective overseas purchase used 4 months, I have not yet found comment. All is well, bad not yet found flaws.")</f>
        <v>Highly cost-effective overseas purchase used 4 months, I have not yet found comment. All is well, bad not yet found flaws.</v>
      </c>
    </row>
    <row r="55">
      <c r="A55" s="1">
        <v>5.0</v>
      </c>
      <c r="B55" s="1" t="s">
        <v>56</v>
      </c>
      <c r="C55" t="str">
        <f>IFERROR(__xludf.DUMMYFUNCTION("GOOGLETRANSLATE(B55, ""zh"", ""en"")"),"Very nice soft comfortable clothes, the right size.")</f>
        <v>Very nice soft comfortable clothes, the right size.</v>
      </c>
    </row>
    <row r="56">
      <c r="A56" s="1">
        <v>5.0</v>
      </c>
      <c r="B56" s="1" t="s">
        <v>57</v>
      </c>
      <c r="C56" t="str">
        <f>IFERROR(__xludf.DUMMYFUNCTION("GOOGLETRANSLATE(B56, ""zh"", ""en"")"),"Satisfied with the right size to wear very comfortable and satisfied")</f>
        <v>Satisfied with the right size to wear very comfortable and satisfied</v>
      </c>
    </row>
    <row r="57">
      <c r="A57" s="1">
        <v>2.0</v>
      </c>
      <c r="B57" s="1" t="s">
        <v>58</v>
      </c>
      <c r="C57" t="str">
        <f>IFERROR(__xludf.DUMMYFUNCTION("GOOGLETRANSLATE(B57, ""zh"", ""en"")"),"Equipment made in China flavored water, flavored water equipment.")</f>
        <v>Equipment made in China flavored water, flavored water equipment.</v>
      </c>
    </row>
    <row r="58">
      <c r="A58" s="1">
        <v>3.0</v>
      </c>
      <c r="B58" s="1" t="s">
        <v>59</v>
      </c>
      <c r="C58" t="str">
        <f>IFERROR(__xludf.DUMMYFUNCTION("GOOGLETRANSLATE(B58, ""zh"", ""en"")"),"Received some rough work shoes made in China ... work a little rough do not dare to really believe that before determining whether to buy Amazon genuine self after a little attention seems to have ......")</f>
        <v>Received some rough work shoes made in China ... work a little rough do not dare to really believe that before determining whether to buy Amazon genuine self after a little attention seems to have ......</v>
      </c>
    </row>
    <row r="59">
      <c r="A59" s="1">
        <v>1.0</v>
      </c>
      <c r="B59" s="1" t="s">
        <v>60</v>
      </c>
      <c r="C59" t="str">
        <f>IFERROR(__xludf.DUMMYFUNCTION("GOOGLETRANSLATE(B59, ""zh"", ""en"")"),"It was surprising to see the difference between the printed word was in the country cottage products are considered the worst in that grade. 1 Star high.")</f>
        <v>It was surprising to see the difference between the printed word was in the country cottage products are considered the worst in that grade. 1 Star high.</v>
      </c>
    </row>
    <row r="60">
      <c r="A60" s="1">
        <v>4.0</v>
      </c>
      <c r="B60" s="1" t="s">
        <v>61</v>
      </c>
      <c r="C60" t="str">
        <f>IFERROR(__xludf.DUMMYFUNCTION("GOOGLETRANSLATE(B60, ""zh"", ""en"")"),"Texture is very cost-effective and affordable is the actual color and page description large deviations can be something of quality and comfort")</f>
        <v>Texture is very cost-effective and affordable is the actual color and page description large deviations can be something of quality and comfort</v>
      </c>
    </row>
    <row r="61">
      <c r="A61" s="1">
        <v>4.0</v>
      </c>
      <c r="B61" s="1" t="s">
        <v>62</v>
      </c>
      <c r="C61" t="str">
        <f>IFERROR(__xludf.DUMMYFUNCTION("GOOGLETRANSLATE(B61, ""zh"", ""en"")"),"Pretty good, did not handle the ball well and mixing, but not with a handle, this is not good, the older children help but think I will not help ah")</f>
        <v>Pretty good, did not handle the ball well and mixing, but not with a handle, this is not good, the older children help but think I will not help ah</v>
      </c>
    </row>
    <row r="62">
      <c r="A62" s="1">
        <v>4.0</v>
      </c>
      <c r="B62" s="1" t="s">
        <v>63</v>
      </c>
      <c r="C62" t="str">
        <f>IFERROR(__xludf.DUMMYFUNCTION("GOOGLETRANSLATE(B62, ""zh"", ""en"")"),"Color physical and picture color is not consistent")</f>
        <v>Color physical and picture color is not consistent</v>
      </c>
    </row>
    <row r="63">
      <c r="A63" s="1">
        <v>4.0</v>
      </c>
      <c r="B63" s="1" t="s">
        <v>64</v>
      </c>
      <c r="C63" t="str">
        <f>IFERROR(__xludf.DUMMYFUNCTION("GOOGLETRANSLATE(B63, ""zh"", ""en"")"),"Upper supposed to have scars? Shoe came slightly larger cushion insole just right, but there are scars do not know how to deal with uppers?")</f>
        <v>Upper supposed to have scars? Shoe came slightly larger cushion insole just right, but there are scars do not know how to deal with uppers?</v>
      </c>
    </row>
    <row r="64">
      <c r="A64" s="1">
        <v>4.0</v>
      </c>
      <c r="B64" s="1" t="s">
        <v>65</v>
      </c>
      <c r="C64" t="str">
        <f>IFERROR(__xludf.DUMMYFUNCTION("GOOGLETRANSLATE(B64, ""zh"", ""en"")"),"Shirt size and the actual discrepancy is not ideal, the large size of the")</f>
        <v>Shirt size and the actual discrepancy is not ideal, the large size of the</v>
      </c>
    </row>
    <row r="65">
      <c r="A65" s="1">
        <v>5.0</v>
      </c>
      <c r="B65" s="1" t="s">
        <v>66</v>
      </c>
      <c r="C65" t="str">
        <f>IFERROR(__xludf.DUMMYFUNCTION("GOOGLETRANSLATE(B65, ""zh"", ""en"")"),"Genuine shoes are very light, very comfortable!")</f>
        <v>Genuine shoes are very light, very comfortable!</v>
      </c>
    </row>
    <row r="66">
      <c r="A66" s="1">
        <v>5.0</v>
      </c>
      <c r="B66" s="1" t="s">
        <v>67</v>
      </c>
      <c r="C66" t="str">
        <f>IFERROR(__xludf.DUMMYFUNCTION("GOOGLETRANSLATE(B66, ""zh"", ""en"")"),"Like arm leg armpit are also used twice, the effect is really stunning, two weeks once, some did not grow, grow out of the very slow looked obvious, human hair star savior")</f>
        <v>Like arm leg armpit are also used twice, the effect is really stunning, two weeks once, some did not grow, grow out of the very slow looked obvious, human hair star savior</v>
      </c>
    </row>
    <row r="67">
      <c r="A67" s="1">
        <v>5.0</v>
      </c>
      <c r="B67" s="1" t="s">
        <v>68</v>
      </c>
      <c r="C67" t="str">
        <f>IFERROR(__xludf.DUMMYFUNCTION("GOOGLETRANSLATE(B67, ""zh"", ""en"")"),"AKG Y500 (green) good quality, Nichia goods, earmuffs somewhat hot")</f>
        <v>AKG Y500 (green) good quality, Nichia goods, earmuffs somewhat hot</v>
      </c>
    </row>
    <row r="68">
      <c r="A68" s="1">
        <v>5.0</v>
      </c>
      <c r="B68" s="1" t="s">
        <v>69</v>
      </c>
      <c r="C68" t="str">
        <f>IFERROR(__xludf.DUMMYFUNCTION("GOOGLETRANSLATE(B68, ""zh"", ""en"")"),"Appropriate size appropriate, 186,82 kg, far l")</f>
        <v>Appropriate size appropriate, 186,82 kg, far l</v>
      </c>
    </row>
    <row r="69">
      <c r="A69" s="1">
        <v>5.0</v>
      </c>
      <c r="B69" s="1" t="s">
        <v>70</v>
      </c>
      <c r="C69" t="str">
        <f>IFERROR(__xludf.DUMMYFUNCTION("GOOGLETRANSLATE(B69, ""zh"", ""en"")"),"Just fine ~ ~ ~ very comfortable to wear ~ ~ ~ ~ ~ ~ ~ very cost-effective")</f>
        <v>Just fine ~ ~ ~ very comfortable to wear ~ ~ ~ ~ ~ ~ ~ very cost-effective</v>
      </c>
    </row>
    <row r="70">
      <c r="A70" s="1">
        <v>5.0</v>
      </c>
      <c r="B70" s="1" t="s">
        <v>71</v>
      </c>
      <c r="C70" t="str">
        <f>IFERROR(__xludf.DUMMYFUNCTION("GOOGLETRANSLATE(B70, ""zh"", ""en"")"),"Pants smaller sellers representations with the Chinese people's habits, they do not have a platform to communicate directly with the seller. So, for wear in Hainan Island, the somewhat thick point, put on the body a little tight ⋯ fabric of things, good w"&amp;"orkmanship.")</f>
        <v>Pants smaller sellers representations with the Chinese people's habits, they do not have a platform to communicate directly with the seller. So, for wear in Hainan Island, the somewhat thick point, put on the body a little tight ⋯ fabric of things, good workmanship.</v>
      </c>
    </row>
    <row r="71">
      <c r="A71" s="1">
        <v>5.0</v>
      </c>
      <c r="B71" s="1" t="s">
        <v>72</v>
      </c>
      <c r="C71" t="str">
        <f>IFERROR(__xludf.DUMMYFUNCTION("GOOGLETRANSLATE(B71, ""zh"", ""en"")"),"Japanese cotton is still very consistent with the size of the country, easy to buy.")</f>
        <v>Japanese cotton is still very consistent with the size of the country, easy to buy.</v>
      </c>
    </row>
    <row r="72">
      <c r="A72" s="1">
        <v>5.0</v>
      </c>
      <c r="B72" s="1" t="s">
        <v>73</v>
      </c>
      <c r="C72" t="str">
        <f>IFERROR(__xludf.DUMMYFUNCTION("GOOGLETRANSLATE(B72, ""zh"", ""en"")"),"The right size, but the shape does not stand up very suitable size, shape suitable for tall relatively little burly man, but it is still common and slim Asian version better buy")</f>
        <v>The right size, but the shape does not stand up very suitable size, shape suitable for tall relatively little burly man, but it is still common and slim Asian version better buy</v>
      </c>
    </row>
    <row r="73">
      <c r="A73" s="1">
        <v>5.0</v>
      </c>
      <c r="B73" s="1" t="s">
        <v>74</v>
      </c>
      <c r="C73" t="str">
        <f>IFERROR(__xludf.DUMMYFUNCTION("GOOGLETRANSLATE(B73, ""zh"", ""en"")"),"Neckline is a little small 173cm, 78Kg domestic buy 41 shirts, this time to buy the right size M can be a small collar, buttons are actually not buckle. But do not wear no problem buckle collar button")</f>
        <v>Neckline is a little small 173cm, 78Kg domestic buy 41 shirts, this time to buy the right size M can be a small collar, buttons are actually not buckle. But do not wear no problem buckle collar button</v>
      </c>
    </row>
    <row r="74">
      <c r="A74" s="1">
        <v>5.0</v>
      </c>
      <c r="B74" s="1" t="s">
        <v>75</v>
      </c>
      <c r="C74" t="str">
        <f>IFERROR(__xludf.DUMMYFUNCTION("GOOGLETRANSLATE(B74, ""zh"", ""en"")"),"Beautiful delicate fashion very beautiful, held envy")</f>
        <v>Beautiful delicate fashion very beautiful, held envy</v>
      </c>
    </row>
    <row r="75">
      <c r="A75" s="1">
        <v>5.0</v>
      </c>
      <c r="B75" s="1" t="s">
        <v>76</v>
      </c>
      <c r="C75" t="str">
        <f>IFERROR(__xludf.DUMMYFUNCTION("GOOGLETRANSLATE(B75, ""zh"", ""en"")"),"Color color under their own feelings. nice! You love it")</f>
        <v>Color color under their own feelings. nice! You love it</v>
      </c>
    </row>
    <row r="76">
      <c r="A76" s="1">
        <v>5.0</v>
      </c>
      <c r="B76" s="1" t="s">
        <v>77</v>
      </c>
      <c r="C76" t="str">
        <f>IFERROR(__xludf.DUMMYFUNCTION("GOOGLETRANSLATE(B76, ""zh"", ""en"")"),"Hats overall okay, position marks a bit of work problems, too lazy to toss, leaving the hat as a whole okay, position marks a bit of work problems, too lazy to toss, leaving")</f>
        <v>Hats overall okay, position marks a bit of work problems, too lazy to toss, leaving the hat as a whole okay, position marks a bit of work problems, too lazy to toss, leaving</v>
      </c>
    </row>
    <row r="77">
      <c r="A77" s="1">
        <v>5.0</v>
      </c>
      <c r="B77" s="1" t="s">
        <v>78</v>
      </c>
      <c r="C77" t="str">
        <f>IFERROR(__xludf.DUMMYFUNCTION("GOOGLETRANSLATE(B77, ""zh"", ""en"")"),"The price is good, the sound is relatively large price good, sound is relatively large, cost-effective.")</f>
        <v>The price is good, the sound is relatively large price good, sound is relatively large, cost-effective.</v>
      </c>
    </row>
    <row r="78">
      <c r="A78" s="1">
        <v>5.0</v>
      </c>
      <c r="B78" s="1" t="s">
        <v>79</v>
      </c>
      <c r="C78" t="str">
        <f>IFERROR(__xludf.DUMMYFUNCTION("GOOGLETRANSLATE(B78, ""zh"", ""en"")"),"Good good good clothes, like, flexible")</f>
        <v>Good good good clothes, like, flexible</v>
      </c>
    </row>
    <row r="79">
      <c r="A79" s="1">
        <v>5.0</v>
      </c>
      <c r="B79" s="1" t="s">
        <v>80</v>
      </c>
      <c r="C79" t="str">
        <f>IFERROR(__xludf.DUMMYFUNCTION("GOOGLETRANSLATE(B79, ""zh"", ""en"")"),"[Hard] to move relatively fast hardware useful, with 1 year without any problems ~")</f>
        <v>[Hard] to move relatively fast hardware useful, with 1 year without any problems ~</v>
      </c>
    </row>
    <row r="80">
      <c r="A80" s="1">
        <v>5.0</v>
      </c>
      <c r="B80" s="1" t="s">
        <v>81</v>
      </c>
      <c r="C80" t="str">
        <f>IFERROR(__xludf.DUMMYFUNCTION("GOOGLETRANSLATE(B80, ""zh"", ""en"")"),"Nice little good quality very comfortable")</f>
        <v>Nice little good quality very comfortable</v>
      </c>
    </row>
    <row r="81">
      <c r="A81" s="1">
        <v>5.0</v>
      </c>
      <c r="B81" s="1" t="s">
        <v>82</v>
      </c>
      <c r="C81" t="str">
        <f>IFERROR(__xludf.DUMMYFUNCTION("GOOGLETRANSLATE(B81, ""zh"", ""en"")"),"Cool a little big, like. Is a little bit big, too big to wear socks")</f>
        <v>Cool a little big, like. Is a little bit big, too big to wear socks</v>
      </c>
    </row>
    <row r="82">
      <c r="A82" s="1">
        <v>5.0</v>
      </c>
      <c r="B82" s="1" t="s">
        <v>83</v>
      </c>
      <c r="C82" t="str">
        <f>IFERROR(__xludf.DUMMYFUNCTION("GOOGLETRANSLATE(B82, ""zh"", ""en"")"),"Two baby has not practical to increase food supplement, bought spare. Particularly given medicines used to respect.")</f>
        <v>Two baby has not practical to increase food supplement, bought spare. Particularly given medicines used to respect.</v>
      </c>
    </row>
    <row r="83">
      <c r="A83" s="1">
        <v>5.0</v>
      </c>
      <c r="B83" s="1" t="s">
        <v>84</v>
      </c>
      <c r="C83" t="str">
        <f>IFERROR(__xludf.DUMMYFUNCTION("GOOGLETRANSLATE(B83, ""zh"", ""en"")"),"Although easy to use transformers, but really easy to use, effective insulation super good")</f>
        <v>Although easy to use transformers, but really easy to use, effective insulation super good</v>
      </c>
    </row>
    <row r="84">
      <c r="A84" s="1">
        <v>5.0</v>
      </c>
      <c r="B84" s="1" t="s">
        <v>85</v>
      </c>
      <c r="C84" t="str">
        <f>IFERROR(__xludf.DUMMYFUNCTION("GOOGLETRANSLATE(B84, ""zh"", ""en"")"),"Husband thin warm heat intolerance to cold, just right to wear this winter")</f>
        <v>Husband thin warm heat intolerance to cold, just right to wear this winter</v>
      </c>
    </row>
    <row r="85">
      <c r="A85" s="1">
        <v>5.0</v>
      </c>
      <c r="B85" s="1" t="s">
        <v>86</v>
      </c>
      <c r="C85" t="str">
        <f>IFERROR(__xludf.DUMMYFUNCTION("GOOGLETRANSLATE(B85, ""zh"", ""en"")"),"Golden vintage watches with super good like ah ~ There conspicuous luminous function I really miss ah Oh delivery speed packaging is very delicate")</f>
        <v>Golden vintage watches with super good like ah ~ There conspicuous luminous function I really miss ah Oh delivery speed packaging is very delicate</v>
      </c>
    </row>
    <row r="86">
      <c r="A86" s="1">
        <v>5.0</v>
      </c>
      <c r="B86" s="1" t="s">
        <v>87</v>
      </c>
      <c r="C86" t="str">
        <f>IFERROR(__xludf.DUMMYFUNCTION("GOOGLETRANSLATE(B86, ""zh"", ""en"")"),"For the first time with a very good, sound accurate positioning, heard the more flavored, light, refined temperament.")</f>
        <v>For the first time with a very good, sound accurate positioning, heard the more flavored, light, refined temperament.</v>
      </c>
    </row>
    <row r="87">
      <c r="A87" s="1">
        <v>2.0</v>
      </c>
      <c r="B87" s="1" t="s">
        <v>88</v>
      </c>
      <c r="C87" t="str">
        <f>IFERROR(__xludf.DUMMYFUNCTION("GOOGLETRANSLATE(B87, ""zh"", ""en"")"),"Made in China Japan purchased originally thought it was Japanese goods, the result is Made in China")</f>
        <v>Made in China Japan purchased originally thought it was Japanese goods, the result is Made in China</v>
      </c>
    </row>
    <row r="88">
      <c r="A88" s="1">
        <v>3.0</v>
      </c>
      <c r="B88" s="1" t="s">
        <v>89</v>
      </c>
      <c r="C88" t="str">
        <f>IFERROR(__xludf.DUMMYFUNCTION("GOOGLETRANSLATE(B88, ""zh"", ""en"")"),"The general feeling is not worth it, not a good imagination")</f>
        <v>The general feeling is not worth it, not a good imagination</v>
      </c>
    </row>
    <row r="89">
      <c r="A89" s="1">
        <v>1.0</v>
      </c>
      <c r="B89" s="1" t="s">
        <v>90</v>
      </c>
      <c r="C89" t="str">
        <f>IFERROR(__xludf.DUMMYFUNCTION("GOOGLETRANSLATE(B89, ""zh"", ""en"")"),"Used a few times a year does not write to the school not only the warranty period of thirty days returned")</f>
        <v>Used a few times a year does not write to the school not only the warranty period of thirty days returned</v>
      </c>
    </row>
    <row r="90">
      <c r="A90" s="1">
        <v>1.0</v>
      </c>
      <c r="B90" s="1" t="s">
        <v>91</v>
      </c>
      <c r="C90" t="str">
        <f>IFERROR(__xludf.DUMMYFUNCTION("GOOGLETRANSLATE(B90, ""zh"", ""en"")"),"This is obviously fake fake goods. 1 shoebox no certificate, various types of seals no. 2 soles lion is completely incompatible with the genuine. 3 To buy friends, please note that once purchased, return shipping will not be refunded (over 100 freight).")</f>
        <v>This is obviously fake fake goods. 1 shoebox no certificate, various types of seals no. 2 soles lion is completely incompatible with the genuine. 3 To buy friends, please note that once purchased, return shipping will not be refunded (over 100 freight).</v>
      </c>
    </row>
    <row r="91">
      <c r="A91" s="1">
        <v>1.0</v>
      </c>
      <c r="B91" s="1" t="s">
        <v>92</v>
      </c>
      <c r="C91" t="str">
        <f>IFERROR(__xludf.DUMMYFUNCTION("GOOGLETRANSLATE(B91, ""zh"", ""en"")"),"30 waist too short, actually buy five of the tightest hole 30 a hole is not buckle! ! No place to punch a direct void! That there are such sizes?")</f>
        <v>30 waist too short, actually buy five of the tightest hole 30 a hole is not buckle! ! No place to punch a direct void! That there are such sizes?</v>
      </c>
    </row>
    <row r="92">
      <c r="A92" s="1">
        <v>4.0</v>
      </c>
      <c r="B92" s="1" t="s">
        <v>93</v>
      </c>
      <c r="C92" t="str">
        <f>IFERROR(__xludf.DUMMYFUNCTION("GOOGLETRANSLATE(B92, ""zh"", ""en"")"),"Cheap cheaper to buy two, thick material, feel good.")</f>
        <v>Cheap cheaper to buy two, thick material, feel good.</v>
      </c>
    </row>
    <row r="93">
      <c r="A93" s="1">
        <v>4.0</v>
      </c>
      <c r="B93" s="1" t="s">
        <v>94</v>
      </c>
      <c r="C93" t="str">
        <f>IFERROR(__xludf.DUMMYFUNCTION("GOOGLETRANSLATE(B93, ""zh"", ""en"")"),"Satisfaction at home Chuan Chuan very good, when pajamas.")</f>
        <v>Satisfaction at home Chuan Chuan very good, when pajamas.</v>
      </c>
    </row>
    <row r="94">
      <c r="A94" s="1">
        <v>4.0</v>
      </c>
      <c r="B94" s="1" t="s">
        <v>95</v>
      </c>
      <c r="C94" t="str">
        <f>IFERROR(__xludf.DUMMYFUNCTION("GOOGLETRANSLATE(B94, ""zh"", ""en"")"),"Sticky hair, pilling, rough to the touch, I 174cm, 75kg, for the first time to buy a champion of pants, M code I wear a size disadvantage of very appropriate to talk about the pants: 1, stick to the hair, it is best to separate from other clothing color w"&amp;"rite; 2, to play ball, feeling the rough to the touch. But, after all, the price here, regardless of brand, recommended paste a little bit of money to buy Anta, Li Ning.")</f>
        <v>Sticky hair, pilling, rough to the touch, I 174cm, 75kg, for the first time to buy a champion of pants, M code I wear a size disadvantage of very appropriate to talk about the pants: 1, stick to the hair, it is best to separate from other clothing color write; 2, to play ball, feeling the rough to the touch. But, after all, the price here, regardless of brand, recommended paste a little bit of money to buy Anta, Li Ning.</v>
      </c>
    </row>
    <row r="95">
      <c r="A95" s="1">
        <v>4.0</v>
      </c>
      <c r="B95" s="1" t="s">
        <v>96</v>
      </c>
      <c r="C95" t="str">
        <f>IFERROR(__xludf.DUMMYFUNCTION("GOOGLETRANSLATE(B95, ""zh"", ""en"")"),"Color is too old color is a little old, and a front pocket. China 170 yards to wear this little. Sleeve slim.")</f>
        <v>Color is too old color is a little old, and a front pocket. China 170 yards to wear this little. Sleeve slim.</v>
      </c>
    </row>
    <row r="96">
      <c r="A96" s="1">
        <v>4.0</v>
      </c>
      <c r="B96" s="1" t="s">
        <v>97</v>
      </c>
      <c r="C96" t="str">
        <f>IFERROR(__xludf.DUMMYFUNCTION("GOOGLETRANSLATE(B96, ""zh"", ""en"")"),"Need to handle more portable with a handle would be better, easy to carry.")</f>
        <v>Need to handle more portable with a handle would be better, easy to carry.</v>
      </c>
    </row>
    <row r="97">
      <c r="A97" s="1">
        <v>5.0</v>
      </c>
      <c r="B97" s="1" t="s">
        <v>98</v>
      </c>
      <c r="C97" t="str">
        <f>IFERROR(__xludf.DUMMYFUNCTION("GOOGLETRANSLATE(B97, ""zh"", ""en"")"),"Love love this style, good fabric")</f>
        <v>Love love this style, good fabric</v>
      </c>
    </row>
    <row r="98">
      <c r="A98" s="1">
        <v>5.0</v>
      </c>
      <c r="B98" s="1" t="s">
        <v>99</v>
      </c>
      <c r="C98" t="str">
        <f>IFERROR(__xludf.DUMMYFUNCTION("GOOGLETRANSLATE(B98, ""zh"", ""en"")"),"Good Good baggy comfortable")</f>
        <v>Good Good baggy comfortable</v>
      </c>
    </row>
    <row r="99">
      <c r="A99" s="1">
        <v>5.0</v>
      </c>
      <c r="B99" s="1" t="s">
        <v>100</v>
      </c>
      <c r="C99" t="str">
        <f>IFERROR(__xludf.DUMMYFUNCTION("GOOGLETRANSLATE(B99, ""zh"", ""en"")"),"It can also be the right size. Cozy")</f>
        <v>It can also be the right size. Cozy</v>
      </c>
    </row>
    <row r="100">
      <c r="A100" s="1">
        <v>5.0</v>
      </c>
      <c r="B100" s="1" t="s">
        <v>101</v>
      </c>
      <c r="C100" t="str">
        <f>IFERROR(__xludf.DUMMYFUNCTION("GOOGLETRANSLATE(B100, ""zh"", ""en"")"),"Good pants very very satisfied! Nice!")</f>
        <v>Good pants very very satisfied! Nice!</v>
      </c>
    </row>
    <row r="101">
      <c r="A101" s="1">
        <v>5.0</v>
      </c>
      <c r="B101" s="1" t="s">
        <v>102</v>
      </c>
      <c r="C101" t="str">
        <f>IFERROR(__xludf.DUMMYFUNCTION("GOOGLETRANSLATE(B101, ""zh"", ""en"")"),"A little bit small, the rest are good")</f>
        <v>A little bit small, the rest are good</v>
      </c>
    </row>
    <row r="102">
      <c r="A102" s="1">
        <v>5.0</v>
      </c>
      <c r="B102" s="1" t="s">
        <v>103</v>
      </c>
      <c r="C102" t="str">
        <f>IFERROR(__xludf.DUMMYFUNCTION("GOOGLETRANSLATE(B102, ""zh"", ""en"")"),"Short black shirt body something good, good price, size fit, will continue to buy! !")</f>
        <v>Short black shirt body something good, good price, size fit, will continue to buy! !</v>
      </c>
    </row>
    <row r="103">
      <c r="A103" s="1">
        <v>5.0</v>
      </c>
      <c r="B103" s="1" t="s">
        <v>104</v>
      </c>
      <c r="C103" t="str">
        <f>IFERROR(__xludf.DUMMYFUNCTION("GOOGLETRANSLATE(B103, ""zh"", ""en"")"),"Very comfortable, good quality, good fabrics, ah, very comfortable, feel good")</f>
        <v>Very comfortable, good quality, good fabrics, ah, very comfortable, feel good</v>
      </c>
    </row>
    <row r="104">
      <c r="A104" s="1">
        <v>5.0</v>
      </c>
      <c r="B104" s="1" t="s">
        <v>105</v>
      </c>
      <c r="C104" t="str">
        <f>IFERROR(__xludf.DUMMYFUNCTION("GOOGLETRANSLATE(B104, ""zh"", ""en"")"),"Milk system, one-click menu 1.6 kinds of one-button menu system is very convenient 2. The milk is very convenient, taste good 3. Tip not very intuitive with flashing lights when they boot")</f>
        <v>Milk system, one-click menu 1.6 kinds of one-button menu system is very convenient 2. The milk is very convenient, taste good 3. Tip not very intuitive with flashing lights when they boot</v>
      </c>
    </row>
    <row r="105">
      <c r="A105" s="1">
        <v>5.0</v>
      </c>
      <c r="B105" s="1" t="s">
        <v>106</v>
      </c>
      <c r="C105" t="str">
        <f>IFERROR(__xludf.DUMMYFUNCTION("GOOGLETRANSLATE(B105, ""zh"", ""en"")"),"Inexpensive to buy two hundred fifty-three tax, slightly larger than normal yards, wider at the toes W version, suitable for foot fat, and this double time to buy is tight this time to buy a little loose side of the same code .")</f>
        <v>Inexpensive to buy two hundred fifty-three tax, slightly larger than normal yards, wider at the toes W version, suitable for foot fat, and this double time to buy is tight this time to buy a little loose side of the same code .</v>
      </c>
    </row>
    <row r="106">
      <c r="A106" s="1">
        <v>5.0</v>
      </c>
      <c r="B106" s="1" t="s">
        <v>107</v>
      </c>
      <c r="C106" t="str">
        <f>IFERROR(__xludf.DUMMYFUNCTION("GOOGLETRANSLATE(B106, ""zh"", ""en"")"),"A few good! ! However, individuals may be relatively large hands, so that the watch is relatively small! ! Watch very delicate! ! A few good! ! However, individuals may be relatively large hands, so that the watch is relatively small! ! Watch very delicat"&amp;"e! !")</f>
        <v>A few good! ! However, individuals may be relatively large hands, so that the watch is relatively small! ! Watch very delicate! ! A few good! ! However, individuals may be relatively large hands, so that the watch is relatively small! ! Watch very delicate! !</v>
      </c>
    </row>
    <row r="107">
      <c r="A107" s="1">
        <v>5.0</v>
      </c>
      <c r="B107" s="1" t="s">
        <v>108</v>
      </c>
      <c r="C107" t="str">
        <f>IFERROR(__xludf.DUMMYFUNCTION("GOOGLETRANSLATE(B107, ""zh"", ""en"")"),"Long-term use once a day, the effect is estimated to have long-term use")</f>
        <v>Long-term use once a day, the effect is estimated to have long-term use</v>
      </c>
    </row>
    <row r="108">
      <c r="A108" s="1">
        <v>5.0</v>
      </c>
      <c r="B108" s="1" t="s">
        <v>109</v>
      </c>
      <c r="C108" t="str">
        <f>IFERROR(__xludf.DUMMYFUNCTION("GOOGLETRANSLATE(B108, ""zh"", ""en"")"),"Good prices are very favorable! Consumables can buy spare")</f>
        <v>Good prices are very favorable! Consumables can buy spare</v>
      </c>
    </row>
    <row r="109">
      <c r="A109" s="1">
        <v>5.0</v>
      </c>
      <c r="B109" s="1" t="s">
        <v>110</v>
      </c>
      <c r="C109" t="str">
        <f>IFERROR(__xludf.DUMMYFUNCTION("GOOGLETRANSLATE(B109, ""zh"", ""en"")"),"Very good very good use. Used to work with a very appropriate ~")</f>
        <v>Very good very good use. Used to work with a very appropriate ~</v>
      </c>
    </row>
    <row r="110">
      <c r="A110" s="1">
        <v>5.0</v>
      </c>
      <c r="B110" s="1" t="s">
        <v>111</v>
      </c>
      <c r="C110" t="str">
        <f>IFERROR(__xludf.DUMMYFUNCTION("GOOGLETRANSLATE(B110, ""zh"", ""en"")"),"The high cost of the headphones cost-effective not have to say, three-tone balance, resolution and imaging are great. It is a little bit chuck.")</f>
        <v>The high cost of the headphones cost-effective not have to say, three-tone balance, resolution and imaging are great. It is a little bit chuck.</v>
      </c>
    </row>
    <row r="111">
      <c r="A111" s="1">
        <v>5.0</v>
      </c>
      <c r="B111" s="1" t="s">
        <v>112</v>
      </c>
      <c r="C111" t="str">
        <f>IFERROR(__xludf.DUMMYFUNCTION("GOOGLETRANSLATE(B111, ""zh"", ""en"")"),"Buy big hands ... there is a demand it ... normal brain pumping almost 8.5 should Onitsuka Tiger 42.5, the election became 9.5 ... finally arrived ... or good looking ... that is a big TT now come up with his usual sneakers feel ... 44 almost there ... I "&amp;"want friends can contact me at ...")</f>
        <v>Buy big hands ... there is a demand it ... normal brain pumping almost 8.5 should Onitsuka Tiger 42.5, the election became 9.5 ... finally arrived ... or good looking ... that is a big TT now come up with his usual sneakers feel ... 44 almost there ... I want friends can contact me at ...</v>
      </c>
    </row>
    <row r="112">
      <c r="A112" s="1">
        <v>5.0</v>
      </c>
      <c r="B112" s="1" t="s">
        <v>113</v>
      </c>
      <c r="C112" t="str">
        <f>IFERROR(__xludf.DUMMYFUNCTION("GOOGLETRANSLATE(B112, ""zh"", ""en"")"),"Satisfaction &lt;div id = ""video-block-RNAGZRYXUWMC1"" class = ""a-section a-spacing-small a-spacing-top-mini video-block""&gt; &lt;/ div&gt; &lt;input type = ""hidden"" name = """" value = ""https://images-cn.ssl-images-amazon.com/images/I/91W5fF2PgsS.mp4"" class = """&amp;"video-url""&gt; &lt;input type = ""hidden"" name = """" value = ""https : //images-cn.ssl-images-amazon.com/images/I/71aOhLkTvpS.png ""class ="" video-slate-img-url ""&gt; &amp; nbsp; yourself installation very easy, just use the Osaka hands with the change of use for"&amp;" nearly 20 years before the water mixers (also Nissan)")</f>
        <v>Satisfaction &lt;div id = "video-block-RNAGZRYXUWMC1" class = "a-section a-spacing-small a-spacing-top-mini video-block"&gt; &lt;/ div&gt; &lt;input type = "hidden" name = "" value = "https://images-cn.ssl-images-amazon.com/images/I/91W5fF2PgsS.mp4" class = "video-url"&gt; &lt;input type = "hidden" name = "" value = "https : //images-cn.ssl-images-amazon.com/images/I/71aOhLkTvpS.png "class =" video-slate-img-url "&gt; &amp; nbsp; yourself installation very easy, just use the Osaka hands with the change of use for nearly 20 years before the water mixers (also Nissan)</v>
      </c>
    </row>
    <row r="113">
      <c r="A113" s="1">
        <v>5.0</v>
      </c>
      <c r="B113" s="1" t="s">
        <v>114</v>
      </c>
      <c r="C113" t="str">
        <f>IFERROR(__xludf.DUMMYFUNCTION("GOOGLETRANSLATE(B113, ""zh"", ""en"")"),"Good quality, good price quality baby OK, prices OK, is the color pattern is unlikely character. To return from a mailing trouble, forget it.")</f>
        <v>Good quality, good price quality baby OK, prices OK, is the color pattern is unlikely character. To return from a mailing trouble, forget it.</v>
      </c>
    </row>
    <row r="114">
      <c r="A114" s="1">
        <v>5.0</v>
      </c>
      <c r="B114" s="1" t="s">
        <v>115</v>
      </c>
      <c r="C114" t="str">
        <f>IFERROR(__xludf.DUMMYFUNCTION("GOOGLETRANSLATE(B114, ""zh"", ""en"")"),"Like 160. 90 kg. Xs wear just right. I am feeling a little oversize sleeves very long. Well liked. Genuine ten percent")</f>
        <v>Like 160. 90 kg. Xs wear just right. I am feeling a little oversize sleeves very long. Well liked. Genuine ten percent</v>
      </c>
    </row>
    <row r="115">
      <c r="A115" s="1">
        <v>5.0</v>
      </c>
      <c r="B115" s="1" t="s">
        <v>116</v>
      </c>
      <c r="C115" t="str">
        <f>IFERROR(__xludf.DUMMYFUNCTION("GOOGLETRANSLATE(B115, ""zh"", ""en"")"),"The right size to facilitate back Kua very good very good very good")</f>
        <v>The right size to facilitate back Kua very good very good very good</v>
      </c>
    </row>
    <row r="116">
      <c r="A116" s="1">
        <v>5.0</v>
      </c>
      <c r="B116" s="1" t="s">
        <v>117</v>
      </c>
      <c r="C116" t="str">
        <f>IFERROR(__xludf.DUMMYFUNCTION("GOOGLETRANSLATE(B116, ""zh"", ""en"")"),"Bought the most expensive air dryer wetter this time, we can not test the efficacy of deionised water. Compared to $ 198 Panasonic anion hair dryer old, this low wind noise, it is like holding down instantly become cool features.")</f>
        <v>Bought the most expensive air dryer wetter this time, we can not test the efficacy of deionised water. Compared to $ 198 Panasonic anion hair dryer old, this low wind noise, it is like holding down instantly become cool features.</v>
      </c>
    </row>
    <row r="117">
      <c r="A117" s="1">
        <v>5.0</v>
      </c>
      <c r="B117" s="1" t="s">
        <v>118</v>
      </c>
      <c r="C117" t="str">
        <f>IFERROR(__xludf.DUMMYFUNCTION("GOOGLETRANSLATE(B117, ""zh"", ""en"")"),"Product quality is acceptable product quality OK, right size, affordable, more recommended. I 179CM 75KG buy M, exactly. Do you give a reference.")</f>
        <v>Product quality is acceptable product quality OK, right size, affordable, more recommended. I 179CM 75KG buy M, exactly. Do you give a reference.</v>
      </c>
    </row>
    <row r="118">
      <c r="A118" s="1">
        <v>5.0</v>
      </c>
      <c r="B118" s="1" t="s">
        <v>119</v>
      </c>
      <c r="C118" t="str">
        <f>IFERROR(__xludf.DUMMYFUNCTION("GOOGLETRANSLATE(B118, ""zh"", ""en"")"),"Very good buy big, good quality clothes")</f>
        <v>Very good buy big, good quality clothes</v>
      </c>
    </row>
    <row r="119">
      <c r="A119" s="1">
        <v>2.0</v>
      </c>
      <c r="B119" s="1" t="s">
        <v>120</v>
      </c>
      <c r="C119" t="str">
        <f>IFERROR(__xludf.DUMMYFUNCTION("GOOGLETRANSLATE(B119, ""zh"", ""en"")"),"When the quality of the watch has not received the goods gone, bought by a month or two will not go")</f>
        <v>When the quality of the watch has not received the goods gone, bought by a month or two will not go</v>
      </c>
    </row>
    <row r="120">
      <c r="A120" s="1">
        <v>3.0</v>
      </c>
      <c r="B120" s="1" t="s">
        <v>121</v>
      </c>
      <c r="C120" t="str">
        <f>IFERROR(__xludf.DUMMYFUNCTION("GOOGLETRANSLATE(B120, ""zh"", ""en"")"),"Especially cool is much much 173cm 90kg wear XXL only two yards fat, but too short, there is a certain distance away from the knee. Comfortable is comfortable, relatively cool.")</f>
        <v>Especially cool is much much 173cm 90kg wear XXL only two yards fat, but too short, there is a certain distance away from the knee. Comfortable is comfortable, relatively cool.</v>
      </c>
    </row>
    <row r="121">
      <c r="A121" s="1">
        <v>3.0</v>
      </c>
      <c r="B121" s="1" t="s">
        <v>122</v>
      </c>
      <c r="C121" t="str">
        <f>IFERROR(__xludf.DUMMYFUNCTION("GOOGLETRANSLATE(B121, ""zh"", ""en"")"),"Genuine packaging is not good, but the packaging back, there are a lot of hatched")</f>
        <v>Genuine packaging is not good, but the packaging back, there are a lot of hatched</v>
      </c>
    </row>
    <row r="122">
      <c r="A122" s="1">
        <v>1.0</v>
      </c>
      <c r="B122" s="1" t="s">
        <v>123</v>
      </c>
      <c r="C122" t="str">
        <f>IFERROR(__xludf.DUMMYFUNCTION("GOOGLETRANSLATE(B122, ""zh"", ""en"")"),"Not taste particularly large cup can not use, I have been torn down not back")</f>
        <v>Not taste particularly large cup can not use, I have been torn down not back</v>
      </c>
    </row>
    <row r="123">
      <c r="A123" s="1">
        <v>1.0</v>
      </c>
      <c r="B123" s="1" t="s">
        <v>124</v>
      </c>
      <c r="C123" t="str">
        <f>IFERROR(__xludf.DUMMYFUNCTION("GOOGLETRANSLATE(B123, ""zh"", ""en"")"),"Tasteless product. Not easy to use with a little bad, in the end not as their own cut.")</f>
        <v>Tasteless product. Not easy to use with a little bad, in the end not as their own cut.</v>
      </c>
    </row>
    <row r="124">
      <c r="A124" s="1">
        <v>4.0</v>
      </c>
      <c r="B124" s="1" t="s">
        <v>125</v>
      </c>
      <c r="C124" t="str">
        <f>IFERROR(__xludf.DUMMYFUNCTION("GOOGLETRANSLATE(B124, ""zh"", ""en"")"),"Very nice leather is very soft us7.5 the right to buy 38 yards, do a little increased within the ah ha ha is the new gold standard arrow. We received two shoes are worn traces, chose to return, re-order, and hope no problem.")</f>
        <v>Very nice leather is very soft us7.5 the right to buy 38 yards, do a little increased within the ah ha ha is the new gold standard arrow. We received two shoes are worn traces, chose to return, re-order, and hope no problem.</v>
      </c>
    </row>
    <row r="125">
      <c r="A125" s="1">
        <v>4.0</v>
      </c>
      <c r="B125" s="1" t="s">
        <v>126</v>
      </c>
      <c r="C125" t="str">
        <f>IFERROR(__xludf.DUMMYFUNCTION("GOOGLETRANSLATE(B125, ""zh"", ""en"")"),"In fact, the quality is not good texture, very thin, not quite. In particular multi-thread, buttons, sewing poor workmanship. With the price of domestic brands ratio is also no advantage")</f>
        <v>In fact, the quality is not good texture, very thin, not quite. In particular multi-thread, buttons, sewing poor workmanship. With the price of domestic brands ratio is also no advantage</v>
      </c>
    </row>
    <row r="126">
      <c r="A126" s="1">
        <v>4.0</v>
      </c>
      <c r="B126" s="1" t="s">
        <v>127</v>
      </c>
      <c r="C126" t="str">
        <f>IFERROR(__xludf.DUMMYFUNCTION("GOOGLETRANSLATE(B126, ""zh"", ""en"")"),"Very good clothes, good clothes, logistics experience itself is very good. A certain thickness, there are wool. Wear very warm (ten degree weather). Pockets on both sides, one side of the pocket where there is a grid similar coin pocket pouch. There headp"&amp;"hone cable hole. Clothes slightly long, but I 175,75 wear M is still relatively fit. Work on the texture much better than the champion as a general. While the left chest logo stamping is up, but that there are projections, a certain thickness of the paint"&amp;" rather than feeling similar printed. Slightly thread, but not much. Speaking of logistics, very bad experience. Understand the double eleven logistics slow, I November 11 Kusakabe single to the 26th. But this attitude courier company personnel unpleasant"&amp;". Originally overseas purchase plus two-eleven is also no problem. But it is interesting to see logistics tracking information, 23rd goods went to Shanghai, to display the distribution. But then that is displayed peak parcel delivery delays. Had wanted to"&amp;" make a phone call to ask delivery staff will probably be delayed until what time. Distribution person's phone is always turned off. The next 2 days are the same circumstances. Look information, morning delivery staff began the delivery, but delayed to th"&amp;"e evening show, the phone is turned off during the day and night. And finally to 26th. Received a phone distribution members, said downstairs in your house, the family how no one (blunt and impatient tone). I replied, embarrassed hours of work at home doe"&amp;"s no one, to avoid him run again, you can have two options, a floor door got into the goods can be placed water meter box stairwell, or the abundance of nest cell door. Then he impatiently responded abundance of nest maybe full. I said, has been a peak ti"&amp;"me, there should be no problem. I had finished, he said impatiently know the hung up the phone. Amazon this time I bought three things, there are two kind is this courier delivery are delayed. While the third was sent tact, no problem. So at least the Ama"&amp;"zon than Taobao and Jingdong less on what the logistics performance of two-eleven")</f>
        <v>Very good clothes, good clothes, logistics experience itself is very good. A certain thickness, there are wool. Wear very warm (ten degree weather). Pockets on both sides, one side of the pocket where there is a grid similar coin pocket pouch. There headphone cable hole. Clothes slightly long, but I 175,75 wear M is still relatively fit. Work on the texture much better than the champion as a general. While the left chest logo stamping is up, but that there are projections, a certain thickness of the paint rather than feeling similar printed. Slightly thread, but not much. Speaking of logistics, very bad experience. Understand the double eleven logistics slow, I November 11 Kusakabe single to the 26th. But this attitude courier company personnel unpleasant. Originally overseas purchase plus two-eleven is also no problem. But it is interesting to see logistics tracking information, 23rd goods went to Shanghai, to display the distribution. But then that is displayed peak parcel delivery delays. Had wanted to make a phone call to ask delivery staff will probably be delayed until what time. Distribution person's phone is always turned off. The next 2 days are the same circumstances. Look information, morning delivery staff began the delivery, but delayed to the evening show, the phone is turned off during the day and night. And finally to 26th. Received a phone distribution members, said downstairs in your house, the family how no one (blunt and impatient tone). I replied, embarrassed hours of work at home does no one, to avoid him run again, you can have two options, a floor door got into the goods can be placed water meter box stairwell, or the abundance of nest cell door. Then he impatiently responded abundance of nest maybe full. I said, has been a peak time, there should be no problem. I had finished, he said impatiently know the hung up the phone. Amazon this time I bought three things, there are two kind is this courier delivery are delayed. While the third was sent tact, no problem. So at least the Amazon than Taobao and Jingdong less on what the logistics performance of two-eleven</v>
      </c>
    </row>
    <row r="127">
      <c r="A127" s="1">
        <v>4.0</v>
      </c>
      <c r="B127" s="1" t="s">
        <v>128</v>
      </c>
      <c r="C127" t="str">
        <f>IFERROR(__xludf.DUMMYFUNCTION("GOOGLETRANSLATE(B127, ""zh"", ""en"")"),"Water quality will change you feel good, that water is not detected.")</f>
        <v>Water quality will change you feel good, that water is not detected.</v>
      </c>
    </row>
    <row r="128">
      <c r="A128" s="1">
        <v>4.0</v>
      </c>
      <c r="B128" s="1" t="s">
        <v>129</v>
      </c>
      <c r="C128" t="str">
        <f>IFERROR(__xludf.DUMMYFUNCTION("GOOGLETRANSLATE(B128, ""zh"", ""en"")"),"Has not started with the stockpile, has been useless, we are buying the finished food supplement")</f>
        <v>Has not started with the stockpile, has been useless, we are buying the finished food supplement</v>
      </c>
    </row>
    <row r="129">
      <c r="A129" s="1">
        <v>5.0</v>
      </c>
      <c r="B129" s="1" t="s">
        <v>130</v>
      </c>
      <c r="C129" t="str">
        <f>IFERROR(__xludf.DUMMYFUNCTION("GOOGLETRANSLATE(B129, ""zh"", ""en"")"),"Cost-effective shoe size is very accurate, relaxed style, it can be less than half the number. Light and comfortable to wear. Cost-effective.")</f>
        <v>Cost-effective shoe size is very accurate, relaxed style, it can be less than half the number. Light and comfortable to wear. Cost-effective.</v>
      </c>
    </row>
    <row r="130">
      <c r="A130" s="1">
        <v>5.0</v>
      </c>
      <c r="B130" s="1" t="s">
        <v>131</v>
      </c>
      <c r="C130" t="str">
        <f>IFERROR(__xludf.DUMMYFUNCTION("GOOGLETRANSLATE(B130, ""zh"", ""en"")"),"Japanese champion championship T-shirts, the quality can be, Slim version, suitable for Asian body, inside lined with a thin layer. satisfaction!")</f>
        <v>Japanese champion championship T-shirts, the quality can be, Slim version, suitable for Asian body, inside lined with a thin layer. satisfaction!</v>
      </c>
    </row>
    <row r="131">
      <c r="A131" s="1">
        <v>5.0</v>
      </c>
      <c r="B131" s="1" t="s">
        <v>132</v>
      </c>
      <c r="C131" t="str">
        <f>IFERROR(__xludf.DUMMYFUNCTION("GOOGLETRANSLATE(B131, ""zh"", ""en"")"),"Like the quality shipped quickly, but also improve the packaging very carefully. Gadgets installed a set, do not look at the drawings they can get started. Consistent standard domestic home improvement can be directly replaced, eccentric threaded pipe is "&amp;"adapted to the poor hands a bit more difficult. Good temperature control, the temperature indicated for reference only. Shower is very small, but a large amount of water, hand can feel the reaction force. Hose bit hard, cold water toppings to prevent bias"&amp;".")</f>
        <v>Like the quality shipped quickly, but also improve the packaging very carefully. Gadgets installed a set, do not look at the drawings they can get started. Consistent standard domestic home improvement can be directly replaced, eccentric threaded pipe is adapted to the poor hands a bit more difficult. Good temperature control, the temperature indicated for reference only. Shower is very small, but a large amount of water, hand can feel the reaction force. Hose bit hard, cold water toppings to prevent bias.</v>
      </c>
    </row>
    <row r="132">
      <c r="A132" s="1">
        <v>5.0</v>
      </c>
      <c r="B132" s="1" t="s">
        <v>133</v>
      </c>
      <c r="C132" t="str">
        <f>IFERROR(__xludf.DUMMYFUNCTION("GOOGLETRANSLATE(B132, ""zh"", ""en"")"),"Dema value for money to buy cups generous cup of bright colors, very beautiful production, moderate capacity, fitness and tourism essential goods on Amazon, worth buying.")</f>
        <v>Dema value for money to buy cups generous cup of bright colors, very beautiful production, moderate capacity, fitness and tourism essential goods on Amazon, worth buying.</v>
      </c>
    </row>
    <row r="133">
      <c r="A133" s="1">
        <v>5.0</v>
      </c>
      <c r="B133" s="1" t="s">
        <v>134</v>
      </c>
      <c r="C133" t="str">
        <f>IFERROR(__xludf.DUMMYFUNCTION("GOOGLETRANSLATE(B133, ""zh"", ""en"")"),"Jeans pants right size, is biased a little short. But the size was not any little longer cargo")</f>
        <v>Jeans pants right size, is biased a little short. But the size was not any little longer cargo</v>
      </c>
    </row>
    <row r="134">
      <c r="A134" s="1">
        <v>5.0</v>
      </c>
      <c r="B134" s="1" t="s">
        <v>135</v>
      </c>
      <c r="C134" t="str">
        <f>IFERROR(__xludf.DUMMYFUNCTION("GOOGLETRANSLATE(B134, ""zh"", ""en"")"),"The right to buy one hundred ten, received the bag exactly the same with the picture, but the price back up only seven dozen, Amazon price is a learned skill")</f>
        <v>The right to buy one hundred ten, received the bag exactly the same with the picture, but the price back up only seven dozen, Amazon price is a learned skill</v>
      </c>
    </row>
    <row r="135">
      <c r="A135" s="1">
        <v>5.0</v>
      </c>
      <c r="B135" s="1" t="s">
        <v>136</v>
      </c>
      <c r="C135" t="str">
        <f>IFERROR(__xludf.DUMMYFUNCTION("GOOGLETRANSLATE(B135, ""zh"", ""en"")"),"172 60kg 172 60 kg 29w32l waist just right inseam a little.")</f>
        <v>172 60kg 172 60 kg 29w32l waist just right inseam a little.</v>
      </c>
    </row>
    <row r="136">
      <c r="A136" s="1">
        <v>5.0</v>
      </c>
      <c r="B136" s="1" t="s">
        <v>137</v>
      </c>
      <c r="C136" t="str">
        <f>IFERROR(__xludf.DUMMYFUNCTION("GOOGLETRANSLATE(B136, ""zh"", ""en"")"),"Amoy very cost-effective sea sea to help a friend Amoy, very cost-effective price! Friends say I liked it, better looking than the pictures in kind")</f>
        <v>Amoy very cost-effective sea sea to help a friend Amoy, very cost-effective price! Friends say I liked it, better looking than the pictures in kind</v>
      </c>
    </row>
    <row r="137">
      <c r="A137" s="1">
        <v>5.0</v>
      </c>
      <c r="B137" s="1" t="s">
        <v>138</v>
      </c>
      <c r="C137" t="str">
        <f>IFERROR(__xludf.DUMMYFUNCTION("GOOGLETRANSLATE(B137, ""zh"", ""en"")"),"Effective overseas purchase a bargain, after receipt of things are very good every day, think it is effective, postpartum recovery necessary")</f>
        <v>Effective overseas purchase a bargain, after receipt of things are very good every day, think it is effective, postpartum recovery necessary</v>
      </c>
    </row>
    <row r="138">
      <c r="A138" s="1">
        <v>5.0</v>
      </c>
      <c r="B138" s="1" t="s">
        <v>139</v>
      </c>
      <c r="C138" t="str">
        <f>IFERROR(__xludf.DUMMYFUNCTION("GOOGLETRANSLATE(B138, ""zh"", ""en"")"),"Fit, but too large shoes are very soft, usually wear 42, the results of the 42 big half a yard")</f>
        <v>Fit, but too large shoes are very soft, usually wear 42, the results of the 42 big half a yard</v>
      </c>
    </row>
    <row r="139">
      <c r="A139" s="1">
        <v>5.0</v>
      </c>
      <c r="B139" s="1" t="s">
        <v>140</v>
      </c>
      <c r="C139" t="str">
        <f>IFERROR(__xludf.DUMMYFUNCTION("GOOGLETRANSLATE(B139, ""zh"", ""en"")"),"S 175 65kg buy very close, feeling comfortable fabric. S 175 65kg buy very close, feeling comfortable fabric.")</f>
        <v>S 175 65kg buy very close, feeling comfortable fabric. S 175 65kg buy very close, feeling comfortable fabric.</v>
      </c>
    </row>
    <row r="140">
      <c r="A140" s="1">
        <v>5.0</v>
      </c>
      <c r="B140" s="1" t="s">
        <v>141</v>
      </c>
      <c r="C140" t="str">
        <f>IFERROR(__xludf.DUMMYFUNCTION("GOOGLETRANSLATE(B140, ""zh"", ""en"")"),"very good. Packing some simple, but very beautiful kind received.")</f>
        <v>very good. Packing some simple, but very beautiful kind received.</v>
      </c>
    </row>
    <row r="141">
      <c r="A141" s="1">
        <v>5.0</v>
      </c>
      <c r="B141" s="1" t="s">
        <v>142</v>
      </c>
      <c r="C141" t="str">
        <f>IFERROR(__xludf.DUMMYFUNCTION("GOOGLETRANSLATE(B141, ""zh"", ""en"")"),"Three Perak Malaysia pencil sharpener Sanford indeed, even the pencil sharpener are doing very good, the design specifications of the two-hole pencil, color of lead can be cut may be slimline stubby type, and soon will not be wasted pencil refills, a rela"&amp;"tively large capacity can hold multi-point pen cut - although it is a more than forty dollars, but because it is direct overseas shopping cheaper than purchasing, but also good color of lead with a good sharpener, worth buying! In addition, if the packagi"&amp;"ng is quite tight, the inside filled with inflatable bags, probably because it is issued by the US side, but also in the customs inspection frustrating than a few days, the original packaging has been opened at the scene, but was full of useful and easy r"&amp;"e-sealing tape well, the things inside intact, this is the first overseas purchase just met g20 summit, it is relatively slow clearance, consult the Amazon customer service, service is good, whether telephone, e-mail or text messages are all responses hav"&amp;"e help solve the problem, not neglect, hope to continue their efforts better and better.")</f>
        <v>Three Perak Malaysia pencil sharpener Sanford indeed, even the pencil sharpener are doing very good, the design specifications of the two-hole pencil, color of lead can be cut may be slimline stubby type, and soon will not be wasted pencil refills, a relatively large capacity can hold multi-point pen cut - although it is a more than forty dollars, but because it is direct overseas shopping cheaper than purchasing, but also good color of lead with a good sharpener, worth buying! In addition, if the packaging is quite tight, the inside filled with inflatable bags, probably because it is issued by the US side, but also in the customs inspection frustrating than a few days, the original packaging has been opened at the scene, but was full of useful and easy re-sealing tape well, the things inside intact, this is the first overseas purchase just met g20 summit, it is relatively slow clearance, consult the Amazon customer service, service is good, whether telephone, e-mail or text messages are all responses have help solve the problem, not neglect, hope to continue their efforts better and better.</v>
      </c>
    </row>
    <row r="142">
      <c r="A142" s="1">
        <v>5.0</v>
      </c>
      <c r="B142" s="1" t="s">
        <v>143</v>
      </c>
      <c r="C142" t="str">
        <f>IFERROR(__xludf.DUMMYFUNCTION("GOOGLETRANSLATE(B142, ""zh"", ""en"")"),"Okay thick, so you have a sense of security ......")</f>
        <v>Okay thick, so you have a sense of security ......</v>
      </c>
    </row>
    <row r="143">
      <c r="A143" s="1">
        <v>5.0</v>
      </c>
      <c r="B143" s="1" t="s">
        <v>144</v>
      </c>
      <c r="C143" t="str">
        <f>IFERROR(__xludf.DUMMYFUNCTION("GOOGLETRANSLATE(B143, ""zh"", ""en"")"),"Perfect perfect!")</f>
        <v>Perfect perfect!</v>
      </c>
    </row>
    <row r="144">
      <c r="A144" s="1">
        <v>5.0</v>
      </c>
      <c r="B144" s="1" t="s">
        <v>145</v>
      </c>
      <c r="C144" t="str">
        <f>IFERROR(__xludf.DUMMYFUNCTION("GOOGLETRANSLATE(B144, ""zh"", ""en"")"),"Compare Genjiao worth buying the shoes, wrapped in strong, rigid leather, soles moderate hardness, not Adidas boost so soft, more comfortable overall.")</f>
        <v>Compare Genjiao worth buying the shoes, wrapped in strong, rigid leather, soles moderate hardness, not Adidas boost so soft, more comfortable overall.</v>
      </c>
    </row>
    <row r="145">
      <c r="A145" s="1">
        <v>5.0</v>
      </c>
      <c r="B145" s="1" t="s">
        <v>146</v>
      </c>
      <c r="C145" t="str">
        <f>IFERROR(__xludf.DUMMYFUNCTION("GOOGLETRANSLATE(B145, ""zh"", ""en"")"),"Really nice particularly good, cost-effective, very satisfied")</f>
        <v>Really nice particularly good, cost-effective, very satisfied</v>
      </c>
    </row>
    <row r="146">
      <c r="A146" s="1">
        <v>5.0</v>
      </c>
      <c r="B146" s="1" t="s">
        <v>147</v>
      </c>
      <c r="C146" t="str">
        <f>IFERROR(__xludf.DUMMYFUNCTION("GOOGLETRANSLATE(B146, ""zh"", ""en"")"),"Worth 172,70, size just right, good quality pants, is the thread a little")</f>
        <v>Worth 172,70, size just right, good quality pants, is the thread a little</v>
      </c>
    </row>
    <row r="147">
      <c r="A147" s="1">
        <v>5.0</v>
      </c>
      <c r="B147" s="1" t="s">
        <v>148</v>
      </c>
      <c r="C147" t="str">
        <f>IFERROR(__xludf.DUMMYFUNCTION("GOOGLETRANSLATE(B147, ""zh"", ""en"")"),"You can also very good, the right size, but the soles a little dirty, like the feeling of the exhibits sold in the store, was tried many times")</f>
        <v>You can also very good, the right size, but the soles a little dirty, like the feeling of the exhibits sold in the store, was tried many times</v>
      </c>
    </row>
    <row r="148">
      <c r="A148" s="1">
        <v>5.0</v>
      </c>
      <c r="B148" s="1" t="s">
        <v>149</v>
      </c>
      <c r="C148" t="str">
        <f>IFERROR(__xludf.DUMMYFUNCTION("GOOGLETRANSLATE(B148, ""zh"", ""en"")"),"Suitable 36 yards wearing this code is appropriate, there is no internal lining, a little fade")</f>
        <v>Suitable 36 yards wearing this code is appropriate, there is no internal lining, a little fade</v>
      </c>
    </row>
    <row r="149">
      <c r="A149" s="1">
        <v>5.0</v>
      </c>
      <c r="B149" s="1" t="s">
        <v>150</v>
      </c>
      <c r="C149" t="str">
        <f>IFERROR(__xludf.DUMMYFUNCTION("GOOGLETRANSLATE(B149, ""zh"", ""en"")"),"Very satisfied with the shopping Cheers for the 750 with this, the price is a fraction of the national mainstream. A container, and no difference between the voltage and the like, is also less than the basic warranty, but also to ensure genuine. Removing "&amp;"the dry outer Cheers play function, 32 oz. Size more convenient, making juice now often used, although not as fine wet cup of the juice, but it is more convenient to clean.")</f>
        <v>Very satisfied with the shopping Cheers for the 750 with this, the price is a fraction of the national mainstream. A container, and no difference between the voltage and the like, is also less than the basic warranty, but also to ensure genuine. Removing the dry outer Cheers play function, 32 oz. Size more convenient, making juice now often used, although not as fine wet cup of the juice, but it is more convenient to clean.</v>
      </c>
    </row>
    <row r="150">
      <c r="A150" s="1">
        <v>5.0</v>
      </c>
      <c r="B150" s="1" t="s">
        <v>151</v>
      </c>
      <c r="C150" t="str">
        <f>IFERROR(__xludf.DUMMYFUNCTION("GOOGLETRANSLATE(B150, ""zh"", ""en"")"),"Praise feeling can be, do not know how to effect")</f>
        <v>Praise feeling can be, do not know how to effect</v>
      </c>
    </row>
    <row r="151">
      <c r="A151" s="1">
        <v>2.0</v>
      </c>
      <c r="B151" s="1" t="s">
        <v>152</v>
      </c>
      <c r="C151" t="str">
        <f>IFERROR(__xludf.DUMMYFUNCTION("GOOGLETRANSLATE(B151, ""zh"", ""en"")"),"Scale Scale serious allowed not allowed! ! ! Error can have 10ml! ! !")</f>
        <v>Scale Scale serious allowed not allowed! ! ! Error can have 10ml! ! !</v>
      </c>
    </row>
    <row r="152">
      <c r="A152" s="1">
        <v>3.0</v>
      </c>
      <c r="B152" s="1" t="s">
        <v>153</v>
      </c>
      <c r="C152" t="str">
        <f>IFERROR(__xludf.DUMMYFUNCTION("GOOGLETRANSLATE(B152, ""zh"", ""en"")"),"Mini shoulder bag shoulder bag S PM-01 okay, feel less than 200 yuan more reasonable!")</f>
        <v>Mini shoulder bag shoulder bag S PM-01 okay, feel less than 200 yuan more reasonable!</v>
      </c>
    </row>
    <row r="153">
      <c r="A153" s="1">
        <v>3.0</v>
      </c>
      <c r="B153" s="1" t="s">
        <v>154</v>
      </c>
      <c r="C153" t="str">
        <f>IFERROR(__xludf.DUMMYFUNCTION("GOOGLETRANSLATE(B153, ""zh"", ""en"")"),"Shenru prices continue to decline, installed in a notebook speed in general, it may be limited to the notebook platform, so it seems better to buy other brands cheaper")</f>
        <v>Shenru prices continue to decline, installed in a notebook speed in general, it may be limited to the notebook platform, so it seems better to buy other brands cheaper</v>
      </c>
    </row>
    <row r="154">
      <c r="A154" s="1">
        <v>1.0</v>
      </c>
      <c r="B154" s="1" t="s">
        <v>155</v>
      </c>
      <c r="C154" t="str">
        <f>IFERROR(__xludf.DUMMYFUNCTION("GOOGLETRANSLATE(B154, ""zh"", ""en"")"),"Not worth buying is not worth buying, navigation box battery run out less than a month, after-sales service is poor, impatient answer questions")</f>
        <v>Not worth buying is not worth buying, navigation box battery run out less than a month, after-sales service is poor, impatient answer questions</v>
      </c>
    </row>
    <row r="155">
      <c r="A155" s="1">
        <v>1.0</v>
      </c>
      <c r="B155" s="1" t="s">
        <v>156</v>
      </c>
      <c r="C155" t="str">
        <f>IFERROR(__xludf.DUMMYFUNCTION("GOOGLETRANSLATE(B155, ""zh"", ""en"")"),"With the first few times on the bad things with motors less than 10 times on the bad, and who have a lot of time to turn on the machine is very light patches of white face powder, taking into trouble overseas purchase and return to open the package when t"&amp;"here are even several months from receipt, the other outside food cup lid interface also has two large soybean wear (she did not notice), the new trade should not be so ah; secondly, customer service is simply Tucao Central Asia garbage, there is no integ"&amp;"rity at all, experienced naturally understand overseas Amazon and Central Asia customer service I say.")</f>
        <v>With the first few times on the bad things with motors less than 10 times on the bad, and who have a lot of time to turn on the machine is very light patches of white face powder, taking into trouble overseas purchase and return to open the package when there are even several months from receipt, the other outside food cup lid interface also has two large soybean wear (she did not notice), the new trade should not be so ah; secondly, customer service is simply Tucao Central Asia garbage, there is no integrity at all, experienced naturally understand overseas Amazon and Central Asia customer service I say.</v>
      </c>
    </row>
    <row r="156">
      <c r="A156" s="1">
        <v>1.0</v>
      </c>
      <c r="B156" s="1" t="s">
        <v>157</v>
      </c>
      <c r="C156" t="str">
        <f>IFERROR(__xludf.DUMMYFUNCTION("GOOGLETRANSLATE(B156, ""zh"", ""en"")"),"The quality is indeed as good as comfortable Wacoal")</f>
        <v>The quality is indeed as good as comfortable Wacoal</v>
      </c>
    </row>
    <row r="157">
      <c r="A157" s="1">
        <v>4.0</v>
      </c>
      <c r="B157" s="1" t="s">
        <v>158</v>
      </c>
      <c r="C157" t="str">
        <f>IFERROR(__xludf.DUMMYFUNCTION("GOOGLETRANSLATE(B157, ""zh"", ""en"")"),"Slim clothes, fat people chosen. Clothes work well, like the color of all kind of nice. Right length, more self-cultivation, basically sticking to his. Height 175, weight 66, S number. M certainly has a big number.")</f>
        <v>Slim clothes, fat people chosen. Clothes work well, like the color of all kind of nice. Right length, more self-cultivation, basically sticking to his. Height 175, weight 66, S number. M certainly has a big number.</v>
      </c>
    </row>
    <row r="158">
      <c r="A158" s="1">
        <v>4.0</v>
      </c>
      <c r="B158" s="1" t="s">
        <v>159</v>
      </c>
      <c r="C158" t="str">
        <f>IFERROR(__xludf.DUMMYFUNCTION("GOOGLETRANSLATE(B158, ""zh"", ""en"")"),"Slightly larger, softer fabrics work okay, the fabric softer. I may be small head, with a little big, can be a hat, even if the cap tide. .")</f>
        <v>Slightly larger, softer fabrics work okay, the fabric softer. I may be small head, with a little big, can be a hat, even if the cap tide. .</v>
      </c>
    </row>
    <row r="159">
      <c r="A159" s="1">
        <v>4.0</v>
      </c>
      <c r="B159" s="1" t="s">
        <v>160</v>
      </c>
      <c r="C159" t="str">
        <f>IFERROR(__xludf.DUMMYFUNCTION("GOOGLETRANSLATE(B159, ""zh"", ""en"")"),"Overall good other products are good, a little bit loud sound")</f>
        <v>Overall good other products are good, a little bit loud sound</v>
      </c>
    </row>
    <row r="160">
      <c r="A160" s="1">
        <v>4.0</v>
      </c>
      <c r="B160" s="1" t="s">
        <v>161</v>
      </c>
      <c r="C160" t="str">
        <f>IFERROR(__xludf.DUMMYFUNCTION("GOOGLETRANSLATE(B160, ""zh"", ""en"")"),"A large amount should be true, right, looks like a little effect, the taste is too sweet")</f>
        <v>A large amount should be true, right, looks like a little effect, the taste is too sweet</v>
      </c>
    </row>
    <row r="161">
      <c r="A161" s="1">
        <v>4.0</v>
      </c>
      <c r="B161" s="1" t="s">
        <v>162</v>
      </c>
      <c r="C161" t="str">
        <f>IFERROR(__xludf.DUMMYFUNCTION("GOOGLETRANSLATE(B161, ""zh"", ""en"")"),"The nipple bore hole is very small Y-shaped nipple is small, the suction was difficult.")</f>
        <v>The nipple bore hole is very small Y-shaped nipple is small, the suction was difficult.</v>
      </c>
    </row>
    <row r="162">
      <c r="A162" s="1">
        <v>5.0</v>
      </c>
      <c r="B162" s="1" t="s">
        <v>163</v>
      </c>
      <c r="C162" t="str">
        <f>IFERROR(__xludf.DUMMYFUNCTION("GOOGLETRANSLATE(B162, ""zh"", ""en"")"),"Fit did not expect to buy such a fit of denim clothing. I belong to the big chest, hard to buy clothes. This figure fit, the sleeves a little longer, we need to pull one. But overall it was thin. Fat sister paper can be considered")</f>
        <v>Fit did not expect to buy such a fit of denim clothing. I belong to the big chest, hard to buy clothes. This figure fit, the sleeves a little longer, we need to pull one. But overall it was thin. Fat sister paper can be considered</v>
      </c>
    </row>
    <row r="163">
      <c r="A163" s="1">
        <v>5.0</v>
      </c>
      <c r="B163" s="1" t="s">
        <v>164</v>
      </c>
      <c r="C163" t="str">
        <f>IFERROR(__xludf.DUMMYFUNCTION("GOOGLETRANSLATE(B163, ""zh"", ""en"")"),"Very good shower though small shower faucet, water is not really small, accurate temperature control, faster than the mixing valve is manually controlled speed of many hot water, and the temperature stability, the bath can be happy")</f>
        <v>Very good shower though small shower faucet, water is not really small, accurate temperature control, faster than the mixing valve is manually controlled speed of many hot water, and the temperature stability, the bath can be happy</v>
      </c>
    </row>
    <row r="164">
      <c r="A164" s="1">
        <v>5.0</v>
      </c>
      <c r="B164" s="1" t="s">
        <v>165</v>
      </c>
      <c r="C164" t="str">
        <f>IFERROR(__xludf.DUMMYFUNCTION("GOOGLETRANSLATE(B164, ""zh"", ""en"")"),"Suitable 188/82, the US version will only choose M number, Jordanian goods work better than Honduras")</f>
        <v>Suitable 188/82, the US version will only choose M number, Jordanian goods work better than Honduras</v>
      </c>
    </row>
    <row r="165">
      <c r="A165" s="1">
        <v>5.0</v>
      </c>
      <c r="B165" s="1" t="s">
        <v>166</v>
      </c>
      <c r="C165" t="str">
        <f>IFERROR(__xludf.DUMMYFUNCTION("GOOGLETRANSLATE(B165, ""zh"", ""en"")"),"Pigeon glass bottle received the goods, although the real sense of the box a bit rotten, but inside the packaging is very good, the bottle is imported, there is no damage, for the first time to buy things on Amazon overseas, recommended by a friend, somet"&amp;"hing Ye Hao price concessions")</f>
        <v>Pigeon glass bottle received the goods, although the real sense of the box a bit rotten, but inside the packaging is very good, the bottle is imported, there is no damage, for the first time to buy things on Amazon overseas, recommended by a friend, something Ye Hao price concessions</v>
      </c>
    </row>
    <row r="166">
      <c r="A166" s="1">
        <v>5.0</v>
      </c>
      <c r="B166" s="1" t="s">
        <v>167</v>
      </c>
      <c r="C166" t="str">
        <f>IFERROR(__xludf.DUMMYFUNCTION("GOOGLETRANSLATE(B166, ""zh"", ""en"")"),"The actual transmission speed quickly around 7.2TB, a little disappointed, transmission over 100 MB a second, very fast")</f>
        <v>The actual transmission speed quickly around 7.2TB, a little disappointed, transmission over 100 MB a second, very fast</v>
      </c>
    </row>
    <row r="167">
      <c r="A167" s="1">
        <v>5.0</v>
      </c>
      <c r="B167" s="1" t="s">
        <v>168</v>
      </c>
      <c r="C167" t="str">
        <f>IFERROR(__xludf.DUMMYFUNCTION("GOOGLETRANSLATE(B167, ""zh"", ""en"")"),"Comfortable to a friend buy, he said wear comfortable")</f>
        <v>Comfortable to a friend buy, he said wear comfortable</v>
      </c>
    </row>
    <row r="168">
      <c r="A168" s="1">
        <v>5.0</v>
      </c>
      <c r="B168" s="1" t="s">
        <v>169</v>
      </c>
      <c r="C168" t="str">
        <f>IFERROR(__xludf.DUMMYFUNCTION("GOOGLETRANSLATE(B168, ""zh"", ""en"")"),"Good very comfortable. Narrow elastic band, like")</f>
        <v>Good very comfortable. Narrow elastic band, like</v>
      </c>
    </row>
    <row r="169">
      <c r="A169" s="1">
        <v>5.0</v>
      </c>
      <c r="B169" s="1" t="s">
        <v>170</v>
      </c>
      <c r="C169" t="str">
        <f>IFERROR(__xludf.DUMMYFUNCTION("GOOGLETRANSLATE(B169, ""zh"", ""en"")"),"Praise to colleagues in both Nichia one person, less than five days on arrival, packaging is very delicate, something very satisfied. Oh, the price is very affordable")</f>
        <v>Praise to colleagues in both Nichia one person, less than five days on arrival, packaging is very delicate, something very satisfied. Oh, the price is very affordable</v>
      </c>
    </row>
    <row r="170">
      <c r="A170" s="1">
        <v>5.0</v>
      </c>
      <c r="B170" s="1" t="s">
        <v>171</v>
      </c>
      <c r="C170" t="str">
        <f>IFERROR(__xludf.DUMMYFUNCTION("GOOGLETRANSLATE(B170, ""zh"", ""en"")"),"Affordable number of suitable, affordable lot.")</f>
        <v>Affordable number of suitable, affordable lot.</v>
      </c>
    </row>
    <row r="171">
      <c r="A171" s="1">
        <v>5.0</v>
      </c>
      <c r="B171" s="1" t="s">
        <v>172</v>
      </c>
      <c r="C171" t="str">
        <f>IFERROR(__xludf.DUMMYFUNCTION("GOOGLETRANSLATE(B171, ""zh"", ""en"")"),"Be sure to set up the system before use. Can write to 100M, need to set up virtual memory, hard disk attributes which opens a high-performance mode, otherwise only write speed of more than 20 M.")</f>
        <v>Be sure to set up the system before use. Can write to 100M, need to set up virtual memory, hard disk attributes which opens a high-performance mode, otherwise only write speed of more than 20 M.</v>
      </c>
    </row>
    <row r="172">
      <c r="A172" s="1">
        <v>5.0</v>
      </c>
      <c r="B172" s="1" t="s">
        <v>173</v>
      </c>
      <c r="C172" t="str">
        <f>IFERROR(__xludf.DUMMYFUNCTION("GOOGLETRANSLATE(B172, ""zh"", ""en"")"),"Sound good sound quality is good, or Baia classic taste, fast delivery")</f>
        <v>Sound good sound quality is good, or Baia classic taste, fast delivery</v>
      </c>
    </row>
    <row r="173">
      <c r="A173" s="1">
        <v>5.0</v>
      </c>
      <c r="B173" s="1" t="s">
        <v>174</v>
      </c>
      <c r="C173" t="str">
        <f>IFERROR(__xludf.DUMMYFUNCTION("GOOGLETRANSLATE(B173, ""zh"", ""en"")"),"Suitable systems classic jeans. Style trousers Americans do have a little bit big, is really straight")</f>
        <v>Suitable systems classic jeans. Style trousers Americans do have a little bit big, is really straight</v>
      </c>
    </row>
    <row r="174">
      <c r="A174" s="1">
        <v>5.0</v>
      </c>
      <c r="B174" s="1" t="s">
        <v>175</v>
      </c>
      <c r="C174" t="str">
        <f>IFERROR(__xludf.DUMMYFUNCTION("GOOGLETRANSLATE(B174, ""zh"", ""en"")"),"Pretty good size is very accurate, pants texture relatively thick, elastic waist band and the whole is, the pants are more generous. Such pants to buy domestic prices have doubled.")</f>
        <v>Pretty good size is very accurate, pants texture relatively thick, elastic waist band and the whole is, the pants are more generous. Such pants to buy domestic prices have doubled.</v>
      </c>
    </row>
    <row r="175">
      <c r="A175" s="1">
        <v>5.0</v>
      </c>
      <c r="B175" s="1" t="s">
        <v>176</v>
      </c>
      <c r="C175" t="str">
        <f>IFERROR(__xludf.DUMMYFUNCTION("GOOGLETRANSLATE(B175, ""zh"", ""en"")"),"perfect shoes i bought a smaller size than normal. It's perfect fit. Looking very beautiful as well. Wearing together with jean very cool. i'm from DX state, IT'S A PRIVINCE OF SHANDONG, NOT SOUTH OF US")</f>
        <v>perfect shoes i bought a smaller size than normal. It's perfect fit. Looking very beautiful as well. Wearing together with jean very cool. i'm from DX state, IT'S A PRIVINCE OF SHANDONG, NOT SOUTH OF US</v>
      </c>
    </row>
    <row r="176">
      <c r="A176" s="1">
        <v>5.0</v>
      </c>
      <c r="B176" s="1" t="s">
        <v>177</v>
      </c>
      <c r="C176" t="str">
        <f>IFERROR(__xludf.DUMMYFUNCTION("GOOGLETRANSLATE(B176, ""zh"", ""en"")"),"Yes well, belonging to summer models, thin")</f>
        <v>Yes well, belonging to summer models, thin</v>
      </c>
    </row>
    <row r="177">
      <c r="A177" s="1">
        <v>5.0</v>
      </c>
      <c r="B177" s="1" t="s">
        <v>178</v>
      </c>
      <c r="C177" t="str">
        <f>IFERROR(__xludf.DUMMYFUNCTION("GOOGLETRANSLATE(B177, ""zh"", ""en"")"),"Calcium has been a good choice for children at home feel with what it's really like no problem child")</f>
        <v>Calcium has been a good choice for children at home feel with what it's really like no problem child</v>
      </c>
    </row>
    <row r="178">
      <c r="A178" s="1">
        <v>5.0</v>
      </c>
      <c r="B178" s="1" t="s">
        <v>179</v>
      </c>
      <c r="C178" t="str">
        <f>IFERROR(__xludf.DUMMYFUNCTION("GOOGLETRANSLATE(B178, ""zh"", ""en"")"),"Good material is very thick. . . . Good material is very thick. . . . . .")</f>
        <v>Good material is very thick. . . . Good material is very thick. . . . . .</v>
      </c>
    </row>
    <row r="179">
      <c r="A179" s="1">
        <v>5.0</v>
      </c>
      <c r="B179" s="1" t="s">
        <v>180</v>
      </c>
      <c r="C179" t="str">
        <f>IFERROR(__xludf.DUMMYFUNCTION("GOOGLETRANSLATE(B179, ""zh"", ""en"")"),"Nice jeans very good, the right size, affordable, a lot cheaper than the store.")</f>
        <v>Nice jeans very good, the right size, affordable, a lot cheaper than the store.</v>
      </c>
    </row>
    <row r="180">
      <c r="A180" s="1">
        <v>5.0</v>
      </c>
      <c r="B180" s="1" t="s">
        <v>181</v>
      </c>
      <c r="C180" t="str">
        <f>IFERROR(__xludf.DUMMYFUNCTION("GOOGLETRANSLATE(B180, ""zh"", ""en"")"),"..... nice tableware, baby likes to use")</f>
        <v>..... nice tableware, baby likes to use</v>
      </c>
    </row>
    <row r="181">
      <c r="A181" s="1">
        <v>5.0</v>
      </c>
      <c r="B181" s="1" t="s">
        <v>182</v>
      </c>
      <c r="C181" t="str">
        <f>IFERROR(__xludf.DUMMYFUNCTION("GOOGLETRANSLATE(B181, ""zh"", ""en"")"),"With great difficulty feeling is gone! Very smooth, waxy feel nothing")</f>
        <v>With great difficulty feeling is gone! Very smooth, waxy feel nothing</v>
      </c>
    </row>
    <row r="182">
      <c r="A182" s="1">
        <v>5.0</v>
      </c>
      <c r="B182" s="1" t="s">
        <v>183</v>
      </c>
      <c r="C182" t="str">
        <f>IFERROR(__xludf.DUMMYFUNCTION("GOOGLETRANSLATE(B182, ""zh"", ""en"")"),"Good fat weight of normal size to buy points on the line long sleeves")</f>
        <v>Good fat weight of normal size to buy points on the line long sleeves</v>
      </c>
    </row>
    <row r="183">
      <c r="A183" s="1">
        <v>2.0</v>
      </c>
      <c r="B183" s="1" t="s">
        <v>184</v>
      </c>
      <c r="C183" t="str">
        <f>IFERROR(__xludf.DUMMYFUNCTION("GOOGLETRANSLATE(B183, ""zh"", ""en"")"),"This really believe! Start looking for a lot of brands, it can not be determined. Finally saw this, Schneider, good brand, many buyers, but also multi-product theory, so chose this. . But I tried to come back only to find that I should believe the words o"&amp;"f her brother upstairs. . This pen is really a little problem. . When the pen is really no water. . After I tried really believed. . But other better. . . For the first time in here to buy. . A little disappointed. . When ready to go to Macau to buy one. "&amp;". This will spare the. . .")</f>
        <v>This really believe! Start looking for a lot of brands, it can not be determined. Finally saw this, Schneider, good brand, many buyers, but also multi-product theory, so chose this. . But I tried to come back only to find that I should believe the words of her brother upstairs. . This pen is really a little problem. . When the pen is really no water. . After I tried really believed. . But other better. . . For the first time in here to buy. . A little disappointed. . When ready to go to Macau to buy one. . This will spare the. . .</v>
      </c>
    </row>
    <row r="184">
      <c r="A184" s="1">
        <v>3.0</v>
      </c>
      <c r="B184" s="1" t="s">
        <v>185</v>
      </c>
      <c r="C184" t="str">
        <f>IFERROR(__xludf.DUMMYFUNCTION("GOOGLETRANSLATE(B184, ""zh"", ""en"")"),"Quality not feel size is cotton, did not want big as pajamas, this quality is not, and I 170 m high 140 re-buy is too large.")</f>
        <v>Quality not feel size is cotton, did not want big as pajamas, this quality is not, and I 170 m high 140 re-buy is too large.</v>
      </c>
    </row>
    <row r="185">
      <c r="A185" s="1">
        <v>3.0</v>
      </c>
      <c r="B185" s="1" t="s">
        <v>186</v>
      </c>
      <c r="C185" t="str">
        <f>IFERROR(__xludf.DUMMYFUNCTION("GOOGLETRANSLATE(B185, ""zh"", ""en"")"),"Recommend buying 160,96 pounds, the right size, color is beige, which add velvet, the chest is printing, embroidery on the sleeves, the price was right, you can buy.")</f>
        <v>Recommend buying 160,96 pounds, the right size, color is beige, which add velvet, the chest is printing, embroidery on the sleeves, the price was right, you can buy.</v>
      </c>
    </row>
    <row r="186">
      <c r="A186" s="1">
        <v>3.0</v>
      </c>
      <c r="B186" s="1" t="s">
        <v>187</v>
      </c>
      <c r="C186" t="str">
        <f>IFERROR(__xludf.DUMMYFUNCTION("GOOGLETRANSLATE(B186, ""zh"", ""en"")"),"Ah ...... big as originally thought and columbia buy the US version of the XL just for me, to know what's Champion XL code so great, I consider themselves very wide shoulders dress like singing, because it is not expensive, do not bother to back up, direc"&amp;"t when put home wearing pajamas, after all, touch and feel the materials down is still very good, size is difficult to grasp ......")</f>
        <v>Ah ...... big as originally thought and columbia buy the US version of the XL just for me, to know what's Champion XL code so great, I consider themselves very wide shoulders dress like singing, because it is not expensive, do not bother to back up, direct when put home wearing pajamas, after all, touch and feel the materials down is still very good, size is difficult to grasp ......</v>
      </c>
    </row>
    <row r="187">
      <c r="A187" s="1">
        <v>1.0</v>
      </c>
      <c r="B187" s="1" t="s">
        <v>188</v>
      </c>
      <c r="C187" t="str">
        <f>IFERROR(__xludf.DUMMYFUNCTION("GOOGLETRANSLATE(B187, ""zh"", ""en"")"),"Mass generally hold a pen is pen-yl place is stitching together two plastic, obviously the seams")</f>
        <v>Mass generally hold a pen is pen-yl place is stitching together two plastic, obviously the seams</v>
      </c>
    </row>
    <row r="188">
      <c r="A188" s="1">
        <v>1.0</v>
      </c>
      <c r="B188" s="1" t="s">
        <v>189</v>
      </c>
      <c r="C188" t="str">
        <f>IFERROR(__xludf.DUMMYFUNCTION("GOOGLETRANSLATE(B188, ""zh"", ""en"")"),"Not bad, sent me a pen obviously used, not smooth")</f>
        <v>Not bad, sent me a pen obviously used, not smooth</v>
      </c>
    </row>
    <row r="189">
      <c r="A189" s="1">
        <v>1.0</v>
      </c>
      <c r="B189" s="1" t="s">
        <v>190</v>
      </c>
      <c r="C189" t="str">
        <f>IFERROR(__xludf.DUMMYFUNCTION("GOOGLETRANSLATE(B189, ""zh"", ""en"")"),"Overpaid overpaid, overpaid, a difference of 1000, 5800 before buying")</f>
        <v>Overpaid overpaid, overpaid, a difference of 1000, 5800 before buying</v>
      </c>
    </row>
    <row r="190">
      <c r="A190" s="1">
        <v>4.0</v>
      </c>
      <c r="B190" s="1" t="s">
        <v>191</v>
      </c>
      <c r="C190" t="str">
        <f>IFERROR(__xludf.DUMMYFUNCTION("GOOGLETRANSLATE(B190, ""zh"", ""en"")"),"No rims comfortable to wear very comfortable, gather good results, wear do not feel the summer heat in the body.")</f>
        <v>No rims comfortable to wear very comfortable, gather good results, wear do not feel the summer heat in the body.</v>
      </c>
    </row>
    <row r="191">
      <c r="A191" s="1">
        <v>4.0</v>
      </c>
      <c r="B191" s="1" t="s">
        <v>192</v>
      </c>
      <c r="C191" t="str">
        <f>IFERROR(__xludf.DUMMYFUNCTION("GOOGLETRANSLATE(B191, ""zh"", ""en"")"),"Wearing feeling of the day usually wear nike, adidas sports shoes is 36.5 to 37, this dual buy uk4 crowded forward, then followed it is also a little big, but prefer to wear loose a little so can be said to be appropriate, to walk indeed fall but as long "&amp;"as the heel that will not be tied shoelaces. puma details of the deal really is no good other brands, models wearing not care about quality, then start ok")</f>
        <v>Wearing feeling of the day usually wear nike, adidas sports shoes is 36.5 to 37, this dual buy uk4 crowded forward, then followed it is also a little big, but prefer to wear loose a little so can be said to be appropriate, to walk indeed fall but as long as the heel that will not be tied shoelaces. puma details of the deal really is no good other brands, models wearing not care about quality, then start ok</v>
      </c>
    </row>
    <row r="192">
      <c r="A192" s="1">
        <v>4.0</v>
      </c>
      <c r="B192" s="1" t="s">
        <v>193</v>
      </c>
      <c r="C192" t="str">
        <f>IFERROR(__xludf.DUMMYFUNCTION("GOOGLETRANSLATE(B192, ""zh"", ""en"")"),"Taste flavor, wash a few times, or taste")</f>
        <v>Taste flavor, wash a few times, or taste</v>
      </c>
    </row>
    <row r="193">
      <c r="A193" s="1">
        <v>4.0</v>
      </c>
      <c r="B193" s="1" t="s">
        <v>194</v>
      </c>
      <c r="C193" t="str">
        <f>IFERROR(__xludf.DUMMYFUNCTION("GOOGLETRANSLATE(B193, ""zh"", ""en"")"),"The only drawback is no good-looking hat rope. . . Where to go with ah")</f>
        <v>The only drawback is no good-looking hat rope. . . Where to go with ah</v>
      </c>
    </row>
    <row r="194">
      <c r="A194" s="1">
        <v>5.0</v>
      </c>
      <c r="B194" s="1" t="s">
        <v>195</v>
      </c>
      <c r="C194" t="str">
        <f>IFERROR(__xludf.DUMMYFUNCTION("GOOGLETRANSLATE(B194, ""zh"", ""en"")"),"A return to basic functions, that require only a simple chronograph movement and waterproof and outdoor enthusiasts is definitely the first choice. Back to nature, follow your heart and hobbies go, do not let all kinds of intelligent data own home!")</f>
        <v>A return to basic functions, that require only a simple chronograph movement and waterproof and outdoor enthusiasts is definitely the first choice. Back to nature, follow your heart and hobbies go, do not let all kinds of intelligent data own home!</v>
      </c>
    </row>
    <row r="195">
      <c r="A195" s="1">
        <v>5.0</v>
      </c>
      <c r="B195" s="1" t="s">
        <v>196</v>
      </c>
      <c r="C195" t="str">
        <f>IFERROR(__xludf.DUMMYFUNCTION("GOOGLETRANSLATE(B195, ""zh"", ""en"")"),"Cost-effective to buy her mother, very cost-effective, cost-effective.")</f>
        <v>Cost-effective to buy her mother, very cost-effective, cost-effective.</v>
      </c>
    </row>
    <row r="196">
      <c r="A196" s="1">
        <v>5.0</v>
      </c>
      <c r="B196" s="1" t="s">
        <v>197</v>
      </c>
      <c r="C196" t="str">
        <f>IFERROR(__xludf.DUMMYFUNCTION("GOOGLETRANSLATE(B196, ""zh"", ""en"")"),"Value for money is very nice and comfortable Chelsea, shoe size is very accurate")</f>
        <v>Value for money is very nice and comfortable Chelsea, shoe size is very accurate</v>
      </c>
    </row>
    <row r="197">
      <c r="A197" s="1">
        <v>5.0</v>
      </c>
      <c r="B197" s="1" t="s">
        <v>198</v>
      </c>
      <c r="C197" t="str">
        <f>IFERROR(__xludf.DUMMYFUNCTION("GOOGLETRANSLATE(B197, ""zh"", ""en"")"),"Good size just right, very comfortable to wear")</f>
        <v>Good size just right, very comfortable to wear</v>
      </c>
    </row>
    <row r="198">
      <c r="A198" s="1">
        <v>5.0</v>
      </c>
      <c r="B198" s="1" t="s">
        <v>199</v>
      </c>
      <c r="C198" t="str">
        <f>IFERROR(__xludf.DUMMYFUNCTION("GOOGLETRANSLATE(B198, ""zh"", ""en"")"),"Things can still ten dollars of things. Or can. China is now difficult to buy the crotch a little long pants. Especially the tall boy.")</f>
        <v>Things can still ten dollars of things. Or can. China is now difficult to buy the crotch a little long pants. Especially the tall boy.</v>
      </c>
    </row>
    <row r="199">
      <c r="A199" s="1">
        <v>5.0</v>
      </c>
      <c r="B199" s="1" t="s">
        <v>200</v>
      </c>
      <c r="C199" t="str">
        <f>IFERROR(__xludf.DUMMYFUNCTION("GOOGLETRANSLATE(B199, ""zh"", ""en"")"),"Can speed much faster than expected non-experts can not quite understand it")</f>
        <v>Can speed much faster than expected non-experts can not quite understand it</v>
      </c>
    </row>
    <row r="200">
      <c r="A200" s="1">
        <v>5.0</v>
      </c>
      <c r="B200" s="1" t="s">
        <v>201</v>
      </c>
      <c r="C200" t="str">
        <f>IFERROR(__xludf.DUMMYFUNCTION("GOOGLETRANSLATE(B200, ""zh"", ""en"")"),"US version being and body. 182cm, 110kg. In the country is not good to buy clothes, the US version XL positive and body.")</f>
        <v>US version being and body. 182cm, 110kg. In the country is not good to buy clothes, the US version XL positive and body.</v>
      </c>
    </row>
    <row r="201">
      <c r="A201" s="1">
        <v>5.0</v>
      </c>
      <c r="B201" s="1" t="s">
        <v>202</v>
      </c>
      <c r="C201" t="str">
        <f>IFERROR(__xludf.DUMMYFUNCTION("GOOGLETRANSLATE(B201, ""zh"", ""en"")"),"Grass for a long time! Grass for a long time ~! But Vita Mies things are too expensive, this is the classic version, which belongs to the business simple packaging, simple and practical, finally bite. Something good soy milk, rice cereal is very delicate "&amp;"oh ~!")</f>
        <v>Grass for a long time! Grass for a long time ~! But Vita Mies things are too expensive, this is the classic version, which belongs to the business simple packaging, simple and practical, finally bite. Something good soy milk, rice cereal is very delicate oh ~!</v>
      </c>
    </row>
    <row r="202">
      <c r="A202" s="1">
        <v>5.0</v>
      </c>
      <c r="B202" s="1" t="s">
        <v>203</v>
      </c>
      <c r="C202" t="str">
        <f>IFERROR(__xludf.DUMMYFUNCTION("GOOGLETRANSLATE(B202, ""zh"", ""en"")"),"Worth buying something good, I believe the country will also do out of such a product, but a lack of trust in the country, so it is still willing to buy in a foreign country. Copy on a computer issued a document, an average speed of 65 ~ 70M, three USB po"&amp;"rts are tried, a very slow 20M, the same as the other two, he said the speed of 380M did not see on my computer, I estimate computer USB port output problem, very stable, this time to buy such a good flash drive, also for the first time to buy expensive.")</f>
        <v>Worth buying something good, I believe the country will also do out of such a product, but a lack of trust in the country, so it is still willing to buy in a foreign country. Copy on a computer issued a document, an average speed of 65 ~ 70M, three USB ports are tried, a very slow 20M, the same as the other two, he said the speed of 380M did not see on my computer, I estimate computer USB port output problem, very stable, this time to buy such a good flash drive, also for the first time to buy expensive.</v>
      </c>
    </row>
    <row r="203">
      <c r="A203" s="1">
        <v>5.0</v>
      </c>
      <c r="B203" s="1" t="s">
        <v>204</v>
      </c>
      <c r="C203" t="str">
        <f>IFERROR(__xludf.DUMMYFUNCTION("GOOGLETRANSLATE(B203, ""zh"", ""en"")"),"Bang Bang workmanship is amazing, the price is beautiful")</f>
        <v>Bang Bang workmanship is amazing, the price is beautiful</v>
      </c>
    </row>
    <row r="204">
      <c r="A204" s="1">
        <v>5.0</v>
      </c>
      <c r="B204" s="1" t="s">
        <v>205</v>
      </c>
      <c r="C204" t="str">
        <f>IFERROR(__xludf.DUMMYFUNCTION("GOOGLETRANSLATE(B204, ""zh"", ""en"")"),"The Fleece very good workmanship is good, perfectly cut and comfortable to wear, worth buying.")</f>
        <v>The Fleece very good workmanship is good, perfectly cut and comfortable to wear, worth buying.</v>
      </c>
    </row>
    <row r="205">
      <c r="A205" s="1">
        <v>5.0</v>
      </c>
      <c r="B205" s="1" t="s">
        <v>206</v>
      </c>
      <c r="C205" t="str">
        <f>IFERROR(__xludf.DUMMYFUNCTION("GOOGLETRANSLATE(B205, ""zh"", ""en"")"),"Easy to use good use, sealing strong ..")</f>
        <v>Easy to use good use, sealing strong ..</v>
      </c>
    </row>
    <row r="206">
      <c r="A206" s="1">
        <v>5.0</v>
      </c>
      <c r="B206" s="1" t="s">
        <v>207</v>
      </c>
      <c r="C206" t="str">
        <f>IFERROR(__xludf.DUMMYFUNCTION("GOOGLETRANSLATE(B206, ""zh"", ""en"")"),"Overall good. Logistics very quickly, for the existence of the phenomenon of missing seconds, but overall still good table.")</f>
        <v>Overall good. Logistics very quickly, for the existence of the phenomenon of missing seconds, but overall still good table.</v>
      </c>
    </row>
    <row r="207">
      <c r="A207" s="1">
        <v>5.0</v>
      </c>
      <c r="B207" s="1" t="s">
        <v>208</v>
      </c>
      <c r="C207" t="str">
        <f>IFERROR(__xludf.DUMMYFUNCTION("GOOGLETRANSLATE(B207, ""zh"", ""en"")"),"I beautifully Oh, I liked it, liked the texture")</f>
        <v>I beautifully Oh, I liked it, liked the texture</v>
      </c>
    </row>
    <row r="208">
      <c r="A208" s="1">
        <v>5.0</v>
      </c>
      <c r="B208" s="1" t="s">
        <v>209</v>
      </c>
      <c r="C208" t="str">
        <f>IFERROR(__xludf.DUMMYFUNCTION("GOOGLETRANSLATE(B208, ""zh"", ""en"")"),"Strong man incarnation thick, put on just feel a lot of big, Slim may be more appropriate. But wear long to adapt. Very warm, slightly longer sleeves, the other very good, worth having")</f>
        <v>Strong man incarnation thick, put on just feel a lot of big, Slim may be more appropriate. But wear long to adapt. Very warm, slightly longer sleeves, the other very good, worth having</v>
      </c>
    </row>
    <row r="209">
      <c r="A209" s="1">
        <v>5.0</v>
      </c>
      <c r="B209" s="1" t="s">
        <v>210</v>
      </c>
      <c r="C209" t="str">
        <f>IFERROR(__xludf.DUMMYFUNCTION("GOOGLETRANSLATE(B209, ""zh"", ""en"")"),"So fit 172,64 kg, 30 * 30 perfect mess. First time to buy really good stuff LEE")</f>
        <v>So fit 172,64 kg, 30 * 30 perfect mess. First time to buy really good stuff LEE</v>
      </c>
    </row>
    <row r="210">
      <c r="A210" s="1">
        <v>5.0</v>
      </c>
      <c r="B210" s="1" t="s">
        <v>211</v>
      </c>
      <c r="C210" t="str">
        <f>IFERROR(__xludf.DUMMYFUNCTION("GOOGLETRANSLATE(B210, ""zh"", ""en"")"),"Men's comfortable, lightweight, suitable for foot, continue to support 😊")</f>
        <v>Men's comfortable, lightweight, suitable for foot, continue to support 😊</v>
      </c>
    </row>
    <row r="211">
      <c r="A211" s="1">
        <v>5.0</v>
      </c>
      <c r="B211" s="1" t="s">
        <v>212</v>
      </c>
      <c r="C211" t="str">
        <f>IFERROR(__xludf.DUMMYFUNCTION("GOOGLETRANSLATE(B211, ""zh"", ""en"")"),"When suitable for sports wear, flexible, parcel is also good, I usually like to wear loose underwear. The disadvantage is a little faded and shrunk after washing several times for sports when wearing, flexible, parcel is also good, I usually like to wear "&amp;"loose underwear. The disadvantage is a little faded and shrunk after washing several times")</f>
        <v>When suitable for sports wear, flexible, parcel is also good, I usually like to wear loose underwear. The disadvantage is a little faded and shrunk after washing several times for sports when wearing, flexible, parcel is also good, I usually like to wear loose underwear. The disadvantage is a little faded and shrunk after washing several times</v>
      </c>
    </row>
    <row r="212">
      <c r="A212" s="1">
        <v>5.0</v>
      </c>
      <c r="B212" s="1" t="s">
        <v>213</v>
      </c>
      <c r="C212" t="str">
        <f>IFERROR(__xludf.DUMMYFUNCTION("GOOGLETRANSLATE(B212, ""zh"", ""en"")"),"S is not good enough counter 166 67kg feel no good domestic counter in the lee work. Origin are Bangladesh and Cambodia. One")</f>
        <v>S is not good enough counter 166 67kg feel no good domestic counter in the lee work. Origin are Bangladesh and Cambodia. One</v>
      </c>
    </row>
    <row r="213">
      <c r="A213" s="1">
        <v>5.0</v>
      </c>
      <c r="B213" s="1" t="s">
        <v>214</v>
      </c>
      <c r="C213" t="str">
        <f>IFERROR(__xludf.DUMMYFUNCTION("GOOGLETRANSLATE(B213, ""zh"", ""en"")"),"Color a bit biased black color and a little difference Parker")</f>
        <v>Color a bit biased black color and a little difference Parker</v>
      </c>
    </row>
    <row r="214">
      <c r="A214" s="1">
        <v>5.0</v>
      </c>
      <c r="B214" s="1" t="s">
        <v>215</v>
      </c>
      <c r="C214" t="str">
        <f>IFERROR(__xludf.DUMMYFUNCTION("GOOGLETRANSLATE(B214, ""zh"", ""en"")"),"Comfortable very comfortable shoes, do not wear the foot as well as soft type, the disadvantage is easy to James Gray")</f>
        <v>Comfortable very comfortable shoes, do not wear the foot as well as soft type, the disadvantage is easy to James Gray</v>
      </c>
    </row>
    <row r="215">
      <c r="A215" s="1">
        <v>5.0</v>
      </c>
      <c r="B215" s="1" t="s">
        <v>216</v>
      </c>
      <c r="C215" t="str">
        <f>IFERROR(__xludf.DUMMYFUNCTION("GOOGLETRANSLATE(B215, ""zh"", ""en"")"),"Very good price, colleagues said things have been very satisfied with Panasonic's reliable. And do not buy a transformer. Cost-effective.")</f>
        <v>Very good price, colleagues said things have been very satisfied with Panasonic's reliable. And do not buy a transformer. Cost-effective.</v>
      </c>
    </row>
    <row r="216">
      <c r="A216" s="1">
        <v>2.0</v>
      </c>
      <c r="B216" s="1" t="s">
        <v>217</v>
      </c>
      <c r="C216" t="str">
        <f>IFERROR(__xludf.DUMMYFUNCTION("GOOGLETRANSLATE(B216, ""zh"", ""en"")"),"Poor quality have nothing to say, than it is good to spread the goods!")</f>
        <v>Poor quality have nothing to say, than it is good to spread the goods!</v>
      </c>
    </row>
    <row r="217">
      <c r="A217" s="1">
        <v>3.0</v>
      </c>
      <c r="B217" s="1" t="s">
        <v>218</v>
      </c>
      <c r="C217" t="str">
        <f>IFERROR(__xludf.DUMMYFUNCTION("GOOGLETRANSLATE(B217, ""zh"", ""en"")"),"Cost is not high picture looks pretty good, with not how physical and material goods. The price is not too low.")</f>
        <v>Cost is not high picture looks pretty good, with not how physical and material goods. The price is not too low.</v>
      </c>
    </row>
    <row r="218">
      <c r="A218" s="1">
        <v>3.0</v>
      </c>
      <c r="B218" s="1" t="s">
        <v>219</v>
      </c>
      <c r="C218" t="str">
        <f>IFERROR(__xludf.DUMMYFUNCTION("GOOGLETRANSLATE(B218, ""zh"", ""en"")"),"The right size. 176CM, 88KG, large size is not a little big myself.")</f>
        <v>The right size. 176CM, 88KG, large size is not a little big myself.</v>
      </c>
    </row>
    <row r="219">
      <c r="A219" s="1">
        <v>3.0</v>
      </c>
      <c r="B219" s="1" t="s">
        <v>220</v>
      </c>
      <c r="C219" t="str">
        <f>IFERROR(__xludf.DUMMYFUNCTION("GOOGLETRANSLATE(B219, ""zh"", ""en"")"),"Too lax loose, not tight weave preparation is not tight, the quality is generally")</f>
        <v>Too lax loose, not tight weave preparation is not tight, the quality is generally</v>
      </c>
    </row>
    <row r="220">
      <c r="A220" s="1">
        <v>1.0</v>
      </c>
      <c r="B220" s="1" t="s">
        <v>221</v>
      </c>
      <c r="C220" t="str">
        <f>IFERROR(__xludf.DUMMYFUNCTION("GOOGLETRANSLATE(B220, ""zh"", ""en"")"),"Within a year, the hard bit sound, the computer does not recognize less than a year, the hard bit sound, the computer does not recognize")</f>
        <v>Within a year, the hard bit sound, the computer does not recognize less than a year, the hard bit sound, the computer does not recognize</v>
      </c>
    </row>
    <row r="221">
      <c r="A221" s="1">
        <v>1.0</v>
      </c>
      <c r="B221" s="1" t="s">
        <v>222</v>
      </c>
      <c r="C221" t="str">
        <f>IFERROR(__xludf.DUMMYFUNCTION("GOOGLETRANSLATE(B221, ""zh"", ""en"")"),"Send us a bad table sent over a bad table, do not go. Too bad the online shopping experience. After're not on Amazon spending.")</f>
        <v>Send us a bad table sent over a bad table, do not go. Too bad the online shopping experience. After're not on Amazon spending.</v>
      </c>
    </row>
    <row r="222">
      <c r="A222" s="1">
        <v>4.0</v>
      </c>
      <c r="B222" s="1" t="s">
        <v>223</v>
      </c>
      <c r="C222" t="str">
        <f>IFERROR(__xludf.DUMMYFUNCTION("GOOGLETRANSLATE(B222, ""zh"", ""en"")"),"According to the usual size to buy enough, comfort is better not playing bad, but also very good is also good, but also buy the British-was inevitably shipping")</f>
        <v>According to the usual size to buy enough, comfort is better not playing bad, but also very good is also good, but also buy the British-was inevitably shipping</v>
      </c>
    </row>
    <row r="223">
      <c r="A223" s="1">
        <v>4.0</v>
      </c>
      <c r="B223" s="1" t="s">
        <v>224</v>
      </c>
      <c r="C223" t="str">
        <f>IFERROR(__xludf.DUMMYFUNCTION("GOOGLETRANSLATE(B223, ""zh"", ""en"")"),"Too large one yard 42 bit large, cushion insole can, like the 41")</f>
        <v>Too large one yard 42 bit large, cushion insole can, like the 41</v>
      </c>
    </row>
    <row r="224">
      <c r="A224" s="1">
        <v>4.0</v>
      </c>
      <c r="B224" s="1" t="s">
        <v>225</v>
      </c>
      <c r="C224" t="str">
        <f>IFERROR(__xludf.DUMMYFUNCTION("GOOGLETRANSLATE(B224, ""zh"", ""en"")"),"Warm slacks loose, wear warm.")</f>
        <v>Warm slacks loose, wear warm.</v>
      </c>
    </row>
    <row r="225">
      <c r="A225" s="1">
        <v>4.0</v>
      </c>
      <c r="B225" s="1" t="s">
        <v>226</v>
      </c>
      <c r="C225" t="str">
        <f>IFERROR(__xludf.DUMMYFUNCTION("GOOGLETRANSLATE(B225, ""zh"", ""en"")"),"The overall feeling okay. Fortunately, the general feeling in general. No ck comfortable. Logistics very quickly, the Vietnamese production.")</f>
        <v>The overall feeling okay. Fortunately, the general feeling in general. No ck comfortable. Logistics very quickly, the Vietnamese production.</v>
      </c>
    </row>
    <row r="226">
      <c r="A226" s="1">
        <v>4.0</v>
      </c>
      <c r="B226" s="1" t="s">
        <v>227</v>
      </c>
      <c r="C226" t="str">
        <f>IFERROR(__xludf.DUMMYFUNCTION("GOOGLETRANSLATE(B226, ""zh"", ""en"")"),"Pretty good, the price advantage, 6 days after the order to the waist 94-95, LEE jeans wear W34L32, selected 36 of the belt, the belt a total of five buttonholes, just to tie the third buttonhole length perfect. Quality in general, not very thick, not a g"&amp;"ood imagination.")</f>
        <v>Pretty good, the price advantage, 6 days after the order to the waist 94-95, LEE jeans wear W34L32, selected 36 of the belt, the belt a total of five buttonholes, just to tie the third buttonhole length perfect. Quality in general, not very thick, not a good imagination.</v>
      </c>
    </row>
    <row r="227">
      <c r="A227" s="1">
        <v>5.0</v>
      </c>
      <c r="B227" s="1" t="s">
        <v>228</v>
      </c>
      <c r="C227" t="str">
        <f>IFERROR(__xludf.DUMMYFUNCTION("GOOGLETRANSLATE(B227, ""zh"", ""en"")"),"Commodity good size")</f>
        <v>Commodity good size</v>
      </c>
    </row>
    <row r="228">
      <c r="A228" s="1">
        <v>5.0</v>
      </c>
      <c r="B228" s="1" t="s">
        <v>229</v>
      </c>
      <c r="C228" t="str">
        <f>IFERROR(__xludf.DUMMYFUNCTION("GOOGLETRANSLATE(B228, ""zh"", ""en"")"),"Children is the norm! I height 184, weight 86kg, long-term exercise, just wear L")</f>
        <v>Children is the norm! I height 184, weight 86kg, long-term exercise, just wear L</v>
      </c>
    </row>
    <row r="229">
      <c r="A229" s="1">
        <v>5.0</v>
      </c>
      <c r="B229" s="1" t="s">
        <v>230</v>
      </c>
      <c r="C229" t="str">
        <f>IFERROR(__xludf.DUMMYFUNCTION("GOOGLETRANSLATE(B229, ""zh"", ""en"")"),"Like very fit, 100 praise, but I want the code is only one color")</f>
        <v>Like very fit, 100 praise, but I want the code is only one color</v>
      </c>
    </row>
    <row r="230">
      <c r="A230" s="1">
        <v>5.0</v>
      </c>
      <c r="B230" s="1" t="s">
        <v>231</v>
      </c>
      <c r="C230" t="str">
        <f>IFERROR(__xludf.DUMMYFUNCTION("GOOGLETRANSLATE(B230, ""zh"", ""en"")"),"Cheaper genuine Amazon's something cheap and affordable, and authentic. It will come back.")</f>
        <v>Cheaper genuine Amazon's something cheap and affordable, and authentic. It will come back.</v>
      </c>
    </row>
    <row r="231">
      <c r="A231" s="1">
        <v>5.0</v>
      </c>
      <c r="B231" s="1" t="s">
        <v>232</v>
      </c>
      <c r="C231" t="str">
        <f>IFERROR(__xludf.DUMMYFUNCTION("GOOGLETRANSLATE(B231, ""zh"", ""en"")"),"Suitable to wear very comfortable, the right size, the sleeves a bit long, seemingly clothes in Europe and America, have long sleeves.")</f>
        <v>Suitable to wear very comfortable, the right size, the sleeves a bit long, seemingly clothes in Europe and America, have long sleeves.</v>
      </c>
    </row>
    <row r="232">
      <c r="A232" s="1">
        <v>5.0</v>
      </c>
      <c r="B232" s="1" t="s">
        <v>233</v>
      </c>
      <c r="C232" t="str">
        <f>IFERROR(__xludf.DUMMYFUNCTION("GOOGLETRANSLATE(B232, ""zh"", ""en"")"),"Super comfortable pants overall good, cost-effective, flexible material, comfortable, 182 high. 85KG, 33 * 32 Suitable basic, required functions as waist band elastic, slightly tight a little, do not know why no LEE W33 / L33 of this code, if the code, on"&amp;" the perfect.")</f>
        <v>Super comfortable pants overall good, cost-effective, flexible material, comfortable, 182 high. 85KG, 33 * 32 Suitable basic, required functions as waist band elastic, slightly tight a little, do not know why no LEE W33 / L33 of this code, if the code, on the perfect.</v>
      </c>
    </row>
    <row r="233">
      <c r="A233" s="1">
        <v>5.0</v>
      </c>
      <c r="B233" s="1" t="s">
        <v>234</v>
      </c>
      <c r="C233" t="str">
        <f>IFERROR(__xludf.DUMMYFUNCTION("GOOGLETRANSLATE(B233, ""zh"", ""en"")"),"Of good quality, simple and durable leather of good quality, the price is very appropriate. Very comfortable to wear. It is little more than the average 6 yards freshman. But belonging thin version of the shoe, and there is no zipper, and then if less tha"&amp;"n half yards, wear thick socks may step into a bit strenuous. Foot long net 24 tons, less than 24.5.")</f>
        <v>Of good quality, simple and durable leather of good quality, the price is very appropriate. Very comfortable to wear. It is little more than the average 6 yards freshman. But belonging thin version of the shoe, and there is no zipper, and then if less than half yards, wear thick socks may step into a bit strenuous. Foot long net 24 tons, less than 24.5.</v>
      </c>
    </row>
    <row r="234">
      <c r="A234" s="1">
        <v>5.0</v>
      </c>
      <c r="B234" s="1" t="s">
        <v>235</v>
      </c>
      <c r="C234" t="str">
        <f>IFERROR(__xludf.DUMMYFUNCTION("GOOGLETRANSLATE(B234, ""zh"", ""en"")"),"Good clothes very appropriate, very satisfied, the fabric is soft, very comfortable to wear")</f>
        <v>Good clothes very appropriate, very satisfied, the fabric is soft, very comfortable to wear</v>
      </c>
    </row>
    <row r="235">
      <c r="A235" s="1">
        <v>5.0</v>
      </c>
      <c r="B235" s="1" t="s">
        <v>236</v>
      </c>
      <c r="C235" t="str">
        <f>IFERROR(__xludf.DUMMYFUNCTION("GOOGLETRANSLATE(B235, ""zh"", ""en"")"),"Chinese production pattern is very bright, quality is also very thick, just do not know whether the material is 100% safe. Baby's cutlery we should do, really safe food grade! ! Is the foundation of humanity, but also the brand enduring!")</f>
        <v>Chinese production pattern is very bright, quality is also very thick, just do not know whether the material is 100% safe. Baby's cutlery we should do, really safe food grade! ! Is the foundation of humanity, but also the brand enduring!</v>
      </c>
    </row>
    <row r="236">
      <c r="A236" s="1">
        <v>5.0</v>
      </c>
      <c r="B236" s="1" t="s">
        <v>237</v>
      </c>
      <c r="C236" t="str">
        <f>IFERROR(__xludf.DUMMYFUNCTION("GOOGLETRANSLATE(B236, ""zh"", ""en"")"),"high speed. Fast, a little voice")</f>
        <v>high speed. Fast, a little voice</v>
      </c>
    </row>
    <row r="237">
      <c r="A237" s="1">
        <v>5.0</v>
      </c>
      <c r="B237" s="1" t="s">
        <v>238</v>
      </c>
      <c r="C237" t="str">
        <f>IFERROR(__xludf.DUMMYFUNCTION("GOOGLETRANSLATE(B237, ""zh"", ""en"")"),"Pants Pants very comfortable to wear, very warm")</f>
        <v>Pants Pants very comfortable to wear, very warm</v>
      </c>
    </row>
    <row r="238">
      <c r="A238" s="1">
        <v>5.0</v>
      </c>
      <c r="B238" s="1" t="s">
        <v>239</v>
      </c>
      <c r="C238" t="str">
        <f>IFERROR(__xludf.DUMMYFUNCTION("GOOGLETRANSLATE(B238, ""zh"", ""en"")"),"Comfortable, the right size high instep I, thumbs long, 40 yards of the foot, is to buy 6.5 yards, this is my pair of the most fit through their music, although still a little too low instep, but may loose shoelaces, wearing package is very strong, comfor"&amp;"table to walk, also very good with. Even greater than before to buy a pair of similar styles of Ecco comfortable.")</f>
        <v>Comfortable, the right size high instep I, thumbs long, 40 yards of the foot, is to buy 6.5 yards, this is my pair of the most fit through their music, although still a little too low instep, but may loose shoelaces, wearing package is very strong, comfortable to walk, also very good with. Even greater than before to buy a pair of similar styles of Ecco comfortable.</v>
      </c>
    </row>
    <row r="239">
      <c r="A239" s="1">
        <v>5.0</v>
      </c>
      <c r="B239" s="1" t="s">
        <v>240</v>
      </c>
      <c r="C239" t="str">
        <f>IFERROR(__xludf.DUMMYFUNCTION("GOOGLETRANSLATE(B239, ""zh"", ""en"")"),"Perfect bought four, and light, strict, effective insulation")</f>
        <v>Perfect bought four, and light, strict, effective insulation</v>
      </c>
    </row>
    <row r="240">
      <c r="A240" s="1">
        <v>5.0</v>
      </c>
      <c r="B240" s="1" t="s">
        <v>241</v>
      </c>
      <c r="C240" t="str">
        <f>IFERROR(__xludf.DUMMYFUNCTION("GOOGLETRANSLATE(B240, ""zh"", ""en"")"),"Professional headphone frequency response equalization, a very good headphones")</f>
        <v>Professional headphone frequency response equalization, a very good headphones</v>
      </c>
    </row>
    <row r="241">
      <c r="A241" s="1">
        <v>5.0</v>
      </c>
      <c r="B241" s="1" t="s">
        <v>242</v>
      </c>
      <c r="C241" t="str">
        <f>IFERROR(__xludf.DUMMYFUNCTION("GOOGLETRANSLATE(B241, ""zh"", ""en"")"),"Slightly higher price very good, very good color, is slightly higher price, is produced in the United States")</f>
        <v>Slightly higher price very good, very good color, is slightly higher price, is produced in the United States</v>
      </c>
    </row>
    <row r="242">
      <c r="A242" s="1">
        <v>5.0</v>
      </c>
      <c r="B242" s="1" t="s">
        <v>243</v>
      </c>
      <c r="C242" t="str">
        <f>IFERROR(__xludf.DUMMYFUNCTION("GOOGLETRANSLATE(B242, ""zh"", ""en"")"),"Super cute cutlery super cute color, very practical")</f>
        <v>Super cute cutlery super cute color, very practical</v>
      </c>
    </row>
    <row r="243">
      <c r="A243" s="1">
        <v>5.0</v>
      </c>
      <c r="B243" s="1" t="s">
        <v>244</v>
      </c>
      <c r="C243" t="str">
        <f>IFERROR(__xludf.DUMMYFUNCTION("GOOGLETRANSLATE(B243, ""zh"", ""en"")"),"Overseas shopping benefits package is very solid, very thin, Seagate shipped more, the failure rate is too low, with the hope that this long period of time, the bin tray.")</f>
        <v>Overseas shopping benefits package is very solid, very thin, Seagate shipped more, the failure rate is too low, with the hope that this long period of time, the bin tray.</v>
      </c>
    </row>
    <row r="244">
      <c r="A244" s="1">
        <v>5.0</v>
      </c>
      <c r="B244" s="1" t="s">
        <v>245</v>
      </c>
      <c r="C244" t="str">
        <f>IFERROR(__xludf.DUMMYFUNCTION("GOOGLETRANSLATE(B244, ""zh"", ""en"")"),"Yes genuine, very complete, almost seamless charcoal")</f>
        <v>Yes genuine, very complete, almost seamless charcoal</v>
      </c>
    </row>
    <row r="245">
      <c r="A245" s="1">
        <v>5.0</v>
      </c>
      <c r="B245" s="1" t="s">
        <v>246</v>
      </c>
      <c r="C245" t="str">
        <f>IFERROR(__xludf.DUMMYFUNCTION("GOOGLETRANSLATE(B245, ""zh"", ""en"")"),"Very comfortable to wear than expected soft and comfortable, it is recommended to buy a small one yards than sneakers, very good")</f>
        <v>Very comfortable to wear than expected soft and comfortable, it is recommended to buy a small one yards than sneakers, very good</v>
      </c>
    </row>
    <row r="246">
      <c r="A246" s="1">
        <v>5.0</v>
      </c>
      <c r="B246" s="1" t="s">
        <v>247</v>
      </c>
      <c r="C246" t="str">
        <f>IFERROR(__xludf.DUMMYFUNCTION("GOOGLETRANSLATE(B246, ""zh"", ""en"")"),"Thermostatic faucets relatively small, cost-effective five days they received, please install the master while to get, with a little temperature control buttons (black dots) seems does not work, press and press can not rotate, but the temperature control "&amp;"or fine, small showers, thermostatic faucets in general this relatively small, very high cost. Shower plastic tube is relatively hard to change their original tube")</f>
        <v>Thermostatic faucets relatively small, cost-effective five days they received, please install the master while to get, with a little temperature control buttons (black dots) seems does not work, press and press can not rotate, but the temperature control or fine, small showers, thermostatic faucets in general this relatively small, very high cost. Shower plastic tube is relatively hard to change their original tube</v>
      </c>
    </row>
    <row r="247">
      <c r="A247" s="1">
        <v>5.0</v>
      </c>
      <c r="B247" s="1" t="s">
        <v>248</v>
      </c>
      <c r="C247" t="str">
        <f>IFERROR(__xludf.DUMMYFUNCTION("GOOGLETRANSLATE(B247, ""zh"", ""en"")"),"Recommend this lean people to wear pants is still very good, is a little more rigid, excessive water will be much better, my height 181CM, 65 kg, waist circumference 2 feet 4, wearing 31WX32L just right. I want to start can be used as reference")</f>
        <v>Recommend this lean people to wear pants is still very good, is a little more rigid, excessive water will be much better, my height 181CM, 65 kg, waist circumference 2 feet 4, wearing 31WX32L just right. I want to start can be used as reference</v>
      </c>
    </row>
    <row r="248">
      <c r="A248" s="1">
        <v>5.0</v>
      </c>
      <c r="B248" s="1" t="s">
        <v>249</v>
      </c>
      <c r="C248" t="str">
        <f>IFERROR(__xludf.DUMMYFUNCTION("GOOGLETRANSLATE(B248, ""zh"", ""en"")"),"Good straight jeans, nice and comfortable, standard size.")</f>
        <v>Good straight jeans, nice and comfortable, standard size.</v>
      </c>
    </row>
    <row r="249">
      <c r="A249" s="1">
        <v>2.0</v>
      </c>
      <c r="B249" s="1" t="s">
        <v>250</v>
      </c>
      <c r="C249" t="str">
        <f>IFERROR(__xludf.DUMMYFUNCTION("GOOGLETRANSLATE(B249, ""zh"", ""en"")"),"The quality is not spent half a year, there was a small pit bottom of the pot and there is a growing trend, ready to insist on using it until the leak, how long can look at it in the end, not the pot material, this should be it inside the bubble sheet")</f>
        <v>The quality is not spent half a year, there was a small pit bottom of the pot and there is a growing trend, ready to insist on using it until the leak, how long can look at it in the end, not the pot material, this should be it inside the bubble sheet</v>
      </c>
    </row>
    <row r="250">
      <c r="A250" s="1">
        <v>3.0</v>
      </c>
      <c r="B250" s="1" t="s">
        <v>251</v>
      </c>
      <c r="C250" t="str">
        <f>IFERROR(__xludf.DUMMYFUNCTION("GOOGLETRANSLATE(B250, ""zh"", ""en"")"),"Bad chest logo embroidery, like the knockoff")</f>
        <v>Bad chest logo embroidery, like the knockoff</v>
      </c>
    </row>
    <row r="251">
      <c r="A251" s="1">
        <v>3.0</v>
      </c>
      <c r="B251" s="1" t="s">
        <v>252</v>
      </c>
      <c r="C251" t="str">
        <f>IFERROR(__xludf.DUMMYFUNCTION("GOOGLETRANSLATE(B251, ""zh"", ""en"")"),"Product is very general, you can not have too high expectations can not look carefully, otherwise too many flaws. A little disappointed. 1, the case is plastic, do a metal coating, with a long time will definitely fall off. There are instructions that did"&amp;" not look carefully. 2, bracelet good weak, especially in the case and buckle connections. 3, small black dial, beginning some are not used. 4, directed energy to buy, I hope more durable. 5, distance is good. Nichia speed really fast, under a single Sund"&amp;"ay, Wednesday received. Try two months of Prime membership, are a bit embarrassed. Officially joined the prime. 188 which is very cost-effective, express a document to Brazil have more than three.")</f>
        <v>Product is very general, you can not have too high expectations can not look carefully, otherwise too many flaws. A little disappointed. 1, the case is plastic, do a metal coating, with a long time will definitely fall off. There are instructions that did not look carefully. 2, bracelet good weak, especially in the case and buckle connections. 3, small black dial, beginning some are not used. 4, directed energy to buy, I hope more durable. 5, distance is good. Nichia speed really fast, under a single Sunday, Wednesday received. Try two months of Prime membership, are a bit embarrassed. Officially joined the prime. 188 which is very cost-effective, express a document to Brazil have more than three.</v>
      </c>
    </row>
    <row r="252">
      <c r="A252" s="1">
        <v>1.0</v>
      </c>
      <c r="B252" s="1" t="s">
        <v>253</v>
      </c>
      <c r="C252" t="str">
        <f>IFERROR(__xludf.DUMMYFUNCTION("GOOGLETRANSLATE(B252, ""zh"", ""en"")"),"Formaldehyde taste, wash off! very bad! Clothes industrial taste, washed 2 times with salt water soak can not afford!")</f>
        <v>Formaldehyde taste, wash off! very bad! Clothes industrial taste, washed 2 times with salt water soak can not afford!</v>
      </c>
    </row>
    <row r="253">
      <c r="A253" s="1">
        <v>1.0</v>
      </c>
      <c r="B253" s="1" t="s">
        <v>254</v>
      </c>
      <c r="C253" t="str">
        <f>IFERROR(__xludf.DUMMYFUNCTION("GOOGLETRANSLATE(B253, ""zh"", ""en"")"),"Please buy carefully, less than two months out of the second hand, no warranty service overseas purchase! Please buy carefully! ! With durable shatterproof known for GSHOCK actually a couple of days with the occasional once-off frequency using a second ha"&amp;"nd, and start with just less than two months. Overseas purchase orders to return after a month time Amazon on the matter, there is no global service warranty card, coordinate Shanghai, own contact the UK, so we choose carefully Amazon. . Careful ah!")</f>
        <v>Please buy carefully, less than two months out of the second hand, no warranty service overseas purchase! Please buy carefully! ! With durable shatterproof known for GSHOCK actually a couple of days with the occasional once-off frequency using a second hand, and start with just less than two months. Overseas purchase orders to return after a month time Amazon on the matter, there is no global service warranty card, coordinate Shanghai, own contact the UK, so we choose carefully Amazon. . Careful ah!</v>
      </c>
    </row>
    <row r="254">
      <c r="A254" s="1">
        <v>1.0</v>
      </c>
      <c r="B254" s="1" t="s">
        <v>255</v>
      </c>
      <c r="C254" t="str">
        <f>IFERROR(__xludf.DUMMYFUNCTION("GOOGLETRANSLATE(B254, ""zh"", ""en"")"),"Dyeing clothes smell I bought clothes last year with the money belt she receives flavor, is received when the dyeing smell completely different")</f>
        <v>Dyeing clothes smell I bought clothes last year with the money belt she receives flavor, is received when the dyeing smell completely different</v>
      </c>
    </row>
    <row r="255">
      <c r="A255" s="1">
        <v>4.0</v>
      </c>
      <c r="B255" s="1" t="s">
        <v>256</v>
      </c>
      <c r="C255" t="str">
        <f>IFERROR(__xludf.DUMMYFUNCTION("GOOGLETRANSLATE(B255, ""zh"", ""en"")"),"The more low-key, more professional. The first time to get our hands out of the box, inspection, verification, all no problem, the only pity is less headphone package. k240s indeed more difficult to push. The computer also added to the tablet will be very"&amp;" difficult. In short pot headphones hope to have finished pleasant surprise.")</f>
        <v>The more low-key, more professional. The first time to get our hands out of the box, inspection, verification, all no problem, the only pity is less headphone package. k240s indeed more difficult to push. The computer also added to the tablet will be very difficult. In short pot headphones hope to have finished pleasant surprise.</v>
      </c>
    </row>
    <row r="256">
      <c r="A256" s="1">
        <v>4.0</v>
      </c>
      <c r="B256" s="1" t="s">
        <v>257</v>
      </c>
      <c r="C256" t="str">
        <f>IFERROR(__xludf.DUMMYFUNCTION("GOOGLETRANSLATE(B256, ""zh"", ""en"")"),"Delivery delayed! The product itself is OK, delivery delayed quite a long time. SMS notification said to be fastened customs. So it seems, customs clearance is also very complex book it.")</f>
        <v>Delivery delayed! The product itself is OK, delivery delayed quite a long time. SMS notification said to be fastened customs. So it seems, customs clearance is also very complex book it.</v>
      </c>
    </row>
    <row r="257">
      <c r="A257" s="1">
        <v>4.0</v>
      </c>
      <c r="B257" s="1" t="s">
        <v>258</v>
      </c>
      <c r="C257" t="str">
        <f>IFERROR(__xludf.DUMMYFUNCTION("GOOGLETRANSLATE(B257, ""zh"", ""en"")"),"Recommended very good to wear! Usually wear 37, this time to buy the freshman code, a slight surplus, but will not significantly large feet, the very type! A week earlier than we expected to.")</f>
        <v>Recommended very good to wear! Usually wear 37, this time to buy the freshman code, a slight surplus, but will not significantly large feet, the very type! A week earlier than we expected to.</v>
      </c>
    </row>
    <row r="258">
      <c r="A258" s="1">
        <v>4.0</v>
      </c>
      <c r="B258" s="1" t="s">
        <v>259</v>
      </c>
      <c r="C258" t="str">
        <f>IFERROR(__xludf.DUMMYFUNCTION("GOOGLETRANSLATE(B258, ""zh"", ""en"")"),"It can also be made in Thailand. A little flaw, the overall good.")</f>
        <v>It can also be made in Thailand. A little flaw, the overall good.</v>
      </c>
    </row>
    <row r="259">
      <c r="A259" s="1">
        <v>4.0</v>
      </c>
      <c r="B259" s="1" t="s">
        <v>260</v>
      </c>
      <c r="C259" t="str">
        <f>IFERROR(__xludf.DUMMYFUNCTION("GOOGLETRANSLATE(B259, ""zh"", ""en"")"),"Good shoes, size is too good shoes, foot wear very comfortable, lightweight and have a feeling of wearing, but really big. I usually wear sneakers 38, this stretch has a finger into more than colleagues 39 feet, try just right. Like people have to buy a s"&amp;"mall one yard. Note that my German Amazon shipped.")</f>
        <v>Good shoes, size is too good shoes, foot wear very comfortable, lightweight and have a feeling of wearing, but really big. I usually wear sneakers 38, this stretch has a finger into more than colleagues 39 feet, try just right. Like people have to buy a small one yard. Note that my German Amazon shipped.</v>
      </c>
    </row>
    <row r="260">
      <c r="A260" s="1">
        <v>5.0</v>
      </c>
      <c r="B260" s="1" t="s">
        <v>261</v>
      </c>
      <c r="C260" t="str">
        <f>IFERROR(__xludf.DUMMYFUNCTION("GOOGLETRANSLATE(B260, ""zh"", ""en"")"),"Shoes are good shoes, numbers are not decent shoes are good shoes, numbers are not serious?")</f>
        <v>Shoes are good shoes, numbers are not decent shoes are good shoes, numbers are not serious?</v>
      </c>
    </row>
    <row r="261">
      <c r="A261" s="1">
        <v>5.0</v>
      </c>
      <c r="B261" s="1" t="s">
        <v>262</v>
      </c>
      <c r="C261" t="str">
        <f>IFERROR(__xludf.DUMMYFUNCTION("GOOGLETRANSLATE(B261, ""zh"", ""en"")"),"Strongly recommended insulation performance, lightweight fine.")</f>
        <v>Strongly recommended insulation performance, lightweight fine.</v>
      </c>
    </row>
    <row r="262">
      <c r="A262" s="1">
        <v>5.0</v>
      </c>
      <c r="B262" s="1" t="s">
        <v>263</v>
      </c>
      <c r="C262" t="str">
        <f>IFERROR(__xludf.DUMMYFUNCTION("GOOGLETRANSLATE(B262, ""zh"", ""en"")"),"A very comfortable shaping pants I bought more than ten shaping pants, and this is the most comfortable one")</f>
        <v>A very comfortable shaping pants I bought more than ten shaping pants, and this is the most comfortable one</v>
      </c>
    </row>
    <row r="263">
      <c r="A263" s="1">
        <v>5.0</v>
      </c>
      <c r="B263" s="1" t="s">
        <v>264</v>
      </c>
      <c r="C263" t="str">
        <f>IFERROR(__xludf.DUMMYFUNCTION("GOOGLETRANSLATE(B263, ""zh"", ""en"")"),"CAT has been worth buying to wear, not bad play this pair really good to wear, foot feeling good, a lot more comfortable than the CAT boots. Wide really is money, high fat and foot for foot, foot the proposed election of the general standard shoe last is "&amp;"like!")</f>
        <v>CAT has been worth buying to wear, not bad play this pair really good to wear, foot feeling good, a lot more comfortable than the CAT boots. Wide really is money, high fat and foot for foot, foot the proposed election of the general standard shoe last is like!</v>
      </c>
    </row>
    <row r="264">
      <c r="A264" s="1">
        <v>5.0</v>
      </c>
      <c r="B264" s="1" t="s">
        <v>265</v>
      </c>
      <c r="C264" t="str">
        <f>IFERROR(__xludf.DUMMYFUNCTION("GOOGLETRANSLATE(B264, ""zh"", ""en"")"),"The satisfaction of a good shopping")</f>
        <v>The satisfaction of a good shopping</v>
      </c>
    </row>
    <row r="265">
      <c r="A265" s="1">
        <v>5.0</v>
      </c>
      <c r="B265" s="1" t="s">
        <v>266</v>
      </c>
      <c r="C265" t="str">
        <f>IFERROR(__xludf.DUMMYFUNCTION("GOOGLETRANSLATE(B265, ""zh"", ""en"")"),"Fortunately things, but by the time not very long, home, kids are drinking warm water, then drink the easier to cool, after all children to drink water or super slow things better, but with not a long time at home children are drinking warm water, then dr"&amp;"ink the easier to cool, after all children to drink water or ultra-slow")</f>
        <v>Fortunately things, but by the time not very long, home, kids are drinking warm water, then drink the easier to cool, after all children to drink water or super slow things better, but with not a long time at home children are drinking warm water, then drink the easier to cool, after all children to drink water or ultra-slow</v>
      </c>
    </row>
    <row r="266">
      <c r="A266" s="1">
        <v>5.0</v>
      </c>
      <c r="B266" s="1" t="s">
        <v>267</v>
      </c>
      <c r="C266" t="str">
        <f>IFERROR(__xludf.DUMMYFUNCTION("GOOGLETRANSLATE(B266, ""zh"", ""en"")"),"Very good, very good satisfaction, satisfaction, help my brother to buy, he liked, is the price of 1/3")</f>
        <v>Very good, very good satisfaction, satisfaction, help my brother to buy, he liked, is the price of 1/3</v>
      </c>
    </row>
    <row r="267">
      <c r="A267" s="1">
        <v>5.0</v>
      </c>
      <c r="B267" s="1" t="s">
        <v>268</v>
      </c>
      <c r="C267" t="str">
        <f>IFERROR(__xludf.DUMMYFUNCTION("GOOGLETRANSLATE(B267, ""zh"", ""en"")"),"Clarks is very affordable soles relatively soft, comfortable, but not very wearable. Domestic shoe 25.5-26, the election code 7.5UK, 8.5US, 41.5")</f>
        <v>Clarks is very affordable soles relatively soft, comfortable, but not very wearable. Domestic shoe 25.5-26, the election code 7.5UK, 8.5US, 41.5</v>
      </c>
    </row>
    <row r="268">
      <c r="A268" s="1">
        <v>5.0</v>
      </c>
      <c r="B268" s="1" t="s">
        <v>269</v>
      </c>
      <c r="C268" t="str">
        <f>IFERROR(__xludf.DUMMYFUNCTION("GOOGLETRANSLATE(B268, ""zh"", ""en"")"),"Very well liked, better than expected. There are other colors the better.")</f>
        <v>Very well liked, better than expected. There are other colors the better.</v>
      </c>
    </row>
    <row r="269">
      <c r="A269" s="1">
        <v>5.0</v>
      </c>
      <c r="B269" s="1" t="s">
        <v>270</v>
      </c>
      <c r="C269" t="str">
        <f>IFERROR(__xludf.DUMMYFUNCTION("GOOGLETRANSLATE(B269, ""zh"", ""en"")"),"Chuan Chuan soles hard but nothing uncomfortable for everyday wear his house is still the No. 37.5, this pair is a bit tight in front of relatively flat, thin socks can also be, or wear little toe (I belong to a relatively high instep), the sole began to "&amp;"feel hard, then nothing Chuan Chuan uncomfortable naturally adapted")</f>
        <v>Chuan Chuan soles hard but nothing uncomfortable for everyday wear his house is still the No. 37.5, this pair is a bit tight in front of relatively flat, thin socks can also be, or wear little toe (I belong to a relatively high instep), the sole began to feel hard, then nothing Chuan Chuan uncomfortable naturally adapted</v>
      </c>
    </row>
    <row r="270">
      <c r="A270" s="1">
        <v>5.0</v>
      </c>
      <c r="B270" s="1" t="s">
        <v>271</v>
      </c>
      <c r="C270" t="str">
        <f>IFERROR(__xludf.DUMMYFUNCTION("GOOGLETRANSLATE(B270, ""zh"", ""en"")"),"Help a friend buy to help a friend buy, feedback came over and said very good.")</f>
        <v>Help a friend buy to help a friend buy, feedback came over and said very good.</v>
      </c>
    </row>
    <row r="271">
      <c r="A271" s="1">
        <v>5.0</v>
      </c>
      <c r="B271" s="1" t="s">
        <v>272</v>
      </c>
      <c r="C271" t="str">
        <f>IFERROR(__xludf.DUMMYFUNCTION("GOOGLETRANSLATE(B271, ""zh"", ""en"")"),"Satisfied too satisfied, very nice!")</f>
        <v>Satisfied too satisfied, very nice!</v>
      </c>
    </row>
    <row r="272">
      <c r="A272" s="1">
        <v>5.0</v>
      </c>
      <c r="B272" s="1" t="s">
        <v>273</v>
      </c>
      <c r="C272" t="str">
        <f>IFERROR(__xludf.DUMMYFUNCTION("GOOGLETRANSLATE(B272, ""zh"", ""en"")"),"WD My Passport Ultra 2TB mobile hard disk advantages: Amazon five black booty, low price; color carton packaging, sealed, the whole new; shell is two materials, the above aluminum alloy, the following is plastic; mobile hard disk sub-section PC version an"&amp;"d MAC version, but not the same as the original format, the other are the same, no matter which version to buy, you can again change the format so that the application of different systems; USB-C port, the included USB-A interface conversion head; super f"&amp;"ast speed, actually per second, about 230MB, and the speed and stability, basically to maintain full speed, it can be called God disk. Disadvantages: work is acceptable, but not particularly fine, the gap between the upper and lower covers of the housing "&amp;"slightly larger.")</f>
        <v>WD My Passport Ultra 2TB mobile hard disk advantages: Amazon five black booty, low price; color carton packaging, sealed, the whole new; shell is two materials, the above aluminum alloy, the following is plastic; mobile hard disk sub-section PC version and MAC version, but not the same as the original format, the other are the same, no matter which version to buy, you can again change the format so that the application of different systems; USB-C port, the included USB-A interface conversion head; super fast speed, actually per second, about 230MB, and the speed and stability, basically to maintain full speed, it can be called God disk. Disadvantages: work is acceptable, but not particularly fine, the gap between the upper and lower covers of the housing slightly larger.</v>
      </c>
    </row>
    <row r="273">
      <c r="A273" s="1">
        <v>5.0</v>
      </c>
      <c r="B273" s="1" t="s">
        <v>274</v>
      </c>
      <c r="C273" t="str">
        <f>IFERROR(__xludf.DUMMYFUNCTION("GOOGLETRANSLATE(B273, ""zh"", ""en"")"),"Like package good, very practical, is made in China")</f>
        <v>Like package good, very practical, is made in China</v>
      </c>
    </row>
    <row r="274">
      <c r="A274" s="1">
        <v>5.0</v>
      </c>
      <c r="B274" s="1" t="s">
        <v>275</v>
      </c>
      <c r="C274" t="str">
        <f>IFERROR(__xludf.DUMMYFUNCTION("GOOGLETRANSLATE(B274, ""zh"", ""en"")"),"Proper good, very accurate numbers, the version Ye Hao.")</f>
        <v>Proper good, very accurate numbers, the version Ye Hao.</v>
      </c>
    </row>
    <row r="275">
      <c r="A275" s="1">
        <v>5.0</v>
      </c>
      <c r="B275" s="1" t="s">
        <v>276</v>
      </c>
      <c r="C275" t="str">
        <f>IFERROR(__xludf.DUMMYFUNCTION("GOOGLETRANSLATE(B275, ""zh"", ""en"")"),"Whether the packaging is very good, the product is very good!")</f>
        <v>Whether the packaging is very good, the product is very good!</v>
      </c>
    </row>
    <row r="276">
      <c r="A276" s="1">
        <v>5.0</v>
      </c>
      <c r="B276" s="1" t="s">
        <v>277</v>
      </c>
      <c r="C276" t="str">
        <f>IFERROR(__xludf.DUMMYFUNCTION("GOOGLETRANSLATE(B276, ""zh"", ""en"")"),"Very good usually wear No. 43, this buy 43.5. Length is a little rich. Feet more fat, feeling a little bit crowded. Perhaps the buy 44. Heavy, running up and obviously tired. When the weight-bearing exercises")</f>
        <v>Very good usually wear No. 43, this buy 43.5. Length is a little rich. Feet more fat, feeling a little bit crowded. Perhaps the buy 44. Heavy, running up and obviously tired. When the weight-bearing exercises</v>
      </c>
    </row>
    <row r="277">
      <c r="A277" s="1">
        <v>5.0</v>
      </c>
      <c r="B277" s="1" t="s">
        <v>278</v>
      </c>
      <c r="C277" t="str">
        <f>IFERROR(__xludf.DUMMYFUNCTION("GOOGLETRANSLATE(B277, ""zh"", ""en"")"),"Tiger mug Tiger believe this brand is good, look good, cup light, thermal insulation effect is also very good.")</f>
        <v>Tiger mug Tiger believe this brand is good, look good, cup light, thermal insulation effect is also very good.</v>
      </c>
    </row>
    <row r="278">
      <c r="A278" s="1">
        <v>5.0</v>
      </c>
      <c r="B278" s="1" t="s">
        <v>279</v>
      </c>
      <c r="C278" t="str">
        <f>IFERROR(__xludf.DUMMYFUNCTION("GOOGLETRANSLATE(B278, ""zh"", ""en"")"),"Very high cost praise, worthy of promotion.")</f>
        <v>Very high cost praise, worthy of promotion.</v>
      </c>
    </row>
    <row r="279">
      <c r="A279" s="1">
        <v>5.0</v>
      </c>
      <c r="B279" s="1" t="s">
        <v>280</v>
      </c>
      <c r="C279" t="str">
        <f>IFERROR(__xludf.DUMMYFUNCTION("GOOGLETRANSLATE(B279, ""zh"", ""en"")"),"RIVER LIGHT Japan wok 30cm J 1430 good pot, heat conduction fast, too light")</f>
        <v>RIVER LIGHT Japan wok 30cm J 1430 good pot, heat conduction fast, too light</v>
      </c>
    </row>
    <row r="280">
      <c r="A280" s="1">
        <v>5.0</v>
      </c>
      <c r="B280" s="1" t="s">
        <v>281</v>
      </c>
      <c r="C280" t="str">
        <f>IFERROR(__xludf.DUMMYFUNCTION("GOOGLETRANSLATE(B280, ""zh"", ""en"")"),"Suitable size 172 75kg wear m Slim (usually fitness)")</f>
        <v>Suitable size 172 75kg wear m Slim (usually fitness)</v>
      </c>
    </row>
    <row r="281">
      <c r="A281" s="1">
        <v>5.0</v>
      </c>
      <c r="B281" s="1" t="s">
        <v>282</v>
      </c>
      <c r="C281" t="str">
        <f>IFERROR(__xludf.DUMMYFUNCTION("GOOGLETRANSLATE(B281, ""zh"", ""en"")"),"Greater value for money, affordable, a big bottle")</f>
        <v>Greater value for money, affordable, a big bottle</v>
      </c>
    </row>
    <row r="282">
      <c r="A282" s="1">
        <v>2.0</v>
      </c>
      <c r="B282" s="1" t="s">
        <v>283</v>
      </c>
      <c r="C282" t="str">
        <f>IFERROR(__xludf.DUMMYFUNCTION("GOOGLETRANSLATE(B282, ""zh"", ""en"")"),"Material uncomfortable material feels uncomfortable, and imagine a lot worse")</f>
        <v>Material uncomfortable material feels uncomfortable, and imagine a lot worse</v>
      </c>
    </row>
    <row r="283">
      <c r="A283" s="1">
        <v>3.0</v>
      </c>
      <c r="B283" s="1" t="s">
        <v>284</v>
      </c>
      <c r="C283" t="str">
        <f>IFERROR(__xludf.DUMMYFUNCTION("GOOGLETRANSLATE(B283, ""zh"", ""en"")"),"Quality is not ye drop super light, attached to the screen is plastic, easily scratched. Suitable for use as toys for children")</f>
        <v>Quality is not ye drop super light, attached to the screen is plastic, easily scratched. Suitable for use as toys for children</v>
      </c>
    </row>
    <row r="284">
      <c r="A284" s="1">
        <v>3.0</v>
      </c>
      <c r="B284" s="1" t="s">
        <v>285</v>
      </c>
      <c r="C284" t="str">
        <f>IFERROR(__xludf.DUMMYFUNCTION("GOOGLETRANSLATE(B284, ""zh"", ""en"")"),"Okay too thick! And after washing the hair with a lot of inner retreat")</f>
        <v>Okay too thick! And after washing the hair with a lot of inner retreat</v>
      </c>
    </row>
    <row r="285">
      <c r="A285" s="1">
        <v>1.0</v>
      </c>
      <c r="B285" s="1" t="s">
        <v>286</v>
      </c>
      <c r="C285" t="str">
        <f>IFERROR(__xludf.DUMMYFUNCTION("GOOGLETRANSLATE(B285, ""zh"", ""en"")"),"This is a second-hand goods suspected washed pants, emitting a smell of liquid detergent, is the second time the pants do the old do?")</f>
        <v>This is a second-hand goods suspected washed pants, emitting a smell of liquid detergent, is the second time the pants do the old do?</v>
      </c>
    </row>
    <row r="286">
      <c r="A286" s="1">
        <v>1.0</v>
      </c>
      <c r="B286" s="1" t="s">
        <v>287</v>
      </c>
      <c r="C286" t="str">
        <f>IFERROR(__xludf.DUMMYFUNCTION("GOOGLETRANSLATE(B286, ""zh"", ""en"")"),"Warranty service go from here? ? ? Second hand does not scale, no invoices, no tag. Very worried about whether or not genuine. No official seal on the warranty card, it means that there is no guarantee post-warranty service")</f>
        <v>Warranty service go from here? ? ? Second hand does not scale, no invoices, no tag. Very worried about whether or not genuine. No official seal on the warranty card, it means that there is no guarantee post-warranty service</v>
      </c>
    </row>
    <row r="287">
      <c r="A287" s="1">
        <v>4.0</v>
      </c>
      <c r="B287" s="1" t="s">
        <v>288</v>
      </c>
      <c r="C287" t="str">
        <f>IFERROR(__xludf.DUMMYFUNCTION("GOOGLETRANSLATE(B287, ""zh"", ""en"")"),"Shoes too small shoes than usual smaller number two.")</f>
        <v>Shoes too small shoes than usual smaller number two.</v>
      </c>
    </row>
    <row r="288">
      <c r="A288" s="1">
        <v>4.0</v>
      </c>
      <c r="B288" s="1" t="s">
        <v>289</v>
      </c>
      <c r="C288" t="str">
        <f>IFERROR(__xludf.DUMMYFUNCTION("GOOGLETRANSLATE(B288, ""zh"", ""en"")"),"Has been using this brand of good, did not say do not eat baby pacifier")</f>
        <v>Has been using this brand of good, did not say do not eat baby pacifier</v>
      </c>
    </row>
    <row r="289">
      <c r="A289" s="1">
        <v>4.0</v>
      </c>
      <c r="B289" s="1" t="s">
        <v>290</v>
      </c>
      <c r="C289" t="str">
        <f>IFERROR(__xludf.DUMMYFUNCTION("GOOGLETRANSLATE(B289, ""zh"", ""en"")"),"Too long too long. The usual completely different to buy this useless so long. Pants themselves look good. Unfortunately, my short legs")</f>
        <v>Too long too long. The usual completely different to buy this useless so long. Pants themselves look good. Unfortunately, my short legs</v>
      </c>
    </row>
    <row r="290">
      <c r="A290" s="1">
        <v>4.0</v>
      </c>
      <c r="B290" s="1" t="s">
        <v>291</v>
      </c>
      <c r="C290" t="str">
        <f>IFERROR(__xludf.DUMMYFUNCTION("GOOGLETRANSLATE(B290, ""zh"", ""en"")"),"Recommended to buy a larger circumference than the end of 5044, the effect is not as stable 5044, for some low-intensity exercise. Breast shape strange, it seemed a bit sharp. Uh, but this rose red color of the upper body quite significant. Doing yoga wea"&amp;"r or very good. Boast an overseas purchase, orders to be served as long as five days. When prices are low to start very appropriate.")</f>
        <v>Recommended to buy a larger circumference than the end of 5044, the effect is not as stable 5044, for some low-intensity exercise. Breast shape strange, it seemed a bit sharp. Uh, but this rose red color of the upper body quite significant. Doing yoga wear or very good. Boast an overseas purchase, orders to be served as long as five days. When prices are low to start very appropriate.</v>
      </c>
    </row>
    <row r="291">
      <c r="A291" s="1">
        <v>4.0</v>
      </c>
      <c r="B291" s="1" t="s">
        <v>292</v>
      </c>
      <c r="C291" t="str">
        <f>IFERROR(__xludf.DUMMYFUNCTION("GOOGLETRANSLATE(B291, ""zh"", ""en"")"),"Fun feel not so swollen legs but really good Guia spike buy so expensive it would be to wear a long look")</f>
        <v>Fun feel not so swollen legs but really good Guia spike buy so expensive it would be to wear a long look</v>
      </c>
    </row>
    <row r="292">
      <c r="A292" s="1">
        <v>5.0</v>
      </c>
      <c r="B292" s="1" t="s">
        <v>293</v>
      </c>
      <c r="C292" t="str">
        <f>IFERROR(__xludf.DUMMYFUNCTION("GOOGLETRANSLATE(B292, ""zh"", ""en"")"),"Ear, good bass. Bass is good, but the headphones inside the plastic stent, a little pressure to the ears, wearing a long time hurts. Noise reduction in general, this headset bass hit it. This price is worth buying!")</f>
        <v>Ear, good bass. Bass is good, but the headphones inside the plastic stent, a little pressure to the ears, wearing a long time hurts. Noise reduction in general, this headset bass hit it. This price is worth buying!</v>
      </c>
    </row>
    <row r="293">
      <c r="A293" s="1">
        <v>5.0</v>
      </c>
      <c r="B293" s="1" t="s">
        <v>294</v>
      </c>
      <c r="C293" t="str">
        <f>IFERROR(__xludf.DUMMYFUNCTION("GOOGLETRANSLATE(B293, ""zh"", ""en"")"),"It is very suitable clothes fit, and 170cm trumpet 60 + kg for very fit, wear very significant figure.")</f>
        <v>It is very suitable clothes fit, and 170cm trumpet 60 + kg for very fit, wear very significant figure.</v>
      </c>
    </row>
    <row r="294">
      <c r="A294" s="1">
        <v>5.0</v>
      </c>
      <c r="B294" s="1" t="s">
        <v>295</v>
      </c>
      <c r="C294" t="str">
        <f>IFERROR(__xludf.DUMMYFUNCTION("GOOGLETRANSLATE(B294, ""zh"", ""en"")"),"Cute flowers, cute flowers da savory taste, savory taste da!")</f>
        <v>Cute flowers, cute flowers da savory taste, savory taste da!</v>
      </c>
    </row>
    <row r="295">
      <c r="A295" s="1">
        <v>5.0</v>
      </c>
      <c r="B295" s="1" t="s">
        <v>296</v>
      </c>
      <c r="C295" t="str">
        <f>IFERROR(__xludf.DUMMYFUNCTION("GOOGLETRANSLATE(B295, ""zh"", ""en"")"),"Amazon first time to buy things in the world. This color is very fond of. The price is still relatively affordable.")</f>
        <v>Amazon first time to buy things in the world. This color is very fond of. The price is still relatively affordable.</v>
      </c>
    </row>
    <row r="296">
      <c r="A296" s="1">
        <v>5.0</v>
      </c>
      <c r="B296" s="1" t="s">
        <v>297</v>
      </c>
      <c r="C296" t="str">
        <f>IFERROR(__xludf.DUMMYFUNCTION("GOOGLETRANSLATE(B296, ""zh"", ""en"")"),"Gray often like really worth buying, good insulation effect, use every day of it. Value for money")</f>
        <v>Gray often like really worth buying, good insulation effect, use every day of it. Value for money</v>
      </c>
    </row>
    <row r="297">
      <c r="A297" s="1">
        <v>5.0</v>
      </c>
      <c r="B297" s="1" t="s">
        <v>298</v>
      </c>
      <c r="C297" t="str">
        <f>IFERROR(__xludf.DUMMYFUNCTION("GOOGLETRANSLATE(B297, ""zh"", ""en"")"),"No sense of panties to wear do not feel it's there! Very comfortable!")</f>
        <v>No sense of panties to wear do not feel it's there! Very comfortable!</v>
      </c>
    </row>
    <row r="298">
      <c r="A298" s="1">
        <v>5.0</v>
      </c>
      <c r="B298" s="1" t="s">
        <v>299</v>
      </c>
      <c r="C298" t="str">
        <f>IFERROR(__xludf.DUMMYFUNCTION("GOOGLETRANSLATE(B298, ""zh"", ""en"")"),"Moisturizing just used one, more moisture")</f>
        <v>Moisturizing just used one, more moisture</v>
      </c>
    </row>
    <row r="299">
      <c r="A299" s="1">
        <v>5.0</v>
      </c>
      <c r="B299" s="1" t="s">
        <v>300</v>
      </c>
      <c r="C299" t="str">
        <f>IFERROR(__xludf.DUMMYFUNCTION("GOOGLETRANSLATE(B299, ""zh"", ""en"")"),"Wacoal postpartum cummerbund (long section) feel quite useless, and the homework is next only to buy this, very good, to adhere, at least eight hours a day for it")</f>
        <v>Wacoal postpartum cummerbund (long section) feel quite useless, and the homework is next only to buy this, very good, to adhere, at least eight hours a day for it</v>
      </c>
    </row>
    <row r="300">
      <c r="A300" s="1">
        <v>5.0</v>
      </c>
      <c r="B300" s="1" t="s">
        <v>301</v>
      </c>
      <c r="C300" t="str">
        <f>IFERROR(__xludf.DUMMYFUNCTION("GOOGLETRANSLATE(B300, ""zh"", ""en"")"),"Easy to use no taste, very easy to use, very good, but the lack of grip at the rare work, in general, good")</f>
        <v>Easy to use no taste, very easy to use, very good, but the lack of grip at the rare work, in general, good</v>
      </c>
    </row>
    <row r="301">
      <c r="A301" s="1">
        <v>5.0</v>
      </c>
      <c r="B301" s="1" t="s">
        <v>302</v>
      </c>
      <c r="C301" t="str">
        <f>IFERROR(__xludf.DUMMYFUNCTION("GOOGLETRANSLATE(B301, ""zh"", ""en"")"),"High-capacity switch with large capacity, as well as a separate switch, running noise and vibration is very small")</f>
        <v>High-capacity switch with large capacity, as well as a separate switch, running noise and vibration is very small</v>
      </c>
    </row>
    <row r="302">
      <c r="A302" s="1">
        <v>5.0</v>
      </c>
      <c r="B302" s="1" t="s">
        <v>303</v>
      </c>
      <c r="C302" t="str">
        <f>IFERROR(__xludf.DUMMYFUNCTION("GOOGLETRANSLATE(B302, ""zh"", ""en"")"),"Fast delivery, taste satisfaction orders Monday night, Saturday I received, no taste additives, fine")</f>
        <v>Fast delivery, taste satisfaction orders Monday night, Saturday I received, no taste additives, fine</v>
      </c>
    </row>
    <row r="303">
      <c r="A303" s="1">
        <v>5.0</v>
      </c>
      <c r="B303" s="1" t="s">
        <v>304</v>
      </c>
      <c r="C303" t="str">
        <f>IFERROR(__xludf.DUMMYFUNCTION("GOOGLETRANSLATE(B303, ""zh"", ""en"")"),"Ge Mola great shoes is the price too unstable")</f>
        <v>Ge Mola great shoes is the price too unstable</v>
      </c>
    </row>
    <row r="304">
      <c r="A304" s="1">
        <v>5.0</v>
      </c>
      <c r="B304" s="1" t="s">
        <v>305</v>
      </c>
      <c r="C304" t="str">
        <f>IFERROR(__xludf.DUMMYFUNCTION("GOOGLETRANSLATE(B304, ""zh"", ""en"")"),"Comfortable very comfortable, no sense of restraint, like naked, is the effect I want")</f>
        <v>Comfortable very comfortable, no sense of restraint, like naked, is the effect I want</v>
      </c>
    </row>
    <row r="305">
      <c r="A305" s="1">
        <v>5.0</v>
      </c>
      <c r="B305" s="1" t="s">
        <v>306</v>
      </c>
      <c r="C305" t="str">
        <f>IFERROR(__xludf.DUMMYFUNCTION("GOOGLETRANSLATE(B305, ""zh"", ""en"")"),"Original line, balanced sound, headphone and resurrected as the original line, the parcel came from Japan, for about a week. Taobao price and not much worse, mainly buy at ease.")</f>
        <v>Original line, balanced sound, headphone and resurrected as the original line, the parcel came from Japan, for about a week. Taobao price and not much worse, mainly buy at ease.</v>
      </c>
    </row>
    <row r="306">
      <c r="A306" s="1">
        <v>5.0</v>
      </c>
      <c r="B306" s="1" t="s">
        <v>307</v>
      </c>
      <c r="C306" t="str">
        <f>IFERROR(__xludf.DUMMYFUNCTION("GOOGLETRANSLATE(B306, ""zh"", ""en"")"),"Special bar! That's great! Feel good! M size for everyone to reference height 171 weight of just 67 selected! Long sleeves rolled up just ~ wear is also nice")</f>
        <v>Special bar! That's great! Feel good! M size for everyone to reference height 171 weight of just 67 selected! Long sleeves rolled up just ~ wear is also nice</v>
      </c>
    </row>
    <row r="307">
      <c r="A307" s="1">
        <v>5.0</v>
      </c>
      <c r="B307" s="1" t="s">
        <v>308</v>
      </c>
      <c r="C307" t="str">
        <f>IFERROR(__xludf.DUMMYFUNCTION("GOOGLETRANSLATE(B307, ""zh"", ""en"")"),"well! Great! Packaging is also very tricky, there outside the box. ~ A lot cheaper than domestic prices have been tangled or buy DG Nespresso, eventually chose Nes.")</f>
        <v>well! Great! Packaging is also very tricky, there outside the box. ~ A lot cheaper than domestic prices have been tangled or buy DG Nespresso, eventually chose Nes.</v>
      </c>
    </row>
    <row r="308">
      <c r="A308" s="1">
        <v>5.0</v>
      </c>
      <c r="B308" s="1" t="s">
        <v>309</v>
      </c>
      <c r="C308" t="str">
        <f>IFERROR(__xludf.DUMMYFUNCTION("GOOGLETRANSLATE(B308, ""zh"", ""en"")"),"Yes ah bigger cortex, bags than expected")</f>
        <v>Yes ah bigger cortex, bags than expected</v>
      </c>
    </row>
    <row r="309">
      <c r="A309" s="1">
        <v>5.0</v>
      </c>
      <c r="B309" s="1" t="s">
        <v>310</v>
      </c>
      <c r="C309" t="str">
        <f>IFERROR(__xludf.DUMMYFUNCTION("GOOGLETRANSLATE(B309, ""zh"", ""en"")"),"Soft and comfortable soft and comfortable, no sense of restraint. Since wearing the county is learned that underwear can do so comfortably. Japan big difference, overseas Amazon purchase really save money!")</f>
        <v>Soft and comfortable soft and comfortable, no sense of restraint. Since wearing the county is learned that underwear can do so comfortably. Japan big difference, overseas Amazon purchase really save money!</v>
      </c>
    </row>
    <row r="310">
      <c r="A310" s="1">
        <v>5.0</v>
      </c>
      <c r="B310" s="1" t="s">
        <v>311</v>
      </c>
      <c r="C310" t="str">
        <f>IFERROR(__xludf.DUMMYFUNCTION("GOOGLETRANSLATE(B310, ""zh"", ""en"")"),"OK again to buy a larger size, the 68 kg 170 Height")</f>
        <v>OK again to buy a larger size, the 68 kg 170 Height</v>
      </c>
    </row>
    <row r="311">
      <c r="A311" s="1">
        <v>5.0</v>
      </c>
      <c r="B311" s="1" t="s">
        <v>312</v>
      </c>
      <c r="C311" t="str">
        <f>IFERROR(__xludf.DUMMYFUNCTION("GOOGLETRANSLATE(B311, ""zh"", ""en"")"),"Health food packaging dark at ease, taking two weeks does fish oil and other differences are significant effect, mediation endocrine and neurological health help for mental worker")</f>
        <v>Health food packaging dark at ease, taking two weeks does fish oil and other differences are significant effect, mediation endocrine and neurological health help for mental worker</v>
      </c>
    </row>
    <row r="312">
      <c r="A312" s="1">
        <v>5.0</v>
      </c>
      <c r="B312" s="1" t="s">
        <v>313</v>
      </c>
      <c r="C312" t="str">
        <f>IFERROR(__xludf.DUMMYFUNCTION("GOOGLETRANSLATE(B312, ""zh"", ""en"")"),"Highly recommended very thin, very self-cultivation, the material is very vertical, no ironing. I 173CM 77kg.")</f>
        <v>Highly recommended very thin, very self-cultivation, the material is very vertical, no ironing. I 173CM 77kg.</v>
      </c>
    </row>
    <row r="313">
      <c r="A313" s="1">
        <v>5.0</v>
      </c>
      <c r="B313" s="1" t="s">
        <v>314</v>
      </c>
      <c r="C313" t="str">
        <f>IFERROR(__xludf.DUMMYFUNCTION("GOOGLETRANSLATE(B313, ""zh"", ""en"")"),"toto showers something good, looks very grade, feeling to buy a good deal.")</f>
        <v>toto showers something good, looks very grade, feeling to buy a good deal.</v>
      </c>
    </row>
    <row r="314">
      <c r="A314" s="1">
        <v>2.0</v>
      </c>
      <c r="B314" s="1" t="s">
        <v>315</v>
      </c>
      <c r="C314" t="str">
        <f>IFERROR(__xludf.DUMMYFUNCTION("GOOGLETRANSLATE(B314, ""zh"", ""en"")"),"In addition to comfortable a little bit small, still very comfortable to wear. Just wear a little tight, a few days will be better, than the recommended yards shoes large a half a yard.")</f>
        <v>In addition to comfortable a little bit small, still very comfortable to wear. Just wear a little tight, a few days will be better, than the recommended yards shoes large a half a yard.</v>
      </c>
    </row>
    <row r="315">
      <c r="A315" s="1">
        <v>3.0</v>
      </c>
      <c r="B315" s="1" t="s">
        <v>316</v>
      </c>
      <c r="C315" t="str">
        <f>IFERROR(__xludf.DUMMYFUNCTION("GOOGLETRANSLATE(B315, ""zh"", ""en"")"),"No bad effect coasters do not hold up, a bit sharp arc is not good, not good!")</f>
        <v>No bad effect coasters do not hold up, a bit sharp arc is not good, not good!</v>
      </c>
    </row>
    <row r="316">
      <c r="A316" s="1">
        <v>3.0</v>
      </c>
      <c r="B316" s="1" t="s">
        <v>317</v>
      </c>
      <c r="C316" t="str">
        <f>IFERROR(__xludf.DUMMYFUNCTION("GOOGLETRANSLATE(B316, ""zh"", ""en"")"),"Li crotch short, thin thighs, crotch short trousers fat stand, uncomfortable to wear, a little thin legs, visual effects, a bit stretched, trousers fat, the effect of straight too, bought a few pants in the Amazon to buy overseas, do not fit , it appears "&amp;"that version and the country is still very large differences foreigners")</f>
        <v>Li crotch short, thin thighs, crotch short trousers fat stand, uncomfortable to wear, a little thin legs, visual effects, a bit stretched, trousers fat, the effect of straight too, bought a few pants in the Amazon to buy overseas, do not fit , it appears that version and the country is still very large differences foreigners</v>
      </c>
    </row>
    <row r="317">
      <c r="A317" s="1">
        <v>1.0</v>
      </c>
      <c r="B317" s="1" t="s">
        <v>318</v>
      </c>
      <c r="C317" t="str">
        <f>IFERROR(__xludf.DUMMYFUNCTION("GOOGLETRANSLATE(B317, ""zh"", ""en"")"),"Color old-fashioned, old-fashioned style color does not look good, does not look good style")</f>
        <v>Color old-fashioned, old-fashioned style color does not look good, does not look good style</v>
      </c>
    </row>
    <row r="318">
      <c r="A318" s="1">
        <v>1.0</v>
      </c>
      <c r="B318" s="1" t="s">
        <v>319</v>
      </c>
      <c r="C318" t="str">
        <f>IFERROR(__xludf.DUMMYFUNCTION("GOOGLETRANSLATE(B318, ""zh"", ""en"")"),"This has not called chromatic aberration big. Color is simply poles apart. I feel cheated.")</f>
        <v>This has not called chromatic aberration big. Color is simply poles apart. I feel cheated.</v>
      </c>
    </row>
    <row r="319">
      <c r="A319" s="1">
        <v>1.0</v>
      </c>
      <c r="B319" s="1" t="s">
        <v>320</v>
      </c>
      <c r="C319" t="str">
        <f>IFERROR(__xludf.DUMMYFUNCTION("GOOGLETRANSLATE(B319, ""zh"", ""en"")"),"Yan had plenty of good value with the general cut-off are two core blade it good bad ah")</f>
        <v>Yan had plenty of good value with the general cut-off are two core blade it good bad ah</v>
      </c>
    </row>
    <row r="320">
      <c r="A320" s="1">
        <v>4.0</v>
      </c>
      <c r="B320" s="1" t="s">
        <v>321</v>
      </c>
      <c r="C320" t="str">
        <f>IFERROR(__xludf.DUMMYFUNCTION("GOOGLETRANSLATE(B320, ""zh"", ""en"")"),"This is the fifth and Amazon black cat seen during the day but up to two-eleven shopping the most disappointing No. 23 November under five single black Ref 674 yuan; wangyikaola do now limit the number of code didodecanyl activities only 589 yuan. (See Am"&amp;"azon review says there are more than 500 hand, but that is not my personal and my heart full steam ahead) 1. First we have the concept of a penny a minute goods (due to play but Amazon) good introduction written inside 10061 , intradermal years, but get t"&amp;"he goods long after knowledge, buy bid kid 5M know this code after the arrival of universal knowledge call 12909 2. classic rhubarb boots category: 10061 (men's, lace holes: within seven holes, Pirie , anti-fatigue mat shoes) 10361 (female models, lace ho"&amp;"les: tin, intradermal, the anti-fatigue mat shoes) 12909 (Kids style / low version, sub-big kid and little kid, an adult must buy big kid, laces hole: tin, inner cloth lining, ordinary cloth insoles) weight: lighter than adult models. Roundup: Amazon to b"&amp;"uy things, goods prices are subject to change at any time, different color codes different prices, introduce fuzzy information, comments are an important basis for people's reference. Finally, 235 feet of his wife wearing a bid kid 5M appropriate code, wa"&amp;"nt to help people see this comment.")</f>
        <v>This is the fifth and Amazon black cat seen during the day but up to two-eleven shopping the most disappointing No. 23 November under five single black Ref 674 yuan; wangyikaola do now limit the number of code didodecanyl activities only 589 yuan. (See Amazon review says there are more than 500 hand, but that is not my personal and my heart full steam ahead) 1. First we have the concept of a penny a minute goods (due to play but Amazon) good introduction written inside 10061 , intradermal years, but get the goods long after knowledge, buy bid kid 5M know this code after the arrival of universal knowledge call 12909 2. classic rhubarb boots category: 10061 (men's, lace holes: within seven holes, Pirie , anti-fatigue mat shoes) 10361 (female models, lace holes: tin, intradermal, the anti-fatigue mat shoes) 12909 (Kids style / low version, sub-big kid and little kid, an adult must buy big kid, laces hole: tin, inner cloth lining, ordinary cloth insoles) weight: lighter than adult models. Roundup: Amazon to buy things, goods prices are subject to change at any time, different color codes different prices, introduce fuzzy information, comments are an important basis for people's reference. Finally, 235 feet of his wife wearing a bid kid 5M appropriate code, want to help people see this comment.</v>
      </c>
    </row>
    <row r="321">
      <c r="A321" s="1">
        <v>4.0</v>
      </c>
      <c r="B321" s="1" t="s">
        <v>322</v>
      </c>
      <c r="C321" t="str">
        <f>IFERROR(__xludf.DUMMYFUNCTION("GOOGLETRANSLATE(B321, ""zh"", ""en"")"),"Satisfied overall satisfied, size, thickness, color")</f>
        <v>Satisfied overall satisfied, size, thickness, color</v>
      </c>
    </row>
    <row r="322">
      <c r="A322" s="1">
        <v>4.0</v>
      </c>
      <c r="B322" s="1" t="s">
        <v>323</v>
      </c>
      <c r="C322" t="str">
        <f>IFERROR(__xludf.DUMMYFUNCTION("GOOGLETRANSLATE(B322, ""zh"", ""en"")"),"Fast delivery, good packaging single number in the January 8, 16 received, domestic distribution is SF, faster than I expected, but the packaging is not so bad before evaluation, should be improved. The filter has not yet begun with the hope to buy as goo"&amp;"d as before.")</f>
        <v>Fast delivery, good packaging single number in the January 8, 16 received, domestic distribution is SF, faster than I expected, but the packaging is not so bad before evaluation, should be improved. The filter has not yet begun with the hope to buy as good as before.</v>
      </c>
    </row>
    <row r="323">
      <c r="A323" s="1">
        <v>4.0</v>
      </c>
      <c r="B323" s="1" t="s">
        <v>324</v>
      </c>
      <c r="C323" t="str">
        <f>IFERROR(__xludf.DUMMYFUNCTION("GOOGLETRANSLATE(B323, ""zh"", ""en"")"),"No manual I bought elsewhere how it can bottle with instructions (in various languages), but in the Amazon to buy nothing inside, the taste is larger than the original buy, do not know how ...... packaging down no difference.")</f>
        <v>No manual I bought elsewhere how it can bottle with instructions (in various languages), but in the Amazon to buy nothing inside, the taste is larger than the original buy, do not know how ...... packaging down no difference.</v>
      </c>
    </row>
    <row r="324">
      <c r="A324" s="1">
        <v>5.0</v>
      </c>
      <c r="B324" s="1" t="s">
        <v>325</v>
      </c>
      <c r="C324" t="str">
        <f>IFERROR(__xludf.DUMMYFUNCTION("GOOGLETRANSLATE(B324, ""zh"", ""en"")"),"Said that the date code is too small to buy to buy just the right date code M, waist size to fall just right Bohou")</f>
        <v>Said that the date code is too small to buy to buy just the right date code M, waist size to fall just right Bohou</v>
      </c>
    </row>
    <row r="325">
      <c r="A325" s="1">
        <v>5.0</v>
      </c>
      <c r="B325" s="1" t="s">
        <v>326</v>
      </c>
      <c r="C325" t="str">
        <f>IFERROR(__xludf.DUMMYFUNCTION("GOOGLETRANSLATE(B325, ""zh"", ""en"")"),"Value for money is very light, they did not find water leakage, basic plastic lids and removable, easy to clean.")</f>
        <v>Value for money is very light, they did not find water leakage, basic plastic lids and removable, easy to clean.</v>
      </c>
    </row>
    <row r="326">
      <c r="A326" s="1">
        <v>5.0</v>
      </c>
      <c r="B326" s="1" t="s">
        <v>327</v>
      </c>
      <c r="C326" t="str">
        <f>IFERROR(__xludf.DUMMYFUNCTION("GOOGLETRANSLATE(B326, ""zh"", ""en"")"),"Value for money, high cost, the US direct mail about one week or so to go, the speed can be")</f>
        <v>Value for money, high cost, the US direct mail about one week or so to go, the speed can be</v>
      </c>
    </row>
    <row r="327">
      <c r="A327" s="1">
        <v>5.0</v>
      </c>
      <c r="B327" s="1" t="s">
        <v>328</v>
      </c>
      <c r="C327" t="str">
        <f>IFERROR(__xludf.DUMMYFUNCTION("GOOGLETRANSLATE(B327, ""zh"", ""en"")"),"Really really expensive goods more expensive goods. Take concrete actions to contribute to Sino-US normal trade")</f>
        <v>Really really expensive goods more expensive goods. Take concrete actions to contribute to Sino-US normal trade</v>
      </c>
    </row>
    <row r="328">
      <c r="A328" s="1">
        <v>5.0</v>
      </c>
      <c r="B328" s="1" t="s">
        <v>329</v>
      </c>
      <c r="C328" t="str">
        <f>IFERROR(__xludf.DUMMYFUNCTION("GOOGLETRANSLATE(B328, ""zh"", ""en"")"),"Buy and buy a toothbrush with a toothbrush and together, with the electric toothbrush, matching, fine.")</f>
        <v>Buy and buy a toothbrush with a toothbrush and together, with the electric toothbrush, matching, fine.</v>
      </c>
    </row>
    <row r="329">
      <c r="A329" s="1">
        <v>5.0</v>
      </c>
      <c r="B329" s="1" t="s">
        <v>330</v>
      </c>
      <c r="C329" t="str">
        <f>IFERROR(__xludf.DUMMYFUNCTION("GOOGLETRANSLATE(B329, ""zh"", ""en"")"),"Good, recommended shoes are authentic, just the right size, the first double ECCO shoes, liked")</f>
        <v>Good, recommended shoes are authentic, just the right size, the first double ECCO shoes, liked</v>
      </c>
    </row>
    <row r="330">
      <c r="A330" s="1">
        <v>5.0</v>
      </c>
      <c r="B330" s="1" t="s">
        <v>331</v>
      </c>
      <c r="C330" t="str">
        <f>IFERROR(__xludf.DUMMYFUNCTION("GOOGLETRANSLATE(B330, ""zh"", ""en"")"),"Very fit to wear ECCO shoes have been good, and the country to buy the same number.")</f>
        <v>Very fit to wear ECCO shoes have been good, and the country to buy the same number.</v>
      </c>
    </row>
    <row r="331">
      <c r="A331" s="1">
        <v>5.0</v>
      </c>
      <c r="B331" s="1" t="s">
        <v>332</v>
      </c>
      <c r="C331" t="str">
        <f>IFERROR(__xludf.DUMMYFUNCTION("GOOGLETRANSLATE(B331, ""zh"", ""en"")"),"Good good 100 dollars a pants, holding not wear it recognized the state of mind to buy, the quality of results beyond imagination.")</f>
        <v>Good good 100 dollars a pants, holding not wear it recognized the state of mind to buy, the quality of results beyond imagination.</v>
      </c>
    </row>
    <row r="332">
      <c r="A332" s="1">
        <v>5.0</v>
      </c>
      <c r="B332" s="1" t="s">
        <v>333</v>
      </c>
      <c r="C332" t="str">
        <f>IFERROR(__xludf.DUMMYFUNCTION("GOOGLETRANSLATE(B332, ""zh"", ""en"")"),"Very much like the right size, to accompany a winter")</f>
        <v>Very much like the right size, to accompany a winter</v>
      </c>
    </row>
    <row r="333">
      <c r="A333" s="1">
        <v>5.0</v>
      </c>
      <c r="B333" s="1" t="s">
        <v>334</v>
      </c>
      <c r="C333" t="str">
        <f>IFERROR(__xludf.DUMMYFUNCTION("GOOGLETRANSLATE(B333, ""zh"", ""en"")"),"Quality is good that more than 180 yuan three pairs of the same brand 180D is a little more delicate, but overall, still different than velvet. Loose, not tight, mouth and feet, upper body feel very comfortable.")</f>
        <v>Quality is good that more than 180 yuan three pairs of the same brand 180D is a little more delicate, but overall, still different than velvet. Loose, not tight, mouth and feet, upper body feel very comfortable.</v>
      </c>
    </row>
    <row r="334">
      <c r="A334" s="1">
        <v>5.0</v>
      </c>
      <c r="B334" s="1" t="s">
        <v>335</v>
      </c>
      <c r="C334" t="str">
        <f>IFERROR(__xludf.DUMMYFUNCTION("GOOGLETRANSLATE(B334, ""zh"", ""en"")"),"Day to the dog bowl to, okay baby to have the final say in the future")</f>
        <v>Day to the dog bowl to, okay baby to have the final say in the future</v>
      </c>
    </row>
    <row r="335">
      <c r="A335" s="1">
        <v>5.0</v>
      </c>
      <c r="B335" s="1" t="s">
        <v>336</v>
      </c>
      <c r="C335" t="str">
        <f>IFERROR(__xludf.DUMMYFUNCTION("GOOGLETRANSLATE(B335, ""zh"", ""en"")"),"Affordable &lt;div id = ""video-block-R1YNDXPVY7B0MP"" class = ""a-section a-spacing-small a-spacing-top-mini video-block""&gt; &lt;div tabindex = ""0"" class = ""airy airy-svg vmin-supported airy-skin-beacon ""style ="" background-color: rgb (0, 0, 0); position: "&amp;"relative; width: 100%; height: 100%; font-size: 0px; overflow: hidden; outline : none; ""&gt; &lt;div class ="" airy-renderer-container ""style ="" position: relative; height: 100%; width: 100%; ""&gt; &lt;video id ="" 23 ""preload ="" auto ""src ="" https://images-c"&amp;"n.ssl-images-amazon.com/images/I/914cPqyzgXS.mp4 ""style ="" position: absolute; left: 0px; top: 0px; overflow: hidden; height: 1px; width: 1px ; ""&gt; &lt;/ video&gt; &lt;/ div&gt; &lt;div id ="" airy-slate-preload ""style ="" background-color: rgb (0, 0, 0); background-"&amp;"image: url (&amp; quot; https: // images-cn.ssl-images-amazon.com/images/I/81OzS4H5A+S.png&amp;quot;); background-size: contain; background-position: center center; background-repeat: no-repeat; position: absolute; top : 0px; left: 0px; visibility: visible; width"&amp;": 100%; height: 100%; ""&gt; &lt;/ div&gt; &lt;iframe scrolling ="" no ""Frameborder ="" 0 ""src ="" about: blank ""style ="" display: none; ""&gt; &lt;/ iframe&gt; &lt;div tabindex ="" - 1 ""class ="" airy-controls-container ""style ="" opacity: 0; visibility: hidden; ""&gt; &lt;div "&amp;"tabindex ="" - 1 ""class ="" airy-screen-size-toggle airy-fullscreen ""&gt; &lt;/ div&gt; &lt;div tabindex ="" - 1 ""class ="" airy-container-bottom "" &gt; &lt;div tabindex = ""- 1"" class = ""airy-track-bar-spacer-left"" style = ""width: 11px;""&gt; &lt;/ div&gt; &lt;div tabindex = "&amp;"""- 1"" class = ""airy-play- toggle airy-play ""style ="" width: 12px; margin-right: 12px; ""&gt; &lt;/ div&gt; &lt;div tabindex ="" - 1 ""class ="" airy-audio-elements ""style ="" float: right; width: 34px; ""&gt; &lt;div tabindex ="" - 1 ""class ="" airy-audio-toggle air"&amp;"y-on ""&gt; &lt;/ div&gt; &lt;div tabindex ="" - 1 ""class ="" airy-audio-container ""style ="" opacity : 0; visibility: hidden; ""&gt; &lt;div tabindex ="" - 1 ""class ="" airy-audio-track-bar ""style ="" height: 80%; ""&gt; &lt;div tabindex ="" - 1 ""class ="" airy -audio-scru"&amp;"bber-bar ""style ="" height: 85%; ""&gt; &lt;/ div&gt; &lt;div tabindex ="" - 1 ""class ="" airy-audio-scrubber ""style ="" height: 12px; bottom: 85%; ""&gt; &lt;/ div&gt; &lt;/ div&gt; &lt;/ div&gt; &lt;/ div&gt; &lt;div tabindex ="" - 1 ""class ="" airy-duration-label ""style ="" f loat: right;"&amp;" width: 26px; margin-right: 4px; text-align: center; ""&gt; 0:00 &lt;/ div&gt; &lt;div tabindex ="" - 1 ""class ="" airy-track-bar-spacer-right "" style = ""float: right; width: 11px;""&gt; &lt;/ div&gt; &lt;div tabindex = ""- 1"" class = ""airy-track-bar-container"" style = ""m"&amp;"argin-left: 35px; margin-right: 75px ; ""&gt; &lt;div tabindex ="" - 1 ""class ="" airy-track-bar airy-vertical-centering-table ""&gt; &lt;div tabindex ="" - 1 ""class ="" airy-vertical-centering-table-cell ""&gt; &lt;div tabindex = ""- 1"" class = ""airy-track-bar-element"&amp;"s""&gt; &lt;div tabindex = ""- 1"" class = ""airy-progress-bar""&gt; &lt;/ div&gt; &lt;div tabindex = ""- 1"" class = ""airy-scrubber-bar""&gt; &lt;/ div&gt; &lt;div tabindex = ""- 1"" class = ""airy-scrubber""&gt; &lt;div tabindex = ""- 1"" class = ""airy-scrubber-icon""&gt; &lt;/ div&gt; &lt;div tabi"&amp;"ndex = ""- 1"" class = ""airy-adjusted-aui-tooltip"" style = ""opacity: 0; visibility: hidden;""&gt; &lt;div tabindex = ""- 1"" class = ""airy-adjusted-aui -tooltip-inner ""&gt; &lt;div tabindex ="" - 1 ""class ="" airy-current-time-label ""&gt; 0:00 &lt;/ div&gt; &lt;/ div&gt; &lt;di"&amp;"v tabindex ="" - 1 ""class ="" airy- adjusted-aui-arrow-border ""&gt; &lt;div tabindex ="" - 1 ""class ="" airy-adjusted-aui-arrow ""&gt; &lt;/ div&gt; &lt;/ div&gt; &lt;/ div&gt; &lt;/ d iv&gt; &lt;/ div&gt; &lt;/ div&gt; &lt;/ div&gt; &lt;/ div&gt; &lt;/ div&gt; &lt;/ div&gt; &lt;div tabindex = ""- 1"" class = ""airy-age-ga"&amp;"te airy-stage airy-vertical-centering -table airy-dialog ""style ="" opacity: 0; visibility: hidden; ""&gt; &lt;div tabindex ="" - 1 ""class ="" airy-age-gate-vertical-centering-table-cell airy-vertical-centering-table -cell ""&gt; &lt;div tabindex ="" - 1 ""class ="&amp;""" airy-vertical-centering-wrapper airy-age-gate-elements-wrapper ""&gt; &lt;div tabindex ="" - 1 ""class ="" airy-age-gate- elements airy-dialog-elements ""&gt; &lt;div tabindex ="" - 1 ""class ="" airy-age-gate-prompt ""&gt; This video is not intended for all audience"&amp;"s What date were you born &lt;/ div&gt; &lt;div tabindex.? = ""- 1"" class = ""airy-age-gate-inputs airy-dialog-inner-elements""&gt; &lt;select tabindex = ""- 1"" class = ""airy-age-gate-month""&gt; &lt;option value = ""1 ""&gt; January &lt;/ option&gt; &lt;option value ="" 2 ""&gt; Februar"&amp;"y &lt;/ option&gt; &lt;option value ="" 3 ""&gt; March &lt;/ option&gt; &lt;option value ="" 4 ""&gt; April &lt;/ option&gt; &lt;option value = ""5""&gt; May &lt;/ option&gt; &lt;option value = ""6""&gt; June &lt;/ option&gt; &lt;option value = ""7""&gt; July &lt;/ option&gt; &lt;option value = ""8""&gt; August &lt;/ option&gt; &lt;op"&amp;"tion value = ""9""&gt; September &lt;/ option&gt; &lt;option value = ""10 ""&gt; October &lt;/ option&gt; &lt;option value ="" 11 ""&gt; November &lt;/ option&gt; &lt;option value ="" 12 ""&gt; December &lt;/ option&gt; &lt;/ select&gt; &lt;select tabindex ="" - 1 ""class ="" airy- age-gate-day ""&gt; &lt;option v"&amp;"alue ="" 1 ""&gt; 1 &lt;/ option&gt; &lt;option value ="" 2 ""&gt; 2 &lt;/ option&gt; &lt;option value ="" 3 ""&gt; 3 &lt;/ option&gt; &lt;option value = ""4""&gt; 4 &lt;/ option&gt; &lt;option value = ""5""&gt; 5 &lt;/ option&gt; &lt;option value = ""6""&gt; 6 &lt;/ option&gt; &lt;option value = ""7""&gt; 7 &lt;/ option&gt; &lt;option v"&amp;"alue = ""8""&gt; 8 &lt;/ option&gt; &lt;option value = ""9""&gt; 9 &lt;/ option&gt; &lt;option value = ""10""&gt; 10 &lt;/ option&gt; &lt;option value = ""11""&gt; 11 &lt;/ option&gt; &lt;option value = ""12""&gt; 12 &lt;/ option&gt; &lt;option value = ""13""&gt; 13 &lt;/ option&gt; &lt;option value = ""14""&gt; 14 &lt;/ option&gt; &lt;o"&amp;"ption value = ""15""&gt; 15 &lt;/ option&gt; &lt;option value = ""16""&gt; 16 &lt;/ option&gt; &lt;option value = ""17""&gt; 17 &lt;/ option&gt; &lt;option value = ""18""&gt; 18 &lt;/ option&gt; &lt;option value = ""19""&gt; 19 &lt;/ option&gt; &lt;option value = ""20""&gt; 20 &lt;/ option&gt; &lt;option value = ""21""&gt; 21 &lt;/"&amp;" option&gt; &lt;option value = ""22""&gt; 22 &lt;/ option&gt; &lt;option value = ""23"" &gt; 23 &lt;/ option&gt; &lt;option value = ""24""&gt; 24 &lt;/ option&gt; &lt;option value = ""25""&gt; 25 &lt;/ option&gt; &lt;option value = ""26""&gt; 26 &lt;/ option&gt; &lt;option value = "" 27 ""&gt; 27 &lt;/ option&gt; &lt;option value ="&amp;""" 28 ""&gt; 28 &lt;/ option&gt; &lt;option value ="" 29 ""&gt; 29 &lt;/ option&gt; &lt; option value = ""30""&gt; 30 &lt;/ option&gt; &lt;option value = ""31""&gt; 31 &lt;/ option&gt; &lt;/ select&gt; &lt;select tabindex = ""- 1"" class = ""airy-age-gate-year""&gt; &lt; option value = ""2019""&gt; 2019 &lt;/ option&gt; &lt;o"&amp;"ption value = ""2018""&gt; 2018 &lt;/ option&gt; &lt;option value = ""2017""&gt; 2017 &lt;/ option&gt; &lt;option value = ""2016""&gt; ​​2016 &lt;/ option &gt; &lt;option value = ""2015""&gt; 2015 &lt;/ option&gt; &lt;option value = ""2014""&gt; 2014 &lt;/ option&gt; &lt;option value = ""2013""&gt; 2013 &lt;/ option&gt; &lt;o"&amp;"ption value = ""2012""&gt; 2012 &lt; / option&gt; &lt;option value = ""2011""&gt; 2011 &lt;/ option&gt; &lt;option value = ""2010""&gt; 2010 &lt;/ option&gt; &lt;option value = ""2009""&gt; 2009 &lt;/ option&gt; &lt;option value = ""2008""&gt; 2008 &lt;/ option&gt; &lt;option value = ""2007""&gt; 2007 &lt;/ option&gt; &lt;opt"&amp;"ion value = ""2006""&gt; 2006 &lt;/ option&gt; &lt;option value = ""2005""&gt; 2005 &lt;/ option&gt; &lt;option value = ""2004 ""&gt; 2004 &lt;/ option&gt; &lt;option value ="" 2003 ""&gt; 2003 &lt;/ option&gt; &lt;option value ="" 2002 ""&gt; 2002 &lt;/ option&gt; &lt;option value ="" 2001 ""&gt; 2001 &lt;/ option&gt; &lt;op"&amp;"tion value = ""2000""&gt; 2000 &lt;/ option&gt; &lt;option value = ""1999""&gt; 1999 &lt;/ option&gt; &lt;option value = ""1998""&gt; 1998 &lt;/ option&gt; &lt;option value = ""1997""&gt; 1997 &lt;/ option&gt; &lt;option value = ""1996""&gt; 1996 &lt;/ option&gt; &lt;option value = ""1995""&gt; 1995 &lt;/ option&gt; &lt;optio"&amp;"n value = ""1994""&gt; 1994 &lt;/ option &gt; &lt;Option value = ""1993""&gt; 1993 &lt;/ option&gt; &lt;option value = ""1992""&gt; 1992 &lt;/ option&gt; &lt;option value = ""1991""&gt; 1991 &lt;/ option&gt; &lt;option value = ""1990""&gt; 1990 &lt; / option&gt; &lt;option value = ""1989""&gt; 1989 &lt;/ option&gt; &lt;option"&amp;" value = ""1988""&gt; 1988 &lt;/ option&gt; &lt;option value = ""1987""&gt; 1987 &lt;/ option&gt; &lt;option value = ""1986""&gt; 1986 &lt;/ option&gt; &lt;option value = ""1985""&gt; 1985 &lt;/ option&gt; &lt;option value = ""1984""&gt; 1984 &lt;/ option&gt; &lt;option value = ""1983""&gt; 1983 &lt;/ option&gt; &lt;option va"&amp;"lue = ""1982 ""&gt; 1982 &lt;/ option&gt; &lt;option value ="" 1981 ""&gt; 1981 &lt;/ option&gt; &lt;option value ="" 1980 ""&gt; 1980 &lt;/ option&gt; &lt;option value ="" 1979 ""&gt; 1979 &lt;/ option&gt; &lt;option value = ""1978""&gt; 1978 &lt;/ option&gt; &lt;option value = ""1977""&gt; 1977 &lt;/ option&gt; &lt;option v"&amp;"alue = ""1976""&gt; 1976 &lt;/ option&gt; &lt;option value = ""1975""&gt; 1975 &lt;/ option&gt; &lt;option value = ""1974""&gt; 1974 &lt;/ option&gt; &lt;option value = ""1973""&gt; 1973 &lt;/ option&gt; &lt;option value = ""1972""&gt; 1972 &lt;/ option&gt; &lt;option value = ""1971""&gt; 1971 &lt;/ option&gt; &lt;option valu"&amp;"e = ""1970""&gt; 1970 &lt;/ option&gt; &lt;option value = ""1969""&gt; 1969 &lt;/ option&gt; &lt;option value = ""1968""&gt; 1968 &lt;/ option&gt; &lt;option value = ""1967""&gt; 1967 &lt;/ option&gt; &lt;option value = ""1966""&gt; 1966 &lt;/ option&gt; &lt;option value = ""1965""&gt; 1965 &lt;/ option&gt; &lt;option value ="&amp;" ""1964""&gt; 1964 &lt;/ option&gt; &lt;option value = ""1963""&gt; 1963 &lt;/ option&gt; &lt;option value = ""1962""&gt; 1962 &lt;/ option&gt; &lt;option value = ""1961""&gt; 1961 &lt;/ option&gt; &lt; option value = ""1960""&gt; 1960 &lt;/ option&gt; &lt;option value = ""1959""&gt; 1959 &lt;/ option&gt; &lt;option value = "&amp;"""1958""&gt; 1958 &lt;/ option&gt; &lt;option value = ""1957""&gt; 1957 &lt;/ option &gt; &lt;option value = ""1956""&gt; 1956 &lt;/ option&gt; &lt;option value = ""1955""&gt; 1955 &lt;/ option&gt; &lt;option value = ""1954""&gt; 1954 &lt;/ option&gt; &lt;option value = ""1953""&gt; 1953 &lt; / option&gt; &lt;option value = "&amp;"""1952""&gt; 1952 &lt;/ option&gt; &lt;option value = ""1951""&gt; 1951 &lt;/ option&gt; &lt;option value = ""1950""&gt; 1950 &lt;/ option&gt; &lt;option value = ""1949""&gt; 1949 &lt;/ option&gt; &lt;option value = ""1948""&gt; 1948 &lt;/ option&gt; &lt;option value = ""1947""&gt; 1947 &lt;/ option&gt; &lt;option value = ""1"&amp;"946""&gt; 1946 &lt;/ option&gt; &lt;option value = ""1945 ""&gt; 1945 &lt;/ option&gt; &lt;option value ="" 1944 ""&gt; 1944 &lt;/ option&gt; &lt;option value ="" 1943 ""&gt; 1943 &lt;/ option&gt; &lt;option value ="" 1942 ""&gt; 1942 &lt;/ option&gt; &lt;option value = ""1941""&gt; 1941 &lt;/ option&gt; &lt;option value = """&amp;"1940""&gt; 1940 &lt;/ option&gt; &lt;option value = ""1939""&gt; 1939 &lt;/ option&gt; &lt;option value = ""1938""&gt; 1938 &lt;/ option&gt; &lt;option value = ""1937""&gt; 1937 &lt;/ option&gt; &lt;option value = ""1936""&gt; 1936 &lt;/ option&gt; &lt;option value = ""1935""&gt; 1935 &lt;/ option&gt; &lt;option value = ""193"&amp;"4""&gt; 1934 &lt;/ option&gt; &lt;option value = ""1933""&gt; 1933 &lt;/ option&gt; &lt;option value = ""1932""&gt; 1932 &lt;/ option&gt; &lt;option value = ""1931""&gt; 1931 &lt;/ option&gt; &lt;option value = ""1930""&gt; 1930 &lt;/ option&gt; &lt;option value = ""1929""&gt; 1929 &lt;/ option&gt; &lt;option value = ""1928"""&amp;"&gt; 1928 &lt;/ option&gt; &lt;option value = ""1927"" &gt; 1927 &lt;/ option&gt; &lt;option value = ""1926""&gt; 1926 &lt;/ option&gt; &lt;option value = ""1925""&gt; 1925 &lt;/ option&gt; &lt;option value = ""1924""&gt; 1924 &lt;/ option&gt; &lt;option value = "" 1923 ""&gt; 1923 &lt;/ option&gt; &lt;option value ="" 1922 "&amp;"""&gt; 1922 &lt;/ option&gt; &lt;option value ="" 1921 ""&gt; 1921 &lt;/ option&gt; &lt;option value ="" 1920 ""&gt; 1920 &lt;/ option&gt; &lt;option value = ""1919""&gt; 1919 &lt;/ option&gt; &lt;option value = ""1918""&gt; 1918 &lt;/ option&gt; &lt;option value = ""1917""&gt; 1917 &lt;/ option&gt; &lt;option value = ""1916"&amp;"""&gt; 1916 &lt;/ option&gt; &lt; option value = ""1915""&gt; 1915 &lt;/ option&gt; &lt;option value = ""1914""&gt; 1914 &lt;/ option&gt; &lt;option value = ""1913""&gt; 1913 &lt;/ option&gt; &lt;option value = ""1912""&gt; 1912 &lt;/ option &gt; &lt;option value = ""1911""&gt; 1911 &lt;/ option&gt; &lt;option value = ""1910"&amp;"""&gt; 1910 &lt;/ option&gt; &lt;option value = ""1909""&gt; 1909 &lt;/ option&gt; &lt;option value = ""1908""&gt; 1908 &lt; / option&gt; &lt;option value = ""1907""&gt; 1907 &lt;/ option&gt; &lt;option value = ""1906""&gt; 1906 &lt;/ option&gt; &lt;option value = ""1905""&gt; 1905 &lt;/ option&gt; &lt;option value = ""1904"""&amp;"&gt; 1904 &lt;/ option&gt; &lt;option value = ""1903""&gt; 1903 &lt;/ option&gt; &lt;option value = ""1902""&gt; 1902 &lt;/ option&gt; &lt;option value = ""1901""&gt; 1901 &lt;/ option&gt; &lt;option value = ""1900""&gt; 1900 &lt;/ option&gt; &lt;/ select&gt; &lt;div tabindex = ""- 1"" class = ""airy-age-gate-submit air"&amp;"y- submit airy-button airy-submit-disabled ""&gt; Submit &lt;/ div&gt; &lt;/ div&gt; &lt;/ div&gt; &lt;/ div&gt; &lt;/ div&gt; &lt;/ div&gt; &lt;div tabindex ="" - 1 ""class ="" airy-install -flash-dialog airy-stage airy-vertical-centering-table airy-dialog airy-denied ""style ="" opacity: 0; vis"&amp;"ibility: hidden; ""&gt; &lt;div tabindex ="" - 1 ""class ="" airy-install-flash -vertical-centering-table-cell airy-vertical-centering-table-cell ""&gt; &lt;div tabindex ="" - 1 ""class ="" airy-vertical-centering-wrapper airy-install-flash-elements-wrapper ""&gt; &lt;div "&amp;"tabindex = ""- 1"" class = ""airy-install-flash-elements airy-dialog-elements""&gt; &lt;div tabindex = ""- 1"" class = ""airy-install-flash-prompt""&gt; Adobe Flash Player is required to watch . this video &lt;/ div&gt; &lt;div tabindex = ""- 1"" class = ""airy-install-fla"&amp;"sh-button-wrapper airy-dialog-inner-elements""&gt; &lt;div tabindex = ""- 1"" cl ass = ""airy-install-flash-button airy-button""&gt; Install Flash Player &lt;/ div&gt; &lt;/ div&gt; &lt;/ div&gt; &lt;/ div&gt; &lt;/ div&gt; &lt;/ div&gt; &lt;div tabindex = ""- 1"" class = ""airy-video-unsupported-dialo"&amp;"g airy-stage airy-vertical-centering-table airy-dialog airy-denied"" style = ""opacity: 0; visibility: hidden;""&gt; &lt;div tabindex = ""- 1"" class = ""airy-video-unsupported-vertical-centering-table-cell airy-vertical-centering-table-cell""&gt; &lt;div tabindex = "&amp;"""- 1"" class = ""airy-vertical-centering-wrapper airy-video-unsupported-elements -wrapper ""&gt; &lt;div tabindex ="" - 1 ""class ="" airy-video-unsupported-elements airy-dialog-elements ""&gt; &lt;div tabindex ="" - 1 ""class ="" airy-video-unsupported-prompt ""&gt; &lt;"&amp;" / div&gt; &lt;/ div&gt; &lt;/ div&gt; &lt;/ div&gt; &lt;/ div&gt; &lt;div tabindex = ""- 1"" class = ""airy-loading-spinner-stage airy-stage""&gt; &lt;div tabindex = ""- 1"" class = ""airy-loading-spinner-vertical-centering-table-cell airy-vertical-centering-table-cell""&gt; &lt;div tabindex = "&amp;"""- 1"" class = ""airy-loading-spinner-container airy-scalable-hint -container ""&gt; &lt;div tabindex ="" - 1 ""class ="" airy-loading-spinner-dummy airy-scalable-dummy ""&gt; &lt;/ div&gt; &lt;div tabinde x = ""- 1"" class = ""airy-loading-spinner airy-hint"" style = ""v"&amp;"isibility: hidden;""&gt; &lt;/ div&gt; &lt;/ div&gt; &lt;/ div&gt; &lt;/ div&gt; &lt;div tabindex = ""- 1 ""class ="" airy-ads-screen-size-toggle airy-screen-size-toggle airy-fullscreen ""style ="" visibility: hidden; ""&gt; &lt;/ div&gt; &lt;div tabindex ="" - 1 ""class ="" airy- ad-prompt-conta"&amp;"iner ""style ="" visibility: hidden; ""&gt; &lt;div tabindex ="" - 1 ""class ="" airy-ad-prompt-vertical-centering-table airy-vertical-centering-table ""&gt; &lt;div tabindex = ""-1"" class = ""airy-ad-prompt-vertical-centering-table-cell airy-vertical-centering-tabl"&amp;"e-cell""&gt; &lt;div tabindex = ""- 1"" class = ""airy-ad-prompt-label"" &gt; &lt;/ div&gt; &lt;/ div&gt; &lt;/ div&gt; &lt;/ div&gt; &lt;div tabindex = ""- 1"" class = ""airy-ads-controls-container"" style = ""visibility: hidden;""&gt; &lt;div tabindex = "" -1 ""class ="" airy-ads-audio-toggle a"&amp;"iry-audio-toggle airy-on ""style ="" visibility: hidden; ""&gt; &lt;/ div&gt; &lt;div tabindex ="" - 1 ""class ="" airy-time- remaining-label-container ""&gt; &lt;div tabindex ="" - 1 ""class ="" airy-time-remaining-vertical-centering-table airy-vertical-centering-table """&amp;"&gt; &lt;div tabindex ="" - 1 ""class ="" airy -time-remaining-vertical-cente ring-table-cell airy-vertical-centering-table-cell ""&gt; &lt;div tabindex ="" - 1 ""class ="" airy-vertical-centering-wrapper airy-time-remaining-label-wrapper ""&gt; &lt;div tabindex ="" -1 ""c"&amp;"lass ="" airy-time-remaining-label ""style ="" visibility: hidden; ""&gt; &lt;/ div&gt; &lt;div tabindex ="" - 1 ""class ="" airy-ad-skip ""style ="" visibility: hidden ; ""&gt; &lt;/ div&gt; &lt;div tabindex ="" - 1 ""class ="" airy-ad-end ""style ="" visibility: hidden; ""&gt; &lt;/"&amp;" div&gt; &lt;/ div&gt; &lt;/ div&gt; &lt;/ div&gt; &lt; / div&gt; &lt;div tabindex = ""- 1"" class = ""airy-learn-more"" style = ""visibility: hidden;""&gt; &lt;/ div&gt; &lt;/ div&gt; &lt;div tabindex = ""- 1"" class = ""airy- play-toggle-hint-stage airy-stage airy-cursor ""&gt; &lt;div tabindex ="" - 1 ""c"&amp;"lass ="" airy-play-toggle-hint-vertical-centering-table-cell airy-vertical-centering-table-cell airy-cursor ""&gt; &lt;div tabindex ="" - 1 ""class ="" airy-play-toggle-hint-container airy-scalable-hint-container ""&gt; &lt;div tabindex ="" - 1 ""class ="" airy-play-"&amp;"toggle -hint-dummy airy-scalable-dummy ""&gt; &lt;/ div&gt; &lt;div tabindex ="" - 1 ""class ="" airy-play-toggle-hint airy-hint airy-play-hint ""style ="" opacity: 1; visibility : visible; ""&gt; &lt;/ div&gt; &lt;/ div&gt; &lt;/ div&gt; &lt;/ div&gt; &lt;d iv tabindex = ""- 1"" class = ""airy-r"&amp;"eplay-hint-stage airy-stage"" style = ""visibility: hidden;""&gt; &lt;div tabindex = ""- 1"" class = ""airy-replay-hint-vertical-centering -table-cell airy-vertical-centering-table-cell airy-cursor ""&gt; &lt;div tabindex ="" - 1 ""class ="" airy-replay-hint-containe"&amp;"r airy-scalable-hint-container ""&gt; &lt;div tabindex ="" -1 ""class ="" airy-replay-hint-dummy airy-scalable-dummy ""&gt; &lt;/ div&gt; &lt;div tabindex ="" - 1 ""class ="" airy-replay-hint airy-hint ""&gt; &lt;/ div&gt; &lt; / div&gt; &lt;/ div&gt; &lt;/ div&gt; &lt;div tabindex = ""- 1"" class = """&amp;"airy-autoplay-hint-stage airy-stage"" style = ""visibility: hidden;""&gt; &lt;div tabindex = ""- 1"" class = ""airy-autoplay-hint-vertical-centering-table-cell airy-vertical-centering-table-cell airy-cursor""&gt; &lt;div tabindex = ""- 1"" class = ""airy-autoplay-hin"&amp;"t-container airy- scalable-hint-container ""&gt; &lt;div tabindex ="" - 1 ""class ="" airy-autoplay-hint-dummy airy-scalable-dummy ""&gt; &lt;/ div&gt; &lt;/ div&gt; &lt;/ div&gt; &lt;/ div&gt; &lt;/ div&gt; &lt;/ div&gt; &lt;input type = ""hidden"" name = """" value = ""https://images-cn.ssl-images-am"&amp;"azon.com/images/I/914cPqyzgXS.mp4"" class = ""video-url ""&gt; &lt;input type ="" hidden ""name ="" "" value = ""https://images-cn.ssl-images-amazon.com/images/I/81OzS4H5A+S.png"" class = ""video-slate-img-url""&gt; &amp; nbsp; logistics considered normal, bargain pri"&amp;"ce! But to buy the transformer head yo!")</f>
        <v>Affordable &lt;div id = "video-block-R1YNDXPVY7B0MP" class = "a-section a-spacing-small a-spacing-top-mini video-block"&gt; &lt;div tabindex = "0" class = "airy airy-svg vmin-supported airy-skin-beacon "style =" background-color: rgb (0, 0, 0); position: relative; width: 100%; height: 100%; font-size: 0px; overflow: hidden; outline : none; "&gt; &lt;div class =" airy-renderer-container "style =" position: relative; height: 100%; width: 100%; "&gt; &lt;video id =" 23 "preload =" auto "src =" https://images-cn.ssl-images-amazon.com/images/I/914cPqyzgXS.mp4 "style =" position: absolute; left: 0px; top: 0px; overflow: hidden; height: 1px; width: 1px ; "&gt; &lt;/ video&gt; &lt;/ div&gt; &lt;div id =" airy-slate-preload "style =" background-color: rgb (0, 0, 0); background-image: url (&amp; quot; https: // images-cn.ssl-images-amazon.com/images/I/81OzS4H5A+S.png&amp;quot;); background-size: contain; background-position: center center; background-repeat: no-repeat; position: absolute; top : 0px; left: 0px; visibility: visible; width: 100%; height: 100%; "&gt; &lt;/ div&gt; &lt;iframe scrolling =" no "Frameborder =" 0 "src =" about: blank "style =" display: none; "&gt; &lt;/ iframe&gt; &lt;div tabindex =" - 1 "class =" airy-controls-container "style =" opacity: 0; visibility: hidden; "&gt; &lt;div tabindex =" - 1 "class =" airy-screen-size-toggle airy-fullscreen "&gt; &lt;/ div&gt; &lt;div tabindex =" - 1 "class =" airy-container-bottom " &gt; &lt;div tabindex = "- 1" class = "airy-track-bar-spacer-left" style = "width: 11px;"&gt; &lt;/ div&gt; &lt;div tabindex = "- 1" class = "airy-play- toggle airy-play "style =" width: 12px; margin-right: 12px; "&gt; &lt;/ div&gt; &lt;div tabindex =" - 1 "class =" airy-audio-elements "style =" float: right; width: 34px; "&gt; &lt;div tabindex =" - 1 "class =" airy-audio-toggle airy-on "&gt; &lt;/ div&gt; &lt;div tabindex =" - 1 "class =" airy-audio-container "style =" opacity : 0; visibility: hidden; "&gt; &lt;div tabindex =" - 1 "class =" airy-audio-track-bar "style =" height: 80%; "&gt; &lt;div tabindex =" - 1 "class =" airy -audio-scrubber-bar "style =" height: 85%; "&gt; &lt;/ div&gt; &lt;div tabindex =" - 1 "class =" airy-audio-scrubber "style =" height: 12px; bottom: 85%; "&gt; &lt;/ div&gt; &lt;/ div&gt; &lt;/ div&gt; &lt;/ div&gt; &lt;div tabindex =" - 1 "class =" airy-duration-label "style =" f loat: right; width: 26px; margin-right: 4px; text-align: center; "&gt; 0:00 &lt;/ div&gt; &lt;div tabindex =" - 1 "class =" airy-track-bar-spacer-right " style = "float: right; width: 11px;"&gt; &lt;/ div&gt; &lt;div tabindex = "- 1" class = "airy-track-bar-container" style = "margin-left: 35px; margin-right: 75px ; "&gt; &lt;div tabindex =" - 1 "class =" airy-track-bar airy-vertical-centering-table "&gt; &lt;div tabindex =" - 1 "class =" airy-vertical-centering-table-cell "&gt; &lt;div tabindex = "- 1" class = "airy-track-bar-elements"&gt; &lt;div tabindex = "- 1" class = "airy-progress-bar"&gt; &lt;/ div&gt; &lt;div tabindex = "- 1" class = "airy-scrubber-bar"&gt; &lt;/ div&gt; &lt;div tabindex = "- 1" class = "airy-scrubber"&gt; &lt;div tabindex = "- 1" class = "airy-scrubber-icon"&gt; &lt;/ div&gt; &lt;div tabindex = "- 1" class = "airy-adjusted-aui-tooltip" style = "opacity: 0; visibility: hidden;"&gt; &lt;div tabindex = "- 1" class = "airy-adjusted-aui -tooltip-inner "&gt; &lt;div tabindex =" - 1 "class =" airy-current-time-label "&gt; 0:00 &lt;/ div&gt; &lt;/ div&gt; &lt;div tabindex =" - 1 "class =" airy- adjusted-aui-arrow-border "&gt; &lt;div tabindex =" - 1 "class =" airy-adjusted-aui-arrow "&gt; &lt;/ div&gt; &lt;/ div&gt; &lt;/ div&gt; &lt;/ d iv&gt; &lt;/ div&gt; &lt;/ div&gt; &lt;/ div&gt; &lt;/ div&gt; &lt;/ div&gt; &lt;/ div&gt; &lt;div tabindex = "- 1" class = "airy-age-gate airy-stage airy-vertical-centering -table airy-dialog "style =" opacity: 0; visibility: hidden; "&gt; &lt;div tabindex =" - 1 "class =" airy-age-gate-vertical-centering-table-cell airy-vertical-centering-table -cell "&gt; &lt;div tabindex =" - 1 "class =" airy-vertical-centering-wrapper airy-age-gate-elements-wrapper "&gt; &lt;div tabindex =" - 1 "class =" airy-age-gate- elements airy-dialog-elements "&gt; &lt;div tabindex =" - 1 "class =" airy-age-gate-prompt "&gt; This video is not intended for all audiences What date were you born &lt;/ div&gt; &lt;div tabindex.? = "- 1" class = "airy-age-gate-inputs airy-dialog-inner-elements"&gt; &lt;select tabindex = "- 1" class = "airy-age-gate-month"&gt; &lt;option value = "1 "&gt; January &lt;/ option&gt; &lt;option value =" 2 "&gt; February &lt;/ option&gt; &lt;option value =" 3 "&gt; March &lt;/ option&gt; &lt;option value =" 4 "&gt; April &lt;/ option&gt; &lt;option value = "5"&gt; May &lt;/ option&gt; &lt;option value = "6"&gt; June &lt;/ option&gt; &lt;option value = "7"&gt; July &lt;/ option&gt; &lt;option value = "8"&gt; August &lt;/ option&gt; &lt;option value = "9"&gt; September &lt;/ option&gt; &lt;option value = "10 "&gt; October &lt;/ option&gt; &lt;option value =" 11 "&gt; November &lt;/ option&gt; &lt;option value =" 12 "&gt; December &lt;/ option&gt; &lt;/ select&gt; &lt;select tabindex =" - 1 "class =" airy- age-gate-day "&gt; &lt;option value =" 1 "&gt; 1 &lt;/ option&gt; &lt;option value =" 2 "&gt; 2 &lt;/ option&gt; &lt;option value =" 3 "&gt; 3 &lt;/ option&gt; &lt;option value = "4"&gt; 4 &lt;/ option&gt; &lt;option value = "5"&gt; 5 &lt;/ option&gt; &lt;option value = "6"&gt; 6 &lt;/ option&gt; &lt;option value = "7"&gt; 7 &lt;/ option&gt; &lt;option value = "8"&gt; 8 &lt;/ option&gt; &lt;option value = "9"&gt; 9 &lt;/ option&gt; &lt;option value = "10"&gt; 10 &lt;/ option&gt; &lt;option value = "11"&gt; 11 &lt;/ option&gt; &lt;option value = "12"&gt; 12 &lt;/ option&gt; &lt;option value = "13"&gt; 13 &lt;/ option&gt; &lt;option value = "14"&gt; 14 &lt;/ option&gt; &lt;option value = "15"&gt; 15 &lt;/ option&gt; &lt;option value = "16"&gt; 16 &lt;/ option&gt; &lt;option value = "17"&gt; 17 &lt;/ option&gt; &lt;option value = "18"&gt; 18 &lt;/ option&gt; &lt;option value = "19"&gt; 19 &lt;/ option&gt; &lt;option value = "20"&gt; 20 &lt;/ option&gt; &lt;option value = "21"&gt; 21 &lt;/ option&gt; &lt;option value = "22"&gt; 22 &lt;/ option&gt; &lt;option value = "23" &gt; 23 &lt;/ option&gt; &lt;option value = "24"&gt; 24 &lt;/ option&gt; &lt;option value = "25"&gt; 25 &lt;/ option&gt; &lt;option value = "26"&gt; 26 &lt;/ option&gt; &lt;option value = " 27 "&gt; 27 &lt;/ option&gt; &lt;option value =" 28 "&gt; 28 &lt;/ option&gt; &lt;option value =" 29 "&gt; 29 &lt;/ option&gt; &lt; option value = "30"&gt; 30 &lt;/ option&gt; &lt;option value = "31"&gt; 31 &lt;/ option&gt; &lt;/ select&gt; &lt;select tabindex = "- 1" class = "airy-age-gate-year"&gt; &lt; option value = "2019"&gt; 2019 &lt;/ option&gt; &lt;option value = "2018"&gt; 2018 &lt;/ option&gt; &lt;option value = "2017"&gt; 2017 &lt;/ option&gt; &lt;option value = "2016"&gt; ​​2016 &lt;/ option &gt; &lt;option value = "2015"&gt; 2015 &lt;/ option&gt; &lt;option value = "2014"&gt; 2014 &lt;/ option&gt; &lt;option value = "2013"&gt; 2013 &lt;/ option&gt; &lt;option value = "2012"&gt; 2012 &lt; / option&gt; &lt;option value = "2011"&gt; 2011 &lt;/ option&gt; &lt;option value = "2010"&gt; 2010 &lt;/ option&gt; &lt;option value = "2009"&gt; 2009 &lt;/ option&gt; &lt;option value = "2008"&gt; 2008 &lt;/ option&gt; &lt;option value = "2007"&gt; 2007 &lt;/ option&gt; &lt;option value = "2006"&gt; 2006 &lt;/ option&gt; &lt;option value = "2005"&gt; 2005 &lt;/ option&gt; &lt;option value = "2004 "&gt; 2004 &lt;/ option&gt; &lt;option value =" 2003 "&gt; 2003 &lt;/ option&gt; &lt;option value =" 2002 "&gt; 2002 &lt;/ option&gt; &lt;option value =" 2001 "&gt; 2001 &lt;/ option&gt; &lt;option value = "2000"&gt; 2000 &lt;/ option&gt; &lt;option value = "1999"&gt; 1999 &lt;/ option&gt; &lt;option value = "1998"&gt; 1998 &lt;/ option&gt; &lt;option value = "1997"&gt; 1997 &lt;/ option&gt; &lt;option value = "1996"&gt; 1996 &lt;/ option&gt; &lt;option value = "1995"&gt; 1995 &lt;/ option&gt; &lt;option value = "1994"&gt; 1994 &lt;/ option &gt; &lt;Option value = "1993"&gt; 1993 &lt;/ option&gt; &lt;option value = "1992"&gt; 1992 &lt;/ option&gt; &lt;option value = "1991"&gt; 1991 &lt;/ option&gt; &lt;option value = "1990"&gt; 1990 &lt; / option&gt; &lt;option value = "1989"&gt; 1989 &lt;/ option&gt; &lt;option value = "1988"&gt; 1988 &lt;/ option&gt; &lt;option value = "1987"&gt; 1987 &lt;/ option&gt; &lt;option value = "1986"&gt; 1986 &lt;/ option&gt; &lt;option value = "1985"&gt; 1985 &lt;/ option&gt; &lt;option value = "1984"&gt; 1984 &lt;/ option&gt; &lt;option value = "1983"&gt; 1983 &lt;/ option&gt; &lt;option value = "1982 "&gt; 1982 &lt;/ option&gt; &lt;option value =" 1981 "&gt; 1981 &lt;/ option&gt; &lt;option value =" 1980 "&gt; 1980 &lt;/ option&gt; &lt;option value =" 1979 "&gt; 1979 &lt;/ option&gt; &lt;option value = "1978"&gt; 1978 &lt;/ option&gt; &lt;option value = "1977"&gt; 1977 &lt;/ option&gt; &lt;option value = "1976"&gt; 1976 &lt;/ option&gt; &lt;option value = "1975"&gt; 1975 &lt;/ option&gt; &lt;option value = "1974"&gt; 1974 &lt;/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"1966"&gt; 1966 &lt;/ option&gt; &lt;option value = "1965"&gt; 1965 &lt;/ option&gt; &lt;option value = "1964"&gt; 1964 &lt;/ option&gt; &lt;option value = "1963"&gt; 1963 &lt;/ option&gt; &lt;option value = "1962"&gt; 1962 &lt;/ option&gt; &lt;option value = "1961"&gt; 1961 &lt;/ option&gt; &lt; option value = "1960"&gt; 1960 &lt;/ option&gt; &lt;option value = "1959"&gt; 1959 &lt;/ option&gt; &lt;option value = "1958"&gt; 1958 &lt;/ option&gt; &lt;option value = "1957"&gt; 1957 &lt;/ option &gt; &lt;option value = "1956"&gt; 1956 &lt;/ option&gt; &lt;option value = "1955"&gt; 1955 &lt;/ option&gt; &lt;option value = "1954"&gt; 1954 &lt;/ option&gt; &lt;option value = "1953"&gt; 1953 &lt; / option&gt; &lt;option value = "1952"&gt; 1952 &lt;/ option&gt; &lt;option value = "1951"&gt; 1951 &lt;/ option&gt; &lt;option value = "1950"&gt; 1950 &lt;/ option&gt; &lt;option value = "1949"&gt; 1949 &lt;/ option&gt; &lt;option value = "1948"&gt; 1948 &lt;/ option&gt; &lt;option value = "1947"&gt; 1947 &lt;/ option&gt; &lt;option value = "1946"&gt; 1946 &lt;/ option&gt; &lt;option value = "1945 "&gt; 1945 &lt;/ option&gt; &lt;option value =" 1944 "&gt; 1944 &lt;/ option&gt; &lt;option value =" 1943 "&gt; 1943 &lt;/ option&gt; &lt;option value =" 1942 "&gt; 1942 &lt;/ option&gt; &lt;option value = "1941"&gt; 1941 &lt;/ option&gt; &lt;option value = "1940"&gt; 1940 &lt;/ option&gt; &lt;option value = "1939"&gt; 1939 &lt;/ option&gt; &lt;option value = "1938"&gt; 1938 &lt;/ option&gt; &lt;option value = "1937"&gt; 1937 &lt;/ option&gt; &lt;option value = "1936"&gt; 1936 &lt;/ option&gt; &lt;option value = "1935"&gt; 1935 &lt;/ option&gt; &lt;option value = "1934"&gt; 1934 &lt;/ option&gt; &lt;option value = "1933"&gt; 1933 &lt;/ option&gt; &lt;option value = "1932"&gt; 1932 &lt;/ option&gt; &lt;option value = "1931"&gt; 1931 &lt;/ option&gt; &lt;option value = "1930"&gt; 1930 &lt;/ option&gt; &lt;option value = "1929"&gt; 1929 &lt;/ option&gt; &lt;option value = "1928"&gt; 1928 &lt;/ option&gt; &lt;option value = "1927" &gt; 1927 &lt;/ option&gt; &lt;option value = "1926"&gt; 1926 &lt;/ option&gt; &lt;option value = "1925"&gt; 1925 &lt;/ option&gt; &lt;option value = "1924"&gt; 1924 &lt;/ option&gt; &lt;option value = " 1923 "&gt; 1923 &lt;/ option&gt; &lt;option value =" 1922 "&gt; 1922 &lt;/ option&gt; &lt;option value =" 1921 "&gt; 1921 &lt;/ option&gt; &lt;option value =" 1920 "&gt; 1920 &lt;/ option&gt; &lt;option value = "1919"&gt; 1919 &lt;/ option&gt; &lt;option value = "1918"&gt; 1918 &lt;/ option&gt; &lt;option value = "1917"&gt; 1917 &lt;/ option&gt; &lt;option value = "1916"&gt; 1916 &lt;/ option&gt; &lt; option value = "1915"&gt; 1915 &lt;/ option&gt; &lt;option value = "1914"&gt; 1914 &lt;/ option&gt; &lt;option value = "1913"&gt; 1913 &lt;/ option&gt; &lt;option value = "1912"&gt; 1912 &lt;/ option &gt; &lt;option value = "1911"&gt; 1911 &lt;/ option&gt; &lt;option value = "1910"&gt; 1910 &lt;/ option&gt; &lt;option value = "1909"&gt; 1909 &lt;/ option&gt; &lt;option value = "1908"&gt; 1908 &lt; / option&gt; &lt;option value = "1907"&gt; 1907 &lt;/ option&gt; &lt;option value = "1906"&gt; 1906 &lt;/ option&gt; &lt;option value = "1905"&gt; 1905 &lt;/ option&gt; &lt;option value = "1904"&gt; 1904 &lt;/ option&gt; &lt;option value = "1903"&gt; 1903 &lt;/ option&gt; &lt;option value = "1902"&gt; 1902 &lt;/ option&gt; &lt;option value = "1901"&gt; 1901 &lt;/ option&gt; &lt;option value = "1900"&gt; 1900 &lt;/ option&gt; &lt;/ select&gt; &lt;div tabindex = "- 1" class = "airy-age-gate-submit airy- submit airy-button airy-submit-disabled "&gt; Submit &lt;/ div&gt; &lt;/ div&gt; &lt;/ div&gt; &lt;/ div&gt; &lt;/ div&gt; &lt;/ div&gt; &lt;div tabindex =" - 1 "class =" airy-install -flash-dialog airy-stage airy-vertical-centering-table airy-dialog airy-denied "style =" opacity: 0; visibility: hidden; "&gt; &lt;div tabindex =" - 1 "class =" airy-install-flash -vertical-centering-table-cell airy-vertical-centering-table-cell "&gt; &lt;div tabindex =" - 1 "class =" airy-vertical-centering-wrapper airy-install-flash-elements-wrapper "&gt; &lt;div tabindex = "- 1" class = "airy-install-flash-elements airy-dialog-elements"&gt; &lt;div tabindex = "- 1" class = "airy-install-flash-prompt"&gt; Adobe Flash Player is required to watch . this video &lt;/ div&gt; &lt;div tabindex = "- 1" class = "airy-install-flash-button-wrapper airy-dialog-inner-elements"&gt; &lt;div tabindex = "- 1" cl ass = "airy-install-flash-button airy-button"&gt; Install Flash Player &lt;/ div&gt; &lt;/ div&gt; &lt;/ div&gt; &lt;/ div&gt; &lt;/ div&gt; &lt;/ div&gt; &lt;div tabindex = "- 1" class = "airy-video-unsupported-dialog airy-stage airy-vertical-centering-table airy-dialog airy-denied" style = "opacity: 0; visibility: hidden;"&gt; &lt;div tabindex = "- 1" class = "airy-video-unsupported-vertical-centering-table-cell airy-vertical-centering-table-cell"&gt; &lt;div tabindex = "- 1" class = "airy-vertical-centering-wrapper airy-video-unsupported-elements -wrapper "&gt; &lt;div tabindex =" - 1 "class =" airy-video-unsupported-elements airy-dialog-elements "&gt; &lt;div tabindex =" - 1 "class =" airy-video-unsupported-prompt "&gt; &lt; / div&gt; &lt;/ div&gt; &lt;/ div&gt; &lt;/ div&gt; &lt;/ div&gt; &lt;div tabindex = "- 1" class = "airy-loading-spinner-stage airy-stage"&gt; &lt;div tabindex = "- 1" class = "airy-loading-spinner-vertical-centering-table-cell airy-vertical-centering-table-cell"&gt; &lt;div tabindex = "- 1" class = "airy-loading-spinner-container airy-scalable-hint -container "&gt; &lt;div tabindex =" - 1 "class =" airy-loading-spinner-dummy airy-scalable-dummy "&gt; &lt;/ div&gt; &lt;div tabinde x = "- 1" class = "airy-loading-spinner airy-hint" style = "visibility: hidden;"&gt; &lt;/ div&gt; &lt;/ div&gt; &lt;/ div&gt; &lt;/ div&gt; &lt;div tabindex = "- 1 "class =" airy-ads-screen-size-toggle airy-screen-size-toggle airy-fullscreen "style =" visibility: hidden; "&gt; &lt;/ div&gt; &lt;div tabindex =" - 1 "class =" airy- ad-prompt-container "style =" visibility: hidden; "&gt; &lt;div tabindex =" - 1 "class =" airy-ad-prompt-vertical-centering-table airy-vertical-centering-table "&gt; &lt;div tabindex = "-1" class = "airy-ad-prompt-vertical-centering-table-cell airy-vertical-centering-table-cell"&gt; &lt;div tabindex = "- 1" class = "airy-ad-prompt-label" &gt; &lt;/ div&gt; &lt;/ div&gt; &lt;/ div&gt; &lt;/ div&gt; &lt;div tabindex = "- 1" class = "airy-ads-controls-container" style = "visibility: hidden;"&gt; &lt;div tabindex = " -1 "class =" airy-ads-audio-toggle airy-audio-toggle airy-on "style =" visibility: hidden; "&gt; &lt;/ div&gt; &lt;div tabindex =" - 1 "class =" airy-time- remaining-label-container "&gt; &lt;div tabindex =" - 1 "class =" airy-time-remaining-vertical-centering-table airy-vertical-centering-table "&gt; &lt;div tabindex =" - 1 "class =" airy -time-remaining-vertical-cente ring-table-cell airy-vertical-centering-table-cell "&gt; &lt;div tabindex =" - 1 "class =" airy-vertical-centering-wrapper airy-time-remaining-label-wrapper "&gt; &lt;div tabindex =" -1 "class =" airy-time-remaining-label "style =" visibility: hidden; "&gt; &lt;/ div&gt; &lt;div tabindex =" - 1 "class =" airy-ad-skip "style =" visibility: hidden ; "&gt; &lt;/ div&gt; &lt;div tabindex =" - 1 "class =" airy-ad-end "style =" visibility: hidden; "&gt; &lt;/ div&gt; &lt;/ div&gt; &lt;/ div&gt; &lt;/ div&gt; &lt; / div&gt; &lt;div tabindex = "- 1" class = "airy-learn-more" style = "visibility: hidden;"&gt; &lt;/ div&gt; &lt;/ div&gt; &lt;div tabindex = "- 1" class = "airy- play-toggle-hint-stage airy-stage airy-cursor "&gt; &lt;div tabindex =" - 1 "class =" airy-play-toggle-hint-vertical-centering-table-cell airy-vertical-centering-table-cell airy-cursor "&gt; &lt;div tabindex =" - 1 "class =" airy-play-toggle-hint-container airy-scalable-hint-container "&gt; &lt;div tabindex =" - 1 "class =" airy-play-toggle -hint-dummy airy-scalable-dummy "&gt; &lt;/ div&gt; &lt;div tabindex =" - 1 "class =" airy-play-toggle-hint airy-hint airy-play-hint "style =" opacity: 1; visibility : visible; "&gt; &lt;/ div&gt; &lt;/ div&gt; &lt;/ div&gt; &lt;/ div&gt; &lt;d iv tabindex = "- 1" class = "airy-replay-hint-stage airy-stage" style = "visibility: hidden;"&gt; &lt;div tabindex = "- 1" class = "airy-replay-hint-vertical-centering -table-cell airy-vertical-centering-table-cell airy-cursor "&gt; &lt;div tabindex =" - 1 "class =" airy-replay-hint-container airy-scalable-hint-container "&gt; &lt;div tabindex =" -1 "class =" airy-replay-hint-dummy airy-scalable-dummy "&gt; &lt;/ div&gt; &lt;div tabindex =" - 1 "class =" airy-replay-hint airy-hint "&gt; &lt;/ div&gt; &lt; / div&gt; &lt;/ div&gt; &lt;/ div&gt; &lt;div tabindex = "- 1" class = "airy-autoplay-hint-stage airy-stage" style = "visibility: hidden;"&gt; &lt;div tabindex = "- 1" class = "airy-autoplay-hint-vertical-centering-table-cell airy-vertical-centering-table-cell airy-cursor"&gt; &lt;div tabindex = "- 1" class = "airy-autoplay-hint-container airy- scalable-hint-container "&gt; &lt;div tabindex =" - 1 "class =" airy-autoplay-hint-dummy airy-scalable-dummy "&gt; &lt;/ div&gt; &lt;/ div&gt; &lt;/ div&gt; &lt;/ div&gt; &lt;/ div&gt; &lt;/ div&gt; &lt;input type = "hidden" name = "" value = "https://images-cn.ssl-images-amazon.com/images/I/914cPqyzgXS.mp4" class = "video-url "&gt; &lt;input type =" hidden "name =" " value = "https://images-cn.ssl-images-amazon.com/images/I/81OzS4H5A+S.png" class = "video-slate-img-url"&gt; &amp; nbsp; logistics considered normal, bargain price! But to buy the transformer head yo!</v>
      </c>
    </row>
    <row r="336">
      <c r="A336" s="1">
        <v>5.0</v>
      </c>
      <c r="B336" s="1" t="s">
        <v>337</v>
      </c>
      <c r="C336" t="str">
        <f>IFERROR(__xludf.DUMMYFUNCTION("GOOGLETRANSLATE(B336, ""zh"", ""en"")"),"24 times the size of the repurchase is very suitable for a family of three to make soup stew meat. Quality stick!")</f>
        <v>24 times the size of the repurchase is very suitable for a family of three to make soup stew meat. Quality stick!</v>
      </c>
    </row>
    <row r="337">
      <c r="A337" s="1">
        <v>5.0</v>
      </c>
      <c r="B337" s="1" t="s">
        <v>338</v>
      </c>
      <c r="C337" t="str">
        <f>IFERROR(__xludf.DUMMYFUNCTION("GOOGLETRANSLATE(B337, ""zh"", ""en"")"),"Currently the best use of the food supplement scissors small scissors easy to carry anything useful that the cover is a failure, must cover in the direction it would be difficult to unplug")</f>
        <v>Currently the best use of the food supplement scissors small scissors easy to carry anything useful that the cover is a failure, must cover in the direction it would be difficult to unplug</v>
      </c>
    </row>
    <row r="338">
      <c r="A338" s="1">
        <v>5.0</v>
      </c>
      <c r="B338" s="1" t="s">
        <v>339</v>
      </c>
      <c r="C338" t="str">
        <f>IFERROR(__xludf.DUMMYFUNCTION("GOOGLETRANSLATE(B338, ""zh"", ""en"")"),"Wear comfortable to wear very comfortable, like feet, like boosting")</f>
        <v>Wear comfortable to wear very comfortable, like feet, like boosting</v>
      </c>
    </row>
    <row r="339">
      <c r="A339" s="1">
        <v>5.0</v>
      </c>
      <c r="B339" s="1" t="s">
        <v>340</v>
      </c>
      <c r="C339" t="str">
        <f>IFERROR(__xludf.DUMMYFUNCTION("GOOGLETRANSLATE(B339, ""zh"", ""en"")"),"Comfortable very comfortable, the right number. Four hundred Lu pick up the whole hand, although not too cheap, but just need the words of prices acceptable. Express took six days, soon.")</f>
        <v>Comfortable very comfortable, the right number. Four hundred Lu pick up the whole hand, although not too cheap, but just need the words of prices acceptable. Express took six days, soon.</v>
      </c>
    </row>
    <row r="340">
      <c r="A340" s="1">
        <v>5.0</v>
      </c>
      <c r="B340" s="1" t="s">
        <v>341</v>
      </c>
      <c r="C340" t="str">
        <f>IFERROR(__xludf.DUMMYFUNCTION("GOOGLETRANSLATE(B340, ""zh"", ""en"")"),"Doubt the true and false I'm very pleased with the product. But the labels are different from what I bought in Hongkong. White clear handwriting is bought in Hongkong, gray handwriting vague is bought in Amazon japan. Do you see the difference?")</f>
        <v>Doubt the true and false I'm very pleased with the product. But the labels are different from what I bought in Hongkong. White clear handwriting is bought in Hongkong, gray handwriting vague is bought in Amazon japan. Do you see the difference?</v>
      </c>
    </row>
    <row r="341">
      <c r="A341" s="1">
        <v>5.0</v>
      </c>
      <c r="B341" s="1" t="s">
        <v>342</v>
      </c>
      <c r="C341" t="str">
        <f>IFERROR(__xludf.DUMMYFUNCTION("GOOGLETRANSLATE(B341, ""zh"", ""en"")"),"Raiders do a lot of pacifiers, bottle nipples and finally chose Pigeon, Amazon opened overseas purchase, really fast")</f>
        <v>Raiders do a lot of pacifiers, bottle nipples and finally chose Pigeon, Amazon opened overseas purchase, really fast</v>
      </c>
    </row>
    <row r="342">
      <c r="A342" s="1">
        <v>5.0</v>
      </c>
      <c r="B342" s="1" t="s">
        <v>343</v>
      </c>
      <c r="C342" t="str">
        <f>IFERROR(__xludf.DUMMYFUNCTION("GOOGLETRANSLATE(B342, ""zh"", ""en"")"),"The right size, favorite models. Pants right size, size standard, the point is thick, suitable for autumn and winter wear, satisfaction.")</f>
        <v>The right size, favorite models. Pants right size, size standard, the point is thick, suitable for autumn and winter wear, satisfaction.</v>
      </c>
    </row>
    <row r="343">
      <c r="A343" s="1">
        <v>5.0</v>
      </c>
      <c r="B343" s="1" t="s">
        <v>344</v>
      </c>
      <c r="C343" t="str">
        <f>IFERROR(__xludf.DUMMYFUNCTION("GOOGLETRANSLATE(B343, ""zh"", ""en"")"),"Good snack tray put the baby to eat, very stable very good")</f>
        <v>Good snack tray put the baby to eat, very stable very good</v>
      </c>
    </row>
    <row r="344">
      <c r="A344" s="1">
        <v>5.0</v>
      </c>
      <c r="B344" s="1" t="s">
        <v>345</v>
      </c>
      <c r="C344" t="str">
        <f>IFERROR(__xludf.DUMMYFUNCTION("GOOGLETRANSLATE(B344, ""zh"", ""en"")"),"Very comfortable very comfortable")</f>
        <v>Very comfortable very comfortable</v>
      </c>
    </row>
    <row r="345">
      <c r="A345" s="1">
        <v>2.0</v>
      </c>
      <c r="B345" s="1" t="s">
        <v>346</v>
      </c>
      <c r="C345" t="str">
        <f>IFERROR(__xludf.DUMMYFUNCTION("GOOGLETRANSLATE(B345, ""zh"", ""en"")"),"Finally to buy! bought! Looking forward to install! Expect Raindance")</f>
        <v>Finally to buy! bought! Looking forward to install! Expect Raindance</v>
      </c>
    </row>
    <row r="346">
      <c r="A346" s="1">
        <v>3.0</v>
      </c>
      <c r="B346" s="1" t="s">
        <v>347</v>
      </c>
      <c r="C346" t="str">
        <f>IFERROR(__xludf.DUMMYFUNCTION("GOOGLETRANSLATE(B346, ""zh"", ""en"")"),"Zipper style is generally difficult to use general color General")</f>
        <v>Zipper style is generally difficult to use general color General</v>
      </c>
    </row>
    <row r="347">
      <c r="A347" s="1">
        <v>3.0</v>
      </c>
      <c r="B347" s="1" t="s">
        <v>348</v>
      </c>
      <c r="C347" t="str">
        <f>IFERROR(__xludf.DUMMYFUNCTION("GOOGLETRANSLATE(B347, ""zh"", ""en"")"),"Shelf life really is temporary shelf life wondering all this sea Amoy it expires on 20 August fundamental eat")</f>
        <v>Shelf life really is temporary shelf life wondering all this sea Amoy it expires on 20 August fundamental eat</v>
      </c>
    </row>
    <row r="348">
      <c r="A348" s="1">
        <v>3.0</v>
      </c>
      <c r="B348" s="1" t="s">
        <v>349</v>
      </c>
      <c r="C348" t="str">
        <f>IFERROR(__xludf.DUMMYFUNCTION("GOOGLETRANSLATE(B348, ""zh"", ""en"")"),"Do not like the side seams in the right size, work is also possible, but the seams in the side of the leg ah really Ge")</f>
        <v>Do not like the side seams in the right size, work is also possible, but the seams in the side of the leg ah really Ge</v>
      </c>
    </row>
    <row r="349">
      <c r="A349" s="1">
        <v>1.0</v>
      </c>
      <c r="B349" s="1" t="s">
        <v>350</v>
      </c>
      <c r="C349" t="str">
        <f>IFERROR(__xludf.DUMMYFUNCTION("GOOGLETRANSLATE(B349, ""zh"", ""en"")"),"2E very poor experience given the results sent me a D, because there are not 2E to come here! Because anxious to use the change would not be able to say! To compensate!")</f>
        <v>2E very poor experience given the results sent me a D, because there are not 2E to come here! Because anxious to use the change would not be able to say! To compensate!</v>
      </c>
    </row>
    <row r="350">
      <c r="A350" s="1">
        <v>1.0</v>
      </c>
      <c r="B350" s="1" t="s">
        <v>351</v>
      </c>
      <c r="C350" t="str">
        <f>IFERROR(__xludf.DUMMYFUNCTION("GOOGLETRANSLATE(B350, ""zh"", ""en"")"),"Some difference between the first, second garbage")</f>
        <v>Some difference between the first, second garbage</v>
      </c>
    </row>
    <row r="351">
      <c r="A351" s="1">
        <v>4.0</v>
      </c>
      <c r="B351" s="1" t="s">
        <v>352</v>
      </c>
      <c r="C351" t="str">
        <f>IFERROR(__xludf.DUMMYFUNCTION("GOOGLETRANSLATE(B351, ""zh"", ""en"")"),"Overall are good, said one drawback it, thick soles, the result is, the shoes feel a little heavy, but get used to wearing a few days")</f>
        <v>Overall are good, said one drawback it, thick soles, the result is, the shoes feel a little heavy, but get used to wearing a few days</v>
      </c>
    </row>
    <row r="352">
      <c r="A352" s="1">
        <v>4.0</v>
      </c>
      <c r="B352" s="1" t="s">
        <v>353</v>
      </c>
      <c r="C352" t="str">
        <f>IFERROR(__xludf.DUMMYFUNCTION("GOOGLETRANSLATE(B352, ""zh"", ""en"")"),"Packaging is really like for garbage, like,")</f>
        <v>Packaging is really like for garbage, like,</v>
      </c>
    </row>
    <row r="353">
      <c r="A353" s="1">
        <v>4.0</v>
      </c>
      <c r="B353" s="1" t="s">
        <v>354</v>
      </c>
      <c r="C353" t="str">
        <f>IFERROR(__xludf.DUMMYFUNCTION("GOOGLETRANSLATE(B353, ""zh"", ""en"")"),"This is good, that is a bit long length")</f>
        <v>This is good, that is a bit long length</v>
      </c>
    </row>
    <row r="354">
      <c r="A354" s="1">
        <v>4.0</v>
      </c>
      <c r="B354" s="1" t="s">
        <v>355</v>
      </c>
      <c r="C354" t="str">
        <f>IFERROR(__xludf.DUMMYFUNCTION("GOOGLETRANSLATE(B354, ""zh"", ""en"")"),"Stylish cheap good, cheap affordable, more rigid fabrics")</f>
        <v>Stylish cheap good, cheap affordable, more rigid fabrics</v>
      </c>
    </row>
    <row r="355">
      <c r="A355" s="1">
        <v>4.0</v>
      </c>
      <c r="B355" s="1" t="s">
        <v>356</v>
      </c>
      <c r="C355" t="str">
        <f>IFERROR(__xludf.DUMMYFUNCTION("GOOGLETRANSLATE(B355, ""zh"", ""en"")"),"With a little difference in size size okay, cost-effective, be considered to have a brand, no brand is not worth the price")</f>
        <v>With a little difference in size size okay, cost-effective, be considered to have a brand, no brand is not worth the price</v>
      </c>
    </row>
    <row r="356">
      <c r="A356" s="1">
        <v>5.0</v>
      </c>
      <c r="B356" s="1" t="s">
        <v>357</v>
      </c>
      <c r="C356" t="str">
        <f>IFERROR(__xludf.DUMMYFUNCTION("GOOGLETRANSLATE(B356, ""zh"", ""en"")"),"Good quality baby has been born with the Pigeon, had previously been purchased from Amazon Japan, transport super trouble, now we have a lot of overseas shopping convenience")</f>
        <v>Good quality baby has been born with the Pigeon, had previously been purchased from Amazon Japan, transport super trouble, now we have a lot of overseas shopping convenience</v>
      </c>
    </row>
    <row r="357">
      <c r="A357" s="1">
        <v>5.0</v>
      </c>
      <c r="B357" s="1" t="s">
        <v>358</v>
      </c>
      <c r="C357" t="str">
        <f>IFERROR(__xludf.DUMMYFUNCTION("GOOGLETRANSLATE(B357, ""zh"", ""en"")"),"Insulation insulation effect")</f>
        <v>Insulation insulation effect</v>
      </c>
    </row>
    <row r="358">
      <c r="A358" s="1">
        <v>5.0</v>
      </c>
      <c r="B358" s="1" t="s">
        <v>359</v>
      </c>
      <c r="C358" t="str">
        <f>IFERROR(__xludf.DUMMYFUNCTION("GOOGLETRANSLATE(B358, ""zh"", ""en"")"),"Too large, still very satisfied with the clothes is not very thick, but the United States than those shown, but unfortunately buy big. According to the icon on the clothes displayed (see figure), the US equivalent to S code L code of Asia. I usually wear "&amp;"M code, it should buy US XS code. Amazon Tips to buy L code.")</f>
        <v>Too large, still very satisfied with the clothes is not very thick, but the United States than those shown, but unfortunately buy big. According to the icon on the clothes displayed (see figure), the US equivalent to S code L code of Asia. I usually wear M code, it should buy US XS code. Amazon Tips to buy L code.</v>
      </c>
    </row>
    <row r="359">
      <c r="A359" s="1">
        <v>5.0</v>
      </c>
      <c r="B359" s="1" t="s">
        <v>360</v>
      </c>
      <c r="C359" t="str">
        <f>IFERROR(__xludf.DUMMYFUNCTION("GOOGLETRANSLATE(B359, ""zh"", ""en"")"),"Very good very good very soft but not Le stomach feel efforts are not enough")</f>
        <v>Very good very good very soft but not Le stomach feel efforts are not enough</v>
      </c>
    </row>
    <row r="360">
      <c r="A360" s="1">
        <v>5.0</v>
      </c>
      <c r="B360" s="1" t="s">
        <v>361</v>
      </c>
      <c r="C360" t="str">
        <f>IFERROR(__xludf.DUMMYFUNCTION("GOOGLETRANSLATE(B360, ""zh"", ""en"")"),"Cost-effective, cost-effective color value is high, color value is also high")</f>
        <v>Cost-effective, cost-effective color value is high, color value is also high</v>
      </c>
    </row>
    <row r="361">
      <c r="A361" s="1">
        <v>5.0</v>
      </c>
      <c r="B361" s="1" t="s">
        <v>362</v>
      </c>
      <c r="C361" t="str">
        <f>IFERROR(__xludf.DUMMYFUNCTION("GOOGLETRANSLATE(B361, ""zh"", ""en"")"),"If a Chinese manual on the better I bought the most expensive iron, the effect did not let me down, a lot of steam, the operation is very simple, water requirement can reach 6-7 pieces, greatly improving efficiency.")</f>
        <v>If a Chinese manual on the better I bought the most expensive iron, the effect did not let me down, a lot of steam, the operation is very simple, water requirement can reach 6-7 pieces, greatly improving efficiency.</v>
      </c>
    </row>
    <row r="362">
      <c r="A362" s="1">
        <v>5.0</v>
      </c>
      <c r="B362" s="1" t="s">
        <v>363</v>
      </c>
      <c r="C362" t="str">
        <f>IFERROR(__xludf.DUMMYFUNCTION("GOOGLETRANSLATE(B362, ""zh"", ""en"")"),"Summer do not have access, or use a little thick spring and autumn days will be better in the summer air-conditioned rooms do not have access, will be hot")</f>
        <v>Summer do not have access, or use a little thick spring and autumn days will be better in the summer air-conditioned rooms do not have access, will be hot</v>
      </c>
    </row>
    <row r="363">
      <c r="A363" s="1">
        <v>5.0</v>
      </c>
      <c r="B363" s="1" t="s">
        <v>364</v>
      </c>
      <c r="C363" t="str">
        <f>IFERROR(__xludf.DUMMYFUNCTION("GOOGLETRANSLATE(B363, ""zh"", ""en"")"),"With good stuff for a long time, it recommends.")</f>
        <v>With good stuff for a long time, it recommends.</v>
      </c>
    </row>
    <row r="364">
      <c r="A364" s="1">
        <v>5.0</v>
      </c>
      <c r="B364" s="1" t="s">
        <v>365</v>
      </c>
      <c r="C364" t="str">
        <f>IFERROR(__xludf.DUMMYFUNCTION("GOOGLETRANSLATE(B364, ""zh"", ""en"")"),"Fine chocolate powder because of the cheap buy, vanilla flavor can be better. pretty good.")</f>
        <v>Fine chocolate powder because of the cheap buy, vanilla flavor can be better. pretty good.</v>
      </c>
    </row>
    <row r="365">
      <c r="A365" s="1">
        <v>5.0</v>
      </c>
      <c r="B365" s="1" t="s">
        <v>366</v>
      </c>
      <c r="C365" t="str">
        <f>IFERROR(__xludf.DUMMYFUNCTION("GOOGLETRANSLATE(B365, ""zh"", ""en"")"),"Taste good taste good, affordable, pot, packaging keep it fresh")</f>
        <v>Taste good taste good, affordable, pot, packaging keep it fresh</v>
      </c>
    </row>
    <row r="366">
      <c r="A366" s="1">
        <v>5.0</v>
      </c>
      <c r="B366" s="1" t="s">
        <v>367</v>
      </c>
      <c r="C366" t="str">
        <f>IFERROR(__xludf.DUMMYFUNCTION("GOOGLETRANSLATE(B366, ""zh"", ""en"")"),"Cost-effective choice for classic! Suitable thin wrist bands, women can also take three anti watch with them peace of mind.")</f>
        <v>Cost-effective choice for classic! Suitable thin wrist bands, women can also take three anti watch with them peace of mind.</v>
      </c>
    </row>
    <row r="367">
      <c r="A367" s="1">
        <v>5.0</v>
      </c>
      <c r="B367" s="1" t="s">
        <v>368</v>
      </c>
      <c r="C367" t="str">
        <f>IFERROR(__xludf.DUMMYFUNCTION("GOOGLETRANSLATE(B367, ""zh"", ""en"")"),"I bought a black good with clothes so comfortable, more comfortable than anything which Embry, would like to buy, but buy two additional styles of cups too thin, wear a bump, the other one that is not too large I bought a black personal good with clothes "&amp;"so comfortable, more comfortable than anything which Embry, would like to buy, but buy two additional styles of cups too thin, wear a bump, the other one is too large at all It does not close")</f>
        <v>I bought a black good with clothes so comfortable, more comfortable than anything which Embry, would like to buy, but buy two additional styles of cups too thin, wear a bump, the other one that is not too large I bought a black personal good with clothes so comfortable, more comfortable than anything which Embry, would like to buy, but buy two additional styles of cups too thin, wear a bump, the other one is too large at all It does not close</v>
      </c>
    </row>
    <row r="368">
      <c r="A368" s="1">
        <v>5.0</v>
      </c>
      <c r="B368" s="1" t="s">
        <v>369</v>
      </c>
      <c r="C368" t="str">
        <f>IFERROR(__xludf.DUMMYFUNCTION("GOOGLETRANSLATE(B368, ""zh"", ""en"")"),"If not special body, recommended that all summer to buy S code and the same type of shorts, shorts M can be, but not necessarily because of long trousers to wear M. El Salvador manufacturing, can still work, even if thicker then OK.")</f>
        <v>If not special body, recommended that all summer to buy S code and the same type of shorts, shorts M can be, but not necessarily because of long trousers to wear M. El Salvador manufacturing, can still work, even if thicker then OK.</v>
      </c>
    </row>
    <row r="369">
      <c r="A369" s="1">
        <v>5.0</v>
      </c>
      <c r="B369" s="1" t="s">
        <v>370</v>
      </c>
      <c r="C369" t="str">
        <f>IFERROR(__xludf.DUMMYFUNCTION("GOOGLETRANSLATE(B369, ""zh"", ""en"")"),"Good to wear shipped quickly, good to wear. It is suitable for Shanghai this cold weather.")</f>
        <v>Good to wear shipped quickly, good to wear. It is suitable for Shanghai this cold weather.</v>
      </c>
    </row>
    <row r="370">
      <c r="A370" s="1">
        <v>5.0</v>
      </c>
      <c r="B370" s="1" t="s">
        <v>371</v>
      </c>
      <c r="C370" t="str">
        <f>IFERROR(__xludf.DUMMYFUNCTION("GOOGLETRANSLATE(B370, ""zh"", ""en"")"),"Satisfaction with lightweight, good insulation effect, it should be genuine")</f>
        <v>Satisfaction with lightweight, good insulation effect, it should be genuine</v>
      </c>
    </row>
    <row r="371">
      <c r="A371" s="1">
        <v>5.0</v>
      </c>
      <c r="B371" s="1" t="s">
        <v>372</v>
      </c>
      <c r="C371" t="str">
        <f>IFERROR(__xludf.DUMMYFUNCTION("GOOGLETRANSLATE(B371, ""zh"", ""en"")"),"Water particularly fast, beautiful and generous style water particularly fast, beautiful and generous style")</f>
        <v>Water particularly fast, beautiful and generous style water particularly fast, beautiful and generous style</v>
      </c>
    </row>
    <row r="372">
      <c r="A372" s="1">
        <v>5.0</v>
      </c>
      <c r="B372" s="1" t="s">
        <v>373</v>
      </c>
      <c r="C372" t="str">
        <f>IFERROR(__xludf.DUMMYFUNCTION("GOOGLETRANSLATE(B372, ""zh"", ""en"")"),"Evaluation of clothes produced in China, exported to Japan better than other origins. Fabrics thick, good texture.")</f>
        <v>Evaluation of clothes produced in China, exported to Japan better than other origins. Fabrics thick, good texture.</v>
      </c>
    </row>
    <row r="373">
      <c r="A373" s="1">
        <v>5.0</v>
      </c>
      <c r="B373" s="1" t="s">
        <v>374</v>
      </c>
      <c r="C373" t="str">
        <f>IFERROR(__xludf.DUMMYFUNCTION("GOOGLETRANSLATE(B373, ""zh"", ""en"")"),"Nice nice cup")</f>
        <v>Nice nice cup</v>
      </c>
    </row>
    <row r="374">
      <c r="A374" s="1">
        <v>5.0</v>
      </c>
      <c r="B374" s="1" t="s">
        <v>375</v>
      </c>
      <c r="C374" t="str">
        <f>IFERROR(__xludf.DUMMYFUNCTION("GOOGLETRANSLATE(B374, ""zh"", ""en"")"),"Good to wear, heat this summer is no lightweight and comfortable, than another brand of good wear. you get what you pay for")</f>
        <v>Good to wear, heat this summer is no lightweight and comfortable, than another brand of good wear. you get what you pay for</v>
      </c>
    </row>
    <row r="375">
      <c r="A375" s="1">
        <v>5.0</v>
      </c>
      <c r="B375" s="1" t="s">
        <v>376</v>
      </c>
      <c r="C375" t="str">
        <f>IFERROR(__xludf.DUMMYFUNCTION("GOOGLETRANSLATE(B375, ""zh"", ""en"")"),"Worth buying the original product is good!")</f>
        <v>Worth buying the original product is good!</v>
      </c>
    </row>
    <row r="376">
      <c r="A376" s="1">
        <v>5.0</v>
      </c>
      <c r="B376" s="1" t="s">
        <v>377</v>
      </c>
      <c r="C376" t="str">
        <f>IFERROR(__xludf.DUMMYFUNCTION("GOOGLETRANSLATE(B376, ""zh"", ""en"")"),"174,71 kg wearing just good, very good quality.")</f>
        <v>174,71 kg wearing just good, very good quality.</v>
      </c>
    </row>
    <row r="377">
      <c r="A377" s="1">
        <v>5.0</v>
      </c>
      <c r="B377" s="1" t="s">
        <v>378</v>
      </c>
      <c r="C377" t="str">
        <f>IFERROR(__xludf.DUMMYFUNCTION("GOOGLETRANSLATE(B377, ""zh"", ""en"")"),"Canvas bag like work just fine in very good shape, over one hundred hand, cost-effective")</f>
        <v>Canvas bag like work just fine in very good shape, over one hundred hand, cost-effective</v>
      </c>
    </row>
    <row r="378">
      <c r="A378" s="1">
        <v>2.0</v>
      </c>
      <c r="B378" s="1" t="s">
        <v>379</v>
      </c>
      <c r="C378" t="str">
        <f>IFERROR(__xludf.DUMMYFUNCTION("GOOGLETRANSLATE(B378, ""zh"", ""en"")"),"Note: 173 buy M code can not wear not back! ! ! Plus twelve yards it a little at least two yards, to wear hanging 👕 count, right? Half the price of return shipping clothes, I can only put it up as a family heirloom collections")</f>
        <v>Note: 173 buy M code can not wear not back! ! ! Plus twelve yards it a little at least two yards, to wear hanging 👕 count, right? Half the price of return shipping clothes, I can only put it up as a family heirloom collections</v>
      </c>
    </row>
    <row r="379">
      <c r="A379" s="1">
        <v>3.0</v>
      </c>
      <c r="B379" s="1" t="s">
        <v>380</v>
      </c>
      <c r="C379" t="str">
        <f>IFERROR(__xludf.DUMMYFUNCTION("GOOGLETRANSLATE(B379, ""zh"", ""en"")"),"Life is short, easy to wear out is not suitable for sports wear, often off the headset, headphone cable also always running around ... the sound quality is good, Bluetooth connectivity quickly, but always felt that power very quickly, such as when chargin"&amp;"g always suddenly off, but soon that full power was not any electricity. .")</f>
        <v>Life is short, easy to wear out is not suitable for sports wear, often off the headset, headphone cable also always running around ... the sound quality is good, Bluetooth connectivity quickly, but always felt that power very quickly, such as when charging always suddenly off, but soon that full power was not any electricity. .</v>
      </c>
    </row>
    <row r="380">
      <c r="A380" s="1">
        <v>3.0</v>
      </c>
      <c r="B380" s="1" t="s">
        <v>381</v>
      </c>
      <c r="C380" t="str">
        <f>IFERROR(__xludf.DUMMYFUNCTION("GOOGLETRANSLATE(B380, ""zh"", ""en"")"),"Usually wear XL code, L code the shot right size, but three garment sizes, too large gray, black small size usually wear L code XL code, just the shot, not just three garment sizes First, the gray is too large, too small black")</f>
        <v>Usually wear XL code, L code the shot right size, but three garment sizes, too large gray, black small size usually wear L code XL code, just the shot, not just three garment sizes First, the gray is too large, too small black</v>
      </c>
    </row>
    <row r="381">
      <c r="A381" s="1">
        <v>1.0</v>
      </c>
      <c r="B381" s="1" t="s">
        <v>382</v>
      </c>
      <c r="C381" t="str">
        <f>IFERROR(__xludf.DUMMYFUNCTION("GOOGLETRANSLATE(B381, ""zh"", ""en"")"),"Packaging protection protective packaging bad bad! Send over is bad")</f>
        <v>Packaging protection protective packaging bad bad! Send over is bad</v>
      </c>
    </row>
    <row r="382">
      <c r="A382" s="1">
        <v>1.0</v>
      </c>
      <c r="B382" s="1" t="s">
        <v>383</v>
      </c>
      <c r="C382" t="str">
        <f>IFERROR(__xludf.DUMMYFUNCTION("GOOGLETRANSLATE(B382, ""zh"", ""en"")"),"Ask butterfly stick stirring rod actually broken, there is no recipe how to ask with no instructions in Chinese, does not know how to use, can be cooking it?")</f>
        <v>Ask butterfly stick stirring rod actually broken, there is no recipe how to ask with no instructions in Chinese, does not know how to use, can be cooking it?</v>
      </c>
    </row>
    <row r="383">
      <c r="A383" s="1">
        <v>1.0</v>
      </c>
      <c r="B383" s="1" t="s">
        <v>384</v>
      </c>
      <c r="C383" t="str">
        <f>IFERROR(__xludf.DUMMYFUNCTION("GOOGLETRANSLATE(B383, ""zh"", ""en"")"),"Pour poor design is not good, when the water will pour out from the slot cover.")</f>
        <v>Pour poor design is not good, when the water will pour out from the slot cover.</v>
      </c>
    </row>
    <row r="384">
      <c r="A384" s="1">
        <v>4.0</v>
      </c>
      <c r="B384" s="1" t="s">
        <v>385</v>
      </c>
      <c r="C384" t="str">
        <f>IFERROR(__xludf.DUMMYFUNCTION("GOOGLETRANSLATE(B384, ""zh"", ""en"")"),"lee family size difference is too great, wonder whether the product is genuine lee family size difference is too great, suspect is not genuine, as well as the leakage of bad holes")</f>
        <v>lee family size difference is too great, wonder whether the product is genuine lee family size difference is too great, suspect is not genuine, as well as the leakage of bad holes</v>
      </c>
    </row>
    <row r="385">
      <c r="A385" s="1">
        <v>4.0</v>
      </c>
      <c r="B385" s="1" t="s">
        <v>386</v>
      </c>
      <c r="C385" t="str">
        <f>IFERROR(__xludf.DUMMYFUNCTION("GOOGLETRANSLATE(B385, ""zh"", ""en"")"),"Hard soles soles hard, too thin, did not think so warm, the right size, because it is a high state of shoes, get to wear more strenuous, it is recommended to buy a number more than half, and then a warm pad insole")</f>
        <v>Hard soles soles hard, too thin, did not think so warm, the right size, because it is a high state of shoes, get to wear more strenuous, it is recommended to buy a number more than half, and then a warm pad insole</v>
      </c>
    </row>
    <row r="386">
      <c r="A386" s="1">
        <v>4.0</v>
      </c>
      <c r="B386" s="1" t="s">
        <v>387</v>
      </c>
      <c r="C386" t="str">
        <f>IFERROR(__xludf.DUMMYFUNCTION("GOOGLETRANSLATE(B386, ""zh"", ""en"")"),"Scratched belt head with multiple scratches, work in general, than the domestic counter price advantage, but also domestic production, shipments abroad")</f>
        <v>Scratched belt head with multiple scratches, work in general, than the domestic counter price advantage, but also domestic production, shipments abroad</v>
      </c>
    </row>
    <row r="387">
      <c r="A387" s="1">
        <v>4.0</v>
      </c>
      <c r="B387" s="1" t="s">
        <v>388</v>
      </c>
      <c r="C387" t="str">
        <f>IFERROR(__xludf.DUMMYFUNCTION("GOOGLETRANSLATE(B387, ""zh"", ""en"")"),"Clothes of good quality clothes a little short, but long sleeves, short clothes, the right shoulder, whole can, but not to wear it cut prices over 50 dollars.")</f>
        <v>Clothes of good quality clothes a little short, but long sleeves, short clothes, the right shoulder, whole can, but not to wear it cut prices over 50 dollars.</v>
      </c>
    </row>
    <row r="388">
      <c r="A388" s="1">
        <v>4.0</v>
      </c>
      <c r="B388" s="1" t="s">
        <v>389</v>
      </c>
      <c r="C388" t="str">
        <f>IFERROR(__xludf.DUMMYFUNCTION("GOOGLETRANSLATE(B388, ""zh"", ""en"")"),"No. 162 110 S Summer thin section suitable wear suitable number 162 110 S suitable thin section suitable spring and summer wear, but the quality is very general sale process is satisfied Amazon")</f>
        <v>No. 162 110 S Summer thin section suitable wear suitable number 162 110 S suitable thin section suitable spring and summer wear, but the quality is very general sale process is satisfied Amazon</v>
      </c>
    </row>
    <row r="389">
      <c r="A389" s="1">
        <v>5.0</v>
      </c>
      <c r="B389" s="1" t="s">
        <v>390</v>
      </c>
      <c r="C389" t="str">
        <f>IFERROR(__xludf.DUMMYFUNCTION("GOOGLETRANSLATE(B389, ""zh"", ""en"")"),"Yes I waited 10 days, and finally at hand, solar, wave, not bad experience")</f>
        <v>Yes I waited 10 days, and finally at hand, solar, wave, not bad experience</v>
      </c>
    </row>
    <row r="390">
      <c r="A390" s="1">
        <v>5.0</v>
      </c>
      <c r="B390" s="1" t="s">
        <v>391</v>
      </c>
      <c r="C390" t="str">
        <f>IFERROR(__xludf.DUMMYFUNCTION("GOOGLETRANSLATE(B390, ""zh"", ""en"")"),"Genuine good writing! Packaging and quality are good, compare and buy the other places, this genuine!")</f>
        <v>Genuine good writing! Packaging and quality are good, compare and buy the other places, this genuine!</v>
      </c>
    </row>
    <row r="391">
      <c r="A391" s="1">
        <v>5.0</v>
      </c>
      <c r="B391" s="1" t="s">
        <v>392</v>
      </c>
      <c r="C391" t="str">
        <f>IFERROR(__xludf.DUMMYFUNCTION("GOOGLETRANSLATE(B391, ""zh"", ""en"")"),"Quality can be quality can be, it is to buy more")</f>
        <v>Quality can be quality can be, it is to buy more</v>
      </c>
    </row>
    <row r="392">
      <c r="A392" s="1">
        <v>5.0</v>
      </c>
      <c r="B392" s="1" t="s">
        <v>393</v>
      </c>
      <c r="C392" t="str">
        <f>IFERROR(__xludf.DUMMYFUNCTION("GOOGLETRANSLATE(B392, ""zh"", ""en"")"),"Comfortable fit 183cm74kg, size just right")</f>
        <v>Comfortable fit 183cm74kg, size just right</v>
      </c>
    </row>
    <row r="393">
      <c r="A393" s="1">
        <v>5.0</v>
      </c>
      <c r="B393" s="1" t="s">
        <v>394</v>
      </c>
      <c r="C393" t="str">
        <f>IFERROR(__xludf.DUMMYFUNCTION("GOOGLETRANSLATE(B393, ""zh"", ""en"")"),"The right size, the version is quite satisfactory. The right size, the version is quite satisfactory, with up good.")</f>
        <v>The right size, the version is quite satisfactory. The right size, the version is quite satisfactory, with up good.</v>
      </c>
    </row>
    <row r="394">
      <c r="A394" s="1">
        <v>5.0</v>
      </c>
      <c r="B394" s="1" t="s">
        <v>395</v>
      </c>
      <c r="C394" t="str">
        <f>IFERROR(__xludf.DUMMYFUNCTION("GOOGLETRANSLATE(B394, ""zh"", ""en"")"),"Amazon shipped to land transport to the headquarters of the Netherlands was full and easy to delay for a week and a half, was full receipt from easy to domestic SF Express actually only took two days. Foreign adults work do not fly ah dial girls can hold "&amp;"live, my first feeling a little small, but looks good ah ha ha ha ha, very good.")</f>
        <v>Amazon shipped to land transport to the headquarters of the Netherlands was full and easy to delay for a week and a half, was full receipt from easy to domestic SF Express actually only took two days. Foreign adults work do not fly ah dial girls can hold live, my first feeling a little small, but looks good ah ha ha ha ha, very good.</v>
      </c>
    </row>
    <row r="395">
      <c r="A395" s="1">
        <v>5.0</v>
      </c>
      <c r="B395" s="1" t="s">
        <v>396</v>
      </c>
      <c r="C395" t="str">
        <f>IFERROR(__xludf.DUMMYFUNCTION("GOOGLETRANSLATE(B395, ""zh"", ""en"")"),"Strong demand for the cap and connecting portion Yuesao bottle tightly closed, confirm the need")</f>
        <v>Strong demand for the cap and connecting portion Yuesao bottle tightly closed, confirm the need</v>
      </c>
    </row>
    <row r="396">
      <c r="A396" s="1">
        <v>5.0</v>
      </c>
      <c r="B396" s="1" t="s">
        <v>397</v>
      </c>
      <c r="C396" t="str">
        <f>IFERROR(__xludf.DUMMYFUNCTION("GOOGLETRANSLATE(B396, ""zh"", ""en"")"),"Okay quality is very good, genuine, just missed some simple packaging, only one transparent plastic bags come")</f>
        <v>Okay quality is very good, genuine, just missed some simple packaging, only one transparent plastic bags come</v>
      </c>
    </row>
    <row r="397">
      <c r="A397" s="1">
        <v>5.0</v>
      </c>
      <c r="B397" s="1" t="s">
        <v>398</v>
      </c>
      <c r="C397" t="str">
        <f>IFERROR(__xludf.DUMMYFUNCTION("GOOGLETRANSLATE(B397, ""zh"", ""en"")"),"Very good waist fit, comfort is also good, that is, long pants too long. Buy a pair of pants for nearly a month, Intuit long. Of course, the price is good.")</f>
        <v>Very good waist fit, comfort is also good, that is, long pants too long. Buy a pair of pants for nearly a month, Intuit long. Of course, the price is good.</v>
      </c>
    </row>
    <row r="398">
      <c r="A398" s="1">
        <v>5.0</v>
      </c>
      <c r="B398" s="1" t="s">
        <v>399</v>
      </c>
      <c r="C398" t="str">
        <f>IFERROR(__xludf.DUMMYFUNCTION("GOOGLETRANSLATE(B398, ""zh"", ""en"")"),"Very satisfied with the shopping experience very satisfied, 26.5 waist 32 * 30 just the right domestic pants are generally 32 * 32, had bought a short cut, this is perfect!")</f>
        <v>Very satisfied with the shopping experience very satisfied, 26.5 waist 32 * 30 just the right domestic pants are generally 32 * 32, had bought a short cut, this is perfect!</v>
      </c>
    </row>
    <row r="399">
      <c r="A399" s="1">
        <v>5.0</v>
      </c>
      <c r="B399" s="1" t="s">
        <v>400</v>
      </c>
      <c r="C399" t="str">
        <f>IFERROR(__xludf.DUMMYFUNCTION("GOOGLETRANSLATE(B399, ""zh"", ""en"")"),"Cotton, cotton T-shirt is a shirt, no problems")</f>
        <v>Cotton, cotton T-shirt is a shirt, no problems</v>
      </c>
    </row>
    <row r="400">
      <c r="A400" s="1">
        <v>5.0</v>
      </c>
      <c r="B400" s="1" t="s">
        <v>401</v>
      </c>
      <c r="C400" t="str">
        <f>IFERROR(__xludf.DUMMYFUNCTION("GOOGLETRANSLATE(B400, ""zh"", ""en"")"),"Satisfaction is the jacket thin section - flexible, soft texture to 170 to 110 pounds just s")</f>
        <v>Satisfaction is the jacket thin section - flexible, soft texture to 170 to 110 pounds just s</v>
      </c>
    </row>
    <row r="401">
      <c r="A401" s="1">
        <v>5.0</v>
      </c>
      <c r="B401" s="1" t="s">
        <v>402</v>
      </c>
      <c r="C401" t="str">
        <f>IFERROR(__xludf.DUMMYFUNCTION("GOOGLETRANSLATE(B401, ""zh"", ""en"")"),"Spike to, Value contrast a bit, almost the lowest start. Prior to collect too much information, at first a little worried about instability will actually use and do not have this problem. After the computer is changed to the high-capacity solid state, pro"&amp;"duction and export of design information has increased dramatically.")</f>
        <v>Spike to, Value contrast a bit, almost the lowest start. Prior to collect too much information, at first a little worried about instability will actually use and do not have this problem. After the computer is changed to the high-capacity solid state, production and export of design information has increased dramatically.</v>
      </c>
    </row>
    <row r="402">
      <c r="A402" s="1">
        <v>5.0</v>
      </c>
      <c r="B402" s="1" t="s">
        <v>403</v>
      </c>
      <c r="C402" t="str">
        <f>IFERROR(__xludf.DUMMYFUNCTION("GOOGLETRANSLATE(B402, ""zh"", ""en"")"),"👍 pants good right size (height 172/80 kg body weight, waist 88 to buy 34/30), feeling worn out 25 degrees when the outside is not very breathable! Pants good! Work alternative work pants feeling is very appropriate!")</f>
        <v>👍 pants good right size (height 172/80 kg body weight, waist 88 to buy 34/30), feeling worn out 25 degrees when the outside is not very breathable! Pants good! Work alternative work pants feeling is very appropriate!</v>
      </c>
    </row>
    <row r="403">
      <c r="A403" s="1">
        <v>5.0</v>
      </c>
      <c r="B403" s="1" t="s">
        <v>404</v>
      </c>
      <c r="C403" t="str">
        <f>IFERROR(__xludf.DUMMYFUNCTION("GOOGLETRANSLATE(B403, ""zh"", ""en"")"),"Best bought underwear 172.5cm / 75kgs, fitness, waist circumference 80cm, just right. Excellent breathability and sweat absorbability, good encapsulated, usually wearing fitness tilapia.")</f>
        <v>Best bought underwear 172.5cm / 75kgs, fitness, waist circumference 80cm, just right. Excellent breathability and sweat absorbability, good encapsulated, usually wearing fitness tilapia.</v>
      </c>
    </row>
    <row r="404">
      <c r="A404" s="1">
        <v>5.0</v>
      </c>
      <c r="B404" s="1" t="s">
        <v>405</v>
      </c>
      <c r="C404" t="str">
        <f>IFERROR(__xludf.DUMMYFUNCTION("GOOGLETRANSLATE(B404, ""zh"", ""en"")"),"Soft fabric feels a bit thin")</f>
        <v>Soft fabric feels a bit thin</v>
      </c>
    </row>
    <row r="405">
      <c r="A405" s="1">
        <v>5.0</v>
      </c>
      <c r="B405" s="1" t="s">
        <v>406</v>
      </c>
      <c r="C405" t="str">
        <f>IFERROR(__xludf.DUMMYFUNCTION("GOOGLETRANSLATE(B405, ""zh"", ""en"")"),"Glass bottle fell two favorite, and Pigeon glass bottle feels feel good, the baby was born to now has been this. .")</f>
        <v>Glass bottle fell two favorite, and Pigeon glass bottle feels feel good, the baby was born to now has been this. .</v>
      </c>
    </row>
    <row r="406">
      <c r="A406" s="1">
        <v>5.0</v>
      </c>
      <c r="B406" s="1" t="s">
        <v>407</v>
      </c>
      <c r="C406" t="str">
        <f>IFERROR(__xludf.DUMMYFUNCTION("GOOGLETRANSLATE(B406, ""zh"", ""en"")"),"Good shopping experience version good, very fit")</f>
        <v>Good shopping experience version good, very fit</v>
      </c>
    </row>
    <row r="407">
      <c r="A407" s="1">
        <v>5.0</v>
      </c>
      <c r="B407" s="1" t="s">
        <v>408</v>
      </c>
      <c r="C407" t="str">
        <f>IFERROR(__xludf.DUMMYFUNCTION("GOOGLETRANSLATE(B407, ""zh"", ""en"")"),"Good good. I bought the L 183,70 fundamental right, slightly loose. I just point than the fat. I am also satisfied with the material")</f>
        <v>Good good. I bought the L 183,70 fundamental right, slightly loose. I just point than the fat. I am also satisfied with the material</v>
      </c>
    </row>
    <row r="408">
      <c r="A408" s="1">
        <v>5.0</v>
      </c>
      <c r="B408" s="1" t="s">
        <v>409</v>
      </c>
      <c r="C408" t="str">
        <f>IFERROR(__xludf.DUMMYFUNCTION("GOOGLETRANSLATE(B408, ""zh"", ""en"")"),"very good very good")</f>
        <v>very good very good</v>
      </c>
    </row>
    <row r="409">
      <c r="A409" s="1">
        <v>5.0</v>
      </c>
      <c r="B409" s="1" t="s">
        <v>410</v>
      </c>
      <c r="C409" t="str">
        <f>IFERROR(__xludf.DUMMYFUNCTION("GOOGLETRANSLATE(B409, ""zh"", ""en"")"),"Amazon Japan direct mail is praise! Personal version, the fabric is thin, suitable for spring day wear, bargain price!")</f>
        <v>Amazon Japan direct mail is praise! Personal version, the fabric is thin, suitable for spring day wear, bargain price!</v>
      </c>
    </row>
    <row r="410">
      <c r="A410" s="1">
        <v>5.0</v>
      </c>
      <c r="B410" s="1" t="s">
        <v>411</v>
      </c>
      <c r="C410" t="str">
        <f>IFERROR(__xludf.DUMMYFUNCTION("GOOGLETRANSLATE(B410, ""zh"", ""en"")"),"Good quality with half a month, has not appeared scale. I do not know Zeyang later")</f>
        <v>Good quality with half a month, has not appeared scale. I do not know Zeyang later</v>
      </c>
    </row>
    <row r="411">
      <c r="A411" s="1">
        <v>2.0</v>
      </c>
      <c r="B411" s="1" t="s">
        <v>412</v>
      </c>
      <c r="C411" t="str">
        <f>IFERROR(__xludf.DUMMYFUNCTION("GOOGLETRANSLATE(B411, ""zh"", ""en"")"),"Relatively thin thin high thermal coefficient is not better to buy small domestic brands more cost-effective")</f>
        <v>Relatively thin thin high thermal coefficient is not better to buy small domestic brands more cost-effective</v>
      </c>
    </row>
    <row r="412">
      <c r="A412" s="1">
        <v>3.0</v>
      </c>
      <c r="B412" s="1" t="s">
        <v>413</v>
      </c>
      <c r="C412" t="str">
        <f>IFERROR(__xludf.DUMMYFUNCTION("GOOGLETRANSLATE(B412, ""zh"", ""en"")"),"Good quality, not suddenly rang ... embarrassed to buy back less than a month, the right does not ring! K702 is studied under the seemingly common problem. So what are sound ... not to mention the embarrassment, Prime three years, for the first time retur"&amp;"n")</f>
        <v>Good quality, not suddenly rang ... embarrassed to buy back less than a month, the right does not ring! K702 is studied under the seemingly common problem. So what are sound ... not to mention the embarrassment, Prime three years, for the first time return</v>
      </c>
    </row>
    <row r="413">
      <c r="A413" s="1">
        <v>3.0</v>
      </c>
      <c r="B413" s="1" t="s">
        <v>414</v>
      </c>
      <c r="C413" t="str">
        <f>IFERROR(__xludf.DUMMYFUNCTION("GOOGLETRANSLATE(B413, ""zh"", ""en"")"),"Generally not very thin, soft type, the focus is too large a lot, usually all kinds of brand sports wear M or L, that serious doubts have even wear S surplus. US version is really hard to describe")</f>
        <v>Generally not very thin, soft type, the focus is too large a lot, usually all kinds of brand sports wear M or L, that serious doubts have even wear S surplus. US version is really hard to describe</v>
      </c>
    </row>
    <row r="414">
      <c r="A414" s="1">
        <v>3.0</v>
      </c>
      <c r="B414" s="1" t="s">
        <v>415</v>
      </c>
      <c r="C414" t="str">
        <f>IFERROR(__xludf.DUMMYFUNCTION("GOOGLETRANSLATE(B414, ""zh"", ""en"")"),"Ummm ... pure hip hip shaping buy or fitness shaping proved useful 😩")</f>
        <v>Ummm ... pure hip hip shaping buy or fitness shaping proved useful 😩</v>
      </c>
    </row>
    <row r="415">
      <c r="A415" s="1">
        <v>1.0</v>
      </c>
      <c r="B415" s="1" t="s">
        <v>416</v>
      </c>
      <c r="C415" t="str">
        <f>IFERROR(__xludf.DUMMYFUNCTION("GOOGLETRANSLATE(B415, ""zh"", ""en"")"),"The wrong goods Brother, you sent the wrong goods, and made two backpacks, help me to contact that person to buy a backpack")</f>
        <v>The wrong goods Brother, you sent the wrong goods, and made two backpacks, help me to contact that person to buy a backpack</v>
      </c>
    </row>
    <row r="416">
      <c r="A416" s="1">
        <v>1.0</v>
      </c>
      <c r="B416" s="1" t="s">
        <v>417</v>
      </c>
      <c r="C416" t="str">
        <f>IFERROR(__xludf.DUMMYFUNCTION("GOOGLETRANSLATE(B416, ""zh"", ""en"")"),"A whole completely different codons wrong wrong one yards, wear body was found, presumably there is no way a replacement. Careless of it. You can only buy the. I hope not to send wrong!")</f>
        <v>A whole completely different codons wrong wrong one yards, wear body was found, presumably there is no way a replacement. Careless of it. You can only buy the. I hope not to send wrong!</v>
      </c>
    </row>
    <row r="417">
      <c r="A417" s="1">
        <v>4.0</v>
      </c>
      <c r="B417" s="1" t="s">
        <v>418</v>
      </c>
      <c r="C417" t="str">
        <f>IFERROR(__xludf.DUMMYFUNCTION("GOOGLETRANSLATE(B417, ""zh"", ""en"")"),"The price is right too thin, but the price is right")</f>
        <v>The price is right too thin, but the price is right</v>
      </c>
    </row>
    <row r="418">
      <c r="A418" s="1">
        <v>4.0</v>
      </c>
      <c r="B418" s="1" t="s">
        <v>419</v>
      </c>
      <c r="C418" t="str">
        <f>IFERROR(__xludf.DUMMYFUNCTION("GOOGLETRANSLATE(B418, ""zh"", ""en"")"),"It can also bigger than expected")</f>
        <v>It can also bigger than expected</v>
      </c>
    </row>
    <row r="419">
      <c r="A419" s="1">
        <v>4.0</v>
      </c>
      <c r="B419" s="1" t="s">
        <v>420</v>
      </c>
      <c r="C419" t="str">
        <f>IFERROR(__xludf.DUMMYFUNCTION("GOOGLETRANSLATE(B419, ""zh"", ""en"")"),"Belt as good quality jeans belt narrower point. As Lee brand jeans 28 appears sprinkling.")</f>
        <v>Belt as good quality jeans belt narrower point. As Lee brand jeans 28 appears sprinkling.</v>
      </c>
    </row>
    <row r="420">
      <c r="A420" s="1">
        <v>4.0</v>
      </c>
      <c r="B420" s="1" t="s">
        <v>421</v>
      </c>
      <c r="C420" t="str">
        <f>IFERROR(__xludf.DUMMYFUNCTION("GOOGLETRANSLATE(B420, ""zh"", ""en"")"),"Cost can stretch trousers constriction fabric soft enough, some access control Alice. Comfort is good, in general, cost can be.")</f>
        <v>Cost can stretch trousers constriction fabric soft enough, some access control Alice. Comfort is good, in general, cost can be.</v>
      </c>
    </row>
    <row r="421">
      <c r="A421" s="1">
        <v>4.0</v>
      </c>
      <c r="B421" s="1" t="s">
        <v>422</v>
      </c>
      <c r="C421" t="str">
        <f>IFERROR(__xludf.DUMMYFUNCTION("GOOGLETRANSLATE(B421, ""zh"", ""en"")"),"Received a pretty hard thing, still in the trial, a lot thicker than the 2t. Domestic courier companies is not good cooperation, we should be on the Amazon site can query to transport domestic courier company name and order number")</f>
        <v>Received a pretty hard thing, still in the trial, a lot thicker than the 2t. Domestic courier companies is not good cooperation, we should be on the Amazon site can query to transport domestic courier company name and order number</v>
      </c>
    </row>
    <row r="422">
      <c r="A422" s="1">
        <v>5.0</v>
      </c>
      <c r="B422" s="1" t="s">
        <v>423</v>
      </c>
      <c r="C422" t="str">
        <f>IFERROR(__xludf.DUMMYFUNCTION("GOOGLETRANSLATE(B422, ""zh"", ""en"")"),"Very good quality, value for money. Very good quality, value for money.")</f>
        <v>Very good quality, value for money. Very good quality, value for money.</v>
      </c>
    </row>
    <row r="423">
      <c r="A423" s="1">
        <v>5.0</v>
      </c>
      <c r="B423" s="1" t="s">
        <v>424</v>
      </c>
      <c r="C423" t="str">
        <f>IFERROR(__xludf.DUMMYFUNCTION("GOOGLETRANSLATE(B423, ""zh"", ""en"")"),"Good design, light weight is very light, very good seal, opening the lid and a small lock, the design is really good. When domestics can do so hard enough.")</f>
        <v>Good design, light weight is very light, very good seal, opening the lid and a small lock, the design is really good. When domestics can do so hard enough.</v>
      </c>
    </row>
    <row r="424">
      <c r="A424" s="1">
        <v>5.0</v>
      </c>
      <c r="B424" s="1" t="s">
        <v>425</v>
      </c>
      <c r="C424" t="str">
        <f>IFERROR(__xludf.DUMMYFUNCTION("GOOGLETRANSLATE(B424, ""zh"", ""en"")"),"Suitable high cost, height 170, weight 125, S number of long sleeves that other suitable")</f>
        <v>Suitable high cost, height 170, weight 125, S number of long sleeves that other suitable</v>
      </c>
    </row>
    <row r="425">
      <c r="A425" s="1">
        <v>5.0</v>
      </c>
      <c r="B425" s="1" t="s">
        <v>426</v>
      </c>
      <c r="C425" t="str">
        <f>IFERROR(__xludf.DUMMYFUNCTION("GOOGLETRANSLATE(B425, ""zh"", ""en"")"),"Price stores like 3399, 1200 get a discount here after the election has been concerned about the shoe, but no high-Harrier that paragraph, would have been in a fancy shop that section of shoes, but this is also satisfied.")</f>
        <v>Price stores like 3399, 1200 get a discount here after the election has been concerned about the shoe, but no high-Harrier that paragraph, would have been in a fancy shop that section of shoes, but this is also satisfied.</v>
      </c>
    </row>
    <row r="426">
      <c r="A426" s="1">
        <v>5.0</v>
      </c>
      <c r="B426" s="1" t="s">
        <v>427</v>
      </c>
      <c r="C426" t="str">
        <f>IFERROR(__xludf.DUMMYFUNCTION("GOOGLETRANSLATE(B426, ""zh"", ""en"")"),"180 / 92A is small size of UA loose version (LOOSE) GOLF POLO shirt, I purchased a small 180 / 92A happen. Amazon size chart completely wrong.")</f>
        <v>180 / 92A is small size of UA loose version (LOOSE) GOLF POLO shirt, I purchased a small 180 / 92A happen. Amazon size chart completely wrong.</v>
      </c>
    </row>
    <row r="427">
      <c r="A427" s="1">
        <v>5.0</v>
      </c>
      <c r="B427" s="1" t="s">
        <v>428</v>
      </c>
      <c r="C427" t="str">
        <f>IFERROR(__xludf.DUMMYFUNCTION("GOOGLETRANSLATE(B427, ""zh"", ""en"")"),"From almost perfect to put on some clothes look good, thin, fabric is also very good, fly in the ointment is lined with nylon collar edge, allergies, ah, ah allergy")</f>
        <v>From almost perfect to put on some clothes look good, thin, fabric is also very good, fly in the ointment is lined with nylon collar edge, allergies, ah, ah allergy</v>
      </c>
    </row>
    <row r="428">
      <c r="A428" s="1">
        <v>5.0</v>
      </c>
      <c r="B428" s="1" t="s">
        <v>429</v>
      </c>
      <c r="C428" t="str">
        <f>IFERROR(__xludf.DUMMYFUNCTION("GOOGLETRANSLATE(B428, ""zh"", ""en"")"),"To fit behind a sibling reference, height 168 weight 60, buy S code, the wear round little loose sleeves slightly longer message.")</f>
        <v>To fit behind a sibling reference, height 168 weight 60, buy S code, the wear round little loose sleeves slightly longer message.</v>
      </c>
    </row>
    <row r="429">
      <c r="A429" s="1">
        <v>5.0</v>
      </c>
      <c r="B429" s="1" t="s">
        <v>430</v>
      </c>
      <c r="C429" t="str">
        <f>IFERROR(__xludf.DUMMYFUNCTION("GOOGLETRANSLATE(B429, ""zh"", ""en"")"),"Cheaper than a treasure, but also fidelity! awesome! AIU direct mail, cheaper than a treasure ... but also fidelity, very good!")</f>
        <v>Cheaper than a treasure, but also fidelity! awesome! AIU direct mail, cheaper than a treasure ... but also fidelity, very good!</v>
      </c>
    </row>
    <row r="430">
      <c r="A430" s="1">
        <v>5.0</v>
      </c>
      <c r="B430" s="1" t="s">
        <v>431</v>
      </c>
      <c r="C430" t="str">
        <f>IFERROR(__xludf.DUMMYFUNCTION("GOOGLETRANSLATE(B430, ""zh"", ""en"")"),"Size 178cm, 90kg.W36L32 very fit, fabric is also comfortable.")</f>
        <v>Size 178cm, 90kg.W36L32 very fit, fabric is also comfortable.</v>
      </c>
    </row>
    <row r="431">
      <c r="A431" s="1">
        <v>5.0</v>
      </c>
      <c r="B431" s="1" t="s">
        <v>432</v>
      </c>
      <c r="C431" t="str">
        <f>IFERROR(__xludf.DUMMYFUNCTION("GOOGLETRANSLATE(B431, ""zh"", ""en"")"),"Cheap, logistics speed is acceptable. With other electricity suppliers in paragraph 150 above, purchased after his wife told friends feel very atmospheric, with the hope that battery for a long time, then the comparison value. Talk about, watch dial is no"&amp;"t scratch-resistant glass, to buy friends need to pay attention.")</f>
        <v>Cheap, logistics speed is acceptable. With other electricity suppliers in paragraph 150 above, purchased after his wife told friends feel very atmospheric, with the hope that battery for a long time, then the comparison value. Talk about, watch dial is not scratch-resistant glass, to buy friends need to pay attention.</v>
      </c>
    </row>
    <row r="432">
      <c r="A432" s="1">
        <v>5.0</v>
      </c>
      <c r="B432" s="1" t="s">
        <v>433</v>
      </c>
      <c r="C432" t="str">
        <f>IFERROR(__xludf.DUMMYFUNCTION("GOOGLETRANSLATE(B432, ""zh"", ""en"")"),"Product quality and worrying that says 10-year battery, this more than two years no electricity.")</f>
        <v>Product quality and worrying that says 10-year battery, this more than two years no electricity.</v>
      </c>
    </row>
    <row r="433">
      <c r="A433" s="1">
        <v>5.0</v>
      </c>
      <c r="B433" s="1" t="s">
        <v>434</v>
      </c>
      <c r="C433" t="str">
        <f>IFERROR(__xludf.DUMMYFUNCTION("GOOGLETRANSLATE(B433, ""zh"", ""en"")"),"Just to start, I feel pretty good, although there is no more Dafa black &amp; black, but wins in the lightweight shape is more accepted, not feel chuck, earmuffs very soft, tri-band more balanced. Note that the new headset automatically pair the first device "&amp;"is very fast, we need to press mode button for about four seconds when paired second device, the noise reduction effect personally feel good. Dafa mainly black not in stock, gold shot is not dirt, even more afraid of tens of grams heavier, better noise re"&amp;"duction is said, I believe is a good choice. There are m friends alike, LD, one Taiwan, listen to their own one :)")</f>
        <v>Just to start, I feel pretty good, although there is no more Dafa black &amp; black, but wins in the lightweight shape is more accepted, not feel chuck, earmuffs very soft, tri-band more balanced. Note that the new headset automatically pair the first device is very fast, we need to press mode button for about four seconds when paired second device, the noise reduction effect personally feel good. Dafa mainly black not in stock, gold shot is not dirt, even more afraid of tens of grams heavier, better noise reduction is said, I believe is a good choice. There are m friends alike, LD, one Taiwan, listen to their own one :)</v>
      </c>
    </row>
    <row r="434">
      <c r="A434" s="1">
        <v>5.0</v>
      </c>
      <c r="B434" s="1" t="s">
        <v>435</v>
      </c>
      <c r="C434" t="str">
        <f>IFERROR(__xludf.DUMMYFUNCTION("GOOGLETRANSLATE(B434, ""zh"", ""en"")"),"Good merchandise right size, good quality!")</f>
        <v>Good merchandise right size, good quality!</v>
      </c>
    </row>
    <row r="435">
      <c r="A435" s="1">
        <v>5.0</v>
      </c>
      <c r="B435" s="1" t="s">
        <v>436</v>
      </c>
      <c r="C435" t="str">
        <f>IFERROR(__xludf.DUMMYFUNCTION("GOOGLETRANSLATE(B435, ""zh"", ""en"")"),"Buy freshman yards soft leather, very comfortable buying freshman code")</f>
        <v>Buy freshman yards soft leather, very comfortable buying freshman code</v>
      </c>
    </row>
    <row r="436">
      <c r="A436" s="1">
        <v>5.0</v>
      </c>
      <c r="B436" s="1" t="s">
        <v>437</v>
      </c>
      <c r="C436" t="str">
        <f>IFERROR(__xludf.DUMMYFUNCTION("GOOGLETRANSLATE(B436, ""zh"", ""en"")"),"Comfortable and very light and comfortable. Shoes are nice. I usually wear shoes 43 yards, Clarks shoes are generally larger half a yard, so bought 8.5, the right size")</f>
        <v>Comfortable and very light and comfortable. Shoes are nice. I usually wear shoes 43 yards, Clarks shoes are generally larger half a yard, so bought 8.5, the right size</v>
      </c>
    </row>
    <row r="437">
      <c r="A437" s="1">
        <v>5.0</v>
      </c>
      <c r="B437" s="1" t="s">
        <v>438</v>
      </c>
      <c r="C437" t="str">
        <f>IFERROR(__xludf.DUMMYFUNCTION("GOOGLETRANSLATE(B437, ""zh"", ""en"")"),"❤ like to test the sound quality is very good.")</f>
        <v>❤ like to test the sound quality is very good.</v>
      </c>
    </row>
    <row r="438">
      <c r="A438" s="1">
        <v>5.0</v>
      </c>
      <c r="B438" s="1" t="s">
        <v>439</v>
      </c>
      <c r="C438" t="str">
        <f>IFERROR(__xludf.DUMMYFUNCTION("GOOGLETRANSLATE(B438, ""zh"", ""en"")"),"I played high price is a thousand dollars less a most cost-effective, of course, the brand may not have enough contact with me, then the view may not, but the absolute listening to music with headphones on its price, but possible sale not licensed good. A"&amp;"mazon SF Express domestic use, very fast and good, is shipping a little crease in the box, give it away difficult to read.")</f>
        <v>I played high price is a thousand dollars less a most cost-effective, of course, the brand may not have enough contact with me, then the view may not, but the absolute listening to music with headphones on its price, but possible sale not licensed good. Amazon SF Express domestic use, very fast and good, is shipping a little crease in the box, give it away difficult to read.</v>
      </c>
    </row>
    <row r="439">
      <c r="A439" s="1">
        <v>5.0</v>
      </c>
      <c r="B439" s="1" t="s">
        <v>440</v>
      </c>
      <c r="C439" t="str">
        <f>IFERROR(__xludf.DUMMYFUNCTION("GOOGLETRANSLATE(B439, ""zh"", ""en"")"),"Value for money! The sound field is large, and some can even feel the sound coming from behind. Sound quality is also good.")</f>
        <v>Value for money! The sound field is large, and some can even feel the sound coming from behind. Sound quality is also good.</v>
      </c>
    </row>
    <row r="440">
      <c r="A440" s="1">
        <v>5.0</v>
      </c>
      <c r="B440" s="1" t="s">
        <v>441</v>
      </c>
      <c r="C440" t="str">
        <f>IFERROR(__xludf.DUMMYFUNCTION("GOOGLETRANSLATE(B440, ""zh"", ""en"")"),"Good-looking super good, quality, and store the same")</f>
        <v>Good-looking super good, quality, and store the same</v>
      </c>
    </row>
    <row r="441">
      <c r="A441" s="1">
        <v>5.0</v>
      </c>
      <c r="B441" s="1" t="s">
        <v>442</v>
      </c>
      <c r="C441" t="str">
        <f>IFERROR(__xludf.DUMMYFUNCTION("GOOGLETRANSLATE(B441, ""zh"", ""en"")"),"Very light very soft and very small, inner animal hair, wife liked! Very light very soft and very small, inner animal hair, wife liked! Waterproof do not know whether the individual that can be more then a little thick warm. I have a question, including t"&amp;"wo shoelaces; fashion and practical ribbon laces! Why do I have only one shoelace?")</f>
        <v>Very light very soft and very small, inner animal hair, wife liked! Very light very soft and very small, inner animal hair, wife liked! Waterproof do not know whether the individual that can be more then a little thick warm. I have a question, including two shoelaces; fashion and practical ribbon laces! Why do I have only one shoelace?</v>
      </c>
    </row>
    <row r="442">
      <c r="A442" s="1">
        <v>5.0</v>
      </c>
      <c r="B442" s="1" t="s">
        <v>443</v>
      </c>
      <c r="C442" t="str">
        <f>IFERROR(__xludf.DUMMYFUNCTION("GOOGLETRANSLATE(B442, ""zh"", ""en"")"),"Convenient and practical use has been stable for six months, the capacity is large enough!")</f>
        <v>Convenient and practical use has been stable for six months, the capacity is large enough!</v>
      </c>
    </row>
    <row r="443">
      <c r="A443" s="1">
        <v>5.0</v>
      </c>
      <c r="B443" s="1" t="s">
        <v>444</v>
      </c>
      <c r="C443" t="str">
        <f>IFERROR(__xludf.DUMMYFUNCTION("GOOGLETRANSLATE(B443, ""zh"", ""en"")"),"No election multimedia box, buy the right! Before I never used monitors, after the start was to buy right. Although there is no multi-functional multimedia box, but they can follow-up with ah, the sound is true to this. I with the article rotating twin lo"&amp;"tus 3.5mm female adapter cable coupled to the two pairs of well-lotus extension cable, usually a computer connected to listen 3.5mm. And equipped with a Bluetooth receiver, you can easily listen to music using Bluetooth mobile phone. Line is Akihabara, th"&amp;"e receiver supports aptxll of Aoge Si, are highly cost-effective thing, did not buy too professional, just enough. Also talk about, volume two speakers are only open to the middle of the grid like that, you need to adjust the volume up computer or cell ph"&amp;"one, do not move the speaker.")</f>
        <v>No election multimedia box, buy the right! Before I never used monitors, after the start was to buy right. Although there is no multi-functional multimedia box, but they can follow-up with ah, the sound is true to this. I with the article rotating twin lotus 3.5mm female adapter cable coupled to the two pairs of well-lotus extension cable, usually a computer connected to listen 3.5mm. And equipped with a Bluetooth receiver, you can easily listen to music using Bluetooth mobile phone. Line is Akihabara, the receiver supports aptxll of Aoge Si, are highly cost-effective thing, did not buy too professional, just enough. Also talk about, volume two speakers are only open to the middle of the grid like that, you need to adjust the volume up computer or cell phone, do not move the speaker.</v>
      </c>
    </row>
    <row r="444">
      <c r="A444" s="1">
        <v>2.0</v>
      </c>
      <c r="B444" s="1" t="s">
        <v>445</v>
      </c>
      <c r="C444" t="str">
        <f>IFERROR(__xludf.DUMMYFUNCTION("GOOGLETRANSLATE(B444, ""zh"", ""en"")"),"In August 2020, the expiration date expired in August 2020. . . Feel used up")</f>
        <v>In August 2020, the expiration date expired in August 2020. . . Feel used up</v>
      </c>
    </row>
    <row r="445">
      <c r="A445" s="1">
        <v>3.0</v>
      </c>
      <c r="B445" s="1" t="s">
        <v>446</v>
      </c>
      <c r="C445" t="str">
        <f>IFERROR(__xludf.DUMMYFUNCTION("GOOGLETRANSLATE(B445, ""zh"", ""en"")"),"Like a general feeling that the ssd hard like a general, because this just started, do not know how to quality. Before using Intel's, he spent five years. I hope this can probably use it for so long.")</f>
        <v>Like a general feeling that the ssd hard like a general, because this just started, do not know how to quality. Before using Intel's, he spent five years. I hope this can probably use it for so long.</v>
      </c>
    </row>
    <row r="446">
      <c r="A446" s="1">
        <v>3.0</v>
      </c>
      <c r="B446" s="1" t="s">
        <v>447</v>
      </c>
      <c r="C446" t="str">
        <f>IFERROR(__xludf.DUMMYFUNCTION("GOOGLETRANSLATE(B446, ""zh"", ""en"")"),"Not suitable for Chinese people to buy two this brand of clothing is not a suitable number M 17677 buy long length sleeves okay foreigners must feel sturdy frame to wear clothing that effect")</f>
        <v>Not suitable for Chinese people to buy two this brand of clothing is not a suitable number M 17677 buy long length sleeves okay foreigners must feel sturdy frame to wear clothing that effect</v>
      </c>
    </row>
    <row r="447">
      <c r="A447" s="1">
        <v>1.0</v>
      </c>
      <c r="B447" s="1" t="s">
        <v>448</v>
      </c>
      <c r="C447" t="str">
        <f>IFERROR(__xludf.DUMMYFUNCTION("GOOGLETRANSLATE(B447, ""zh"", ""en"")"),"Number too large number is significantly larger, has been in the United States and Asia to buy pants, the pants 32 are larger than 34 other's waist, the cost of your return scary that he keep it.")</f>
        <v>Number too large number is significantly larger, has been in the United States and Asia to buy pants, the pants 32 are larger than 34 other's waist, the cost of your return scary that he keep it.</v>
      </c>
    </row>
    <row r="448">
      <c r="A448" s="1">
        <v>1.0</v>
      </c>
      <c r="B448" s="1" t="s">
        <v>449</v>
      </c>
      <c r="C448" t="str">
        <f>IFERROR(__xludf.DUMMYFUNCTION("GOOGLETRANSLATE(B448, ""zh"", ""en"")"),"Sennheiser Bluetooth headset worst beginning burn 50 hours, yet what effect, not worth the price!")</f>
        <v>Sennheiser Bluetooth headset worst beginning burn 50 hours, yet what effect, not worth the price!</v>
      </c>
    </row>
    <row r="449">
      <c r="A449" s="1">
        <v>1.0</v>
      </c>
      <c r="B449" s="1" t="s">
        <v>450</v>
      </c>
      <c r="C449" t="str">
        <f>IFERROR(__xludf.DUMMYFUNCTION("GOOGLETRANSLATE(B449, ""zh"", ""en"")"),"You can not wear! ! ! This dress Buy carefully! ! ! This size does not know who is doing what to wear ,,,,,, my height 170, weight 60kg, waist 76cm, carefully read the size chart before buy, buy M code, the right waist mouth, hip circumference leg loose ,"&amp;" in line with expectations, but very short legs, wear trousers welt they cut the calf in the middle of the calf, wear very uncomfortable, really can not wear, throw it spoil things a bit, thought, cut off the legs DIY into shorts casual Chuan Chuan forget"&amp;" it, do not understand the size of Japan, I would not buy a date code of clothes")</f>
        <v>You can not wear! ! ! This dress Buy carefully! ! ! This size does not know who is doing what to wear ,,,,,, my height 170, weight 60kg, waist 76cm, carefully read the size chart before buy, buy M code, the right waist mouth, hip circumference leg loose , in line with expectations, but very short legs, wear trousers welt they cut the calf in the middle of the calf, wear very uncomfortable, really can not wear, throw it spoil things a bit, thought, cut off the legs DIY into shorts casual Chuan Chuan forget it, do not understand the size of Japan, I would not buy a date code of clothes</v>
      </c>
    </row>
    <row r="450">
      <c r="A450" s="1">
        <v>4.0</v>
      </c>
      <c r="B450" s="1" t="s">
        <v>451</v>
      </c>
      <c r="C450" t="str">
        <f>IFERROR(__xludf.DUMMYFUNCTION("GOOGLETRANSLATE(B450, ""zh"", ""en"")"),"The machine very easy to use. The Send a good luck, good machine, turret lid a little bad, does not affect use. Customer service quickly to solve. The machine very easy to use.")</f>
        <v>The machine very easy to use. The Send a good luck, good machine, turret lid a little bad, does not affect use. Customer service quickly to solve. The machine very easy to use.</v>
      </c>
    </row>
    <row r="451">
      <c r="A451" s="1">
        <v>4.0</v>
      </c>
      <c r="B451" s="1" t="s">
        <v>452</v>
      </c>
      <c r="C451" t="str">
        <f>IFERROR(__xludf.DUMMYFUNCTION("GOOGLETRANSLATE(B451, ""zh"", ""en"")"),"OK quality can be somewhat hard, 165 / 52ml wear, l-ll may be more comfortable.")</f>
        <v>OK quality can be somewhat hard, 165 / 52ml wear, l-ll may be more comfortable.</v>
      </c>
    </row>
    <row r="452">
      <c r="A452" s="1">
        <v>4.0</v>
      </c>
      <c r="B452" s="1" t="s">
        <v>453</v>
      </c>
      <c r="C452" t="str">
        <f>IFERROR(__xludf.DUMMYFUNCTION("GOOGLETRANSLATE(B452, ""zh"", ""en"")"),"Logistics good looking very unhappy, Amazon Logistics Department Zeyang, boxes, packaging have damaged, cracked plastic packaging inside, I really do not know how to do the logistics, delivery and poor attitude")</f>
        <v>Logistics good looking very unhappy, Amazon Logistics Department Zeyang, boxes, packaging have damaged, cracked plastic packaging inside, I really do not know how to do the logistics, delivery and poor attitude</v>
      </c>
    </row>
    <row r="453">
      <c r="A453" s="1">
        <v>4.0</v>
      </c>
      <c r="B453" s="1" t="s">
        <v>454</v>
      </c>
      <c r="C453" t="str">
        <f>IFERROR(__xludf.DUMMYFUNCTION("GOOGLETRANSLATE(B453, ""zh"", ""en"")"),"The sole comfort usually 37-38 yards, to buy 38 yards, right size, put a finger followed. Similar models through the original 37 yards, front very crowded. Like this (biom) soles, moderate hardness, flexibility, and walking is not tired, upper Bohou also,"&amp;" can be worn all year round. Two shoelaces, Thai-made. Iridescence feeling that section better, skinned in leather, this black matte leather, fabric lining.")</f>
        <v>The sole comfort usually 37-38 yards, to buy 38 yards, right size, put a finger followed. Similar models through the original 37 yards, front very crowded. Like this (biom) soles, moderate hardness, flexibility, and walking is not tired, upper Bohou also, can be worn all year round. Two shoelaces, Thai-made. Iridescence feeling that section better, skinned in leather, this black matte leather, fabric lining.</v>
      </c>
    </row>
    <row r="454">
      <c r="A454" s="1">
        <v>4.0</v>
      </c>
      <c r="B454" s="1" t="s">
        <v>455</v>
      </c>
      <c r="C454" t="str">
        <f>IFERROR(__xludf.DUMMYFUNCTION("GOOGLETRANSLATE(B454, ""zh"", ""en"")"),"ok good worthy of the price, you can wear")</f>
        <v>ok good worthy of the price, you can wear</v>
      </c>
    </row>
    <row r="455">
      <c r="A455" s="1">
        <v>5.0</v>
      </c>
      <c r="B455" s="1" t="s">
        <v>456</v>
      </c>
      <c r="C455" t="str">
        <f>IFERROR(__xludf.DUMMYFUNCTION("GOOGLETRANSLATE(B455, ""zh"", ""en"")"),"worth to buy. 37.5 or 38 normal wear, but also just the right codon. Very comfortable, express soon. Slip is really slippery.")</f>
        <v>worth to buy. 37.5 or 38 normal wear, but also just the right codon. Very comfortable, express soon. Slip is really slippery.</v>
      </c>
    </row>
    <row r="456">
      <c r="A456" s="1">
        <v>5.0</v>
      </c>
      <c r="B456" s="1" t="s">
        <v>457</v>
      </c>
      <c r="C456" t="str">
        <f>IFERROR(__xludf.DUMMYFUNCTION("GOOGLETRANSLATE(B456, ""zh"", ""en"")"),"It looks okay not to wear, after a chase assessment, good again.")</f>
        <v>It looks okay not to wear, after a chase assessment, good again.</v>
      </c>
    </row>
    <row r="457">
      <c r="A457" s="1">
        <v>5.0</v>
      </c>
      <c r="B457" s="1" t="s">
        <v>458</v>
      </c>
      <c r="C457" t="str">
        <f>IFERROR(__xludf.DUMMYFUNCTION("GOOGLETRANSLATE(B457, ""zh"", ""en"")"),"After buying the next day the price of the likes of Martin boots! ! ! ! After buying the next day on the cheap 50 bucks! ! ! We have been asking me to heart! ! ! ! Uncomfortable .... but hey good to see that Amazon does not really uncomfortable insured ri"&amp;"sk")</f>
        <v>After buying the next day the price of the likes of Martin boots! ! ! ! After buying the next day on the cheap 50 bucks! ! ! We have been asking me to heart! ! ! ! Uncomfortable .... but hey good to see that Amazon does not really uncomfortable insured risk</v>
      </c>
    </row>
    <row r="458">
      <c r="A458" s="1">
        <v>5.0</v>
      </c>
      <c r="B458" s="1" t="s">
        <v>459</v>
      </c>
      <c r="C458" t="str">
        <f>IFERROR(__xludf.DUMMYFUNCTION("GOOGLETRANSLATE(B458, ""zh"", ""en"")"),"Very soft, with who knows who. Very soft, with who knows who.")</f>
        <v>Very soft, with who knows who. Very soft, with who knows who.</v>
      </c>
    </row>
    <row r="459">
      <c r="A459" s="1">
        <v>5.0</v>
      </c>
      <c r="B459" s="1" t="s">
        <v>460</v>
      </c>
      <c r="C459" t="str">
        <f>IFERROR(__xludf.DUMMYFUNCTION("GOOGLETRANSLATE(B459, ""zh"", ""en"")"),"Very satisfied with the very good, very satisfied with the new.")</f>
        <v>Very satisfied with the very good, very satisfied with the new.</v>
      </c>
    </row>
    <row r="460">
      <c r="A460" s="1">
        <v>5.0</v>
      </c>
      <c r="B460" s="1" t="s">
        <v>461</v>
      </c>
      <c r="C460" t="str">
        <f>IFERROR(__xludf.DUMMYFUNCTION("GOOGLETRANSLATE(B460, ""zh"", ""en"")"),"The price is quite high, the appearance of the more popular Desktop multimedia monitor is very good, the appearance of bias popular. It is to buy when the discount, good price. HuiWei t200c respect slightly lighter, almost the same effect, better quality "&amp;"control than hivi t200c.")</f>
        <v>The price is quite high, the appearance of the more popular Desktop multimedia monitor is very good, the appearance of bias popular. It is to buy when the discount, good price. HuiWei t200c respect slightly lighter, almost the same effect, better quality control than hivi t200c.</v>
      </c>
    </row>
    <row r="461">
      <c r="A461" s="1">
        <v>5.0</v>
      </c>
      <c r="B461" s="1" t="s">
        <v>462</v>
      </c>
      <c r="C461" t="str">
        <f>IFERROR(__xludf.DUMMYFUNCTION("GOOGLETRANSLATE(B461, ""zh"", ""en"")"),"Cheap, like Amazon can turn domestic warranty to install a small hard drive with a lot of cardboard packaging, perhaps the original factory box have been fully taken into account vibration problems, so we did not see the hard disk collapse, officials feed"&amp;"back during transport Bad. 8T tax price is not more than 850 yuan, the recent no such price. Not after power status indicator, which is slightly inconvenient. wd hard drive on the Internet can turn domestic warranty, if really bad, I do not know whether t"&amp;"o warranty?")</f>
        <v>Cheap, like Amazon can turn domestic warranty to install a small hard drive with a lot of cardboard packaging, perhaps the original factory box have been fully taken into account vibration problems, so we did not see the hard disk collapse, officials feedback during transport Bad. 8T tax price is not more than 850 yuan, the recent no such price. Not after power status indicator, which is slightly inconvenient. wd hard drive on the Internet can turn domestic warranty, if really bad, I do not know whether to warranty?</v>
      </c>
    </row>
    <row r="462">
      <c r="A462" s="1">
        <v>5.0</v>
      </c>
      <c r="B462" s="1" t="s">
        <v>463</v>
      </c>
      <c r="C462" t="str">
        <f>IFERROR(__xludf.DUMMYFUNCTION("GOOGLETRANSLATE(B462, ""zh"", ""en"")"),"Wear comfortable clothes, a good version. 182.75kg. Xl just the Japanese version. Japanese version of the much stronger version than US quality, comfortable to wear, the price is right. Japanese version of the small number of clothes, it is recommended to"&amp;" buy the usual freshman code, oversize big two yards than usual.")</f>
        <v>Wear comfortable clothes, a good version. 182.75kg. Xl just the Japanese version. Japanese version of the much stronger version than US quality, comfortable to wear, the price is right. Japanese version of the small number of clothes, it is recommended to buy the usual freshman code, oversize big two yards than usual.</v>
      </c>
    </row>
    <row r="463">
      <c r="A463" s="1">
        <v>5.0</v>
      </c>
      <c r="B463" s="1" t="s">
        <v>464</v>
      </c>
      <c r="C463" t="str">
        <f>IFERROR(__xludf.DUMMYFUNCTION("GOOGLETRANSLATE(B463, ""zh"", ""en"")"),"Big big thing")</f>
        <v>Big big thing</v>
      </c>
    </row>
    <row r="464">
      <c r="A464" s="1">
        <v>5.0</v>
      </c>
      <c r="B464" s="1" t="s">
        <v>465</v>
      </c>
      <c r="C464" t="str">
        <f>IFERROR(__xludf.DUMMYFUNCTION("GOOGLETRANSLATE(B464, ""zh"", ""en"")"),"Buy big uk7 red-brown, buy big, 🐠flybearanddas")</f>
        <v>Buy big uk7 red-brown, buy big, 🐠flybearanddas</v>
      </c>
    </row>
    <row r="465">
      <c r="A465" s="1">
        <v>5.0</v>
      </c>
      <c r="B465" s="1" t="s">
        <v>466</v>
      </c>
      <c r="C465" t="str">
        <f>IFERROR(__xludf.DUMMYFUNCTION("GOOGLETRANSLATE(B465, ""zh"", ""en"")"),"Very, very good pot thought my Panasonic ih rice cooker to do it delicious enough, this casserole I was watching a lot cheaper than the domestic purchasing bought the collection to play, love to buy pot, the results with a stunning too , do not be a rice "&amp;"cooker and grades, great! No trouble with them, soak rice ten minutes over medium heat for ten minutes will be able to open, to take gas for two minutes, turn off the heat and simmer for 20 minutes, also 40 minutes, during which cooking the soup just enou"&amp;"gh time to pack.")</f>
        <v>Very, very good pot thought my Panasonic ih rice cooker to do it delicious enough, this casserole I was watching a lot cheaper than the domestic purchasing bought the collection to play, love to buy pot, the results with a stunning too , do not be a rice cooker and grades, great! No trouble with them, soak rice ten minutes over medium heat for ten minutes will be able to open, to take gas for two minutes, turn off the heat and simmer for 20 minutes, also 40 minutes, during which cooking the soup just enough time to pack.</v>
      </c>
    </row>
    <row r="466">
      <c r="A466" s="1">
        <v>5.0</v>
      </c>
      <c r="B466" s="1" t="s">
        <v>467</v>
      </c>
      <c r="C466" t="str">
        <f>IFERROR(__xludf.DUMMYFUNCTION("GOOGLETRANSLATE(B466, ""zh"", ""en"")"),"Champion Men's Classic Jersey Muscle T Xu good quality, completely different standard")</f>
        <v>Champion Men's Classic Jersey Muscle T Xu good quality, completely different standard</v>
      </c>
    </row>
    <row r="467">
      <c r="A467" s="1">
        <v>5.0</v>
      </c>
      <c r="B467" s="1" t="s">
        <v>468</v>
      </c>
      <c r="C467" t="str">
        <f>IFERROR(__xludf.DUMMYFUNCTION("GOOGLETRANSLATE(B467, ""zh"", ""en"")"),"Very solid, a male form I love, self-winding, 100 meters waterproof, steel strap, dignified appearance.")</f>
        <v>Very solid, a male form I love, self-winding, 100 meters waterproof, steel strap, dignified appearance.</v>
      </c>
    </row>
    <row r="468">
      <c r="A468" s="1">
        <v>5.0</v>
      </c>
      <c r="B468" s="1" t="s">
        <v>469</v>
      </c>
      <c r="C468" t="str">
        <f>IFERROR(__xludf.DUMMYFUNCTION("GOOGLETRANSLATE(B468, ""zh"", ""en"")"),"Just hand feel good quality to her husband bought the appropriate M code just 173,132 pounds")</f>
        <v>Just hand feel good quality to her husband bought the appropriate M code just 173,132 pounds</v>
      </c>
    </row>
    <row r="469">
      <c r="A469" s="1">
        <v>5.0</v>
      </c>
      <c r="B469" s="1" t="s">
        <v>470</v>
      </c>
      <c r="C469" t="str">
        <f>IFERROR(__xludf.DUMMYFUNCTION("GOOGLETRANSLATE(B469, ""zh"", ""en"")"),"Feel coarse cotton, cotton thin section, thin, suitable for spring and summer wear, her husband prefer, feeling the feel rough, like touch feeling washed cotton bed linen, cotton like people can buy, like the kind of smooth feeling does not.")</f>
        <v>Feel coarse cotton, cotton thin section, thin, suitable for spring and summer wear, her husband prefer, feeling the feel rough, like touch feeling washed cotton bed linen, cotton like people can buy, like the kind of smooth feeling does not.</v>
      </c>
    </row>
    <row r="470">
      <c r="A470" s="1">
        <v>5.0</v>
      </c>
      <c r="B470" s="1" t="s">
        <v>471</v>
      </c>
      <c r="C470" t="str">
        <f>IFERROR(__xludf.DUMMYFUNCTION("GOOGLETRANSLATE(B470, ""zh"", ""en"")"),"Good BOSS men's long-sleeved shirt Plisy clothes, sizes and China, like I 168CM65KG, M just the right number.")</f>
        <v>Good BOSS men's long-sleeved shirt Plisy clothes, sizes and China, like I 168CM65KG, M just the right number.</v>
      </c>
    </row>
    <row r="471">
      <c r="A471" s="1">
        <v>5.0</v>
      </c>
      <c r="B471" s="1" t="s">
        <v>472</v>
      </c>
      <c r="C471" t="str">
        <f>IFERROR(__xludf.DUMMYFUNCTION("GOOGLETRANSLATE(B471, ""zh"", ""en"")"),"Sea Amoy had wanted a good, clean out the price spike can be cost-effective than the sea, it seems like two or three hundred decisively into the. Now I have been using the shallow mouth of the bowl and cups. Warm winter performance is good.")</f>
        <v>Sea Amoy had wanted a good, clean out the price spike can be cost-effective than the sea, it seems like two or three hundred decisively into the. Now I have been using the shallow mouth of the bowl and cups. Warm winter performance is good.</v>
      </c>
    </row>
    <row r="472">
      <c r="A472" s="1">
        <v>5.0</v>
      </c>
      <c r="B472" s="1" t="s">
        <v>473</v>
      </c>
      <c r="C472" t="str">
        <f>IFERROR(__xludf.DUMMYFUNCTION("GOOGLETRANSLATE(B472, ""zh"", ""en"")"),"M adzuki bean pen tip writing smooth, comfortable to hold a pen. About the size of a pen writing thickness and the feeling of all in personal writing habits, not In a word. F sharp blue golden years still write smooth, microstrip damp, to write very comfo"&amp;"rtable.")</f>
        <v>M adzuki bean pen tip writing smooth, comfortable to hold a pen. About the size of a pen writing thickness and the feeling of all in personal writing habits, not In a word. F sharp blue golden years still write smooth, microstrip damp, to write very comfortable.</v>
      </c>
    </row>
    <row r="473">
      <c r="A473" s="1">
        <v>5.0</v>
      </c>
      <c r="B473" s="1" t="s">
        <v>474</v>
      </c>
      <c r="C473" t="str">
        <f>IFERROR(__xludf.DUMMYFUNCTION("GOOGLETRANSLATE(B473, ""zh"", ""en"")"),"The perfect size just for formal wear, extremely beautiful appearance")</f>
        <v>The perfect size just for formal wear, extremely beautiful appearance</v>
      </c>
    </row>
    <row r="474">
      <c r="A474" s="1">
        <v>5.0</v>
      </c>
      <c r="B474" s="1" t="s">
        <v>475</v>
      </c>
      <c r="C474" t="str">
        <f>IFERROR(__xludf.DUMMYFUNCTION("GOOGLETRANSLATE(B474, ""zh"", ""en"")"),"Strawberry 🍓 to drink some simple sealed explosion, the date is very fresh, nothing else will buy!")</f>
        <v>Strawberry 🍓 to drink some simple sealed explosion, the date is very fresh, nothing else will buy!</v>
      </c>
    </row>
    <row r="475">
      <c r="A475" s="1">
        <v>5.0</v>
      </c>
      <c r="B475" s="1" t="s">
        <v>476</v>
      </c>
      <c r="C475" t="str">
        <f>IFERROR(__xludf.DUMMYFUNCTION("GOOGLETRANSLATE(B475, ""zh"", ""en"")"),"Not bad clothes fit, good quality. A little thin, do not try to prickle.")</f>
        <v>Not bad clothes fit, good quality. A little thin, do not try to prickle.</v>
      </c>
    </row>
    <row r="476">
      <c r="A476" s="1">
        <v>5.0</v>
      </c>
      <c r="B476" s="1" t="s">
        <v>477</v>
      </c>
      <c r="C476" t="str">
        <f>IFERROR(__xludf.DUMMYFUNCTION("GOOGLETRANSLATE(B476, ""zh"", ""en"")"),"Nursery room shoes, are not suitable for too thin slightly wider feet wide, the code must be the actual amount of n-breathable leg length, just add 0.5! Here are a few holes in the shoes, breathable mesh!")</f>
        <v>Nursery room shoes, are not suitable for too thin slightly wider feet wide, the code must be the actual amount of n-breathable leg length, just add 0.5! Here are a few holes in the shoes, breathable mesh!</v>
      </c>
    </row>
    <row r="477">
      <c r="A477" s="1">
        <v>2.0</v>
      </c>
      <c r="B477" s="1" t="s">
        <v>478</v>
      </c>
      <c r="C477" t="str">
        <f>IFERROR(__xludf.DUMMYFUNCTION("GOOGLETRANSLATE(B477, ""zh"", ""en"")"),"Swap file swap file is serious, it is not recommended.")</f>
        <v>Swap file swap file is serious, it is not recommended.</v>
      </c>
    </row>
    <row r="478">
      <c r="A478" s="1">
        <v>3.0</v>
      </c>
      <c r="B478" s="1" t="s">
        <v>479</v>
      </c>
      <c r="C478" t="str">
        <f>IFERROR(__xludf.DUMMYFUNCTION("GOOGLETRANSLATE(B478, ""zh"", ""en"")"),"The price gap is too big, not as authentic thin clothes, a trademark also simple, unlike genuine")</f>
        <v>The price gap is too big, not as authentic thin clothes, a trademark also simple, unlike genuine</v>
      </c>
    </row>
    <row r="479">
      <c r="A479" s="1">
        <v>3.0</v>
      </c>
      <c r="B479" s="1" t="s">
        <v>480</v>
      </c>
      <c r="C479" t="str">
        <f>IFERROR(__xludf.DUMMYFUNCTION("GOOGLETRANSLATE(B479, ""zh"", ""en"")"),"Good quality, but size is not good with this stuff, to be honest, a bit tasteless, or little or bigger, the size of this simply is not good to hold things! ! Loading time to eat too much, fruit or other equipment is too small. Unfortunately, I did not Wri"&amp;"te, packaging has been removed, or else want a return. More likely to buy four practical.")</f>
        <v>Good quality, but size is not good with this stuff, to be honest, a bit tasteless, or little or bigger, the size of this simply is not good to hold things! ! Loading time to eat too much, fruit or other equipment is too small. Unfortunately, I did not Write, packaging has been removed, or else want a return. More likely to buy four practical.</v>
      </c>
    </row>
    <row r="480">
      <c r="A480" s="1">
        <v>3.0</v>
      </c>
      <c r="B480" s="1" t="s">
        <v>481</v>
      </c>
      <c r="C480" t="str">
        <f>IFERROR(__xludf.DUMMYFUNCTION("GOOGLETRANSLATE(B480, ""zh"", ""en"")"),"The general quality of this section, for the above preferential trade AMAZON recently pushed to me the next day under a single, hand today. Overall, the price is not high, but the quality is not high. Than before I bought NAUTICA worse part of it. Vietnam"&amp;"ese origin. Simple design, work in general. Poor material, 50% cotton, 50% sash, wearing feel very rough to the body. In addition to a brand LEE, feel than our local produce trousers worse. Get our hands on, immediately felt Made in China is still very tr"&amp;"icky. Pricing, I think 100 dollars or less would be more appropriate. Size is too large. My waist is about 31 to 32, ordered a 31/30, but obviously much more relaxed. 29 set up to estimate the 30 before it. I do not want to send a picture ......")</f>
        <v>The general quality of this section, for the above preferential trade AMAZON recently pushed to me the next day under a single, hand today. Overall, the price is not high, but the quality is not high. Than before I bought NAUTICA worse part of it. Vietnamese origin. Simple design, work in general. Poor material, 50% cotton, 50% sash, wearing feel very rough to the body. In addition to a brand LEE, feel than our local produce trousers worse. Get our hands on, immediately felt Made in China is still very tricky. Pricing, I think 100 dollars or less would be more appropriate. Size is too large. My waist is about 31 to 32, ordered a 31/30, but obviously much more relaxed. 29 set up to estimate the 30 before it. I do not want to send a picture ......</v>
      </c>
    </row>
    <row r="481">
      <c r="A481" s="1">
        <v>1.0</v>
      </c>
      <c r="B481" s="1" t="s">
        <v>482</v>
      </c>
      <c r="C481" t="str">
        <f>IFERROR(__xludf.DUMMYFUNCTION("GOOGLETRANSLATE(B481, ""zh"", ""en"")"),"Zhicijiagao products, poor service, poor attitude, bought less than a month, the three have appeared in two holes, apply to return no results, I would not buy this brand of product.")</f>
        <v>Zhicijiagao products, poor service, poor attitude, bought less than a month, the three have appeared in two holes, apply to return no results, I would not buy this brand of product.</v>
      </c>
    </row>
    <row r="482">
      <c r="A482" s="1">
        <v>1.0</v>
      </c>
      <c r="B482" s="1" t="s">
        <v>483</v>
      </c>
      <c r="C482" t="str">
        <f>IFERROR(__xludf.DUMMYFUNCTION("GOOGLETRANSLATE(B482, ""zh"", ""en"")"),"Off-line feeling is false, always off-line, but the clothes are not white.")</f>
        <v>Off-line feeling is false, always off-line, but the clothes are not white.</v>
      </c>
    </row>
    <row r="483">
      <c r="A483" s="1">
        <v>1.0</v>
      </c>
      <c r="B483" s="1" t="s">
        <v>484</v>
      </c>
      <c r="C483" t="str">
        <f>IFERROR(__xludf.DUMMYFUNCTION("GOOGLETRANSLATE(B483, ""zh"", ""en"")"),"M is the same, significantly smaller than Hugo, the quality really general. Poor quality was significantly worse than hugo, also small, very disappointed! Neither retreat nor wear! I also buy the CK and Hugo")</f>
        <v>M is the same, significantly smaller than Hugo, the quality really general. Poor quality was significantly worse than hugo, also small, very disappointed! Neither retreat nor wear! I also buy the CK and Hugo</v>
      </c>
    </row>
    <row r="484">
      <c r="A484" s="1">
        <v>4.0</v>
      </c>
      <c r="B484" s="1" t="s">
        <v>485</v>
      </c>
      <c r="C484" t="str">
        <f>IFERROR(__xludf.DUMMYFUNCTION("GOOGLETRANSLATE(B484, ""zh"", ""en"")"),"Just ordinary hard copy documents a dozen G, does not see the pieces, Yan Chit value nor a bunch of soft paper said that high. He is a regular hard drive, and good price is not expensive.")</f>
        <v>Just ordinary hard copy documents a dozen G, does not see the pieces, Yan Chit value nor a bunch of soft paper said that high. He is a regular hard drive, and good price is not expensive.</v>
      </c>
    </row>
    <row r="485">
      <c r="A485" s="1">
        <v>4.0</v>
      </c>
      <c r="B485" s="1" t="s">
        <v>486</v>
      </c>
      <c r="C485" t="str">
        <f>IFERROR(__xludf.DUMMYFUNCTION("GOOGLETRANSLATE(B485, ""zh"", ""en"")"),"Smell good to ask them taste good, but a little sour drink up, just like the pharmacy to buy almost taste those amino acid liquid")</f>
        <v>Smell good to ask them taste good, but a little sour drink up, just like the pharmacy to buy almost taste those amino acid liquid</v>
      </c>
    </row>
    <row r="486">
      <c r="A486" s="1">
        <v>4.0</v>
      </c>
      <c r="B486" s="1" t="s">
        <v>487</v>
      </c>
      <c r="C486" t="str">
        <f>IFERROR(__xludf.DUMMYFUNCTION("GOOGLETRANSLATE(B486, ""zh"", ""en"")"),"Yes, appropriate. This pair of shoes appropriate size and hardness, appearance is their own choice. By the time winter wear out, no matter how look at the results.")</f>
        <v>Yes, appropriate. This pair of shoes appropriate size and hardness, appearance is their own choice. By the time winter wear out, no matter how look at the results.</v>
      </c>
    </row>
    <row r="487">
      <c r="A487" s="1">
        <v>4.0</v>
      </c>
      <c r="B487" s="1" t="s">
        <v>488</v>
      </c>
      <c r="C487" t="str">
        <f>IFERROR(__xludf.DUMMYFUNCTION("GOOGLETRANSLATE(B487, ""zh"", ""en"")"),"Listen to musical instruments soon receive super good, but the human voice in general")</f>
        <v>Listen to musical instruments soon receive super good, but the human voice in general</v>
      </c>
    </row>
    <row r="488">
      <c r="A488" s="1">
        <v>5.0</v>
      </c>
      <c r="B488" s="1" t="s">
        <v>489</v>
      </c>
      <c r="C488" t="str">
        <f>IFERROR(__xludf.DUMMYFUNCTION("GOOGLETRANSLATE(B488, ""zh"", ""en"")"),"Well arrival idling under no problem, is a new machine. Card card can not have a point short. Province Free member bargain")</f>
        <v>Well arrival idling under no problem, is a new machine. Card card can not have a point short. Province Free member bargain</v>
      </c>
    </row>
    <row r="489">
      <c r="A489" s="1">
        <v>5.0</v>
      </c>
      <c r="B489" s="1" t="s">
        <v>490</v>
      </c>
      <c r="C489" t="str">
        <f>IFERROR(__xludf.DUMMYFUNCTION("GOOGLETRANSLATE(B489, ""zh"", ""en"")"),"Very good wear dimensions, wild")</f>
        <v>Very good wear dimensions, wild</v>
      </c>
    </row>
    <row r="490">
      <c r="A490" s="1">
        <v>5.0</v>
      </c>
      <c r="B490" s="1" t="s">
        <v>491</v>
      </c>
      <c r="C490" t="str">
        <f>IFERROR(__xludf.DUMMYFUNCTION("GOOGLETRANSLATE(B490, ""zh"", ""en"")"),"Transport fast, very good with praise, bought with a good, good wash contaminated with oil. btw, ups shipping fast, the next single after every two days would send over, stunned. .")</f>
        <v>Transport fast, very good with praise, bought with a good, good wash contaminated with oil. btw, ups shipping fast, the next single after every two days would send over, stunned. .</v>
      </c>
    </row>
    <row r="491">
      <c r="A491" s="1">
        <v>5.0</v>
      </c>
      <c r="B491" s="1" t="s">
        <v>492</v>
      </c>
      <c r="C491" t="str">
        <f>IFERROR(__xludf.DUMMYFUNCTION("GOOGLETRANSLATE(B491, ""zh"", ""en"")"),"Baby like the taste very good, like a child")</f>
        <v>Baby like the taste very good, like a child</v>
      </c>
    </row>
    <row r="492">
      <c r="A492" s="1">
        <v>5.0</v>
      </c>
      <c r="B492" s="1" t="s">
        <v>493</v>
      </c>
      <c r="C492" t="str">
        <f>IFERROR(__xludf.DUMMYFUNCTION("GOOGLETRANSLATE(B492, ""zh"", ""en"")"),"Something good is sent over from Japan genuine, the future will continue to focus on the Amazon, girly deliberately buy a small one yard, it is difficult to wear, but also to wear the uncomfortable, you really have your truth, not curling, with cheap, or "&amp;"a difference")</f>
        <v>Something good is sent over from Japan genuine, the future will continue to focus on the Amazon, girly deliberately buy a small one yard, it is difficult to wear, but also to wear the uncomfortable, you really have your truth, not curling, with cheap, or a difference</v>
      </c>
    </row>
    <row r="493">
      <c r="A493" s="1">
        <v>5.0</v>
      </c>
      <c r="B493" s="1" t="s">
        <v>494</v>
      </c>
      <c r="C493" t="str">
        <f>IFERROR(__xludf.DUMMYFUNCTION("GOOGLETRANSLATE(B493, ""zh"", ""en"")"),"Comfortable and convenient shopping by mail soon, the shoes, the right size, very comfortable.")</f>
        <v>Comfortable and convenient shopping by mail soon, the shoes, the right size, very comfortable.</v>
      </c>
    </row>
    <row r="494">
      <c r="A494" s="1">
        <v>5.0</v>
      </c>
      <c r="B494" s="1" t="s">
        <v>495</v>
      </c>
      <c r="C494" t="str">
        <f>IFERROR(__xludf.DUMMYFUNCTION("GOOGLETRANSLATE(B494, ""zh"", ""en"")"),"Suitable very 174,69 kg, wearing M just, like custom-made, very appropriate! Not tight nor loose")</f>
        <v>Suitable very 174,69 kg, wearing M just, like custom-made, very appropriate! Not tight nor loose</v>
      </c>
    </row>
    <row r="495">
      <c r="A495" s="1">
        <v>5.0</v>
      </c>
      <c r="B495" s="1" t="s">
        <v>496</v>
      </c>
      <c r="C495" t="str">
        <f>IFERROR(__xludf.DUMMYFUNCTION("GOOGLETRANSLATE(B495, ""zh"", ""en"")"),"excellent! Very beautiful and practical.")</f>
        <v>excellent! Very beautiful and practical.</v>
      </c>
    </row>
    <row r="496">
      <c r="A496" s="1">
        <v>5.0</v>
      </c>
      <c r="B496" s="1" t="s">
        <v>497</v>
      </c>
      <c r="C496" t="str">
        <f>IFERROR(__xludf.DUMMYFUNCTION("GOOGLETRANSLATE(B496, ""zh"", ""en"")"),"Good shoes, as always, genuine authentic, the price is right, ecco there are activities will come again")</f>
        <v>Good shoes, as always, genuine authentic, the price is right, ecco there are activities will come again</v>
      </c>
    </row>
    <row r="497">
      <c r="A497" s="1">
        <v>5.0</v>
      </c>
      <c r="B497" s="1" t="s">
        <v>498</v>
      </c>
      <c r="C497" t="str">
        <f>IFERROR(__xludf.DUMMYFUNCTION("GOOGLETRANSLATE(B497, ""zh"", ""en"")"),"Good insulation effect just received, inside the cup a little taste. Good insulation effect. Looks like than at home buy TIGER better insulation.")</f>
        <v>Good insulation effect just received, inside the cup a little taste. Good insulation effect. Looks like than at home buy TIGER better insulation.</v>
      </c>
    </row>
    <row r="498">
      <c r="A498" s="1">
        <v>5.0</v>
      </c>
      <c r="B498" s="1" t="s">
        <v>499</v>
      </c>
      <c r="C498" t="str">
        <f>IFERROR(__xludf.DUMMYFUNCTION("GOOGLETRANSLATE(B498, ""zh"", ""en"")"),"The right size, very good right size, very good")</f>
        <v>The right size, very good right size, very good</v>
      </c>
    </row>
    <row r="499">
      <c r="A499" s="1">
        <v>5.0</v>
      </c>
      <c r="B499" s="1" t="s">
        <v>500</v>
      </c>
      <c r="C499" t="str">
        <f>IFERROR(__xludf.DUMMYFUNCTION("GOOGLETRANSLATE(B499, ""zh"", ""en"")"),"Do key chain is suitable? &lt;Div id = ""video-block-R33QY1MS4SALC8"" class = ""a-section a-spacing-small a-spacing-top-mini video-block""&gt; &lt;/ div&gt; &lt;input type = ""hidden"" name = """" value = ""https://images-cn.ssl-images-amazon.com/images/I/71Jzl66kmsS.mp"&amp;"4"" class = ""video-url""&gt; &lt;input type = ""hidden"" name = """" value = ""https: //images-cn.ssl-images-amazon.com/images/I/919HS3cysmS.png ""class ="" video-slate-img-url ""&gt; &amp; nbsp; like small wings shape, not like the pointy wings occasionally be under"&amp;" the bar. Mainly used as car key chain.")</f>
        <v>Do key chain is suitable? &lt;Div id = "video-block-R33QY1MS4SALC8" class = "a-section a-spacing-small a-spacing-top-mini video-block"&gt; &lt;/ div&gt; &lt;input type = "hidden" name = "" value = "https://images-cn.ssl-images-amazon.com/images/I/71Jzl66kmsS.mp4" class = "video-url"&gt; &lt;input type = "hidden" name = "" value = "https: //images-cn.ssl-images-amazon.com/images/I/919HS3cysmS.png "class =" video-slate-img-url "&gt; &amp; nbsp; like small wings shape, not like the pointy wings occasionally be under the bar. Mainly used as car key chain.</v>
      </c>
    </row>
    <row r="500">
      <c r="A500" s="1">
        <v>5.0</v>
      </c>
      <c r="B500" s="1" t="s">
        <v>501</v>
      </c>
      <c r="C500" t="str">
        <f>IFERROR(__xludf.DUMMYFUNCTION("GOOGLETRANSLATE(B500, ""zh"", ""en"")"),"Good quality, competitive price, good quality, price concessions, 174,67KG, M code suitable, slightly longer.")</f>
        <v>Good quality, competitive price, good quality, price concessions, 174,67KG, M code suitable, slightly longer.</v>
      </c>
    </row>
    <row r="501">
      <c r="A501" s="1">
        <v>5.0</v>
      </c>
      <c r="B501" s="1" t="s">
        <v>502</v>
      </c>
      <c r="C501" t="str">
        <f>IFERROR(__xludf.DUMMYFUNCTION("GOOGLETRANSLATE(B501, ""zh"", ""en"")"),"Good value for money headset 250 ohm impedance is indeed difficult to drive, not to play the real strength of the country and using a mobile phone brick, three-band equalizer but feel, comfortable to wear, after the amp on stage and try to put")</f>
        <v>Good value for money headset 250 ohm impedance is indeed difficult to drive, not to play the real strength of the country and using a mobile phone brick, three-band equalizer but feel, comfortable to wear, after the amp on stage and try to put</v>
      </c>
    </row>
    <row r="502">
      <c r="A502" s="1">
        <v>5.0</v>
      </c>
      <c r="B502" s="1" t="s">
        <v>503</v>
      </c>
      <c r="C502" t="str">
        <f>IFERROR(__xludf.DUMMYFUNCTION("GOOGLETRANSLATE(B502, ""zh"", ""en"")"),"Box is like a box of old deep-sea big brand trusted listened for months, suddenly sounds a bit stuffy sent to customer service, customer service to a new one to big praise")</f>
        <v>Box is like a box of old deep-sea big brand trusted listened for months, suddenly sounds a bit stuffy sent to customer service, customer service to a new one to big praise</v>
      </c>
    </row>
    <row r="503">
      <c r="A503" s="1">
        <v>5.0</v>
      </c>
      <c r="B503" s="1" t="s">
        <v>504</v>
      </c>
      <c r="C503" t="str">
        <f>IFERROR(__xludf.DUMMYFUNCTION("GOOGLETRANSLATE(B503, ""zh"", ""en"")"),"Good, good quality reference comment before, just buy the size of ~")</f>
        <v>Good, good quality reference comment before, just buy the size of ~</v>
      </c>
    </row>
    <row r="504">
      <c r="A504" s="1">
        <v>5.0</v>
      </c>
      <c r="B504" s="1" t="s">
        <v>505</v>
      </c>
      <c r="C504" t="str">
        <f>IFERROR(__xludf.DUMMYFUNCTION("GOOGLETRANSLATE(B504, ""zh"", ""en"")"),"Tariff around my feet 252, 7.5m feel just right, then why is the tariff by 30 per cent considered it to me, are the 10 percent it previously")</f>
        <v>Tariff around my feet 252, 7.5m feel just right, then why is the tariff by 30 per cent considered it to me, are the 10 percent it previously</v>
      </c>
    </row>
    <row r="505">
      <c r="A505" s="1">
        <v>5.0</v>
      </c>
      <c r="B505" s="1" t="s">
        <v>506</v>
      </c>
      <c r="C505" t="str">
        <f>IFERROR(__xludf.DUMMYFUNCTION("GOOGLETRANSLATE(B505, ""zh"", ""en"")"),"Good taste a little taste of strawberry ice cream ,, sweet taste can accept. Powder is very fine, do not know how to effect, eat some time to see it, 5 lbs really big bucket ah.")</f>
        <v>Good taste a little taste of strawberry ice cream ,, sweet taste can accept. Powder is very fine, do not know how to effect, eat some time to see it, 5 lbs really big bucket ah.</v>
      </c>
    </row>
    <row r="506">
      <c r="A506" s="1">
        <v>5.0</v>
      </c>
      <c r="B506" s="1" t="s">
        <v>507</v>
      </c>
      <c r="C506" t="str">
        <f>IFERROR(__xludf.DUMMYFUNCTION("GOOGLETRANSLATE(B506, ""zh"", ""en"")"),"Good quality super good-looking first-class quality at affordable prices")</f>
        <v>Good quality super good-looking first-class quality at affordable prices</v>
      </c>
    </row>
    <row r="507">
      <c r="A507" s="1">
        <v>5.0</v>
      </c>
      <c r="B507" s="1" t="s">
        <v>508</v>
      </c>
      <c r="C507" t="str">
        <f>IFERROR(__xludf.DUMMYFUNCTION("GOOGLETRANSLATE(B507, ""zh"", ""en"")"),"Why is Casio? College 85 years, worked in the campus shop and bought a similar table. The price is about 18 to 24 yuan. That time, is filled with such electronic form. Oh Susanna for the alarm. A few days, wash your face off, lost. This type of watch is s"&amp;"imple and practical, size fit. Lazy wear, for many years without changing the battery. Date of eye-catching, clear understanding. Like this table, in addition to functional projects, as well as emotional factors. This table is high technological content N"&amp;"o? Work well, simple classic style, it is worth learning from ah.")</f>
        <v>Why is Casio? College 85 years, worked in the campus shop and bought a similar table. The price is about 18 to 24 yuan. That time, is filled with such electronic form. Oh Susanna for the alarm. A few days, wash your face off, lost. This type of watch is simple and practical, size fit. Lazy wear, for many years without changing the battery. Date of eye-catching, clear understanding. Like this table, in addition to functional projects, as well as emotional factors. This table is high technological content No? Work well, simple classic style, it is worth learning from ah.</v>
      </c>
    </row>
    <row r="508">
      <c r="A508" s="1">
        <v>5.0</v>
      </c>
      <c r="B508" s="1" t="s">
        <v>509</v>
      </c>
      <c r="C508" t="str">
        <f>IFERROR(__xludf.DUMMYFUNCTION("GOOGLETRANSLATE(B508, ""zh"", ""en"")"),"Size is accurate, authentic goods, very fond of, recommended purchase size is accurate, authentic goods, very fond of, recommended purchase")</f>
        <v>Size is accurate, authentic goods, very fond of, recommended purchase size is accurate, authentic goods, very fond of, recommended purchase</v>
      </c>
    </row>
    <row r="509">
      <c r="A509" s="1">
        <v>2.0</v>
      </c>
      <c r="B509" s="1" t="s">
        <v>510</v>
      </c>
      <c r="C509" t="str">
        <f>IFERROR(__xludf.DUMMYFUNCTION("GOOGLETRANSLATE(B509, ""zh"", ""en"")"),"I honestly do not ye drops too low, the shirt almost 200 of this quality, not worth ah, a little bit flawed, drawn the line.")</f>
        <v>I honestly do not ye drops too low, the shirt almost 200 of this quality, not worth ah, a little bit flawed, drawn the line.</v>
      </c>
    </row>
    <row r="510">
      <c r="A510" s="1">
        <v>3.0</v>
      </c>
      <c r="B510" s="1" t="s">
        <v>511</v>
      </c>
      <c r="C510" t="str">
        <f>IFERROR(__xludf.DUMMYFUNCTION("GOOGLETRANSLATE(B510, ""zh"", ""en"")"),"Size puzzling! Size puzzling! Should be calculated according to mark 33w 33x2.54 cm / inch, 83.82 cm give way. However, an amount (FIG), to which the error is large! ! Elsewhere will not be wrong, right? Domestic I bought it (that's my waistline fat than "&amp;"34!) Are 34! Look at the reviews said that many large, long pants good considering the change, the waist is not good change, so choose a smaller size, the results really did not expect so much! It seems really want to buy clothes upper body test (my many "&amp;"shopping experience shows that this really is not a strict standard size, some chaos! Unknown here said.), Unless you buy the same style again! Quality? You ask quality? Mauritius production and domestic goods around $ 800 about it? Also, I'm sorry! And d"&amp;"omestic production of 34 yards pants comparisons can not upload video")</f>
        <v>Size puzzling! Size puzzling! Should be calculated according to mark 33w 33x2.54 cm / inch, 83.82 cm give way. However, an amount (FIG), to which the error is large! ! Elsewhere will not be wrong, right? Domestic I bought it (that's my waistline fat than 34!) Are 34! Look at the reviews said that many large, long pants good considering the change, the waist is not good change, so choose a smaller size, the results really did not expect so much! It seems really want to buy clothes upper body test (my many shopping experience shows that this really is not a strict standard size, some chaos! Unknown here said.), Unless you buy the same style again! Quality? You ask quality? Mauritius production and domestic goods around $ 800 about it? Also, I'm sorry! And domestic production of 34 yards pants comparisons can not upload video</v>
      </c>
    </row>
    <row r="511">
      <c r="A511" s="1">
        <v>3.0</v>
      </c>
      <c r="B511" s="1" t="s">
        <v>512</v>
      </c>
      <c r="C511" t="str">
        <f>IFERROR(__xludf.DUMMYFUNCTION("GOOGLETRANSLATE(B511, ""zh"", ""en"")"),"The risk of the baby will bite off the plastic to be careful")</f>
        <v>The risk of the baby will bite off the plastic to be careful</v>
      </c>
    </row>
    <row r="512">
      <c r="A512" s="1">
        <v>3.0</v>
      </c>
      <c r="B512" s="1" t="s">
        <v>513</v>
      </c>
      <c r="C512" t="str">
        <f>IFERROR(__xludf.DUMMYFUNCTION("GOOGLETRANSLATE(B512, ""zh"", ""en"")"),"Loud sound is not as big, brand value is removed, items not worth the price")</f>
        <v>Loud sound is not as big, brand value is removed, items not worth the price</v>
      </c>
    </row>
    <row r="513">
      <c r="A513" s="1">
        <v>1.0</v>
      </c>
      <c r="B513" s="1" t="s">
        <v>514</v>
      </c>
      <c r="C513" t="str">
        <f>IFERROR(__xludf.DUMMYFUNCTION("GOOGLETRANSLATE(B513, ""zh"", ""en"")"),"Material is not incompatible wool, fooled")</f>
        <v>Material is not incompatible wool, fooled</v>
      </c>
    </row>
    <row r="514">
      <c r="A514" s="1">
        <v>1.0</v>
      </c>
      <c r="B514" s="1" t="s">
        <v>515</v>
      </c>
      <c r="C514" t="str">
        <f>IFERROR(__xludf.DUMMYFUNCTION("GOOGLETRANSLATE(B514, ""zh"", ""en"")"),"This is really brand clothes? This style is really disappointed in the quality, not ever dare to buy 😒😒😒")</f>
        <v>This is really brand clothes? This style is really disappointed in the quality, not ever dare to buy 😒😒😒</v>
      </c>
    </row>
    <row r="515">
      <c r="A515" s="1">
        <v>4.0</v>
      </c>
      <c r="B515" s="1" t="s">
        <v>516</v>
      </c>
      <c r="C515" t="str">
        <f>IFERROR(__xludf.DUMMYFUNCTION("GOOGLETRANSLATE(B515, ""zh"", ""en"")"),"Three sizes are not the same three colors, gray maximum, minimum Tibetan blue")</f>
        <v>Three sizes are not the same three colors, gray maximum, minimum Tibetan blue</v>
      </c>
    </row>
    <row r="516">
      <c r="A516" s="1">
        <v>4.0</v>
      </c>
      <c r="B516" s="1" t="s">
        <v>517</v>
      </c>
      <c r="C516" t="str">
        <f>IFERROR(__xludf.DUMMYFUNCTION("GOOGLETRANSLATE(B516, ""zh"", ""en"")"),"Quality clothes line number is too small, non-standard size")</f>
        <v>Quality clothes line number is too small, non-standard size</v>
      </c>
    </row>
    <row r="517">
      <c r="A517" s="1">
        <v>4.0</v>
      </c>
      <c r="B517" s="1" t="s">
        <v>518</v>
      </c>
      <c r="C517" t="str">
        <f>IFERROR(__xludf.DUMMYFUNCTION("GOOGLETRANSLATE(B517, ""zh"", ""en"")"),"Affordable, long pants usually wear 33 yards, and buy the code, belts good, too, although revenue feet, but the really good long ah, the quality generally like it, the price is affordable. Pants a little thin.")</f>
        <v>Affordable, long pants usually wear 33 yards, and buy the code, belts good, too, although revenue feet, but the really good long ah, the quality generally like it, the price is affordable. Pants a little thin.</v>
      </c>
    </row>
    <row r="518">
      <c r="A518" s="1">
        <v>4.0</v>
      </c>
      <c r="B518" s="1" t="s">
        <v>519</v>
      </c>
      <c r="C518" t="str">
        <f>IFERROR(__xludf.DUMMYFUNCTION("GOOGLETRANSLATE(B518, ""zh"", ""en"")"),"Exterior BNM some more low-key than life, sounds are satisfied, but Bluetooth connection stability is not good, half an hour later a great chance of instability appears sound. This headset looks like a common problem?")</f>
        <v>Exterior BNM some more low-key than life, sounds are satisfied, but Bluetooth connection stability is not good, half an hour later a great chance of instability appears sound. This headset looks like a common problem?</v>
      </c>
    </row>
    <row r="519">
      <c r="A519" s="1">
        <v>4.0</v>
      </c>
      <c r="B519" s="1" t="s">
        <v>520</v>
      </c>
      <c r="C519" t="str">
        <f>IFERROR(__xludf.DUMMYFUNCTION("GOOGLETRANSLATE(B519, ""zh"", ""en"")"),"Fabric looks a little more comfortable grades four corners of the triangle or not the habit, but also, for the wear.")</f>
        <v>Fabric looks a little more comfortable grades four corners of the triangle or not the habit, but also, for the wear.</v>
      </c>
    </row>
    <row r="520">
      <c r="A520" s="1">
        <v>5.0</v>
      </c>
      <c r="B520" s="1" t="s">
        <v>521</v>
      </c>
      <c r="C520" t="str">
        <f>IFERROR(__xludf.DUMMYFUNCTION("GOOGLETRANSLATE(B520, ""zh"", ""en"")"),"178cm87kg Workout wear this size often just 178cm87kg fitness wear this size is just right, very comfortable padded jackets, there are certain components, sleeves and did not like other people's comments are so many long, put on the waist position compari"&amp;"son's sake, but the version is very reasonable, more burly look. The overall domestic purchasing prices with the comparison value ratio, and fidelity.")</f>
        <v>178cm87kg Workout wear this size often just 178cm87kg fitness wear this size is just right, very comfortable padded jackets, there are certain components, sleeves and did not like other people's comments are so many long, put on the waist position comparison's sake, but the version is very reasonable, more burly look. The overall domestic purchasing prices with the comparison value ratio, and fidelity.</v>
      </c>
    </row>
    <row r="521">
      <c r="A521" s="1">
        <v>5.0</v>
      </c>
      <c r="B521" s="1" t="s">
        <v>522</v>
      </c>
      <c r="C521" t="str">
        <f>IFERROR(__xludf.DUMMYFUNCTION("GOOGLETRANSLATE(B521, ""zh"", ""en"")"),"Comments are not accustomed to online shopping and buy spare way, and before you buy from other sources compared, are identical. For the first time in the Amazon to buy things, domestic logistics process is not detailed, I would like to see real-time stat"&amp;"us is difficult, can not find online customer service, or not used to the experience.")</f>
        <v>Comments are not accustomed to online shopping and buy spare way, and before you buy from other sources compared, are identical. For the first time in the Amazon to buy things, domestic logistics process is not detailed, I would like to see real-time status is difficult, can not find online customer service, or not used to the experience.</v>
      </c>
    </row>
    <row r="522">
      <c r="A522" s="1">
        <v>5.0</v>
      </c>
      <c r="B522" s="1" t="s">
        <v>523</v>
      </c>
      <c r="C522" t="str">
        <f>IFERROR(__xludf.DUMMYFUNCTION("GOOGLETRANSLATE(B522, ""zh"", ""en"")"),"Good 😊 &lt;div id = ""video-block-RRHUX3QW9SJ6T"" class = ""a-section a-spacing-small a-spacing-top-mini video-block""&gt; &lt;div tabindex = ""0"" class = ""airy airy-svg vmin-supported airy-skin-beacon ""style ="" background-color: rgb (0, 0, 0); position: rela"&amp;"tive; width: 100%; height: 100%; font-size: 0px; overflow: hidden; outline : none; ""&gt; &lt;div class ="" airy-renderer-container ""style ="" position: relative; height: 100%; width: 100%; ""&gt; &lt;video id ="" 7 ""preload ="" auto ""src ="" https://images-cn.ssl"&amp;"-images-amazon.com/images/I/71ef82GBBaS.mp4 ""style ="" position: absolute; left: 0px; top: 0px; overflow: hidden; height: 1px; width: 1px ; ""&gt; &lt;/ video&gt; &lt;/ div&gt; &lt;div id ="" airy-slate-preload ""style ="" background-color: rgb (0, 0, 0); background-image"&amp;": url (&amp; quot; https: // images-cn.ssl-images-amazon.com/images/I/91iGHtMVCFS.png&amp;quot;); background-size: contain; background-position: center center; background-repeat: no-repeat; position: absolute; top: 0px ; left: 0px; visibility: visible; width: 100"&amp;"%; height: 100%; ""&gt; &lt;/ div&gt; &lt;iframe scrolling ="" no ""fr ameborder = ""0"" src = ""about: blank"" style = ""display: none;""&gt; &lt;/ iframe&gt; &lt;div tabindex = ""- 1"" class = ""airy-controls-container"" style = ""opacity: 0; visibility : hidden; ""&gt; &lt;div tabi"&amp;"ndex ="" - 1 ""class ="" airy-screen-size-toggle airy-fullscreen ""&gt; &lt;/ div&gt; &lt;div tabindex ="" - 1 ""class ="" airy-container-bottom ""&gt; &lt;div tabindex = ""- 1"" class = ""airy-track-bar-spacer-left"" style = ""width: 11px;""&gt; &lt;/ div&gt; &lt;div tabindex = ""- 1"&amp;""" class = ""airy-play-toggle airy-play ""style ="" width: 12px; margin-right: 12px; ""&gt; &lt;/ div&gt; &lt;div tabindex ="" - 1 ""class ="" airy-audio-elements ""style ="" float: right; width: 34px ; ""&gt; &lt;div tabindex ="" - 1 ""class ="" airy-audio-toggle airy-on "&amp;"""&gt; &lt;/ div&gt; &lt;div tabindex ="" - 1 ""class ="" airy-audio-container ""style ="" opacity: 0; visibility: hidden; ""&gt; &lt;div tabindex ="" - 1 ""class ="" airy-audio-track-bar ""style ="" height: 80%; ""&gt; &lt;div tabindex ="" - 1 ""class ="" airy- audio-scrubber-b"&amp;"ar ""style ="" height: 85%; ""&gt; &lt;/ div&gt; &lt;div tabindex ="" - 1 ""class ="" airy-audio-scrubber ""style ="" height: 12px; bottom: 85%; "" &gt; &lt;/ div&gt; &lt;/ div&gt; &lt;/ div&gt; &lt;/ div&gt; &lt;div tabindex = ""- 1"" class = ""airy-duration-label"" style = ""float : Right; widt"&amp;"h: 26px; margin-right: 4px; text-align: center; ""&gt; 0:03 &lt;/ div&gt; &lt;div tabindex ="" - 1 ""class ="" airy-track-bar-spacer-right ""style = ""float: right; width: 11px;""&gt; &lt;/ div&gt; &lt;div tabindex = ""- 1"" class = ""airy-track-bar-container"" style = ""margin-"&amp;"left: 35px; margin-right: 75px; ""&gt; &lt;div tabindex ="" - 1 ""class ="" airy-track-bar airy-vertical-centering-table ""&gt; &lt;div tabindex ="" - 1 ""class ="" airy-vertical-centering-table-cell ""&gt; &lt; div tabindex = ""- 1"" class = ""airy-track-bar-elements""&gt; &lt;"&amp;"div tabindex = ""- 1"" class = ""airy-progress-bar"" style = ""width: 71.1358%;""&gt; &lt;/ div&gt; &lt;div tabindex = ""- 1"" class = ""airy-scrubber-bar""&gt; &lt;/ div&gt; &lt;div tabindex = ""- 1"" class = ""airy-scrubber""&gt; &lt;div tabindex = ""- 1"" class = ""airy -scrubber-i"&amp;"con ""&gt; &lt;/ div&gt; &lt;div tabindex ="" - 1 ""class ="" airy-adjusted-aui-tooltip ""style ="" opacity: 0; visibility: hidden; ""&gt; &lt;div tabindex ="" - 1 "" class = ""airy-adjusted-aui-tooltip-inner""&gt; &lt;div tabindex = ""- 1"" class = ""airy-current-time-label""&gt; "&amp;"0:00 &lt;/ div&gt; &lt;/ div&gt; &lt;div tabindex = "" -1 ""class ="" airy-adjusted-aui-arrow-border ""&gt; &lt;div tabindex ="" - 1 ""class ="" airy-adjusted-aui-arrow ""&gt; &lt;/ Div&gt; &lt;/ div&gt; &lt;/ div&gt; &lt;/ div&gt; &lt;/ div&gt; &lt;/ div&gt; &lt;/ div&gt; &lt;/ div&gt; &lt;/ div&gt; &lt;/ div&gt; &lt;div tabindex = ""- 1"""&amp;" class = ""airy-age-gate airy-stage airy-vertical-centering-table airy-dialog"" style = ""opacity: 0; visibility: hidden;""&gt; &lt;div tabindex = ""- 1"" class = ""airy-age-gate- vertical-centering-table-cell airy-vertical-centering-table-cell ""&gt; &lt;div tabinde"&amp;"x ="" - 1 ""class ="" airy-vertical-centering-wrapper airy-age-gate-elements-wrapper ""&gt; &lt;div tabindex = ""- 1"" class = ""airy-age-gate-elements airy-dialog-elements""&gt; &lt;div tabindex = ""- 1"" class = ""airy-age-gate-prompt""&gt; This video is not intended "&amp;"for all audiences . What date were you born &lt;/ div&gt;? &lt;div tabindex = ""- 1"" class = ""airy-age-gate-inputs airy-dialog-inner-elements""&gt; &lt;select tabindex = ""- 1"" class = ""airy -age-gate-month ""&gt; &lt;option value ="" 1 ""&gt; January &lt;/ option&gt; &lt;option valu"&amp;"e ="" 2 ""&gt; February &lt;/ option&gt; &lt;option value ="" 3 ""&gt; March &lt;/ option&gt; &lt;option value = ""4""&gt; April &lt;/ option&gt; &lt;option value = ""5""&gt; May &lt;/ option&gt; &lt;option value = ""6""&gt; June &lt;/ option&gt; &lt;option value = ""7""&gt; July &lt;/ option&gt; &lt; option value = ""8""&gt; Au"&amp;"gust &lt;/ option&gt; &lt;option value = ""9""&gt; September &lt;/ opt ion&gt; &lt;option value = ""10""&gt; October &lt;/ option&gt; &lt;option value = ""11""&gt; November &lt;/ option&gt; &lt;option value = ""12""&gt; December &lt;/ option&gt; &lt;/ select&gt; &lt;select tabindex = "" -1 ""class ="" airy-age-gate-d"&amp;"ay ""&gt; &lt;option value ="" 1 ""&gt; 1 &lt;/ option&gt; &lt;option value ="" 2 ""&gt; 2 &lt;/ option&gt; &lt;option value ="" 3 ""&gt; 3 &lt;/ option&gt; &lt;option value = ""4""&gt; 4 &lt;/ option&gt; &lt;option value = ""5""&gt; 5 &lt;/ option&gt; &lt;option value = ""6""&gt; 6 &lt;/ option&gt; &lt;option value = ""7"" &gt; 7 &lt;/ "&amp;"option&gt; &lt;option value = ""8""&gt; 8 &lt;/ option&gt; &lt;option value = ""9""&gt; 9 &lt;/ option&gt; &lt;option value = ""10""&gt; 10 &lt;/ option&gt; &lt;option value = "" 11 ""&gt; 11 &lt;/ option&gt; &lt;option value ="" 12 ""&gt; 12 &lt;/ option&gt; &lt;option value ="" 13 ""&gt; 13 &lt;/ option&gt; &lt;option value ="" 1"&amp;"4 ""&gt; 14 &lt;/ option&gt; &lt;option value = ""15""&gt; 15 &lt;/ option&gt; &lt;option value = ""16""&gt; 16 &lt;/ option&gt; &lt;option value = ""17""&gt; 17 &lt;/ option&gt; &lt;option value = ""18""&gt; 18 &lt;/ option&gt; &lt; option value = ""19""&gt; 19 &lt;/ option&gt; &lt;option value = ""20""&gt; 20 &lt;/ option&gt; &lt;optio"&amp;"n value = ""21""&gt; 21 &lt;/ option&gt; &lt;option value = ""22""&gt; 22 &lt;/ option &gt; &lt;option value = ""23""&gt; 23 &lt;/ option&gt; &lt;option value = ""24""&gt; 24 &lt;/ option&gt; &lt;option value = ""25""&gt; 25 &lt;/ option&gt; &lt;option value = ""26""&gt; 26 &lt; / option&gt; &lt;option value = ""27""&gt; 27 &lt;/ o"&amp;"ption&gt; &lt;option value = ""28""&gt; 28 &lt;/ option&gt; &lt;option va lue = ""29""&gt; 29 &lt;/ option&gt; &lt;option value = ""30""&gt; 30 &lt;/ option&gt; &lt;option value = ""31""&gt; 31 &lt;/ option&gt; &lt;/ select&gt; &lt;select tabindex = ""- 1"" class = ""airy-age-gate-year""&gt; &lt;option value = ""2019""&gt;"&amp;" 2019 &lt;/ option&gt; &lt;option value = ""2018""&gt; 2018 &lt;/ option&gt; &lt;option value = ""2017""&gt; 2017 &lt;/ option&gt; &lt;option value = ""2016""&gt; ​​2016 &lt;/ option&gt; &lt;option value = ""2015""&gt; 2015 &lt;/ option&gt; &lt;option value = ""2014""&gt; 2014 &lt;/ option&gt; &lt;option value = ""2013""&gt; "&amp;"2013 &lt;/ option&gt; &lt;option value = ""2012""&gt; 2012 &lt;/ option&gt; &lt;option value = ""2011""&gt; 2011 &lt;/ option&gt; &lt;option value = ""2010""&gt; 2010 &lt;/ option&gt; &lt;option value = ""2009""&gt; 2009 &lt;/ option&gt; &lt;option value = ""2008""&gt; 2008 &lt;/ option&gt; &lt;option value = ""2007""&gt; 200"&amp;"7 &lt;/ option&gt; &lt;option value = ""2006""&gt; 2006 &lt;/ option&gt; &lt;option value = ""2005"" &gt; 2005 &lt;/ option&gt; &lt;option value = ""2004""&gt; 2004 &lt;/ option&gt; &lt;option value = ""2003""&gt; 2003 &lt;/ option&gt; &lt;option value = ""2002""&gt; 2002 &lt;/ option&gt; &lt;option value = "" 2001 ""&gt; 200"&amp;"1 &lt;/ option&gt; &lt;option value ="" 2000 ""&gt; 2000 &lt;/ option&gt; &lt;option value ="" 1999 ""&gt; 1999 &lt;/ option&gt; &lt;option value ="" 1998 ""&gt; 1998 &lt;/ option&gt; &lt;option value = ""1997""&gt; 1997 &lt;/ option&gt; &lt;option value = ""1996""&gt; 1996 &lt;/ option&gt; &lt;option value = ""1995""&gt; 199"&amp;"5 &lt;/ option&gt; &lt;option valu e = ""1994""&gt; 1994 &lt;/ option&gt; &lt;option value = ""1993""&gt; 1993 &lt;/ option&gt; &lt;option value = ""1992""&gt; 1992 &lt;/ option&gt; &lt;option value = ""1991""&gt; 1991 &lt;/ option&gt; &lt;option value = ""1990""&gt; 1990 &lt;/ option&gt; &lt;option value = ""1989""&gt; 1989 "&amp;"&lt;/ option&gt; &lt;option value = ""1988""&gt; 1988 &lt;/ option&gt; &lt;option value = ""1987""&gt; 1987 &lt;/ option&gt; &lt;option value = ""1986""&gt; 1986 &lt;/ option&gt; &lt;option value = ""1985""&gt; 1985 &lt;/ option&gt; &lt;option value = ""1984""&gt; 1984 &lt;/ option&gt; &lt;option value = ""1983""&gt; 1983 &lt;/ "&amp;"option&gt; &lt;option value = ""1982""&gt; 1982 &lt;/ option&gt; &lt;option value = ""1981""&gt; 1981 &lt;/ option&gt; &lt;option value = ""1980""&gt; 1980 &lt;/ option&gt; &lt;option value = ""1979"" &gt; 1979 &lt;/ option&gt; &lt;option value = ""1978""&gt; 1978 &lt;/ option&gt; &lt;option value = ""1977""&gt; 1977 &lt;/ op"&amp;"tion&gt; &lt;option value = ""1976""&gt; 1976 &lt;/ option&gt; &lt;option value = "" 1975 ""&gt; 1975 &lt;/ option&gt; &lt;option value ="" 1974 ""&gt; 1974 &lt;/ option&gt; &lt;option value ="" 1973 ""&gt; 1973 &lt;/ option&gt; &lt;option value ="" 1972 ""&gt; 1972 &lt;/ option&gt; &lt;option value = ""1971""&gt; 1971 &lt;/ "&amp;"option&gt; &lt;option value = ""1970""&gt; 1970 &lt;/ option&gt; &lt;option value = ""1969""&gt; 1969 &lt;/ option&gt; &lt;option value = ""1968""&gt; 1968 &lt;/ option&gt; &lt; option value = ""1967""&gt; 1967 &lt;/ option&gt; &lt;option value = ""1966""&gt; 1966 &lt;/ option&gt; &lt;option value = ""1965""&gt; 1965 &lt; / O"&amp;"ption&gt; &lt;option value = ""1964""&gt; 1964 &lt;/ option&gt; &lt;option value = ""1963""&gt; 1963 &lt;/ option&gt; &lt;option value = ""1962""&gt; 1962 &lt;/ option&gt; &lt;option value = ""1961""&gt; 1961 &lt;/ option&gt; &lt;option value = ""1960""&gt; 1960 &lt;/ option&gt; &lt;option value = ""1959""&gt; 1959 &lt;/ opti"&amp;"on&gt; &lt;option value = ""1958""&gt; 1958 &lt;/ option&gt; &lt;option value = ""1957 ""&gt; 1957 &lt;/ option&gt; &lt;option value ="" 1956 ""&gt; 1956 &lt;/ option&gt; &lt;option value ="" 1955 ""&gt; 1955 &lt;/ option&gt; &lt;option value ="" 1954 ""&gt; 1954 &lt;/ option&gt; &lt;option value = ""1953""&gt; 1953 &lt;/ opt"&amp;"ion&gt; &lt;option value = ""1952""&gt; 1952 &lt;/ option&gt; &lt;option value = ""1951""&gt; 1951 &lt;/ option&gt; &lt;option value = ""1950""&gt; 1950 &lt;/ option&gt; &lt;option value = ""1949""&gt; 1949 &lt;/ option&gt; &lt;option value = ""1948""&gt; 1948 &lt;/ option&gt; &lt;option value = ""1947""&gt; 1947 &lt;/ option"&amp;"&gt; &lt;option value = ""1946""&gt; 1946 &lt;/ option&gt; &lt;option value = ""1945""&gt; 1945 &lt;/ option&gt; &lt;option value = ""1944""&gt; 1944 &lt;/ option&gt; &lt;option value = ""1943""&gt; 1943 &lt;/ option&gt; &lt;option value = ""1942""&gt; 1942 &lt;/ option&gt; &lt;option value = ""1941""&gt; 1941 &lt;/ option&gt; &lt;"&amp;"option value = ""1940""&gt; 1940 &lt;/ option&gt; &lt;option value = ""1939""&gt; 1939 &lt;/ option&gt; &lt;option value = ""1938""&gt; 1938 &lt;/ option&gt; &lt;option value = ""1937""&gt; 1937 &lt;/ option&gt; &lt;option value = ""1936""&gt; 1936 &lt;/ option&gt; &lt;optio n value = ""1935""&gt; 1935 &lt;/ option&gt; &lt;op"&amp;"tion value = ""1934""&gt; 1934 &lt;/ option&gt; &lt;option value = ""1933""&gt; 1933 &lt;/ option&gt; &lt;option value = ""1932""&gt; 1932 &lt;/ option &gt; &lt;option value = ""1931""&gt; 1931 &lt;/ option&gt; &lt;option value = ""1930""&gt; 1930 &lt;/ option&gt; &lt;option value = ""1929""&gt; 1929 &lt;/ option&gt; &lt;opti"&amp;"on value = ""1928""&gt; 1928 &lt; / option&gt; &lt;option value = ""1927""&gt; 1927 &lt;/ option&gt; &lt;option value = ""1926""&gt; 1926 &lt;/ option&gt; &lt;option value = ""1925""&gt; 1925 &lt;/ option&gt; &lt;option value = ""1924""&gt; 1924 &lt;/ option&gt; &lt;option value = ""1923""&gt; 1923 &lt;/ option&gt; &lt;option"&amp;" value = ""1922""&gt; 1922 &lt;/ option&gt; &lt;option value = ""1921""&gt; 1921 &lt;/ option&gt; &lt;option value = ""1920 ""&gt; 1920 &lt;/ option&gt; &lt;option value ="" 1919 ""&gt; 1919 &lt;/ option&gt; &lt;option value ="" 1918 ""&gt; 1918 &lt;/ option&gt; &lt;option value ="" 1917 ""&gt; 1917 &lt;/ option&gt; &lt;optio"&amp;"n value = ""1916""&gt; 1916 &lt;/ option&gt; &lt;option value = ""1915""&gt; 1915 &lt;/ option&gt; &lt;option value = ""1914""&gt; 1914 &lt;/ option&gt; &lt;option value = ""1913""&gt; 1913 &lt;/ option&gt; &lt;option value = ""1912""&gt; 1912 &lt;/ option&gt; &lt;option value = ""1911""&gt; 1911 &lt;/ option&gt; &lt;option v"&amp;"alue = ""1910""&gt; 1910 &lt;/ option&gt; &lt;option value = ""1909""&gt; 1909 &lt;/ option&gt; &lt;option value = ""1908""&gt; 1908 &lt;/ option&gt; &lt;option value = ""1907""&gt; 1907 &lt;/ option&gt; &lt;option value = ""1906"" &gt; 1906 &lt;/ option&gt; &lt;option value = ""1905""&gt; 1905 &lt;/ option&gt; &lt;option val"&amp;"ue = ""1904""&gt; 1904 &lt;/ option&gt; &lt;option value = ""1903""&gt; 1903 &lt;/ option&gt; &lt;option value = "" 1902 ""&gt; 1902 &lt;/ option&gt; &lt;option value ="" 1901 ""&gt; 1901 &lt;/ option&gt; &lt;option value ="" 1900 ""&gt; 1900 &lt;/ option&gt; &lt;/ select&gt; &lt;div tabindex ="" - 1 ""class ="" airy -a"&amp;"ge-gate-submit airy-submit airy-button airy-submit-disabled ""&gt; Submit &lt;/ div&gt; &lt;/ div&gt; &lt;/ div&gt; &lt;/ div&gt; &lt;/ div&gt; &lt;/ div&gt; &lt;div tabindex ="" - 1 ""class ="" airy-install-flash-dialog airy-stage airy-vertical-centering-table airy-dialog airy-denied ""style ="""&amp;" opacity: 0; visibility: hidden; ""&gt; &lt;div tabindex ="" - 1 "" class = ""airy-install-flash-vertical-centering-table-cell airy-vertical-centering-table-cell""&gt; &lt;div tabindex = ""- 1"" class = ""airy-vertical-centering-wrapper airy-install-flash -elements-w"&amp;"rapper ""&gt; &lt;div tabindex ="" - 1 ""class ="" airy-install-flash-elements airy-dialog-elements ""&gt; &lt;div tabindex ="" - 1 ""class ="" airy-install-flash-prompt "" &gt; Adobe Flash Player is required to watch this video &lt;/ div&gt; &lt;div tabindex =. ""- 1"" class = "&amp;"""airy-install-flash-button-wrapper airy-dialog-inner-elements""&gt; &lt;Div tabindex = ""- 1"" class = ""airy-install-flash-button airy-button""&gt; Install Flash Player &lt;/ div&gt; &lt;/ div&gt; &lt;/ div&gt; &lt;/ div&gt; &lt;/ div&gt; &lt;/ div&gt; &lt;div tabindex = ""- 1"" class = ""airy-video-"&amp;"unsupported-dialog airy-stage airy-vertical-centering-table airy-dialog airy-denied"" style = ""opacity: 0; visibility: hidden;""&gt; &lt;div tabindex = ""- 1"" class = ""airy-video-unsupported-vertical-centering-table-cell airy-vertical-centering-table-cell""&gt;"&amp;" &lt;div tabindex = ""- 1"" class = ""airy-vertical-centering- wrapper airy-video-unsupported-elements-wrapper ""&gt; &lt;div tabindex ="" - 1 ""class ="" airy-video-unsupported-elements airy-dialog-elements ""&gt; &lt;div tabindex ="" - 1 ""class ="" airy- video-unsupp"&amp;"orted-prompt ""&gt; &lt;/ div&gt; &lt;/ div&gt; &lt;/ div&gt; &lt;/ div&gt; &lt;/ div&gt; &lt;div tabindex ="" - 1 ""class ="" airy-loading-spinner-stage airy-stage ""&gt; &lt;div tabindex = ""- 1"" class = ""airy-loading-spinner-vertical-centering-table-cell airy-vertical-centering-table-cell""&gt;"&amp;" &lt;div tabindex = ""- 1"" class = ""airy-loading- spinner-container airy-scalable-hint-container ""&gt; &lt;div tabindex ="" - 1 ""class ="" airy-loading-spinner-dummy airy-scalable-dumm y ""&gt; &lt;/ div&gt; &lt;div tabindex ="" - 1 ""class ="" airy-loading-spinner airy-h"&amp;"int ""style ="" visibility: hidden; ""&gt; &lt;/ div&gt; &lt;/ div&gt; &lt;/ div&gt; &lt;/ div&gt; &lt;div tabindex = ""- 1"" class = ""airy-ads-screen-size-toggle airy-screen-size-toggle airy-fullscreen"" style = ""visibility: hidden;""&gt; &lt;/ div&gt; &lt;div tabindex = ""-1"" class = ""airy-"&amp;"ad-prompt-container"" style = ""visibility: hidden;""&gt; &lt;div tabindex = ""- 1"" class = ""airy-ad-prompt-vertical-centering-table airy-vertical- centering-table ""&gt; &lt;div tabindex ="" - 1 ""class ="" airy-ad-prompt-vertical-centering-table-cell airy-vertica"&amp;"l-centering-table-cell ""&gt; &lt;div tabindex ="" - 1 ""class = ""airy-ad-prompt-label""&gt; &lt;/ div&gt; &lt;/ div&gt; &lt;/ div&gt; &lt;/ div&gt; &lt;div tabindex = ""- 1"" class = ""airy-ads-controls-container"" style = ""visibility: hidden; ""&gt; &lt;div tabindex ="" - 1 ""class ="" airy-a"&amp;"ds-audio-toggle airy-audio-toggle airy-on ""style ="" visibility: hidden; ""&gt; &lt;/ div&gt; &lt;div tabindex ="" - 1 ""class ="" airy-time-remaining-label-container ""&gt; &lt;div tabindex ="" - 1 ""class ="" airy-time-remaining-vertical-centering-table airy-vertical-ce"&amp;"ntering-table ""&gt; &lt;div tabindex = ""- 1"" class = ""airy-time-rem aining-vertical-centering-table-cell airy-vertical-centering-table-cell ""&gt; &lt;div tabindex ="" - 1 ""class ="" airy-vertical-centering-wrapper airy-time-remaining-label-wrapper ""&gt; &lt; div tab"&amp;"index = ""- 1"" class = ""airy-time-remaining-label"" style = ""visibility: hidden;""&gt; &lt;/ div&gt; &lt;div tabindex = ""- 1"" class = ""airy-ad-skip"" style = ""visibility: hidden;""&gt; &lt;/ div&gt; &lt;div tabindex = ""- 1"" class = ""airy-ad-end"" style = ""visibility: "&amp;"hidden;""&gt; &lt;/ div&gt; &lt;/ div&gt; &lt;/ div&gt; &lt; / div&gt; &lt;/ div&gt; &lt;div tabindex = ""- 1"" class = ""airy-learn-more"" style = ""visibility: hidden;""&gt; &lt;/ div&gt; &lt;/ div&gt; &lt;div tabindex = ""- 1"" class = ""airy-play-toggle-hint-stage airy-stage airy-cursor""&gt; &lt;div tabindex "&amp;"= ""- 1"" class = ""airy-play-toggle-hint-vertical-centering-table-cell airy-vertical-centering -table-cell airy-cursor ""&gt; &lt;div tabindex ="" - 1 ""class ="" airy-play-toggle-hint-container airy-scalable-hint-container ""&gt; &lt;div tabindex ="" - 1 ""class ="&amp;""" airy -play-toggle-hint-dummy airy-scalable-dummy ""&gt; &lt;/ div&gt; &lt;div tabindex ="" - 1 ""class ="" airy-play-toggle-hint airy-hint airy-play-hint ""style ="" opacity : 1; visibility: visible; ""&gt; &lt;/ div &gt; &lt;/ Div&gt; &lt;/ div&gt; &lt;/ div&gt; &lt;div tabindex = ""- 1"" cla"&amp;"ss = ""airy-replay-hint-stage airy-stage"" style = ""visibility: hidden;""&gt; &lt;div tabindex = ""- 1 ""class ="" airy-replay-hint-vertical-centering-table-cell airy-vertical-centering-table-cell airy-cursor ""&gt; &lt;div tabindex ="" - 1 ""class ="" airy-replay-h"&amp;"int-container airy-scalable-hint-container ""&gt; &lt;div tabindex ="" - 1 ""class ="" airy-replay-hint-dummy airy-scalable-dummy ""&gt; &lt;/ div&gt; &lt;div tabindex ="" - 1 ""class ="" airy -replay-hint airy-hint ""&gt; &lt;/ div&gt; &lt;/ div&gt; &lt;/ div&gt; &lt;/ div&gt; &lt;div tabindex ="" - 1"&amp;" ""class ="" airy-autoplay-hint-stage airy-stage ""style ="" visibility: hidden; ""&gt; &lt;div tabindex ="" - 1 ""class ="" airy-autoplay-hint-vertical-centering-table-cell airy-vertical-centering-table-cell airy-cursor ""&gt; &lt;div tabindex ="" - 1 ""class ="" ai"&amp;"ry-autoplay-hint-container airy-scalable-hint-container ""&gt; &lt;div tabindex ="" - 1 ""class ="" airy-autoplay-hint-dummy airy-scalable-dummy ""&gt; &lt;/ div&gt; &lt;/ div&gt; &lt;/ div&gt; &lt;/ div&gt; &lt;/ div&gt; &lt;/ div&gt; &lt;input type = ""hidden"" name = """" value = ""https://images-cn"&amp;".ssl-images-amazon.com/ images / I / 71ef82GBBaS.mp4 ""class ="" video-url ""&gt; &lt;input type = ""hidden"" name = """" value = ""https://images-cn.ssl-images-amazon.com/images/I/91iGHtMVCFS.png"" class = ""video-slate-img-url""&gt; &amp; nbsp; price beautiful, very"&amp;" beautiful watches")</f>
        <v>Good 😊 &lt;div id = "video-block-RRHUX3QW9SJ6T" class = "a-section a-spacing-small a-spacing-top-mini video-block"&gt; &lt;div tabindex = "0" class = "airy airy-svg vmin-supported airy-skin-beacon "style =" background-color: rgb (0, 0, 0); position: relative; width: 100%; height: 100%; font-size: 0px; overflow: hidden; outline : none; "&gt; &lt;div class =" airy-renderer-container "style =" position: relative; height: 100%; width: 100%; "&gt; &lt;video id =" 7 "preload =" auto "src =" https://images-cn.ssl-images-amazon.com/images/I/71ef82GBBaS.mp4 "style =" position: absolute; left: 0px; top: 0px; overflow: hidden; height: 1px; width: 1px ; "&gt; &lt;/ video&gt; &lt;/ div&gt; &lt;div id =" airy-slate-preload "style =" background-color: rgb (0, 0, 0); background-image: url (&amp; quot; https: // images-cn.ssl-images-amazon.com/images/I/91iGHtMVCFS.png&amp;quot;); background-size: contain; background-position: center center; background-repeat: no-repeat; position: absolute; top: 0px ; left: 0px; visibility: visible; width: 100%; height: 100%; "&gt; &lt;/ div&gt; &lt;iframe scrolling =" no "fr ameborder = "0" src = "about: blank" style = "display: none;"&gt; &lt;/ iframe&gt; &lt;div tabindex = "- 1" class = "airy-controls-container" style = "opacity: 0; visibility : hidden; "&gt; &lt;div tabindex =" - 1 "class =" airy-screen-size-toggle airy-fullscreen "&gt; &lt;/ div&gt; &lt;div tabindex =" - 1 "class =" airy-container-bottom "&gt; &lt;div tabindex = "- 1" class = "airy-track-bar-spacer-left" style = "width: 11px;"&gt; &lt;/ div&gt; &lt;div tabindex = "- 1" class = "airy-play-toggle airy-play "style =" width: 12px; margin-right: 12px; "&gt; &lt;/ div&gt; &lt;div tabindex =" - 1 "class =" airy-audio-elements "style =" float: right; width: 34px ; "&gt; &lt;div tabindex =" - 1 "class =" airy-audio-toggle airy-on "&gt; &lt;/ div&gt; &lt;div tabindex =" - 1 "class =" airy-audio-container "style =" opacity: 0; visibility: hidden; "&gt; &lt;div tabindex =" - 1 "class =" airy-audio-track-bar "style =" height: 80%; "&gt; &lt;div tabindex =" - 1 "class =" airy- audio-scrubber-bar "style =" height: 85%; "&gt; &lt;/ div&gt; &lt;div tabindex =" - 1 "class =" airy-audio-scrubber "style =" height: 12px; bottom: 85%; " &gt; &lt;/ div&gt; &lt;/ div&gt; &lt;/ div&gt; &lt;/ div&gt; &lt;div tabindex = "- 1" class = "airy-duration-label" style = "float : Right; width: 26px; margin-right: 4px; text-align: center; "&gt; 0:03 &lt;/ div&gt; &lt;div tabindex =" - 1 "class =" airy-track-bar-spacer-right "style = "float: right; width: 11px;"&gt; &lt;/ div&gt; &lt;div tabindex = "- 1" class = "airy-track-bar-container" style = "margin-left: 35px; margin-right: 75px; "&gt; &lt;div tabindex =" - 1 "class =" airy-track-bar airy-vertical-centering-table "&gt; &lt;div tabindex =" - 1 "class =" airy-vertical-centering-table-cell "&gt; &lt; div tabindex = "- 1" class = "airy-track-bar-elements"&gt; &lt;div tabindex = "- 1" class = "airy-progress-bar" style = "width: 71.1358%;"&gt; &lt;/ div&gt; &lt;div tabindex = "- 1" class = "airy-scrubber-bar"&gt; &lt;/ div&gt; &lt;div tabindex = "- 1" class = "airy-scrubber"&gt; &lt;div tabindex = "- 1" class = "airy -scrubber-icon "&gt; &lt;/ div&gt; &lt;div tabindex =" - 1 "class =" airy-adjusted-aui-tooltip "style =" opacity: 0; visibility: hidden; "&gt; &lt;div tabindex =" - 1 " class = "airy-adjusted-aui-tooltip-inner"&gt; &lt;div tabindex = "- 1" class = "airy-current-time-label"&gt; 0:00 &lt;/ div&gt; &lt;/ div&gt; &lt;div tabindex = " -1 "class =" airy-adjusted-aui-arrow-border "&gt; &lt;div tabindex =" - 1 "class =" airy-adjusted-aui-arrow "&gt; &lt;/ Div&gt; &lt;/ div&gt; &lt;/ div&gt; &lt;/ div&gt; &lt;/ div&gt; &lt;/ div&gt; &lt;/ div&gt; &lt;/ div&gt; &lt;/ div&gt; &lt;/ div&gt; &lt;div tabindex = "- 1" class = "airy-age-gate airy-stage airy-vertical-centering-table airy-dialog" style = "opacity: 0; visibility: hidden;"&gt; &lt;div tabindex = "- 1" class = "airy-age-gate- vertical-centering-table-cell airy-vertical-centering-table-cell "&gt; &lt;div tabindex =" - 1 "class =" airy-vertical-centering-wrapper airy-age-gate-elements-wrapper "&gt; &lt;div tabindex = "- 1" class = "airy-age-gate-elements airy-dialog-elements"&gt; &lt;div tabindex = "- 1" class = "airy-age-gate-prompt"&gt; This video is not intended for all audiences . What date were you born &lt;/ div&gt;? &lt;div tabindex = "- 1" class = "airy-age-gate-inputs airy-dialog-inner-elements"&gt; &lt;select tabindex = "- 1" class = "airy -age-gate-month "&gt; &lt;option value =" 1 "&gt; January &lt;/ option&gt; &lt;option value =" 2 "&gt; February &lt;/ option&gt; &lt;option value =" 3 "&gt; March &lt;/ option&gt; &lt;option value = "4"&gt; April &lt;/ option&gt; &lt;option value = "5"&gt; May &lt;/ option&gt; &lt;option value = "6"&gt; June &lt;/ option&gt; &lt;option value = "7"&gt; July &lt;/ option&gt; &lt; option value = "8"&gt; August &lt;/ option&gt; &lt;option value = "9"&gt; September &lt;/ opt ion&gt; &lt;option value = "10"&gt; October &lt;/ option&gt; &lt;option value = "11"&gt; November &lt;/ option&gt; &lt;option value = "12"&gt; December &lt;/ option&gt; &lt;/ select&gt; &lt;select tabindex = " -1 "class =" airy-age-gate-day "&gt; &lt;option value =" 1 "&gt; 1 &lt;/ option&gt; &lt;option value =" 2 "&gt; 2 &lt;/ option&gt; &lt;option value =" 3 "&gt; 3 &lt;/ option&gt; &lt;option value = "4"&gt; 4 &lt;/ option&gt; &lt;option value = "5"&gt; 5 &lt;/ option&gt; &lt;option value = "6"&gt; 6 &lt;/ option&gt; &lt;option value = "7" &gt; 7 &lt;/ option&gt; &lt;option value = "8"&gt; 8 &lt;/ option&gt; &lt;option value = "9"&gt; 9 &lt;/ option&gt; &lt;option value = "10"&gt; 10 &lt;/ option&gt; &lt;option value = " 11 "&gt; 11 &lt;/ option&gt; &lt;option value =" 12 "&gt; 12 &lt;/ option&gt; &lt;option value =" 13 "&gt; 13 &lt;/ option&gt; &lt;option value =" 14 "&gt; 14 &lt;/ option&gt; &lt;option value = "15"&gt; 15 &lt;/ option&gt; &lt;option value = "16"&gt; 16 &lt;/ option&gt; &lt;option value = "17"&gt; 17 &lt;/ option&gt; &lt;option value = "18"&gt; 18 &lt;/ option&gt; &lt; option value = "19"&gt; 19 &lt;/ option&gt; &lt;option value = "20"&gt; 20 &lt;/ option&gt; &lt;option value = "21"&gt; 21 &lt;/ option&gt; &lt;option value = "22"&gt; 22 &lt;/ option &gt; &lt;option value = "23"&gt; 23 &lt;/ option&gt; &lt;option value = "24"&gt; 24 &lt;/ option&gt; &lt;option value = "25"&gt; 25 &lt;/ option&gt; &lt;option value = "26"&gt; 26 &lt; / option&gt; &lt;option value = "27"&gt; 27 &lt;/ option&gt; &lt;option value = "28"&gt; 28 &lt;/ option&gt; &lt;option va lue = "29"&gt; 29 &lt;/ option&gt; &lt;option value = "30"&gt; 30 &lt;/ option&gt; &lt;option value = "31"&gt; 31 &lt;/ option&gt; &lt;/ select&gt; &lt;select tabindex = "- 1" class = "airy-age-gate-year"&gt; &lt;option value = "2019"&gt; 2019 &lt;/ option&gt; &lt;option value = "2018"&gt; 2018 &lt;/ option&gt; &lt;option value = "2017"&gt; 2017 &lt;/ option&gt; &lt;option value = "2016"&gt; ​​2016 &lt;/ option&gt; &lt;option value = "2015"&gt; 2015 &lt;/ option&gt; &lt;option value = "2014"&gt; 2014 &lt;/ option&gt; &lt;option value = "2013"&gt; 2013 &lt;/ option&gt; &lt;option value = "2012"&gt; 2012 &lt;/ option&gt; &lt;option value = "2011"&gt; 2011 &lt;/ option&gt; &lt;option value = "2010"&gt; 2010 &lt;/ option&gt; &lt;option value = "2009"&gt; 2009 &lt;/ option&gt; &lt;option value = "2008"&gt; 2008 &lt;/ option&gt; &lt;option value = "2007"&gt; 2007 &lt;/ option&gt; &lt;option value = "2006"&gt; 2006 &lt;/ option&gt; &lt;option value = "2005" &gt; 2005 &lt;/ option&gt; &lt;option value = "2004"&gt; 2004 &lt;/ option&gt; &lt;option value = "2003"&gt; 2003 &lt;/ option&gt; &lt;option value = "2002"&gt; 2002 &lt;/ option&gt; &lt;option value = " 2001 "&gt; 2001 &lt;/ option&gt; &lt;option value =" 2000 "&gt; 2000 &lt;/ option&gt; &lt;option value =" 1999 "&gt; 1999 &lt;/ option&gt; &lt;option value =" 1998 "&gt; 1998 &lt;/ option&gt; &lt;option value = "1997"&gt; 1997 &lt;/ option&gt; &lt;option value = "1996"&gt; 1996 &lt;/ option&gt; &lt;option value = "1995"&gt; 1995 &lt;/ option&gt; &lt;option valu e = "1994"&gt; 1994 &lt;/ option&gt; &lt;option value = "1993"&gt; 1993 &lt;/ option&gt; &lt;option value = "1992"&gt; 1992 &lt;/ option&gt; &lt;option value = "1991"&gt; 1991 &lt;/ option&gt; &lt;option value = "1990"&gt; 1990 &lt;/ option&gt; &lt;option value = "1989"&gt; 1989 &lt;/ option&gt; &lt;option value = "1988"&gt; 1988 &lt;/ option&gt; &lt;option value = "1987"&gt; 1987 &lt;/ option&gt; &lt;option value = "1986"&gt; 1986 &lt;/ option&gt; &lt;option value = "1985"&gt; 1985 &lt;/ option&gt; &lt;option value = "1984"&gt; 1984 &lt;/ option&gt; &lt;option value = "1983"&gt; 1983 &lt;/ option&gt; &lt;option value = "1982"&gt; 1982 &lt;/ option&gt; &lt;option value = "1981"&gt; 1981 &lt;/ option&gt; &lt;option value = "1980"&gt; 1980 &lt;/ option&gt; &lt;option value = "1979" &gt; 1979 &lt;/ option&gt; &lt;option value = "1978"&gt; 1978 &lt;/ option&gt; &lt;option value = "1977"&gt; 1977 &lt;/ option&gt; &lt;option value = "1976"&gt; 1976 &lt;/ option&gt; &lt;option value = " 1975 "&gt; 1975 &lt;/ option&gt; &lt;option value =" 1974 "&gt; 1974 &lt;/ option&gt; &lt;option value =" 1973 "&gt; 1973 &lt;/ option&gt; &lt;option value =" 1972 "&gt; 1972 &lt;/ option&gt; &lt;option value = "1971"&gt; 1971 &lt;/ option&gt; &lt;option value = "1970"&gt; 1970 &lt;/ option&gt; &lt;option value = "1969"&gt; 1969 &lt;/ option&gt; &lt;option value = "1968"&gt; 1968 &lt;/ option&gt; &lt; option value = "1967"&gt; 1967 &lt;/ option&gt; &lt;option value = "1966"&gt; 1966 &lt;/ option&gt; &lt;option value = "1965"&gt; 1965 &lt; / Option&gt; &lt;option value = "1964"&gt; 1964 &lt;/ option&gt; &lt;option value = "1963"&gt; 1963 &lt;/ option&gt; &lt;option value = "1962"&gt; 1962 &lt;/ option&gt; &lt;option value = "1961"&gt; 1961 &lt;/ option&gt; &lt;option value = "1960"&gt; 1960 &lt;/ option&gt; &lt;option value = "1959"&gt; 1959 &lt;/ option&gt; &lt;option value = "1958"&gt; 1958 &lt;/ option&gt; &lt;option value = "1957 "&gt; 1957 &lt;/ option&gt; &lt;option value =" 1956 "&gt; 1956 &lt;/ option&gt; &lt;option value =" 1955 "&gt; 1955 &lt;/ option&gt; &lt;option value =" 1954 "&gt; 1954 &lt;/ option&gt; &lt;option value = "1953"&gt; 1953 &lt;/ option&gt; &lt;option value = "1952"&gt; 1952 &lt;/ option&gt; &lt;option value = "1951"&gt; 1951 &lt;/ option&gt; &lt;option value = "1950"&gt; 1950 &lt;/ option&gt; &lt;option value = "1949"&gt; 1949 &lt;/ option&gt; &lt;option value = "1948"&gt; 1948 &lt;/ option&gt; &lt;option value = "1947"&gt; 1947 &lt;/ option&gt; &lt;option value = "1946"&gt; 1946 &lt;/ option&gt; &lt;option value = "1945"&gt; 1945 &lt;/ option&gt; &lt;option value = "1944"&gt; 1944 &lt;/ option&gt; &lt;option value = "1943"&gt; 1943 &lt;/ option&gt; &lt;option value = "1942"&gt; 1942 &lt;/ option&gt; &lt;option value = "1941"&gt; 1941 &lt;/ option&gt; &lt;option value = "1940"&gt; 1940 &lt;/ option&gt; &lt;option value = "1939"&gt; 1939 &lt;/ option&gt; &lt;option value = "1938"&gt; 1938 &lt;/ option&gt; &lt;option value = "1937"&gt; 1937 &lt;/ option&gt; &lt;option value = "1936"&gt; 1936 &lt;/ option&gt; &lt;optio n value = "1935"&gt; 1935 &lt;/ option&gt; &lt;option value = "1934"&gt; 1934 &lt;/ option&gt; &lt;option value = "1933"&gt; 1933 &lt;/ option&gt; &lt;option value = "1932"&gt; 1932 &lt;/ option &gt; &lt;option value = "1931"&gt; 1931 &lt;/ option&gt; &lt;option value = "1930"&gt; 1930 &lt;/ option&gt; &lt;option value = "1929"&gt; 1929 &lt;/ option&gt; &lt;option value = "1928"&gt; 1928 &lt; /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 "&gt; 1920 &lt;/ option&gt; &lt;option value =" 1919 "&gt; 1919 &lt;/ option&gt; &lt;option value =" 1918 "&gt; 1918 &lt;/ option&gt; &lt;option value =" 1917 "&gt; 1917 &lt;/ option&gt; &lt;option value = "1916"&gt; 1916 &lt;/ option&gt; &lt;option value = "1915"&gt; 1915 &lt;/ option&gt; &lt;option value = "1914"&gt; 1914 &lt;/ option&gt; &lt;option value = "1913"&gt; 1913 &lt;/ option&gt; &lt;option value = "1912"&gt; 1912 &lt;/ option&gt; &lt;option value = "1911"&gt; 1911 &lt;/ option&gt; &lt;option value = "1910"&gt; 1910 &lt;/ option&gt; &lt;option value = "1909"&gt; 1909 &lt;/ option&gt; &lt;option value = "1908"&gt; 1908 &lt;/ option&gt; &lt;option value = "1907"&gt; 1907 &lt;/ option&gt; &lt;option value = "1906" &gt; 1906 &lt;/ option&gt; &lt;option value = "1905"&gt; 1905 &lt;/ option&gt; &lt;option value = "1904"&gt; 1904 &lt;/ option&gt; &lt;option value = "1903"&gt; 1903 &lt;/ option&gt; &lt;option value = " 1902 "&gt; 1902 &lt;/ option&gt; &lt;option value =" 1901 "&gt; 1901 &lt;/ option&gt; &lt;option value =" 1900 "&gt; 1900 &lt;/ option&gt; &lt;/ select&gt; &lt;div tabindex =" - 1 "class =" airy -age-gate-submit airy-submit airy-button airy-submit-disabled "&gt; Submit &lt;/ div&gt; &lt;/ div&gt; &lt;/ div&gt; &lt;/ div&gt; &lt;/ div&gt; &lt;/ div&gt; &lt;div tabindex =" - 1 "class =" airy-install-flash-dialog airy-stage airy-vertical-centering-table airy-dialog airy-denied "style =" opacity: 0; visibility: hidden; "&gt; &lt;div tabindex =" - 1 " class = "airy-install-flash-vertical-centering-table-cell airy-vertical-centering-table-cell"&gt; &lt;div tabindex = "- 1" class = "airy-vertical-centering-wrapper airy-install-flash -elements-wrapper "&gt; &lt;div tabindex =" - 1 "class =" airy-install-flash-elements airy-dialog-elements "&gt; &lt;div tabindex =" - 1 "class =" airy-install-flash-prompt " &gt; Adobe Flash Player is required to watch this video &lt;/ div&gt; &lt;div tabindex =. "- 1" class = "airy-install-flash-button-wrapper airy-dialog-inner-elements"&gt; &lt;Div tabindex = "- 1" class = "airy-install-flash-button airy-button"&gt; Install Flash Player &lt;/ div&gt; &lt;/ div&gt; &lt;/ div&gt; &lt;/ div&gt; &lt;/ div&gt; &lt;/ div&gt; &lt;div tabindex = "- 1" class = "airy-video-unsupported-dialog airy-stage airy-vertical-centering-table airy-dialog airy-denied" style = "opacity: 0; visibility: hidden;"&gt; &lt;div tabindex = "- 1" class = "airy-video-unsupported-vertical-centering-table-cell airy-vertical-centering-table-cell"&gt; &lt;div tabindex = "- 1" class = "airy-vertical-centering- wrapper airy-video-unsupported-elements-wrapper "&gt; &lt;div tabindex =" - 1 "class =" airy-video-unsupported-elements airy-dialog-elements "&gt; &lt;div tabindex =" - 1 "class =" airy- video-unsupported-prompt "&gt; &lt;/ div&gt; &lt;/ div&gt; &lt;/ div&gt; &lt;/ div&gt; &lt;/ div&gt; &lt;div tabindex =" - 1 "class =" airy-loading-spinner-stage airy-stage "&gt; &lt;div tabindex = "- 1" class = "airy-loading-spinner-vertical-centering-table-cell airy-vertical-centering-table-cell"&gt; &lt;div tabindex = "- 1" class = "airy-loading- spinner-container airy-scalable-hint-container "&gt; &lt;div tabindex =" - 1 "class =" airy-loading-spinner-dummy airy-scalable-dumm y "&gt; &lt;/ div&gt; &lt;div tabindex =" - 1 "class =" airy-loading-spinner airy-hint "style =" visibility: hidden; "&gt; &lt;/ div&gt; &lt;/ div&gt; &lt;/ div&gt; &lt;/ div&gt; &lt;div tabindex = "- 1" class = "airy-ads-screen-size-toggle airy-screen-size-toggle airy-fullscreen" style = "visibility: hidden;"&gt; &lt;/ div&gt; &lt;div tabindex = "-1" class = "airy-ad-prompt-container" style = "visibility: hidden;"&gt; &lt;div tabindex = "- 1" class = "airy-ad-prompt-vertical-centering-table airy-vertical-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airy-time-remaining-vertical-centering-table airy-vertical-centering-table "&gt; &lt;div tabindex = "- 1" class = "airy-time-rem aining-vertical-centering-table-cell airy-vertical-centering-table-cell "&gt; &lt;div tabindex =" - 1 "class =" airy-vertical-centering-wrapper airy-time-remaining-label-wrapper "&gt; &lt; div tabindex = "- 1" class = "airy-time-remaining-label" style = "visibility: hidden;"&gt; &lt;/ div&gt; &lt;div tabindex = "- 1" class = "airy-ad-skip" style = "visibility: hidden;"&gt; &lt;/ div&gt; &lt;div tabindex = "- 1" class = "airy-ad-end" style = "visibility: hidden;"&gt; &lt;/ div&gt; &lt;/ div&gt; &lt;/ div&gt; &lt; / div&gt; &lt;/ div&gt; &lt;div tabindex = "- 1" class = "airy-learn-more" style = "visibility: hidden;"&gt; &lt;/ div&gt; &lt;/ div&gt; &lt;div tabindex = "- 1" class = "airy-play-toggle-hint-stage airy-stage airy-cursor"&gt; &lt;div tabindex = "- 1" class = "airy-play-toggle-hint-vertical-centering-table-cell airy-vertical-centering -table-cell airy-cursor "&gt; &lt;div tabindex =" - 1 "class =" airy-play-toggle-hint-container airy-scalable-hint-container "&gt; &lt;div tabindex =" - 1 "class =" airy -play-toggle-hint-dummy airy-scalable-dummy "&gt; &lt;/ div&gt; &lt;div tabindex =" - 1 "class =" airy-play-toggle-hint airy-hint airy-play-hint "style =" opacity : 1; visibility: visible; "&gt; &lt;/ div &gt; &lt;/ Div&gt; &lt;/ div&gt; &lt;/ div&gt; &lt;div tabindex = "- 1" class = "airy-replay-hint-stage airy-stage" style = "visibility: hidden;"&gt; &lt;div tabindex = "- 1 "class =" airy-replay-hint-vertical-centering-table-cell airy-vertical-centering-table-cell airy-cursor "&gt; &lt;div tabindex =" - 1 "class =" airy-replay-hint-container airy-scalable-hint-container "&gt; &lt;div tabindex =" - 1 "class =" airy-replay-hint-dummy airy-scalable-dummy "&gt; &lt;/ div&gt; &lt;div tabindex =" - 1 "class =" airy -replay-hint airy-hint "&gt; &lt;/ div&gt; &lt;/ div&gt; &lt;/ div&gt; &lt;/ div&gt; &lt;div tabindex =" - 1 "class =" airy-autoplay-hint-stage airy-stage "style =" visibility: hidden; "&gt; &lt;div tabindex =" - 1 "class =" airy-autoplay-hint-vertical-centering-table-cell airy-vertical-centering-table-cell airy-cursor "&gt; &lt;div tabindex =" - 1 "class =" airy-autoplay-hint-container airy-scalable-hint-container "&gt; &lt;div tabindex =" - 1 "class =" airy-autoplay-hint-dummy airy-scalable-dummy "&gt; &lt;/ div&gt; &lt;/ div&gt; &lt;/ div&gt; &lt;/ div&gt; &lt;/ div&gt; &lt;/ div&gt; &lt;input type = "hidden" name = "" value = "https://images-cn.ssl-images-amazon.com/ images / I / 71ef82GBBaS.mp4 "class =" video-url "&gt; &lt;input type = "hidden" name = "" value = "https://images-cn.ssl-images-amazon.com/images/I/91iGHtMVCFS.png" class = "video-slate-img-url"&gt; &amp; nbsp; price beautiful, very beautiful watches</v>
      </c>
    </row>
    <row r="523">
      <c r="A523" s="1">
        <v>5.0</v>
      </c>
      <c r="B523" s="1" t="s">
        <v>524</v>
      </c>
      <c r="C523" t="str">
        <f>IFERROR(__xludf.DUMMYFUNCTION("GOOGLETRANSLATE(B523, ""zh"", ""en"")"),"Style good style very well, very much. German original. Currently just received the headphones, yet burn. Listen when the bass is quite rich, but suppressed the midrange and treble. The big volume, treble sound will become spikes until after the open burn"&amp;"ing look.")</f>
        <v>Style good style very well, very much. German original. Currently just received the headphones, yet burn. Listen when the bass is quite rich, but suppressed the midrange and treble. The big volume, treble sound will become spikes until after the open burning look.</v>
      </c>
    </row>
    <row r="524">
      <c r="A524" s="1">
        <v>5.0</v>
      </c>
      <c r="B524" s="1" t="s">
        <v>525</v>
      </c>
      <c r="C524" t="str">
        <f>IFERROR(__xludf.DUMMYFUNCTION("GOOGLETRANSLATE(B524, ""zh"", ""en"")"),"Yes Belt Belt'm sure it is genuine, with the fate of tomorrow")</f>
        <v>Yes Belt Belt'm sure it is genuine, with the fate of tomorrow</v>
      </c>
    </row>
    <row r="525">
      <c r="A525" s="1">
        <v>5.0</v>
      </c>
      <c r="B525" s="1" t="s">
        <v>526</v>
      </c>
      <c r="C525" t="str">
        <f>IFERROR(__xludf.DUMMYFUNCTION("GOOGLETRANSLATE(B525, ""zh"", ""en"")"),"Good shopping beginning with the Philips shaver, 16 years on Taobao Shopping Japan 5040S, Philips feeling really not good, not clean shaven, so occasionally will use a razor. The purchase of the British head, not the same feeling, too clean. Shopping on T"&amp;"aobao treasure Japanese razor I do not know where a problem, subvert the feelings of Braun's, thanks to the online shopping.")</f>
        <v>Good shopping beginning with the Philips shaver, 16 years on Taobao Shopping Japan 5040S, Philips feeling really not good, not clean shaven, so occasionally will use a razor. The purchase of the British head, not the same feeling, too clean. Shopping on Taobao treasure Japanese razor I do not know where a problem, subvert the feelings of Braun's, thanks to the online shopping.</v>
      </c>
    </row>
    <row r="526">
      <c r="A526" s="1">
        <v>5.0</v>
      </c>
      <c r="B526" s="1" t="s">
        <v>527</v>
      </c>
      <c r="C526" t="str">
        <f>IFERROR(__xludf.DUMMYFUNCTION("GOOGLETRANSLATE(B526, ""zh"", ""en"")"),"Slightly larger good, then less than half the number the better, and W Wide little fat ah, but not the right number, or very satisfied! Super nice! But what to wear clothing with pleats on this too quickly ... is the most fun a lot cheaper than a treasure"&amp;"! I waited more than a week before delivery! Fortunately, however, to delivery it here")</f>
        <v>Slightly larger good, then less than half the number the better, and W Wide little fat ah, but not the right number, or very satisfied! Super nice! But what to wear clothing with pleats on this too quickly ... is the most fun a lot cheaper than a treasure! I waited more than a week before delivery! Fortunately, however, to delivery it here</v>
      </c>
    </row>
    <row r="527">
      <c r="A527" s="1">
        <v>5.0</v>
      </c>
      <c r="B527" s="1" t="s">
        <v>528</v>
      </c>
      <c r="C527" t="str">
        <f>IFERROR(__xludf.DUMMYFUNCTION("GOOGLETRANSLATE(B527, ""zh"", ""en"")"),"You can buy a single 13 evening, 18 am received, this speed is not the who. I still mighty Amazon. 160,60, usually tops L code, look at all suggesting that small, so buy the m code, suitable, but a little loose should buy L code is also possible. Thin cas"&amp;"hmere, fairly warm outside wearing a down jacket without pressure from Beijing.")</f>
        <v>You can buy a single 13 evening, 18 am received, this speed is not the who. I still mighty Amazon. 160,60, usually tops L code, look at all suggesting that small, so buy the m code, suitable, but a little loose should buy L code is also possible. Thin cashmere, fairly warm outside wearing a down jacket without pressure from Beijing.</v>
      </c>
    </row>
    <row r="528">
      <c r="A528" s="1">
        <v>5.0</v>
      </c>
      <c r="B528" s="1" t="s">
        <v>529</v>
      </c>
      <c r="C528" t="str">
        <f>IFERROR(__xludf.DUMMYFUNCTION("GOOGLETRANSLATE(B528, ""zh"", ""en"")"),"Genuine love, it should be genuine, quite nice")</f>
        <v>Genuine love, it should be genuine, quite nice</v>
      </c>
    </row>
    <row r="529">
      <c r="A529" s="1">
        <v>5.0</v>
      </c>
      <c r="B529" s="1" t="s">
        <v>530</v>
      </c>
      <c r="C529" t="str">
        <f>IFERROR(__xludf.DUMMYFUNCTION("GOOGLETRANSLATE(B529, ""zh"", ""en"")"),"Fortunately, the right size, the results were OK.")</f>
        <v>Fortunately, the right size, the results were OK.</v>
      </c>
    </row>
    <row r="530">
      <c r="A530" s="1">
        <v>5.0</v>
      </c>
      <c r="B530" s="1" t="s">
        <v>531</v>
      </c>
      <c r="C530" t="str">
        <f>IFERROR(__xludf.DUMMYFUNCTION("GOOGLETRANSLATE(B530, ""zh"", ""en"")"),"Very good comfort level online no cup at all thanks to the good breast shape it")</f>
        <v>Very good comfort level online no cup at all thanks to the good breast shape it</v>
      </c>
    </row>
    <row r="531">
      <c r="A531" s="1">
        <v>5.0</v>
      </c>
      <c r="B531" s="1" t="s">
        <v>532</v>
      </c>
      <c r="C531" t="str">
        <f>IFERROR(__xludf.DUMMYFUNCTION("GOOGLETRANSLATE(B531, ""zh"", ""en"")"),"Genuine store goods, with the purchase on behalf of the same")</f>
        <v>Genuine store goods, with the purchase on behalf of the same</v>
      </c>
    </row>
    <row r="532">
      <c r="A532" s="1">
        <v>5.0</v>
      </c>
      <c r="B532" s="1" t="s">
        <v>533</v>
      </c>
      <c r="C532" t="str">
        <f>IFERROR(__xludf.DUMMYFUNCTION("GOOGLETRANSLATE(B532, ""zh"", ""en"")"),"Original authentic, the lowest price, right? Ear bag is very soft, very comfortable wearing, do not wear glasses sandwiched ear pain; a clean sound, after all, the positioning device is portable, low impedance, so it was otherwise, the price or full fair.")</f>
        <v>Original authentic, the lowest price, right? Ear bag is very soft, very comfortable wearing, do not wear glasses sandwiched ear pain; a clean sound, after all, the positioning device is portable, low impedance, so it was otherwise, the price or full fair.</v>
      </c>
    </row>
    <row r="533">
      <c r="A533" s="1">
        <v>5.0</v>
      </c>
      <c r="B533" s="1" t="s">
        <v>534</v>
      </c>
      <c r="C533" t="str">
        <f>IFERROR(__xludf.DUMMYFUNCTION("GOOGLETRANSLATE(B533, ""zh"", ""en"")"),"The price really buy is to make this really real price to buy the BUG. . . More than 200 in Japan can not buy a lot of time, really feel earned a one hundred million ah")</f>
        <v>The price really buy is to make this really real price to buy the BUG. . . More than 200 in Japan can not buy a lot of time, really feel earned a one hundred million ah</v>
      </c>
    </row>
    <row r="534">
      <c r="A534" s="1">
        <v>5.0</v>
      </c>
      <c r="B534" s="1" t="s">
        <v>535</v>
      </c>
      <c r="C534" t="str">
        <f>IFERROR(__xludf.DUMMYFUNCTION("GOOGLETRANSLATE(B534, ""zh"", ""en"")"),"Buy less than the last thread of a lot more than that ...... last time to buy is a single 36 × 29 in the right way, this time to buy the right there are 36 × 30 in there a little bit longer, to Like this work is really good, it's summer, do not know the d"&amp;"egree of warmth.")</f>
        <v>Buy less than the last thread of a lot more than that ...... last time to buy is a single 36 × 29 in the right way, this time to buy the right there are 36 × 30 in there a little bit longer, to Like this work is really good, it's summer, do not know the degree of warmth.</v>
      </c>
    </row>
    <row r="535">
      <c r="A535" s="1">
        <v>5.0</v>
      </c>
      <c r="B535" s="1" t="s">
        <v>536</v>
      </c>
      <c r="C535" t="str">
        <f>IFERROR(__xludf.DUMMYFUNCTION("GOOGLETRANSLATE(B535, ""zh"", ""en"")"),"Why not act very satisfied, in addition to logistics speed slightly slower, shoe itself is very good, just started the first day of wear heels and do some little finger pressure, but wearing a few days after opening very comfortable to wear, this is what "&amp;"I want to buy shoes I nike Adidas sneakers to wear 44 yards shoes 10us this is appropriate, there are some gaps in the Amazon shopping is great, more and more overseas to buy goods and more complete, I still remember last year, I want to buy a double play"&amp;" is not bad shoes, small Central Asian sources did not say the price is ridiculously expensive, only the United States and Asia to buy, and now much more convenient, I wish Amazon better and better.")</f>
        <v>Why not act very satisfied, in addition to logistics speed slightly slower, shoe itself is very good, just started the first day of wear heels and do some little finger pressure, but wearing a few days after opening very comfortable to wear, this is what I want to buy shoes I nike Adidas sneakers to wear 44 yards shoes 10us this is appropriate, there are some gaps in the Amazon shopping is great, more and more overseas to buy goods and more complete, I still remember last year, I want to buy a double play is not bad shoes, small Central Asian sources did not say the price is ridiculously expensive, only the United States and Asia to buy, and now much more convenient, I wish Amazon better and better.</v>
      </c>
    </row>
    <row r="536">
      <c r="A536" s="1">
        <v>5.0</v>
      </c>
      <c r="B536" s="1" t="s">
        <v>537</v>
      </c>
      <c r="C536" t="str">
        <f>IFERROR(__xludf.DUMMYFUNCTION("GOOGLETRANSLATE(B536, ""zh"", ""en"")"),"170cm75kg buy m number of wearing a little tight, like loose can buy freshman yards. 170cm75kg buy m number of wearing a little tight, like loose can buy freshman yards.")</f>
        <v>170cm75kg buy m number of wearing a little tight, like loose can buy freshman yards. 170cm75kg buy m number of wearing a little tight, like loose can buy freshman yards.</v>
      </c>
    </row>
    <row r="537">
      <c r="A537" s="1">
        <v>5.0</v>
      </c>
      <c r="B537" s="1" t="s">
        <v>538</v>
      </c>
      <c r="C537" t="str">
        <f>IFERROR(__xludf.DUMMYFUNCTION("GOOGLETRANSLATE(B537, ""zh"", ""en"")"),"Just right height and weight 70 170 is just right, super.")</f>
        <v>Just right height and weight 70 170 is just right, super.</v>
      </c>
    </row>
    <row r="538">
      <c r="A538" s="1">
        <v>5.0</v>
      </c>
      <c r="B538" s="1" t="s">
        <v>539</v>
      </c>
      <c r="C538" t="str">
        <f>IFERROR(__xludf.DUMMYFUNCTION("GOOGLETRANSLATE(B538, ""zh"", ""en"")"),"Super elastic, super cheap. Although this is scouring the sea, but the feeling is Asia's version, with sea Amoy US version of the 3130 levis little freshman than the waist, pants length of 1 inch. Magical place that the resilient force of nearly complete "&amp;"pants, a general concept is not completely slightly elastic fabric. Waistband with elastic band that just as exaggerated, so wear comfortable not tight. Pants feel a little bit slightly larger than the average of the strait.")</f>
        <v>Super elastic, super cheap. Although this is scouring the sea, but the feeling is Asia's version, with sea Amoy US version of the 3130 levis little freshman than the waist, pants length of 1 inch. Magical place that the resilient force of nearly complete pants, a general concept is not completely slightly elastic fabric. Waistband with elastic band that just as exaggerated, so wear comfortable not tight. Pants feel a little bit slightly larger than the average of the strait.</v>
      </c>
    </row>
    <row r="539">
      <c r="A539" s="1">
        <v>5.0</v>
      </c>
      <c r="B539" s="1" t="s">
        <v>540</v>
      </c>
      <c r="C539" t="str">
        <f>IFERROR(__xludf.DUMMYFUNCTION("GOOGLETRANSLATE(B539, ""zh"", ""en"")"),"Correct phone problem, full five-star is what I want to publish!")</f>
        <v>Correct phone problem, full five-star is what I want to publish!</v>
      </c>
    </row>
    <row r="540">
      <c r="A540" s="1">
        <v>5.0</v>
      </c>
      <c r="B540" s="1" t="s">
        <v>541</v>
      </c>
      <c r="C540" t="str">
        <f>IFERROR(__xludf.DUMMYFUNCTION("GOOGLETRANSLATE(B540, ""zh"", ""en"")"),"Although somewhat useful, but very good use")</f>
        <v>Although somewhat useful, but very good use</v>
      </c>
    </row>
    <row r="541">
      <c r="A541" s="1">
        <v>5.0</v>
      </c>
      <c r="B541" s="1" t="s">
        <v>542</v>
      </c>
      <c r="C541" t="str">
        <f>IFERROR(__xludf.DUMMYFUNCTION("GOOGLETRANSLATE(B541, ""zh"", ""en"")"),"Cotton content of 80%, these pants I beat out better than Nike, cheaper than Nike, 100 points")</f>
        <v>Cotton content of 80%, these pants I beat out better than Nike, cheaper than Nike, 100 points</v>
      </c>
    </row>
    <row r="542">
      <c r="A542" s="1">
        <v>2.0</v>
      </c>
      <c r="B542" s="1" t="s">
        <v>543</v>
      </c>
      <c r="C542" t="str">
        <f>IFERROR(__xludf.DUMMYFUNCTION("GOOGLETRANSLATE(B542, ""zh"", ""en"")"),"Very strange stature, body short and thick stubby body long sleeves, stature in Europe and also one of those absolutely wonderful quality is very good, do not recommend buying")</f>
        <v>Very strange stature, body short and thick stubby body long sleeves, stature in Europe and also one of those absolutely wonderful quality is very good, do not recommend buying</v>
      </c>
    </row>
    <row r="543">
      <c r="A543" s="1">
        <v>3.0</v>
      </c>
      <c r="B543" s="1" t="s">
        <v>544</v>
      </c>
      <c r="C543" t="str">
        <f>IFERROR(__xludf.DUMMYFUNCTION("GOOGLETRANSLATE(B543, ""zh"", ""en"")"),"Bangladesh-made size is too large, the quality was okay, that size is too large. Waist 38 actually has 101cm.")</f>
        <v>Bangladesh-made size is too large, the quality was okay, that size is too large. Waist 38 actually has 101cm.</v>
      </c>
    </row>
    <row r="544">
      <c r="A544" s="1">
        <v>1.0</v>
      </c>
      <c r="B544" s="1" t="s">
        <v>545</v>
      </c>
      <c r="C544" t="str">
        <f>IFERROR(__xludf.DUMMYFUNCTION("GOOGLETRANSLATE(B544, ""zh"", ""en"")"),"Not very satisfied uncomfortable to wear insoles super hard, barefoot and wear socks to wear slip will not walk much, super foot pain. Just in time to go out and play with these shoes, walking directly to the other half went to buy a pair of shoes, only t"&amp;"o feel alive again. As it has been through a few days, so we reclaim, but really super super satisfied.")</f>
        <v>Not very satisfied uncomfortable to wear insoles super hard, barefoot and wear socks to wear slip will not walk much, super foot pain. Just in time to go out and play with these shoes, walking directly to the other half went to buy a pair of shoes, only to feel alive again. As it has been through a few days, so we reclaim, but really super super satisfied.</v>
      </c>
    </row>
    <row r="545">
      <c r="A545" s="1">
        <v>1.0</v>
      </c>
      <c r="B545" s="1" t="s">
        <v>546</v>
      </c>
      <c r="C545" t="str">
        <f>IFERROR(__xludf.DUMMYFUNCTION("GOOGLETRANSLATE(B545, ""zh"", ""en"")"),"Poor quality of hand count the shipping price is less than .500. Cheap is cheap but the quality of the shoes too bad. Unglued through the second week.")</f>
        <v>Poor quality of hand count the shipping price is less than .500. Cheap is cheap but the quality of the shoes too bad. Unglued through the second week.</v>
      </c>
    </row>
    <row r="546">
      <c r="A546" s="1">
        <v>4.0</v>
      </c>
      <c r="B546" s="1" t="s">
        <v>547</v>
      </c>
      <c r="C546" t="str">
        <f>IFERROR(__xludf.DUMMYFUNCTION("GOOGLETRANSLATE(B546, ""zh"", ""en"")"),"Size quality was okay, too small")</f>
        <v>Size quality was okay, too small</v>
      </c>
    </row>
    <row r="547">
      <c r="A547" s="1">
        <v>4.0</v>
      </c>
      <c r="B547" s="1" t="s">
        <v>548</v>
      </c>
      <c r="C547" t="str">
        <f>IFERROR(__xludf.DUMMYFUNCTION("GOOGLETRANSLATE(B547, ""zh"", ""en"")"),"Some small 172,75kg wear M code slightly smaller, mainly the sleeves too narrow, this is for people to prepare thin star.")</f>
        <v>Some small 172,75kg wear M code slightly smaller, mainly the sleeves too narrow, this is for people to prepare thin star.</v>
      </c>
    </row>
    <row r="548">
      <c r="A548" s="1">
        <v>4.0</v>
      </c>
      <c r="B548" s="1" t="s">
        <v>549</v>
      </c>
      <c r="C548" t="str">
        <f>IFERROR(__xludf.DUMMYFUNCTION("GOOGLETRANSLATE(B548, ""zh"", ""en"")"),"Something good something good, the price is not expensive, is wearing a bit hot in summer!")</f>
        <v>Something good something good, the price is not expensive, is wearing a bit hot in summer!</v>
      </c>
    </row>
    <row r="549">
      <c r="A549" s="1">
        <v>4.0</v>
      </c>
      <c r="B549" s="1" t="s">
        <v>550</v>
      </c>
      <c r="C549" t="str">
        <f>IFERROR(__xludf.DUMMYFUNCTION("GOOGLETRANSLATE(B549, ""zh"", ""en"")"),"Shoes very good but a little smaller uk7 change uk8 have uk8 but big pro please contact me")</f>
        <v>Shoes very good but a little smaller uk7 change uk8 have uk8 but big pro please contact me</v>
      </c>
    </row>
    <row r="550">
      <c r="A550" s="1">
        <v>4.0</v>
      </c>
      <c r="B550" s="1" t="s">
        <v>551</v>
      </c>
      <c r="C550" t="str">
        <f>IFERROR(__xludf.DUMMYFUNCTION("GOOGLETRANSLATE(B550, ""zh"", ""en"")"),"Please note that when 350ml and 360ml section lid open the way to open the way not the same as buying 360ml and 350ml lid section is not the same, this is not convenient 350ml of open with one hand, and the instructions on the cup is not upside down.")</f>
        <v>Please note that when 350ml and 360ml section lid open the way to open the way not the same as buying 360ml and 350ml lid section is not the same, this is not convenient 350ml of open with one hand, and the instructions on the cup is not upside down.</v>
      </c>
    </row>
    <row r="551">
      <c r="A551" s="1">
        <v>5.0</v>
      </c>
      <c r="B551" s="1" t="s">
        <v>552</v>
      </c>
      <c r="C551" t="str">
        <f>IFERROR(__xludf.DUMMYFUNCTION("GOOGLETRANSLATE(B551, ""zh"", ""en"")"),"Worth buying satisfaction. Amazon trustworthy.")</f>
        <v>Worth buying satisfaction. Amazon trustworthy.</v>
      </c>
    </row>
    <row r="552">
      <c r="A552" s="1">
        <v>5.0</v>
      </c>
      <c r="B552" s="1" t="s">
        <v>553</v>
      </c>
      <c r="C552" t="str">
        <f>IFERROR(__xludf.DUMMYFUNCTION("GOOGLETRANSLATE(B552, ""zh"", ""en"")"),"When the table is very beautiful very good value for money to go fairly accurate steel bracelet is very solid praise")</f>
        <v>When the table is very beautiful very good value for money to go fairly accurate steel bracelet is very solid praise</v>
      </c>
    </row>
    <row r="553">
      <c r="A553" s="1">
        <v>5.0</v>
      </c>
      <c r="B553" s="1" t="s">
        <v>554</v>
      </c>
      <c r="C553" t="str">
        <f>IFERROR(__xludf.DUMMYFUNCTION("GOOGLETRANSLATE(B553, ""zh"", ""en"")"),"A little too much quality is good, the nipple is thinner than the original number, in fact, better and more softened. Is more, 6")</f>
        <v>A little too much quality is good, the nipple is thinner than the original number, in fact, better and more softened. Is more, 6</v>
      </c>
    </row>
    <row r="554">
      <c r="A554" s="1">
        <v>5.0</v>
      </c>
      <c r="B554" s="1" t="s">
        <v>555</v>
      </c>
      <c r="C554" t="str">
        <f>IFERROR(__xludf.DUMMYFUNCTION("GOOGLETRANSLATE(B554, ""zh"", ""en"")"),"Feel value cry out, line and two sets, shower head shake that voice, want to install smoothly, good luck")</f>
        <v>Feel value cry out, line and two sets, shower head shake that voice, want to install smoothly, good luck</v>
      </c>
    </row>
    <row r="555">
      <c r="A555" s="1">
        <v>5.0</v>
      </c>
      <c r="B555" s="1" t="s">
        <v>556</v>
      </c>
      <c r="C555" t="str">
        <f>IFERROR(__xludf.DUMMYFUNCTION("GOOGLETRANSLATE(B555, ""zh"", ""en"")"),"Comfortable and just the right size, wear comfortable, very soft")</f>
        <v>Comfortable and just the right size, wear comfortable, very soft</v>
      </c>
    </row>
    <row r="556">
      <c r="A556" s="1">
        <v>5.0</v>
      </c>
      <c r="B556" s="1" t="s">
        <v>557</v>
      </c>
      <c r="C556" t="str">
        <f>IFERROR(__xludf.DUMMYFUNCTION("GOOGLETRANSLATE(B556, ""zh"", ""en"")"),"Inside and outside the code is not the same as you see the packaging and the receipt of the package code is not the same as in Fig.")</f>
        <v>Inside and outside the code is not the same as you see the packaging and the receipt of the package code is not the same as in Fig.</v>
      </c>
    </row>
    <row r="557">
      <c r="A557" s="1">
        <v>5.0</v>
      </c>
      <c r="B557" s="1" t="s">
        <v>558</v>
      </c>
      <c r="C557" t="str">
        <f>IFERROR(__xludf.DUMMYFUNCTION("GOOGLETRANSLATE(B557, ""zh"", ""en"")"),"Durable, fit feet. 10 years ago, bought with the money just is not geotex, wore six or seven years, until the leak soles, uppers unscathed, serious recommendation.")</f>
        <v>Durable, fit feet. 10 years ago, bought with the money just is not geotex, wore six or seven years, until the leak soles, uppers unscathed, serious recommendation.</v>
      </c>
    </row>
    <row r="558">
      <c r="A558" s="1">
        <v>5.0</v>
      </c>
      <c r="B558" s="1" t="s">
        <v>559</v>
      </c>
      <c r="C558" t="str">
        <f>IFERROR(__xludf.DUMMYFUNCTION("GOOGLETRANSLATE(B558, ""zh"", ""en"")"),"Good belt, the price is not expensive cortex smooth and delicate, very good!")</f>
        <v>Good belt, the price is not expensive cortex smooth and delicate, very good!</v>
      </c>
    </row>
    <row r="559">
      <c r="A559" s="1">
        <v>5.0</v>
      </c>
      <c r="B559" s="1" t="s">
        <v>560</v>
      </c>
      <c r="C559" t="str">
        <f>IFERROR(__xludf.DUMMYFUNCTION("GOOGLETRANSLATE(B559, ""zh"", ""en"")"),"Yes. 173, weight 130, just buy the S number.")</f>
        <v>Yes. 173, weight 130, just buy the S number.</v>
      </c>
    </row>
    <row r="560">
      <c r="A560" s="1">
        <v>5.0</v>
      </c>
      <c r="B560" s="1" t="s">
        <v>561</v>
      </c>
      <c r="C560" t="str">
        <f>IFERROR(__xludf.DUMMYFUNCTION("GOOGLETRANSLATE(B560, ""zh"", ""en"")"),"Straight good value for money, more suitable for middle-aged. Traditional style, there are some thread on the work, overall good")</f>
        <v>Straight good value for money, more suitable for middle-aged. Traditional style, there are some thread on the work, overall good</v>
      </c>
    </row>
    <row r="561">
      <c r="A561" s="1">
        <v>5.0</v>
      </c>
      <c r="B561" s="1" t="s">
        <v>562</v>
      </c>
      <c r="C561" t="str">
        <f>IFERROR(__xludf.DUMMYFUNCTION("GOOGLETRANSLATE(B561, ""zh"", ""en"")"),"Yes I am male, 182cm, 64kg. 32w34l a little big, but better than a good small.")</f>
        <v>Yes I am male, 182cm, 64kg. 32w34l a little big, but better than a good small.</v>
      </c>
    </row>
    <row r="562">
      <c r="A562" s="1">
        <v>5.0</v>
      </c>
      <c r="B562" s="1" t="s">
        <v>563</v>
      </c>
      <c r="C562" t="str">
        <f>IFERROR(__xludf.DUMMYFUNCTION("GOOGLETRANSLATE(B562, ""zh"", ""en"")"),"Very good very good, very convenient to eat with children")</f>
        <v>Very good very good, very convenient to eat with children</v>
      </c>
    </row>
    <row r="563">
      <c r="A563" s="1">
        <v>5.0</v>
      </c>
      <c r="B563" s="1" t="s">
        <v>564</v>
      </c>
      <c r="C563" t="str">
        <f>IFERROR(__xludf.DUMMYFUNCTION("GOOGLETRANSLATE(B563, ""zh"", ""en"")"),"Under Armor first purchase product very satisfied, at least I will not buy shoes New Balance, and each is very disappointed.")</f>
        <v>Under Armor first purchase product very satisfied, at least I will not buy shoes New Balance, and each is very disappointed.</v>
      </c>
    </row>
    <row r="564">
      <c r="A564" s="1">
        <v>5.0</v>
      </c>
      <c r="B564" s="1" t="s">
        <v>565</v>
      </c>
      <c r="C564" t="str">
        <f>IFERROR(__xludf.DUMMYFUNCTION("GOOGLETRANSLATE(B564, ""zh"", ""en"")"),"Very satisfied with the first overseas purchase counters to 1390, as long as half the price online, week under a single hand, is simply terrible, I bought most of the code, wearing also fit, very satisfied")</f>
        <v>Very satisfied with the first overseas purchase counters to 1390, as long as half the price online, week under a single hand, is simply terrible, I bought most of the code, wearing also fit, very satisfied</v>
      </c>
    </row>
    <row r="565">
      <c r="A565" s="1">
        <v>5.0</v>
      </c>
      <c r="B565" s="1" t="s">
        <v>566</v>
      </c>
      <c r="C565" t="str">
        <f>IFERROR(__xludf.DUMMYFUNCTION("GOOGLETRANSLATE(B565, ""zh"", ""en"")"),"Filter effects house has been opened with this brand, but the domestic version, this time specifically to buy imported comparison. Original filter is indeed better than the domestic good effect, give praise!")</f>
        <v>Filter effects house has been opened with this brand, but the domestic version, this time specifically to buy imported comparison. Original filter is indeed better than the domestic good effect, give praise!</v>
      </c>
    </row>
    <row r="566">
      <c r="A566" s="1">
        <v>5.0</v>
      </c>
      <c r="B566" s="1" t="s">
        <v>567</v>
      </c>
      <c r="C566" t="str">
        <f>IFERROR(__xludf.DUMMYFUNCTION("GOOGLETRANSLATE(B566, ""zh"", ""en"")"),"Comments appearance beautiful, smooth water, writing fluency, value for money.")</f>
        <v>Comments appearance beautiful, smooth water, writing fluency, value for money.</v>
      </c>
    </row>
    <row r="567">
      <c r="A567" s="1">
        <v>5.0</v>
      </c>
      <c r="B567" s="1" t="s">
        <v>568</v>
      </c>
      <c r="C567" t="str">
        <f>IFERROR(__xludf.DUMMYFUNCTION("GOOGLETRANSLATE(B567, ""zh"", ""en"")"),"Arrival slower but your product is good scouring the sea in Tianjin customs clearance full clear more than a week, back and forth waiting for more than 3 weeks may look at. This slow clearance may be external factors, this is not blame. After the arrival "&amp;"of the packaging intact, the product is also good, so the high sea Amoy cost-effective. Have to spend, I feel good. Estimated that it takes them a while, the next will consider buying this way.")</f>
        <v>Arrival slower but your product is good scouring the sea in Tianjin customs clearance full clear more than a week, back and forth waiting for more than 3 weeks may look at. This slow clearance may be external factors, this is not blame. After the arrival of the packaging intact, the product is also good, so the high sea Amoy cost-effective. Have to spend, I feel good. Estimated that it takes them a while, the next will consider buying this way.</v>
      </c>
    </row>
    <row r="568">
      <c r="A568" s="1">
        <v>5.0</v>
      </c>
      <c r="B568" s="1" t="s">
        <v>569</v>
      </c>
      <c r="C568" t="str">
        <f>IFERROR(__xludf.DUMMYFUNCTION("GOOGLETRANSLATE(B568, ""zh"", ""en"")"),"Domestic appropriate than just buy a small one yard, 178,78kg, for your reference")</f>
        <v>Domestic appropriate than just buy a small one yard, 178,78kg, for your reference</v>
      </c>
    </row>
    <row r="569">
      <c r="A569" s="1">
        <v>5.0</v>
      </c>
      <c r="B569" s="1" t="s">
        <v>570</v>
      </c>
      <c r="C569" t="str">
        <f>IFERROR(__xludf.DUMMYFUNCTION("GOOGLETRANSLATE(B569, ""zh"", ""en"")"),"Very good 42 yards right size, sort of a small, start with a little less than 300, Taobao double eleven hundred cheaper, style liked it, followed by a little foot wear, need to wear more than a while to adapt!")</f>
        <v>Very good 42 yards right size, sort of a small, start with a little less than 300, Taobao double eleven hundred cheaper, style liked it, followed by a little foot wear, need to wear more than a while to adapt!</v>
      </c>
    </row>
    <row r="570">
      <c r="A570" s="1">
        <v>5.0</v>
      </c>
      <c r="B570" s="1" t="s">
        <v>571</v>
      </c>
      <c r="C570" t="str">
        <f>IFERROR(__xludf.DUMMYFUNCTION("GOOGLETRANSLATE(B570, ""zh"", ""en"")"),"Kawaii cup very affordable, good finish, small cup insulation effect is better")</f>
        <v>Kawaii cup very affordable, good finish, small cup insulation effect is better</v>
      </c>
    </row>
    <row r="571">
      <c r="A571" s="1">
        <v>5.0</v>
      </c>
      <c r="B571" s="1" t="s">
        <v>572</v>
      </c>
      <c r="C571" t="str">
        <f>IFERROR(__xludf.DUMMYFUNCTION("GOOGLETRANSLATE(B571, ""zh"", ""en"")"),"Good use has been using this brand, good")</f>
        <v>Good use has been using this brand, good</v>
      </c>
    </row>
    <row r="572">
      <c r="A572" s="1">
        <v>5.0</v>
      </c>
      <c r="B572" s="1" t="s">
        <v>573</v>
      </c>
      <c r="C572" t="str">
        <f>IFERROR(__xludf.DUMMYFUNCTION("GOOGLETRANSLATE(B572, ""zh"", ""en"")"),"Yes very good, feel good taste")</f>
        <v>Yes very good, feel good taste</v>
      </c>
    </row>
    <row r="573">
      <c r="A573" s="1">
        <v>2.0</v>
      </c>
      <c r="B573" s="1" t="s">
        <v>574</v>
      </c>
      <c r="C573" t="str">
        <f>IFERROR(__xludf.DUMMYFUNCTION("GOOGLETRANSLATE(B573, ""zh"", ""en"")"),"It is not necessary scissors relatively tasteless, now we found not much left to cut")</f>
        <v>It is not necessary scissors relatively tasteless, now we found not much left to cut</v>
      </c>
    </row>
    <row r="574">
      <c r="A574" s="1">
        <v>3.0</v>
      </c>
      <c r="B574" s="1" t="s">
        <v>575</v>
      </c>
      <c r="C574" t="str">
        <f>IFERROR(__xludf.DUMMYFUNCTION("GOOGLETRANSLATE(B574, ""zh"", ""en"")"),"Some activities junction writing is very smooth, but the pen is connected at some event, I returned several times, or so, may be design issues, do not understand 🤔 finally back")</f>
        <v>Some activities junction writing is very smooth, but the pen is connected at some event, I returned several times, or so, may be design issues, do not understand 🤔 finally back</v>
      </c>
    </row>
    <row r="575">
      <c r="A575" s="1">
        <v>3.0</v>
      </c>
      <c r="B575" s="1" t="s">
        <v>576</v>
      </c>
      <c r="C575" t="str">
        <f>IFERROR(__xludf.DUMMYFUNCTION("GOOGLETRANSLATE(B575, ""zh"", ""en"")"),"Code number is too large 165.106 pounds, wearing a fertilizer. Code number is too large, for reference. Quality can be.")</f>
        <v>Code number is too large 165.106 pounds, wearing a fertilizer. Code number is too large, for reference. Quality can be.</v>
      </c>
    </row>
    <row r="576">
      <c r="A576" s="1">
        <v>1.0</v>
      </c>
      <c r="B576" s="1" t="s">
        <v>577</v>
      </c>
      <c r="C576" t="str">
        <f>IFERROR(__xludf.DUMMYFUNCTION("GOOGLETRANSLATE(B576, ""zh"", ""en"")"),"Received very satisfied for the first time in the Amazon top shopping results very disappointing! Very very thin layer, feels like a raincoat same. See so much praise do not know how come.")</f>
        <v>Received very satisfied for the first time in the Amazon top shopping results very disappointing! Very very thin layer, feels like a raincoat same. See so much praise do not know how come.</v>
      </c>
    </row>
    <row r="577">
      <c r="A577" s="1">
        <v>1.0</v>
      </c>
      <c r="B577" s="1" t="s">
        <v>578</v>
      </c>
      <c r="C577" t="str">
        <f>IFERROR(__xludf.DUMMYFUNCTION("GOOGLETRANSLATE(B577, ""zh"", ""en"")"),"😔 too lazy to back. I thought it was 1000w, finally 700w! Amazon can expect a bit more professional, self-directed buy! I never thought that such a stupid mistake! ! ! !")</f>
        <v>😔 too lazy to back. I thought it was 1000w, finally 700w! Amazon can expect a bit more professional, self-directed buy! I never thought that such a stupid mistake! ! ! !</v>
      </c>
    </row>
    <row r="578">
      <c r="A578" s="1">
        <v>1.0</v>
      </c>
      <c r="B578" s="1" t="s">
        <v>579</v>
      </c>
      <c r="C578" t="str">
        <f>IFERROR(__xludf.DUMMYFUNCTION("GOOGLETRANSLATE(B578, ""zh"", ""en"")"),"Amazon still can not poor after-sales and after-sales Jingdong than a few months, Bluetooth is broken, contact customer service, to fend for themselves and Sennheiser contact, or to run their own repair your address, point of sale from me four or five pub"&amp;"lic in. If Jingdong not say it directly to new ones, at least pick-up, fix gets here. Buy what u disk, Jingdong are direct new ones, or to support the East Columbia Well, I want this prime members of what used to be my 288, untold")</f>
        <v>Amazon still can not poor after-sales and after-sales Jingdong than a few months, Bluetooth is broken, contact customer service, to fend for themselves and Sennheiser contact, or to run their own repair your address, point of sale from me four or five public in. If Jingdong not say it directly to new ones, at least pick-up, fix gets here. Buy what u disk, Jingdong are direct new ones, or to support the East Columbia Well, I want this prime members of what used to be my 288, untold</v>
      </c>
    </row>
    <row r="579">
      <c r="A579" s="1">
        <v>4.0</v>
      </c>
      <c r="B579" s="1" t="s">
        <v>580</v>
      </c>
      <c r="C579" t="str">
        <f>IFERROR(__xludf.DUMMYFUNCTION("GOOGLETRANSLATE(B579, ""zh"", ""en"")"),"Comfortable, but the box has been opened like something very good, very comfortable. That is, when received, the boxes seem to have been replaced over the same open, anyway, have to wash it again, so there is no good mind.")</f>
        <v>Comfortable, but the box has been opened like something very good, very comfortable. That is, when received, the boxes seem to have been replaced over the same open, anyway, have to wash it again, so there is no good mind.</v>
      </c>
    </row>
    <row r="580">
      <c r="A580" s="1">
        <v>4.0</v>
      </c>
      <c r="B580" s="1" t="s">
        <v>581</v>
      </c>
      <c r="C580" t="str">
        <f>IFERROR(__xludf.DUMMYFUNCTION("GOOGLETRANSLATE(B580, ""zh"", ""en"")"),"7US / 37.5 yards, can not wear too narrow, only now try out a new original! 7US / 37.5 yards, can not wear too narrow, only now try out a new original!")</f>
        <v>7US / 37.5 yards, can not wear too narrow, only now try out a new original! 7US / 37.5 yards, can not wear too narrow, only now try out a new original!</v>
      </c>
    </row>
    <row r="581">
      <c r="A581" s="1">
        <v>4.0</v>
      </c>
      <c r="B581" s="1" t="s">
        <v>582</v>
      </c>
      <c r="C581" t="str">
        <f>IFERROR(__xludf.DUMMYFUNCTION("GOOGLETRANSLATE(B581, ""zh"", ""en"")"),"Delivery is too slow pen has been received, EF is still a little rough, delivery is too slow, four days after a single shipment at the same time buy the ink absorber in Deya, 5 days on hand.")</f>
        <v>Delivery is too slow pen has been received, EF is still a little rough, delivery is too slow, four days after a single shipment at the same time buy the ink absorber in Deya, 5 days on hand.</v>
      </c>
    </row>
    <row r="582">
      <c r="A582" s="1">
        <v>4.0</v>
      </c>
      <c r="B582" s="1" t="s">
        <v>583</v>
      </c>
      <c r="C582" t="str">
        <f>IFERROR(__xludf.DUMMYFUNCTION("GOOGLETRANSLATE(B582, ""zh"", ""en"")"),"I have feelings for Sennheiser brand. Sound quality is not really good. Pot pot should have improved. PS: not too happy with Amazon Amoy overseas service. The first tranche of the past 10 days. Do not give me delivery. Phone can not handle the complaint s"&amp;"aid. Then I dropped out of money to re-shoot. After N long to send over.")</f>
        <v>I have feelings for Sennheiser brand. Sound quality is not really good. Pot pot should have improved. PS: not too happy with Amazon Amoy overseas service. The first tranche of the past 10 days. Do not give me delivery. Phone can not handle the complaint said. Then I dropped out of money to re-shoot. After N long to send over.</v>
      </c>
    </row>
    <row r="583">
      <c r="A583" s="1">
        <v>4.0</v>
      </c>
      <c r="B583" s="1" t="s">
        <v>584</v>
      </c>
      <c r="C583" t="str">
        <f>IFERROR(__xludf.DUMMYFUNCTION("GOOGLETRANSLATE(B583, ""zh"", ""en"")"),"Cost-effective and comfortable. Not recommended for running high cost, comfortable to wear. Indoor or outdoor fitness walking can be. Not recommended for running. The sole material is too soft, no rebound. Tan")</f>
        <v>Cost-effective and comfortable. Not recommended for running high cost, comfortable to wear. Indoor or outdoor fitness walking can be. Not recommended for running. The sole material is too soft, no rebound. Tan</v>
      </c>
    </row>
    <row r="584">
      <c r="A584" s="1">
        <v>5.0</v>
      </c>
      <c r="B584" s="1" t="s">
        <v>585</v>
      </c>
      <c r="C584" t="str">
        <f>IFERROR(__xludf.DUMMYFUNCTION("GOOGLETRANSLATE(B584, ""zh"", ""en"")"),"The cheapest Compare all countries worldwide Amazon Amazon, the Japanese version of the cheapest, then Amazon China free postage. The suit brought out. Permanent residence outside")</f>
        <v>The cheapest Compare all countries worldwide Amazon Amazon, the Japanese version of the cheapest, then Amazon China free postage. The suit brought out. Permanent residence outside</v>
      </c>
    </row>
    <row r="585">
      <c r="A585" s="1">
        <v>5.0</v>
      </c>
      <c r="B585" s="1" t="s">
        <v>586</v>
      </c>
      <c r="C585" t="str">
        <f>IFERROR(__xludf.DUMMYFUNCTION("GOOGLETRANSLATE(B585, ""zh"", ""en"")"),"Insulation effect, bought again the insulation effect, to buy again")</f>
        <v>Insulation effect, bought again the insulation effect, to buy again</v>
      </c>
    </row>
    <row r="586">
      <c r="A586" s="1">
        <v>5.0</v>
      </c>
      <c r="B586" s="1" t="s">
        <v>587</v>
      </c>
      <c r="C586" t="str">
        <f>IFERROR(__xludf.DUMMYFUNCTION("GOOGLETRANSLATE(B586, ""zh"", ""en"")"),"FIG pass by reference shakuhachi waist two engagement 94cm acquired last several inverted after receipt size 38 test head much more than just the belt length 112cm width 4cm by reference")</f>
        <v>FIG pass by reference shakuhachi waist two engagement 94cm acquired last several inverted after receipt size 38 test head much more than just the belt length 112cm width 4cm by reference</v>
      </c>
    </row>
    <row r="587">
      <c r="A587" s="1">
        <v>5.0</v>
      </c>
      <c r="B587" s="1" t="s">
        <v>588</v>
      </c>
      <c r="C587" t="str">
        <f>IFERROR(__xludf.DUMMYFUNCTION("GOOGLETRANSLATE(B587, ""zh"", ""en"")"),"Affordable price deal, as expected, like the right size, like this one thank you for sharing experience. I just wear m 18370")</f>
        <v>Affordable price deal, as expected, like the right size, like this one thank you for sharing experience. I just wear m 18370</v>
      </c>
    </row>
    <row r="588">
      <c r="A588" s="1">
        <v>5.0</v>
      </c>
      <c r="B588" s="1" t="s">
        <v>589</v>
      </c>
      <c r="C588" t="str">
        <f>IFERROR(__xludf.DUMMYFUNCTION("GOOGLETRANSLATE(B588, ""zh"", ""en"")"),"Inexpensive, imported toothpaste, rainbow ribbon son liked the toothpaste, but also facilitate extrusion, the price is not expensive!")</f>
        <v>Inexpensive, imported toothpaste, rainbow ribbon son liked the toothpaste, but also facilitate extrusion, the price is not expensive!</v>
      </c>
    </row>
    <row r="589">
      <c r="A589" s="1">
        <v>5.0</v>
      </c>
      <c r="B589" s="1" t="s">
        <v>590</v>
      </c>
      <c r="C589" t="str">
        <f>IFERROR(__xludf.DUMMYFUNCTION("GOOGLETRANSLATE(B589, ""zh"", ""en"")"),"Slim works well height 1.72, weight 160. M number just right, and very self-cultivation was thin. National number usually wear L. After washing twice from the ball, the whole dress looked edgy, poor quality. Not recommended.")</f>
        <v>Slim works well height 1.72, weight 160. M number just right, and very self-cultivation was thin. National number usually wear L. After washing twice from the ball, the whole dress looked edgy, poor quality. Not recommended.</v>
      </c>
    </row>
    <row r="590">
      <c r="A590" s="1">
        <v>5.0</v>
      </c>
      <c r="B590" s="1" t="s">
        <v>591</v>
      </c>
      <c r="C590" t="str">
        <f>IFERROR(__xludf.DUMMYFUNCTION("GOOGLETRANSLATE(B590, ""zh"", ""en"")"),"This year's production date is easy to use, easy to use, easy to use than Sophie like a domestic")</f>
        <v>This year's production date is easy to use, easy to use, easy to use than Sophie like a domestic</v>
      </c>
    </row>
    <row r="591">
      <c r="A591" s="1">
        <v>5.0</v>
      </c>
      <c r="B591" s="1" t="s">
        <v>592</v>
      </c>
      <c r="C591" t="str">
        <f>IFERROR(__xludf.DUMMYFUNCTION("GOOGLETRANSLATE(B591, ""zh"", ""en"")"),"No title for the first time to buy. Big amount of good taste. fast shipments. When I first came also do not see results. Then use specifically.")</f>
        <v>No title for the first time to buy. Big amount of good taste. fast shipments. When I first came also do not see results. Then use specifically.</v>
      </c>
    </row>
    <row r="592">
      <c r="A592" s="1">
        <v>5.0</v>
      </c>
      <c r="B592" s="1" t="s">
        <v>593</v>
      </c>
      <c r="C592" t="str">
        <f>IFERROR(__xludf.DUMMYFUNCTION("GOOGLETRANSLATE(B592, ""zh"", ""en"")"),"Simple very simple, relatively small, suitable for young people")</f>
        <v>Simple very simple, relatively small, suitable for young people</v>
      </c>
    </row>
    <row r="593">
      <c r="A593" s="1">
        <v>5.0</v>
      </c>
      <c r="B593" s="1" t="s">
        <v>594</v>
      </c>
      <c r="C593" t="str">
        <f>IFERROR(__xludf.DUMMYFUNCTION("GOOGLETRANSLATE(B593, ""zh"", ""en"")"),"It is worthwhile to buy? value! Her mother a birthday present. The machines sent as a shell, although the shell has a recess Fortunately coffee machine intact. Red shell is very beautiful, bought jacobs capsules, fast heating, pressing out the taste is ve"&amp;"ry sweet. 15 cups of Starbucks coffee price, you deserve. (Connecting the tank slightly loose")</f>
        <v>It is worthwhile to buy? value! Her mother a birthday present. The machines sent as a shell, although the shell has a recess Fortunately coffee machine intact. Red shell is very beautiful, bought jacobs capsules, fast heating, pressing out the taste is very sweet. 15 cups of Starbucks coffee price, you deserve. (Connecting the tank slightly loose</v>
      </c>
    </row>
    <row r="594">
      <c r="A594" s="1">
        <v>5.0</v>
      </c>
      <c r="B594" s="1" t="s">
        <v>595</v>
      </c>
      <c r="C594" t="str">
        <f>IFERROR(__xludf.DUMMYFUNCTION("GOOGLETRANSLATE(B594, ""zh"", ""en"")"),"Judging the quality is good, although the belts tie, but still easy to loose a long time, this is a common problem with the brand champion, should improve")</f>
        <v>Judging the quality is good, although the belts tie, but still easy to loose a long time, this is a common problem with the brand champion, should improve</v>
      </c>
    </row>
    <row r="595">
      <c r="A595" s="1">
        <v>5.0</v>
      </c>
      <c r="B595" s="1" t="s">
        <v>596</v>
      </c>
      <c r="C595" t="str">
        <f>IFERROR(__xludf.DUMMYFUNCTION("GOOGLETRANSLATE(B595, ""zh"", ""en"")"),"Good for the summer, the fabric is very comfortable for summer")</f>
        <v>Good for the summer, the fabric is very comfortable for summer</v>
      </c>
    </row>
    <row r="596">
      <c r="A596" s="1">
        <v>5.0</v>
      </c>
      <c r="B596" s="1" t="s">
        <v>597</v>
      </c>
      <c r="C596" t="str">
        <f>IFERROR(__xludf.DUMMYFUNCTION("GOOGLETRANSLATE(B596, ""zh"", ""en"")"),"Soften water for the stomach to buy this stuff, very good, affordable, is what I want, it has been inseparable from overseas purchased! Almost always we buy, we can consider to start!")</f>
        <v>Soften water for the stomach to buy this stuff, very good, affordable, is what I want, it has been inseparable from overseas purchased! Almost always we buy, we can consider to start!</v>
      </c>
    </row>
    <row r="597">
      <c r="A597" s="1">
        <v>5.0</v>
      </c>
      <c r="B597" s="1" t="s">
        <v>598</v>
      </c>
      <c r="C597" t="str">
        <f>IFERROR(__xludf.DUMMYFUNCTION("GOOGLETRANSLATE(B597, ""zh"", ""en"")"),"Very satisfied! I do not feel handsome fong a partial code, usually wear much to buy much. The United States sent Shanghai actually came four days? ? Shocked speed")</f>
        <v>Very satisfied! I do not feel handsome fong a partial code, usually wear much to buy much. The United States sent Shanghai actually came four days? ? Shocked speed</v>
      </c>
    </row>
    <row r="598">
      <c r="A598" s="1">
        <v>5.0</v>
      </c>
      <c r="B598" s="1" t="s">
        <v>599</v>
      </c>
      <c r="C598" t="str">
        <f>IFERROR(__xludf.DUMMYFUNCTION("GOOGLETRANSLATE(B598, ""zh"", ""en"")"),"When good quality easy for children to make their own operations such as port operator convenience in mind")</f>
        <v>When good quality easy for children to make their own operations such as port operator convenience in mind</v>
      </c>
    </row>
    <row r="599">
      <c r="A599" s="1">
        <v>5.0</v>
      </c>
      <c r="B599" s="1" t="s">
        <v>600</v>
      </c>
      <c r="C599" t="str">
        <f>IFERROR(__xludf.DUMMYFUNCTION("GOOGLETRANSLATE(B599, ""zh"", ""en"")"),"Helium plate 10T is not special, and can only start 8T, helium disk, read and write very fast, cost-effective first-class.")</f>
        <v>Helium plate 10T is not special, and can only start 8T, helium disk, read and write very fast, cost-effective first-class.</v>
      </c>
    </row>
    <row r="600">
      <c r="A600" s="1">
        <v>5.0</v>
      </c>
      <c r="B600" s="1" t="s">
        <v>601</v>
      </c>
      <c r="C600" t="str">
        <f>IFERROR(__xludf.DUMMYFUNCTION("GOOGLETRANSLATE(B600, ""zh"", ""en"")"),"Great shoes great shoes for foot fat people wear, do not buy the freshman code")</f>
        <v>Great shoes great shoes for foot fat people wear, do not buy the freshman code</v>
      </c>
    </row>
    <row r="601">
      <c r="A601" s="1">
        <v>5.0</v>
      </c>
      <c r="B601" s="1" t="s">
        <v>602</v>
      </c>
      <c r="C601" t="str">
        <f>IFERROR(__xludf.DUMMYFUNCTION("GOOGLETRANSLATE(B601, ""zh"", ""en"")"),"The color looks good! Color is great, too soft refills, need to match the color of lead used in conjunction hard. Pink and red colors found department a little less. General painting words enough to use 72 colors, 132 colors in some color with less.")</f>
        <v>The color looks good! Color is great, too soft refills, need to match the color of lead used in conjunction hard. Pink and red colors found department a little less. General painting words enough to use 72 colors, 132 colors in some color with less.</v>
      </c>
    </row>
    <row r="602">
      <c r="A602" s="1">
        <v>5.0</v>
      </c>
      <c r="B602" s="1" t="s">
        <v>603</v>
      </c>
      <c r="C602" t="str">
        <f>IFERROR(__xludf.DUMMYFUNCTION("GOOGLETRANSLATE(B602, ""zh"", ""en"")"),"175 65 m suitable for feeling good")</f>
        <v>175 65 m suitable for feeling good</v>
      </c>
    </row>
    <row r="603">
      <c r="A603" s="1">
        <v>5.0</v>
      </c>
      <c r="B603" s="1" t="s">
        <v>604</v>
      </c>
      <c r="C603" t="str">
        <f>IFERROR(__xludf.DUMMYFUNCTION("GOOGLETRANSLATE(B603, ""zh"", ""en"")"),"Authentic German with a very good, very beautiful pot, white, like")</f>
        <v>Authentic German with a very good, very beautiful pot, white, like</v>
      </c>
    </row>
    <row r="604">
      <c r="A604" s="1">
        <v>5.0</v>
      </c>
      <c r="B604" s="1" t="s">
        <v>605</v>
      </c>
      <c r="C604" t="str">
        <f>IFERROR(__xludf.DUMMYFUNCTION("GOOGLETRANSLATE(B604, ""zh"", ""en"")"),"Good connection is very simple operation, without identification can understand English. Listen a little bit stereo effect.")</f>
        <v>Good connection is very simple operation, without identification can understand English. Listen a little bit stereo effect.</v>
      </c>
    </row>
    <row r="605">
      <c r="A605" s="1">
        <v>5.0</v>
      </c>
      <c r="B605" s="1" t="s">
        <v>606</v>
      </c>
      <c r="C605" t="str">
        <f>IFERROR(__xludf.DUMMYFUNCTION("GOOGLETRANSLATE(B605, ""zh"", ""en"")"),"Watch good watch good services is the whole 5 minutes")</f>
        <v>Watch good watch good services is the whole 5 minutes</v>
      </c>
    </row>
    <row r="606">
      <c r="A606" s="1">
        <v>2.0</v>
      </c>
      <c r="B606" s="1" t="s">
        <v>607</v>
      </c>
      <c r="C606" t="str">
        <f>IFERROR(__xludf.DUMMYFUNCTION("GOOGLETRANSLATE(B606, ""zh"", ""en"")"),"Texture is very general, very general texture as work clothes, work clothes, like, do not close the body legs")</f>
        <v>Texture is very general, very general texture as work clothes, work clothes, like, do not close the body legs</v>
      </c>
    </row>
    <row r="607">
      <c r="A607" s="1">
        <v>3.0</v>
      </c>
      <c r="B607" s="1" t="s">
        <v>608</v>
      </c>
      <c r="C607" t="str">
        <f>IFERROR(__xludf.DUMMYFUNCTION("GOOGLETRANSLATE(B607, ""zh"", ""en"")"),"Cotton is not the way it seems okay decent test label is old")</f>
        <v>Cotton is not the way it seems okay decent test label is old</v>
      </c>
    </row>
    <row r="608">
      <c r="A608" s="1">
        <v>3.0</v>
      </c>
      <c r="B608" s="1" t="s">
        <v>609</v>
      </c>
      <c r="C608" t="str">
        <f>IFERROR(__xludf.DUMMYFUNCTION("GOOGLETRANSLATE(B608, ""zh"", ""en"")"),"I do not recommend buying this thin, looks like the kind of longer wash. Sure enough, on the same day to get water for flushing a bit, did not dare hang dry, dry after tile, or a tragedy. . .")</f>
        <v>I do not recommend buying this thin, looks like the kind of longer wash. Sure enough, on the same day to get water for flushing a bit, did not dare hang dry, dry after tile, or a tragedy. . .</v>
      </c>
    </row>
    <row r="609">
      <c r="A609" s="1">
        <v>3.0</v>
      </c>
      <c r="B609" s="1" t="s">
        <v>610</v>
      </c>
      <c r="C609" t="str">
        <f>IFERROR(__xludf.DUMMYFUNCTION("GOOGLETRANSLATE(B609, ""zh"", ""en"")"),"May be less comfortable style design, do not pack hip, also fell, thin layer, no seam, 168,54kg, buy s, appropriate but not comfortable.")</f>
        <v>May be less comfortable style design, do not pack hip, also fell, thin layer, no seam, 168,54kg, buy s, appropriate but not comfortable.</v>
      </c>
    </row>
    <row r="610">
      <c r="A610" s="1">
        <v>1.0</v>
      </c>
      <c r="B610" s="1" t="s">
        <v>611</v>
      </c>
      <c r="C610" t="str">
        <f>IFERROR(__xludf.DUMMYFUNCTION("GOOGLETRANSLATE(B610, ""zh"", ""en"")"),"Break vamp break, Timberland and CAT are, because Chinese buyers made so defective? Originally apply for return, and that as Jingdong as home delivery, send the results to yourself. Article catch a break for the international postage not seem to value. He"&amp;"lpless. 42 yards is appropriate to buy 8.5.")</f>
        <v>Break vamp break, Timberland and CAT are, because Chinese buyers made so defective? Originally apply for return, and that as Jingdong as home delivery, send the results to yourself. Article catch a break for the international postage not seem to value. Helpless. 42 yards is appropriate to buy 8.5.</v>
      </c>
    </row>
    <row r="611">
      <c r="A611" s="1">
        <v>1.0</v>
      </c>
      <c r="B611" s="1" t="s">
        <v>612</v>
      </c>
      <c r="C611" t="str">
        <f>IFERROR(__xludf.DUMMYFUNCTION("GOOGLETRANSLATE(B611, ""zh"", ""en"")"),"Not serious I ordered L, is sent to 2XL. What the hell? Big number two. Amazon too sloppy.")</f>
        <v>Not serious I ordered L, is sent to 2XL. What the hell? Big number two. Amazon too sloppy.</v>
      </c>
    </row>
    <row r="612">
      <c r="A612" s="1">
        <v>1.0</v>
      </c>
      <c r="B612" s="1" t="s">
        <v>613</v>
      </c>
      <c r="C612" t="str">
        <f>IFERROR(__xludf.DUMMYFUNCTION("GOOGLETRANSLATE(B612, ""zh"", ""en"")"),"Rupturing the package, no seal. Pen dusty pen is used to write Chinese manufacturing MADE IN China, the other is French. It must be a bad review! ! ! Packaging bad, just outside of opening a carton! ! ! Did not seal! ! Is not sealed, it can direct the pen"&amp;" box out. Besides pencil cases, it has been broken, while all cracked, dusty. Pen is, the residue was written there.")</f>
        <v>Rupturing the package, no seal. Pen dusty pen is used to write Chinese manufacturing MADE IN China, the other is French. It must be a bad review! ! ! Packaging bad, just outside of opening a carton! ! ! Did not seal! ! Is not sealed, it can direct the pen box out. Besides pencil cases, it has been broken, while all cracked, dusty. Pen is, the residue was written there.</v>
      </c>
    </row>
    <row r="613">
      <c r="A613" s="1">
        <v>4.0</v>
      </c>
      <c r="B613" s="1" t="s">
        <v>614</v>
      </c>
      <c r="C613" t="str">
        <f>IFERROR(__xludf.DUMMYFUNCTION("GOOGLETRANSLATE(B613, ""zh"", ""en"")"),"Calvin Klein Calvin Klein men's classic cotton short-sleeved V-neck T-shirt three package right size, weight 162M high 180 yards just right, the domestic price of cotton this better than manufacturing in Bangladesh.")</f>
        <v>Calvin Klein Calvin Klein men's classic cotton short-sleeved V-neck T-shirt three package right size, weight 162M high 180 yards just right, the domestic price of cotton this better than manufacturing in Bangladesh.</v>
      </c>
    </row>
    <row r="614">
      <c r="A614" s="1">
        <v>4.0</v>
      </c>
      <c r="B614" s="1" t="s">
        <v>615</v>
      </c>
      <c r="C614" t="str">
        <f>IFERROR(__xludf.DUMMYFUNCTION("GOOGLETRANSLATE(B614, ""zh"", ""en"")"),"How domestic sale, ask! ! ! I spent less than a year of bad sectors.")</f>
        <v>How domestic sale, ask! ! ! I spent less than a year of bad sectors.</v>
      </c>
    </row>
    <row r="615">
      <c r="A615" s="1">
        <v>4.0</v>
      </c>
      <c r="B615" s="1" t="s">
        <v>616</v>
      </c>
      <c r="C615" t="str">
        <f>IFERROR(__xludf.DUMMYFUNCTION("GOOGLETRANSLATE(B615, ""zh"", ""en"")"),"Size is too large, feel good thin body, the body is thin, relatively thick collar, size is too large, 173 / s 52 size is too large to wear")</f>
        <v>Size is too large, feel good thin body, the body is thin, relatively thick collar, size is too large, 173 / s 52 size is too large to wear</v>
      </c>
    </row>
    <row r="616">
      <c r="A616" s="1">
        <v>4.0</v>
      </c>
      <c r="B616" s="1" t="s">
        <v>617</v>
      </c>
      <c r="C616" t="str">
        <f>IFERROR(__xludf.DUMMYFUNCTION("GOOGLETRANSLATE(B616, ""zh"", ""en"")"),"Consider the repurchase Oh! Improve the skin's collagen effect remains to be seen, but after drinking for a week, the effect on the hair is quite obvious!")</f>
        <v>Consider the repurchase Oh! Improve the skin's collagen effect remains to be seen, but after drinking for a week, the effect on the hair is quite obvious!</v>
      </c>
    </row>
    <row r="617">
      <c r="A617" s="1">
        <v>5.0</v>
      </c>
      <c r="B617" s="1" t="s">
        <v>618</v>
      </c>
      <c r="C617" t="str">
        <f>IFERROR(__xludf.DUMMYFUNCTION("GOOGLETRANSLATE(B617, ""zh"", ""en"")"),"In addition to low protein content of ultrafine powder can also be other, it is relatively free vanilla card tired")</f>
        <v>In addition to low protein content of ultrafine powder can also be other, it is relatively free vanilla card tired</v>
      </c>
    </row>
    <row r="618">
      <c r="A618" s="1">
        <v>5.0</v>
      </c>
      <c r="B618" s="1" t="s">
        <v>619</v>
      </c>
      <c r="C618" t="str">
        <f>IFERROR(__xludf.DUMMYFUNCTION("GOOGLETRANSLATE(B618, ""zh"", ""en"")"),"Inexpensive engage in activities to buy, cheap, and the shelf life of a year and a half, not bad")</f>
        <v>Inexpensive engage in activities to buy, cheap, and the shelf life of a year and a half, not bad</v>
      </c>
    </row>
    <row r="619">
      <c r="A619" s="1">
        <v>5.0</v>
      </c>
      <c r="B619" s="1" t="s">
        <v>620</v>
      </c>
      <c r="C619" t="str">
        <f>IFERROR(__xludf.DUMMYFUNCTION("GOOGLETRANSLATE(B619, ""zh"", ""en"")"),"Good quality preferential price, the price is right, good")</f>
        <v>Good quality preferential price, the price is right, good</v>
      </c>
    </row>
    <row r="620">
      <c r="A620" s="1">
        <v>5.0</v>
      </c>
      <c r="B620" s="1" t="s">
        <v>621</v>
      </c>
      <c r="C620" t="str">
        <f>IFERROR(__xludf.DUMMYFUNCTION("GOOGLETRANSLATE(B620, ""zh"", ""en"")"),"Fast, free shipping, very good! Nichia direct mail, fast, free shipping, good deal, it is hoped overseas purchase some rich stuff again")</f>
        <v>Fast, free shipping, very good! Nichia direct mail, fast, free shipping, good deal, it is hoped overseas purchase some rich stuff again</v>
      </c>
    </row>
    <row r="621">
      <c r="A621" s="1">
        <v>5.0</v>
      </c>
      <c r="B621" s="1" t="s">
        <v>622</v>
      </c>
      <c r="C621" t="str">
        <f>IFERROR(__xludf.DUMMYFUNCTION("GOOGLETRANSLATE(B621, ""zh"", ""en"")"),"💖 one of the three major brands, the quality did not say when the price shot, feel worthwhile")</f>
        <v>💖 one of the three major brands, the quality did not say when the price shot, feel worthwhile</v>
      </c>
    </row>
    <row r="622">
      <c r="A622" s="1">
        <v>5.0</v>
      </c>
      <c r="B622" s="1" t="s">
        <v>623</v>
      </c>
      <c r="C622" t="str">
        <f>IFERROR(__xludf.DUMMYFUNCTION("GOOGLETRANSLATE(B622, ""zh"", ""en"")"),"Easy to use soft bottle nipple clear bright colors easy to use")</f>
        <v>Easy to use soft bottle nipple clear bright colors easy to use</v>
      </c>
    </row>
    <row r="623">
      <c r="A623" s="1">
        <v>5.0</v>
      </c>
      <c r="B623" s="1" t="s">
        <v>624</v>
      </c>
      <c r="C623" t="str">
        <f>IFERROR(__xludf.DUMMYFUNCTION("GOOGLETRANSLATE(B623, ""zh"", ""en"")"),"Like the good style, wear appropriate, like this style")</f>
        <v>Like the good style, wear appropriate, like this style</v>
      </c>
    </row>
    <row r="624">
      <c r="A624" s="1">
        <v>5.0</v>
      </c>
      <c r="B624" s="1" t="s">
        <v>625</v>
      </c>
      <c r="C624" t="str">
        <f>IFERROR(__xludf.DUMMYFUNCTION("GOOGLETRANSLATE(B624, ""zh"", ""en"")"),"Good quality, good workmanship good quality, good workmanship, height 180CM, weight 85KG, bought a slightly smaller L code, wearing some tight. Overseas purchase for refund / replacement trouble, simply bought a piece of XL")</f>
        <v>Good quality, good workmanship good quality, good workmanship, height 180CM, weight 85KG, bought a slightly smaller L code, wearing some tight. Overseas purchase for refund / replacement trouble, simply bought a piece of XL</v>
      </c>
    </row>
    <row r="625">
      <c r="A625" s="1">
        <v>5.0</v>
      </c>
      <c r="B625" s="1" t="s">
        <v>626</v>
      </c>
      <c r="C625" t="str">
        <f>IFERROR(__xludf.DUMMYFUNCTION("GOOGLETRANSLATE(B625, ""zh"", ""en"")"),"Good products cost-effective, worth buying.")</f>
        <v>Good products cost-effective, worth buying.</v>
      </c>
    </row>
    <row r="626">
      <c r="A626" s="1">
        <v>5.0</v>
      </c>
      <c r="B626" s="1" t="s">
        <v>627</v>
      </c>
      <c r="C626" t="str">
        <f>IFERROR(__xludf.DUMMYFUNCTION("GOOGLETRANSLATE(B626, ""zh"", ""en"")"),"Section with a long leather wear. Black suede leather that money should not have this problem into the outer layers of damaged lines, black lines bared part of it, even so, a few years is absolutely no problem.")</f>
        <v>Section with a long leather wear. Black suede leather that money should not have this problem into the outer layers of damaged lines, black lines bared part of it, even so, a few years is absolutely no problem.</v>
      </c>
    </row>
    <row r="627">
      <c r="A627" s="1">
        <v>5.0</v>
      </c>
      <c r="B627" s="1" t="s">
        <v>628</v>
      </c>
      <c r="C627" t="str">
        <f>IFERROR(__xludf.DUMMYFUNCTION("GOOGLETRANSLATE(B627, ""zh"", ""en"")"),"The best memory card fast, quality is also used in 2056, and that there is no problem.")</f>
        <v>The best memory card fast, quality is also used in 2056, and that there is no problem.</v>
      </c>
    </row>
    <row r="628">
      <c r="A628" s="1">
        <v>5.0</v>
      </c>
      <c r="B628" s="1" t="s">
        <v>629</v>
      </c>
      <c r="C628" t="str">
        <f>IFERROR(__xludf.DUMMYFUNCTION("GOOGLETRANSLATE(B628, ""zh"", ""en"")"),"Pretty good second purchase, or good, packaging has been good.")</f>
        <v>Pretty good second purchase, or good, packaging has been good.</v>
      </c>
    </row>
    <row r="629">
      <c r="A629" s="1">
        <v>5.0</v>
      </c>
      <c r="B629" s="1" t="s">
        <v>630</v>
      </c>
      <c r="C629" t="str">
        <f>IFERROR(__xludf.DUMMYFUNCTION("GOOGLETRANSLATE(B629, ""zh"", ""en"")"),"Very practical, the taste is OK overall look is still parked texture, it is also easy to use (I just kept him there, stopped watching fades, so do not use? Generally a capsule coffee out about 100-150ml). The next problem is to buy the capsules. May be re"&amp;"latively strong, I feel kind of flavor than the average American cafe chain better. Of course, good drink, had to drink red hand. Working days required, this little machine is fully able to meet and Latin America.")</f>
        <v>Very practical, the taste is OK overall look is still parked texture, it is also easy to use (I just kept him there, stopped watching fades, so do not use? Generally a capsule coffee out about 100-150ml). The next problem is to buy the capsules. May be relatively strong, I feel kind of flavor than the average American cafe chain better. Of course, good drink, had to drink red hand. Working days required, this little machine is fully able to meet and Latin America.</v>
      </c>
    </row>
    <row r="630">
      <c r="A630" s="1">
        <v>5.0</v>
      </c>
      <c r="B630" s="1" t="s">
        <v>509</v>
      </c>
      <c r="C630" t="str">
        <f>IFERROR(__xludf.DUMMYFUNCTION("GOOGLETRANSLATE(B630, ""zh"", ""en"")"),"Size is accurate, authentic goods, very fond of, recommended purchase size is accurate, authentic goods, very fond of, recommended purchase")</f>
        <v>Size is accurate, authentic goods, very fond of, recommended purchase size is accurate, authentic goods, very fond of, recommended purchase</v>
      </c>
    </row>
    <row r="631">
      <c r="A631" s="1">
        <v>5.0</v>
      </c>
      <c r="B631" s="1" t="s">
        <v>631</v>
      </c>
      <c r="C631" t="str">
        <f>IFERROR(__xludf.DUMMYFUNCTION("GOOGLETRANSLATE(B631, ""zh"", ""en"")"),"Storage cassette storage case cute good use, very convenient sizes, the sealing effect is also very good")</f>
        <v>Storage cassette storage case cute good use, very convenient sizes, the sealing effect is also very good</v>
      </c>
    </row>
    <row r="632">
      <c r="A632" s="1">
        <v>5.0</v>
      </c>
      <c r="B632" s="1" t="s">
        <v>632</v>
      </c>
      <c r="C632" t="str">
        <f>IFERROR(__xludf.DUMMYFUNCTION("GOOGLETRANSLATE(B632, ""zh"", ""en"")"),"Share this headset is worth transparent and bright sound, rich layers, like, ready the next time a gift for someone close, uncomfortable about their ears")</f>
        <v>Share this headset is worth transparent and bright sound, rich layers, like, ready the next time a gift for someone close, uncomfortable about their ears</v>
      </c>
    </row>
    <row r="633">
      <c r="A633" s="1">
        <v>5.0</v>
      </c>
      <c r="B633" s="1" t="s">
        <v>633</v>
      </c>
      <c r="C633" t="str">
        <f>IFERROR(__xludf.DUMMYFUNCTION("GOOGLETRANSLATE(B633, ""zh"", ""en"")"),"Inexpensive! S family of vitamins in the country, it is difficult to buy such a cheap, less than 130, mostly authentic! Good good. We hope that activities often.")</f>
        <v>Inexpensive! S family of vitamins in the country, it is difficult to buy such a cheap, less than 130, mostly authentic! Good good. We hope that activities often.</v>
      </c>
    </row>
    <row r="634">
      <c r="A634" s="1">
        <v>5.0</v>
      </c>
      <c r="B634" s="1" t="s">
        <v>634</v>
      </c>
      <c r="C634" t="str">
        <f>IFERROR(__xludf.DUMMYFUNCTION("GOOGLETRANSLATE(B634, ""zh"", ""en"")"),"Kick kick is not bad not bad deserved reputation well-deserved reputation, is a little big, but good, this winter wear thick socks will not feel small.")</f>
        <v>Kick kick is not bad not bad deserved reputation well-deserved reputation, is a little big, but good, this winter wear thick socks will not feel small.</v>
      </c>
    </row>
    <row r="635">
      <c r="A635" s="1">
        <v>5.0</v>
      </c>
      <c r="B635" s="1" t="s">
        <v>635</v>
      </c>
      <c r="C635" t="str">
        <f>IFERROR(__xludf.DUMMYFUNCTION("GOOGLETRANSLATE(B635, ""zh"", ""en"")"),"Multiple purchases a very appropriate color are good size")</f>
        <v>Multiple purchases a very appropriate color are good size</v>
      </c>
    </row>
    <row r="636">
      <c r="A636" s="1">
        <v>5.0</v>
      </c>
      <c r="B636" s="1" t="s">
        <v>636</v>
      </c>
      <c r="C636" t="str">
        <f>IFERROR(__xludf.DUMMYFUNCTION("GOOGLETRANSLATE(B636, ""zh"", ""en"")"),"Great watch very beautiful. Technological sense but relatively low-key, ready to buy one give as gifts")</f>
        <v>Great watch very beautiful. Technological sense but relatively low-key, ready to buy one give as gifts</v>
      </c>
    </row>
    <row r="637">
      <c r="A637" s="1">
        <v>5.0</v>
      </c>
      <c r="B637" s="1" t="s">
        <v>637</v>
      </c>
      <c r="C637" t="str">
        <f>IFERROR(__xludf.DUMMYFUNCTION("GOOGLETRANSLATE(B637, ""zh"", ""en"")"),"My favorite brand is very like it, good quality, fast speed mail, 511 is my favorite brand. Warm days, there is a little thin with no flexibility, I would also like to buy. 👍👍👍")</f>
        <v>My favorite brand is very like it, good quality, fast speed mail, 511 is my favorite brand. Warm days, there is a little thin with no flexibility, I would also like to buy. 👍👍👍</v>
      </c>
    </row>
    <row r="638">
      <c r="A638" s="1">
        <v>5.0</v>
      </c>
      <c r="B638" s="1" t="s">
        <v>638</v>
      </c>
      <c r="C638" t="str">
        <f>IFERROR(__xludf.DUMMYFUNCTION("GOOGLETRANSLATE(B638, ""zh"", ""en"")"),"A lot cheaper from order to receipt of a total of seven days than the domestic counter, is simply amazing speed! Fabric good, relatively soft, and I wear this 160/135 XL is just right, liberal bias, very fit! like!")</f>
        <v>A lot cheaper from order to receipt of a total of seven days than the domestic counter, is simply amazing speed! Fabric good, relatively soft, and I wear this 160/135 XL is just right, liberal bias, very fit! like!</v>
      </c>
    </row>
    <row r="639">
      <c r="A639" s="1">
        <v>2.0</v>
      </c>
      <c r="B639" s="1" t="s">
        <v>639</v>
      </c>
      <c r="C639" t="str">
        <f>IFERROR(__xludf.DUMMYFUNCTION("GOOGLETRANSLATE(B639, ""zh"", ""en"")"),"Packaging sucks November 24 Kusakabe single, December 18 did not receive the goods. Packaging sucks, like being opened several times, manual control, the current can be determined at least two gaskets which, though not worth, but feel uncomfortable. The n"&amp;"on-professionals direct mounting, lead to disastrous consequences. We hope to be able to improve it.")</f>
        <v>Packaging sucks November 24 Kusakabe single, December 18 did not receive the goods. Packaging sucks, like being opened several times, manual control, the current can be determined at least two gaskets which, though not worth, but feel uncomfortable. The non-professionals direct mounting, lead to disastrous consequences. We hope to be able to improve it.</v>
      </c>
    </row>
    <row r="640">
      <c r="A640" s="1">
        <v>3.0</v>
      </c>
      <c r="B640" s="1" t="s">
        <v>640</v>
      </c>
      <c r="C640" t="str">
        <f>IFERROR(__xludf.DUMMYFUNCTION("GOOGLETRANSLATE(B640, ""zh"", ""en"")"),"Bluetooth connection is not smooth sounds good, that is Bluetooth connection is not smooth feeling, there is the Bluetooth connection range is relatively small")</f>
        <v>Bluetooth connection is not smooth sounds good, that is Bluetooth connection is not smooth feeling, there is the Bluetooth connection range is relatively small</v>
      </c>
    </row>
    <row r="641">
      <c r="A641" s="1">
        <v>3.0</v>
      </c>
      <c r="B641" s="1" t="s">
        <v>641</v>
      </c>
      <c r="C641" t="str">
        <f>IFERROR(__xludf.DUMMYFUNCTION("GOOGLETRANSLATE(B641, ""zh"", ""en"")"),"Experience material in general, not very good after wearing somatosensory")</f>
        <v>Experience material in general, not very good after wearing somatosensory</v>
      </c>
    </row>
    <row r="642">
      <c r="A642" s="1">
        <v>3.0</v>
      </c>
      <c r="B642" s="1" t="s">
        <v>642</v>
      </c>
      <c r="C642" t="str">
        <f>IFERROR(__xludf.DUMMYFUNCTION("GOOGLETRANSLATE(B642, ""zh"", ""en"")"),"Origin Honduras is not recommended to wear thin fabric also more comfortable version good workmanship is appalling miserable pin")</f>
        <v>Origin Honduras is not recommended to wear thin fabric also more comfortable version good workmanship is appalling miserable pin</v>
      </c>
    </row>
    <row r="643">
      <c r="A643" s="1">
        <v>1.0</v>
      </c>
      <c r="B643" s="1" t="s">
        <v>643</v>
      </c>
      <c r="C643" t="str">
        <f>IFERROR(__xludf.DUMMYFUNCTION("GOOGLETRANSLATE(B643, ""zh"", ""en"")"),"Cup spicy chicken &lt;div id = ""video-block-RTKYCCRU8K5JQ"" class = ""a-section a-spacing-small a-spacing-top-mini video-block""&gt; &lt;div tabindex = ""0"" class = ""airy airy- svg vmin-unsupported airy-skin-beacon ""style ="" background-color: rgb (0, 0, 0); p"&amp;"osition: relative; width: 100%; height: 100%; font-size: 0px; overflow: hidden; outline: none; ""&gt; &lt;div class ="" airy-renderer-container ""style ="" position: relative; height: 100%; width: 100%; ""&gt; &lt;video id ="" 7 ""preload ="" auto ""src = ""https://i"&amp;"mages-cn.ssl-images-amazon.com/images/I/81W7m7mzzqS.mp4"" style = ""position: absolute; left: 0px; top: 0px; overflow: hidden; height: 1px; width: 1px; ""&gt; &lt;/ video&gt; &lt;/ div&gt; &lt;div id ="" airy-slate-preload ""style ="" background-color: rgb (0, 0, 0); backg"&amp;"round-image: url (&amp; quot; https: / /images-cn.ssl-images-amazon.com/images/I/81IcDvWnHOS.png&amp;quot;); background-size: contain; background-position: center center; background-repeat: no-repeat; position: absolute; top: 0px; left: 0px; visibility: visible; "&amp;"width: 100%; height: 100%; ""&gt; &lt;/ div&gt; &lt;iframe scrolling ="" no ""Frameborder ="" 0 ""src ="" about: blank ""style ="" display: none; ""&gt; &lt;/ iframe&gt; &lt;div tabindex ="" - 1 ""class ="" airy-controls-container ""style ="" opacity: 0; visibility: hidden; ""&gt; "&amp;"&lt;div tabindex ="" - 1 ""class ="" airy-screen-size-toggle airy-fullscreen ""&gt; &lt;/ div&gt; &lt;div tabindex ="" - 1 ""class ="" airy-container-bottom "" &gt; &lt;div tabindex = ""- 1"" class = ""airy-track-bar-spacer-left"" style = ""width: 11px;""&gt; &lt;/ div&gt; &lt;div tabind"&amp;"ex = ""- 1"" class = ""airy-play- toggle airy-play ""style ="" width: 12px; margin-right: 12px; ""&gt; &lt;/ div&gt; &lt;div tabindex ="" - 1 ""class ="" airy-audio-elements ""style ="" float: right; width: 34px; ""&gt; &lt;div tabindex ="" - 1 ""class ="" airy-audio-toggl"&amp;"e airy-on ""&gt; &lt;/ div&gt; &lt;div tabindex ="" - 1 ""class ="" airy-audio-container ""style ="" opacity : 0; visibility: hidden; ""&gt; &lt;div tabindex ="" - 1 ""class ="" airy-audio-track-bar ""style ="" height: 80%; ""&gt; &lt;div tabindex ="" - 1 ""class ="" airy -audio"&amp;"-scrubber-bar ""style ="" height: 85%; ""&gt; &lt;/ div&gt; &lt;div tabindex ="" - 1 ""class ="" airy-audio-scrubber ""style ="" height: 12px; bottom: 85%; ""&gt; &lt;/ div&gt; &lt;/ div&gt; &lt;/ div&gt; &lt;/ div&gt; &lt;div tabindex ="" - 1 ""class ="" airy-duration-label ""style ="" f loat: r"&amp;"ight; width: 26px; margin-right: 4px; text-align: center; ""&gt; 0:00 &lt;/ div&gt; &lt;div tabindex ="" - 1 ""class ="" airy-track-bar-spacer-right "" style = ""float: right; width: 11px;""&gt; &lt;/ div&gt; &lt;div tabindex = ""- 1"" class = ""airy-track-bar-container"" style "&amp;"= ""margin-left: 35px; margin-right: 75px ; ""&gt; &lt;div tabindex ="" - 1 ""class ="" airy-track-bar airy-vertical-centering-table ""&gt; &lt;div tabindex ="" - 1 ""class ="" airy-vertical-centering-table-cell ""&gt; &lt;div tabindex = ""- 1"" class = ""airy-track-bar-el"&amp;"ements""&gt; &lt;div tabindex = ""- 1"" class = ""airy-progress-bar""&gt; &lt;/ div&gt; &lt;div tabindex = ""- 1"" class = ""airy-scrubber-bar""&gt; &lt;/ div&gt; &lt;div tabindex = ""- 1"" class = ""airy-scrubber""&gt; &lt;div tabindex = ""- 1"" class = ""airy-scrubber-icon""&gt; &lt;/ div&gt; &lt;div"&amp;" tabindex = ""- 1"" class = ""airy-adjusted-aui-tooltip"" style = ""opacity: 0; visibility: hidden;""&gt; &lt;div tabindex = ""- 1"" class = ""airy-adjusted-aui -tooltip-inner ""&gt; &lt;div tabindex ="" - 1 ""class ="" airy-current-time-label ""&gt; 0:00 &lt;/ div&gt; &lt;/ div"&amp;"&gt; &lt;div tabindex ="" - 1 ""class ="" airy- adjusted-aui-arrow-border ""&gt; &lt;div tabindex ="" - 1 ""class ="" airy-adjusted-aui-arrow ""&gt; &lt;/ div&gt; &lt;/ div&gt; &lt;/ div&gt; &lt;/ d iv&gt; &lt;/ div&gt; &lt;/ div&gt; &lt;/ div&gt; &lt;/ div&gt; &lt;/ div&gt; &lt;/ div&gt; &lt;div tabindex = ""- 1"" class = ""airy-a"&amp;"ge-gate airy-stage airy-vertical-centering -table airy-dialog ""style ="" opacity: 0; visibility: hidden; ""&gt; &lt;div tabindex ="" - 1 ""class ="" airy-age-gate-vertical-centering-table-cell airy-vertical-centering-table -cell ""&gt; &lt;div tabindex ="" - 1 ""cla"&amp;"ss ="" airy-vertical-centering-wrapper airy-age-gate-elements-wrapper ""&gt; &lt;div tabindex ="" - 1 ""class ="" airy-age-gate- elements airy-dialog-elements ""&gt; &lt;div tabindex ="" - 1 ""class ="" airy-age-gate-prompt ""&gt; This video is not intended for all audi"&amp;"ences What date were you born &lt;/ div&gt; &lt;div tabindex.? = ""- 1"" class = ""airy-age-gate-inputs airy-dialog-inner-elements""&gt; &lt;select tabindex = ""- 1"" class = ""airy-age-gate-month""&gt; &lt;option value = ""1 ""&gt; January &lt;/ option&gt; &lt;option value ="" 2 ""&gt; Feb"&amp;"ruary &lt;/ option&gt; &lt;option value ="" 3 ""&gt; March &lt;/ option&gt; &lt;option value ="" 4 ""&gt; April &lt;/ option&gt; &lt;option value = ""5""&gt; May &lt;/ option&gt; &lt;option value = ""6""&gt; June &lt;/ option&gt; &lt;option value = ""7""&gt; July &lt;/ option&gt; &lt;option value = ""8""&gt; August &lt;/ option&gt;"&amp;" &lt;option value = ""9""&gt; September &lt;/ option&gt; &lt;option value = ""10 ""&gt; October &lt;/ option&gt; &lt;option value ="" 11 ""&gt; November &lt;/ option&gt; &lt;option value ="" 12 ""&gt; December &lt;/ option&gt; &lt;/ select&gt; &lt;select tabindex ="" - 1 ""class ="" airy- age-gate-day ""&gt; &lt;opti"&amp;"on value ="" 1 ""&gt; 1 &lt;/ option&gt; &lt;option value ="" 2 ""&gt; 2 &lt;/ option&gt; &lt;option value ="" 3 ""&gt; 3 &lt;/ option&gt; &lt;option value = ""4""&gt; 4 &lt;/ option&gt; &lt;option value = ""5""&gt; 5 &lt;/ option&gt; &lt;option value = ""6""&gt; 6 &lt;/ option&gt; &lt;option value = ""7""&gt; 7 &lt;/ option&gt; &lt;opti"&amp;"on value = ""8""&gt; 8 &lt;/ option&gt; &lt;option value = ""9""&gt; 9 &lt;/ option&gt; &lt;option value = ""10""&gt; 10 &lt;/ option&gt; &lt;option value = ""11""&gt; 11 &lt;/ option&gt; &lt;option value = ""12""&gt; 12 &lt;/ option&gt; &lt;option value = ""13""&gt; 13 &lt;/ option&gt; &lt;option value = ""14""&gt; 14 &lt;/ option"&amp;"&gt; &lt;option value = ""15""&gt; 15 &lt;/ option&gt; &lt;option value = ""16""&gt; 16 &lt;/ option&gt; &lt;option value = ""17""&gt; 17 &lt;/ option&gt; &lt;option value = ""18""&gt; 18 &lt;/ option&gt; &lt;option value = ""19""&gt; 19 &lt;/ option&gt; &lt;option value = ""20""&gt; 20 &lt;/ option&gt; &lt;option value = ""21""&gt; 2"&amp;"1 &lt;/ option&gt; &lt;option value = ""22""&gt; 22 &lt;/ option&gt; &lt;option value = ""23"" &gt; 23 &lt;/ option&gt; &lt;option value = ""24""&gt; 24 &lt;/ option&gt; &lt;option value = ""25""&gt; 25 &lt;/ option&gt; &lt;option value = ""26""&gt; 26 &lt;/ option&gt; &lt;option value = "" 27 ""&gt; 27 &lt;/ option&gt; &lt;option val"&amp;"ue ="" 28 ""&gt; 28 &lt;/ option&gt; &lt;option value ="" 29 ""&gt; 29 &lt;/ option&gt; &lt; option value = ""30""&gt; 30 &lt;/ option&gt; &lt;option value = ""31""&gt; 31 &lt;/ option&gt; &lt;/ select&gt; &lt;select tabindex = ""- 1"" class = ""airy-age-gate-year""&gt; &lt; option value = ""2019""&gt; 2019 &lt;/ option"&amp;"&gt; &lt;option value = ""2018""&gt; 2018 &lt;/ option&gt; &lt;option value = ""2017""&gt; 2017 &lt;/ option&gt; &lt;option value = ""2016""&gt; ​​2016 &lt;/ option &gt; &lt;option value = ""2015""&gt; 2015 &lt;/ option&gt; &lt;option value = ""2014""&gt; 2014 &lt;/ option&gt; &lt;option value = ""2013""&gt; 2013 &lt;/ option"&amp;"&gt; &lt;option value = ""2012""&gt; 2012 &lt; / option&gt; &lt;option value = ""2011""&gt; 2011 &lt;/ option&gt; &lt;option value = ""2010""&gt; 2010 &lt;/ option&gt; &lt;option value = ""2009""&gt; 2009 &lt;/ option&gt; &lt;option value = ""2008""&gt; 2008 &lt;/ option&gt; &lt;option value = ""2007""&gt; 2007 &lt;/ option&gt; "&amp;"&lt;option value = ""2006""&gt; 2006 &lt;/ option&gt; &lt;option value = ""2005""&gt; 2005 &lt;/ option&gt; &lt;option value = ""2004 ""&gt; 2004 &lt;/ option&gt; &lt;option value ="" 2003 ""&gt; 2003 &lt;/ option&gt; &lt;option value ="" 2002 ""&gt; 2002 &lt;/ option&gt; &lt;option value ="" 2001 ""&gt; 2001 &lt;/ option&gt;"&amp;" &lt;option value = ""2000""&gt; 2000 &lt;/ option&gt; &lt;option value = ""1999""&gt; 1999 &lt;/ option&gt; &lt;option value = ""1998""&gt; 1998 &lt;/ option&gt; &lt;option value = ""1997""&gt; 1997 &lt;/ option&gt; &lt;option value = ""1996""&gt; 1996 &lt;/ option&gt; &lt;option value = ""1995""&gt; 1995 &lt;/ option&gt; &lt;o"&amp;"ption value = ""1994""&gt; 1994 &lt;/ option &gt; &lt;Option value = ""1993""&gt; 1993 &lt;/ option&gt; &lt;option value = ""1992""&gt; 1992 &lt;/ option&gt; &lt;option value = ""1991""&gt; 1991 &lt;/ option&gt; &lt;option value = ""1990""&gt; 1990 &lt; / option&gt; &lt;option value = ""1989""&gt; 1989 &lt;/ option&gt; &lt;op"&amp;"tion value = ""1988""&gt; 1988 &lt;/ option&gt; &lt;option value = ""1987""&gt; 1987 &lt;/ option&gt; &lt;option value = ""1986""&gt; 1986 &lt;/ option&gt; &lt;option value = ""1985""&gt; 1985 &lt;/ option&gt; &lt;option value = ""1984""&gt; 1984 &lt;/ option&gt; &lt;option value = ""1983""&gt; 1983 &lt;/ option&gt; &lt;optio"&amp;"n value = ""1982 ""&gt; 1982 &lt;/ option&gt; &lt;option value ="" 1981 ""&gt; 1981 &lt;/ option&gt; &lt;option value ="" 1980 ""&gt; 1980 &lt;/ option&gt; &lt;option value ="" 1979 ""&gt; 1979 &lt;/ option&gt; &lt;option value = ""1978""&gt; 1978 &lt;/ option&gt; &lt;option value = ""1977""&gt; 1977 &lt;/ option&gt; &lt;opti"&amp;"on value = ""1976""&gt; 1976 &lt;/ option&gt; &lt;option value = ""1975""&gt; 1975 &lt;/ option&gt; &lt;option value = ""1974""&gt; 1974 &lt;/ option&gt; &lt;option value = ""1973""&gt; 1973 &lt;/ option&gt; &lt;option value = ""1972""&gt; 1972 &lt;/ option&gt; &lt;option value = ""1971""&gt; 1971 &lt;/ option&gt; &lt;option "&amp;"value = ""1970""&gt; 1970 &lt;/ option&gt; &lt;option value = ""1969""&gt; 1969 &lt;/ option&gt; &lt;option value = ""1968""&gt; 1968 &lt;/ option&gt; &lt;option value = ""1967""&gt; 1967 &lt;/ option&gt; &lt;option value = ""1966""&gt; 1966 &lt;/ option&gt; &lt;option value = ""1965""&gt; 1965 &lt;/ option&gt; &lt;option val"&amp;"ue = ""1964""&gt; 1964 &lt;/ option&gt; &lt;option value = ""1963""&gt; 1963 &lt;/ option&gt; &lt;option value = ""1962""&gt; 1962 &lt;/ option&gt; &lt;option value = ""1961""&gt; 1961 &lt;/ option&gt; &lt; option value = ""1960""&gt; 1960 &lt;/ option&gt; &lt;option value = ""1959""&gt; 1959 &lt;/ option&gt; &lt;option value"&amp;" = ""1958""&gt; 1958 &lt;/ option&gt; &lt;option value = ""1957""&gt; 1957 &lt;/ option &gt; &lt;option value = ""1956""&gt; 1956 &lt;/ option&gt; &lt;option value = ""1955""&gt; 1955 &lt;/ option&gt; &lt;option value = ""1954""&gt; 1954 &lt;/ option&gt; &lt;option value = ""1953""&gt; 1953 &lt; / option&gt; &lt;option value "&amp;"= ""1952""&gt; 1952 &lt;/ option&gt; &lt;option value = ""1951""&gt; 1951 &lt;/ option&gt; &lt;option value = ""1950""&gt; 1950 &lt;/ option&gt; &lt;option value = ""1949""&gt; 1949 &lt;/ option&gt; &lt;option value = ""1948""&gt; 1948 &lt;/ option&gt; &lt;option value = ""1947""&gt; 1947 &lt;/ option&gt; &lt;option value = "&amp;"""1946""&gt; 1946 &lt;/ option&gt; &lt;option value = ""1945 ""&gt; 1945 &lt;/ option&gt; &lt;option value ="" 1944 ""&gt; 1944 &lt;/ option&gt; &lt;option value ="" 1943 ""&gt; 1943 &lt;/ option&gt; &lt;option value ="" 1942 ""&gt; 1942 &lt;/ option&gt; &lt;option value = ""1941""&gt; 1941 &lt;/ option&gt; &lt;option value ="&amp;" ""1940""&gt; 1940 &lt;/ option&gt; &lt;option value = ""1939""&gt; 1939 &lt;/ option&gt; &lt;option value = ""1938""&gt; 1938 &lt;/ option&gt; &lt;option value = ""1937""&gt; 1937 &lt;/ option&gt; &lt;option value = ""1936""&gt; 1936 &lt;/ option&gt; &lt;option value = ""1935""&gt; 1935 &lt;/ option&gt; &lt;option value = """&amp;"1934""&gt; 1934 &lt;/ option&gt; &lt;option value = ""1933""&gt; 1933 &lt;/ option&gt; &lt;option value = ""1932""&gt; 1932 &lt;/ option&gt; &lt;option value = ""1931""&gt; 1931 &lt;/ option&gt; &lt;option value = ""1930""&gt; 1930 &lt;/ option&gt; &lt;option value = ""1929""&gt; 1929 &lt;/ option&gt; &lt;option value = ""192"&amp;"8""&gt; 1928 &lt;/ option&gt; &lt;option value = ""1927"" &gt; 1927 &lt;/ option&gt; &lt;option value = ""1926""&gt; 1926 &lt;/ option&gt; &lt;option value = ""1925""&gt; 1925 &lt;/ option&gt; &lt;option value = ""1924""&gt; 1924 &lt;/ option&gt; &lt;option value = "" 1923 ""&gt; 1923 &lt;/ option&gt; &lt;option value ="" 192"&amp;"2 ""&gt; 1922 &lt;/ option&gt; &lt;option value ="" 1921 ""&gt; 1921 &lt;/ option&gt; &lt;option value ="" 1920 ""&gt; 1920 &lt;/ option&gt; &lt;option value = ""1919""&gt; 1919 &lt;/ option&gt; &lt;option value = ""1918""&gt; 1918 &lt;/ option&gt; &lt;option value = ""1917""&gt; 1917 &lt;/ option&gt; &lt;option value = ""191"&amp;"6""&gt; 1916 &lt;/ option&gt; &lt; option value = ""1915""&gt; 1915 &lt;/ option&gt; &lt;option value = ""1914""&gt; 1914 &lt;/ option&gt; &lt;option value = ""1913""&gt; 1913 &lt;/ option&gt; &lt;option value = ""1912""&gt; 1912 &lt;/ option &gt; &lt;option value = ""1911""&gt; 1911 &lt;/ option&gt; &lt;option value = ""1910"&amp;"""&gt; 1910 &lt;/ option&gt; &lt;option value = ""1909""&gt; 1909 &lt;/ option&gt; &lt;option value = ""1908""&gt; 1908 &lt; / option&gt; &lt;option value = ""1907""&gt; 1907 &lt;/ option&gt; &lt;option value = ""1906""&gt; 1906 &lt;/ option&gt; &lt;option value = ""1905""&gt; 1905 &lt;/ option&gt; &lt;option value = ""1904"""&amp;"&gt; 1904 &lt;/ option&gt; &lt;option value = ""1903""&gt; 1903 &lt;/ option&gt; &lt;option value = ""1902""&gt; 1902 &lt;/ option&gt; &lt;option value = ""1901""&gt; 1901 &lt;/ option&gt; &lt;option value = ""1900""&gt; 1900 &lt;/ option&gt; &lt;/ select&gt; &lt;div tabindex = ""- 1"" class = ""airy-age-gate-submit air"&amp;"y- submit airy-button airy-submit-disabled ""&gt; Submit &lt;/ div&gt; &lt;/ div&gt; &lt;/ div&gt; &lt;/ div&gt; &lt;/ div&gt; &lt;/ div&gt; &lt;div tabindex ="" - 1 ""class ="" airy-install -flash-dialog airy-stage airy-vertical-centering-table airy-dialog airy-denied ""style ="" opacity: 0; vis"&amp;"ibility: hidden; ""&gt; &lt;div tabindex ="" - 1 ""class ="" airy-install-flash -vertical-centering-table-cell airy-vertical-centering-table-cell ""&gt; &lt;div tabindex ="" - 1 ""class ="" airy-vertical-centering-wrapper airy-install-flash-elements-wrapper ""&gt; &lt;div "&amp;"tabindex = ""- 1"" class = ""airy-install-flash-elements airy-dialog-elements""&gt; &lt;div tabindex = ""- 1"" class = ""airy-install-flash-prompt""&gt; Adobe Flash Player is required to watch . this video &lt;/ div&gt; &lt;div tabindex = ""- 1"" class = ""airy-install-fla"&amp;"sh-button-wrapper airy-dialog-inner-elements""&gt; &lt;div tabindex = ""- 1"" cl ass = ""airy-install-flash-button airy-button""&gt; Install Flash Player &lt;/ div&gt; &lt;/ div&gt; &lt;/ div&gt; &lt;/ div&gt; &lt;/ div&gt; &lt;/ div&gt; &lt;div tabindex = ""- 1"" class = ""airy-video-unsupported-dialo"&amp;"g airy-stage airy-vertical-centering-table airy-dialog airy-denied"" style = ""opacity: 0; visibility: hidden;""&gt; &lt;div tabindex = ""- 1"" class = ""airy-video-unsupported-vertical-centering-table-cell airy-vertical-centering-table-cell""&gt; &lt;div tabindex = "&amp;"""- 1"" class = ""airy-vertical-centering-wrapper airy-video-unsupported-elements -wrapper ""&gt; &lt;div tabindex ="" - 1 ""class ="" airy-video-unsupported-elements airy-dialog-elements ""&gt; &lt;div tabindex ="" - 1 ""class ="" airy-video-unsupported-prompt ""&gt; &lt;"&amp;" / div&gt; &lt;/ div&gt; &lt;/ div&gt; &lt;/ div&gt; &lt;/ div&gt; &lt;div tabindex = ""- 1"" class = ""airy-loading-spinner-stage airy-stage""&gt; &lt;div tabindex = ""- 1"" class = ""airy-loading-spinner-vertical-centering-table-cell airy-vertical-centering-table-cell""&gt; &lt;div tabindex = "&amp;"""- 1"" class = ""airy-loading-spinner-container airy-scalable-hint -container ""&gt; &lt;div tabindex ="" - 1 ""class ="" airy-loading-spinner-dummy airy-scalable-dummy ""&gt; &lt;/ div&gt; &lt;div tabinde x = ""- 1"" class = ""airy-loading-spinner airy-hint"" style = ""v"&amp;"isibility: hidden;""&gt; &lt;/ div&gt; &lt;/ div&gt; &lt;/ div&gt; &lt;/ div&gt; &lt;div tabindex = ""- 1 ""class ="" airy-ads-screen-size-toggle airy-screen-size-toggle airy-fullscreen ""style ="" visibility: hidden; ""&gt; &lt;/ div&gt; &lt;div tabindex ="" - 1 ""class ="" airy- ad-prompt-conta"&amp;"iner ""style ="" visibility: hidden; ""&gt; &lt;div tabindex ="" - 1 ""class ="" airy-ad-prompt-vertical-centering-table airy-vertical-centering-table ""&gt; &lt;div tabindex = ""-1"" class = ""airy-ad-prompt-vertical-centering-table-cell airy-vertical-centering-tabl"&amp;"e-cell""&gt; &lt;div tabindex = ""- 1"" class = ""airy-ad-prompt-label"" &gt; &lt;/ div&gt; &lt;/ div&gt; &lt;/ div&gt; &lt;/ div&gt; &lt;div tabindex = ""- 1"" class = ""airy-ads-controls-container"" style = ""visibility: hidden;""&gt; &lt;div tabindex = "" -1 ""class ="" airy-ads-audio-toggle a"&amp;"iry-audio-toggle airy-on ""style ="" visibility: hidden; ""&gt; &lt;/ div&gt; &lt;div tabindex ="" - 1 ""class ="" airy-time- remaining-label-container ""&gt; &lt;div tabindex ="" - 1 ""class ="" airy-time-remaining-vertical-centering-table airy-vertical-centering-table """&amp;"&gt; &lt;div tabindex ="" - 1 ""class ="" airy -time-remaining-vertical-cente ring-table-cell airy-vertical-centering-table-cell ""&gt; &lt;div tabindex ="" - 1 ""class ="" airy-vertical-centering-wrapper airy-time-remaining-label-wrapper ""&gt; &lt;div tabindex ="" -1 ""c"&amp;"lass ="" airy-time-remaining-label ""style ="" visibility: hidden; ""&gt; &lt;/ div&gt; &lt;div tabindex ="" - 1 ""class ="" airy-ad-skip ""style ="" visibility: hidden ; ""&gt; &lt;/ div&gt; &lt;div tabindex ="" - 1 ""class ="" airy-ad-end ""style ="" visibility: hidden; ""&gt; &lt;/"&amp;" div&gt; &lt;/ div&gt; &lt;/ div&gt; &lt;/ div&gt; &lt; / div&gt; &lt;div tabindex = ""- 1"" class = ""airy-learn-more"" style = ""visibility: hidden;""&gt; &lt;/ div&gt; &lt;/ div&gt; &lt;div tabindex = ""- 1"" class = ""airy- play-toggle-hint-stage airy-stage airy-cursor ""&gt; &lt;div tabindex ="" - 1 ""c"&amp;"lass ="" airy-play-toggle-hint-vertical-centering-table-cell airy-vertical-centering-table-cell airy-cursor ""&gt; &lt;div tabindex ="" - 1 ""class ="" airy-play-toggle-hint-container airy-scalable-hint-container ""&gt; &lt;div tabindex ="" - 1 ""class ="" airy-play-"&amp;"toggle -hint-dummy airy-scalable-dummy ""&gt; &lt;/ div&gt; &lt;div tabindex ="" - 1 ""class ="" airy-play-toggle-hint airy-hint airy-play-hint ""style ="" opacity: 1; visibility : visible; ""&gt; &lt;/ div&gt; &lt;/ div&gt; &lt;/ div&gt; &lt;/ div&gt; &lt;d iv tabindex = ""- 1"" class = ""airy-r"&amp;"eplay-hint-stage airy-stage"" style = ""visibility: hidden;""&gt; &lt;div tabindex = ""- 1"" class = ""airy-replay-hint-vertical-centering -table-cell airy-vertical-centering-table-cell airy-cursor ""&gt; &lt;div tabindex ="" - 1 ""class ="" airy-replay-hint-containe"&amp;"r airy-scalable-hint-container ""&gt; &lt;div tabindex ="" -1 ""class ="" airy-replay-hint-dummy airy-scalable-dummy ""&gt; &lt;/ div&gt; &lt;div tabindex ="" - 1 ""class ="" airy-replay-hint airy-hint ""&gt; &lt;/ div&gt; &lt; / div&gt; &lt;/ div&gt; &lt;/ div&gt; &lt;div tabindex = ""- 1"" class = """&amp;"airy-autoplay-hint-stage airy-stage"" style = ""visibility: hidden;""&gt; &lt;div tabindex = ""- 1"" class = ""airy-autoplay-hint-vertical-centering-table-cell airy-vertical-centering-table-cell airy-cursor""&gt; &lt;div tabindex = ""- 1"" class = ""airy-autoplay-hin"&amp;"t-container airy- scalable-hint-container ""&gt; &lt;div tabindex ="" - 1 ""class ="" airy-autoplay-hint-dummy airy-scalable-dummy ""&gt; &lt;/ div&gt; &lt;/ div&gt; &lt;/ div&gt; &lt;/ div&gt; &lt;/ div&gt; &lt;/ div&gt; &lt;input type = ""hidden"" name = """" value = ""https://images-cn.ssl-images-am"&amp;"azon.com/images/I/81W7m7mzzqS.mp4"" class = ""video-url ""&gt; &lt;input type ="" hidden ""name ="" "" value = ""https://images-cn.ssl-images-amazon.com/images/I/81IcDvWnHOS.png"" class = ""video-slate-img-url""&gt; &amp; nbsp; such as video, voice shaking when the cu"&amp;"p , insulation should be out of the question, annoying, is the pit of money, really served.")</f>
        <v>Cup spicy chicken &lt;div id = "video-block-RTKYCCRU8K5JQ" class = "a-section a-spacing-small a-spacing-top-mini video-block"&gt; &lt;div tabindex = "0" class = "airy airy- svg vmin-unsupported airy-skin-beacon "style =" background-color: rgb (0, 0, 0); position: relative; width: 100%; height: 100%; font-size: 0px; overflow: hidden; outline: none; "&gt; &lt;div class =" airy-renderer-container "style =" position: relative; height: 100%; width: 100%; "&gt; &lt;video id =" 7 "preload =" auto "src = "https://images-cn.ssl-images-amazon.com/images/I/81W7m7mzzqS.mp4" style = "position: absolute; left: 0px; top: 0px; overflow: hidden; height: 1px; width: 1px; "&gt; &lt;/ video&gt; &lt;/ div&gt; &lt;div id =" airy-slate-preload "style =" background-color: rgb (0, 0, 0); background-image: url (&amp; quot; https: / /images-cn.ssl-images-amazon.com/images/I/81IcDvWnHOS.png&amp;quot;); background-size: contain; background-position: center center; background-repeat: no-repeat; position: absolute; top: 0px; left: 0px; visibility: visible; width: 100%; height: 100%; "&gt; &lt;/ div&gt; &lt;iframe scrolling =" no "Frameborder =" 0 "src =" about: blank "style =" display: none; "&gt; &lt;/ iframe&gt; &lt;div tabindex =" - 1 "class =" airy-controls-container "style =" opacity: 0; visibility: hidden; "&gt; &lt;div tabindex =" - 1 "class =" airy-screen-size-toggle airy-fullscreen "&gt; &lt;/ div&gt; &lt;div tabindex =" - 1 "class =" airy-container-bottom " &gt; &lt;div tabindex = "- 1" class = "airy-track-bar-spacer-left" style = "width: 11px;"&gt; &lt;/ div&gt; &lt;div tabindex = "- 1" class = "airy-play- toggle airy-play "style =" width: 12px; margin-right: 12px; "&gt; &lt;/ div&gt; &lt;div tabindex =" - 1 "class =" airy-audio-elements "style =" float: right; width: 34px; "&gt; &lt;div tabindex =" - 1 "class =" airy-audio-toggle airy-on "&gt; &lt;/ div&gt; &lt;div tabindex =" - 1 "class =" airy-audio-container "style =" opacity : 0; visibility: hidden; "&gt; &lt;div tabindex =" - 1 "class =" airy-audio-track-bar "style =" height: 80%; "&gt; &lt;div tabindex =" - 1 "class =" airy -audio-scrubber-bar "style =" height: 85%; "&gt; &lt;/ div&gt; &lt;div tabindex =" - 1 "class =" airy-audio-scrubber "style =" height: 12px; bottom: 85%; "&gt; &lt;/ div&gt; &lt;/ div&gt; &lt;/ div&gt; &lt;/ div&gt; &lt;div tabindex =" - 1 "class =" airy-duration-label "style =" f loat: right; width: 26px; margin-right: 4px; text-align: center; "&gt; 0:00 &lt;/ div&gt; &lt;div tabindex =" - 1 "class =" airy-track-bar-spacer-right " style = "float: right; width: 11px;"&gt; &lt;/ div&gt; &lt;div tabindex = "- 1" class = "airy-track-bar-container" style = "margin-left: 35px; margin-right: 75px ; "&gt; &lt;div tabindex =" - 1 "class =" airy-track-bar airy-vertical-centering-table "&gt; &lt;div tabindex =" - 1 "class =" airy-vertical-centering-table-cell "&gt; &lt;div tabindex = "- 1" class = "airy-track-bar-elements"&gt; &lt;div tabindex = "- 1" class = "airy-progress-bar"&gt; &lt;/ div&gt; &lt;div tabindex = "- 1" class = "airy-scrubber-bar"&gt; &lt;/ div&gt; &lt;div tabindex = "- 1" class = "airy-scrubber"&gt; &lt;div tabindex = "- 1" class = "airy-scrubber-icon"&gt; &lt;/ div&gt; &lt;div tabindex = "- 1" class = "airy-adjusted-aui-tooltip" style = "opacity: 0; visibility: hidden;"&gt; &lt;div tabindex = "- 1" class = "airy-adjusted-aui -tooltip-inner "&gt; &lt;div tabindex =" - 1 "class =" airy-current-time-label "&gt; 0:00 &lt;/ div&gt; &lt;/ div&gt; &lt;div tabindex =" - 1 "class =" airy- adjusted-aui-arrow-border "&gt; &lt;div tabindex =" - 1 "class =" airy-adjusted-aui-arrow "&gt; &lt;/ div&gt; &lt;/ div&gt; &lt;/ div&gt; &lt;/ d iv&gt; &lt;/ div&gt; &lt;/ div&gt; &lt;/ div&gt; &lt;/ div&gt; &lt;/ div&gt; &lt;/ div&gt; &lt;div tabindex = "- 1" class = "airy-age-gate airy-stage airy-vertical-centering -table airy-dialog "style =" opacity: 0; visibility: hidden; "&gt; &lt;div tabindex =" - 1 "class =" airy-age-gate-vertical-centering-table-cell airy-vertical-centering-table -cell "&gt; &lt;div tabindex =" - 1 "class =" airy-vertical-centering-wrapper airy-age-gate-elements-wrapper "&gt; &lt;div tabindex =" - 1 "class =" airy-age-gate- elements airy-dialog-elements "&gt; &lt;div tabindex =" - 1 "class =" airy-age-gate-prompt "&gt; This video is not intended for all audiences What date were you born &lt;/ div&gt; &lt;div tabindex.? = "- 1" class = "airy-age-gate-inputs airy-dialog-inner-elements"&gt; &lt;select tabindex = "- 1" class = "airy-age-gate-month"&gt; &lt;option value = "1 "&gt; January &lt;/ option&gt; &lt;option value =" 2 "&gt; February &lt;/ option&gt; &lt;option value =" 3 "&gt; March &lt;/ option&gt; &lt;option value =" 4 "&gt; April &lt;/ option&gt; &lt;option value = "5"&gt; May &lt;/ option&gt; &lt;option value = "6"&gt; June &lt;/ option&gt; &lt;option value = "7"&gt; July &lt;/ option&gt; &lt;option value = "8"&gt; August &lt;/ option&gt; &lt;option value = "9"&gt; September &lt;/ option&gt; &lt;option value = "10 "&gt; October &lt;/ option&gt; &lt;option value =" 11 "&gt; November &lt;/ option&gt; &lt;option value =" 12 "&gt; December &lt;/ option&gt; &lt;/ select&gt; &lt;select tabindex =" - 1 "class =" airy- age-gate-day "&gt; &lt;option value =" 1 "&gt; 1 &lt;/ option&gt; &lt;option value =" 2 "&gt; 2 &lt;/ option&gt; &lt;option value =" 3 "&gt; 3 &lt;/ option&gt; &lt;option value = "4"&gt; 4 &lt;/ option&gt; &lt;option value = "5"&gt; 5 &lt;/ option&gt; &lt;option value = "6"&gt; 6 &lt;/ option&gt; &lt;option value = "7"&gt; 7 &lt;/ option&gt; &lt;option value = "8"&gt; 8 &lt;/ option&gt; &lt;option value = "9"&gt; 9 &lt;/ option&gt; &lt;option value = "10"&gt; 10 &lt;/ option&gt; &lt;option value = "11"&gt; 11 &lt;/ option&gt; &lt;option value = "12"&gt; 12 &lt;/ option&gt; &lt;option value = "13"&gt; 13 &lt;/ option&gt; &lt;option value = "14"&gt; 14 &lt;/ option&gt; &lt;option value = "15"&gt; 15 &lt;/ option&gt; &lt;option value = "16"&gt; 16 &lt;/ option&gt; &lt;option value = "17"&gt; 17 &lt;/ option&gt; &lt;option value = "18"&gt; 18 &lt;/ option&gt; &lt;option value = "19"&gt; 19 &lt;/ option&gt; &lt;option value = "20"&gt; 20 &lt;/ option&gt; &lt;option value = "21"&gt; 21 &lt;/ option&gt; &lt;option value = "22"&gt; 22 &lt;/ option&gt; &lt;option value = "23" &gt; 23 &lt;/ option&gt; &lt;option value = "24"&gt; 24 &lt;/ option&gt; &lt;option value = "25"&gt; 25 &lt;/ option&gt; &lt;option value = "26"&gt; 26 &lt;/ option&gt; &lt;option value = " 27 "&gt; 27 &lt;/ option&gt; &lt;option value =" 28 "&gt; 28 &lt;/ option&gt; &lt;option value =" 29 "&gt; 29 &lt;/ option&gt; &lt; option value = "30"&gt; 30 &lt;/ option&gt; &lt;option value = "31"&gt; 31 &lt;/ option&gt; &lt;/ select&gt; &lt;select tabindex = "- 1" class = "airy-age-gate-year"&gt; &lt; option value = "2019"&gt; 2019 &lt;/ option&gt; &lt;option value = "2018"&gt; 2018 &lt;/ option&gt; &lt;option value = "2017"&gt; 2017 &lt;/ option&gt; &lt;option value = "2016"&gt; ​​2016 &lt;/ option &gt; &lt;option value = "2015"&gt; 2015 &lt;/ option&gt; &lt;option value = "2014"&gt; 2014 &lt;/ option&gt; &lt;option value = "2013"&gt; 2013 &lt;/ option&gt; &lt;option value = "2012"&gt; 2012 &lt; / option&gt; &lt;option value = "2011"&gt; 2011 &lt;/ option&gt; &lt;option value = "2010"&gt; 2010 &lt;/ option&gt; &lt;option value = "2009"&gt; 2009 &lt;/ option&gt; &lt;option value = "2008"&gt; 2008 &lt;/ option&gt; &lt;option value = "2007"&gt; 2007 &lt;/ option&gt; &lt;option value = "2006"&gt; 2006 &lt;/ option&gt; &lt;option value = "2005"&gt; 2005 &lt;/ option&gt; &lt;option value = "2004 "&gt; 2004 &lt;/ option&gt; &lt;option value =" 2003 "&gt; 2003 &lt;/ option&gt; &lt;option value =" 2002 "&gt; 2002 &lt;/ option&gt; &lt;option value =" 2001 "&gt; 2001 &lt;/ option&gt; &lt;option value = "2000"&gt; 2000 &lt;/ option&gt; &lt;option value = "1999"&gt; 1999 &lt;/ option&gt; &lt;option value = "1998"&gt; 1998 &lt;/ option&gt; &lt;option value = "1997"&gt; 1997 &lt;/ option&gt; &lt;option value = "1996"&gt; 1996 &lt;/ option&gt; &lt;option value = "1995"&gt; 1995 &lt;/ option&gt; &lt;option value = "1994"&gt; 1994 &lt;/ option &gt; &lt;Option value = "1993"&gt; 1993 &lt;/ option&gt; &lt;option value = "1992"&gt; 1992 &lt;/ option&gt; &lt;option value = "1991"&gt; 1991 &lt;/ option&gt; &lt;option value = "1990"&gt; 1990 &lt; / option&gt; &lt;option value = "1989"&gt; 1989 &lt;/ option&gt; &lt;option value = "1988"&gt; 1988 &lt;/ option&gt; &lt;option value = "1987"&gt; 1987 &lt;/ option&gt; &lt;option value = "1986"&gt; 1986 &lt;/ option&gt; &lt;option value = "1985"&gt; 1985 &lt;/ option&gt; &lt;option value = "1984"&gt; 1984 &lt;/ option&gt; &lt;option value = "1983"&gt; 1983 &lt;/ option&gt; &lt;option value = "1982 "&gt; 1982 &lt;/ option&gt; &lt;option value =" 1981 "&gt; 1981 &lt;/ option&gt; &lt;option value =" 1980 "&gt; 1980 &lt;/ option&gt; &lt;option value =" 1979 "&gt; 1979 &lt;/ option&gt; &lt;option value = "1978"&gt; 1978 &lt;/ option&gt; &lt;option value = "1977"&gt; 1977 &lt;/ option&gt; &lt;option value = "1976"&gt; 1976 &lt;/ option&gt; &lt;option value = "1975"&gt; 1975 &lt;/ option&gt; &lt;option value = "1974"&gt; 1974 &lt;/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"1966"&gt; 1966 &lt;/ option&gt; &lt;option value = "1965"&gt; 1965 &lt;/ option&gt; &lt;option value = "1964"&gt; 1964 &lt;/ option&gt; &lt;option value = "1963"&gt; 1963 &lt;/ option&gt; &lt;option value = "1962"&gt; 1962 &lt;/ option&gt; &lt;option value = "1961"&gt; 1961 &lt;/ option&gt; &lt; option value = "1960"&gt; 1960 &lt;/ option&gt; &lt;option value = "1959"&gt; 1959 &lt;/ option&gt; &lt;option value = "1958"&gt; 1958 &lt;/ option&gt; &lt;option value = "1957"&gt; 1957 &lt;/ option &gt; &lt;option value = "1956"&gt; 1956 &lt;/ option&gt; &lt;option value = "1955"&gt; 1955 &lt;/ option&gt; &lt;option value = "1954"&gt; 1954 &lt;/ option&gt; &lt;option value = "1953"&gt; 1953 &lt; / option&gt; &lt;option value = "1952"&gt; 1952 &lt;/ option&gt; &lt;option value = "1951"&gt; 1951 &lt;/ option&gt; &lt;option value = "1950"&gt; 1950 &lt;/ option&gt; &lt;option value = "1949"&gt; 1949 &lt;/ option&gt; &lt;option value = "1948"&gt; 1948 &lt;/ option&gt; &lt;option value = "1947"&gt; 1947 &lt;/ option&gt; &lt;option value = "1946"&gt; 1946 &lt;/ option&gt; &lt;option value = "1945 "&gt; 1945 &lt;/ option&gt; &lt;option value =" 1944 "&gt; 1944 &lt;/ option&gt; &lt;option value =" 1943 "&gt; 1943 &lt;/ option&gt; &lt;option value =" 1942 "&gt; 1942 &lt;/ option&gt; &lt;option value = "1941"&gt; 1941 &lt;/ option&gt; &lt;option value = "1940"&gt; 1940 &lt;/ option&gt; &lt;option value = "1939"&gt; 1939 &lt;/ option&gt; &lt;option value = "1938"&gt; 1938 &lt;/ option&gt; &lt;option value = "1937"&gt; 1937 &lt;/ option&gt; &lt;option value = "1936"&gt; 1936 &lt;/ option&gt; &lt;option value = "1935"&gt; 1935 &lt;/ option&gt; &lt;option value = "1934"&gt; 1934 &lt;/ option&gt; &lt;option value = "1933"&gt; 1933 &lt;/ option&gt; &lt;option value = "1932"&gt; 1932 &lt;/ option&gt; &lt;option value = "1931"&gt; 1931 &lt;/ option&gt; &lt;option value = "1930"&gt; 1930 &lt;/ option&gt; &lt;option value = "1929"&gt; 1929 &lt;/ option&gt; &lt;option value = "1928"&gt; 1928 &lt;/ option&gt; &lt;option value = "1927" &gt; 1927 &lt;/ option&gt; &lt;option value = "1926"&gt; 1926 &lt;/ option&gt; &lt;option value = "1925"&gt; 1925 &lt;/ option&gt; &lt;option value = "1924"&gt; 1924 &lt;/ option&gt; &lt;option value = " 1923 "&gt; 1923 &lt;/ option&gt; &lt;option value =" 1922 "&gt; 1922 &lt;/ option&gt; &lt;option value =" 1921 "&gt; 1921 &lt;/ option&gt; &lt;option value =" 1920 "&gt; 1920 &lt;/ option&gt; &lt;option value = "1919"&gt; 1919 &lt;/ option&gt; &lt;option value = "1918"&gt; 1918 &lt;/ option&gt; &lt;option value = "1917"&gt; 1917 &lt;/ option&gt; &lt;option value = "1916"&gt; 1916 &lt;/ option&gt; &lt; option value = "1915"&gt; 1915 &lt;/ option&gt; &lt;option value = "1914"&gt; 1914 &lt;/ option&gt; &lt;option value = "1913"&gt; 1913 &lt;/ option&gt; &lt;option value = "1912"&gt; 1912 &lt;/ option &gt; &lt;option value = "1911"&gt; 1911 &lt;/ option&gt; &lt;option value = "1910"&gt; 1910 &lt;/ option&gt; &lt;option value = "1909"&gt; 1909 &lt;/ option&gt; &lt;option value = "1908"&gt; 1908 &lt; / option&gt; &lt;option value = "1907"&gt; 1907 &lt;/ option&gt; &lt;option value = "1906"&gt; 1906 &lt;/ option&gt; &lt;option value = "1905"&gt; 1905 &lt;/ option&gt; &lt;option value = "1904"&gt; 1904 &lt;/ option&gt; &lt;option value = "1903"&gt; 1903 &lt;/ option&gt; &lt;option value = "1902"&gt; 1902 &lt;/ option&gt; &lt;option value = "1901"&gt; 1901 &lt;/ option&gt; &lt;option value = "1900"&gt; 1900 &lt;/ option&gt; &lt;/ select&gt; &lt;div tabindex = "- 1" class = "airy-age-gate-submit airy- submit airy-button airy-submit-disabled "&gt; Submit &lt;/ div&gt; &lt;/ div&gt; &lt;/ div&gt; &lt;/ div&gt; &lt;/ div&gt; &lt;/ div&gt; &lt;div tabindex =" - 1 "class =" airy-install -flash-dialog airy-stage airy-vertical-centering-table airy-dialog airy-denied "style =" opacity: 0; visibility: hidden; "&gt; &lt;div tabindex =" - 1 "class =" airy-install-flash -vertical-centering-table-cell airy-vertical-centering-table-cell "&gt; &lt;div tabindex =" - 1 "class =" airy-vertical-centering-wrapper airy-install-flash-elements-wrapper "&gt; &lt;div tabindex = "- 1" class = "airy-install-flash-elements airy-dialog-elements"&gt; &lt;div tabindex = "- 1" class = "airy-install-flash-prompt"&gt; Adobe Flash Player is required to watch . this video &lt;/ div&gt; &lt;div tabindex = "- 1" class = "airy-install-flash-button-wrapper airy-dialog-inner-elements"&gt; &lt;div tabindex = "- 1" cl ass = "airy-install-flash-button airy-button"&gt; Install Flash Player &lt;/ div&gt; &lt;/ div&gt; &lt;/ div&gt; &lt;/ div&gt; &lt;/ div&gt; &lt;/ div&gt; &lt;div tabindex = "- 1" class = "airy-video-unsupported-dialog airy-stage airy-vertical-centering-table airy-dialog airy-denied" style = "opacity: 0; visibility: hidden;"&gt; &lt;div tabindex = "- 1" class = "airy-video-unsupported-vertical-centering-table-cell airy-vertical-centering-table-cell"&gt; &lt;div tabindex = "- 1" class = "airy-vertical-centering-wrapper airy-video-unsupported-elements -wrapper "&gt; &lt;div tabindex =" - 1 "class =" airy-video-unsupported-elements airy-dialog-elements "&gt; &lt;div tabindex =" - 1 "class =" airy-video-unsupported-prompt "&gt; &lt; / div&gt; &lt;/ div&gt; &lt;/ div&gt; &lt;/ div&gt; &lt;/ div&gt; &lt;div tabindex = "- 1" class = "airy-loading-spinner-stage airy-stage"&gt; &lt;div tabindex = "- 1" class = "airy-loading-spinner-vertical-centering-table-cell airy-vertical-centering-table-cell"&gt; &lt;div tabindex = "- 1" class = "airy-loading-spinner-container airy-scalable-hint -container "&gt; &lt;div tabindex =" - 1 "class =" airy-loading-spinner-dummy airy-scalable-dummy "&gt; &lt;/ div&gt; &lt;div tabinde x = "- 1" class = "airy-loading-spinner airy-hint" style = "visibility: hidden;"&gt; &lt;/ div&gt; &lt;/ div&gt; &lt;/ div&gt; &lt;/ div&gt; &lt;div tabindex = "- 1 "class =" airy-ads-screen-size-toggle airy-screen-size-toggle airy-fullscreen "style =" visibility: hidden; "&gt; &lt;/ div&gt; &lt;div tabindex =" - 1 "class =" airy- ad-prompt-container "style =" visibility: hidden; "&gt; &lt;div tabindex =" - 1 "class =" airy-ad-prompt-vertical-centering-table airy-vertical-centering-table "&gt; &lt;div tabindex = "-1" class = "airy-ad-prompt-vertical-centering-table-cell airy-vertical-centering-table-cell"&gt; &lt;div tabindex = "- 1" class = "airy-ad-prompt-label" &gt; &lt;/ div&gt; &lt;/ div&gt; &lt;/ div&gt; &lt;/ div&gt; &lt;div tabindex = "- 1" class = "airy-ads-controls-container" style = "visibility: hidden;"&gt; &lt;div tabindex = " -1 "class =" airy-ads-audio-toggle airy-audio-toggle airy-on "style =" visibility: hidden; "&gt; &lt;/ div&gt; &lt;div tabindex =" - 1 "class =" airy-time- remaining-label-container "&gt; &lt;div tabindex =" - 1 "class =" airy-time-remaining-vertical-centering-table airy-vertical-centering-table "&gt; &lt;div tabindex =" - 1 "class =" airy -time-remaining-vertical-cente ring-table-cell airy-vertical-centering-table-cell "&gt; &lt;div tabindex =" - 1 "class =" airy-vertical-centering-wrapper airy-time-remaining-label-wrapper "&gt; &lt;div tabindex =" -1 "class =" airy-time-remaining-label "style =" visibility: hidden; "&gt; &lt;/ div&gt; &lt;div tabindex =" - 1 "class =" airy-ad-skip "style =" visibility: hidden ; "&gt; &lt;/ div&gt; &lt;div tabindex =" - 1 "class =" airy-ad-end "style =" visibility: hidden; "&gt; &lt;/ div&gt; &lt;/ div&gt; &lt;/ div&gt; &lt;/ div&gt; &lt; / div&gt; &lt;div tabindex = "- 1" class = "airy-learn-more" style = "visibility: hidden;"&gt; &lt;/ div&gt; &lt;/ div&gt; &lt;div tabindex = "- 1" class = "airy- play-toggle-hint-stage airy-stage airy-cursor "&gt; &lt;div tabindex =" - 1 "class =" airy-play-toggle-hint-vertical-centering-table-cell airy-vertical-centering-table-cell airy-cursor "&gt; &lt;div tabindex =" - 1 "class =" airy-play-toggle-hint-container airy-scalable-hint-container "&gt; &lt;div tabindex =" - 1 "class =" airy-play-toggle -hint-dummy airy-scalable-dummy "&gt; &lt;/ div&gt; &lt;div tabindex =" - 1 "class =" airy-play-toggle-hint airy-hint airy-play-hint "style =" opacity: 1; visibility : visible; "&gt; &lt;/ div&gt; &lt;/ div&gt; &lt;/ div&gt; &lt;/ div&gt; &lt;d iv tabindex = "- 1" class = "airy-replay-hint-stage airy-stage" style = "visibility: hidden;"&gt; &lt;div tabindex = "- 1" class = "airy-replay-hint-vertical-centering -table-cell airy-vertical-centering-table-cell airy-cursor "&gt; &lt;div tabindex =" - 1 "class =" airy-replay-hint-container airy-scalable-hint-container "&gt; &lt;div tabindex =" -1 "class =" airy-replay-hint-dummy airy-scalable-dummy "&gt; &lt;/ div&gt; &lt;div tabindex =" - 1 "class =" airy-replay-hint airy-hint "&gt; &lt;/ div&gt; &lt; / div&gt; &lt;/ div&gt; &lt;/ div&gt; &lt;div tabindex = "- 1" class = "airy-autoplay-hint-stage airy-stage" style = "visibility: hidden;"&gt; &lt;div tabindex = "- 1" class = "airy-autoplay-hint-vertical-centering-table-cell airy-vertical-centering-table-cell airy-cursor"&gt; &lt;div tabindex = "- 1" class = "airy-autoplay-hint-container airy- scalable-hint-container "&gt; &lt;div tabindex =" - 1 "class =" airy-autoplay-hint-dummy airy-scalable-dummy "&gt; &lt;/ div&gt; &lt;/ div&gt; &lt;/ div&gt; &lt;/ div&gt; &lt;/ div&gt; &lt;/ div&gt; &lt;input type = "hidden" name = "" value = "https://images-cn.ssl-images-amazon.com/images/I/81W7m7mzzqS.mp4" class = "video-url "&gt; &lt;input type =" hidden "name =" " value = "https://images-cn.ssl-images-amazon.com/images/I/81IcDvWnHOS.png" class = "video-slate-img-url"&gt; &amp; nbsp; such as video, voice shaking when the cup , insulation should be out of the question, annoying, is the pit of money, really served.</v>
      </c>
    </row>
    <row r="644">
      <c r="A644" s="1">
        <v>1.0</v>
      </c>
      <c r="B644" s="1" t="s">
        <v>644</v>
      </c>
      <c r="C644" t="str">
        <f>IFERROR(__xludf.DUMMYFUNCTION("GOOGLETRANSLATE(B644, ""zh"", ""en"")"),"Get our hands found the bottle paint chips! Regret buying, bottle get our hands on the black pieces, thought it was the stain, use a variety of means of cleaning was not washed away, against the light, carefully identify realized that the paint chips! !")</f>
        <v>Get our hands found the bottle paint chips! Regret buying, bottle get our hands on the black pieces, thought it was the stain, use a variety of means of cleaning was not washed away, against the light, carefully identify realized that the paint chips! !</v>
      </c>
    </row>
    <row r="645">
      <c r="A645" s="1">
        <v>4.0</v>
      </c>
      <c r="B645" s="1" t="s">
        <v>645</v>
      </c>
      <c r="C645" t="str">
        <f>IFERROR(__xludf.DUMMYFUNCTION("GOOGLETRANSLATE(B645, ""zh"", ""en"")"),"Dial larger dial really great for people who wear thick wrists.")</f>
        <v>Dial larger dial really great for people who wear thick wrists.</v>
      </c>
    </row>
    <row r="646">
      <c r="A646" s="1">
        <v>4.0</v>
      </c>
      <c r="B646" s="1" t="s">
        <v>646</v>
      </c>
      <c r="C646" t="str">
        <f>IFERROR(__xludf.DUMMYFUNCTION("GOOGLETRANSLATE(B646, ""zh"", ""en"")"),"Size small little, the other bad. Fabrics more comfortable, a little small ruler that, in general, good")</f>
        <v>Size small little, the other bad. Fabrics more comfortable, a little small ruler that, in general, good</v>
      </c>
    </row>
    <row r="647">
      <c r="A647" s="1">
        <v>4.0</v>
      </c>
      <c r="B647" s="1" t="s">
        <v>647</v>
      </c>
      <c r="C647" t="str">
        <f>IFERROR(__xludf.DUMMYFUNCTION("GOOGLETRANSLATE(B647, ""zh"", ""en"")"),"Not bad like to buy a cup, is pure love, to no avail, buying of space at home.")</f>
        <v>Not bad like to buy a cup, is pure love, to no avail, buying of space at home.</v>
      </c>
    </row>
    <row r="648">
      <c r="A648" s="1">
        <v>4.0</v>
      </c>
      <c r="B648" s="1" t="s">
        <v>648</v>
      </c>
      <c r="C648" t="str">
        <f>IFERROR(__xludf.DUMMYFUNCTION("GOOGLETRANSLATE(B648, ""zh"", ""en"")"),"Very good was thin dense whole foot is not very thick, but with a layer of domesticated hen cold to 10 ℃ worn alone have no problem")</f>
        <v>Very good was thin dense whole foot is not very thick, but with a layer of domesticated hen cold to 10 ℃ worn alone have no problem</v>
      </c>
    </row>
    <row r="649">
      <c r="A649" s="1">
        <v>4.0</v>
      </c>
      <c r="B649" s="1" t="s">
        <v>649</v>
      </c>
      <c r="C649" t="str">
        <f>IFERROR(__xludf.DUMMYFUNCTION("GOOGLETRANSLATE(B649, ""zh"", ""en"")"),"Too big for the big fat man wearing a pure white color plus velvet inside, not thick, feel good, the version is too big, I 183cm, 220 pounds of body weight, put on a giant fertilizer, while L, wearing just buy.")</f>
        <v>Too big for the big fat man wearing a pure white color plus velvet inside, not thick, feel good, the version is too big, I 183cm, 220 pounds of body weight, put on a giant fertilizer, while L, wearing just buy.</v>
      </c>
    </row>
    <row r="650">
      <c r="A650" s="1">
        <v>5.0</v>
      </c>
      <c r="B650" s="1" t="s">
        <v>650</v>
      </c>
      <c r="C650" t="str">
        <f>IFERROR(__xludf.DUMMYFUNCTION("GOOGLETRANSLATE(B650, ""zh"", ""en"")"),"Handsome, suitable! ! ! Some do not know why a lot of great comments? ? ? I wear sneakers 40 yards 7 2E slightly relaxed a little bit, quite right, not a lot of big ah. AIU also buy Clarks seven yards just right.")</f>
        <v>Handsome, suitable! ! ! Some do not know why a lot of great comments? ? ? I wear sneakers 40 yards 7 2E slightly relaxed a little bit, quite right, not a lot of big ah. AIU also buy Clarks seven yards just right.</v>
      </c>
    </row>
    <row r="651">
      <c r="A651" s="1">
        <v>5.0</v>
      </c>
      <c r="B651" s="1" t="s">
        <v>651</v>
      </c>
      <c r="C651" t="str">
        <f>IFERROR(__xludf.DUMMYFUNCTION("GOOGLETRANSLATE(B651, ""zh"", ""en"")"),"Very comfortable to wear very comfortable, very soft bottom")</f>
        <v>Very comfortable to wear very comfortable, very soft bottom</v>
      </c>
    </row>
    <row r="652">
      <c r="A652" s="1">
        <v>5.0</v>
      </c>
      <c r="B652" s="1" t="s">
        <v>652</v>
      </c>
      <c r="C652" t="str">
        <f>IFERROR(__xludf.DUMMYFUNCTION("GOOGLETRANSLATE(B652, ""zh"", ""en"")"),"Overall good legs this Slim models than the average of a little slim, but also fit, very good upper body. 176cm, 80kg, choose a longer length of 32/32, Recommendation 30 on long enough, the overall is still very good. Express a little slow.")</f>
        <v>Overall good legs this Slim models than the average of a little slim, but also fit, very good upper body. 176cm, 80kg, choose a longer length of 32/32, Recommendation 30 on long enough, the overall is still very good. Express a little slow.</v>
      </c>
    </row>
    <row r="653">
      <c r="A653" s="1">
        <v>5.0</v>
      </c>
      <c r="B653" s="1" t="s">
        <v>653</v>
      </c>
      <c r="C653" t="str">
        <f>IFERROR(__xludf.DUMMYFUNCTION("GOOGLETRANSLATE(B653, ""zh"", ""en"")"),"Amazon shopping as the first title for the first time shopping at Amazon, the overall feeling good, is the express slower, the other good buy is the Amazon recommended Schneider Base black nib F + Schneider BK402 black + Schneider 6601 five boxes of suits"&amp;", total 154RMB. Base sent two ink sac, one blue and one black, the ink being used on their own to buy ostrich 313 blue-black ink, do not feel BK402 smooth, a little water is not smooth, do not know the reasons for not ink, intended to put the ink runs out"&amp;" of ink, the ink bag chance to send test results.")</f>
        <v>Amazon shopping as the first title for the first time shopping at Amazon, the overall feeling good, is the express slower, the other good buy is the Amazon recommended Schneider Base black nib F + Schneider BK402 black + Schneider 6601 five boxes of suits, total 154RMB. Base sent two ink sac, one blue and one black, the ink being used on their own to buy ostrich 313 blue-black ink, do not feel BK402 smooth, a little water is not smooth, do not know the reasons for not ink, intended to put the ink runs out of ink, the ink bag chance to send test results.</v>
      </c>
    </row>
    <row r="654">
      <c r="A654" s="1">
        <v>5.0</v>
      </c>
      <c r="B654" s="1" t="s">
        <v>654</v>
      </c>
      <c r="C654" t="str">
        <f>IFERROR(__xludf.DUMMYFUNCTION("GOOGLETRANSLATE(B654, ""zh"", ""en"")"),"Like super like ~ suitable for winter. good quality")</f>
        <v>Like super like ~ suitable for winter. good quality</v>
      </c>
    </row>
    <row r="655">
      <c r="A655" s="1">
        <v>5.0</v>
      </c>
      <c r="B655" s="1" t="s">
        <v>655</v>
      </c>
      <c r="C655" t="str">
        <f>IFERROR(__xludf.DUMMYFUNCTION("GOOGLETRANSLATE(B655, ""zh"", ""en"")"),"Cute style to the baby store goods, yet I do not know whether the baby with love, but it was lovely.")</f>
        <v>Cute style to the baby store goods, yet I do not know whether the baby with love, but it was lovely.</v>
      </c>
    </row>
    <row r="656">
      <c r="A656" s="1">
        <v>5.0</v>
      </c>
      <c r="B656" s="1" t="s">
        <v>656</v>
      </c>
      <c r="C656" t="str">
        <f>IFERROR(__xludf.DUMMYFUNCTION("GOOGLETRANSLATE(B656, ""zh"", ""en"")"),"Watches should still be worth the price, expectations can not be too high. Watches should still be worth the price, expectations can not be too high.")</f>
        <v>Watches should still be worth the price, expectations can not be too high. Watches should still be worth the price, expectations can not be too high.</v>
      </c>
    </row>
    <row r="657">
      <c r="A657" s="1">
        <v>5.0</v>
      </c>
      <c r="B657" s="1" t="s">
        <v>657</v>
      </c>
      <c r="C657" t="str">
        <f>IFERROR(__xludf.DUMMYFUNCTION("GOOGLETRANSLATE(B657, ""zh"", ""en"")"),"Fortunately, after the buyers to mind you, now get a new package, and is a villain in the running of the kind of packaging.")</f>
        <v>Fortunately, after the buyers to mind you, now get a new package, and is a villain in the running of the kind of packaging.</v>
      </c>
    </row>
    <row r="658">
      <c r="A658" s="1">
        <v>5.0</v>
      </c>
      <c r="B658" s="1" t="s">
        <v>658</v>
      </c>
      <c r="C658" t="str">
        <f>IFERROR(__xludf.DUMMYFUNCTION("GOOGLETRANSLATE(B658, ""zh"", ""en"")"),"Good good quality small son more than two weeks with a left to the younger son of this small bar with good good quality small son more than two weeks with a left to this small little son with it")</f>
        <v>Good good quality small son more than two weeks with a left to the younger son of this small bar with good good quality small son more than two weeks with a left to this small little son with it</v>
      </c>
    </row>
    <row r="659">
      <c r="A659" s="1">
        <v>5.0</v>
      </c>
      <c r="B659" s="1" t="s">
        <v>659</v>
      </c>
      <c r="C659" t="str">
        <f>IFERROR(__xludf.DUMMYFUNCTION("GOOGLETRANSLATE(B659, ""zh"", ""en"")"),"Pertinent personal feeling something good, very good bass headphones, turn up the volume if some of the harsh or feel some hope burn in a period of time will be better. But the logistics efficiency is really not high, a single number in the January 11 yea"&amp;"rs ago, No. January 26 received the goods, you can already see where to place nearby and then went farther then forwards the courier, this logistics it should be considered thankless operate it.")</f>
        <v>Pertinent personal feeling something good, very good bass headphones, turn up the volume if some of the harsh or feel some hope burn in a period of time will be better. But the logistics efficiency is really not high, a single number in the January 11 years ago, No. January 26 received the goods, you can already see where to place nearby and then went farther then forwards the courier, this logistics it should be considered thankless operate it.</v>
      </c>
    </row>
    <row r="660">
      <c r="A660" s="1">
        <v>5.0</v>
      </c>
      <c r="B660" s="1" t="s">
        <v>660</v>
      </c>
      <c r="C660" t="str">
        <f>IFERROR(__xludf.DUMMYFUNCTION("GOOGLETRANSLATE(B660, ""zh"", ""en"")"),"Feel good, quality just fine but want to wait 6.18 fear out of stock, after all, much cheaper than domestic, bought in combination with the north face, came good quality clothes, feel good.")</f>
        <v>Feel good, quality just fine but want to wait 6.18 fear out of stock, after all, much cheaper than domestic, bought in combination with the north face, came good quality clothes, feel good.</v>
      </c>
    </row>
    <row r="661">
      <c r="A661" s="1">
        <v>5.0</v>
      </c>
      <c r="B661" s="1" t="s">
        <v>661</v>
      </c>
      <c r="C661" t="str">
        <f>IFERROR(__xludf.DUMMYFUNCTION("GOOGLETRANSLATE(B661, ""zh"", ""en"")"),"Let me talk about a very good shopping experience good material, thick, enough material. I bought this number is S, this model and I now wear the same shirt fit. My height is 170 (measured without shoes), weight 75KG, reminded, I do not like to wear self-"&amp;"cultivation.")</f>
        <v>Let me talk about a very good shopping experience good material, thick, enough material. I bought this number is S, this model and I now wear the same shirt fit. My height is 170 (measured without shoes), weight 75KG, reminded, I do not like to wear self-cultivation.</v>
      </c>
    </row>
    <row r="662">
      <c r="A662" s="1">
        <v>5.0</v>
      </c>
      <c r="B662" s="1" t="s">
        <v>662</v>
      </c>
      <c r="C662" t="str">
        <f>IFERROR(__xludf.DUMMYFUNCTION("GOOGLETRANSLATE(B662, ""zh"", ""en"")"),"273 feet long, 9.5M election just a bit hard shoes, feet need to adapt, there toe support, can play a simple anti-drop function")</f>
        <v>273 feet long, 9.5M election just a bit hard shoes, feet need to adapt, there toe support, can play a simple anti-drop function</v>
      </c>
    </row>
    <row r="663">
      <c r="A663" s="1">
        <v>5.0</v>
      </c>
      <c r="B663" s="1" t="s">
        <v>663</v>
      </c>
      <c r="C663" t="str">
        <f>IFERROR(__xludf.DUMMYFUNCTION("GOOGLETRANSLATE(B663, ""zh"", ""en"")"),"It is estimated that long to American and European designer clothes, wear long Asia. I bought a tailor shop to get some change short, well dressed.")</f>
        <v>It is estimated that long to American and European designer clothes, wear long Asia. I bought a tailor shop to get some change short, well dressed.</v>
      </c>
    </row>
    <row r="664">
      <c r="A664" s="1">
        <v>5.0</v>
      </c>
      <c r="B664" s="1" t="s">
        <v>664</v>
      </c>
      <c r="C664" t="str">
        <f>IFERROR(__xludf.DUMMYFUNCTION("GOOGLETRANSLATE(B664, ""zh"", ""en"")"),"Cost-effective, essential home only recently discovered the Amazon have purchased overseas Value Pack of the brush, electric toothbrush head use every day, there is such a good wholesale price is really good! Amazon shipped overseas purchase in addition t"&amp;"o a little bit slower than almost no shortcomings -")</f>
        <v>Cost-effective, essential home only recently discovered the Amazon have purchased overseas Value Pack of the brush, electric toothbrush head use every day, there is such a good wholesale price is really good! Amazon shipped overseas purchase in addition to a little bit slower than almost no shortcomings -</v>
      </c>
    </row>
    <row r="665">
      <c r="A665" s="1">
        <v>5.0</v>
      </c>
      <c r="B665" s="1" t="s">
        <v>665</v>
      </c>
      <c r="C665" t="str">
        <f>IFERROR(__xludf.DUMMYFUNCTION("GOOGLETRANSLATE(B665, ""zh"", ""en"")"),"Pants are very good quality is really good, fabric is very thick, solid work, outdoor recreation can be more suitable for winter wear. I usually wear jeans size is L34, W34. Buy these pants also in accordance with the size to buy, but the pants a little h"&amp;"and will find some of the fat. In fact, L34, W32 should be fine. We hope to others as a reference.")</f>
        <v>Pants are very good quality is really good, fabric is very thick, solid work, outdoor recreation can be more suitable for winter wear. I usually wear jeans size is L34, W34. Buy these pants also in accordance with the size to buy, but the pants a little hand will find some of the fat. In fact, L34, W32 should be fine. We hope to others as a reference.</v>
      </c>
    </row>
    <row r="666">
      <c r="A666" s="1">
        <v>5.0</v>
      </c>
      <c r="B666" s="1" t="s">
        <v>666</v>
      </c>
      <c r="C666" t="str">
        <f>IFERROR(__xludf.DUMMYFUNCTION("GOOGLETRANSLATE(B666, ""zh"", ""en"")"),"Well trusted by Amazon, the children liked")</f>
        <v>Well trusted by Amazon, the children liked</v>
      </c>
    </row>
    <row r="667">
      <c r="A667" s="1">
        <v>5.0</v>
      </c>
      <c r="B667" s="1" t="s">
        <v>667</v>
      </c>
      <c r="C667" t="str">
        <f>IFERROR(__xludf.DUMMYFUNCTION("GOOGLETRANSLATE(B667, ""zh"", ""en"")"),"Heavy heavy heavy iron genuine girls Shenru")</f>
        <v>Heavy heavy heavy iron genuine girls Shenru</v>
      </c>
    </row>
    <row r="668">
      <c r="A668" s="1">
        <v>5.0</v>
      </c>
      <c r="B668" s="1" t="s">
        <v>668</v>
      </c>
      <c r="C668" t="str">
        <f>IFERROR(__xludf.DUMMYFUNCTION("GOOGLETRANSLATE(B668, ""zh"", ""en"")"),"Comfortable clarks ...... color, style, quality workmanship, satisfied with the choice ......")</f>
        <v>Comfortable clarks ...... color, style, quality workmanship, satisfied with the choice ......</v>
      </c>
    </row>
    <row r="669">
      <c r="A669" s="1">
        <v>5.0</v>
      </c>
      <c r="B669" s="1" t="s">
        <v>669</v>
      </c>
      <c r="C669" t="str">
        <f>IFERROR(__xludf.DUMMYFUNCTION("GOOGLETRANSLATE(B669, ""zh"", ""en"")"),"Good soft and comfortable.")</f>
        <v>Good soft and comfortable.</v>
      </c>
    </row>
    <row r="670">
      <c r="A670" s="1">
        <v>5.0</v>
      </c>
      <c r="B670" s="1" t="s">
        <v>670</v>
      </c>
      <c r="C670" t="str">
        <f>IFERROR(__xludf.DUMMYFUNCTION("GOOGLETRANSLATE(B670, ""zh"", ""en"")"),"Comfortable to wear tights, I do not know is not because I am more fat, the waist should be turned down.")</f>
        <v>Comfortable to wear tights, I do not know is not because I am more fat, the waist should be turned down.</v>
      </c>
    </row>
    <row r="671">
      <c r="A671" s="1">
        <v>2.0</v>
      </c>
      <c r="B671" s="1" t="s">
        <v>671</v>
      </c>
      <c r="C671" t="str">
        <f>IFERROR(__xludf.DUMMYFUNCTION("GOOGLETRANSLATE(B671, ""zh"", ""en"")"),"Leakage past two days found the machine a little leakage, there are security risks, threw packaging, can not return")</f>
        <v>Leakage past two days found the machine a little leakage, there are security risks, threw packaging, can not return</v>
      </c>
    </row>
    <row r="672">
      <c r="A672" s="1">
        <v>3.0</v>
      </c>
      <c r="B672" s="1" t="s">
        <v>672</v>
      </c>
      <c r="C672" t="str">
        <f>IFERROR(__xludf.DUMMYFUNCTION("GOOGLETRANSLATE(B672, ""zh"", ""en"")"),"Sucker very easy to use but later on moldy. . . . . Suction cup base but also the base did not take long moldy. . . . .")</f>
        <v>Sucker very easy to use but later on moldy. . . . . Suction cup base but also the base did not take long moldy. . . . .</v>
      </c>
    </row>
    <row r="673">
      <c r="A673" s="1">
        <v>3.0</v>
      </c>
      <c r="B673" s="1" t="s">
        <v>673</v>
      </c>
      <c r="C673" t="str">
        <f>IFERROR(__xludf.DUMMYFUNCTION("GOOGLETRANSLATE(B673, ""zh"", ""en"")"),"Generally dressed in a new turn to add my micro letter srs-song")</f>
        <v>Generally dressed in a new turn to add my micro letter srs-song</v>
      </c>
    </row>
    <row r="674">
      <c r="A674" s="1">
        <v>1.0</v>
      </c>
      <c r="B674" s="1" t="s">
        <v>674</v>
      </c>
      <c r="C674" t="str">
        <f>IFERROR(__xludf.DUMMYFUNCTION("GOOGLETRANSLATE(B674, ""zh"", ""en"")"),"After a month because the smell would have the effect of thermal insulation capacity in a small cup is quite good, but after a month with the start of drug discovery will have a taste into them a glass of water after each did not finish thirty-four hours "&amp;"how to brush useless why? Can not reflect what actually follow manufacturers also bought two each child a")</f>
        <v>After a month because the smell would have the effect of thermal insulation capacity in a small cup is quite good, but after a month with the start of drug discovery will have a taste into them a glass of water after each did not finish thirty-four hours how to brush useless why? Can not reflect what actually follow manufacturers also bought two each child a</v>
      </c>
    </row>
    <row r="675">
      <c r="A675" s="1">
        <v>1.0</v>
      </c>
      <c r="B675" s="1" t="s">
        <v>675</v>
      </c>
      <c r="C675" t="str">
        <f>IFERROR(__xludf.DUMMYFUNCTION("GOOGLETRANSLATE(B675, ""zh"", ""en"")"),"Poor quality paint was still wet, heavy smell of formaldehyde. There indentation on the belt. I can not use.")</f>
        <v>Poor quality paint was still wet, heavy smell of formaldehyde. There indentation on the belt. I can not use.</v>
      </c>
    </row>
    <row r="676">
      <c r="A676" s="1">
        <v>4.0</v>
      </c>
      <c r="B676" s="1" t="s">
        <v>676</v>
      </c>
      <c r="C676" t="str">
        <f>IFERROR(__xludf.DUMMYFUNCTION("GOOGLETRANSLATE(B676, ""zh"", ""en"")"),"Rather long and rather long paragraph, to drop just bought a 50. .")</f>
        <v>Rather long and rather long paragraph, to drop just bought a 50. .</v>
      </c>
    </row>
    <row r="677">
      <c r="A677" s="1">
        <v>4.0</v>
      </c>
      <c r="B677" s="1" t="s">
        <v>677</v>
      </c>
      <c r="C677" t="str">
        <f>IFERROR(__xludf.DUMMYFUNCTION("GOOGLETRANSLATE(B677, ""zh"", ""en"")"),"Very cost-effective, cheaper than a certain treasure East is not a little. But the feeling is not original or replacement equipment easy to use")</f>
        <v>Very cost-effective, cheaper than a certain treasure East is not a little. But the feeling is not original or replacement equipment easy to use</v>
      </c>
    </row>
    <row r="678">
      <c r="A678" s="1">
        <v>4.0</v>
      </c>
      <c r="B678" s="1" t="s">
        <v>678</v>
      </c>
      <c r="C678" t="str">
        <f>IFERROR(__xludf.DUMMYFUNCTION("GOOGLETRANSLATE(B678, ""zh"", ""en"")"),"Quite satisfied, affordable also is speed seems somewhat incompatible.")</f>
        <v>Quite satisfied, affordable also is speed seems somewhat incompatible.</v>
      </c>
    </row>
    <row r="679">
      <c r="A679" s="1">
        <v>4.0</v>
      </c>
      <c r="B679" s="1" t="s">
        <v>679</v>
      </c>
      <c r="C679" t="str">
        <f>IFERROR(__xludf.DUMMYFUNCTION("GOOGLETRANSLATE(B679, ""zh"", ""en"")"),"Okay good price. Quality is also OK. 2015. Pants too long")</f>
        <v>Okay good price. Quality is also OK. 2015. Pants too long</v>
      </c>
    </row>
    <row r="680">
      <c r="A680" s="1">
        <v>4.0</v>
      </c>
      <c r="B680" s="1" t="s">
        <v>680</v>
      </c>
      <c r="C680" t="str">
        <f>IFERROR(__xludf.DUMMYFUNCTION("GOOGLETRANSLATE(B680, ""zh"", ""en"")"),"Can also be okay, that is quite wide shoe uppers. I knew to buy a small one yard.")</f>
        <v>Can also be okay, that is quite wide shoe uppers. I knew to buy a small one yard.</v>
      </c>
    </row>
    <row r="681">
      <c r="A681" s="1">
        <v>5.0</v>
      </c>
      <c r="B681" s="1" t="s">
        <v>681</v>
      </c>
      <c r="C681" t="str">
        <f>IFERROR(__xludf.DUMMYFUNCTION("GOOGLETRANSLATE(B681, ""zh"", ""en"")"),"Champion Men's T-shirts at once popular champion this brand, I do not escape bought two, did not buy the public money, and I've always liked the blue color, the right size, fabric comfortable, very thin, suitable for casual wear, good.")</f>
        <v>Champion Men's T-shirts at once popular champion this brand, I do not escape bought two, did not buy the public money, and I've always liked the blue color, the right size, fabric comfortable, very thin, suitable for casual wear, good.</v>
      </c>
    </row>
    <row r="682">
      <c r="A682" s="1">
        <v>5.0</v>
      </c>
      <c r="B682" s="1" t="s">
        <v>682</v>
      </c>
      <c r="C682" t="str">
        <f>IFERROR(__xludf.DUMMYFUNCTION("GOOGLETRANSLATE(B682, ""zh"", ""en"")"),"Stockpile stockpile in. Long grass for a long time, really put it down after buy home, real mother said it was expected soon not wear, baby can expect to put on Mei Mei. This packaging is somewhat simple, direct a plastic bag and courier box has been open"&amp;"ed, and no secondary sealing closure good sign. Express wandering outside to half a month's time, you should be sent over from Japan, right? ! Their own comfort friends - this is the real thing")</f>
        <v>Stockpile stockpile in. Long grass for a long time, really put it down after buy home, real mother said it was expected soon not wear, baby can expect to put on Mei Mei. This packaging is somewhat simple, direct a plastic bag and courier box has been opened, and no secondary sealing closure good sign. Express wandering outside to half a month's time, you should be sent over from Japan, right? ! Their own comfort friends - this is the real thing</v>
      </c>
    </row>
    <row r="683">
      <c r="A683" s="1">
        <v>5.0</v>
      </c>
      <c r="B683" s="1" t="s">
        <v>683</v>
      </c>
      <c r="C683" t="str">
        <f>IFERROR(__xludf.DUMMYFUNCTION("GOOGLETRANSLATE(B683, ""zh"", ""en"")"),"Color is 84cm waist, around the house loose, long pants 102cm")</f>
        <v>Color is 84cm waist, around the house loose, long pants 102cm</v>
      </c>
    </row>
    <row r="684">
      <c r="A684" s="1">
        <v>5.0</v>
      </c>
      <c r="B684" s="1" t="s">
        <v>684</v>
      </c>
      <c r="C684" t="str">
        <f>IFERROR(__xludf.DUMMYFUNCTION("GOOGLETRANSLATE(B684, ""zh"", ""en"")"),"Usually it is maintained thin fabric")</f>
        <v>Usually it is maintained thin fabric</v>
      </c>
    </row>
    <row r="685">
      <c r="A685" s="1">
        <v>5.0</v>
      </c>
      <c r="B685" s="1" t="s">
        <v>685</v>
      </c>
      <c r="C685" t="str">
        <f>IFERROR(__xludf.DUMMYFUNCTION("GOOGLETRANSLATE(B685, ""zh"", ""en"")"),"Slightly smaller point. Usually the anti-Kee Di 42 7.5, 7.5 to buy this a little bit small. He did not say so much. FIG shoe size homes.")</f>
        <v>Slightly smaller point. Usually the anti-Kee Di 42 7.5, 7.5 to buy this a little bit small. He did not say so much. FIG shoe size homes.</v>
      </c>
    </row>
    <row r="686">
      <c r="A686" s="1">
        <v>5.0</v>
      </c>
      <c r="B686" s="1" t="s">
        <v>686</v>
      </c>
      <c r="C686" t="str">
        <f>IFERROR(__xludf.DUMMYFUNCTION("GOOGLETRANSLATE(B686, ""zh"", ""en"")"),"My waistline 92,93cm, buy 36, the penultimate hole, a total of five empty, perfect my waist 92,93cm, buy 36, the penultimate hole, a total of five space, perfect")</f>
        <v>My waistline 92,93cm, buy 36, the penultimate hole, a total of five empty, perfect my waist 92,93cm, buy 36, the penultimate hole, a total of five space, perfect</v>
      </c>
    </row>
    <row r="687">
      <c r="A687" s="1">
        <v>5.0</v>
      </c>
      <c r="B687" s="1" t="s">
        <v>687</v>
      </c>
      <c r="C687" t="str">
        <f>IFERROR(__xludf.DUMMYFUNCTION("GOOGLETRANSLATE(B687, ""zh"", ""en"")"),"CK &lt;a data-hook = ""product-link-linked"" class = ""a-link-normal"" href = ""/ Calvin-Klein- Calvin Klein - Men's -4- Pack - classic low-waist cotton blue underwear -? L / dp / B00JQQTCYE / ref = cm_cr_getr_d_rvw_txt ie = UTF8 ""&gt; Calvin Klein Calvin Klei"&amp;"n men's four classic fitted cotton underwear low waist large blue &lt;/a&gt; very good, very fit, the price is gentle.")</f>
        <v>CK &lt;a data-hook = "product-link-linked" class = "a-link-normal" href = "/ Calvin-Klein- Calvin Klein - Men's -4- Pack - classic low-waist cotton blue underwear -? L / dp / B00JQQTCYE / ref = cm_cr_getr_d_rvw_txt ie = UTF8 "&gt; Calvin Klein Calvin Klein men's four classic fitted cotton underwear low waist large blue &lt;/a&gt; very good, very fit, the price is gentle.</v>
      </c>
    </row>
    <row r="688">
      <c r="A688" s="1">
        <v>5.0</v>
      </c>
      <c r="B688" s="1" t="s">
        <v>688</v>
      </c>
      <c r="C688" t="str">
        <f>IFERROR(__xludf.DUMMYFUNCTION("GOOGLETRANSLATE(B688, ""zh"", ""en"")"),"Whine very good winter wear is appropriate.")</f>
        <v>Whine very good winter wear is appropriate.</v>
      </c>
    </row>
    <row r="689">
      <c r="A689" s="1">
        <v>5.0</v>
      </c>
      <c r="B689" s="1" t="s">
        <v>689</v>
      </c>
      <c r="C689" t="str">
        <f>IFERROR(__xludf.DUMMYFUNCTION("GOOGLETRANSLATE(B689, ""zh"", ""en"")"),"Very much, we have a role abdomen. Not Le, but also more comfortable to wear. Than the general function of good wear underwear. Of course not, and daily goods ratio. Very much, we have a role abdomen. Not Le, but also more comfortable to wear. Than the ge"&amp;"neral function of good wear underwear. Of course not, and daily goods ratio.")</f>
        <v>Very much, we have a role abdomen. Not Le, but also more comfortable to wear. Than the general function of good wear underwear. Of course not, and daily goods ratio. Very much, we have a role abdomen. Not Le, but also more comfortable to wear. Than the general function of good wear underwear. Of course not, and daily goods ratio.</v>
      </c>
    </row>
    <row r="690">
      <c r="A690" s="1">
        <v>5.0</v>
      </c>
      <c r="B690" s="1" t="s">
        <v>690</v>
      </c>
      <c r="C690" t="str">
        <f>IFERROR(__xludf.DUMMYFUNCTION("GOOGLETRANSLATE(B690, ""zh"", ""en"")"),"Excellent quality of imported, high quality! Very convenient to travel home!")</f>
        <v>Excellent quality of imported, high quality! Very convenient to travel home!</v>
      </c>
    </row>
    <row r="691">
      <c r="A691" s="1">
        <v>5.0</v>
      </c>
      <c r="B691" s="1" t="s">
        <v>691</v>
      </c>
      <c r="C691" t="str">
        <f>IFERROR(__xludf.DUMMYFUNCTION("GOOGLETRANSLATE(B691, ""zh"", ""en"")"),"Soft and thin origin Cambodia, height 165 55, XS wear just inside, relatively thin soft, very suitable for winter early spring, because the fabric is polartec, no static electricity! In fact, what with thickness Decathlon I think almost, but not static th"&amp;"is is too important.")</f>
        <v>Soft and thin origin Cambodia, height 165 55, XS wear just inside, relatively thin soft, very suitable for winter early spring, because the fabric is polartec, no static electricity! In fact, what with thickness Decathlon I think almost, but not static this is too important.</v>
      </c>
    </row>
    <row r="692">
      <c r="A692" s="1">
        <v>5.0</v>
      </c>
      <c r="B692" s="1" t="s">
        <v>692</v>
      </c>
      <c r="C692" t="str">
        <f>IFERROR(__xludf.DUMMYFUNCTION("GOOGLETRANSLATE(B692, ""zh"", ""en"")"),"Well I have bought a lot of times, is genuine")</f>
        <v>Well I have bought a lot of times, is genuine</v>
      </c>
    </row>
    <row r="693">
      <c r="A693" s="1">
        <v>5.0</v>
      </c>
      <c r="B693" s="1" t="s">
        <v>693</v>
      </c>
      <c r="C693" t="str">
        <f>IFERROR(__xludf.DUMMYFUNCTION("GOOGLETRANSLATE(B693, ""zh"", ""en"")"),"Xiaopen friends like my daughter very favorite, it appears that taste good")</f>
        <v>Xiaopen friends like my daughter very favorite, it appears that taste good</v>
      </c>
    </row>
    <row r="694">
      <c r="A694" s="1">
        <v>5.0</v>
      </c>
      <c r="B694" s="1" t="s">
        <v>694</v>
      </c>
      <c r="C694" t="str">
        <f>IFERROR(__xludf.DUMMYFUNCTION("GOOGLETRANSLATE(B694, ""zh"", ""en"")"),"Very good quality logistics six days")</f>
        <v>Very good quality logistics six days</v>
      </c>
    </row>
    <row r="695">
      <c r="A695" s="1">
        <v>5.0</v>
      </c>
      <c r="B695" s="1" t="s">
        <v>695</v>
      </c>
      <c r="C695" t="str">
        <f>IFERROR(__xludf.DUMMYFUNCTION("GOOGLETRANSLATE(B695, ""zh"", ""en"")"),"Manufacturing overseas to buy a pirate ship U disk Taiwan, drop packing, domestic dared to buy, to a sea Amoy, hope the quality is better than homemade.")</f>
        <v>Manufacturing overseas to buy a pirate ship U disk Taiwan, drop packing, domestic dared to buy, to a sea Amoy, hope the quality is better than homemade.</v>
      </c>
    </row>
    <row r="696">
      <c r="A696" s="1">
        <v>5.0</v>
      </c>
      <c r="B696" s="1" t="s">
        <v>696</v>
      </c>
      <c r="C696" t="str">
        <f>IFERROR(__xludf.DUMMYFUNCTION("GOOGLETRANSLATE(B696, ""zh"", ""en"")"),"A little expensive, but still like a little expensive, the quality can be, very much")</f>
        <v>A little expensive, but still like a little expensive, the quality can be, very much</v>
      </c>
    </row>
    <row r="697">
      <c r="A697" s="1">
        <v>5.0</v>
      </c>
      <c r="B697" s="1" t="s">
        <v>697</v>
      </c>
      <c r="C697" t="str">
        <f>IFERROR(__xludf.DUMMYFUNCTION("GOOGLETRANSLATE(B697, ""zh"", ""en"")"),"Comfortable shoes and expect consistent, standard size, comfortable to wear")</f>
        <v>Comfortable shoes and expect consistent, standard size, comfortable to wear</v>
      </c>
    </row>
    <row r="698">
      <c r="A698" s="1">
        <v>5.0</v>
      </c>
      <c r="B698" s="1" t="s">
        <v>698</v>
      </c>
      <c r="C698" t="str">
        <f>IFERROR(__xludf.DUMMYFUNCTION("GOOGLETRANSLATE(B698, ""zh"", ""en"")"),"Cost-effective price too appropriate with several scratches can accept mainly the price and size is very good")</f>
        <v>Cost-effective price too appropriate with several scratches can accept mainly the price and size is very good</v>
      </c>
    </row>
    <row r="699">
      <c r="A699" s="1">
        <v>5.0</v>
      </c>
      <c r="B699" s="1" t="s">
        <v>699</v>
      </c>
      <c r="C699" t="str">
        <f>IFERROR(__xludf.DUMMYFUNCTION("GOOGLETRANSLATE(B699, ""zh"", ""en"")"),"Cheap big bottle of Centrum! Now a bottle of Centrum tablets per day, to supplement the body of vitamins and trace elements! Than the drugstore to buy a lot cheaper! After eating will continue to buy! I want to be healthy! Happy every day!")</f>
        <v>Cheap big bottle of Centrum! Now a bottle of Centrum tablets per day, to supplement the body of vitamins and trace elements! Than the drugstore to buy a lot cheaper! After eating will continue to buy! I want to be healthy! Happy every day!</v>
      </c>
    </row>
    <row r="700">
      <c r="A700" s="1">
        <v>5.0</v>
      </c>
      <c r="B700" s="1" t="s">
        <v>700</v>
      </c>
      <c r="C700" t="str">
        <f>IFERROR(__xludf.DUMMYFUNCTION("GOOGLETRANSLATE(B700, ""zh"", ""en"")"),"Very fit selected small a yard in addition to the five centimeters long pants all other appropriate")</f>
        <v>Very fit selected small a yard in addition to the five centimeters long pants all other appropriate</v>
      </c>
    </row>
    <row r="701">
      <c r="A701" s="1">
        <v>5.0</v>
      </c>
      <c r="B701" s="1" t="s">
        <v>701</v>
      </c>
      <c r="C701" t="str">
        <f>IFERROR(__xludf.DUMMYFUNCTION("GOOGLETRANSLATE(B701, ""zh"", ""en"")"),"Bang Bang da logistics quickly, the right size!")</f>
        <v>Bang Bang da logistics quickly, the right size!</v>
      </c>
    </row>
    <row r="702">
      <c r="A702" s="1">
        <v>5.0</v>
      </c>
      <c r="B702" s="1" t="s">
        <v>702</v>
      </c>
      <c r="C702" t="str">
        <f>IFERROR(__xludf.DUMMYFUNCTION("GOOGLETRANSLATE(B702, ""zh"", ""en"")"),"Good version very good, material is also good, I bought a long legs up. 176cm.80kg buy 33W.32L. In fact, buy 33W.30L enough 😂 short legs for me, no way ~")</f>
        <v>Good version very good, material is also good, I bought a long legs up. 176cm.80kg buy 33W.32L. In fact, buy 33W.30L enough 😂 short legs for me, no way ~</v>
      </c>
    </row>
    <row r="703">
      <c r="A703" s="1">
        <v>2.0</v>
      </c>
      <c r="B703" s="1" t="s">
        <v>703</v>
      </c>
      <c r="C703" t="str">
        <f>IFERROR(__xludf.DUMMYFUNCTION("GOOGLETRANSLATE(B703, ""zh"", ""en"")"),"Away from the bed and not go underground quality in general, from the bed and not go out of the ground, and later opened his own re-install the battery and look at it, I think for this brand, the product is too fragile.")</f>
        <v>Away from the bed and not go underground quality in general, from the bed and not go out of the ground, and later opened his own re-install the battery and look at it, I think for this brand, the product is too fragile.</v>
      </c>
    </row>
    <row r="704">
      <c r="A704" s="1">
        <v>3.0</v>
      </c>
      <c r="B704" s="1" t="s">
        <v>704</v>
      </c>
      <c r="C704" t="str">
        <f>IFERROR(__xludf.DUMMYFUNCTION("GOOGLETRANSLATE(B704, ""zh"", ""en"")"),"43 wearing big shoes? Size also, but shoe slim, a little hard.")</f>
        <v>43 wearing big shoes? Size also, but shoe slim, a little hard.</v>
      </c>
    </row>
    <row r="705">
      <c r="A705" s="1">
        <v>3.0</v>
      </c>
      <c r="B705" s="1" t="s">
        <v>705</v>
      </c>
      <c r="C705" t="str">
        <f>IFERROR(__xludf.DUMMYFUNCTION("GOOGLETRANSLATE(B705, ""zh"", ""en"")"),"To the capsule did not drink, not very happy the packaging was okay, did not send a capsule, and how I am buying on price, what do ah")</f>
        <v>To the capsule did not drink, not very happy the packaging was okay, did not send a capsule, and how I am buying on price, what do ah</v>
      </c>
    </row>
    <row r="706">
      <c r="A706" s="1">
        <v>1.0</v>
      </c>
      <c r="B706" s="1" t="s">
        <v>706</v>
      </c>
      <c r="C706" t="str">
        <f>IFERROR(__xludf.DUMMYFUNCTION("GOOGLETRANSLATE(B706, ""zh"", ""en"")"),"I do not fly when I remember to buy a set, and why is one. And the price is so much lower. Too shy.")</f>
        <v>I do not fly when I remember to buy a set, and why is one. And the price is so much lower. Too shy.</v>
      </c>
    </row>
    <row r="707">
      <c r="A707" s="1">
        <v>1.0</v>
      </c>
      <c r="B707" s="1" t="s">
        <v>707</v>
      </c>
      <c r="C707" t="str">
        <f>IFERROR(__xludf.DUMMYFUNCTION("GOOGLETRANSLATE(B707, ""zh"", ""en"")"),"Why outer box is open? Get the packaging is open, no additional sealing plastic bags, just anybody can exchange the items inside, printed on the brush head box also with an online display different, so doubt whether the transferred packet?")</f>
        <v>Why outer box is open? Get the packaging is open, no additional sealing plastic bags, just anybody can exchange the items inside, printed on the brush head box also with an online display different, so doubt whether the transferred packet?</v>
      </c>
    </row>
    <row r="708">
      <c r="A708" s="1">
        <v>1.0</v>
      </c>
      <c r="B708" s="1" t="s">
        <v>708</v>
      </c>
      <c r="C708" t="str">
        <f>IFERROR(__xludf.DUMMYFUNCTION("GOOGLETRANSLATE(B708, ""zh"", ""en"")"),"Soles hard, uncomfortable, who bought who regret it! Very hard soles, walking very uncomfortable, disappointed, do not buy!")</f>
        <v>Soles hard, uncomfortable, who bought who regret it! Very hard soles, walking very uncomfortable, disappointed, do not buy!</v>
      </c>
    </row>
    <row r="709">
      <c r="A709" s="1">
        <v>4.0</v>
      </c>
      <c r="B709" s="1" t="s">
        <v>709</v>
      </c>
      <c r="C709" t="str">
        <f>IFERROR(__xludf.DUMMYFUNCTION("GOOGLETRANSLATE(B709, ""zh"", ""en"")"),"Good clothes, styles, the standard size, color is a big point. . . Like actual bluish color photographs and names partial gray but good clothes, style, mass, size standard.")</f>
        <v>Good clothes, styles, the standard size, color is a big point. . . Like actual bluish color photographs and names partial gray but good clothes, style, mass, size standard.</v>
      </c>
    </row>
    <row r="710">
      <c r="A710" s="1">
        <v>4.0</v>
      </c>
      <c r="B710" s="1" t="s">
        <v>710</v>
      </c>
      <c r="C710" t="str">
        <f>IFERROR(__xludf.DUMMYFUNCTION("GOOGLETRANSLATE(B710, ""zh"", ""en"")"),"Nice pants good logistics sucks the material have a sense of weight compared to a lot of logistics is not very good domestic logistics rotten a better product on the domestic denim.")</f>
        <v>Nice pants good logistics sucks the material have a sense of weight compared to a lot of logistics is not very good domestic logistics rotten a better product on the domestic denim.</v>
      </c>
    </row>
    <row r="711">
      <c r="A711" s="1">
        <v>4.0</v>
      </c>
      <c r="B711" s="1" t="s">
        <v>711</v>
      </c>
      <c r="C711" t="str">
        <f>IFERROR(__xludf.DUMMYFUNCTION("GOOGLETRANSLATE(B711, ""zh"", ""en"")"),"My wife is not realistic under actual use may be affected by the influence of traditional large, this brought his wife say comfortable, but estimates vary, the traditional women like to wear a steel ring does not recommend purchase")</f>
        <v>My wife is not realistic under actual use may be affected by the influence of traditional large, this brought his wife say comfortable, but estimates vary, the traditional women like to wear a steel ring does not recommend purchase</v>
      </c>
    </row>
    <row r="712">
      <c r="A712" s="1">
        <v>4.0</v>
      </c>
      <c r="B712" s="1" t="s">
        <v>712</v>
      </c>
      <c r="C712" t="str">
        <f>IFERROR(__xludf.DUMMYFUNCTION("GOOGLETRANSLATE(B712, ""zh"", ""en"")"),"Number of small, very comfortable to wear 176.62 m code some small, worn on the body is really heating")</f>
        <v>Number of small, very comfortable to wear 176.62 m code some small, worn on the body is really heating</v>
      </c>
    </row>
    <row r="713">
      <c r="A713" s="1">
        <v>4.0</v>
      </c>
      <c r="B713" s="1" t="s">
        <v>713</v>
      </c>
      <c r="C713" t="str">
        <f>IFERROR(__xludf.DUMMYFUNCTION("GOOGLETRANSLATE(B713, ""zh"", ""en"")"),"Vitamin well, not from the previous evaluation, I do not know how many wasted points, points can change money now know, they should look carefully evaluated, then I put these words to copy to go, both to earn points, but also the easy way to go where copy"&amp;" where, most importantly, do not seriously review, do not think how much worse word, sent directly to it, recommend it to everyone! !")</f>
        <v>Vitamin well, not from the previous evaluation, I do not know how many wasted points, points can change money now know, they should look carefully evaluated, then I put these words to copy to go, both to earn points, but also the easy way to go where copy where, most importantly, do not seriously review, do not think how much worse word, sent directly to it, recommend it to everyone! !</v>
      </c>
    </row>
    <row r="714">
      <c r="A714" s="1">
        <v>5.0</v>
      </c>
      <c r="B714" s="1" t="s">
        <v>714</v>
      </c>
      <c r="C714" t="str">
        <f>IFERROR(__xludf.DUMMYFUNCTION("GOOGLETRANSLATE(B714, ""zh"", ""en"")"),"Milk does not leak, sealing well also do not know what some people commented that leak milk, I spent half a pack, never encountered before. Is not the use of wrong, can not hold too full")</f>
        <v>Milk does not leak, sealing well also do not know what some people commented that leak milk, I spent half a pack, never encountered before. Is not the use of wrong, can not hold too full</v>
      </c>
    </row>
    <row r="715">
      <c r="A715" s="1">
        <v>5.0</v>
      </c>
      <c r="B715" s="1" t="s">
        <v>715</v>
      </c>
      <c r="C715" t="str">
        <f>IFERROR(__xludf.DUMMYFUNCTION("GOOGLETRANSLATE(B715, ""zh"", ""en"")"),"This price is really too satisfied too fond of, this feeling Leverage")</f>
        <v>This price is really too satisfied too fond of, this feeling Leverage</v>
      </c>
    </row>
    <row r="716">
      <c r="A716" s="1">
        <v>5.0</v>
      </c>
      <c r="B716" s="1" t="s">
        <v>716</v>
      </c>
      <c r="C716" t="str">
        <f>IFERROR(__xludf.DUMMYFUNCTION("GOOGLETRANSLATE(B716, ""zh"", ""en"")"),"Stockpile to the baby everything depends on the value of Yen buying ah. I hope easy to use.")</f>
        <v>Stockpile to the baby everything depends on the value of Yen buying ah. I hope easy to use.</v>
      </c>
    </row>
    <row r="717">
      <c r="A717" s="1">
        <v>5.0</v>
      </c>
      <c r="B717" s="1" t="s">
        <v>717</v>
      </c>
      <c r="C717" t="str">
        <f>IFERROR(__xludf.DUMMYFUNCTION("GOOGLETRANSLATE(B717, ""zh"", ""en"")"),"Very satisfied very satisfied, the cup is very beautiful, very good workmanship.")</f>
        <v>Very satisfied very satisfied, the cup is very beautiful, very good workmanship.</v>
      </c>
    </row>
    <row r="718">
      <c r="A718" s="1">
        <v>5.0</v>
      </c>
      <c r="B718" s="1" t="s">
        <v>718</v>
      </c>
      <c r="C718" t="str">
        <f>IFERROR(__xludf.DUMMYFUNCTION("GOOGLETRANSLATE(B718, ""zh"", ""en"")"),"Well good. Great, perfect.")</f>
        <v>Well good. Great, perfect.</v>
      </c>
    </row>
    <row r="719">
      <c r="A719" s="1">
        <v>5.0</v>
      </c>
      <c r="B719" s="1" t="s">
        <v>719</v>
      </c>
      <c r="C719" t="str">
        <f>IFERROR(__xludf.DUMMYFUNCTION("GOOGLETRANSLATE(B719, ""zh"", ""en"")"),"Yes previously used, others in France brought back, this time in here to buy, you can Oh")</f>
        <v>Yes previously used, others in France brought back, this time in here to buy, you can Oh</v>
      </c>
    </row>
    <row r="720">
      <c r="A720" s="1">
        <v>5.0</v>
      </c>
      <c r="B720" s="1" t="s">
        <v>720</v>
      </c>
      <c r="C720" t="str">
        <f>IFERROR(__xludf.DUMMYFUNCTION("GOOGLETRANSLATE(B720, ""zh"", ""en"")"),"The higher cost of the higher cost of leggings leggings, personal feeling for winter, or just walking in the north heated indoor environment, especially in the height of 165 to remind friends, do not buy a bag of M, foot section, buy a bigger size. Withou"&amp;"t the package you press the foot height to no problem. Compare package leg wear comfort is good, not Le, relatively dense impervious meat. Put on the surface is not shiny matte feeling, something that I like.")</f>
        <v>The higher cost of the higher cost of leggings leggings, personal feeling for winter, or just walking in the north heated indoor environment, especially in the height of 165 to remind friends, do not buy a bag of M, foot section, buy a bigger size. Without the package you press the foot height to no problem. Compare package leg wear comfort is good, not Le, relatively dense impervious meat. Put on the surface is not shiny matte feeling, something that I like.</v>
      </c>
    </row>
    <row r="721">
      <c r="A721" s="1">
        <v>5.0</v>
      </c>
      <c r="B721" s="1" t="s">
        <v>721</v>
      </c>
      <c r="C721" t="str">
        <f>IFERROR(__xludf.DUMMYFUNCTION("GOOGLETRANSLATE(B721, ""zh"", ""en"")"),"CK good yardage is indeed too large one yard. Good quality!")</f>
        <v>CK good yardage is indeed too large one yard. Good quality!</v>
      </c>
    </row>
    <row r="722">
      <c r="A722" s="1">
        <v>5.0</v>
      </c>
      <c r="B722" s="1" t="s">
        <v>722</v>
      </c>
      <c r="C722" t="str">
        <f>IFERROR(__xludf.DUMMYFUNCTION("GOOGLETRANSLATE(B722, ""zh"", ""en"")"),"Smooth and very appropriate, spike domestic brand, can not afford to file, not drawing")</f>
        <v>Smooth and very appropriate, spike domestic brand, can not afford to file, not drawing</v>
      </c>
    </row>
    <row r="723">
      <c r="A723" s="1">
        <v>5.0</v>
      </c>
      <c r="B723" s="1" t="s">
        <v>723</v>
      </c>
      <c r="C723" t="str">
        <f>IFERROR(__xludf.DUMMYFUNCTION("GOOGLETRANSLATE(B723, ""zh"", ""en"")"),"Although the random pattern a random pattern is known, but bought two boxes for the Princess 2 is drunk. . .")</f>
        <v>Although the random pattern a random pattern is known, but bought two boxes for the Princess 2 is drunk. . .</v>
      </c>
    </row>
    <row r="724">
      <c r="A724" s="1">
        <v>5.0</v>
      </c>
      <c r="B724" s="1" t="s">
        <v>724</v>
      </c>
      <c r="C724" t="str">
        <f>IFERROR(__xludf.DUMMYFUNCTION("GOOGLETRANSLATE(B724, ""zh"", ""en"")"),"Thin fabric, but cotton material, comfortable to wear thin fabric, but cotton material, comfortable to wear")</f>
        <v>Thin fabric, but cotton material, comfortable to wear thin fabric, but cotton material, comfortable to wear</v>
      </c>
    </row>
    <row r="725">
      <c r="A725" s="1">
        <v>5.0</v>
      </c>
      <c r="B725" s="1" t="s">
        <v>725</v>
      </c>
      <c r="C725" t="str">
        <f>IFERROR(__xludf.DUMMYFUNCTION("GOOGLETRANSLATE(B725, ""zh"", ""en"")"),"Classic spreadsheet to buy your child a high school. Small but full-featured, time, alarm clock, basically everything is complete classic electronic form, in addition to anti-rugged build. The main connotation is consistent with a low-key personality. Is "&amp;"the price the people of the heavenly high point.")</f>
        <v>Classic spreadsheet to buy your child a high school. Small but full-featured, time, alarm clock, basically everything is complete classic electronic form, in addition to anti-rugged build. The main connotation is consistent with a low-key personality. Is the price the people of the heavenly high point.</v>
      </c>
    </row>
    <row r="726">
      <c r="A726" s="1">
        <v>5.0</v>
      </c>
      <c r="B726" s="1" t="s">
        <v>726</v>
      </c>
      <c r="C726" t="str">
        <f>IFERROR(__xludf.DUMMYFUNCTION("GOOGLETRANSLATE(B726, ""zh"", ""en"")"),"Something good, something relatively easy to use is also good. Relatively easy to use.")</f>
        <v>Something good, something relatively easy to use is also good. Relatively easy to use.</v>
      </c>
    </row>
    <row r="727">
      <c r="A727" s="1">
        <v>5.0</v>
      </c>
      <c r="B727" s="1" t="s">
        <v>727</v>
      </c>
      <c r="C727" t="str">
        <f>IFERROR(__xludf.DUMMYFUNCTION("GOOGLETRANSLATE(B727, ""zh"", ""en"")"),"Usually wide enough to buy 44 yards of shoes, Amazon is really suitable for large feet customers, suitable love")</f>
        <v>Usually wide enough to buy 44 yards of shoes, Amazon is really suitable for large feet customers, suitable love</v>
      </c>
    </row>
    <row r="728">
      <c r="A728" s="1">
        <v>5.0</v>
      </c>
      <c r="B728" s="1" t="s">
        <v>728</v>
      </c>
      <c r="C728" t="str">
        <f>IFERROR(__xludf.DUMMYFUNCTION("GOOGLETRANSLATE(B728, ""zh"", ""en"")"),"Yes very cool, a little hard, very pretty, stylish, thin, thick socks running three days ok. Slightly thinner cortex folds small fine lines, not a big thick fold")</f>
        <v>Yes very cool, a little hard, very pretty, stylish, thin, thick socks running three days ok. Slightly thinner cortex folds small fine lines, not a big thick fold</v>
      </c>
    </row>
    <row r="729">
      <c r="A729" s="1">
        <v>5.0</v>
      </c>
      <c r="B729" s="1" t="s">
        <v>729</v>
      </c>
      <c r="C729" t="str">
        <f>IFERROR(__xludf.DUMMYFUNCTION("GOOGLETRANSLATE(B729, ""zh"", ""en"")"),"Finally bought a special love classic black Dr Martens, 14 in the winter for the first time in 1460 on Amazon to buy a pair of brown, long ago wore out, aimed at the opportunity immediately bought a pair of classic black, finally come true! Discount off ➕"&amp;" tax was more than seven hundred! nike through 43, Dr Martens through 42, 8 yards, United States Code 9! Your reference!")</f>
        <v>Finally bought a special love classic black Dr Martens, 14 in the winter for the first time in 1460 on Amazon to buy a pair of brown, long ago wore out, aimed at the opportunity immediately bought a pair of classic black, finally come true! Discount off ➕ tax was more than seven hundred! nike through 43, Dr Martens through 42, 8 yards, United States Code 9! Your reference!</v>
      </c>
    </row>
    <row r="730">
      <c r="A730" s="1">
        <v>5.0</v>
      </c>
      <c r="B730" s="1" t="s">
        <v>730</v>
      </c>
      <c r="C730" t="str">
        <f>IFERROR(__xludf.DUMMYFUNCTION("GOOGLETRANSLATE(B730, ""zh"", ""en"")"),"Commodity good, cost-effective, consistent and imagination. Commodity good, cost-effective, consistent and imagination.")</f>
        <v>Commodity good, cost-effective, consistent and imagination. Commodity good, cost-effective, consistent and imagination.</v>
      </c>
    </row>
    <row r="731">
      <c r="A731" s="1">
        <v>5.0</v>
      </c>
      <c r="B731" s="1" t="s">
        <v>731</v>
      </c>
      <c r="C731" t="str">
        <f>IFERROR(__xludf.DUMMYFUNCTION("GOOGLETRANSLATE(B731, ""zh"", ""en"")"),"Appropriate satisfaction usually wear shoes 43, this size is just right, very fit, black and white, good-looking classic style")</f>
        <v>Appropriate satisfaction usually wear shoes 43, this size is just right, very fit, black and white, good-looking classic style</v>
      </c>
    </row>
    <row r="732">
      <c r="A732" s="1">
        <v>5.0</v>
      </c>
      <c r="B732" s="1" t="s">
        <v>732</v>
      </c>
      <c r="C732" t="str">
        <f>IFERROR(__xludf.DUMMYFUNCTION("GOOGLETRANSLATE(B732, ""zh"", ""en"")"),"Standard shoe size 42, shoe size is very appropriate, very comfortable to wear, very much.")</f>
        <v>Standard shoe size 42, shoe size is very appropriate, very comfortable to wear, very much.</v>
      </c>
    </row>
    <row r="733">
      <c r="A733" s="1">
        <v>5.0</v>
      </c>
      <c r="B733" s="1" t="s">
        <v>733</v>
      </c>
      <c r="C733" t="str">
        <f>IFERROR(__xludf.DUMMYFUNCTION("GOOGLETRANSLATE(B733, ""zh"", ""en"")"),"Worth trying, you'll love it. But I strongly advise you not to buy comparable to the first use of an electric toothbrush experience. March 2019 additional comments. This section is not recommended for very scouring the sea. No domestic warranty. Private s"&amp;"hops can not repair. Because the unibody. Apart is destroyed. If the state line is broken directly replaced. If the overseas version will throw away ......")</f>
        <v>Worth trying, you'll love it. But I strongly advise you not to buy comparable to the first use of an electric toothbrush experience. March 2019 additional comments. This section is not recommended for very scouring the sea. No domestic warranty. Private shops can not repair. Because the unibody. Apart is destroyed. If the state line is broken directly replaced. If the overseas version will throw away ......</v>
      </c>
    </row>
    <row r="734">
      <c r="A734" s="1">
        <v>5.0</v>
      </c>
      <c r="B734" s="1" t="s">
        <v>734</v>
      </c>
      <c r="C734" t="str">
        <f>IFERROR(__xludf.DUMMYFUNCTION("GOOGLETRANSLATE(B734, ""zh"", ""en"")"),"Like the color is very fresh, very good sound quality, with a comfortable, easy wireless")</f>
        <v>Like the color is very fresh, very good sound quality, with a comfortable, easy wireless</v>
      </c>
    </row>
    <row r="735">
      <c r="A735" s="1">
        <v>5.0</v>
      </c>
      <c r="B735" s="1" t="s">
        <v>735</v>
      </c>
      <c r="C735" t="str">
        <f>IFERROR(__xludf.DUMMYFUNCTION("GOOGLETRANSLATE(B735, ""zh"", ""en"")"),"Good times and good table Timex. very good. really good.")</f>
        <v>Good times and good table Timex. very good. really good.</v>
      </c>
    </row>
    <row r="736">
      <c r="A736" s="1">
        <v>2.0</v>
      </c>
      <c r="B736" s="1" t="s">
        <v>736</v>
      </c>
      <c r="C736" t="str">
        <f>IFERROR(__xludf.DUMMYFUNCTION("GOOGLETRANSLATE(B736, ""zh"", ""en"")"),"Why battery is dead? When the hand is not turn, take it for a battery, no change is opened to change the battery! ! ! Why is no electricity? It is put for a long time horse?")</f>
        <v>Why battery is dead? When the hand is not turn, take it for a battery, no change is opened to change the battery! ! ! Why is no electricity? It is put for a long time horse?</v>
      </c>
    </row>
    <row r="737">
      <c r="A737" s="1">
        <v>3.0</v>
      </c>
      <c r="B737" s="1" t="s">
        <v>737</v>
      </c>
      <c r="C737" t="str">
        <f>IFERROR(__xludf.DUMMYFUNCTION("GOOGLETRANSLATE(B737, ""zh"", ""en"")"),"Three with a tight body of some liberal bias? Three sizes down all the right equipment but some liberal bias some tight body")</f>
        <v>Three with a tight body of some liberal bias? Three sizes down all the right equipment but some liberal bias some tight body</v>
      </c>
    </row>
    <row r="738">
      <c r="A738" s="1">
        <v>3.0</v>
      </c>
      <c r="B738" s="1" t="s">
        <v>738</v>
      </c>
      <c r="C738" t="str">
        <f>IFERROR(__xludf.DUMMYFUNCTION("GOOGLETRANSLATE(B738, ""zh"", ""en"")"),"Not recommended for summer wear thick, skin feel uncomfortable, not recommended")</f>
        <v>Not recommended for summer wear thick, skin feel uncomfortable, not recommended</v>
      </c>
    </row>
    <row r="739">
      <c r="A739" s="1">
        <v>3.0</v>
      </c>
      <c r="B739" s="1" t="s">
        <v>739</v>
      </c>
      <c r="C739" t="str">
        <f>IFERROR(__xludf.DUMMYFUNCTION("GOOGLETRANSLATE(B739, ""zh"", ""en"")"),"There are plastic taste, issued to Hong Kong's cargo hold. There are plastic taste, do not recommend buying. Amazon also has a self-pit.")</f>
        <v>There are plastic taste, issued to Hong Kong's cargo hold. There are plastic taste, do not recommend buying. Amazon also has a self-pit.</v>
      </c>
    </row>
    <row r="740">
      <c r="A740" s="1">
        <v>1.0</v>
      </c>
      <c r="B740" s="1" t="s">
        <v>740</v>
      </c>
      <c r="C740" t="str">
        <f>IFERROR(__xludf.DUMMYFUNCTION("GOOGLETRANSLATE(B740, ""zh"", ""en"")"),"...... suit jacket is not too pit, and did not look at comments, I thought it was a suite, with many others were pit")</f>
        <v>...... suit jacket is not too pit, and did not look at comments, I thought it was a suite, with many others were pit</v>
      </c>
    </row>
    <row r="741">
      <c r="A741" s="1">
        <v>1.0</v>
      </c>
      <c r="B741" s="1" t="s">
        <v>741</v>
      </c>
      <c r="C741" t="str">
        <f>IFERROR(__xludf.DUMMYFUNCTION("GOOGLETRANSLATE(B741, ""zh"", ""en"")"),"Smell to wear a few times began to smell a bit like sweat, a bit like the taste of chemicals, tried several methods have not washed off.")</f>
        <v>Smell to wear a few times began to smell a bit like sweat, a bit like the taste of chemicals, tried several methods have not washed off.</v>
      </c>
    </row>
    <row r="742">
      <c r="A742" s="1">
        <v>1.0</v>
      </c>
      <c r="B742" s="1" t="s">
        <v>742</v>
      </c>
      <c r="C742" t="str">
        <f>IFERROR(__xludf.DUMMYFUNCTION("GOOGLETRANSLATE(B742, ""zh"", ""en"")"),"Poor quality, the file is missing, noisy, buzzing. I used a few times, 2t music file collection of classic and high-definition movies all gone, hate. Garbage wd.")</f>
        <v>Poor quality, the file is missing, noisy, buzzing. I used a few times, 2t music file collection of classic and high-definition movies all gone, hate. Garbage wd.</v>
      </c>
    </row>
    <row r="743">
      <c r="A743" s="1">
        <v>4.0</v>
      </c>
      <c r="B743" s="1" t="s">
        <v>743</v>
      </c>
      <c r="C743" t="str">
        <f>IFERROR(__xludf.DUMMYFUNCTION("GOOGLETRANSLATE(B743, ""zh"", ""en"")"),"Small number of self-cultivation, it is appropriate to wear than normal freshman code")</f>
        <v>Small number of self-cultivation, it is appropriate to wear than normal freshman code</v>
      </c>
    </row>
    <row r="744">
      <c r="A744" s="1">
        <v>4.0</v>
      </c>
      <c r="B744" s="1" t="s">
        <v>744</v>
      </c>
      <c r="C744" t="str">
        <f>IFERROR(__xludf.DUMMYFUNCTION("GOOGLETRANSLATE(B744, ""zh"", ""en"")"),"This little strong for people who wear pretty good, is more thread.")</f>
        <v>This little strong for people who wear pretty good, is more thread.</v>
      </c>
    </row>
    <row r="745">
      <c r="A745" s="1">
        <v>4.0</v>
      </c>
      <c r="B745" s="1" t="s">
        <v>745</v>
      </c>
      <c r="C745" t="str">
        <f>IFERROR(__xludf.DUMMYFUNCTION("GOOGLETRANSLATE(B745, ""zh"", ""en"")"),"Some hard soles a sub-price goods, very satisfied, will continue to support")</f>
        <v>Some hard soles a sub-price goods, very satisfied, will continue to support</v>
      </c>
    </row>
    <row r="746">
      <c r="A746" s="1">
        <v>4.0</v>
      </c>
      <c r="B746" s="1" t="s">
        <v>746</v>
      </c>
      <c r="C746" t="str">
        <f>IFERROR(__xludf.DUMMYFUNCTION("GOOGLETRANSLATE(B746, ""zh"", ""en"")"),"I could not enough strength mud is not good. . Then I stick Nabo Lang cooking up. .")</f>
        <v>I could not enough strength mud is not good. . Then I stick Nabo Lang cooking up. .</v>
      </c>
    </row>
    <row r="747">
      <c r="A747" s="1">
        <v>5.0</v>
      </c>
      <c r="B747" s="1" t="s">
        <v>747</v>
      </c>
      <c r="C747" t="str">
        <f>IFERROR(__xludf.DUMMYFUNCTION("GOOGLETRANSLATE(B747, ""zh"", ""en"")"),"Very good very good thing since the value")</f>
        <v>Very good very good thing since the value</v>
      </c>
    </row>
    <row r="748">
      <c r="A748" s="1">
        <v>5.0</v>
      </c>
      <c r="B748" s="1" t="s">
        <v>748</v>
      </c>
      <c r="C748" t="str">
        <f>IFERROR(__xludf.DUMMYFUNCTION("GOOGLETRANSLATE(B748, ""zh"", ""en"")"),"Law-abiding, no surprises, no disappointment, sound quite satisfactory, probably got used to the bookshelf box, now I am not very accustomed to the style of headphones.")</f>
        <v>Law-abiding, no surprises, no disappointment, sound quite satisfactory, probably got used to the bookshelf box, now I am not very accustomed to the style of headphones.</v>
      </c>
    </row>
    <row r="749">
      <c r="A749" s="1">
        <v>5.0</v>
      </c>
      <c r="B749" s="1" t="s">
        <v>749</v>
      </c>
      <c r="C749" t="str">
        <f>IFERROR(__xludf.DUMMYFUNCTION("GOOGLETRANSLATE(B749, ""zh"", ""en"")"),"Absolute value for money is useful, easy to use, host light, good")</f>
        <v>Absolute value for money is useful, easy to use, host light, good</v>
      </c>
    </row>
    <row r="750">
      <c r="A750" s="1">
        <v>5.0</v>
      </c>
      <c r="B750" s="1" t="s">
        <v>750</v>
      </c>
      <c r="C750" t="str">
        <f>IFERROR(__xludf.DUMMYFUNCTION("GOOGLETRANSLATE(B750, ""zh"", ""en"")"),"It can also can feel, not how long remains to be seen")</f>
        <v>It can also can feel, not how long remains to be seen</v>
      </c>
    </row>
    <row r="751">
      <c r="A751" s="1">
        <v>5.0</v>
      </c>
      <c r="B751" s="1" t="s">
        <v>751</v>
      </c>
      <c r="C751" t="str">
        <f>IFERROR(__xludf.DUMMYFUNCTION("GOOGLETRANSLATE(B751, ""zh"", ""en"")"),"Reference code number is very good, usually wear sneakers 36, read a long review, four yards just right, wear thin socks are not too loose, not too tight to wear thick socks. If you need to add thick socks and insoles recommendations to buy most of the co"&amp;"de")</f>
        <v>Reference code number is very good, usually wear sneakers 36, read a long review, four yards just right, wear thin socks are not too loose, not too tight to wear thick socks. If you need to add thick socks and insoles recommendations to buy most of the code</v>
      </c>
    </row>
    <row r="752">
      <c r="A752" s="1">
        <v>5.0</v>
      </c>
      <c r="B752" s="1" t="s">
        <v>752</v>
      </c>
      <c r="C752" t="str">
        <f>IFERROR(__xludf.DUMMYFUNCTION("GOOGLETRANSLATE(B752, ""zh"", ""en"")"),"Pretty good though a bit thin. But Beijing than in Japan cold a lot of it.")</f>
        <v>Pretty good though a bit thin. But Beijing than in Japan cold a lot of it.</v>
      </c>
    </row>
    <row r="753">
      <c r="A753" s="1">
        <v>5.0</v>
      </c>
      <c r="B753" s="1" t="s">
        <v>753</v>
      </c>
      <c r="C753" t="str">
        <f>IFERROR(__xludf.DUMMYFUNCTION("GOOGLETRANSLATE(B753, ""zh"", ""en"")"),"Like always, very good shoes, size standard, Ref 754,")</f>
        <v>Like always, very good shoes, size standard, Ref 754,</v>
      </c>
    </row>
    <row r="754">
      <c r="A754" s="1">
        <v>5.0</v>
      </c>
      <c r="B754" s="1" t="s">
        <v>754</v>
      </c>
      <c r="C754" t="str">
        <f>IFERROR(__xludf.DUMMYFUNCTION("GOOGLETRANSLATE(B754, ""zh"", ""en"")"),"Petite carefully shot clothes, colors and styles but I really liked the 173cm67kg buy is s number ah long sleeves or a lot")</f>
        <v>Petite carefully shot clothes, colors and styles but I really liked the 173cm67kg buy is s number ah long sleeves or a lot</v>
      </c>
    </row>
    <row r="755">
      <c r="A755" s="1">
        <v>5.0</v>
      </c>
      <c r="B755" s="1" t="s">
        <v>755</v>
      </c>
      <c r="C755" t="str">
        <f>IFERROR(__xludf.DUMMYFUNCTION("GOOGLETRANSLATE(B755, ""zh"", ""en"")"),"Worth buying good quality and appearance are also ideal as")</f>
        <v>Worth buying good quality and appearance are also ideal as</v>
      </c>
    </row>
    <row r="756">
      <c r="A756" s="1">
        <v>5.0</v>
      </c>
      <c r="B756" s="1" t="s">
        <v>756</v>
      </c>
      <c r="C756" t="str">
        <f>IFERROR(__xludf.DUMMYFUNCTION("GOOGLETRANSLATE(B756, ""zh"", ""en"")"),"⚾️ great baseball cap baby I love you for a long time to find it on Amazon 😃 happy thumbs up 👍")</f>
        <v>⚾️ great baseball cap baby I love you for a long time to find it on Amazon 😃 happy thumbs up 👍</v>
      </c>
    </row>
    <row r="757">
      <c r="A757" s="1">
        <v>5.0</v>
      </c>
      <c r="B757" s="1" t="s">
        <v>757</v>
      </c>
      <c r="C757" t="str">
        <f>IFERROR(__xludf.DUMMYFUNCTION("GOOGLETRANSLATE(B757, ""zh"", ""en"")"),"Dog printed plastic waist very good, very satisfied, is genuine, the effect of additional follow-up")</f>
        <v>Dog printed plastic waist very good, very satisfied, is genuine, the effect of additional follow-up</v>
      </c>
    </row>
    <row r="758">
      <c r="A758" s="1">
        <v>5.0</v>
      </c>
      <c r="B758" s="1" t="s">
        <v>758</v>
      </c>
      <c r="C758" t="str">
        <f>IFERROR(__xludf.DUMMYFUNCTION("GOOGLETRANSLATE(B758, ""zh"", ""en"")"),"High quality green bean paste color is very special, exquisite workmanship, impeccable.")</f>
        <v>High quality green bean paste color is very special, exquisite workmanship, impeccable.</v>
      </c>
    </row>
    <row r="759">
      <c r="A759" s="1">
        <v>5.0</v>
      </c>
      <c r="B759" s="1" t="s">
        <v>759</v>
      </c>
      <c r="C759" t="str">
        <f>IFERROR(__xludf.DUMMYFUNCTION("GOOGLETRANSLATE(B759, ""zh"", ""en"")"),"Eat good long-term brand Centrum, each bottle of old and young, trustworthy")</f>
        <v>Eat good long-term brand Centrum, each bottle of old and young, trustworthy</v>
      </c>
    </row>
    <row r="760">
      <c r="A760" s="1">
        <v>5.0</v>
      </c>
      <c r="B760" s="1" t="s">
        <v>760</v>
      </c>
      <c r="C760" t="str">
        <f>IFERROR(__xludf.DUMMYFUNCTION("GOOGLETRANSLATE(B760, ""zh"", ""en"")"),"This price drop though there are many colors, but it feels a child does not need such a complex, many of the colors are similar, but there was a heavy smell")</f>
        <v>This price drop though there are many colors, but it feels a child does not need such a complex, many of the colors are similar, but there was a heavy smell</v>
      </c>
    </row>
    <row r="761">
      <c r="A761" s="1">
        <v>5.0</v>
      </c>
      <c r="B761" s="1" t="s">
        <v>761</v>
      </c>
      <c r="C761" t="str">
        <f>IFERROR(__xludf.DUMMYFUNCTION("GOOGLETRANSLATE(B761, ""zh"", ""en"")"),"The high cost of good quality, very much")</f>
        <v>The high cost of good quality, very much</v>
      </c>
    </row>
    <row r="762">
      <c r="A762" s="1">
        <v>5.0</v>
      </c>
      <c r="B762" s="1" t="s">
        <v>762</v>
      </c>
      <c r="C762" t="str">
        <f>IFERROR(__xludf.DUMMYFUNCTION("GOOGLETRANSLATE(B762, ""zh"", ""en"")"),"S should buy a good number of very comfortable material is too large")</f>
        <v>S should buy a good number of very comfortable material is too large</v>
      </c>
    </row>
    <row r="763">
      <c r="A763" s="1">
        <v>5.0</v>
      </c>
      <c r="B763" s="1" t="s">
        <v>763</v>
      </c>
      <c r="C763" t="str">
        <f>IFERROR(__xludf.DUMMYFUNCTION("GOOGLETRANSLATE(B763, ""zh"", ""en"")"),"I bought two bottles, very cost-effective. Surprised to see such a big box, two large bottles of really big, eat a long time.")</f>
        <v>I bought two bottles, very cost-effective. Surprised to see such a big box, two large bottles of really big, eat a long time.</v>
      </c>
    </row>
    <row r="764">
      <c r="A764" s="1">
        <v>5.0</v>
      </c>
      <c r="B764" s="1" t="s">
        <v>764</v>
      </c>
      <c r="C764" t="str">
        <f>IFERROR(__xludf.DUMMYFUNCTION("GOOGLETRANSLATE(B764, ""zh"", ""en"")"),"With the one, with no difference with the original one, with no distinction between genuine, really is a good replacement, original brush head is broken, we put a new brush head replacement equipment, very good.")</f>
        <v>With the one, with no difference with the original one, with no distinction between genuine, really is a good replacement, original brush head is broken, we put a new brush head replacement equipment, very good.</v>
      </c>
    </row>
    <row r="765">
      <c r="A765" s="1">
        <v>5.0</v>
      </c>
      <c r="B765" s="1" t="s">
        <v>765</v>
      </c>
      <c r="C765" t="str">
        <f>IFERROR(__xludf.DUMMYFUNCTION("GOOGLETRANSLATE(B765, ""zh"", ""en"")"),"Perfect Nice")</f>
        <v>Perfect Nice</v>
      </c>
    </row>
    <row r="766">
      <c r="A766" s="1">
        <v>5.0</v>
      </c>
      <c r="B766" s="1" t="s">
        <v>766</v>
      </c>
      <c r="C766" t="str">
        <f>IFERROR(__xludf.DUMMYFUNCTION("GOOGLETRANSLATE(B766, ""zh"", ""en"")"),"Is good, it is worth into. Over one hundred good friends or a belt, leather or not do not understand, somewhat faded, with dark slacks or jeans very good. I 174,138, the Department of positive numbers from the tip of the second belt suitable hole, slightl"&amp;"y short, so the next plan to try 36.")</f>
        <v>Is good, it is worth into. Over one hundred good friends or a belt, leather or not do not understand, somewhat faded, with dark slacks or jeans very good. I 174,138, the Department of positive numbers from the tip of the second belt suitable hole, slightly short, so the next plan to try 36.</v>
      </c>
    </row>
    <row r="767">
      <c r="A767" s="1">
        <v>5.0</v>
      </c>
      <c r="B767" s="1" t="s">
        <v>767</v>
      </c>
      <c r="C767" t="str">
        <f>IFERROR(__xludf.DUMMYFUNCTION("GOOGLETRANSLATE(B767, ""zh"", ""en"")"),"Very good good table, two weeks of arrival, all in good condition, packing a little shabby, a thick manual full of all kinds of foreign language plus English, Chinese once again been ignored. Adjust the date and time according to previous buyers comments,"&amp;" etc., no problem, very good. Amazon's delivery speed must be like this one, six days earlier than expected.")</f>
        <v>Very good good table, two weeks of arrival, all in good condition, packing a little shabby, a thick manual full of all kinds of foreign language plus English, Chinese once again been ignored. Adjust the date and time according to previous buyers comments, etc., no problem, very good. Amazon's delivery speed must be like this one, six days earlier than expected.</v>
      </c>
    </row>
    <row r="768">
      <c r="A768" s="1">
        <v>5.0</v>
      </c>
      <c r="B768" s="1" t="s">
        <v>768</v>
      </c>
      <c r="C768" t="str">
        <f>IFERROR(__xludf.DUMMYFUNCTION("GOOGLETRANSLATE(B768, ""zh"", ""en"")"),"Very nice very appropriate, soles soft, not hard feet.")</f>
        <v>Very nice very appropriate, soles soft, not hard feet.</v>
      </c>
    </row>
    <row r="769">
      <c r="A769" s="1">
        <v>2.0</v>
      </c>
      <c r="B769" s="1" t="s">
        <v>769</v>
      </c>
      <c r="C769" t="str">
        <f>IFERROR(__xludf.DUMMYFUNCTION("GOOGLETRANSLATE(B769, ""zh"", ""en"")"),"More disappointed large pants, people buy 170,180 pounds of M are big, but can wear, buy S more fit. And pants very thin and fat, like the kind of training pants martial arts wear. But what is too much trouble even if the return. Barely wearing it")</f>
        <v>More disappointed large pants, people buy 170,180 pounds of M are big, but can wear, buy S more fit. And pants very thin and fat, like the kind of training pants martial arts wear. But what is too much trouble even if the return. Barely wearing it</v>
      </c>
    </row>
    <row r="770">
      <c r="A770" s="1">
        <v>3.0</v>
      </c>
      <c r="B770" s="1" t="s">
        <v>770</v>
      </c>
      <c r="C770" t="str">
        <f>IFERROR(__xludf.DUMMYFUNCTION("GOOGLETRANSLATE(B770, ""zh"", ""en"")"),"Generally do not like, the material is very general, much worse than domestic same brand")</f>
        <v>Generally do not like, the material is very general, much worse than domestic same brand</v>
      </c>
    </row>
    <row r="771">
      <c r="A771" s="1">
        <v>3.0</v>
      </c>
      <c r="B771" s="1" t="s">
        <v>771</v>
      </c>
      <c r="C771" t="str">
        <f>IFERROR(__xludf.DUMMYFUNCTION("GOOGLETRANSLATE(B771, ""zh"", ""en"")"),"Thin as a sheet of paper is difficult to say that this is not true, thin and feel very hard, just like paper -")</f>
        <v>Thin as a sheet of paper is difficult to say that this is not true, thin and feel very hard, just like paper -</v>
      </c>
    </row>
    <row r="772">
      <c r="A772" s="1">
        <v>1.0</v>
      </c>
      <c r="B772" s="1" t="s">
        <v>772</v>
      </c>
      <c r="C772" t="str">
        <f>IFERROR(__xludf.DUMMYFUNCTION("GOOGLETRANSLATE(B772, ""zh"", ""en"")"),"What the hell XL S code actually has so much domestic, this is what the code number, the fabric is also very common, Poor")</f>
        <v>What the hell XL S code actually has so much domestic, this is what the code number, the fabric is also very common, Poor</v>
      </c>
    </row>
    <row r="773">
      <c r="A773" s="1">
        <v>1.0</v>
      </c>
      <c r="B773" s="1" t="s">
        <v>773</v>
      </c>
      <c r="C773" t="str">
        <f>IFERROR(__xludf.DUMMYFUNCTION("GOOGLETRANSLATE(B773, ""zh"", ""en"")"),"Returns are not wearing it for two days, rip the leather")</f>
        <v>Returns are not wearing it for two days, rip the leather</v>
      </c>
    </row>
    <row r="774">
      <c r="A774" s="1">
        <v>4.0</v>
      </c>
      <c r="B774" s="1" t="s">
        <v>774</v>
      </c>
      <c r="C774" t="str">
        <f>IFERROR(__xludf.DUMMYFUNCTION("GOOGLETRANSLATE(B774, ""zh"", ""en"")"),"Only to see a lot of people commented that received was used by others is my better this new cheaper but the effect is the same I used after several armpit hair color lighter pores after quite effective to buy the hair growth rate have slowed down just no"&amp;"w is the winter trimester I feel it will be able to get rid of the weight of the hair")</f>
        <v>Only to see a lot of people commented that received was used by others is my better this new cheaper but the effect is the same I used after several armpit hair color lighter pores after quite effective to buy the hair growth rate have slowed down just now is the winter trimester I feel it will be able to get rid of the weight of the hair</v>
      </c>
    </row>
    <row r="775">
      <c r="A775" s="1">
        <v>4.0</v>
      </c>
      <c r="B775" s="1" t="s">
        <v>775</v>
      </c>
      <c r="C775" t="str">
        <f>IFERROR(__xludf.DUMMYFUNCTION("GOOGLETRANSLATE(B775, ""zh"", ""en"")"),"The sleeves a little longer acceptable color is very positive but also very long sleeves of my height 157 weight just right for the size of about 85 xs")</f>
        <v>The sleeves a little longer acceptable color is very positive but also very long sleeves of my height 157 weight just right for the size of about 85 xs</v>
      </c>
    </row>
    <row r="776">
      <c r="A776" s="1">
        <v>4.0</v>
      </c>
      <c r="B776" s="1" t="s">
        <v>776</v>
      </c>
      <c r="C776" t="str">
        <f>IFERROR(__xludf.DUMMYFUNCTION("GOOGLETRANSLATE(B776, ""zh"", ""en"")"),"Not very sophisticated feel like a general, large than expected, not very fine.")</f>
        <v>Not very sophisticated feel like a general, large than expected, not very fine.</v>
      </c>
    </row>
    <row r="777">
      <c r="A777" s="1">
        <v>4.0</v>
      </c>
      <c r="B777" s="1" t="s">
        <v>777</v>
      </c>
      <c r="C777" t="str">
        <f>IFERROR(__xludf.DUMMYFUNCTION("GOOGLETRANSLATE(B777, ""zh"", ""en"")"),"Yes nipple was nice, but I do not know why there is no one set of two, and a six pack store is not very convenient.")</f>
        <v>Yes nipple was nice, but I do not know why there is no one set of two, and a six pack store is not very convenient.</v>
      </c>
    </row>
    <row r="778">
      <c r="A778" s="1">
        <v>4.0</v>
      </c>
      <c r="B778" s="1" t="s">
        <v>778</v>
      </c>
      <c r="C778" t="str">
        <f>IFERROR(__xludf.DUMMYFUNCTION("GOOGLETRANSLATE(B778, ""zh"", ""en"")"),"Heart did not sell white pen hand is black. A whole mad pull cool hanging fried days, I was impatient and made up. Such a connotation of something out so impetuous, so very uncomfortable")</f>
        <v>Heart did not sell white pen hand is black. A whole mad pull cool hanging fried days, I was impatient and made up. Such a connotation of something out so impetuous, so very uncomfortable</v>
      </c>
    </row>
    <row r="779">
      <c r="A779" s="1">
        <v>5.0</v>
      </c>
      <c r="B779" s="1" t="s">
        <v>779</v>
      </c>
      <c r="C779" t="str">
        <f>IFERROR(__xludf.DUMMYFUNCTION("GOOGLETRANSLATE(B779, ""zh"", ""en"")"),"Very soft and comfortable to wear very comfortable and I liked it, very soft lined with villi, buy in cheaper than a cat, and less than a hundred. And he bought two still on the road.")</f>
        <v>Very soft and comfortable to wear very comfortable and I liked it, very soft lined with villi, buy in cheaper than a cat, and less than a hundred. And he bought two still on the road.</v>
      </c>
    </row>
    <row r="780">
      <c r="A780" s="1">
        <v>5.0</v>
      </c>
      <c r="B780" s="1" t="s">
        <v>780</v>
      </c>
      <c r="C780" t="str">
        <f>IFERROR(__xludf.DUMMYFUNCTION("GOOGLETRANSLATE(B780, ""zh"", ""en"")"),"Yang Shen eat for a month, the effect is good")</f>
        <v>Yang Shen eat for a month, the effect is good</v>
      </c>
    </row>
    <row r="781">
      <c r="A781" s="1">
        <v>5.0</v>
      </c>
      <c r="B781" s="1" t="s">
        <v>781</v>
      </c>
      <c r="C781" t="str">
        <f>IFERROR(__xludf.DUMMYFUNCTION("GOOGLETRANSLATE(B781, ""zh"", ""en"")"),"Calcium and magnesium zinc childhood date still fresh, the packaging is also very good, also fast delivery.")</f>
        <v>Calcium and magnesium zinc childhood date still fresh, the packaging is also very good, also fast delivery.</v>
      </c>
    </row>
    <row r="782">
      <c r="A782" s="1">
        <v>5.0</v>
      </c>
      <c r="B782" s="1" t="s">
        <v>782</v>
      </c>
      <c r="C782" t="str">
        <f>IFERROR(__xludf.DUMMYFUNCTION("GOOGLETRANSLATE(B782, ""zh"", ""en"")"),"Good workmanship and style did not have to say, the boys carry commuters currently use, not to force off the grid, especially the style")</f>
        <v>Good workmanship and style did not have to say, the boys carry commuters currently use, not to force off the grid, especially the style</v>
      </c>
    </row>
    <row r="783">
      <c r="A783" s="1">
        <v>5.0</v>
      </c>
      <c r="B783" s="1" t="s">
        <v>783</v>
      </c>
      <c r="C783" t="str">
        <f>IFERROR(__xludf.DUMMYFUNCTION("GOOGLETRANSLATE(B783, ""zh"", ""en"")"),"The new shoes are very satisfied, very good quality, very light, very satisfied")</f>
        <v>The new shoes are very satisfied, very good quality, very light, very satisfied</v>
      </c>
    </row>
    <row r="784">
      <c r="A784" s="1">
        <v>5.0</v>
      </c>
      <c r="B784" s="1" t="s">
        <v>784</v>
      </c>
      <c r="C784" t="str">
        <f>IFERROR(__xludf.DUMMYFUNCTION("GOOGLETRANSLATE(B784, ""zh"", ""en"")"),"Ramen bowl is very suitable for the children to cook noodles.")</f>
        <v>Ramen bowl is very suitable for the children to cook noodles.</v>
      </c>
    </row>
    <row r="785">
      <c r="A785" s="1">
        <v>5.0</v>
      </c>
      <c r="B785" s="1" t="s">
        <v>785</v>
      </c>
      <c r="C785" t="str">
        <f>IFERROR(__xludf.DUMMYFUNCTION("GOOGLETRANSLATE(B785, ""zh"", ""en"")"),"Cup is too small to wear very comfortable, but that some small cup, said to be suitable for A_E, but a large chest or tingling careful to buy it, the birth of the baby slim down over a period of time, it is better to wear a")</f>
        <v>Cup is too small to wear very comfortable, but that some small cup, said to be suitable for A_E, but a large chest or tingling careful to buy it, the birth of the baby slim down over a period of time, it is better to wear a</v>
      </c>
    </row>
    <row r="786">
      <c r="A786" s="1">
        <v>5.0</v>
      </c>
      <c r="B786" s="1" t="s">
        <v>786</v>
      </c>
      <c r="C786" t="str">
        <f>IFERROR(__xludf.DUMMYFUNCTION("GOOGLETRANSLATE(B786, ""zh"", ""en"")"),"This series is somewhat complicated to buy this gold pen, yes, this series has not gold gold, respectively, to pay attention")</f>
        <v>This series is somewhat complicated to buy this gold pen, yes, this series has not gold gold, respectively, to pay attention</v>
      </c>
    </row>
    <row r="787">
      <c r="A787" s="1">
        <v>5.0</v>
      </c>
      <c r="B787" s="1" t="s">
        <v>787</v>
      </c>
      <c r="C787" t="str">
        <f>IFERROR(__xludf.DUMMYFUNCTION("GOOGLETRANSLATE(B787, ""zh"", ""en"")"),"not bad, very good. Good, cheap, wear light.")</f>
        <v>not bad, very good. Good, cheap, wear light.</v>
      </c>
    </row>
    <row r="788">
      <c r="A788" s="1">
        <v>5.0</v>
      </c>
      <c r="B788" s="1" t="s">
        <v>788</v>
      </c>
      <c r="C788" t="str">
        <f>IFERROR(__xludf.DUMMYFUNCTION("GOOGLETRANSLATE(B788, ""zh"", ""en"")"),"OK clatter be honest, not much use every day frequency, playing really bad to drink milk ah, ooo, ooo")</f>
        <v>OK clatter be honest, not much use every day frequency, playing really bad to drink milk ah, ooo, ooo</v>
      </c>
    </row>
    <row r="789">
      <c r="A789" s="1">
        <v>5.0</v>
      </c>
      <c r="B789" s="1" t="s">
        <v>789</v>
      </c>
      <c r="C789" t="str">
        <f>IFERROR(__xludf.DUMMYFUNCTION("GOOGLETRANSLATE(B789, ""zh"", ""en"")"),"Generally like quite good, although speed is not fast, but stable")</f>
        <v>Generally like quite good, although speed is not fast, but stable</v>
      </c>
    </row>
    <row r="790">
      <c r="A790" s="1">
        <v>5.0</v>
      </c>
      <c r="B790" s="1" t="s">
        <v>790</v>
      </c>
      <c r="C790" t="str">
        <f>IFERROR(__xludf.DUMMYFUNCTION("GOOGLETRANSLATE(B790, ""zh"", ""en"")"),"Girls can learn from me 170,125 pounds of S code is appropriate, is wearing is very strong")</f>
        <v>Girls can learn from me 170,125 pounds of S code is appropriate, is wearing is very strong</v>
      </c>
    </row>
    <row r="791">
      <c r="A791" s="1">
        <v>5.0</v>
      </c>
      <c r="B791" s="1" t="s">
        <v>791</v>
      </c>
      <c r="C791" t="str">
        <f>IFERROR(__xludf.DUMMYFUNCTION("GOOGLETRANSLATE(B791, ""zh"", ""en"")"),"Good workmanship good, is thinner than expected point")</f>
        <v>Good workmanship good, is thinner than expected point</v>
      </c>
    </row>
    <row r="792">
      <c r="A792" s="1">
        <v>5.0</v>
      </c>
      <c r="B792" s="1" t="s">
        <v>792</v>
      </c>
      <c r="C792" t="str">
        <f>IFERROR(__xludf.DUMMYFUNCTION("GOOGLETRANSLATE(B792, ""zh"", ""en"")"),"Awesome product and has been recommended for the purchase of two friends, great product!")</f>
        <v>Awesome product and has been recommended for the purchase of two friends, great product!</v>
      </c>
    </row>
    <row r="793">
      <c r="A793" s="1">
        <v>5.0</v>
      </c>
      <c r="B793" s="1" t="s">
        <v>793</v>
      </c>
      <c r="C793" t="str">
        <f>IFERROR(__xludf.DUMMYFUNCTION("GOOGLETRANSLATE(B793, ""zh"", ""en"")"),"Good should be genuine, just tried it, I feel good!")</f>
        <v>Good should be genuine, just tried it, I feel good!</v>
      </c>
    </row>
    <row r="794">
      <c r="A794" s="1">
        <v>5.0</v>
      </c>
      <c r="B794" s="1" t="s">
        <v>794</v>
      </c>
      <c r="C794" t="str">
        <f>IFERROR(__xludf.DUMMYFUNCTION("GOOGLETRANSLATE(B794, ""zh"", ""en"")"),"Store goods in the baby received! very nice! Not with store goods in!")</f>
        <v>Store goods in the baby received! very nice! Not with store goods in!</v>
      </c>
    </row>
    <row r="795">
      <c r="A795" s="1">
        <v>5.0</v>
      </c>
      <c r="B795" s="1" t="s">
        <v>795</v>
      </c>
      <c r="C795" t="str">
        <f>IFERROR(__xludf.DUMMYFUNCTION("GOOGLETRANSLATE(B795, ""zh"", ""en"")"),"Early arrival, early arrival of something good, things looked on genuine, now not to the baby with a good, not from the previous evaluation, I do not know how many wasted points, points can change money now know, they should look carefully evaluated , the"&amp;"n I put these words to copy to go, both to earn points, but also the easy way, where are copying where, most importantly, do not seriously review, do not think how much worse word, made directly on it I recommend it to everyone!")</f>
        <v>Early arrival, early arrival of something good, things looked on genuine, now not to the baby with a good, not from the previous evaluation, I do not know how many wasted points, points can change money now know, they should look carefully evaluated , then I put these words to copy to go, both to earn points, but also the easy way, where are copying where, most importantly, do not seriously review, do not think how much worse word, made directly on it I recommend it to everyone!</v>
      </c>
    </row>
    <row r="796">
      <c r="A796" s="1">
        <v>5.0</v>
      </c>
      <c r="B796" s="1" t="s">
        <v>796</v>
      </c>
      <c r="C796" t="str">
        <f>IFERROR(__xludf.DUMMYFUNCTION("GOOGLETRANSLATE(B796, ""zh"", ""en"")"),"Its a great deal in my personal opinion and decoding with a similar line, put down a good bit of space suitable volume sufficient state level to resolve this case is 1000 yuan big ear level. Mishina balanced non-staining, very high frequency seem a little"&amp;" obvious distortion, low dive well, three-dimensional sound field, imaging is very accurate. Activity price one Senpachi, really value")</f>
        <v>Its a great deal in my personal opinion and decoding with a similar line, put down a good bit of space suitable volume sufficient state level to resolve this case is 1000 yuan big ear level. Mishina balanced non-staining, very high frequency seem a little obvious distortion, low dive well, three-dimensional sound field, imaging is very accurate. Activity price one Senpachi, really value</v>
      </c>
    </row>
    <row r="797">
      <c r="A797" s="1">
        <v>5.0</v>
      </c>
      <c r="B797" s="1" t="s">
        <v>797</v>
      </c>
      <c r="C797" t="str">
        <f>IFERROR(__xludf.DUMMYFUNCTION("GOOGLETRANSLATE(B797, ""zh"", ""en"")"),"Good taste good, but buy less")</f>
        <v>Good taste good, but buy less</v>
      </c>
    </row>
    <row r="798">
      <c r="A798" s="1">
        <v>5.0</v>
      </c>
      <c r="B798" s="1" t="s">
        <v>798</v>
      </c>
      <c r="C798" t="str">
        <f>IFERROR(__xludf.DUMMYFUNCTION("GOOGLETRANSLATE(B798, ""zh"", ""en"")"),"Size comprehensive people are saying, this is just a few yards, this is the first time purchase on Amazon, very satisfied")</f>
        <v>Size comprehensive people are saying, this is just a few yards, this is the first time purchase on Amazon, very satisfied</v>
      </c>
    </row>
    <row r="799">
      <c r="A799" s="1">
        <v>5.0</v>
      </c>
      <c r="B799" s="1" t="s">
        <v>799</v>
      </c>
      <c r="C799" t="str">
        <f>IFERROR(__xludf.DUMMYFUNCTION("GOOGLETRANSLATE(B799, ""zh"", ""en"")"),"Very very comfortable to wear very comfortable. ecco shoes buy fit on Amazon. A lot cheaper ah!")</f>
        <v>Very very comfortable to wear very comfortable. ecco shoes buy fit on Amazon. A lot cheaper ah!</v>
      </c>
    </row>
    <row r="800">
      <c r="A800" s="1">
        <v>5.0</v>
      </c>
      <c r="B800" s="1" t="s">
        <v>800</v>
      </c>
      <c r="C800" t="str">
        <f>IFERROR(__xludf.DUMMYFUNCTION("GOOGLETRANSLATE(B800, ""zh"", ""en"")"),"Very good, very satisfied strict, a little taste at all. Yes, the children are not afraid of throwing away equipment to dissolve the bean")</f>
        <v>Very good, very satisfied strict, a little taste at all. Yes, the children are not afraid of throwing away equipment to dissolve the bean</v>
      </c>
    </row>
    <row r="801">
      <c r="A801" s="1">
        <v>2.0</v>
      </c>
      <c r="B801" s="1" t="s">
        <v>801</v>
      </c>
      <c r="C801" t="str">
        <f>IFERROR(__xludf.DUMMYFUNCTION("GOOGLETRANSLATE(B801, ""zh"", ""en"")"),"Trademark did not wash a rub off on clothes just come back, rubbing a hand mark on out. Fabric can only say okay, you said a well-known trademark brand will not wash clothes on a rub out yet? Just a little disappointed.")</f>
        <v>Trademark did not wash a rub off on clothes just come back, rubbing a hand mark on out. Fabric can only say okay, you said a well-known trademark brand will not wash clothes on a rub out yet? Just a little disappointed.</v>
      </c>
    </row>
    <row r="802">
      <c r="A802" s="1">
        <v>3.0</v>
      </c>
      <c r="B802" s="1" t="s">
        <v>802</v>
      </c>
      <c r="C802" t="str">
        <f>IFERROR(__xludf.DUMMYFUNCTION("GOOGLETRANSLATE(B802, ""zh"", ""en"")"),"Not too satisfied with the goods and the domestic counter difference has dropped out of it")</f>
        <v>Not too satisfied with the goods and the domestic counter difference has dropped out of it</v>
      </c>
    </row>
    <row r="803">
      <c r="A803" s="1">
        <v>3.0</v>
      </c>
      <c r="B803" s="1" t="s">
        <v>803</v>
      </c>
      <c r="C803" t="str">
        <f>IFERROR(__xludf.DUMMYFUNCTION("GOOGLETRANSLATE(B803, ""zh"", ""en"")"),"172/65, S code fit good quality clothes, is to have a button rusty, a little after the removal of surface rust. After another washing a small cuff slightly damaged. The value of the faithful see if it is also so, overall are satisfied.")</f>
        <v>172/65, S code fit good quality clothes, is to have a button rusty, a little after the removal of surface rust. After another washing a small cuff slightly damaged. The value of the faithful see if it is also so, overall are satisfied.</v>
      </c>
    </row>
    <row r="804">
      <c r="A804" s="1">
        <v>1.0</v>
      </c>
      <c r="B804" s="1" t="s">
        <v>804</v>
      </c>
      <c r="C804" t="str">
        <f>IFERROR(__xludf.DUMMYFUNCTION("GOOGLETRANSLATE(B804, ""zh"", ""en"")"),"Kutong too, totally unsuitable for Kutong too, totally unsuitable")</f>
        <v>Kutong too, totally unsuitable for Kutong too, totally unsuitable</v>
      </c>
    </row>
    <row r="805">
      <c r="A805" s="1">
        <v>1.0</v>
      </c>
      <c r="B805" s="1" t="s">
        <v>805</v>
      </c>
      <c r="C805" t="str">
        <f>IFERROR(__xludf.DUMMYFUNCTION("GOOGLETRANSLATE(B805, ""zh"", ""en"")"),"Does not write well thought foreign pen to write, try not very good really, that there is no description of the diameter of the cartridge, the water is also poor, doing is not so cheap. Negative Ratings!")</f>
        <v>Does not write well thought foreign pen to write, try not very good really, that there is no description of the diameter of the cartridge, the water is also poor, doing is not so cheap. Negative Ratings!</v>
      </c>
    </row>
    <row r="806">
      <c r="A806" s="1">
        <v>1.0</v>
      </c>
      <c r="B806" s="1" t="s">
        <v>806</v>
      </c>
      <c r="C806" t="str">
        <f>IFERROR(__xludf.DUMMYFUNCTION("GOOGLETRANSLATE(B806, ""zh"", ""en"")"),"Machine translation is very poor silent, has been run up, Wacoal will not be the same size, translation unequal, nursing bras are not displayed on the page, show up on the order.")</f>
        <v>Machine translation is very poor silent, has been run up, Wacoal will not be the same size, translation unequal, nursing bras are not displayed on the page, show up on the order.</v>
      </c>
    </row>
    <row r="807">
      <c r="A807" s="1">
        <v>4.0</v>
      </c>
      <c r="B807" s="1" t="s">
        <v>807</v>
      </c>
      <c r="C807" t="str">
        <f>IFERROR(__xludf.DUMMYFUNCTION("GOOGLETRANSLATE(B807, ""zh"", ""en"")"),"Okay has bought entry-lossless player, but to be honest to enhance the contrast of fruit 6s little better players heard also heard with a computer, headset one of those good push. No type particularly good at it, as relatively balanced. Because the price "&amp;"is Nichia buy, so a lot cheaper compared to domestic. Overall satisfaction.")</f>
        <v>Okay has bought entry-lossless player, but to be honest to enhance the contrast of fruit 6s little better players heard also heard with a computer, headset one of those good push. No type particularly good at it, as relatively balanced. Because the price is Nichia buy, so a lot cheaper compared to domestic. Overall satisfaction.</v>
      </c>
    </row>
    <row r="808">
      <c r="A808" s="1">
        <v>4.0</v>
      </c>
      <c r="B808" s="1" t="s">
        <v>808</v>
      </c>
      <c r="C808" t="str">
        <f>IFERROR(__xludf.DUMMYFUNCTION("GOOGLETRANSLATE(B808, ""zh"", ""en"")"),"1. good quality products product introduction page color darker than the commodity, Phi butter quality, easy to care, does not apply to rain wear. 2. The lightweight, flexible sole. 3. The outsole slip, just adapted to send the elderly wear. 4. The produc"&amp;"tion date of 2017, the origin of Thailand. Delivery: international shipping easy to fully booked slower domestic distribution segment wind drops Bang Bang!")</f>
        <v>1. good quality products product introduction page color darker than the commodity, Phi butter quality, easy to care, does not apply to rain wear. 2. The lightweight, flexible sole. 3. The outsole slip, just adapted to send the elderly wear. 4. The production date of 2017, the origin of Thailand. Delivery: international shipping easy to fully booked slower domestic distribution segment wind drops Bang Bang!</v>
      </c>
    </row>
    <row r="809">
      <c r="A809" s="1">
        <v>4.0</v>
      </c>
      <c r="B809" s="1" t="s">
        <v>809</v>
      </c>
      <c r="C809" t="str">
        <f>IFERROR(__xludf.DUMMYFUNCTION("GOOGLETRANSLATE(B809, ""zh"", ""en"")"),"Okay. so so. Some fur clothes. No tag. Overall okay. This is a good buy after cotton. I feel this will play ball. I am saying that the production of glue Xiang on this dress hat? Xiang or someone else used to wipe up?")</f>
        <v>Okay. so so. Some fur clothes. No tag. Overall okay. This is a good buy after cotton. I feel this will play ball. I am saying that the production of glue Xiang on this dress hat? Xiang or someone else used to wipe up?</v>
      </c>
    </row>
    <row r="810">
      <c r="A810" s="1">
        <v>4.0</v>
      </c>
      <c r="B810" s="1" t="s">
        <v>810</v>
      </c>
      <c r="C810" t="str">
        <f>IFERROR(__xludf.DUMMYFUNCTION("GOOGLETRANSLATE(B810, ""zh"", ""en"")"),"Good quality very cute, very good quality")</f>
        <v>Good quality very cute, very good quality</v>
      </c>
    </row>
    <row r="811">
      <c r="A811" s="1">
        <v>4.0</v>
      </c>
      <c r="B811" s="1" t="s">
        <v>811</v>
      </c>
      <c r="C811" t="str">
        <f>IFERROR(__xludf.DUMMYFUNCTION("GOOGLETRANSLATE(B811, ""zh"", ""en"")"),"Why did not the origin engage in activities to buy, the price is actually relatively cheap, right size, leather and workmanship are good, the only left shoe is obviously bruised, but the packaging is not damaged. Amazon bought the product several times, d"&amp;"id not have a place of origin of goods, such a big platform or import goods actually not a mark of origin of goods.")</f>
        <v>Why did not the origin engage in activities to buy, the price is actually relatively cheap, right size, leather and workmanship are good, the only left shoe is obviously bruised, but the packaging is not damaged. Amazon bought the product several times, did not have a place of origin of goods, such a big platform or import goods actually not a mark of origin of goods.</v>
      </c>
    </row>
    <row r="812">
      <c r="A812" s="1">
        <v>5.0</v>
      </c>
      <c r="B812" s="1" t="s">
        <v>812</v>
      </c>
      <c r="C812" t="str">
        <f>IFERROR(__xludf.DUMMYFUNCTION("GOOGLETRANSLATE(B812, ""zh"", ""en"")"),"Shoe style is very nice, very simple like, originally white is my favorite color, this style can not be found in Hong Kong's major counters, Amazon must have thought, really did not expect to try on comfortable shoes after walking feeling to jump stand up"&amp;"! thumbs up!")</f>
        <v>Shoe style is very nice, very simple like, originally white is my favorite color, this style can not be found in Hong Kong's major counters, Amazon must have thought, really did not expect to try on comfortable shoes after walking feeling to jump stand up! thumbs up!</v>
      </c>
    </row>
    <row r="813">
      <c r="A813" s="1">
        <v>5.0</v>
      </c>
      <c r="B813" s="1" t="s">
        <v>813</v>
      </c>
      <c r="C813" t="str">
        <f>IFERROR(__xludf.DUMMYFUNCTION("GOOGLETRANSLATE(B813, ""zh"", ""en"")"),"It recommends larger than usual number One. Smaller than I imagined, but unfortunately bought back again. It recommends larger than usual number One.")</f>
        <v>It recommends larger than usual number One. Smaller than I imagined, but unfortunately bought back again. It recommends larger than usual number One.</v>
      </c>
    </row>
    <row r="814">
      <c r="A814" s="1">
        <v>5.0</v>
      </c>
      <c r="B814" s="1" t="s">
        <v>814</v>
      </c>
      <c r="C814" t="str">
        <f>IFERROR(__xludf.DUMMYFUNCTION("GOOGLETRANSLATE(B814, ""zh"", ""en"")"),"Good individually wrapped convenient, you can give a child with a school and then, six years old girl with a little face is a bit small")</f>
        <v>Good individually wrapped convenient, you can give a child with a school and then, six years old girl with a little face is a bit small</v>
      </c>
    </row>
    <row r="815">
      <c r="A815" s="1">
        <v>5.0</v>
      </c>
      <c r="B815" s="1" t="s">
        <v>815</v>
      </c>
      <c r="C815" t="str">
        <f>IFERROR(__xludf.DUMMYFUNCTION("GOOGLETRANSLATE(B815, ""zh"", ""en"")"),"Yes, supermarket contrast, currently not seen the same paragraph. Foreign goods abroad is good, my husband liked, so be sure to praise")</f>
        <v>Yes, supermarket contrast, currently not seen the same paragraph. Foreign goods abroad is good, my husband liked, so be sure to praise</v>
      </c>
    </row>
    <row r="816">
      <c r="A816" s="1">
        <v>5.0</v>
      </c>
      <c r="B816" s="1" t="s">
        <v>816</v>
      </c>
      <c r="C816" t="str">
        <f>IFERROR(__xludf.DUMMYFUNCTION("GOOGLETRANSLATE(B816, ""zh"", ""en"")"),"Children are satisfied, plan a realistic worry, to be a trial.")</f>
        <v>Children are satisfied, plan a realistic worry, to be a trial.</v>
      </c>
    </row>
    <row r="817">
      <c r="A817" s="1">
        <v>5.0</v>
      </c>
      <c r="B817" s="1" t="s">
        <v>817</v>
      </c>
      <c r="C817" t="str">
        <f>IFERROR(__xludf.DUMMYFUNCTION("GOOGLETRANSLATE(B817, ""zh"", ""en"")"),"I do not know how to quality fabrics feel good")</f>
        <v>I do not know how to quality fabrics feel good</v>
      </c>
    </row>
    <row r="818">
      <c r="A818" s="1">
        <v>5.0</v>
      </c>
      <c r="B818" s="1" t="s">
        <v>818</v>
      </c>
      <c r="C818" t="str">
        <f>IFERROR(__xludf.DUMMYFUNCTION("GOOGLETRANSLATE(B818, ""zh"", ""en"")"),"P family loyalty powder! P family loyalty powder, bought all the birds and other brands like rats, and other work aside in terms of brand, P home version is best for me, especially perfect self-cultivation, a little unlike other brands of outdoor clothing"&amp;" stupid silly large, 163,53 kg, feel perfect to wear XS, S is also OK, XS seems better and more self-cultivation, the S is also a receipt, good price thanks to Amazon, thank you!")</f>
        <v>P family loyalty powder! P family loyalty powder, bought all the birds and other brands like rats, and other work aside in terms of brand, P home version is best for me, especially perfect self-cultivation, a little unlike other brands of outdoor clothing stupid silly large, 163,53 kg, feel perfect to wear XS, S is also OK, XS seems better and more self-cultivation, the S is also a receipt, good price thanks to Amazon, thank you!</v>
      </c>
    </row>
    <row r="819">
      <c r="A819" s="1">
        <v>5.0</v>
      </c>
      <c r="B819" s="1" t="s">
        <v>819</v>
      </c>
      <c r="C819" t="str">
        <f>IFERROR(__xludf.DUMMYFUNCTION("GOOGLETRANSLATE(B819, ""zh"", ""en"")"),"In love from the Amazon to buy a second double Cage, domestic Di agriculture feet 40, Amazon has 38.5 SKECHERS domestic counter is not half so buy the right code. Before the classic black and white panda shoes, knee protection is very good, cushioning. Th"&amp;"is pair of insoles with memory cool, so they feel more higher than the panda shoes. There is the color color, physical partial brownish gray, not a partial picture of pink. But it is good-looking, light legs significant leg length. Super love amazon sea A"&amp;"moy Cage, inexpensive")</f>
        <v>In love from the Amazon to buy a second double Cage, domestic Di agriculture feet 40, Amazon has 38.5 SKECHERS domestic counter is not half so buy the right code. Before the classic black and white panda shoes, knee protection is very good, cushioning. This pair of insoles with memory cool, so they feel more higher than the panda shoes. There is the color color, physical partial brownish gray, not a partial picture of pink. But it is good-looking, light legs significant leg length. Super love amazon sea Amoy Cage, inexpensive</v>
      </c>
    </row>
    <row r="820">
      <c r="A820" s="1">
        <v>5.0</v>
      </c>
      <c r="B820" s="1" t="s">
        <v>820</v>
      </c>
      <c r="C820" t="str">
        <f>IFERROR(__xludf.DUMMYFUNCTION("GOOGLETRANSLATE(B820, ""zh"", ""en"")"),"Price concessions, texture is also good this price in the country can not buy this quality, made in India.")</f>
        <v>Price concessions, texture is also good this price in the country can not buy this quality, made in India.</v>
      </c>
    </row>
    <row r="821">
      <c r="A821" s="1">
        <v>5.0</v>
      </c>
      <c r="B821" s="1" t="s">
        <v>821</v>
      </c>
      <c r="C821" t="str">
        <f>IFERROR(__xludf.DUMMYFUNCTION("GOOGLETRANSLATE(B821, ""zh"", ""en"")"),"It is very good value for money watch. It comes with light waves waves. very convenient.")</f>
        <v>It is very good value for money watch. It comes with light waves waves. very convenient.</v>
      </c>
    </row>
    <row r="822">
      <c r="A822" s="1">
        <v>5.0</v>
      </c>
      <c r="B822" s="1" t="s">
        <v>822</v>
      </c>
      <c r="C822" t="str">
        <f>IFERROR(__xludf.DUMMYFUNCTION("GOOGLETRANSLATE(B822, ""zh"", ""en"")"),"Nice hat nice hat, like pictures, very pink positive, youthful camp")</f>
        <v>Nice hat nice hat, like pictures, very pink positive, youthful camp</v>
      </c>
    </row>
    <row r="823">
      <c r="A823" s="1">
        <v>5.0</v>
      </c>
      <c r="B823" s="1" t="s">
        <v>823</v>
      </c>
      <c r="C823" t="str">
        <f>IFERROR(__xludf.DUMMYFUNCTION("GOOGLETRANSLATE(B823, ""zh"", ""en"")"),"Good stuff good quality. Without regard returned.")</f>
        <v>Good stuff good quality. Without regard returned.</v>
      </c>
    </row>
    <row r="824">
      <c r="A824" s="1">
        <v>5.0</v>
      </c>
      <c r="B824" s="1" t="s">
        <v>824</v>
      </c>
      <c r="C824" t="str">
        <f>IFERROR(__xludf.DUMMYFUNCTION("GOOGLETRANSLATE(B824, ""zh"", ""en"")"),"This is very good after one month postpartum, the yard can not be used. Overall very good to wear, comfortable, do not tie a corset belt and pelvic girdle.")</f>
        <v>This is very good after one month postpartum, the yard can not be used. Overall very good to wear, comfortable, do not tie a corset belt and pelvic girdle.</v>
      </c>
    </row>
    <row r="825">
      <c r="A825" s="1">
        <v>5.0</v>
      </c>
      <c r="B825" s="1" t="s">
        <v>825</v>
      </c>
      <c r="C825" t="str">
        <f>IFERROR(__xludf.DUMMYFUNCTION("GOOGLETRANSLATE(B825, ""zh"", ""en"")"),"Cost-effective, like the baby six months teething baby very much, holding gnawing away at various angles turns conversion. The smell of bananas than that section of small, water washed a little with open blisters, dry day basically no flavor.")</f>
        <v>Cost-effective, like the baby six months teething baby very much, holding gnawing away at various angles turns conversion. The smell of bananas than that section of small, water washed a little with open blisters, dry day basically no flavor.</v>
      </c>
    </row>
    <row r="826">
      <c r="A826" s="1">
        <v>5.0</v>
      </c>
      <c r="B826" s="1" t="s">
        <v>826</v>
      </c>
      <c r="C826" t="str">
        <f>IFERROR(__xludf.DUMMYFUNCTION("GOOGLETRANSLATE(B826, ""zh"", ""en"")"),"Very good black and white ash like size is also very appropriate")</f>
        <v>Very good black and white ash like size is also very appropriate</v>
      </c>
    </row>
    <row r="827">
      <c r="A827" s="1">
        <v>5.0</v>
      </c>
      <c r="B827" s="1" t="s">
        <v>827</v>
      </c>
      <c r="C827" t="str">
        <f>IFERROR(__xludf.DUMMYFUNCTION("GOOGLETRANSLATE(B827, ""zh"", ""en"")"),"Bought the first four ... April 5, 2017, 804.96, this version of the plug adapter needs a bit of trouble. Twenty-three Taiwan November 27, 2017, 625.27, this version would not start the adapter, it is easy to plug directly. Radio 4 January 10, 2018, 624.8"&amp;"9, supra, historical price has never been caught. Tips in case of release capsule capsules care throw the trash, you can go search Ma asked to buy a capsule, Amazon and Nestle official sale Delong not this accessory.")</f>
        <v>Bought the first four ... April 5, 2017, 804.96, this version of the plug adapter needs a bit of trouble. Twenty-three Taiwan November 27, 2017, 625.27, this version would not start the adapter, it is easy to plug directly. Radio 4 January 10, 2018, 624.89, supra, historical price has never been caught. Tips in case of release capsule capsules care throw the trash, you can go search Ma asked to buy a capsule, Amazon and Nestle official sale Delong not this accessory.</v>
      </c>
    </row>
    <row r="828">
      <c r="A828" s="1">
        <v>5.0</v>
      </c>
      <c r="B828" s="1" t="s">
        <v>828</v>
      </c>
      <c r="C828" t="str">
        <f>IFERROR(__xludf.DUMMYFUNCTION("GOOGLETRANSLATE(B828, ""zh"", ""en"")"),"Very good. . . . Cool. . . Good insulation")</f>
        <v>Very good. . . . Cool. . . Good insulation</v>
      </c>
    </row>
    <row r="829">
      <c r="A829" s="1">
        <v>5.0</v>
      </c>
      <c r="B829" s="1" t="s">
        <v>829</v>
      </c>
      <c r="C829" t="str">
        <f>IFERROR(__xludf.DUMMYFUNCTION("GOOGLETRANSLATE(B829, ""zh"", ""en"")"),"Good merchandise shower head is relatively small, but the water still is to force .... perfect")</f>
        <v>Good merchandise shower head is relatively small, but the water still is to force .... perfect</v>
      </c>
    </row>
    <row r="830">
      <c r="A830" s="1">
        <v>5.0</v>
      </c>
      <c r="B830" s="1" t="s">
        <v>830</v>
      </c>
      <c r="C830" t="str">
        <f>IFERROR(__xludf.DUMMYFUNCTION("GOOGLETRANSLATE(B830, ""zh"", ""en"")"),"good, very good")</f>
        <v>good, very good</v>
      </c>
    </row>
    <row r="831">
      <c r="A831" s="1">
        <v>5.0</v>
      </c>
      <c r="B831" s="1" t="s">
        <v>831</v>
      </c>
      <c r="C831" t="str">
        <f>IFERROR(__xludf.DUMMYFUNCTION("GOOGLETRANSLATE(B831, ""zh"", ""en"")"),"Ok more cost-effective to buy than their single, self-employed is a good")</f>
        <v>Ok more cost-effective to buy than their single, self-employed is a good</v>
      </c>
    </row>
    <row r="832">
      <c r="A832" s="1">
        <v>5.0</v>
      </c>
      <c r="B832" s="1" t="s">
        <v>832</v>
      </c>
      <c r="C832" t="str">
        <f>IFERROR(__xludf.DUMMYFUNCTION("GOOGLETRANSLATE(B832, ""zh"", ""en"")"),"Very good, cost-effective like the taste, I knew the sound of an open buy the right. In contrast, my k3003 do not want to be listened to.")</f>
        <v>Very good, cost-effective like the taste, I knew the sound of an open buy the right. In contrast, my k3003 do not want to be listened to.</v>
      </c>
    </row>
    <row r="833">
      <c r="A833" s="1">
        <v>2.0</v>
      </c>
      <c r="B833" s="1" t="s">
        <v>833</v>
      </c>
      <c r="C833" t="str">
        <f>IFERROR(__xludf.DUMMYFUNCTION("GOOGLETRANSLATE(B833, ""zh"", ""en"")"),"Not suitable for transport which did not open the bottle sealing caps are virtual cover, sprinkle half.")</f>
        <v>Not suitable for transport which did not open the bottle sealing caps are virtual cover, sprinkle half.</v>
      </c>
    </row>
    <row r="834">
      <c r="A834" s="1">
        <v>3.0</v>
      </c>
      <c r="B834" s="1" t="s">
        <v>834</v>
      </c>
      <c r="C834" t="str">
        <f>IFERROR(__xludf.DUMMYFUNCTION("GOOGLETRANSLATE(B834, ""zh"", ""en"")"),"Multi-thread not very good! Bangladesh produced, multi-thread, multi-thread! Very general ...")</f>
        <v>Multi-thread not very good! Bangladesh produced, multi-thread, multi-thread! Very general ...</v>
      </c>
    </row>
    <row r="835">
      <c r="A835" s="1">
        <v>3.0</v>
      </c>
      <c r="B835" s="1" t="s">
        <v>835</v>
      </c>
      <c r="C835" t="str">
        <f>IFERROR(__xludf.DUMMYFUNCTION("GOOGLETRANSLATE(B835, ""zh"", ""en"")"),"Grandmother type of underwear, comfortable based. Version bit strange, grandma section.")</f>
        <v>Grandmother type of underwear, comfortable based. Version bit strange, grandma section.</v>
      </c>
    </row>
    <row r="836">
      <c r="A836" s="1">
        <v>3.0</v>
      </c>
      <c r="B836" s="1" t="s">
        <v>836</v>
      </c>
      <c r="C836" t="str">
        <f>IFERROR(__xludf.DUMMYFUNCTION("GOOGLETRANSLATE(B836, ""zh"", ""en"")"),"Uncomfortable fabric is really bad, not comfortable, do not recommend buying")</f>
        <v>Uncomfortable fabric is really bad, not comfortable, do not recommend buying</v>
      </c>
    </row>
    <row r="837">
      <c r="A837" s="1">
        <v>1.0</v>
      </c>
      <c r="B837" s="1" t="s">
        <v>837</v>
      </c>
      <c r="C837" t="str">
        <f>IFERROR(__xludf.DUMMYFUNCTION("GOOGLETRANSLATE(B837, ""zh"", ""en"")"),"Not recommended to buy a sub-price goods. This is cheap, but the quality is not good, is the kind of relatively coarse cotton.")</f>
        <v>Not recommended to buy a sub-price goods. This is cheap, but the quality is not good, is the kind of relatively coarse cotton.</v>
      </c>
    </row>
    <row r="838">
      <c r="A838" s="1">
        <v>1.0</v>
      </c>
      <c r="B838" s="1" t="s">
        <v>838</v>
      </c>
      <c r="C838" t="str">
        <f>IFERROR(__xludf.DUMMYFUNCTION("GOOGLETRANSLATE(B838, ""zh"", ""en"")"),"Failure of shopping very dissatisfied ...... bought only a few months a few times and it broke! Abnormal sound and then turned around and turn no more, no warranty Meiya domestic direct mail, sent to the whole country at their own expense to repair points"&amp;" to repair, plus repair cost several hundred for parts, can not figure out how quality is so poor ......")</f>
        <v>Failure of shopping very dissatisfied ...... bought only a few months a few times and it broke! Abnormal sound and then turned around and turn no more, no warranty Meiya domestic direct mail, sent to the whole country at their own expense to repair points to repair, plus repair cost several hundred for parts, can not figure out how quality is so poor ......</v>
      </c>
    </row>
    <row r="839">
      <c r="A839" s="1">
        <v>4.0</v>
      </c>
      <c r="B839" s="1" t="s">
        <v>839</v>
      </c>
      <c r="C839" t="str">
        <f>IFERROR(__xludf.DUMMYFUNCTION("GOOGLETRANSLATE(B839, ""zh"", ""en"")"),"It can be a little too sweet, but quite tasty. You must use shake cup.")</f>
        <v>It can be a little too sweet, but quite tasty. You must use shake cup.</v>
      </c>
    </row>
    <row r="840">
      <c r="A840" s="1">
        <v>4.0</v>
      </c>
      <c r="B840" s="1" t="s">
        <v>840</v>
      </c>
      <c r="C840" t="str">
        <f>IFERROR(__xludf.DUMMYFUNCTION("GOOGLETRANSLATE(B840, ""zh"", ""en"")"),"Larger size is too large, relative to other paragraphs, this price is the highest, best quality, is only relative.")</f>
        <v>Larger size is too large, relative to other paragraphs, this price is the highest, best quality, is only relative.</v>
      </c>
    </row>
    <row r="841">
      <c r="A841" s="1">
        <v>4.0</v>
      </c>
      <c r="B841" s="1" t="s">
        <v>841</v>
      </c>
      <c r="C841" t="str">
        <f>IFERROR(__xludf.DUMMYFUNCTION("GOOGLETRANSLATE(B841, ""zh"", ""en"")"),"175/72 were satisfied, pants fit, fabric more rigid and thin, not cotton cloth on both sides of his trousers, summer wear sweat more will feel uncomfortable, wearing no significant self-cultivation.")</f>
        <v>175/72 were satisfied, pants fit, fabric more rigid and thin, not cotton cloth on both sides of his trousers, summer wear sweat more will feel uncomfortable, wearing no significant self-cultivation.</v>
      </c>
    </row>
    <row r="842">
      <c r="A842" s="1">
        <v>4.0</v>
      </c>
      <c r="B842" s="1" t="s">
        <v>842</v>
      </c>
      <c r="C842" t="str">
        <f>IFERROR(__xludf.DUMMYFUNCTION("GOOGLETRANSLATE(B842, ""zh"", ""en"")"),"Very comfortable to wear, size in line with expectations fabrics are elastic, wear very comfortable. Rates do not know if expensive. By the way, if there is 36L of the better")</f>
        <v>Very comfortable to wear, size in line with expectations fabrics are elastic, wear very comfortable. Rates do not know if expensive. By the way, if there is 36L of the better</v>
      </c>
    </row>
    <row r="843">
      <c r="A843" s="1">
        <v>4.0</v>
      </c>
      <c r="B843" s="1" t="s">
        <v>843</v>
      </c>
      <c r="C843" t="str">
        <f>IFERROR(__xludf.DUMMYFUNCTION("GOOGLETRANSLATE(B843, ""zh"", ""en"")"),"Slightly larger than a little too big, but good quality")</f>
        <v>Slightly larger than a little too big, but good quality</v>
      </c>
    </row>
    <row r="844">
      <c r="A844" s="1">
        <v>5.0</v>
      </c>
      <c r="B844" s="1" t="s">
        <v>844</v>
      </c>
      <c r="C844" t="str">
        <f>IFERROR(__xludf.DUMMYFUNCTION("GOOGLETRANSLATE(B844, ""zh"", ""en"")"),"Good-looking, good-looking uncomfortable it is really nice, but the walk is too strenuous. Also wear heels, ankle also wear, wearing thick socks can withstand some not so painful, but still a little uncomfortable. The end of a little hard, that does not s"&amp;"eem to raw rubber-soled soft.")</f>
        <v>Good-looking, good-looking uncomfortable it is really nice, but the walk is too strenuous. Also wear heels, ankle also wear, wearing thick socks can withstand some not so painful, but still a little uncomfortable. The end of a little hard, that does not seem to raw rubber-soled soft.</v>
      </c>
    </row>
    <row r="845">
      <c r="A845" s="1">
        <v>5.0</v>
      </c>
      <c r="B845" s="1" t="s">
        <v>845</v>
      </c>
      <c r="C845" t="str">
        <f>IFERROR(__xludf.DUMMYFUNCTION("GOOGLETRANSLATE(B845, ""zh"", ""en"")"),"Fitting fit, or like this size, there is waist long legs, buy online less prone to error, cloth style with almost 501")</f>
        <v>Fitting fit, or like this size, there is waist long legs, buy online less prone to error, cloth style with almost 501</v>
      </c>
    </row>
    <row r="846">
      <c r="A846" s="1">
        <v>5.0</v>
      </c>
      <c r="B846" s="1" t="s">
        <v>846</v>
      </c>
      <c r="C846" t="str">
        <f>IFERROR(__xludf.DUMMYFUNCTION("GOOGLETRANSLATE(B846, ""zh"", ""en"")"),"Do not you see the good, the Yellow River water to the sky, rushing to the sea never to return. Do not you see, Kodo mirror sad hair, such as black hair toward twilight into the snow. Life is proud to be thoroughly enjoyed themselves, let a Jinzun air-to-"&amp;"month. I'm Born with, daughter cleared up again. Sheep slaughtering and cooking for fun, will have to drink a cup three hundred. Cen Master, Danqiu Sheng, cursive, cups stop. And the king of a song, please the king I Qinger listen. Less than three hundred"&amp;" bowls of your hopefully long drunk no longer wake up. Chen Wang yore feast Pingle, Doujiu than ten kilo unbridled joy ridiculed. What is less money made by the owner, taking the path to be put monarch discretion. Streaky horse, daughter Jo, children will"&amp;" call out for wine, and Seoul with sales eternal sorrow.")</f>
        <v>Do not you see the good, the Yellow River water to the sky, rushing to the sea never to return. Do not you see, Kodo mirror sad hair, such as black hair toward twilight into the snow. Life is proud to be thoroughly enjoyed themselves, let a Jinzun air-to-month. I'm Born with, daughter cleared up again. Sheep slaughtering and cooking for fun, will have to drink a cup three hundred. Cen Master, Danqiu Sheng, cursive, cups stop. And the king of a song, please the king I Qinger listen. Less than three hundred bowls of your hopefully long drunk no longer wake up. Chen Wang yore feast Pingle, Doujiu than ten kilo unbridled joy ridiculed. What is less money made by the owner, taking the path to be put monarch discretion. Streaky horse, daughter Jo, children will call out for wine, and Seoul with sales eternal sorrow.</v>
      </c>
    </row>
    <row r="847">
      <c r="A847" s="1">
        <v>5.0</v>
      </c>
      <c r="B847" s="1" t="s">
        <v>847</v>
      </c>
      <c r="C847" t="str">
        <f>IFERROR(__xludf.DUMMYFUNCTION("GOOGLETRANSLATE(B847, ""zh"", ""en"")"),"Value for money value for money, more convenient to use.")</f>
        <v>Value for money value for money, more convenient to use.</v>
      </c>
    </row>
    <row r="848">
      <c r="A848" s="1">
        <v>5.0</v>
      </c>
      <c r="B848" s="1" t="s">
        <v>848</v>
      </c>
      <c r="C848" t="str">
        <f>IFERROR(__xludf.DUMMYFUNCTION("GOOGLETRANSLATE(B848, ""zh"", ""en"")"),"Very, very good, cheap and cost-effective")</f>
        <v>Very, very good, cheap and cost-effective</v>
      </c>
    </row>
    <row r="849">
      <c r="A849" s="1">
        <v>5.0</v>
      </c>
      <c r="B849" s="1" t="s">
        <v>849</v>
      </c>
      <c r="C849" t="str">
        <f>IFERROR(__xludf.DUMMYFUNCTION("GOOGLETRANSLATE(B849, ""zh"", ""en"")"),"Because the high cost looked comment so buy a smaller size really the right size thanks to friends, after all, can comment on the quality of too many demands nothing cheap")</f>
        <v>Because the high cost looked comment so buy a smaller size really the right size thanks to friends, after all, can comment on the quality of too many demands nothing cheap</v>
      </c>
    </row>
    <row r="850">
      <c r="A850" s="1">
        <v>5.0</v>
      </c>
      <c r="B850" s="1" t="s">
        <v>850</v>
      </c>
      <c r="C850" t="str">
        <f>IFERROR(__xludf.DUMMYFUNCTION("GOOGLETRANSLATE(B850, ""zh"", ""en"")"),"This home is enough? Household enough, more than enough accessories. Amazon's service is good, not bb direct 50% discount.")</f>
        <v>This home is enough? Household enough, more than enough accessories. Amazon's service is good, not bb direct 50% discount.</v>
      </c>
    </row>
    <row r="851">
      <c r="A851" s="1">
        <v>5.0</v>
      </c>
      <c r="B851" s="1" t="s">
        <v>851</v>
      </c>
      <c r="C851" t="str">
        <f>IFERROR(__xludf.DUMMYFUNCTION("GOOGLETRANSLATE(B851, ""zh"", ""en"")"),"Amazon Japan direct mail is praise! Have been using Zojirushi mug are purchased at the business office before purchasing. Now buy Japanese direct mail overseas by Amazon, the price is much cost-effective, and very assured that their families are very fond"&amp;" of!")</f>
        <v>Amazon Japan direct mail is praise! Have been using Zojirushi mug are purchased at the business office before purchasing. Now buy Japanese direct mail overseas by Amazon, the price is much cost-effective, and very assured that their families are very fond of!</v>
      </c>
    </row>
    <row r="852">
      <c r="A852" s="1">
        <v>5.0</v>
      </c>
      <c r="B852" s="1" t="s">
        <v>852</v>
      </c>
      <c r="C852" t="str">
        <f>IFERROR(__xludf.DUMMYFUNCTION("GOOGLETRANSLATE(B852, ""zh"", ""en"")"),"Good cost-effective, cost-effective. Back milk essential?")</f>
        <v>Good cost-effective, cost-effective. Back milk essential?</v>
      </c>
    </row>
    <row r="853">
      <c r="A853" s="1">
        <v>5.0</v>
      </c>
      <c r="B853" s="1" t="s">
        <v>853</v>
      </c>
      <c r="C853" t="str">
        <f>IFERROR(__xludf.DUMMYFUNCTION("GOOGLETRANSLATE(B853, ""zh"", ""en"")"),"Lightweight and easy to use, very fond of non-stick ~")</f>
        <v>Lightweight and easy to use, very fond of non-stick ~</v>
      </c>
    </row>
    <row r="854">
      <c r="A854" s="1">
        <v>5.0</v>
      </c>
      <c r="B854" s="1" t="s">
        <v>854</v>
      </c>
      <c r="C854" t="str">
        <f>IFERROR(__xludf.DUMMYFUNCTION("GOOGLETRANSLATE(B854, ""zh"", ""en"")"),"Like, absolute value of value ah, less than 450 hand. A thin coat with a velvet liner slip Mianbao. Work great. Ouma size is always a little too large. 166cm / 62kg, wear sleeve M code a little bit large, other parts of the fitting, in particular worn lin"&amp;"er super fit. Style is also very good, although the waist, but very long or hem opening, the stomach can wear a little, do not pick the body. Add that recently went to Europe with the coat, the Mediterranean region catch up with the rainy season, but also"&amp;" a little rain test performance, easy to use")</f>
        <v>Like, absolute value of value ah, less than 450 hand. A thin coat with a velvet liner slip Mianbao. Work great. Ouma size is always a little too large. 166cm / 62kg, wear sleeve M code a little bit large, other parts of the fitting, in particular worn liner super fit. Style is also very good, although the waist, but very long or hem opening, the stomach can wear a little, do not pick the body. Add that recently went to Europe with the coat, the Mediterranean region catch up with the rainy season, but also a little rain test performance, easy to use</v>
      </c>
    </row>
    <row r="855">
      <c r="A855" s="1">
        <v>5.0</v>
      </c>
      <c r="B855" s="1" t="s">
        <v>855</v>
      </c>
      <c r="C855" t="str">
        <f>IFERROR(__xludf.DUMMYFUNCTION("GOOGLETRANSLATE(B855, ""zh"", ""en"")"),"Good 178cm / 73kg, m the right number, but price changes too fast, just bought on price cuts. The fabric is thin, suitable for spring and summer block the wind and rain, feeling a little static electricity.")</f>
        <v>Good 178cm / 73kg, m the right number, but price changes too fast, just bought on price cuts. The fabric is thin, suitable for spring and summer block the wind and rain, feeling a little static electricity.</v>
      </c>
    </row>
    <row r="856">
      <c r="A856" s="1">
        <v>5.0</v>
      </c>
      <c r="B856" s="1" t="s">
        <v>856</v>
      </c>
      <c r="C856" t="str">
        <f>IFERROR(__xludf.DUMMYFUNCTION("GOOGLETRANSLATE(B856, ""zh"", ""en"")"),"Good good microprojectiles, according to the size of the table to buy the right size, is also very good pant")</f>
        <v>Good good microprojectiles, according to the size of the table to buy the right size, is also very good pant</v>
      </c>
    </row>
    <row r="857">
      <c r="A857" s="1">
        <v>5.0</v>
      </c>
      <c r="B857" s="1" t="s">
        <v>857</v>
      </c>
      <c r="C857" t="str">
        <f>IFERROR(__xludf.DUMMYFUNCTION("GOOGLETRANSLATE(B857, ""zh"", ""en"")"),"Effective storage capacity is indeed small, but effective")</f>
        <v>Effective storage capacity is indeed small, but effective</v>
      </c>
    </row>
    <row r="858">
      <c r="A858" s="1">
        <v>5.0</v>
      </c>
      <c r="B858" s="1" t="s">
        <v>858</v>
      </c>
      <c r="C858" t="str">
        <f>IFERROR(__xludf.DUMMYFUNCTION("GOOGLETRANSLATE(B858, ""zh"", ""en"")"),"Inseam what quality are good, that is, longer legs. The size of the live ah. Obviously in accordance with the size of the amount, the feeling should choose a smaller size.")</f>
        <v>Inseam what quality are good, that is, longer legs. The size of the live ah. Obviously in accordance with the size of the amount, the feeling should choose a smaller size.</v>
      </c>
    </row>
    <row r="859">
      <c r="A859" s="1">
        <v>5.0</v>
      </c>
      <c r="B859" s="1" t="s">
        <v>859</v>
      </c>
      <c r="C859" t="str">
        <f>IFERROR(__xludf.DUMMYFUNCTION("GOOGLETRANSLATE(B859, ""zh"", ""en"")"),"It may also be solar charging is still very useful. But always take office, it suggests normal cells more appropriate. Shenzhen has been unable to receive waves, but normal use is not forced.")</f>
        <v>It may also be solar charging is still very useful. But always take office, it suggests normal cells more appropriate. Shenzhen has been unable to receive waves, but normal use is not forced.</v>
      </c>
    </row>
    <row r="860">
      <c r="A860" s="1">
        <v>5.0</v>
      </c>
      <c r="B860" s="1" t="s">
        <v>860</v>
      </c>
      <c r="C860" t="str">
        <f>IFERROR(__xludf.DUMMYFUNCTION("GOOGLETRANSLATE(B860, ""zh"", ""en"")"),"Good cost-effective")</f>
        <v>Good cost-effective</v>
      </c>
    </row>
    <row r="861">
      <c r="A861" s="1">
        <v>5.0</v>
      </c>
      <c r="B861" s="1" t="s">
        <v>861</v>
      </c>
      <c r="C861" t="str">
        <f>IFERROR(__xludf.DUMMYFUNCTION("GOOGLETRANSLATE(B861, ""zh"", ""en"")"),"Very good, that is a very good buying price, packaging intact, it should be new, not verify genuine, very satisfied Amoy first overseas, will often buy, buying on price is a little unhappy")</f>
        <v>Very good, that is a very good buying price, packaging intact, it should be new, not verify genuine, very satisfied Amoy first overseas, will often buy, buying on price is a little unhappy</v>
      </c>
    </row>
    <row r="862">
      <c r="A862" s="1">
        <v>5.0</v>
      </c>
      <c r="B862" s="1" t="s">
        <v>862</v>
      </c>
      <c r="C862" t="str">
        <f>IFERROR(__xludf.DUMMYFUNCTION("GOOGLETRANSLATE(B862, ""zh"", ""en"")"),"nice jean with a fair price, but the size is a some small like title")</f>
        <v>nice jean with a fair price, but the size is a some small like title</v>
      </c>
    </row>
    <row r="863">
      <c r="A863" s="1">
        <v>5.0</v>
      </c>
      <c r="B863" s="1" t="s">
        <v>863</v>
      </c>
      <c r="C863" t="str">
        <f>IFERROR(__xludf.DUMMYFUNCTION("GOOGLETRANSLATE(B863, ""zh"", ""en"")"),"Easy to use it is very good although there are flaws lid over nine hundred people floating reference price")</f>
        <v>Easy to use it is very good although there are flaws lid over nine hundred people floating reference price</v>
      </c>
    </row>
    <row r="864">
      <c r="A864" s="1">
        <v>5.0</v>
      </c>
      <c r="B864" s="1" t="s">
        <v>864</v>
      </c>
      <c r="C864" t="str">
        <f>IFERROR(__xludf.DUMMYFUNCTION("GOOGLETRANSLATE(B864, ""zh"", ""en"")"),"Charging specification writing really good garbage ...... not automatically return to the charging base charge, a little tasteless. Has been flashing red light when charging, loud music every few seconds is how is it?")</f>
        <v>Charging specification writing really good garbage ...... not automatically return to the charging base charge, a little tasteless. Has been flashing red light when charging, loud music every few seconds is how is it?</v>
      </c>
    </row>
    <row r="865">
      <c r="A865" s="1">
        <v>5.0</v>
      </c>
      <c r="B865" s="1" t="s">
        <v>865</v>
      </c>
      <c r="C865" t="str">
        <f>IFERROR(__xludf.DUMMYFUNCTION("GOOGLETRANSLATE(B865, ""zh"", ""en"")"),"Good very suitable, 70 bitter, 184c m")</f>
        <v>Good very suitable, 70 bitter, 184c m</v>
      </c>
    </row>
    <row r="866">
      <c r="A866" s="1">
        <v>2.0</v>
      </c>
      <c r="B866" s="1" t="s">
        <v>866</v>
      </c>
      <c r="C866" t="str">
        <f>IFERROR(__xludf.DUMMYFUNCTION("GOOGLETRANSLATE(B866, ""zh"", ""en"")"),"Packaging is damaged, I do not know courier goods are not genuine open the box, the top two caps are broken, people feel good, but also to prevent the collision box filler, how caps are also broken, do not know the quality of goods may not be reliable")</f>
        <v>Packaging is damaged, I do not know courier goods are not genuine open the box, the top two caps are broken, people feel good, but also to prevent the collision box filler, how caps are also broken, do not know the quality of goods may not be reliable</v>
      </c>
    </row>
    <row r="867">
      <c r="A867" s="1">
        <v>3.0</v>
      </c>
      <c r="B867" s="1" t="s">
        <v>867</v>
      </c>
      <c r="C867" t="str">
        <f>IFERROR(__xludf.DUMMYFUNCTION("GOOGLETRANSLATE(B867, ""zh"", ""en"")"),"Vietnamese general feeling of material generally color slightly lighter than the picture shows that I usually buy domestic 1.73 M No. 175 / 96A of wearing a little tight spot")</f>
        <v>Vietnamese general feeling of material generally color slightly lighter than the picture shows that I usually buy domestic 1.73 M No. 175 / 96A of wearing a little tight spot</v>
      </c>
    </row>
    <row r="868">
      <c r="A868" s="1">
        <v>3.0</v>
      </c>
      <c r="B868" s="1" t="s">
        <v>868</v>
      </c>
      <c r="C868" t="str">
        <f>IFERROR(__xludf.DUMMYFUNCTION("GOOGLETRANSLATE(B868, ""zh"", ""en"")"),"Chinese people in accordance with the size of the Amazon Size, come to the desired size with a tape measure, goods received full big about two yards. Chinese people personally measure proposed purchase two sizes smaller than the size of pants. Fabric is v"&amp;"ery comfortable, due to higher costs to return, reclaim the. Sea Amoy purchasing clothing footwear class people need to remain cautious.")</f>
        <v>Chinese people in accordance with the size of the Amazon Size, come to the desired size with a tape measure, goods received full big about two yards. Chinese people personally measure proposed purchase two sizes smaller than the size of pants. Fabric is very comfortable, due to higher costs to return, reclaim the. Sea Amoy purchasing clothing footwear class people need to remain cautious.</v>
      </c>
    </row>
    <row r="869">
      <c r="A869" s="1">
        <v>1.0</v>
      </c>
      <c r="B869" s="1" t="s">
        <v>869</v>
      </c>
      <c r="C869" t="str">
        <f>IFERROR(__xludf.DUMMYFUNCTION("GOOGLETRANSLATE(B869, ""zh"", ""en"")"),"Bought to wear open plastic shoes from less than five times, the shoes open plastic circle, powerful!")</f>
        <v>Bought to wear open plastic shoes from less than five times, the shoes open plastic circle, powerful!</v>
      </c>
    </row>
    <row r="870">
      <c r="A870" s="1">
        <v>1.0</v>
      </c>
      <c r="B870" s="1" t="s">
        <v>870</v>
      </c>
      <c r="C870" t="str">
        <f>IFERROR(__xludf.DUMMYFUNCTION("GOOGLETRANSLATE(B870, ""zh"", ""en"")"),"And pictures of different system and not the same picture, not the leather lining is mesh cloth!")</f>
        <v>And pictures of different system and not the same picture, not the leather lining is mesh cloth!</v>
      </c>
    </row>
    <row r="871">
      <c r="A871" s="1">
        <v>1.0</v>
      </c>
      <c r="B871" s="1" t="s">
        <v>871</v>
      </c>
      <c r="C871" t="str">
        <f>IFERROR(__xludf.DUMMYFUNCTION("GOOGLETRANSLATE(B871, ""zh"", ""en"")"),"The worst time shopping This is the worst thing I purchased overseas, though inexpensive, but poor quality, first clothes too long, I wear L of meter eighty can wear a skirt when most the main fabric is bad, wearing itchy, work is also poor, to buy two of"&amp;" the same size, a large collar, a small collar, first wash began to play a little ball")</f>
        <v>The worst time shopping This is the worst thing I purchased overseas, though inexpensive, but poor quality, first clothes too long, I wear L of meter eighty can wear a skirt when most the main fabric is bad, wearing itchy, work is also poor, to buy two of the same size, a large collar, a small collar, first wash began to play a little ball</v>
      </c>
    </row>
    <row r="872">
      <c r="A872" s="1">
        <v>4.0</v>
      </c>
      <c r="B872" s="1" t="s">
        <v>872</v>
      </c>
      <c r="C872" t="str">
        <f>IFERROR(__xludf.DUMMYFUNCTION("GOOGLETRANSLATE(B872, ""zh"", ""en"")"),"Picture light blue zipper design more than comfortable. Cheap good clothes 163,54kg, completely different just right, it s on the smaller")</f>
        <v>Picture light blue zipper design more than comfortable. Cheap good clothes 163,54kg, completely different just right, it s on the smaller</v>
      </c>
    </row>
    <row r="873">
      <c r="A873" s="1">
        <v>4.0</v>
      </c>
      <c r="B873" s="1" t="s">
        <v>873</v>
      </c>
      <c r="C873" t="str">
        <f>IFERROR(__xludf.DUMMYFUNCTION("GOOGLETRANSLATE(B873, ""zh"", ""en"")"),"Overall still good value for money, logistics and very fast, but the courier irresponsible, to leave the table in the store, on both sides of the bracelet is real stainless steel hollow middle is hope among the future may also be solid. Overall, very good"&amp;".")</f>
        <v>Overall still good value for money, logistics and very fast, but the courier irresponsible, to leave the table in the store, on both sides of the bracelet is real stainless steel hollow middle is hope among the future may also be solid. Overall, very good.</v>
      </c>
    </row>
    <row r="874">
      <c r="A874" s="1">
        <v>4.0</v>
      </c>
      <c r="B874" s="1" t="s">
        <v>874</v>
      </c>
      <c r="C874" t="str">
        <f>IFERROR(__xludf.DUMMYFUNCTION("GOOGLETRANSLATE(B874, ""zh"", ""en"")"),"Cuff cuffs too tight, Le out red handprint")</f>
        <v>Cuff cuffs too tight, Le out red handprint</v>
      </c>
    </row>
    <row r="875">
      <c r="A875" s="1">
        <v>4.0</v>
      </c>
      <c r="B875" s="1" t="s">
        <v>875</v>
      </c>
      <c r="C875" t="str">
        <f>IFERROR(__xludf.DUMMYFUNCTION("GOOGLETRANSLATE(B875, ""zh"", ""en"")"),"Barefoot shoes are very comfortable shoes, but shoe size is too large, to light wearing basically the amount of what little shining barefoot buy on line")</f>
        <v>Barefoot shoes are very comfortable shoes, but shoe size is too large, to light wearing basically the amount of what little shining barefoot buy on line</v>
      </c>
    </row>
    <row r="876">
      <c r="A876" s="1">
        <v>4.0</v>
      </c>
      <c r="B876" s="1" t="s">
        <v>876</v>
      </c>
      <c r="C876" t="str">
        <f>IFERROR(__xludf.DUMMYFUNCTION("GOOGLETRANSLATE(B876, ""zh"", ""en"")"),"Good clothes fit, very good, is easy to open lines stereotypes sleeves")</f>
        <v>Good clothes fit, very good, is easy to open lines stereotypes sleeves</v>
      </c>
    </row>
    <row r="877">
      <c r="A877" s="1">
        <v>5.0</v>
      </c>
      <c r="B877" s="1" t="s">
        <v>877</v>
      </c>
      <c r="C877" t="str">
        <f>IFERROR(__xludf.DUMMYFUNCTION("GOOGLETRANSLATE(B877, ""zh"", ""en"")"),"This effect was good health care products good!")</f>
        <v>This effect was good health care products good!</v>
      </c>
    </row>
    <row r="878">
      <c r="A878" s="1">
        <v>5.0</v>
      </c>
      <c r="B878" s="1" t="s">
        <v>878</v>
      </c>
      <c r="C878" t="str">
        <f>IFERROR(__xludf.DUMMYFUNCTION("GOOGLETRANSLATE(B878, ""zh"", ""en"")"),"Easy to recommend significant level prime Member price super power! Only a week to Beijing. I wear braces, drinking fruit juice with pulp (with pulp plug in a wire braces inside) to quickly tried it, similar to the way water pulse, did not expect the clea"&amp;"ning effect is good! If you open your mouth will indeed be flying, with their mouth closed all right.")</f>
        <v>Easy to recommend significant level prime Member price super power! Only a week to Beijing. I wear braces, drinking fruit juice with pulp (with pulp plug in a wire braces inside) to quickly tried it, similar to the way water pulse, did not expect the cleaning effect is good! If you open your mouth will indeed be flying, with their mouth closed all right.</v>
      </c>
    </row>
    <row r="879">
      <c r="A879" s="1">
        <v>5.0</v>
      </c>
      <c r="B879" s="1" t="s">
        <v>879</v>
      </c>
      <c r="C879" t="str">
        <f>IFERROR(__xludf.DUMMYFUNCTION("GOOGLETRANSLATE(B879, ""zh"", ""en"")"),"It requires a certain thrust like 990 PRO, it requires a certain thrust.")</f>
        <v>It requires a certain thrust like 990 PRO, it requires a certain thrust.</v>
      </c>
    </row>
    <row r="880">
      <c r="A880" s="1">
        <v>5.0</v>
      </c>
      <c r="B880" s="1" t="s">
        <v>880</v>
      </c>
      <c r="C880" t="str">
        <f>IFERROR(__xludf.DUMMYFUNCTION("GOOGLETRANSLATE(B880, ""zh"", ""en"")"),"School Ke Zhuoer color is not the picture is so amazing, but also can be. Raging water, no flying white phenomenon. Overall very satisfied")</f>
        <v>School Ke Zhuoer color is not the picture is so amazing, but also can be. Raging water, no flying white phenomenon. Overall very satisfied</v>
      </c>
    </row>
    <row r="881">
      <c r="A881" s="1">
        <v>5.0</v>
      </c>
      <c r="B881" s="1" t="s">
        <v>881</v>
      </c>
      <c r="C881" t="str">
        <f>IFERROR(__xludf.DUMMYFUNCTION("GOOGLETRANSLATE(B881, ""zh"", ""en"")"),"This must say under too fond of. Convenience, is now basically bi-weekly Direct Push side hair. Alone is not a good cut is not a ramp surface")</f>
        <v>This must say under too fond of. Convenience, is now basically bi-weekly Direct Push side hair. Alone is not a good cut is not a ramp surface</v>
      </c>
    </row>
    <row r="882">
      <c r="A882" s="1">
        <v>5.0</v>
      </c>
      <c r="B882" s="1" t="s">
        <v>882</v>
      </c>
      <c r="C882" t="str">
        <f>IFERROR(__xludf.DUMMYFUNCTION("GOOGLETRANSLATE(B882, ""zh"", ""en"")"),"Size just, Asia wide angle, recommendations d, 2e are now going to buy NB, only the 990 most worth starting. Jobs wearing NB990 lifetime. Now we know, surprisingly comfortable. 26cm of. 8us just. Whether d, m, 2e can.")</f>
        <v>Size just, Asia wide angle, recommendations d, 2e are now going to buy NB, only the 990 most worth starting. Jobs wearing NB990 lifetime. Now we know, surprisingly comfortable. 26cm of. 8us just. Whether d, m, 2e can.</v>
      </c>
    </row>
    <row r="883">
      <c r="A883" s="1">
        <v>5.0</v>
      </c>
      <c r="B883" s="1" t="s">
        <v>883</v>
      </c>
      <c r="C883" t="str">
        <f>IFERROR(__xludf.DUMMYFUNCTION("GOOGLETRANSLATE(B883, ""zh"", ""en"")"),"Children 3 years old children love to eat, eat, eat for a long time but day one, bought four bottles, expired on January 18, it seems too many friends 😄 ~")</f>
        <v>Children 3 years old children love to eat, eat, eat for a long time but day one, bought four bottles, expired on January 18, it seems too many friends 😄 ~</v>
      </c>
    </row>
    <row r="884">
      <c r="A884" s="1">
        <v>5.0</v>
      </c>
      <c r="B884" s="1" t="s">
        <v>884</v>
      </c>
      <c r="C884" t="str">
        <f>IFERROR(__xludf.DUMMYFUNCTION("GOOGLETRANSLATE(B884, ""zh"", ""en"")"),"Sophisticated and practical helper. Small and exquisite! Easily fixed, easy to clean after processing. After the noodles themselves can be processed, convenient and worry!")</f>
        <v>Sophisticated and practical helper. Small and exquisite! Easily fixed, easy to clean after processing. After the noodles themselves can be processed, convenient and worry!</v>
      </c>
    </row>
    <row r="885">
      <c r="A885" s="1">
        <v>5.0</v>
      </c>
      <c r="B885" s="1" t="s">
        <v>885</v>
      </c>
      <c r="C885" t="str">
        <f>IFERROR(__xludf.DUMMYFUNCTION("GOOGLETRANSLATE(B885, ""zh"", ""en"")"),"Worth buying one small desktop speakers, stereo sound beyond the desktop bookshelf stereo. Bass strong, high resolving power, sound noble.")</f>
        <v>Worth buying one small desktop speakers, stereo sound beyond the desktop bookshelf stereo. Bass strong, high resolving power, sound noble.</v>
      </c>
    </row>
    <row r="886">
      <c r="A886" s="1">
        <v>5.0</v>
      </c>
      <c r="B886" s="1" t="s">
        <v>886</v>
      </c>
      <c r="C886" t="str">
        <f>IFERROR(__xludf.DUMMYFUNCTION("GOOGLETRANSLATE(B886, ""zh"", ""en"")"),"Overall very satisfied with my 173cm, 55kg, very fit 29 * 30, but darker than the picture minor. In short like ~")</f>
        <v>Overall very satisfied with my 173cm, 55kg, very fit 29 * 30, but darker than the picture minor. In short like ~</v>
      </c>
    </row>
    <row r="887">
      <c r="A887" s="1">
        <v>5.0</v>
      </c>
      <c r="B887" s="1" t="s">
        <v>887</v>
      </c>
      <c r="C887" t="str">
        <f>IFERROR(__xludf.DUMMYFUNCTION("GOOGLETRANSLATE(B887, ""zh"", ""en"")"),"not bad! Yes, that is not the black")</f>
        <v>not bad! Yes, that is not the black</v>
      </c>
    </row>
    <row r="888">
      <c r="A888" s="1">
        <v>5.0</v>
      </c>
      <c r="B888" s="1" t="s">
        <v>888</v>
      </c>
      <c r="C888" t="str">
        <f>IFERROR(__xludf.DUMMYFUNCTION("GOOGLETRANSLATE(B888, ""zh"", ""en"")"),"Relatively high basis for comparison models, nothing special, thin, fine")</f>
        <v>Relatively high basis for comparison models, nothing special, thin, fine</v>
      </c>
    </row>
    <row r="889">
      <c r="A889" s="1">
        <v>5.0</v>
      </c>
      <c r="B889" s="1" t="s">
        <v>889</v>
      </c>
      <c r="C889" t="str">
        <f>IFERROR(__xludf.DUMMYFUNCTION("GOOGLETRANSLATE(B889, ""zh"", ""en"")"),"Cost can compare home a lot cheaper, not to mention simple courier packaging, are they not the packaging, the original packaging box is damaged, but the machine is no problem, we need to first convert the voltage can be directly adapted to send more abund"&amp;"ant accessories, but shred cut a little hole plate, cut the wire too thin.")</f>
        <v>Cost can compare home a lot cheaper, not to mention simple courier packaging, are they not the packaging, the original packaging box is damaged, but the machine is no problem, we need to first convert the voltage can be directly adapted to send more abundant accessories, but shred cut a little hole plate, cut the wire too thin.</v>
      </c>
    </row>
    <row r="890">
      <c r="A890" s="1">
        <v>5.0</v>
      </c>
      <c r="B890" s="1" t="s">
        <v>890</v>
      </c>
      <c r="C890" t="str">
        <f>IFERROR(__xludf.DUMMYFUNCTION("GOOGLETRANSLATE(B890, ""zh"", ""en"")"),"Suitable for small children to wear waterproof, dirt, suitable for children match, big brand, quality and security")</f>
        <v>Suitable for small children to wear waterproof, dirt, suitable for children match, big brand, quality and security</v>
      </c>
    </row>
    <row r="891">
      <c r="A891" s="1">
        <v>5.0</v>
      </c>
      <c r="B891" s="1" t="s">
        <v>891</v>
      </c>
      <c r="C891" t="str">
        <f>IFERROR(__xludf.DUMMYFUNCTION("GOOGLETRANSLATE(B891, ""zh"", ""en"")"),"Sheer so beautiful, with a heel, thin as onion skin, very light penetration.")</f>
        <v>Sheer so beautiful, with a heel, thin as onion skin, very light penetration.</v>
      </c>
    </row>
    <row r="892">
      <c r="A892" s="1">
        <v>5.0</v>
      </c>
      <c r="B892" s="1" t="s">
        <v>892</v>
      </c>
      <c r="C892" t="str">
        <f>IFERROR(__xludf.DUMMYFUNCTION("GOOGLETRANSLATE(B892, ""zh"", ""en"")"),"Black defeated the five lighter than some of the adult section, I really wanted. 36 and a half wearing 4.5m is appropriate, if you want to pad insoles, can choose 5m, tie lines at the instep presser foot slightly, but the strange thing is to wear a will t"&amp;"here is no such feeling. Overall value for money")</f>
        <v>Black defeated the five lighter than some of the adult section, I really wanted. 36 and a half wearing 4.5m is appropriate, if you want to pad insoles, can choose 5m, tie lines at the instep presser foot slightly, but the strange thing is to wear a will there is no such feeling. Overall value for money</v>
      </c>
    </row>
    <row r="893">
      <c r="A893" s="1">
        <v>5.0</v>
      </c>
      <c r="B893" s="1" t="s">
        <v>893</v>
      </c>
      <c r="C893" t="str">
        <f>IFERROR(__xludf.DUMMYFUNCTION("GOOGLETRANSLATE(B893, ""zh"", ""en"")"),"Comfortable fabric Size buy big ...... actually comfortable fabrics, ready to give as gifts")</f>
        <v>Comfortable fabric Size buy big ...... actually comfortable fabrics, ready to give as gifts</v>
      </c>
    </row>
    <row r="894">
      <c r="A894" s="1">
        <v>5.0</v>
      </c>
      <c r="B894" s="1" t="s">
        <v>894</v>
      </c>
      <c r="C894" t="str">
        <f>IFERROR(__xludf.DUMMYFUNCTION("GOOGLETRANSLATE(B894, ""zh"", ""en"")"),"Results were pretty good insulation effect is really good, put in around 10 pm, 9:00 in the morning to eat just right, can be soaked rice, porridge and soup effect between rice, mainly no way difficult it like porridge viscous, overall, the effect can be "&amp;"satisfied.")</f>
        <v>Results were pretty good insulation effect is really good, put in around 10 pm, 9:00 in the morning to eat just right, can be soaked rice, porridge and soup effect between rice, mainly no way difficult it like porridge viscous, overall, the effect can be satisfied.</v>
      </c>
    </row>
    <row r="895">
      <c r="A895" s="1">
        <v>5.0</v>
      </c>
      <c r="B895" s="1" t="s">
        <v>895</v>
      </c>
      <c r="C895" t="str">
        <f>IFERROR(__xludf.DUMMYFUNCTION("GOOGLETRANSLATE(B895, ""zh"", ""en"")"),"Bass can be a little pressure ears")</f>
        <v>Bass can be a little pressure ears</v>
      </c>
    </row>
    <row r="896">
      <c r="A896" s="1">
        <v>5.0</v>
      </c>
      <c r="B896" s="1" t="s">
        <v>896</v>
      </c>
      <c r="C896" t="str">
        <f>IFERROR(__xludf.DUMMYFUNCTION("GOOGLETRANSLATE(B896, ""zh"", ""en"")"),"Price is also OK, good machine. Read stability, 100M / s, quite satisfactory appearance, thickness nearly double than the previous generation. Driver has not been installed, anyway, does not affect use.")</f>
        <v>Price is also OK, good machine. Read stability, 100M / s, quite satisfactory appearance, thickness nearly double than the previous generation. Driver has not been installed, anyway, does not affect use.</v>
      </c>
    </row>
    <row r="897">
      <c r="A897" s="1">
        <v>5.0</v>
      </c>
      <c r="B897" s="1" t="s">
        <v>897</v>
      </c>
      <c r="C897" t="str">
        <f>IFERROR(__xludf.DUMMYFUNCTION("GOOGLETRANSLATE(B897, ""zh"", ""en"")"),"Satisfactory cost-effective shoes 27cm foot shoe size just 9 2e, comfortable, a little wide, it seems thin legs buy Jiuhaola m very satisfied with overseas purchase")</f>
        <v>Satisfactory cost-effective shoes 27cm foot shoe size just 9 2e, comfortable, a little wide, it seems thin legs buy Jiuhaola m very satisfied with overseas purchase</v>
      </c>
    </row>
    <row r="898">
      <c r="A898" s="1">
        <v>5.0</v>
      </c>
      <c r="B898" s="1" t="s">
        <v>898</v>
      </c>
      <c r="C898" t="str">
        <f>IFERROR(__xludf.DUMMYFUNCTION("GOOGLETRANSLATE(B898, ""zh"", ""en"")"),"US clothing section are far better than domestic freshman code I 1 m 78,80 kg, wearing M code is really good, is this dress is a short paragraph, does not cover the buttocks, the version is designed that way. Medium thickness, elastic, suitable for spring"&amp;" and autumn days")</f>
        <v>US clothing section are far better than domestic freshman code I 1 m 78,80 kg, wearing M code is really good, is this dress is a short paragraph, does not cover the buttocks, the version is designed that way. Medium thickness, elastic, suitable for spring and autumn days</v>
      </c>
    </row>
    <row r="899">
      <c r="A899" s="1">
        <v>2.0</v>
      </c>
      <c r="B899" s="1" t="s">
        <v>899</v>
      </c>
      <c r="C899" t="str">
        <f>IFERROR(__xludf.DUMMYFUNCTION("GOOGLETRANSLATE(B899, ""zh"", ""en"")"),"Physical and picture does not match too much, too much. Not suitable for Asians")</f>
        <v>Physical and picture does not match too much, too much. Not suitable for Asians</v>
      </c>
    </row>
    <row r="900">
      <c r="A900" s="1">
        <v>3.0</v>
      </c>
      <c r="B900" s="1" t="s">
        <v>900</v>
      </c>
      <c r="C900" t="str">
        <f>IFERROR(__xludf.DUMMYFUNCTION("GOOGLETRANSLATE(B900, ""zh"", ""en"")"),"target nerve to refuse to sell products? This brand is US imperialism cheap supermarket brand, champion of the poor and hanns two US imperialism gospel, heavenly or not the scourge of the people")</f>
        <v>target nerve to refuse to sell products? This brand is US imperialism cheap supermarket brand, champion of the poor and hanns two US imperialism gospel, heavenly or not the scourge of the people</v>
      </c>
    </row>
    <row r="901">
      <c r="A901" s="1">
        <v>3.0</v>
      </c>
      <c r="B901" s="1" t="s">
        <v>901</v>
      </c>
      <c r="C901" t="str">
        <f>IFERROR(__xludf.DUMMYFUNCTION("GOOGLETRANSLATE(B901, ""zh"", ""en"")"),"The first shopping packaging too casual, right. Other okay.")</f>
        <v>The first shopping packaging too casual, right. Other okay.</v>
      </c>
    </row>
    <row r="902">
      <c r="A902" s="1">
        <v>3.0</v>
      </c>
      <c r="B902" s="1" t="s">
        <v>902</v>
      </c>
      <c r="C902" t="str">
        <f>IFERROR(__xludf.DUMMYFUNCTION("GOOGLETRANSLATE(B902, ""zh"", ""en"")"),"Great 168,98 pounds, bought the M code, very, very fat waistband, fat out two fists wide right, I feel like male models, adjustable elastic waistband, but also to wear, is very loose! A thin layer of cotton pantaloons!")</f>
        <v>Great 168,98 pounds, bought the M code, very, very fat waistband, fat out two fists wide right, I feel like male models, adjustable elastic waistband, but also to wear, is very loose! A thin layer of cotton pantaloons!</v>
      </c>
    </row>
    <row r="903">
      <c r="A903" s="1">
        <v>1.0</v>
      </c>
      <c r="B903" s="1" t="s">
        <v>903</v>
      </c>
      <c r="C903" t="str">
        <f>IFERROR(__xludf.DUMMYFUNCTION("GOOGLETRANSLATE(B903, ""zh"", ""en"")"),"Physical and models that much difference, is not recommended! Right length but too large for the shoulder armpit, do not know the material texture, feel uncomfortable!")</f>
        <v>Physical and models that much difference, is not recommended! Right length but too large for the shoulder armpit, do not know the material texture, feel uncomfortable!</v>
      </c>
    </row>
    <row r="904">
      <c r="A904" s="1">
        <v>1.0</v>
      </c>
      <c r="B904" s="1" t="s">
        <v>904</v>
      </c>
      <c r="C904" t="str">
        <f>IFERROR(__xludf.DUMMYFUNCTION("GOOGLETRANSLATE(B904, ""zh"", ""en"")"),"Seagate 4t problems have emerged in October 2017, China was not guaranteed, to wait for the opportunity to make friends with the United States to exchange for the future not because they are cheap, or cheap domestic buy it.")</f>
        <v>Seagate 4t problems have emerged in October 2017, China was not guaranteed, to wait for the opportunity to make friends with the United States to exchange for the future not because they are cheap, or cheap domestic buy it.</v>
      </c>
    </row>
    <row r="905">
      <c r="A905" s="1">
        <v>1.0</v>
      </c>
      <c r="B905" s="1" t="s">
        <v>905</v>
      </c>
      <c r="C905" t="str">
        <f>IFERROR(__xludf.DUMMYFUNCTION("GOOGLETRANSLATE(B905, ""zh"", ""en"")"),"I always felt the second sale is the second sale had, overpack stickers three left, one of the fast is not sticky, and unhappy.")</f>
        <v>I always felt the second sale is the second sale had, overpack stickers three left, one of the fast is not sticky, and unhappy.</v>
      </c>
    </row>
    <row r="906">
      <c r="A906" s="1">
        <v>4.0</v>
      </c>
      <c r="B906" s="1" t="s">
        <v>906</v>
      </c>
      <c r="C906" t="str">
        <f>IFERROR(__xludf.DUMMYFUNCTION("GOOGLETRANSLATE(B906, ""zh"", ""en"")"),"I can only say general things wear surface is still very content")</f>
        <v>I can only say general things wear surface is still very content</v>
      </c>
    </row>
    <row r="907">
      <c r="A907" s="1">
        <v>4.0</v>
      </c>
      <c r="B907" s="1" t="s">
        <v>907</v>
      </c>
      <c r="C907" t="str">
        <f>IFERROR(__xludf.DUMMYFUNCTION("GOOGLETRANSLATE(B907, ""zh"", ""en"")"),"Remember to keep a good amount of their own size to buy! I height 177, weight 75 kg. Chest and Sleeve according to Amazon's recommendation to buy M number, just right. Sure enough, the South American production of clothes is not a good quality of garments"&amp;" produced in Asia ......")</f>
        <v>Remember to keep a good amount of their own size to buy! I height 177, weight 75 kg. Chest and Sleeve according to Amazon's recommendation to buy M number, just right. Sure enough, the South American production of clothes is not a good quality of garments produced in Asia ......</v>
      </c>
    </row>
    <row r="908">
      <c r="A908" s="1">
        <v>4.0</v>
      </c>
      <c r="B908" s="1" t="s">
        <v>908</v>
      </c>
      <c r="C908" t="str">
        <f>IFERROR(__xludf.DUMMYFUNCTION("GOOGLETRANSLATE(B908, ""zh"", ""en"")"),"Not suitable for the baby before the age is estimated to be a big point and then wait for him, and now ripped off his plate like the old")</f>
        <v>Not suitable for the baby before the age is estimated to be a big point and then wait for him, and now ripped off his plate like the old</v>
      </c>
    </row>
    <row r="909">
      <c r="A909" s="1">
        <v>4.0</v>
      </c>
      <c r="B909" s="1" t="s">
        <v>909</v>
      </c>
      <c r="C909" t="str">
        <f>IFERROR(__xludf.DUMMYFUNCTION("GOOGLETRANSLATE(B909, ""zh"", ""en"")"),"Very good good quality, slightly thick. M 178,73kg buy, just enough to wear, it is recommended to buy freshman code")</f>
        <v>Very good good quality, slightly thick. M 178,73kg buy, just enough to wear, it is recommended to buy freshman code</v>
      </c>
    </row>
    <row r="910">
      <c r="A910" s="1">
        <v>5.0</v>
      </c>
      <c r="B910" s="1" t="s">
        <v>910</v>
      </c>
      <c r="C910" t="str">
        <f>IFERROR(__xludf.DUMMYFUNCTION("GOOGLETRANSLATE(B910, ""zh"", ""en"")"),"Very very good a good quality shipping soon")</f>
        <v>Very very good a good quality shipping soon</v>
      </c>
    </row>
    <row r="911">
      <c r="A911" s="1">
        <v>5.0</v>
      </c>
      <c r="B911" s="1" t="s">
        <v>911</v>
      </c>
      <c r="C911" t="str">
        <f>IFERROR(__xludf.DUMMYFUNCTION("GOOGLETRANSLATE(B911, ""zh"", ""en"")"),"Very good good, comfortable next to the skin, made in Japan is better")</f>
        <v>Very good good, comfortable next to the skin, made in Japan is better</v>
      </c>
    </row>
    <row r="912">
      <c r="A912" s="1">
        <v>5.0</v>
      </c>
      <c r="B912" s="1" t="s">
        <v>912</v>
      </c>
      <c r="C912" t="str">
        <f>IFERROR(__xludf.DUMMYFUNCTION("GOOGLETRANSLATE(B912, ""zh"", ""en"")"),"Shoes good shoes slightly wider than the average number of sports shoes, end little heavy, but the foot feeling pretty good. Origin is Indonesia, did not see any visible flaws, quality should also be. Wear to the feet looked not particularly wide, feel be"&amp;"autiful. Although it is not very breathable knitted However, poor ventilation ratio nmd.")</f>
        <v>Shoes good shoes slightly wider than the average number of sports shoes, end little heavy, but the foot feeling pretty good. Origin is Indonesia, did not see any visible flaws, quality should also be. Wear to the feet looked not particularly wide, feel beautiful. Although it is not very breathable knitted However, poor ventilation ratio nmd.</v>
      </c>
    </row>
    <row r="913">
      <c r="A913" s="1">
        <v>5.0</v>
      </c>
      <c r="B913" s="1" t="s">
        <v>913</v>
      </c>
      <c r="C913" t="str">
        <f>IFERROR(__xludf.DUMMYFUNCTION("GOOGLETRANSLATE(B913, ""zh"", ""en"")"),"Seagate is very good very satisfied with the shopping")</f>
        <v>Seagate is very good very satisfied with the shopping</v>
      </c>
    </row>
    <row r="914">
      <c r="A914" s="1">
        <v>5.0</v>
      </c>
      <c r="B914" s="1" t="s">
        <v>914</v>
      </c>
      <c r="C914" t="str">
        <f>IFERROR(__xludf.DUMMYFUNCTION("GOOGLETRANSLATE(B914, ""zh"", ""en"")"),"Everyone says the same size and usually wear sneakers 40. Length is 240 feet, by 39 feet long are able to buy, but the foot a little meat, if you buy 39 very crowded. Everyone says the shoes a little too small, so buy 7 (W) is 40. Foot feeling very fit.")</f>
        <v>Everyone says the same size and usually wear sneakers 40. Length is 240 feet, by 39 feet long are able to buy, but the foot a little meat, if you buy 39 very crowded. Everyone says the shoes a little too small, so buy 7 (W) is 40. Foot feeling very fit.</v>
      </c>
    </row>
    <row r="915">
      <c r="A915" s="1">
        <v>5.0</v>
      </c>
      <c r="B915" s="1" t="s">
        <v>915</v>
      </c>
      <c r="C915" t="str">
        <f>IFERROR(__xludf.DUMMYFUNCTION("GOOGLETRANSLATE(B915, ""zh"", ""en"")"),"Match, likely to be bitten bitten several straw, so buy a lot of times - relatively easy to use")</f>
        <v>Match, likely to be bitten bitten several straw, so buy a lot of times - relatively easy to use</v>
      </c>
    </row>
    <row r="916">
      <c r="A916" s="1">
        <v>5.0</v>
      </c>
      <c r="B916" s="1" t="s">
        <v>916</v>
      </c>
      <c r="C916" t="str">
        <f>IFERROR(__xludf.DUMMYFUNCTION("GOOGLETRANSLATE(B916, ""zh"", ""en"")"),"No taste to the baby stockpile baby is still small. Now take. Stockpile")</f>
        <v>No taste to the baby stockpile baby is still small. Now take. Stockpile</v>
      </c>
    </row>
    <row r="917">
      <c r="A917" s="1">
        <v>5.0</v>
      </c>
      <c r="B917" s="1" t="s">
        <v>917</v>
      </c>
      <c r="C917" t="str">
        <f>IFERROR(__xludf.DUMMYFUNCTION("GOOGLETRANSLATE(B917, ""zh"", ""en"")"),"Very appropriate, shipping soon partial fat pants US version, but what I like, the quality can be, 171, 74kg, election 32/29 just for reference. From order to hand a total of five days, too fast!")</f>
        <v>Very appropriate, shipping soon partial fat pants US version, but what I like, the quality can be, 171, 74kg, election 32/29 just for reference. From order to hand a total of five days, too fast!</v>
      </c>
    </row>
    <row r="918">
      <c r="A918" s="1">
        <v>5.0</v>
      </c>
      <c r="B918" s="1" t="s">
        <v>918</v>
      </c>
      <c r="C918" t="str">
        <f>IFERROR(__xludf.DUMMYFUNCTION("GOOGLETRANSLATE(B918, ""zh"", ""en"")"),"The first Thai-made feel good, clearance 17 yuan freight, is finished alone rose a few dollars. Delivery Soon, 13 Kusakabe single, on the 20th has been received. No instructions in Chinese, need can be downloaded at this link [...] only temporarily adjust"&amp;"ed the time zone BJS, give praise, and then modified over time based on usage.")</f>
        <v>The first Thai-made feel good, clearance 17 yuan freight, is finished alone rose a few dollars. Delivery Soon, 13 Kusakabe single, on the 20th has been received. No instructions in Chinese, need can be downloaded at this link [...] only temporarily adjusted the time zone BJS, give praise, and then modified over time based on usage.</v>
      </c>
    </row>
    <row r="919">
      <c r="A919" s="1">
        <v>5.0</v>
      </c>
      <c r="B919" s="1" t="s">
        <v>919</v>
      </c>
      <c r="C919" t="str">
        <f>IFERROR(__xludf.DUMMYFUNCTION("GOOGLETRANSLATE(B919, ""zh"", ""en"")"),"Cost-effective high stuff is not bad, usually with casual wear is appropriate")</f>
        <v>Cost-effective high stuff is not bad, usually with casual wear is appropriate</v>
      </c>
    </row>
    <row r="920">
      <c r="A920" s="1">
        <v>5.0</v>
      </c>
      <c r="B920" s="1" t="s">
        <v>920</v>
      </c>
      <c r="C920" t="str">
        <f>IFERROR(__xludf.DUMMYFUNCTION("GOOGLETRANSLATE(B920, ""zh"", ""en"")"),"Good hope can be useful!")</f>
        <v>Good hope can be useful!</v>
      </c>
    </row>
    <row r="921">
      <c r="A921" s="1">
        <v>5.0</v>
      </c>
      <c r="B921" s="1" t="s">
        <v>921</v>
      </c>
      <c r="C921" t="str">
        <f>IFERROR(__xludf.DUMMYFUNCTION("GOOGLETRANSLATE(B921, ""zh"", ""en"")"),"Satisfied with the partial business, 176CM, 80KG")</f>
        <v>Satisfied with the partial business, 176CM, 80KG</v>
      </c>
    </row>
    <row r="922">
      <c r="A922" s="1">
        <v>5.0</v>
      </c>
      <c r="B922" s="1" t="s">
        <v>922</v>
      </c>
      <c r="C922" t="str">
        <f>IFERROR(__xludf.DUMMYFUNCTION("GOOGLETRANSLATE(B922, ""zh"", ""en"")"),"Cheap! Buy three money enough to buy one ...... it is the basis of money at the counter, and gave Dad a fancy to go along. Summer is a good shade.")</f>
        <v>Cheap! Buy three money enough to buy one ...... it is the basis of money at the counter, and gave Dad a fancy to go along. Summer is a good shade.</v>
      </c>
    </row>
    <row r="923">
      <c r="A923" s="1">
        <v>5.0</v>
      </c>
      <c r="B923" s="1" t="s">
        <v>923</v>
      </c>
      <c r="C923" t="str">
        <f>IFERROR(__xludf.DUMMYFUNCTION("GOOGLETRANSLATE(B923, ""zh"", ""en"")"),"Good underwear, personal, comfortable, either there is something there, I would feel good wearing the same underwear, personal, comfortable, either there is something there, I would feel wearing the same! recommend")</f>
        <v>Good underwear, personal, comfortable, either there is something there, I would feel good wearing the same underwear, personal, comfortable, either there is something there, I would feel wearing the same! recommend</v>
      </c>
    </row>
    <row r="924">
      <c r="A924" s="1">
        <v>5.0</v>
      </c>
      <c r="B924" s="1" t="s">
        <v>924</v>
      </c>
      <c r="C924" t="str">
        <f>IFERROR(__xludf.DUMMYFUNCTION("GOOGLETRANSLATE(B924, ""zh"", ""en"")"),"Good-looking and comfortable nice comfortable without rims inside through the most cost-effective")</f>
        <v>Good-looking and comfortable nice comfortable without rims inside through the most cost-effective</v>
      </c>
    </row>
    <row r="925">
      <c r="A925" s="1">
        <v>5.0</v>
      </c>
      <c r="B925" s="1" t="s">
        <v>925</v>
      </c>
      <c r="C925" t="str">
        <f>IFERROR(__xludf.DUMMYFUNCTION("GOOGLETRANSLATE(B925, ""zh"", ""en"")"),"Very comfortable feeling abdomen, lace very comfortable.")</f>
        <v>Very comfortable feeling abdomen, lace very comfortable.</v>
      </c>
    </row>
    <row r="926">
      <c r="A926" s="1">
        <v>5.0</v>
      </c>
      <c r="B926" s="1" t="s">
        <v>926</v>
      </c>
      <c r="C926" t="str">
        <f>IFERROR(__xludf.DUMMYFUNCTION("GOOGLETRANSLATE(B926, ""zh"", ""en"")"),"good perfect, good quality, perfect experience")</f>
        <v>good perfect, good quality, perfect experience</v>
      </c>
    </row>
    <row r="927">
      <c r="A927" s="1">
        <v>5.0</v>
      </c>
      <c r="B927" s="1" t="s">
        <v>927</v>
      </c>
      <c r="C927" t="str">
        <f>IFERROR(__xludf.DUMMYFUNCTION("GOOGLETRANSLATE(B927, ""zh"", ""en"")"),"Value for money is very strong, ground meat is too much bad brush up a little trouble")</f>
        <v>Value for money is very strong, ground meat is too much bad brush up a little trouble</v>
      </c>
    </row>
    <row r="928">
      <c r="A928" s="1">
        <v>5.0</v>
      </c>
      <c r="B928" s="1" t="s">
        <v>928</v>
      </c>
      <c r="C928" t="str">
        <f>IFERROR(__xludf.DUMMYFUNCTION("GOOGLETRANSLATE(B928, ""zh"", ""en"")"),"The arrival of fast, convenient and quick! The arrival of fast, really easy to use, very much!")</f>
        <v>The arrival of fast, convenient and quick! The arrival of fast, really easy to use, very much!</v>
      </c>
    </row>
    <row r="929">
      <c r="A929" s="1">
        <v>5.0</v>
      </c>
      <c r="B929" s="1" t="s">
        <v>929</v>
      </c>
      <c r="C929" t="str">
        <f>IFERROR(__xludf.DUMMYFUNCTION("GOOGLETRANSLATE(B929, ""zh"", ""en"")"),"Buy big clothes also good, but buy big, some small one yard more fit, height 168 weight 128.")</f>
        <v>Buy big clothes also good, but buy big, some small one yard more fit, height 168 weight 128.</v>
      </c>
    </row>
    <row r="930">
      <c r="A930" s="1">
        <v>5.0</v>
      </c>
      <c r="B930" s="1" t="s">
        <v>930</v>
      </c>
      <c r="C930" t="str">
        <f>IFERROR(__xludf.DUMMYFUNCTION("GOOGLETRANSLATE(B930, ""zh"", ""en"")"),"Very good baby has been eating DHA DHA capsules childhood, good taste, baby love to eat. The purchase date is relatively new, open cases did not wet adhesion, very good. Delivery time is a little long, more than two weeks in advance to stocking")</f>
        <v>Very good baby has been eating DHA DHA capsules childhood, good taste, baby love to eat. The purchase date is relatively new, open cases did not wet adhesion, very good. Delivery time is a little long, more than two weeks in advance to stocking</v>
      </c>
    </row>
    <row r="931">
      <c r="A931" s="1">
        <v>5.0</v>
      </c>
      <c r="B931" s="1" t="s">
        <v>931</v>
      </c>
      <c r="C931" t="str">
        <f>IFERROR(__xludf.DUMMYFUNCTION("GOOGLETRANSLATE(B931, ""zh"", ""en"")"),"Satisfying shopping experience once the details are very good quality, an atmosphere of pure cotton.")</f>
        <v>Satisfying shopping experience once the details are very good quality, an atmosphere of pure cotton.</v>
      </c>
    </row>
    <row r="932">
      <c r="A932" s="1">
        <v>2.0</v>
      </c>
      <c r="B932" s="1" t="s">
        <v>932</v>
      </c>
      <c r="C932" t="str">
        <f>IFERROR(__xludf.DUMMYFUNCTION("GOOGLETRANSLATE(B932, ""zh"", ""en"")"),"Forget it away too much, too much problem, I 1.73 m, weight 70 kg")</f>
        <v>Forget it away too much, too much problem, I 1.73 m, weight 70 kg</v>
      </c>
    </row>
    <row r="933">
      <c r="A933" s="1">
        <v>3.0</v>
      </c>
      <c r="B933" s="1" t="s">
        <v>933</v>
      </c>
      <c r="C933" t="str">
        <f>IFERROR(__xludf.DUMMYFUNCTION("GOOGLETRANSLATE(B933, ""zh"", ""en"")"),"Great great great great great noise")</f>
        <v>Great great great great great noise</v>
      </c>
    </row>
    <row r="934">
      <c r="A934" s="1">
        <v>3.0</v>
      </c>
      <c r="B934" s="1" t="s">
        <v>934</v>
      </c>
      <c r="C934" t="str">
        <f>IFERROR(__xludf.DUMMYFUNCTION("GOOGLETRANSLATE(B934, ""zh"", ""en"")"),"Big big bottle of ah ... ah! . Too, like a bucket ... kinda sweet taste of chocolate ... may not be as tasty, but the fear of drinking chocolate fat ...")</f>
        <v>Big big bottle of ah ... ah! . Too, like a bucket ... kinda sweet taste of chocolate ... may not be as tasty, but the fear of drinking chocolate fat ...</v>
      </c>
    </row>
    <row r="935">
      <c r="A935" s="1">
        <v>3.0</v>
      </c>
      <c r="B935" s="1" t="s">
        <v>935</v>
      </c>
      <c r="C935" t="str">
        <f>IFERROR(__xludf.DUMMYFUNCTION("GOOGLETRANSLATE(B935, ""zh"", ""en"")"),"Inappropriate big size, inappropriate")</f>
        <v>Inappropriate big size, inappropriate</v>
      </c>
    </row>
    <row r="936">
      <c r="A936" s="1">
        <v>1.0</v>
      </c>
      <c r="B936" s="1" t="s">
        <v>936</v>
      </c>
      <c r="C936" t="str">
        <f>IFERROR(__xludf.DUMMYFUNCTION("GOOGLETRANSLATE(B936, ""zh"", ""en"")"),"Poor quality, refunds it is just a good-looking, less than 20 days on the headset back broken, simply can not afford to charge electricity, this has been a blue light, how are the same color! It is not every day in two weeks with a really sad, now the hea"&amp;"dset into a rope, that Amazon does not poor, fake goods, but the result is too sad. A star do not want to.")</f>
        <v>Poor quality, refunds it is just a good-looking, less than 20 days on the headset back broken, simply can not afford to charge electricity, this has been a blue light, how are the same color! It is not every day in two weeks with a really sad, now the headset into a rope, that Amazon does not poor, fake goods, but the result is too sad. A star do not want to.</v>
      </c>
    </row>
    <row r="937">
      <c r="A937" s="1">
        <v>1.0</v>
      </c>
      <c r="B937" s="1" t="s">
        <v>937</v>
      </c>
      <c r="C937" t="str">
        <f>IFERROR(__xludf.DUMMYFUNCTION("GOOGLETRANSLATE(B937, ""zh"", ""en"")"),"Have been very optimistic about the headset, the headset with the results ... had the okay, until the day before suddenly unable to boot up, expect to find a sale, then boarded a look at Amazon comment on the cold heart, in the original way, count , and n"&amp;"othing with it, too good to me also use it for 8 months")</f>
        <v>Have been very optimistic about the headset, the headset with the results ... had the okay, until the day before suddenly unable to boot up, expect to find a sale, then boarded a look at Amazon comment on the cold heart, in the original way, count , and nothing with it, too good to me also use it for 8 months</v>
      </c>
    </row>
    <row r="938">
      <c r="A938" s="1">
        <v>4.0</v>
      </c>
      <c r="B938" s="1" t="s">
        <v>938</v>
      </c>
      <c r="C938" t="str">
        <f>IFERROR(__xludf.DUMMYFUNCTION("GOOGLETRANSLATE(B938, ""zh"", ""en"")"),"For me, not necessarily better for you, vary")</f>
        <v>For me, not necessarily better for you, vary</v>
      </c>
    </row>
    <row r="939">
      <c r="A939" s="1">
        <v>4.0</v>
      </c>
      <c r="B939" s="1" t="s">
        <v>939</v>
      </c>
      <c r="C939" t="str">
        <f>IFERROR(__xludf.DUMMYFUNCTION("GOOGLETRANSLATE(B939, ""zh"", ""en"")"),"Fortunately for the ride should be less suitable underwear Waichuan")</f>
        <v>Fortunately for the ride should be less suitable underwear Waichuan</v>
      </c>
    </row>
    <row r="940">
      <c r="A940" s="1">
        <v>4.0</v>
      </c>
      <c r="B940" s="1" t="s">
        <v>940</v>
      </c>
      <c r="C940" t="str">
        <f>IFERROR(__xludf.DUMMYFUNCTION("GOOGLETRANSLATE(B940, ""zh"", ""en"")"),"Can also be is thin and feels very comfortable feeling just is not very durable ah send his boyfriend liked the box is very thick feel good Ck wallet quite general can not hold too much money not otherwise meet on May 6 No. 18 received orders faster than "&amp;"expected")</f>
        <v>Can also be is thin and feels very comfortable feeling just is not very durable ah send his boyfriend liked the box is very thick feel good Ck wallet quite general can not hold too much money not otherwise meet on May 6 No. 18 received orders faster than expected</v>
      </c>
    </row>
    <row r="941">
      <c r="A941" s="1">
        <v>4.0</v>
      </c>
      <c r="B941" s="1" t="s">
        <v>941</v>
      </c>
      <c r="C941" t="str">
        <f>IFERROR(__xludf.DUMMYFUNCTION("GOOGLETRANSLATE(B941, ""zh"", ""en"")"),"Listen to some music when the volume is large, at high frequencies, significantly break the sound left ear, right ear a little slight additional 1: Active noise reduction effect on the indoor vocal about 0, disappointed; the parcel type of passive earmuff"&amp;"s provided greater noise reduction credit. Additional 2: When there is wind, generate new wind noise, particularly evident in certain wind conditions; in addition, really hot, a little warm today, less than half an hour you can feel the sweat. Additional "&amp;"3: listen to classical music, under the left ear unit has a club sound mode break the sound serious, rarely occurs when listening to pop music, it may be related to the high-frequency performance.")</f>
        <v>Listen to some music when the volume is large, at high frequencies, significantly break the sound left ear, right ear a little slight additional 1: Active noise reduction effect on the indoor vocal about 0, disappointed; the parcel type of passive earmuffs provided greater noise reduction credit. Additional 2: When there is wind, generate new wind noise, particularly evident in certain wind conditions; in addition, really hot, a little warm today, less than half an hour you can feel the sweat. Additional 3: listen to classical music, under the left ear unit has a club sound mode break the sound serious, rarely occurs when listening to pop music, it may be related to the high-frequency performance.</v>
      </c>
    </row>
    <row r="942">
      <c r="A942" s="1">
        <v>4.0</v>
      </c>
      <c r="B942" s="1" t="s">
        <v>942</v>
      </c>
      <c r="C942" t="str">
        <f>IFERROR(__xludf.DUMMYFUNCTION("GOOGLETRANSLATE(B942, ""zh"", ""en"")"),"I bought a big buy big a yard, he wears inappropriate.")</f>
        <v>I bought a big buy big a yard, he wears inappropriate.</v>
      </c>
    </row>
    <row r="943">
      <c r="A943" s="1">
        <v>5.0</v>
      </c>
      <c r="B943" s="1" t="s">
        <v>943</v>
      </c>
      <c r="C943" t="str">
        <f>IFERROR(__xludf.DUMMYFUNCTION("GOOGLETRANSLATE(B943, ""zh"", ""en"")"),"Overall pretty satisfied because this is the only color choice of size, after receiving foot wear is not too crowded, 2E code is also not too loose")</f>
        <v>Overall pretty satisfied because this is the only color choice of size, after receiving foot wear is not too crowded, 2E code is also not too loose</v>
      </c>
    </row>
    <row r="944">
      <c r="A944" s="1">
        <v>5.0</v>
      </c>
      <c r="B944" s="1" t="s">
        <v>944</v>
      </c>
      <c r="C944" t="str">
        <f>IFERROR(__xludf.DUMMYFUNCTION("GOOGLETRANSLATE(B944, ""zh"", ""en"")"),"Very good to her husband bought a few colors have come to buy, very good.")</f>
        <v>Very good to her husband bought a few colors have come to buy, very good.</v>
      </c>
    </row>
    <row r="945">
      <c r="A945" s="1">
        <v>5.0</v>
      </c>
      <c r="B945" s="1" t="s">
        <v>945</v>
      </c>
      <c r="C945" t="str">
        <f>IFERROR(__xludf.DUMMYFUNCTION("GOOGLETRANSLATE(B945, ""zh"", ""en"")"),"Very good, full-fifth, said first delivery: orders two weeks delay can not receive goods, two days before the trip to the courier brother called to tell because they have to wear a business trip, to help pay attention, who thought the day before travel sm"&amp;"all courier brother called to say the shoes arrived, afraid that I can not see the text messages, calling to inform, warm heart ah! To the courier brother countless praise! Besides goods: shoes to wear is very delicate, the right size, the cortex and deli"&amp;"cate, and no smell! The brand will continue to pay attention! Saying I have bought four pairs of shoes in a variety of Amazonas, and are satisfied with ah! With prime, overseas freely buy ah!")</f>
        <v>Very good, full-fifth, said first delivery: orders two weeks delay can not receive goods, two days before the trip to the courier brother called to tell because they have to wear a business trip, to help pay attention, who thought the day before travel small courier brother called to say the shoes arrived, afraid that I can not see the text messages, calling to inform, warm heart ah! To the courier brother countless praise! Besides goods: shoes to wear is very delicate, the right size, the cortex and delicate, and no smell! The brand will continue to pay attention! Saying I have bought four pairs of shoes in a variety of Amazonas, and are satisfied with ah! With prime, overseas freely buy ah!</v>
      </c>
    </row>
    <row r="946">
      <c r="A946" s="1">
        <v>5.0</v>
      </c>
      <c r="B946" s="1" t="s">
        <v>946</v>
      </c>
      <c r="C946" t="str">
        <f>IFERROR(__xludf.DUMMYFUNCTION("GOOGLETRANSLATE(B946, ""zh"", ""en"")"),"Underwear is very good, affordable, quality is also very good, praise!")</f>
        <v>Underwear is very good, affordable, quality is also very good, praise!</v>
      </c>
    </row>
    <row r="947">
      <c r="A947" s="1">
        <v>5.0</v>
      </c>
      <c r="B947" s="1" t="s">
        <v>947</v>
      </c>
      <c r="C947" t="str">
        <f>IFERROR(__xludf.DUMMYFUNCTION("GOOGLETRANSLATE(B947, ""zh"", ""en"")"),"Easy to use a good wash transparent scale looking very hard for the family elders, the other better, a good wash, two drops flow nipple wife, six months to three drops of their own change and above, but you have to buy a trumpet newborns bottle, the bottl"&amp;"e is the drop velocity")</f>
        <v>Easy to use a good wash transparent scale looking very hard for the family elders, the other better, a good wash, two drops flow nipple wife, six months to three drops of their own change and above, but you have to buy a trumpet newborns bottle, the bottle is the drop velocity</v>
      </c>
    </row>
    <row r="948">
      <c r="A948" s="1">
        <v>5.0</v>
      </c>
      <c r="B948" s="1" t="s">
        <v>948</v>
      </c>
      <c r="C948" t="str">
        <f>IFERROR(__xludf.DUMMYFUNCTION("GOOGLETRANSLATE(B948, ""zh"", ""en"")"),"Has not yet begun to use each individually packaged individually packaged masks are daily disposable prices can also be satisfied")</f>
        <v>Has not yet begun to use each individually packaged individually packaged masks are daily disposable prices can also be satisfied</v>
      </c>
    </row>
    <row r="949">
      <c r="A949" s="1">
        <v>5.0</v>
      </c>
      <c r="B949" s="1" t="s">
        <v>949</v>
      </c>
      <c r="C949" t="str">
        <f>IFERROR(__xludf.DUMMYFUNCTION("GOOGLETRANSLATE(B949, ""zh"", ""en"")"),"Great attack to many, easy to use")</f>
        <v>Great attack to many, easy to use</v>
      </c>
    </row>
    <row r="950">
      <c r="A950" s="1">
        <v>5.0</v>
      </c>
      <c r="B950" s="1" t="s">
        <v>950</v>
      </c>
      <c r="C950" t="str">
        <f>IFERROR(__xludf.DUMMYFUNCTION("GOOGLETRANSLATE(B950, ""zh"", ""en"")"),"500 won overpaid, overpaid")</f>
        <v>500 won overpaid, overpaid</v>
      </c>
    </row>
    <row r="951">
      <c r="A951" s="1">
        <v>5.0</v>
      </c>
      <c r="B951" s="1" t="s">
        <v>951</v>
      </c>
      <c r="C951" t="str">
        <f>IFERROR(__xludf.DUMMYFUNCTION("GOOGLETRANSLATE(B951, ""zh"", ""en"")"),"This super comfortable to wear comfortable, no sense of restraint! Cheap! Quality is very good,")</f>
        <v>This super comfortable to wear comfortable, no sense of restraint! Cheap! Quality is very good,</v>
      </c>
    </row>
    <row r="952">
      <c r="A952" s="1">
        <v>5.0</v>
      </c>
      <c r="B952" s="1" t="s">
        <v>952</v>
      </c>
      <c r="C952" t="str">
        <f>IFERROR(__xludf.DUMMYFUNCTION("GOOGLETRANSLATE(B952, ""zh"", ""en"")"),"Exquisite workmanship, exquisite workmanship and adorable, adorable.")</f>
        <v>Exquisite workmanship, exquisite workmanship and adorable, adorable.</v>
      </c>
    </row>
    <row r="953">
      <c r="A953" s="1">
        <v>5.0</v>
      </c>
      <c r="B953" s="1" t="s">
        <v>953</v>
      </c>
      <c r="C953" t="str">
        <f>IFERROR(__xludf.DUMMYFUNCTION("GOOGLETRANSLATE(B953, ""zh"", ""en"")"),"Worth buying good quality, fast delivery, very satisfied.")</f>
        <v>Worth buying good quality, fast delivery, very satisfied.</v>
      </c>
    </row>
    <row r="954">
      <c r="A954" s="1">
        <v>5.0</v>
      </c>
      <c r="B954" s="1" t="s">
        <v>954</v>
      </c>
      <c r="C954" t="str">
        <f>IFERROR(__xludf.DUMMYFUNCTION("GOOGLETRANSLATE(B954, ""zh"", ""en"")"),"Nice hat good quality and cheap price. Lined the front of the hat, very comfortable and stylish, but small size Shaopian")</f>
        <v>Nice hat good quality and cheap price. Lined the front of the hat, very comfortable and stylish, but small size Shaopian</v>
      </c>
    </row>
    <row r="955">
      <c r="A955" s="1">
        <v>5.0</v>
      </c>
      <c r="B955" s="1" t="s">
        <v>955</v>
      </c>
      <c r="C955" t="str">
        <f>IFERROR(__xludf.DUMMYFUNCTION("GOOGLETRANSLATE(B955, ""zh"", ""en"")"),"Nice New Year's gift for mom, happy, good-looking.")</f>
        <v>Nice New Year's gift for mom, happy, good-looking.</v>
      </c>
    </row>
    <row r="956">
      <c r="A956" s="1">
        <v>5.0</v>
      </c>
      <c r="B956" s="1" t="s">
        <v>956</v>
      </c>
      <c r="C956" t="str">
        <f>IFERROR(__xludf.DUMMYFUNCTION("GOOGLETRANSLATE(B956, ""zh"", ""en"")"),"Good insulation, a hot water added to try to 48 hours are still hot '")</f>
        <v>Good insulation, a hot water added to try to 48 hours are still hot '</v>
      </c>
    </row>
    <row r="957">
      <c r="A957" s="1">
        <v>5.0</v>
      </c>
      <c r="B957" s="1" t="s">
        <v>957</v>
      </c>
      <c r="C957" t="str">
        <f>IFERROR(__xludf.DUMMYFUNCTION("GOOGLETRANSLATE(B957, ""zh"", ""en"")"),"Philips is on a good, spent six years. A charge line explosion skin aging, the shaver is very good. This has bought a Philips, currently with a very good, I hope do not let me down")</f>
        <v>Philips is on a good, spent six years. A charge line explosion skin aging, the shaver is very good. This has bought a Philips, currently with a very good, I hope do not let me down</v>
      </c>
    </row>
    <row r="958">
      <c r="A958" s="1">
        <v>5.0</v>
      </c>
      <c r="B958" s="1" t="s">
        <v>958</v>
      </c>
      <c r="C958" t="str">
        <f>IFERROR(__xludf.DUMMYFUNCTION("GOOGLETRANSLATE(B958, ""zh"", ""en"")"),"The results were OK, very cheap like a good deal, Amoy also cost-effective than the feeling of the sea, the Lynx gave a month's prime membership, happy, workable")</f>
        <v>The results were OK, very cheap like a good deal, Amoy also cost-effective than the feeling of the sea, the Lynx gave a month's prime membership, happy, workable</v>
      </c>
    </row>
    <row r="959">
      <c r="A959" s="1">
        <v>5.0</v>
      </c>
      <c r="B959" s="1" t="s">
        <v>959</v>
      </c>
      <c r="C959" t="str">
        <f>IFERROR(__xludf.DUMMYFUNCTION("GOOGLETRANSLATE(B959, ""zh"", ""en"")"),"Good capacity very quickly, speed is not bad")</f>
        <v>Good capacity very quickly, speed is not bad</v>
      </c>
    </row>
    <row r="960">
      <c r="A960" s="1">
        <v>5.0</v>
      </c>
      <c r="B960" s="1" t="s">
        <v>960</v>
      </c>
      <c r="C960" t="str">
        <f>IFERROR(__xludf.DUMMYFUNCTION("GOOGLETRANSLATE(B960, ""zh"", ""en"")"),"Smaller than expected have not used, it seems very delicate, like.")</f>
        <v>Smaller than expected have not used, it seems very delicate, like.</v>
      </c>
    </row>
    <row r="961">
      <c r="A961" s="1">
        <v>5.0</v>
      </c>
      <c r="B961" s="1" t="s">
        <v>961</v>
      </c>
      <c r="C961" t="str">
        <f>IFERROR(__xludf.DUMMYFUNCTION("GOOGLETRANSLATE(B961, ""zh"", ""en"")"),"Japan than to buy the store price is also appropriate than the Japanese store to buy price also suitable, good quality, family members have been wearing this brand of L, this is also appropriate, 178,150 + pounds. If there stomach is recommended to buy XL"&amp;", for reference only")</f>
        <v>Japan than to buy the store price is also appropriate than the Japanese store to buy price also suitable, good quality, family members have been wearing this brand of L, this is also appropriate, 178,150 + pounds. If there stomach is recommended to buy XL, for reference only</v>
      </c>
    </row>
    <row r="962">
      <c r="A962" s="1">
        <v>5.0</v>
      </c>
      <c r="B962" s="1" t="s">
        <v>962</v>
      </c>
      <c r="C962" t="str">
        <f>IFERROR(__xludf.DUMMYFUNCTION("GOOGLETRANSLATE(B962, ""zh"", ""en"")"),"And there is no problem that is too large. But the quality is very good, wearing not tired climbing")</f>
        <v>And there is no problem that is too large. But the quality is very good, wearing not tired climbing</v>
      </c>
    </row>
    <row r="963">
      <c r="A963" s="1">
        <v>5.0</v>
      </c>
      <c r="B963" s="1" t="s">
        <v>963</v>
      </c>
      <c r="C963" t="str">
        <f>IFERROR(__xludf.DUMMYFUNCTION("GOOGLETRANSLATE(B963, ""zh"", ""en"")"),"Shoes are very positive shoe size is the standard, the British finally ECCO Asia, the most satisfying time shopping at Amazon.")</f>
        <v>Shoes are very positive shoe size is the standard, the British finally ECCO Asia, the most satisfying time shopping at Amazon.</v>
      </c>
    </row>
    <row r="964">
      <c r="A964" s="1">
        <v>5.0</v>
      </c>
      <c r="B964" s="1" t="s">
        <v>964</v>
      </c>
      <c r="C964" t="str">
        <f>IFERROR(__xludf.DUMMYFUNCTION("GOOGLETRANSLATE(B964, ""zh"", ""en"")"),"Overall satisfaction with the right size, quality can still put a special cell phone pocket is easy to solve the problem usually put the phone easy to fall sweater, and a good design.")</f>
        <v>Overall satisfaction with the right size, quality can still put a special cell phone pocket is easy to solve the problem usually put the phone easy to fall sweater, and a good design.</v>
      </c>
    </row>
    <row r="965">
      <c r="A965" s="1">
        <v>2.0</v>
      </c>
      <c r="B965" s="1" t="s">
        <v>965</v>
      </c>
      <c r="C965" t="str">
        <f>IFERROR(__xludf.DUMMYFUNCTION("GOOGLETRANSLATE(B965, ""zh"", ""en"")"),"Nozzle easily pop up, you can not use or very good use, is useless a few days, the head would not stay down, according to a switch, head to pop up, is to what?")</f>
        <v>Nozzle easily pop up, you can not use or very good use, is useless a few days, the head would not stay down, according to a switch, head to pop up, is to what?</v>
      </c>
    </row>
    <row r="966">
      <c r="A966" s="1">
        <v>3.0</v>
      </c>
      <c r="B966" s="1" t="s">
        <v>966</v>
      </c>
      <c r="C966" t="str">
        <f>IFERROR(__xludf.DUMMYFUNCTION("GOOGLETRANSLATE(B966, ""zh"", ""en"")"),"The new there is a little milk smell the smell of half a month or the kind of smell")</f>
        <v>The new there is a little milk smell the smell of half a month or the kind of smell</v>
      </c>
    </row>
    <row r="967">
      <c r="A967" s="1">
        <v>3.0</v>
      </c>
      <c r="B967" s="1" t="s">
        <v>967</v>
      </c>
      <c r="C967" t="str">
        <f>IFERROR(__xludf.DUMMYFUNCTION("GOOGLETRANSLATE(B967, ""zh"", ""en"")"),"Multi-grain growth, the feeling is not very much value growth pattern vamp their turn export defective, wear it under their own care, I feel not very satisfied")</f>
        <v>Multi-grain growth, the feeling is not very much value growth pattern vamp their turn export defective, wear it under their own care, I feel not very satisfied</v>
      </c>
    </row>
    <row r="968">
      <c r="A968" s="1">
        <v>1.0</v>
      </c>
      <c r="B968" s="1" t="s">
        <v>968</v>
      </c>
      <c r="C968" t="str">
        <f>IFERROR(__xludf.DUMMYFUNCTION("GOOGLETRANSLATE(B968, ""zh"", ""en"")"),"bad quality! Quality is too much garbage! A standard wash and lost.")</f>
        <v>bad quality! Quality is too much garbage! A standard wash and lost.</v>
      </c>
    </row>
    <row r="969">
      <c r="A969" s="1">
        <v>1.0</v>
      </c>
      <c r="B969" s="1" t="s">
        <v>969</v>
      </c>
      <c r="C969" t="str">
        <f>IFERROR(__xludf.DUMMYFUNCTION("GOOGLETRANSLATE(B969, ""zh"", ""en"")"),"Do not understand the problem here is not too bad more than 190, a large flow of water, is it because the first stage of 3M PP cotton into his go inside? After boiled water cooled like a lot of cotton in the bottom of the sink (not scale). With more than "&amp;"160 very well last year. Do not know can not be returned or who to turn to counseling is not a quality problem. Not ever dare to buy")</f>
        <v>Do not understand the problem here is not too bad more than 190, a large flow of water, is it because the first stage of 3M PP cotton into his go inside? After boiled water cooled like a lot of cotton in the bottom of the sink (not scale). With more than 160 very well last year. Do not know can not be returned or who to turn to counseling is not a quality problem. Not ever dare to buy</v>
      </c>
    </row>
    <row r="970">
      <c r="A970" s="1">
        <v>4.0</v>
      </c>
      <c r="B970" s="1" t="s">
        <v>970</v>
      </c>
      <c r="C970" t="str">
        <f>IFERROR(__xludf.DUMMYFUNCTION("GOOGLETRANSLATE(B970, ""zh"", ""en"")"),"Also a little too large 32 lee jeans just a little tight, this is too large to 32, and will return too expensive to wear it. Cloth a little sticky hair")</f>
        <v>Also a little too large 32 lee jeans just a little tight, this is too large to 32, and will return too expensive to wear it. Cloth a little sticky hair</v>
      </c>
    </row>
    <row r="971">
      <c r="A971" s="1">
        <v>4.0</v>
      </c>
      <c r="B971" s="1" t="s">
        <v>971</v>
      </c>
      <c r="C971" t="str">
        <f>IFERROR(__xludf.DUMMYFUNCTION("GOOGLETRANSLATE(B971, ""zh"", ""en"")"),"Cost is not high, but the price is a third of the store, consolation it! High shoe out front a little, old mat pad, design issues, three Velcro always feel the satisfaction of the tune! Also, the foundation of this kind of shoes in general tend to be hard"&amp;", not very comfortable, buy soft bottom to see the picture that soft, personal choice reasons are not satisfied!")</f>
        <v>Cost is not high, but the price is a third of the store, consolation it! High shoe out front a little, old mat pad, design issues, three Velcro always feel the satisfaction of the tune! Also, the foundation of this kind of shoes in general tend to be hard, not very comfortable, buy soft bottom to see the picture that soft, personal choice reasons are not satisfied!</v>
      </c>
    </row>
    <row r="972">
      <c r="A972" s="1">
        <v>4.0</v>
      </c>
      <c r="B972" s="1" t="s">
        <v>972</v>
      </c>
      <c r="C972" t="str">
        <f>IFERROR(__xludf.DUMMYFUNCTION("GOOGLETRANSLATE(B972, ""zh"", ""en"")"),"May also be the height 172, weight 73, 32, 32 to buy, a lot of long, amputated five cm, put on the right waist, legs loose,")</f>
        <v>May also be the height 172, weight 73, 32, 32 to buy, a lot of long, amputated five cm, put on the right waist, legs loose,</v>
      </c>
    </row>
    <row r="973">
      <c r="A973" s="1">
        <v>4.0</v>
      </c>
      <c r="B973" s="1" t="s">
        <v>973</v>
      </c>
      <c r="C973" t="str">
        <f>IFERROR(__xludf.DUMMYFUNCTION("GOOGLETRANSLATE(B973, ""zh"", ""en"")"),"Well first sea Amoy brand of clothes, how to choose worried size, height 1.67 m 65KG, S code exactly. This price can buy this brand of clothes I personally feel worthy, hoping to provide reference.")</f>
        <v>Well first sea Amoy brand of clothes, how to choose worried size, height 1.67 m 65KG, S code exactly. This price can buy this brand of clothes I personally feel worthy, hoping to provide reference.</v>
      </c>
    </row>
    <row r="974">
      <c r="A974" s="1">
        <v>4.0</v>
      </c>
      <c r="B974" s="1" t="s">
        <v>974</v>
      </c>
      <c r="C974" t="str">
        <f>IFERROR(__xludf.DUMMYFUNCTION("GOOGLETRANSLATE(B974, ""zh"", ""en"")"),"General packaging is not flattered by the hand, packaging, smashes the bottle okay, no taste, the baby never used bottle from birth to now, the first time are not accustomed to, will not use the rhythm, I hope more will be used several times use")</f>
        <v>General packaging is not flattered by the hand, packaging, smashes the bottle okay, no taste, the baby never used bottle from birth to now, the first time are not accustomed to, will not use the rhythm, I hope more will be used several times use</v>
      </c>
    </row>
    <row r="975">
      <c r="A975" s="1">
        <v>5.0</v>
      </c>
      <c r="B975" s="1" t="s">
        <v>975</v>
      </c>
      <c r="C975" t="str">
        <f>IFERROR(__xludf.DUMMYFUNCTION("GOOGLETRANSLATE(B975, ""zh"", ""en"")"),"Khaki m m length code 170.80kg wearing the right size, color is not a true little greenish khaki, fabric feel good, like for loose")</f>
        <v>Khaki m m length code 170.80kg wearing the right size, color is not a true little greenish khaki, fabric feel good, like for loose</v>
      </c>
    </row>
    <row r="976">
      <c r="A976" s="1">
        <v>5.0</v>
      </c>
      <c r="B976" s="1" t="s">
        <v>976</v>
      </c>
      <c r="C976" t="str">
        <f>IFERROR(__xludf.DUMMYFUNCTION("GOOGLETRANSLATE(B976, ""zh"", ""en"")"),"Very, very good, never went before the evaluation, I do not know how many wasted points, points can change money now know, they should look carefully evaluated, then I put these words to copy to go, both to earn points, but also the easy way to go where c"&amp;"opy where, most importantly, do not seriously review, do not think how much worse word, sent directly to it, recommend it to everyone! !")</f>
        <v>Very, very good, never went before the evaluation, I do not know how many wasted points, points can change money now know, they should look carefully evaluated, then I put these words to copy to go, both to earn points, but also the easy way to go where copy where, most importantly, do not seriously review, do not think how much worse word, sent directly to it, recommend it to everyone! !</v>
      </c>
    </row>
    <row r="977">
      <c r="A977" s="1">
        <v>5.0</v>
      </c>
      <c r="B977" s="1" t="s">
        <v>977</v>
      </c>
      <c r="C977" t="str">
        <f>IFERROR(__xludf.DUMMYFUNCTION("GOOGLETRANSLATE(B977, ""zh"", ""en"")"),"Good help joint damage")</f>
        <v>Good help joint damage</v>
      </c>
    </row>
    <row r="978">
      <c r="A978" s="1">
        <v>5.0</v>
      </c>
      <c r="B978" s="1" t="s">
        <v>978</v>
      </c>
      <c r="C978" t="str">
        <f>IFERROR(__xludf.DUMMYFUNCTION("GOOGLETRANSLATE(B978, ""zh"", ""en"")"),"The superb original box is not actually sent to a very pleasant surprise, but should not be so trench, with such a big box! Machine is very easy to use, a cup a day, but also very hard to hold back the desire to drink the second cup ...... very, very good"&amp;" customer service attitude!")</f>
        <v>The superb original box is not actually sent to a very pleasant surprise, but should not be so trench, with such a big box! Machine is very easy to use, a cup a day, but also very hard to hold back the desire to drink the second cup ...... very, very good customer service attitude!</v>
      </c>
    </row>
    <row r="979">
      <c r="A979" s="1">
        <v>5.0</v>
      </c>
      <c r="B979" s="1" t="s">
        <v>979</v>
      </c>
      <c r="C979" t="str">
        <f>IFERROR(__xludf.DUMMYFUNCTION("GOOGLETRANSLATE(B979, ""zh"", ""en"")"),"perfect workmanship is very good, very solid, good style, 175cm70kg, No. S just, a little tight at the neckline; there is color blue, deep color than the pictures, but feel just right")</f>
        <v>perfect workmanship is very good, very solid, good style, 175cm70kg, No. S just, a little tight at the neckline; there is color blue, deep color than the pictures, but feel just right</v>
      </c>
    </row>
    <row r="980">
      <c r="A980" s="1">
        <v>5.0</v>
      </c>
      <c r="B980" s="1" t="s">
        <v>980</v>
      </c>
      <c r="C980" t="str">
        <f>IFERROR(__xludf.DUMMYFUNCTION("GOOGLETRANSLATE(B980, ""zh"", ""en"")"),"Old style, old-fashioned people would love number is too large, the sleeves a little longer, older style, suitable for conservative people wear.")</f>
        <v>Old style, old-fashioned people would love number is too large, the sleeves a little longer, older style, suitable for conservative people wear.</v>
      </c>
    </row>
    <row r="981">
      <c r="A981" s="1">
        <v>5.0</v>
      </c>
      <c r="B981" s="1" t="s">
        <v>981</v>
      </c>
      <c r="C981" t="str">
        <f>IFERROR(__xludf.DUMMYFUNCTION("GOOGLETRANSLATE(B981, ""zh"", ""en"")"),"High cost of demolition, winning 10t helium, hand disability, shell is broken, the price can only buy treasure x 8t disassemble")</f>
        <v>High cost of demolition, winning 10t helium, hand disability, shell is broken, the price can only buy treasure x 8t disassemble</v>
      </c>
    </row>
    <row r="982">
      <c r="A982" s="1">
        <v>5.0</v>
      </c>
      <c r="B982" s="1" t="s">
        <v>982</v>
      </c>
      <c r="C982" t="str">
        <f>IFERROR(__xludf.DUMMYFUNCTION("GOOGLETRANSLATE(B982, ""zh"", ""en"")"),"Not with the use of a pacifier No. 1")</f>
        <v>Not with the use of a pacifier No. 1</v>
      </c>
    </row>
    <row r="983">
      <c r="A983" s="1">
        <v>5.0</v>
      </c>
      <c r="B983" s="1" t="s">
        <v>983</v>
      </c>
      <c r="C983" t="str">
        <f>IFERROR(__xludf.DUMMYFUNCTION("GOOGLETRANSLATE(B983, ""zh"", ""en"")"),"Good to see this dress look good very comfortable ......")</f>
        <v>Good to see this dress look good very comfortable ......</v>
      </c>
    </row>
    <row r="984">
      <c r="A984" s="1">
        <v>5.0</v>
      </c>
      <c r="B984" s="1" t="s">
        <v>984</v>
      </c>
      <c r="C984" t="str">
        <f>IFERROR(__xludf.DUMMYFUNCTION("GOOGLETRANSLATE(B984, ""zh"", ""en"")"),"Useful to alleviate joint pain almost nine yuan more expensive than in the United States when the order was in the Amazon price, plus customs duties thirty, on the whole is good, delivery is also very fast, three days received. This requires long-term eat"&amp;"ing, very helpful to alleviate joint pain.")</f>
        <v>Useful to alleviate joint pain almost nine yuan more expensive than in the United States when the order was in the Amazon price, plus customs duties thirty, on the whole is good, delivery is also very fast, three days received. This requires long-term eating, very helpful to alleviate joint pain.</v>
      </c>
    </row>
    <row r="985">
      <c r="A985" s="1">
        <v>5.0</v>
      </c>
      <c r="B985" s="1" t="s">
        <v>985</v>
      </c>
      <c r="C985" t="str">
        <f>IFERROR(__xludf.DUMMYFUNCTION("GOOGLETRANSLATE(B985, ""zh"", ""en"")"),"Bought the wrong, then return merchandise trouble, heart steam overseas purchase orders can not be used at that time, did not see a return later point, they can not return, and get the goods today, only to find to buy the wrong. Return path too much troub"&amp;"le, can not be used overseas to buy steamed heart")</f>
        <v>Bought the wrong, then return merchandise trouble, heart steam overseas purchase orders can not be used at that time, did not see a return later point, they can not return, and get the goods today, only to find to buy the wrong. Return path too much trouble, can not be used overseas to buy steamed heart</v>
      </c>
    </row>
    <row r="986">
      <c r="A986" s="1">
        <v>5.0</v>
      </c>
      <c r="B986" s="1" t="s">
        <v>986</v>
      </c>
      <c r="C986" t="str">
        <f>IFERROR(__xludf.DUMMYFUNCTION("GOOGLETRANSLATE(B986, ""zh"", ""en"")"),"Clarks female soft leather low-top sneakers comfortable and light, style is tidal.")</f>
        <v>Clarks female soft leather low-top sneakers comfortable and light, style is tidal.</v>
      </c>
    </row>
    <row r="987">
      <c r="A987" s="1">
        <v>5.0</v>
      </c>
      <c r="B987" s="1" t="s">
        <v>987</v>
      </c>
      <c r="C987" t="str">
        <f>IFERROR(__xludf.DUMMYFUNCTION("GOOGLETRANSLATE(B987, ""zh"", ""en"")"),"The right size is very good, size is also very consistent, I feel big size design flexibility, it can be adjusted.")</f>
        <v>The right size is very good, size is also very consistent, I feel big size design flexibility, it can be adjusted.</v>
      </c>
    </row>
    <row r="988">
      <c r="A988" s="1">
        <v>5.0</v>
      </c>
      <c r="B988" s="1" t="s">
        <v>988</v>
      </c>
      <c r="C988" t="str">
        <f>IFERROR(__xludf.DUMMYFUNCTION("GOOGLETRANSLATE(B988, ""zh"", ""en"")"),"Affordable and comfortable shoes, as always, the price is very friendly, very satisfied!")</f>
        <v>Affordable and comfortable shoes, as always, the price is very friendly, very satisfied!</v>
      </c>
    </row>
    <row r="989">
      <c r="A989" s="1">
        <v>5.0</v>
      </c>
      <c r="B989" s="1" t="s">
        <v>989</v>
      </c>
      <c r="C989" t="str">
        <f>IFERROR(__xludf.DUMMYFUNCTION("GOOGLETRANSLATE(B989, ""zh"", ""en"")"),"For reference only himself 173,65kg, bust 90, Nichia L code slightly loose, is what I want, compared to the United States and Asia champion S code feeling slightly larger.")</f>
        <v>For reference only himself 173,65kg, bust 90, Nichia L code slightly loose, is what I want, compared to the United States and Asia champion S code feeling slightly larger.</v>
      </c>
    </row>
    <row r="990">
      <c r="A990" s="1">
        <v>5.0</v>
      </c>
      <c r="B990" s="1" t="s">
        <v>990</v>
      </c>
      <c r="C990" t="str">
        <f>IFERROR(__xludf.DUMMYFUNCTION("GOOGLETRANSLATE(B990, ""zh"", ""en"")"),"Trusted genuine, good quality, trusted")</f>
        <v>Trusted genuine, good quality, trusted</v>
      </c>
    </row>
    <row r="991">
      <c r="A991" s="1">
        <v>5.0</v>
      </c>
      <c r="B991" s="1" t="s">
        <v>991</v>
      </c>
      <c r="C991" t="str">
        <f>IFERROR(__xludf.DUMMYFUNCTION("GOOGLETRANSLATE(B991, ""zh"", ""en"")"),"Easy to use! ! Super nice break out of the meringue particularly delicate! When using the sound is also very light compared with Taobao two thirty eggbeater, like baking, then the money spent absolute value ~")</f>
        <v>Easy to use! ! Super nice break out of the meringue particularly delicate! When using the sound is also very light compared with Taobao two thirty eggbeater, like baking, then the money spent absolute value ~</v>
      </c>
    </row>
    <row r="992">
      <c r="A992" s="1">
        <v>5.0</v>
      </c>
      <c r="B992" s="1" t="s">
        <v>992</v>
      </c>
      <c r="C992" t="str">
        <f>IFERROR(__xludf.DUMMYFUNCTION("GOOGLETRANSLATE(B992, ""zh"", ""en"")"),"First the good things about the same size and passports. And 4T, speed is faster. I put all the information into the photos are kept, and only a small part of the storage space. After the madness can take pictures. I used to buy a big man 1T hard disk can"&amp;" be eliminated.")</f>
        <v>First the good things about the same size and passports. And 4T, speed is faster. I put all the information into the photos are kept, and only a small part of the storage space. After the madness can take pictures. I used to buy a big man 1T hard disk can be eliminated.</v>
      </c>
    </row>
    <row r="993">
      <c r="A993" s="1">
        <v>5.0</v>
      </c>
      <c r="B993" s="1" t="s">
        <v>993</v>
      </c>
      <c r="C993" t="str">
        <f>IFERROR(__xludf.DUMMYFUNCTION("GOOGLETRANSLATE(B993, ""zh"", ""en"")"),"Very good, it should be installed helium little sister")</f>
        <v>Very good, it should be installed helium little sister</v>
      </c>
    </row>
    <row r="994">
      <c r="A994" s="1">
        <v>5.0</v>
      </c>
      <c r="B994" s="1" t="s">
        <v>994</v>
      </c>
      <c r="C994" t="str">
        <f>IFERROR(__xludf.DUMMYFUNCTION("GOOGLETRANSLATE(B994, ""zh"", ""en"")"),"Like a good number and store")</f>
        <v>Like a good number and store</v>
      </c>
    </row>
    <row r="995">
      <c r="A995" s="1">
        <v>5.0</v>
      </c>
      <c r="B995" s="1" t="s">
        <v>995</v>
      </c>
      <c r="C995" t="str">
        <f>IFERROR(__xludf.DUMMYFUNCTION("GOOGLETRANSLATE(B995, ""zh"", ""en"")"),"Exquisite workmanship, value for money! Workmanship is very fine, Amazon's overseas shopping speed is really fast, order No. 11, suggesting to the original 20, 2009, the results of 14 send calls. Prices are cheaper than Jingdong Lynx, plus tax 303 yuan, t"&amp;"his is the high cost of the headphones, the price is even more worth it. As for the sound performance, I do not understand, may not be the mainstream consumer favorite, the first ear is not so amazing, very restrained, convergence, gentle, placid.")</f>
        <v>Exquisite workmanship, value for money! Workmanship is very fine, Amazon's overseas shopping speed is really fast, order No. 11, suggesting to the original 20, 2009, the results of 14 send calls. Prices are cheaper than Jingdong Lynx, plus tax 303 yuan, this is the high cost of the headphones, the price is even more worth it. As for the sound performance, I do not understand, may not be the mainstream consumer favorite, the first ear is not so amazing, very restrained, convergence, gentle, placid.</v>
      </c>
    </row>
    <row r="996">
      <c r="A996" s="1">
        <v>2.0</v>
      </c>
      <c r="B996" s="1" t="s">
        <v>996</v>
      </c>
      <c r="C996" t="str">
        <f>IFERROR(__xludf.DUMMYFUNCTION("GOOGLETRANSLATE(B996, ""zh"", ""en"")"),"Rather hard, the baby does not like to see a recommendation to buy, received in kind should be genuine but they are harder than other pacifiers, baby do not.")</f>
        <v>Rather hard, the baby does not like to see a recommendation to buy, received in kind should be genuine but they are harder than other pacifiers, baby do not.</v>
      </c>
    </row>
    <row r="997">
      <c r="A997" s="1">
        <v>3.0</v>
      </c>
      <c r="B997" s="1" t="s">
        <v>997</v>
      </c>
      <c r="C997" t="str">
        <f>IFERROR(__xludf.DUMMYFUNCTION("GOOGLETRANSLATE(B997, ""zh"", ""en"")"),"In line with the price of the commodity is true pants fabric is not very good, and for the navy is the color a bit too blue. Indeed in line with commodity prices so cheap, a sub-price goods it can not report too much hope.")</f>
        <v>In line with the price of the commodity is true pants fabric is not very good, and for the navy is the color a bit too blue. Indeed in line with commodity prices so cheap, a sub-price goods it can not report too much hope.</v>
      </c>
    </row>
    <row r="998">
      <c r="A998" s="1">
        <v>3.0</v>
      </c>
      <c r="B998" s="1" t="s">
        <v>998</v>
      </c>
      <c r="C998" t="str">
        <f>IFERROR(__xludf.DUMMYFUNCTION("GOOGLETRANSLATE(B998, ""zh"", ""en"")"),"q neckline a little big, obvious fat")</f>
        <v>q neckline a little big, obvious fat</v>
      </c>
    </row>
    <row r="999">
      <c r="A999" s="1">
        <v>1.0</v>
      </c>
      <c r="B999" s="1" t="s">
        <v>999</v>
      </c>
      <c r="C999" t="str">
        <f>IFERROR(__xludf.DUMMYFUNCTION("GOOGLETRANSLATE(B999, ""zh"", ""en"")"),"Bought less than three months go bad! Putting aside the effect, but bought Kaifeng, ate enough for three months beginning moldy! ! There are gray spots on each of the pills, eat abdominal pain diarrhea. A search online found not a case. The strange thing "&amp;"is that even when stored airtight in a cool, not particularly humid environments. Amazon customer service to complain, the result is the rebate does not change, ready to complain to the 12315! As a prime member, get unfair treatment, the first comment!")</f>
        <v>Bought less than three months go bad! Putting aside the effect, but bought Kaifeng, ate enough for three months beginning moldy! ! There are gray spots on each of the pills, eat abdominal pain diarrhea. A search online found not a case. The strange thing is that even when stored airtight in a cool, not particularly humid environments. Amazon customer service to complain, the result is the rebate does not change, ready to complain to the 12315! As a prime member, get unfair treatment, the first comment!</v>
      </c>
    </row>
    <row r="1000">
      <c r="A1000" s="1">
        <v>1.0</v>
      </c>
      <c r="B1000" s="1" t="s">
        <v>1000</v>
      </c>
      <c r="C1000" t="str">
        <f>IFERROR(__xludf.DUMMYFUNCTION("GOOGLETRANSLATE(B1000, ""zh"", ""en"")"),"Poor quality shoes to wear for two weeks to crack, nearly 600 shoes on this quality? Timberland wear before three years have not the problem, I suspect is fake, fake is not a defective product! too poor!")</f>
        <v>Poor quality shoes to wear for two weeks to crack, nearly 600 shoes on this quality? Timberland wear before three years have not the problem, I suspect is fake, fake is not a defective product! too poor!</v>
      </c>
    </row>
    <row r="1001">
      <c r="A1001" s="1">
        <v>1.0</v>
      </c>
      <c r="B1001" s="1" t="s">
        <v>1001</v>
      </c>
      <c r="C1001" t="str">
        <f>IFERROR(__xludf.DUMMYFUNCTION("GOOGLETRANSLATE(B1001, ""zh"", ""en"")"),"Fakes! Overseas purchase would not let return! This is purchased overseas, can not even return, simple packaging, in all likelihood Maidaojiahuo! ! ! Not buy, terrible!")</f>
        <v>Fakes! Overseas purchase would not let return! This is purchased overseas, can not even return, simple packaging, in all likelihood Maidaojiahuo! ! ! Not buy, terrible!</v>
      </c>
    </row>
    <row r="1002">
      <c r="A1002" s="1">
        <v>4.0</v>
      </c>
      <c r="B1002" s="1" t="s">
        <v>1002</v>
      </c>
      <c r="C1002" t="str">
        <f>IFERROR(__xludf.DUMMYFUNCTION("GOOGLETRANSLATE(B1002, ""zh"", ""en"")"),"Good workmanship is very good, just do not know can not be upheld")</f>
        <v>Good workmanship is very good, just do not know can not be upheld</v>
      </c>
    </row>
    <row r="1003">
      <c r="A1003" s="1">
        <v>4.0</v>
      </c>
      <c r="B1003" s="1" t="s">
        <v>1003</v>
      </c>
      <c r="C1003" t="str">
        <f>IFERROR(__xludf.DUMMYFUNCTION("GOOGLETRANSLATE(B1003, ""zh"", ""en"")"),"Small collar clothes quality can, cotton, produced in Indonesia, this collar on Nima little scary, how should I say, a kind of feeling is strangling the throat of destiny, be careful to buy fat. . .")</f>
        <v>Small collar clothes quality can, cotton, produced in Indonesia, this collar on Nima little scary, how should I say, a kind of feeling is strangling the throat of destiny, be careful to buy fat. . .</v>
      </c>
    </row>
    <row r="1004">
      <c r="A1004" s="1">
        <v>4.0</v>
      </c>
      <c r="B1004" s="1" t="s">
        <v>1004</v>
      </c>
      <c r="C1004" t="str">
        <f>IFERROR(__xludf.DUMMYFUNCTION("GOOGLETRANSLATE(B1004, ""zh"", ""en"")"),"Fabric, accessories are good, like on the picture, work clothes and fabrics are good, the hardware buttons ""LEE"" logo, the sleeves a little longer. Fabric is not hard, suitable for spring and autumn wear. Because overseas purchase, so wait a little long"&amp;"er date, but it is about 20 days. worth it. Height 160, weight 120, the number M is appropriate, for reference purposes only.")</f>
        <v>Fabric, accessories are good, like on the picture, work clothes and fabrics are good, the hardware buttons "LEE" logo, the sleeves a little longer. Fabric is not hard, suitable for spring and autumn wear. Because overseas purchase, so wait a little longer date, but it is about 20 days. worth it. Height 160, weight 120, the number M is appropriate, for reference purposes only.</v>
      </c>
    </row>
    <row r="1005">
      <c r="A1005" s="1">
        <v>4.0</v>
      </c>
      <c r="B1005" s="1" t="s">
        <v>1005</v>
      </c>
      <c r="C1005" t="str">
        <f>IFERROR(__xludf.DUMMYFUNCTION("GOOGLETRANSLATE(B1005, ""zh"", ""en"")"),"The new ~ received was new. But the packaging is to be commended! On a cardboard box, when received almost falling apart! You can not be combined with a cardboard box on the outside when it shipped? Americans are not really working, which would have to be"&amp;" unemployed in China!")</f>
        <v>The new ~ received was new. But the packaging is to be commended! On a cardboard box, when received almost falling apart! You can not be combined with a cardboard box on the outside when it shipped? Americans are not really working, which would have to be unemployed in China!</v>
      </c>
    </row>
    <row r="1006">
      <c r="A1006" s="1">
        <v>4.0</v>
      </c>
      <c r="B1006" s="1" t="s">
        <v>1006</v>
      </c>
      <c r="C1006" t="str">
        <f>IFERROR(__xludf.DUMMYFUNCTION("GOOGLETRANSLATE(B1006, ""zh"", ""en"")"),"Evaluation I height 1.74m, weighs about 56kg. Just right. General feeling of quality, thickness suitable for spring. Japan purchasing seven days receive. Customs clearance faster, but ecms express speed is not particularly fast.")</f>
        <v>Evaluation I height 1.74m, weighs about 56kg. Just right. General feeling of quality, thickness suitable for spring. Japan purchasing seven days receive. Customs clearance faster, but ecms express speed is not particularly fast.</v>
      </c>
    </row>
    <row r="1007">
      <c r="A1007" s="1">
        <v>5.0</v>
      </c>
      <c r="B1007" s="1" t="s">
        <v>1007</v>
      </c>
      <c r="C1007" t="str">
        <f>IFERROR(__xludf.DUMMYFUNCTION("GOOGLETRANSLATE(B1007, ""zh"", ""en"")"),"Very good, the right size, soft texture. The right size, soft texture.")</f>
        <v>Very good, the right size, soft texture. The right size, soft texture.</v>
      </c>
    </row>
    <row r="1008">
      <c r="A1008" s="1">
        <v>5.0</v>
      </c>
      <c r="B1008" s="1" t="s">
        <v>1008</v>
      </c>
      <c r="C1008" t="str">
        <f>IFERROR(__xludf.DUMMYFUNCTION("GOOGLETRANSLATE(B1008, ""zh"", ""en"")"),"Amazon my first single, surprise! Online shopping in the country for over ten years, while in the Amazon, which is a single head. Very pleasantly surprised! We must point Like! Order No. 27, did not expect to catch up in the last day of 2016 sent from the"&amp;" United States! Products high cost. Copying data per second around 150M.")</f>
        <v>Amazon my first single, surprise! Online shopping in the country for over ten years, while in the Amazon, which is a single head. Very pleasantly surprised! We must point Like! Order No. 27, did not expect to catch up in the last day of 2016 sent from the United States! Products high cost. Copying data per second around 150M.</v>
      </c>
    </row>
    <row r="1009">
      <c r="A1009" s="1">
        <v>5.0</v>
      </c>
      <c r="B1009" s="1" t="s">
        <v>1009</v>
      </c>
      <c r="C1009" t="str">
        <f>IFERROR(__xludf.DUMMYFUNCTION("GOOGLETRANSLATE(B1009, ""zh"", ""en"")"),"Non-stick, is a bit heavy pot good, the price is much cheaper than purchasing, it is a bit heavy. It is estimated that I need to exercise.")</f>
        <v>Non-stick, is a bit heavy pot good, the price is much cheaper than purchasing, it is a bit heavy. It is estimated that I need to exercise.</v>
      </c>
    </row>
    <row r="1010">
      <c r="A1010" s="1">
        <v>5.0</v>
      </c>
      <c r="B1010" s="1" t="s">
        <v>1010</v>
      </c>
      <c r="C1010" t="str">
        <f>IFERROR(__xludf.DUMMYFUNCTION("GOOGLETRANSLATE(B1010, ""zh"", ""en"")"),"Good merchandise very comfortable shoes, mainly to catch up with activities, a good deal!")</f>
        <v>Good merchandise very comfortable shoes, mainly to catch up with activities, a good deal!</v>
      </c>
    </row>
    <row r="1011">
      <c r="A1011" s="1">
        <v>5.0</v>
      </c>
      <c r="B1011" s="1" t="s">
        <v>1011</v>
      </c>
      <c r="C1011" t="str">
        <f>IFERROR(__xludf.DUMMYFUNCTION("GOOGLETRANSLATE(B1011, ""zh"", ""en"")"),"Good use of the bottle like a lot cheaper than other platforms is genuine")</f>
        <v>Good use of the bottle like a lot cheaper than other platforms is genuine</v>
      </c>
    </row>
    <row r="1012">
      <c r="A1012" s="1">
        <v>5.0</v>
      </c>
      <c r="B1012" s="1" t="s">
        <v>1012</v>
      </c>
      <c r="C1012" t="str">
        <f>IFERROR(__xludf.DUMMYFUNCTION("GOOGLETRANSLATE(B1012, ""zh"", ""en"")"),"Blue Asian equivalent of the child's choice s code m, but slightly longer")</f>
        <v>Blue Asian equivalent of the child's choice s code m, but slightly longer</v>
      </c>
    </row>
    <row r="1013">
      <c r="A1013" s="1">
        <v>5.0</v>
      </c>
      <c r="B1013" s="1" t="s">
        <v>1013</v>
      </c>
      <c r="C1013" t="str">
        <f>IFERROR(__xludf.DUMMYFUNCTION("GOOGLETRANSLATE(B1013, ""zh"", ""en"")"),"Very cheap comfortable wearing very comfortable, but as time members can not help but buy shipping, can prime a few days, and more than 80 out of the freight, but the price is very cheap")</f>
        <v>Very cheap comfortable wearing very comfortable, but as time members can not help but buy shipping, can prime a few days, and more than 80 out of the freight, but the price is very cheap</v>
      </c>
    </row>
    <row r="1014">
      <c r="A1014" s="1">
        <v>5.0</v>
      </c>
      <c r="B1014" s="1" t="s">
        <v>1014</v>
      </c>
      <c r="C1014" t="str">
        <f>IFERROR(__xludf.DUMMYFUNCTION("GOOGLETRANSLATE(B1014, ""zh"", ""en"")"),"Dual hard disk is to buy a little faster now also increasingly hard enough, and relatively long time, found 12T dual hard disk price is still possible. Transportation took a long time, but recently really have no alternative. After the hand then the compu"&amp;"ter lightning 3 interfaces, particularly slow, do not know why, and later research. Then connected to the usb3.0 interfaces, mobile hard disk from the hard disk to test up to 300M / S, speed is quite satisfied. 2 which is a hard disk WD red, a group shoul"&amp;"d be the default mode RAID0. Temporarily should be enough.")</f>
        <v>Dual hard disk is to buy a little faster now also increasingly hard enough, and relatively long time, found 12T dual hard disk price is still possible. Transportation took a long time, but recently really have no alternative. After the hand then the computer lightning 3 interfaces, particularly slow, do not know why, and later research. Then connected to the usb3.0 interfaces, mobile hard disk from the hard disk to test up to 300M / S, speed is quite satisfied. 2 which is a hard disk WD red, a group should be the default mode RAID0. Temporarily should be enough.</v>
      </c>
    </row>
    <row r="1015">
      <c r="A1015" s="1">
        <v>5.0</v>
      </c>
      <c r="B1015" s="1" t="s">
        <v>1015</v>
      </c>
      <c r="C1015" t="str">
        <f>IFERROR(__xludf.DUMMYFUNCTION("GOOGLETRANSLATE(B1015, ""zh"", ""en"")"),"Okay price is very affordable quality is okay")</f>
        <v>Okay price is very affordable quality is okay</v>
      </c>
    </row>
    <row r="1016">
      <c r="A1016" s="1">
        <v>5.0</v>
      </c>
      <c r="B1016" s="1" t="s">
        <v>1016</v>
      </c>
      <c r="C1016" t="str">
        <f>IFERROR(__xludf.DUMMYFUNCTION("GOOGLETRANSLATE(B1016, ""zh"", ""en"")"),"Good good clothes, good-looking, comfortable, fabric can be")</f>
        <v>Good good clothes, good-looking, comfortable, fabric can be</v>
      </c>
    </row>
    <row r="1017">
      <c r="A1017" s="1">
        <v>5.0</v>
      </c>
      <c r="B1017" s="1" t="s">
        <v>1017</v>
      </c>
      <c r="C1017" t="str">
        <f>IFERROR(__xludf.DUMMYFUNCTION("GOOGLETRANSLATE(B1017, ""zh"", ""en"")"),"Standard Size 36 (93cm) inch waist pants to buy 36 yards, just good, sort of a small.")</f>
        <v>Standard Size 36 (93cm) inch waist pants to buy 36 yards, just good, sort of a small.</v>
      </c>
    </row>
    <row r="1018">
      <c r="A1018" s="1">
        <v>5.0</v>
      </c>
      <c r="B1018" s="1" t="s">
        <v>1018</v>
      </c>
      <c r="C1018" t="str">
        <f>IFERROR(__xludf.DUMMYFUNCTION("GOOGLETRANSLATE(B1018, ""zh"", ""en"")"),"Just the right size 170cm, 74kg, just.")</f>
        <v>Just the right size 170cm, 74kg, just.</v>
      </c>
    </row>
    <row r="1019">
      <c r="A1019" s="1">
        <v>5.0</v>
      </c>
      <c r="B1019" s="1" t="s">
        <v>1019</v>
      </c>
      <c r="C1019" t="str">
        <f>IFERROR(__xludf.DUMMYFUNCTION("GOOGLETRANSLATE(B1019, ""zh"", ""en"")"),"Classic, not much to say classic, wild, cheap, Naicao. Full 5 stars")</f>
        <v>Classic, not much to say classic, wild, cheap, Naicao. Full 5 stars</v>
      </c>
    </row>
    <row r="1020">
      <c r="A1020" s="1">
        <v>5.0</v>
      </c>
      <c r="B1020" s="1" t="s">
        <v>1020</v>
      </c>
      <c r="C1020" t="str">
        <f>IFERROR(__xludf.DUMMYFUNCTION("GOOGLETRANSLATE(B1020, ""zh"", ""en"")"),"Behind the key to open the key to open the back did not seem to use, press no response, is not a decoration?")</f>
        <v>Behind the key to open the key to open the back did not seem to use, press no response, is not a decoration?</v>
      </c>
    </row>
    <row r="1021">
      <c r="A1021" s="1">
        <v>5.0</v>
      </c>
      <c r="B1021" s="1" t="s">
        <v>1021</v>
      </c>
      <c r="C1021" t="str">
        <f>IFERROR(__xludf.DUMMYFUNCTION("GOOGLETRANSLATE(B1021, ""zh"", ""en"")"),"Six cups of coffee is certainly not about the amount of liquid Starbucks four shot it, very beautiful")</f>
        <v>Six cups of coffee is certainly not about the amount of liquid Starbucks four shot it, very beautiful</v>
      </c>
    </row>
    <row r="1022">
      <c r="A1022" s="1">
        <v>5.0</v>
      </c>
      <c r="B1022" s="1" t="s">
        <v>1022</v>
      </c>
      <c r="C1022" t="str">
        <f>IFERROR(__xludf.DUMMYFUNCTION("GOOGLETRANSLATE(B1022, ""zh"", ""en"")"),"The pants are elastic title written Slim models, the arrival to know the fabric is elastic, so yardage selection may vary between twelve yards, a little loose you can choose the size usually wear jeans or freshman code, tight can choose a small one yard. "&amp;"wrangler jeans, this version is not bad.")</f>
        <v>The pants are elastic title written Slim models, the arrival to know the fabric is elastic, so yardage selection may vary between twelve yards, a little loose you can choose the size usually wear jeans or freshman code, tight can choose a small one yard. wrangler jeans, this version is not bad.</v>
      </c>
    </row>
    <row r="1023">
      <c r="A1023" s="1">
        <v>5.0</v>
      </c>
      <c r="B1023" s="1" t="s">
        <v>1023</v>
      </c>
      <c r="C1023" t="str">
        <f>IFERROR(__xludf.DUMMYFUNCTION("GOOGLETRANSLATE(B1023, ""zh"", ""en"")"),"Use good sense of toothbrush is very good, I heard that the charger can charge to X, as well as eighty percent power when the phone charge for a night without electricity to the discovery of X automatically shut down, put my phone battery charger suck fin"&amp;"ished? ? ?")</f>
        <v>Use good sense of toothbrush is very good, I heard that the charger can charge to X, as well as eighty percent power when the phone charge for a night without electricity to the discovery of X automatically shut down, put my phone battery charger suck finished? ? ?</v>
      </c>
    </row>
    <row r="1024">
      <c r="A1024" s="1">
        <v>5.0</v>
      </c>
      <c r="B1024" s="1" t="s">
        <v>1024</v>
      </c>
      <c r="C1024" t="str">
        <f>IFERROR(__xludf.DUMMYFUNCTION("GOOGLETRANSLATE(B1024, ""zh"", ""en"")"),"Quality T-shirt Quality T-shirt")</f>
        <v>Quality T-shirt Quality T-shirt</v>
      </c>
    </row>
    <row r="1025">
      <c r="A1025" s="1">
        <v>5.0</v>
      </c>
      <c r="B1025" s="1" t="s">
        <v>1025</v>
      </c>
      <c r="C1025" t="str">
        <f>IFERROR(__xludf.DUMMYFUNCTION("GOOGLETRANSLATE(B1025, ""zh"", ""en"")"),"Five-star praise upon returning home, tried the shoes, the right size. First time to buy ecco, do not know is not genuine, Amazon choose to believe. Amazon is a five-star service, mail call Amazon, will be taken seriously and responded to a hundred percen"&amp;"t, this must be the red five-star! !")</f>
        <v>Five-star praise upon returning home, tried the shoes, the right size. First time to buy ecco, do not know is not genuine, Amazon choose to believe. Amazon is a five-star service, mail call Amazon, will be taken seriously and responded to a hundred percent, this must be the red five-star! !</v>
      </c>
    </row>
    <row r="1026">
      <c r="A1026" s="1">
        <v>5.0</v>
      </c>
      <c r="B1026" s="1" t="s">
        <v>1026</v>
      </c>
      <c r="C1026" t="str">
        <f>IFERROR(__xludf.DUMMYFUNCTION("GOOGLETRANSLATE(B1026, ""zh"", ""en"")"),"5.11've been wearing, grinding ban, Naicao")</f>
        <v>5.11've been wearing, grinding ban, Naicao</v>
      </c>
    </row>
    <row r="1027">
      <c r="A1027" s="1">
        <v>5.0</v>
      </c>
      <c r="B1027" s="1" t="s">
        <v>1027</v>
      </c>
      <c r="C1027" t="str">
        <f>IFERROR(__xludf.DUMMYFUNCTION("GOOGLETRANSLATE(B1027, ""zh"", ""en"")"),"Underwear size just very good, lightweight and breathable. I liked it, and bought one.")</f>
        <v>Underwear size just very good, lightweight and breathable. I liked it, and bought one.</v>
      </c>
    </row>
    <row r="1028">
      <c r="A1028" s="1">
        <v>5.0</v>
      </c>
      <c r="B1028" s="1" t="s">
        <v>1028</v>
      </c>
      <c r="C1028" t="str">
        <f>IFERROR(__xludf.DUMMYFUNCTION("GOOGLETRANSLATE(B1028, ""zh"", ""en"")"),"Good Very Good, big discount efforts")</f>
        <v>Good Very Good, big discount efforts</v>
      </c>
    </row>
    <row r="1029">
      <c r="A1029" s="1">
        <v>2.0</v>
      </c>
      <c r="B1029" s="1" t="s">
        <v>1029</v>
      </c>
      <c r="C1029" t="str">
        <f>IFERROR(__xludf.DUMMYFUNCTION("GOOGLETRANSLATE(B1029, ""zh"", ""en"")"),"Size trouble to get an accurate number and the number is not accurate, can not buy clothes on Amazon, other categories of goods can be. Prior to the purchase of goods on Amazon customer service can not communicate, please improve!")</f>
        <v>Size trouble to get an accurate number and the number is not accurate, can not buy clothes on Amazon, other categories of goods can be. Prior to the purchase of goods on Amazon customer service can not communicate, please improve!</v>
      </c>
    </row>
    <row r="1030">
      <c r="A1030" s="1">
        <v>3.0</v>
      </c>
      <c r="B1030" s="1" t="s">
        <v>1030</v>
      </c>
      <c r="C1030" t="str">
        <f>IFERROR(__xludf.DUMMYFUNCTION("GOOGLETRANSLATE(B1030, ""zh"", ""en"")"),"Samsung to logistics packaging so bad things can be, is the logistics packaging is also environmentally friendly too, right? Logistics is not only the bag was poked a hole, even inside the box are rotten ...... This is really the first time I met such a l"&amp;"ow of packaging, fully replace the core being transferred packet may be - there is a British production, only pot that is produced in Germany")</f>
        <v>Samsung to logistics packaging so bad things can be, is the logistics packaging is also environmentally friendly too, right? Logistics is not only the bag was poked a hole, even inside the box are rotten ...... This is really the first time I met such a low of packaging, fully replace the core being transferred packet may be - there is a British production, only pot that is produced in Germany</v>
      </c>
    </row>
    <row r="1031">
      <c r="A1031" s="1">
        <v>3.0</v>
      </c>
      <c r="B1031" s="1" t="s">
        <v>1031</v>
      </c>
      <c r="C1031" t="str">
        <f>IFERROR(__xludf.DUMMYFUNCTION("GOOGLETRANSLATE(B1031, ""zh"", ""en"")"),"Long battery life, sound quality is also good buying price the next day, and immediately request a return or send back the results. Amazon user experience really bad, but fortunately good quality headphones, long battery life")</f>
        <v>Long battery life, sound quality is also good buying price the next day, and immediately request a return or send back the results. Amazon user experience really bad, but fortunately good quality headphones, long battery life</v>
      </c>
    </row>
    <row r="1032">
      <c r="A1032" s="1">
        <v>1.0</v>
      </c>
      <c r="B1032" s="1" t="s">
        <v>1032</v>
      </c>
      <c r="C1032" t="str">
        <f>IFERROR(__xludf.DUMMYFUNCTION("GOOGLETRANSLATE(B1032, ""zh"", ""en"")"),"Shoes are fake garbage shoes, very hard, a sense of where to step on feces? Just like before, like iron, overseas purchase less than five days actually received the goods, it is too fake, right")</f>
        <v>Shoes are fake garbage shoes, very hard, a sense of where to step on feces? Just like before, like iron, overseas purchase less than five days actually received the goods, it is too fake, right</v>
      </c>
    </row>
    <row r="1033">
      <c r="A1033" s="1">
        <v>1.0</v>
      </c>
      <c r="B1033" s="1" t="s">
        <v>1033</v>
      </c>
      <c r="C1033" t="str">
        <f>IFERROR(__xludf.DUMMYFUNCTION("GOOGLETRANSLATE(B1033, ""zh"", ""en"")"),"Disappointing shopping too loose, and not the same as described, but also to return 125 yuan freight, quality of service is poor. Do not say Jingdong, even Taobao 1🌟 businesses than not, sooner or later to close at Amazon")</f>
        <v>Disappointing shopping too loose, and not the same as described, but also to return 125 yuan freight, quality of service is poor. Do not say Jingdong, even Taobao 1🌟 businesses than not, sooner or later to close at Amazon</v>
      </c>
    </row>
    <row r="1034">
      <c r="A1034" s="1">
        <v>1.0</v>
      </c>
      <c r="B1034" s="1" t="s">
        <v>1034</v>
      </c>
      <c r="C1034" t="str">
        <f>IFERROR(__xludf.DUMMYFUNCTION("GOOGLETRANSLATE(B1034, ""zh"", ""en"")"),"Full of cheap sense of opening the package the moment it was 'spread the goods' have to feel like the odd lines get very poor, think about the previous CX200, Sennheiser is dead, poor sound odd, I feel like wrapped in the quilt of sound, ...... you can be"&amp;"ar it. Do something made in China began in the completely destroyed yet, Origin: China, I was scouring the sea of ​​American goods, but also pay a tariff ......")</f>
        <v>Full of cheap sense of opening the package the moment it was 'spread the goods' have to feel like the odd lines get very poor, think about the previous CX200, Sennheiser is dead, poor sound odd, I feel like wrapped in the quilt of sound, ...... you can bear it. Do something made in China began in the completely destroyed yet, Origin: China, I was scouring the sea of ​​American goods, but also pay a tariff ......</v>
      </c>
    </row>
    <row r="1035">
      <c r="A1035" s="1">
        <v>4.0</v>
      </c>
      <c r="B1035" s="1" t="s">
        <v>1035</v>
      </c>
      <c r="C1035" t="str">
        <f>IFERROR(__xludf.DUMMYFUNCTION("GOOGLETRANSLATE(B1035, ""zh"", ""en"")"),"Buy this belt long head is belt seam, buy long bad cut, only holes. Quality looks good, produced in India, oxen put on the body")</f>
        <v>Buy this belt long head is belt seam, buy long bad cut, only holes. Quality looks good, produced in India, oxen put on the body</v>
      </c>
    </row>
    <row r="1036">
      <c r="A1036" s="1">
        <v>4.0</v>
      </c>
      <c r="B1036" s="1" t="s">
        <v>1036</v>
      </c>
      <c r="C1036" t="str">
        <f>IFERROR(__xludf.DUMMYFUNCTION("GOOGLETRANSLATE(B1036, ""zh"", ""en"")"),"Generally good quality of some small.")</f>
        <v>Generally good quality of some small.</v>
      </c>
    </row>
    <row r="1037">
      <c r="A1037" s="1">
        <v>4.0</v>
      </c>
      <c r="B1037" s="1" t="s">
        <v>1037</v>
      </c>
      <c r="C1037" t="str">
        <f>IFERROR(__xludf.DUMMYFUNCTION("GOOGLETRANSLATE(B1037, ""zh"", ""en"")"),"Size is too large 186,80kg, buy XL is big")</f>
        <v>Size is too large 186,80kg, buy XL is big</v>
      </c>
    </row>
    <row r="1038">
      <c r="A1038" s="1">
        <v>4.0</v>
      </c>
      <c r="B1038" s="1" t="s">
        <v>1038</v>
      </c>
      <c r="C1038" t="str">
        <f>IFERROR(__xludf.DUMMYFUNCTION("GOOGLETRANSLATE(B1038, ""zh"", ""en"")"),"Color color looks good, and more good-looking than the picture")</f>
        <v>Color color looks good, and more good-looking than the picture</v>
      </c>
    </row>
    <row r="1039">
      <c r="A1039" s="1">
        <v>5.0</v>
      </c>
      <c r="B1039" s="1" t="s">
        <v>1039</v>
      </c>
      <c r="C1039" t="str">
        <f>IFERROR(__xludf.DUMMYFUNCTION("GOOGLETRANSLATE(B1039, ""zh"", ""en"")"),"Effective prenatal big leg pain, pubic pain mitigation is very obvious")</f>
        <v>Effective prenatal big leg pain, pubic pain mitigation is very obvious</v>
      </c>
    </row>
    <row r="1040">
      <c r="A1040" s="1">
        <v>5.0</v>
      </c>
      <c r="B1040" s="1" t="s">
        <v>1040</v>
      </c>
      <c r="C1040" t="str">
        <f>IFERROR(__xludf.DUMMYFUNCTION("GOOGLETRANSLATE(B1040, ""zh"", ""en"")"),"This cross praise how I feel sometimes brush is not clean ah, the best use of that money is still classic")</f>
        <v>This cross praise how I feel sometimes brush is not clean ah, the best use of that money is still classic</v>
      </c>
    </row>
    <row r="1041">
      <c r="A1041" s="1">
        <v>5.0</v>
      </c>
      <c r="B1041" s="1" t="s">
        <v>1041</v>
      </c>
      <c r="C1041" t="str">
        <f>IFERROR(__xludf.DUMMYFUNCTION("GOOGLETRANSLATE(B1041, ""zh"", ""en"")"),"Automatic, peace of mind, save time! Very satisfied, fully automatic coffee machine with automatic cleaning function. Since then, at home, you can drink a variety of coffee! ☕️")</f>
        <v>Automatic, peace of mind, save time! Very satisfied, fully automatic coffee machine with automatic cleaning function. Since then, at home, you can drink a variety of coffee! ☕️</v>
      </c>
    </row>
    <row r="1042">
      <c r="A1042" s="1">
        <v>5.0</v>
      </c>
      <c r="B1042" s="1" t="s">
        <v>1042</v>
      </c>
      <c r="C1042" t="str">
        <f>IFERROR(__xludf.DUMMYFUNCTION("GOOGLETRANSLATE(B1042, ""zh"", ""en"")"),"Baby assured that the outer plastic cutlery holding the baby is not hot, the physical contact with the inner layer of stainless steel, the water safer. A cost-effective, practical and convenient!")</f>
        <v>Baby assured that the outer plastic cutlery holding the baby is not hot, the physical contact with the inner layer of stainless steel, the water safer. A cost-effective, practical and convenient!</v>
      </c>
    </row>
    <row r="1043">
      <c r="A1043" s="1">
        <v>5.0</v>
      </c>
      <c r="B1043" s="1" t="s">
        <v>1043</v>
      </c>
      <c r="C1043" t="str">
        <f>IFERROR(__xludf.DUMMYFUNCTION("GOOGLETRANSLATE(B1043, ""zh"", ""en"")"),"This package is suitable cotton material, the price is more cost effective.")</f>
        <v>This package is suitable cotton material, the price is more cost effective.</v>
      </c>
    </row>
    <row r="1044">
      <c r="A1044" s="1">
        <v>5.0</v>
      </c>
      <c r="B1044" s="1" t="s">
        <v>1044</v>
      </c>
      <c r="C1044" t="str">
        <f>IFERROR(__xludf.DUMMYFUNCTION("GOOGLETRANSLATE(B1044, ""zh"", ""en"")"),"Very satisfied 2799 yuan into the watch is very beautiful, but Jining, Shandong automatic take-wave and wave are unsuccessful forced to close, I received Hong Kong purchasing a wave, no problem. After adjustment of China, 20 days after the closing wave su"&amp;"ccess.")</f>
        <v>Very satisfied 2799 yuan into the watch is very beautiful, but Jining, Shandong automatic take-wave and wave are unsuccessful forced to close, I received Hong Kong purchasing a wave, no problem. After adjustment of China, 20 days after the closing wave success.</v>
      </c>
    </row>
    <row r="1045">
      <c r="A1045" s="1">
        <v>5.0</v>
      </c>
      <c r="B1045" s="1" t="s">
        <v>1045</v>
      </c>
      <c r="C1045" t="str">
        <f>IFERROR(__xludf.DUMMYFUNCTION("GOOGLETRANSLATE(B1045, ""zh"", ""en"")"),"The size of the logistics just a few days earlier, than expected domestic 42 yards, just the size")</f>
        <v>The size of the logistics just a few days earlier, than expected domestic 42 yards, just the size</v>
      </c>
    </row>
    <row r="1046">
      <c r="A1046" s="1">
        <v>5.0</v>
      </c>
      <c r="B1046" s="1" t="s">
        <v>1046</v>
      </c>
      <c r="C1046" t="str">
        <f>IFERROR(__xludf.DUMMYFUNCTION("GOOGLETRANSLATE(B1046, ""zh"", ""en"")"),"Good very good very practical, go out with too convenient")</f>
        <v>Good very good very practical, go out with too convenient</v>
      </c>
    </row>
    <row r="1047">
      <c r="A1047" s="1">
        <v>5.0</v>
      </c>
      <c r="B1047" s="1" t="s">
        <v>1047</v>
      </c>
      <c r="C1047" t="str">
        <f>IFERROR(__xludf.DUMMYFUNCTION("GOOGLETRANSLATE(B1047, ""zh"", ""en"")"),"Good small cup this cup very, very small, very light, I have not thought about in the end when to use")</f>
        <v>Good small cup this cup very, very small, very light, I have not thought about in the end when to use</v>
      </c>
    </row>
    <row r="1048">
      <c r="A1048" s="1">
        <v>5.0</v>
      </c>
      <c r="B1048" s="1" t="s">
        <v>1048</v>
      </c>
      <c r="C1048" t="str">
        <f>IFERROR(__xludf.DUMMYFUNCTION("GOOGLETRANSLATE(B1048, ""zh"", ""en"")"),"Good color green color looks good, good quality")</f>
        <v>Good color green color looks good, good quality</v>
      </c>
    </row>
    <row r="1049">
      <c r="A1049" s="1">
        <v>5.0</v>
      </c>
      <c r="B1049" s="1" t="s">
        <v>1049</v>
      </c>
      <c r="C1049" t="str">
        <f>IFERROR(__xludf.DUMMYFUNCTION("GOOGLETRANSLATE(B1049, ""zh"", ""en"")"),"Good work is generally recommended the right size")</f>
        <v>Good work is generally recommended the right size</v>
      </c>
    </row>
    <row r="1050">
      <c r="A1050" s="1">
        <v>5.0</v>
      </c>
      <c r="B1050" s="1" t="s">
        <v>1050</v>
      </c>
      <c r="C1050" t="str">
        <f>IFERROR(__xludf.DUMMYFUNCTION("GOOGLETRANSLATE(B1050, ""zh"", ""en"")"),"Something good stuff this good, prices are very good")</f>
        <v>Something good stuff this good, prices are very good</v>
      </c>
    </row>
    <row r="1051">
      <c r="A1051" s="1">
        <v>5.0</v>
      </c>
      <c r="B1051" s="1" t="s">
        <v>1051</v>
      </c>
      <c r="C1051" t="str">
        <f>IFERROR(__xludf.DUMMYFUNCTION("GOOGLETRANSLATE(B1051, ""zh"", ""en"")"),"Bangladesh produced genuine, work can be. Large two yards than sports shoes, authentic")</f>
        <v>Bangladesh produced genuine, work can be. Large two yards than sports shoes, authentic</v>
      </c>
    </row>
    <row r="1052">
      <c r="A1052" s="1">
        <v>5.0</v>
      </c>
      <c r="B1052" s="1" t="s">
        <v>1052</v>
      </c>
      <c r="C1052" t="str">
        <f>IFERROR(__xludf.DUMMYFUNCTION("GOOGLETRANSLATE(B1052, ""zh"", ""en"")"),"Trusted brands like bought a lot of times, because they eat, the parents eat well, so they buy this brand of bone peacekeeping force.")</f>
        <v>Trusted brands like bought a lot of times, because they eat, the parents eat well, so they buy this brand of bone peacekeeping force.</v>
      </c>
    </row>
    <row r="1053">
      <c r="A1053" s="1">
        <v>5.0</v>
      </c>
      <c r="B1053" s="1" t="s">
        <v>1053</v>
      </c>
      <c r="C1053" t="str">
        <f>IFERROR(__xludf.DUMMYFUNCTION("GOOGLETRANSLATE(B1053, ""zh"", ""en"")"),"Then the tariff was expensive, the price further concessions like authentic Japanese goods as well as Japan invoice, hope to persevere effective")</f>
        <v>Then the tariff was expensive, the price further concessions like authentic Japanese goods as well as Japan invoice, hope to persevere effective</v>
      </c>
    </row>
    <row r="1054">
      <c r="A1054" s="1">
        <v>5.0</v>
      </c>
      <c r="B1054" s="1" t="s">
        <v>1054</v>
      </c>
      <c r="C1054" t="str">
        <f>IFERROR(__xludf.DUMMYFUNCTION("GOOGLETRANSLATE(B1054, ""zh"", ""en"")"),"Size is too large Japanese version of the clothes hear small half has bought a big One, the results of big, buy the normal code Jiuhaola")</f>
        <v>Size is too large Japanese version of the clothes hear small half has bought a big One, the results of big, buy the normal code Jiuhaola</v>
      </c>
    </row>
    <row r="1055">
      <c r="A1055" s="1">
        <v>5.0</v>
      </c>
      <c r="B1055" s="1" t="s">
        <v>1055</v>
      </c>
      <c r="C1055" t="str">
        <f>IFERROR(__xludf.DUMMYFUNCTION("GOOGLETRANSLATE(B1055, ""zh"", ""en"")"),"With the United States and Asia to buy, like, right size, texture is really good. Packaging is very good, even made a big night is coming hard, no other buyers say the case is open the package. S 160 45kg buy the right, wearing a very comfortable not tigh"&amp;"t. Something is genuine, and I bought before the United States and Asia is the same, the quality is excellent.")</f>
        <v>With the United States and Asia to buy, like, right size, texture is really good. Packaging is very good, even made a big night is coming hard, no other buyers say the case is open the package. S 160 45kg buy the right, wearing a very comfortable not tight. Something is genuine, and I bought before the United States and Asia is the same, the quality is excellent.</v>
      </c>
    </row>
    <row r="1056">
      <c r="A1056" s="1">
        <v>5.0</v>
      </c>
      <c r="B1056" s="1" t="s">
        <v>1056</v>
      </c>
      <c r="C1056" t="str">
        <f>IFERROR(__xludf.DUMMYFUNCTION("GOOGLETRANSLATE(B1056, ""zh"", ""en"")"),"Good capacity, high-capacity, speed is not bad. Lot cheaper than domestic. Amazon's service always good.")</f>
        <v>Good capacity, high-capacity, speed is not bad. Lot cheaper than domestic. Amazon's service always good.</v>
      </c>
    </row>
    <row r="1057">
      <c r="A1057" s="1">
        <v>5.0</v>
      </c>
      <c r="B1057" s="1" t="s">
        <v>1057</v>
      </c>
      <c r="C1057" t="str">
        <f>IFERROR(__xludf.DUMMYFUNCTION("GOOGLETRANSLATE(B1057, ""zh"", ""en"")"),"0.4L mug price a little expensive, good insulation effect")</f>
        <v>0.4L mug price a little expensive, good insulation effect</v>
      </c>
    </row>
    <row r="1058">
      <c r="A1058" s="1">
        <v>5.0</v>
      </c>
      <c r="B1058" s="1" t="s">
        <v>1058</v>
      </c>
      <c r="C1058" t="str">
        <f>IFERROR(__xludf.DUMMYFUNCTION("GOOGLETRANSLATE(B1058, ""zh"", ""en"")"),"Quality good quality is quite good spoon, polished quite beautiful, quite perfect spoon, I quite like it, I give praise!")</f>
        <v>Quality good quality is quite good spoon, polished quite beautiful, quite perfect spoon, I quite like it, I give praise!</v>
      </c>
    </row>
    <row r="1059">
      <c r="A1059" s="1">
        <v>5.0</v>
      </c>
      <c r="B1059" s="1" t="s">
        <v>1059</v>
      </c>
      <c r="C1059" t="str">
        <f>IFERROR(__xludf.DUMMYFUNCTION("GOOGLETRANSLATE(B1059, ""zh"", ""en"")"),"Good taste and easy to brew tastes really good - can be directly coupled with the white water as a drink. Personal experience is to drink in the morning before and after exercise, drink better at night.")</f>
        <v>Good taste and easy to brew tastes really good - can be directly coupled with the white water as a drink. Personal experience is to drink in the morning before and after exercise, drink better at night.</v>
      </c>
    </row>
    <row r="1060">
      <c r="A1060" s="1">
        <v>5.0</v>
      </c>
      <c r="B1060" s="1" t="s">
        <v>1060</v>
      </c>
      <c r="C1060" t="str">
        <f>IFERROR(__xludf.DUMMYFUNCTION("GOOGLETRANSLATE(B1060, ""zh"", ""en"")"),"Good style is partial fat type, but the fabric is really comfortable, recommended.")</f>
        <v>Good style is partial fat type, but the fabric is really comfortable, recommended.</v>
      </c>
    </row>
    <row r="1061">
      <c r="A1061" s="1">
        <v>2.0</v>
      </c>
      <c r="B1061" s="1" t="s">
        <v>1061</v>
      </c>
      <c r="C1061" t="str">
        <f>IFERROR(__xludf.DUMMYFUNCTION("GOOGLETRANSLATE(B1061, ""zh"", ""en"")"),"Return a lot of trouble, but also to print their own invoice and return label collar open and found bloodstains, decisive return!")</f>
        <v>Return a lot of trouble, but also to print their own invoice and return label collar open and found bloodstains, decisive return!</v>
      </c>
    </row>
    <row r="1062">
      <c r="A1062" s="1">
        <v>3.0</v>
      </c>
      <c r="B1062" s="1" t="s">
        <v>1062</v>
      </c>
      <c r="C1062" t="str">
        <f>IFERROR(__xludf.DUMMYFUNCTION("GOOGLETRANSLATE(B1062, ""zh"", ""en"")"),"XL bought a set before the wrong size, the repeat purchase, the result is much larger. Helpless buy a set of L.")</f>
        <v>XL bought a set before the wrong size, the repeat purchase, the result is much larger. Helpless buy a set of L.</v>
      </c>
    </row>
    <row r="1063">
      <c r="A1063" s="1">
        <v>3.0</v>
      </c>
      <c r="B1063" s="1" t="s">
        <v>1063</v>
      </c>
      <c r="C1063" t="str">
        <f>IFERROR(__xludf.DUMMYFUNCTION("GOOGLETRANSLATE(B1063, ""zh"", ""en"")"),"Multimedia listen to over 799 non struggling brand new, there are 702 low buy, order two days after prices rose to 1K, do not understand that the Amazon price movements, do not want to get our hands on the speaker anyway, determined to be licensed, each t"&amp;"erm performance is very good, with low frequency, like most people say it is not too cloudy boom ears. 20,150,524 additional low-frequency performance headache, back")</f>
        <v>Multimedia listen to over 799 non struggling brand new, there are 702 low buy, order two days after prices rose to 1K, do not understand that the Amazon price movements, do not want to get our hands on the speaker anyway, determined to be licensed, each term performance is very good, with low frequency, like most people say it is not too cloudy boom ears. 20,150,524 additional low-frequency performance headache, back</v>
      </c>
    </row>
    <row r="1064">
      <c r="A1064" s="1">
        <v>3.0</v>
      </c>
      <c r="B1064" s="1" t="s">
        <v>1064</v>
      </c>
      <c r="C1064" t="str">
        <f>IFERROR(__xludf.DUMMYFUNCTION("GOOGLETRANSLATE(B1064, ""zh"", ""en"")"),"When the price is too cheap to buy, but really great, absolutely can not wear")</f>
        <v>When the price is too cheap to buy, but really great, absolutely can not wear</v>
      </c>
    </row>
    <row r="1065">
      <c r="A1065" s="1">
        <v>1.0</v>
      </c>
      <c r="B1065" s="1" t="s">
        <v>1065</v>
      </c>
      <c r="C1065" t="str">
        <f>IFERROR(__xludf.DUMMYFUNCTION("GOOGLETRANSLATE(B1065, ""zh"", ""en"")"),"Mishap battery packaging is very good, the Japanese came in the mail, receipt of goods under trial, actually no electricity. . . First encounter new electronic products is actually no electricity. Spent two days, electricity is flawed, put useless day, at"&amp;" night to bring want to hear, actually dead. . . Also shut down power? ? ? Spit again bad life, full of electricity at night, then the next day, absolutely not boot, too much garbage")</f>
        <v>Mishap battery packaging is very good, the Japanese came in the mail, receipt of goods under trial, actually no electricity. . . First encounter new electronic products is actually no electricity. Spent two days, electricity is flawed, put useless day, at night to bring want to hear, actually dead. . . Also shut down power? ? ? Spit again bad life, full of electricity at night, then the next day, absolutely not boot, too much garbage</v>
      </c>
    </row>
    <row r="1066">
      <c r="A1066" s="1">
        <v>1.0</v>
      </c>
      <c r="B1066" s="1" t="s">
        <v>1066</v>
      </c>
      <c r="C1066" t="str">
        <f>IFERROR(__xludf.DUMMYFUNCTION("GOOGLETRANSLATE(B1066, ""zh"", ""en"")"),"You pay for leather shoes two are not the same, color color, work two are not the same, obviously a rough dry, wondering whether genuine, much worse quality than the domestic counter.")</f>
        <v>You pay for leather shoes two are not the same, color color, work two are not the same, obviously a rough dry, wondering whether genuine, much worse quality than the domestic counter.</v>
      </c>
    </row>
    <row r="1067">
      <c r="A1067" s="1">
        <v>4.0</v>
      </c>
      <c r="B1067" s="1" t="s">
        <v>1067</v>
      </c>
      <c r="C1067" t="str">
        <f>IFERROR(__xludf.DUMMYFUNCTION("GOOGLETRANSLATE(B1067, ""zh"", ""en"")"),"Some also can wear shoes slip sole is not thick, the general feeling of comfort, the overall feeling okay.")</f>
        <v>Some also can wear shoes slip sole is not thick, the general feeling of comfort, the overall feeling okay.</v>
      </c>
    </row>
    <row r="1068">
      <c r="A1068" s="1">
        <v>4.0</v>
      </c>
      <c r="B1068" s="1" t="s">
        <v>1068</v>
      </c>
      <c r="C1068" t="str">
        <f>IFERROR(__xludf.DUMMYFUNCTION("GOOGLETRANSLATE(B1068, ""zh"", ""en"")"),"T-shirts lenient than the domestic version of the US version to buy a T-shirt, is indeed better than expected large, I 173cm, 66-67kg, shoulder and chest clothes are too big. Usually the domestic version of adidasT shirt to wear M (175/96), nikeT shirt fi"&amp;"t to wear M, L loose, for friends as a reference.")</f>
        <v>T-shirts lenient than the domestic version of the US version to buy a T-shirt, is indeed better than expected large, I 173cm, 66-67kg, shoulder and chest clothes are too big. Usually the domestic version of adidasT shirt to wear M (175/96), nikeT shirt fit to wear M, L loose, for friends as a reference.</v>
      </c>
    </row>
    <row r="1069">
      <c r="A1069" s="1">
        <v>4.0</v>
      </c>
      <c r="B1069" s="1" t="s">
        <v>1069</v>
      </c>
      <c r="C1069" t="str">
        <f>IFERROR(__xludf.DUMMYFUNCTION("GOOGLETRANSLATE(B1069, ""zh"", ""en"")"),"Delivery speed is very fast, but the packaging a bit shabby cheap and affordable, is genuine")</f>
        <v>Delivery speed is very fast, but the packaging a bit shabby cheap and affordable, is genuine</v>
      </c>
    </row>
    <row r="1070">
      <c r="A1070" s="1">
        <v>4.0</v>
      </c>
      <c r="B1070" s="1" t="s">
        <v>1070</v>
      </c>
      <c r="C1070" t="str">
        <f>IFERROR(__xludf.DUMMYFUNCTION("GOOGLETRANSLATE(B1070, ""zh"", ""en"")"),"Light Light is really light, like wearing, but the front did a bump, not to wear tight outside. .")</f>
        <v>Light Light is really light, like wearing, but the front did a bump, not to wear tight outside. .</v>
      </c>
    </row>
    <row r="1071">
      <c r="A1071" s="1">
        <v>4.0</v>
      </c>
      <c r="B1071" s="1" t="s">
        <v>1071</v>
      </c>
      <c r="C1071" t="str">
        <f>IFERROR(__xludf.DUMMYFUNCTION("GOOGLETRANSLATE(B1071, ""zh"", ""en"")"),"Groin very fat leg type well, substantially straight legs. But a lot of thigh is too large, suitable for large buttocks, thighs thick root of people it ......")</f>
        <v>Groin very fat leg type well, substantially straight legs. But a lot of thigh is too large, suitable for large buttocks, thighs thick root of people it ......</v>
      </c>
    </row>
    <row r="1072">
      <c r="A1072" s="1">
        <v>5.0</v>
      </c>
      <c r="B1072" s="1" t="s">
        <v>1072</v>
      </c>
      <c r="C1072" t="str">
        <f>IFERROR(__xludf.DUMMYFUNCTION("GOOGLETRANSLATE(B1072, ""zh"", ""en"")"),"Recommendable down jacket to get our hands on feel not feel good, very light clothes, fabrics and domestic Down definitely not the same, delicate and flexible. Moderate size, 185/80, L code is appropriate, no bloated feeling.")</f>
        <v>Recommendable down jacket to get our hands on feel not feel good, very light clothes, fabrics and domestic Down definitely not the same, delicate and flexible. Moderate size, 185/80, L code is appropriate, no bloated feeling.</v>
      </c>
    </row>
    <row r="1073">
      <c r="A1073" s="1">
        <v>5.0</v>
      </c>
      <c r="B1073" s="1" t="s">
        <v>1073</v>
      </c>
      <c r="C1073" t="str">
        <f>IFERROR(__xludf.DUMMYFUNCTION("GOOGLETRANSLATE(B1073, ""zh"", ""en"")"),"Some say that they refer to: skinny legs, feet normal, flat shoes Clarks 4.5 yards; let me talk about shoes: quality is no problem, good shoes, seemed very thin legs, did not smooth and slightly in easy to wear off, but before also through similar shoes, "&amp;"so do not feel this is a problem, no foot wear phenomenon, this I bought five yards, the width of the right front shoe and slightly empty (a bit bigger)! Refer to like!")</f>
        <v>Some say that they refer to: skinny legs, feet normal, flat shoes Clarks 4.5 yards; let me talk about shoes: quality is no problem, good shoes, seemed very thin legs, did not smooth and slightly in easy to wear off, but before also through similar shoes, so do not feel this is a problem, no foot wear phenomenon, this I bought five yards, the width of the right front shoe and slightly empty (a bit bigger)! Refer to like!</v>
      </c>
    </row>
    <row r="1074">
      <c r="A1074" s="1">
        <v>5.0</v>
      </c>
      <c r="B1074" s="1" t="s">
        <v>1074</v>
      </c>
      <c r="C1074" t="str">
        <f>IFERROR(__xludf.DUMMYFUNCTION("GOOGLETRANSLATE(B1074, ""zh"", ""en"")"),"good-looking, practical, the price is too cheap")</f>
        <v>good-looking, practical, the price is too cheap</v>
      </c>
    </row>
    <row r="1075">
      <c r="A1075" s="1">
        <v>5.0</v>
      </c>
      <c r="B1075" s="1" t="s">
        <v>1075</v>
      </c>
      <c r="C1075" t="str">
        <f>IFERROR(__xludf.DUMMYFUNCTION("GOOGLETRANSLATE(B1075, ""zh"", ""en"")"),"Good good clothes, thick packaging carefully.")</f>
        <v>Good good clothes, thick packaging carefully.</v>
      </c>
    </row>
    <row r="1076">
      <c r="A1076" s="1">
        <v>5.0</v>
      </c>
      <c r="B1076" s="1" t="s">
        <v>1076</v>
      </c>
      <c r="C1076" t="str">
        <f>IFERROR(__xludf.DUMMYFUNCTION("GOOGLETRANSLATE(B1076, ""zh"", ""en"")"),"Pregnancy pretty good stockpile, has not yet begun to use, good packaging, logistics quickly.")</f>
        <v>Pregnancy pretty good stockpile, has not yet begun to use, good packaging, logistics quickly.</v>
      </c>
    </row>
    <row r="1077">
      <c r="A1077" s="1">
        <v>5.0</v>
      </c>
      <c r="B1077" s="1" t="s">
        <v>1077</v>
      </c>
      <c r="C1077" t="str">
        <f>IFERROR(__xludf.DUMMYFUNCTION("GOOGLETRANSLATE(B1077, ""zh"", ""en"")"),"Very good buy for his daughter's very nice")</f>
        <v>Very good buy for his daughter's very nice</v>
      </c>
    </row>
    <row r="1078">
      <c r="A1078" s="1">
        <v>5.0</v>
      </c>
      <c r="B1078" s="1" t="s">
        <v>1078</v>
      </c>
      <c r="C1078" t="str">
        <f>IFERROR(__xludf.DUMMYFUNCTION("GOOGLETRANSLATE(B1078, ""zh"", ""en"")"),"Reasonable price excellent, soft cotton series of small thickness, no fluorescent agent, together with very ease, though small thickness, winter use is also good, the price is right.")</f>
        <v>Reasonable price excellent, soft cotton series of small thickness, no fluorescent agent, together with very ease, though small thickness, winter use is also good, the price is right.</v>
      </c>
    </row>
    <row r="1079">
      <c r="A1079" s="1">
        <v>5.0</v>
      </c>
      <c r="B1079" s="1" t="s">
        <v>1079</v>
      </c>
      <c r="C1079" t="str">
        <f>IFERROR(__xludf.DUMMYFUNCTION("GOOGLETRANSLATE(B1079, ""zh"", ""en"")"),"Do not evaluate the quality from the past, do not know how many wasted points, points can change money now know, they should look carefully evaluated, then I put these words to copy to go, both to earn points, but also the easy way, where are copied to wh"&amp;"ich, most importantly, do not seriously review, do not think how much worse word, sent directly to it, recommend it to everyone")</f>
        <v>Do not evaluate the quality from the past, do not know how many wasted points, points can change money now know, they should look carefully evaluated, then I put these words to copy to go, both to earn points, but also the easy way, where are copied to which, most importantly, do not seriously review, do not think how much worse word, sent directly to it, recommend it to everyone</v>
      </c>
    </row>
    <row r="1080">
      <c r="A1080" s="1">
        <v>5.0</v>
      </c>
      <c r="B1080" s="1" t="s">
        <v>1080</v>
      </c>
      <c r="C1080" t="str">
        <f>IFERROR(__xludf.DUMMYFUNCTION("GOOGLETRANSLATE(B1080, ""zh"", ""en"")"),"In fact, the liner can be with the same brand of jacket to cover, in fact, is very soft and comfortable interior with the same brand can Jackets for cover, very soft and comfortable")</f>
        <v>In fact, the liner can be with the same brand of jacket to cover, in fact, is very soft and comfortable interior with the same brand can Jackets for cover, very soft and comfortable</v>
      </c>
    </row>
    <row r="1081">
      <c r="A1081" s="1">
        <v>5.0</v>
      </c>
      <c r="B1081" s="1" t="s">
        <v>1081</v>
      </c>
      <c r="C1081" t="str">
        <f>IFERROR(__xludf.DUMMYFUNCTION("GOOGLETRANSLATE(B1081, ""zh"", ""en"")"),"Something good used once, and face the results were good. However socket have to change my own, or do not have a ground wire leakage protection.")</f>
        <v>Something good used once, and face the results were good. However socket have to change my own, or do not have a ground wire leakage protection.</v>
      </c>
    </row>
    <row r="1082">
      <c r="A1082" s="1">
        <v>5.0</v>
      </c>
      <c r="B1082" s="1" t="s">
        <v>1082</v>
      </c>
      <c r="C1082" t="str">
        <f>IFERROR(__xludf.DUMMYFUNCTION("GOOGLETRANSLATE(B1082, ""zh"", ""en"")"),"Good to help people buy, the European version number or a big point, the packaging is not damaged, no creases shoes, wear comfortable, also looked quite nice, quite handsome")</f>
        <v>Good to help people buy, the European version number or a big point, the packaging is not damaged, no creases shoes, wear comfortable, also looked quite nice, quite handsome</v>
      </c>
    </row>
    <row r="1083">
      <c r="A1083" s="1">
        <v>5.0</v>
      </c>
      <c r="B1083" s="1" t="s">
        <v>1083</v>
      </c>
      <c r="C1083" t="str">
        <f>IFERROR(__xludf.DUMMYFUNCTION("GOOGLETRANSLATE(B1083, ""zh"", ""en"")"),"Oh good very light, comfortable to wear which, 173/62 S code for wear")</f>
        <v>Oh good very light, comfortable to wear which, 173/62 S code for wear</v>
      </c>
    </row>
    <row r="1084">
      <c r="A1084" s="1">
        <v>5.0</v>
      </c>
      <c r="B1084" s="1" t="s">
        <v>1084</v>
      </c>
      <c r="C1084" t="str">
        <f>IFERROR(__xludf.DUMMYFUNCTION("GOOGLETRANSLATE(B1084, ""zh"", ""en"")"),"Good color beautiful, like daughter")</f>
        <v>Good color beautiful, like daughter</v>
      </c>
    </row>
    <row r="1085">
      <c r="A1085" s="1">
        <v>5.0</v>
      </c>
      <c r="B1085" s="1" t="s">
        <v>1085</v>
      </c>
      <c r="C1085" t="str">
        <f>IFERROR(__xludf.DUMMYFUNCTION("GOOGLETRANSLATE(B1085, ""zh"", ""en"")"),"No outdoor 2-12 degrees, not Wu feet. But the number of large and small shoes.")</f>
        <v>No outdoor 2-12 degrees, not Wu feet. But the number of large and small shoes.</v>
      </c>
    </row>
    <row r="1086">
      <c r="A1086" s="1">
        <v>5.0</v>
      </c>
      <c r="B1086" s="1" t="s">
        <v>1086</v>
      </c>
      <c r="C1086" t="str">
        <f>IFERROR(__xludf.DUMMYFUNCTION("GOOGLETRANSLATE(B1086, ""zh"", ""en"")"),"Braun cutter head is useful, razor and the new has come, thumbs up! !")</f>
        <v>Braun cutter head is useful, razor and the new has come, thumbs up! !</v>
      </c>
    </row>
    <row r="1087">
      <c r="A1087" s="1">
        <v>5.0</v>
      </c>
      <c r="B1087" s="1" t="s">
        <v>1087</v>
      </c>
      <c r="C1087" t="str">
        <f>IFERROR(__xludf.DUMMYFUNCTION("GOOGLETRANSLATE(B1087, ""zh"", ""en"")"),"Version looks good ah very appropriate size, China bought 36 yards of 4.5M US Big Kid just right, very comfortable, just do not know will not be too hot in summer wear ha, is not easy to take the dark green uniforms, everything else well.")</f>
        <v>Version looks good ah very appropriate size, China bought 36 yards of 4.5M US Big Kid just right, very comfortable, just do not know will not be too hot in summer wear ha, is not easy to take the dark green uniforms, everything else well.</v>
      </c>
    </row>
    <row r="1088">
      <c r="A1088" s="1">
        <v>5.0</v>
      </c>
      <c r="B1088" s="1" t="s">
        <v>1088</v>
      </c>
      <c r="C1088" t="str">
        <f>IFERROR(__xludf.DUMMYFUNCTION("GOOGLETRANSLATE(B1088, ""zh"", ""en"")"),"Yes NB10.5 appropriate, before puma10.5 palm a little tight, wear will be good, second time to buy.")</f>
        <v>Yes NB10.5 appropriate, before puma10.5 palm a little tight, wear will be good, second time to buy.</v>
      </c>
    </row>
    <row r="1089">
      <c r="A1089" s="1">
        <v>5.0</v>
      </c>
      <c r="B1089" s="1" t="s">
        <v>1089</v>
      </c>
      <c r="C1089" t="str">
        <f>IFERROR(__xludf.DUMMYFUNCTION("GOOGLETRANSLATE(B1089, ""zh"", ""en"")"),"Darker kind. Physical color dark gray, shoe a little frosted effect.")</f>
        <v>Darker kind. Physical color dark gray, shoe a little frosted effect.</v>
      </c>
    </row>
    <row r="1090">
      <c r="A1090" s="1">
        <v>5.0</v>
      </c>
      <c r="B1090" s="1" t="s">
        <v>1090</v>
      </c>
      <c r="C1090" t="str">
        <f>IFERROR(__xludf.DUMMYFUNCTION("GOOGLETRANSLATE(B1090, ""zh"", ""en"")"),"Very worthwhile! Buy two! 300 bought both pretty good like a good deal!")</f>
        <v>Very worthwhile! Buy two! 300 bought both pretty good like a good deal!</v>
      </c>
    </row>
    <row r="1091">
      <c r="A1091" s="1">
        <v>5.0</v>
      </c>
      <c r="B1091" s="1" t="s">
        <v>1091</v>
      </c>
      <c r="C1091" t="str">
        <f>IFERROR(__xludf.DUMMYFUNCTION("GOOGLETRANSLATE(B1091, ""zh"", ""en"")"),"Very very comfortable proper fit, workout wear very fit!")</f>
        <v>Very very comfortable proper fit, workout wear very fit!</v>
      </c>
    </row>
    <row r="1092">
      <c r="A1092" s="1">
        <v>5.0</v>
      </c>
      <c r="B1092" s="1" t="s">
        <v>1092</v>
      </c>
      <c r="C1092" t="str">
        <f>IFERROR(__xludf.DUMMYFUNCTION("GOOGLETRANSLATE(B1092, ""zh"", ""en"")"),"Very nice-kind look good, high cost of transportation quickly, received a week, Le bid very high")</f>
        <v>Very nice-kind look good, high cost of transportation quickly, received a week, Le bid very high</v>
      </c>
    </row>
    <row r="1093">
      <c r="A1093" s="1">
        <v>5.0</v>
      </c>
      <c r="B1093" s="1" t="s">
        <v>1093</v>
      </c>
      <c r="C1093" t="str">
        <f>IFERROR(__xludf.DUMMYFUNCTION("GOOGLETRANSLATE(B1093, ""zh"", ""en"")"),"Wear very comfortable shoes are very light, very comfortable to wear")</f>
        <v>Wear very comfortable shoes are very light, very comfortable to wear</v>
      </c>
    </row>
    <row r="1094">
      <c r="A1094" s="1">
        <v>2.0</v>
      </c>
      <c r="B1094" s="1" t="s">
        <v>1094</v>
      </c>
      <c r="C1094" t="str">
        <f>IFERROR(__xludf.DUMMYFUNCTION("GOOGLETRANSLATE(B1094, ""zh"", ""en"")"),"Suitable for small wave of people do not sling police, not suitable for large waves, not quite")</f>
        <v>Suitable for small wave of people do not sling police, not suitable for large waves, not quite</v>
      </c>
    </row>
    <row r="1095">
      <c r="A1095" s="1">
        <v>3.0</v>
      </c>
      <c r="B1095" s="1" t="s">
        <v>1095</v>
      </c>
      <c r="C1095" t="str">
        <f>IFERROR(__xludf.DUMMYFUNCTION("GOOGLETRANSLATE(B1095, ""zh"", ""en"")"),"Packaging bad packaging is too simple, do not have any additional packaging to direct a cardboard box. , While there have been pressed, not round. Pot handle too loose, and they have tightened the screws.")</f>
        <v>Packaging bad packaging is too simple, do not have any additional packaging to direct a cardboard box. , While there have been pressed, not round. Pot handle too loose, and they have tightened the screws.</v>
      </c>
    </row>
    <row r="1096">
      <c r="A1096" s="1">
        <v>3.0</v>
      </c>
      <c r="B1096" s="1" t="s">
        <v>1096</v>
      </c>
      <c r="C1096" t="str">
        <f>IFERROR(__xludf.DUMMYFUNCTION("GOOGLETRANSLATE(B1096, ""zh"", ""en"")"),"Quality is generally very good looking hat is not wearing a long red sun may sweat")</f>
        <v>Quality is generally very good looking hat is not wearing a long red sun may sweat</v>
      </c>
    </row>
    <row r="1097">
      <c r="A1097" s="1">
        <v>1.0</v>
      </c>
      <c r="B1097" s="1" t="s">
        <v>1097</v>
      </c>
      <c r="C1097" t="str">
        <f>IFERROR(__xludf.DUMMYFUNCTION("GOOGLETRANSLATE(B1097, ""zh"", ""en"")"),"Bluetooth can not search! Various attempts have Bluetooth are not search, can not find a place to ask customer service, a large head.")</f>
        <v>Bluetooth can not search! Various attempts have Bluetooth are not search, can not find a place to ask customer service, a large head.</v>
      </c>
    </row>
    <row r="1098">
      <c r="A1098" s="1">
        <v>1.0</v>
      </c>
      <c r="B1098" s="1" t="s">
        <v>1098</v>
      </c>
      <c r="C1098" t="str">
        <f>IFERROR(__xludf.DUMMYFUNCTION("GOOGLETRANSLATE(B1098, ""zh"", ""en"")"),"Nobody got nothing to feel lights shine it? Lighting function obvious defects, can not see the time in a dark place.")</f>
        <v>Nobody got nothing to feel lights shine it? Lighting function obvious defects, can not see the time in a dark place.</v>
      </c>
    </row>
    <row r="1099">
      <c r="A1099" s="1">
        <v>4.0</v>
      </c>
      <c r="B1099" s="1" t="s">
        <v>1099</v>
      </c>
      <c r="C1099" t="str">
        <f>IFERROR(__xludf.DUMMYFUNCTION("GOOGLETRANSLATE(B1099, ""zh"", ""en"")"),"This retro fancy table for a long time! + Easy to use, retro styling, especially like spring bracelet. - glass surface is not easily scratched.")</f>
        <v>This retro fancy table for a long time! + Easy to use, retro styling, especially like spring bracelet. - glass surface is not easily scratched.</v>
      </c>
    </row>
    <row r="1100">
      <c r="A1100" s="1">
        <v>4.0</v>
      </c>
      <c r="B1100" s="1" t="s">
        <v>1100</v>
      </c>
      <c r="C1100" t="str">
        <f>IFERROR(__xludf.DUMMYFUNCTION("GOOGLETRANSLATE(B1100, ""zh"", ""en"")"),"It can also be used with ...... can be. Is a little bit small, enough for two people. No lid ......")</f>
        <v>It can also be used with ...... can be. Is a little bit small, enough for two people. No lid ......</v>
      </c>
    </row>
    <row r="1101">
      <c r="A1101" s="1">
        <v>4.0</v>
      </c>
      <c r="B1101" s="1" t="s">
        <v>1101</v>
      </c>
      <c r="C1101" t="str">
        <f>IFERROR(__xludf.DUMMYFUNCTION("GOOGLETRANSLATE(B1101, ""zh"", ""en"")"),"Yan high-value, high-quality color value is slightly flawed, but still have the flavor, burn 4,5 times dare to drink water.")</f>
        <v>Yan high-value, high-quality color value is slightly flawed, but still have the flavor, burn 4,5 times dare to drink water.</v>
      </c>
    </row>
    <row r="1102">
      <c r="A1102" s="1">
        <v>4.0</v>
      </c>
      <c r="B1102" s="1" t="s">
        <v>1102</v>
      </c>
      <c r="C1102" t="str">
        <f>IFERROR(__xludf.DUMMYFUNCTION("GOOGLETRANSLATE(B1102, ""zh"", ""en"")"),"Good quality too large, cost-effective - is beautiful code is too large, domestic wear m, s have to buy the US version of")</f>
        <v>Good quality too large, cost-effective - is beautiful code is too large, domestic wear m, s have to buy the US version of</v>
      </c>
    </row>
    <row r="1103">
      <c r="A1103" s="1">
        <v>4.0</v>
      </c>
      <c r="B1103" s="1" t="s">
        <v>1103</v>
      </c>
      <c r="C1103" t="str">
        <f>IFERROR(__xludf.DUMMYFUNCTION("GOOGLETRANSLATE(B1103, ""zh"", ""en"")"),"Can also be good quality, cost-effective")</f>
        <v>Can also be good quality, cost-effective</v>
      </c>
    </row>
    <row r="1104">
      <c r="A1104" s="1">
        <v>5.0</v>
      </c>
      <c r="B1104" s="1" t="s">
        <v>1104</v>
      </c>
      <c r="C1104" t="str">
        <f>IFERROR(__xludf.DUMMYFUNCTION("GOOGLETRANSLATE(B1104, ""zh"", ""en"")"),"Good use really good, great, it is genuine")</f>
        <v>Good use really good, great, it is genuine</v>
      </c>
    </row>
    <row r="1105">
      <c r="A1105" s="1">
        <v>5.0</v>
      </c>
      <c r="B1105" s="1" t="s">
        <v>1105</v>
      </c>
      <c r="C1105" t="str">
        <f>IFERROR(__xludf.DUMMYFUNCTION("GOOGLETRANSLATE(B1105, ""zh"", ""en"")"),"Rapid delivery of goods shipped quickly satisfied Amazon courier service is good, the color of the pants a little bit deep, but the size is very appropriate, I 176 high 195 pounds heavier short legs ha ha, 38W30 just")</f>
        <v>Rapid delivery of goods shipped quickly satisfied Amazon courier service is good, the color of the pants a little bit deep, but the size is very appropriate, I 176 high 195 pounds heavier short legs ha ha, 38W30 just</v>
      </c>
    </row>
    <row r="1106">
      <c r="A1106" s="1">
        <v>5.0</v>
      </c>
      <c r="B1106" s="1" t="s">
        <v>1106</v>
      </c>
      <c r="C1106" t="str">
        <f>IFERROR(__xludf.DUMMYFUNCTION("GOOGLETRANSLATE(B1106, ""zh"", ""en"")"),"Kitchen artifact! Pretty easy to use! Regret not buying earlier, it will save a lot of things. Only the United States is not in place is a bit of a machine in the details, such as when there are manufacturing parts of the residual metal chips, etc., be su"&amp;"re to carefully clean up")</f>
        <v>Kitchen artifact! Pretty easy to use! Regret not buying earlier, it will save a lot of things. Only the United States is not in place is a bit of a machine in the details, such as when there are manufacturing parts of the residual metal chips, etc., be sure to carefully clean up</v>
      </c>
    </row>
    <row r="1107">
      <c r="A1107" s="1">
        <v>5.0</v>
      </c>
      <c r="B1107" s="1" t="s">
        <v>1107</v>
      </c>
      <c r="C1107" t="str">
        <f>IFERROR(__xludf.DUMMYFUNCTION("GOOGLETRANSLATE(B1107, ""zh"", ""en"")"),"Well I tried, beat flour, powdered sugar is to force.")</f>
        <v>Well I tried, beat flour, powdered sugar is to force.</v>
      </c>
    </row>
    <row r="1108">
      <c r="A1108" s="1">
        <v>5.0</v>
      </c>
      <c r="B1108" s="1" t="s">
        <v>1108</v>
      </c>
      <c r="C1108" t="str">
        <f>IFERROR(__xludf.DUMMYFUNCTION("GOOGLETRANSLATE(B1108, ""zh"", ""en"")"),"Big looks good, but wearing big 37")</f>
        <v>Big looks good, but wearing big 37</v>
      </c>
    </row>
    <row r="1109">
      <c r="A1109" s="1">
        <v>5.0</v>
      </c>
      <c r="B1109" s="1" t="s">
        <v>1109</v>
      </c>
      <c r="C1109" t="str">
        <f>IFERROR(__xludf.DUMMYFUNCTION("GOOGLETRANSLATE(B1109, ""zh"", ""en"")"),"Good value for money, slender type are, 192 / 68kg, wearing appropriate")</f>
        <v>Good value for money, slender type are, 192 / 68kg, wearing appropriate</v>
      </c>
    </row>
    <row r="1110">
      <c r="A1110" s="1">
        <v>5.0</v>
      </c>
      <c r="B1110" s="1" t="s">
        <v>1110</v>
      </c>
      <c r="C1110" t="str">
        <f>IFERROR(__xludf.DUMMYFUNCTION("GOOGLETRANSLATE(B1110, ""zh"", ""en"")"),"Quite comfortable 173,170LBS, often Jianli, you can completely control the US version. recommend")</f>
        <v>Quite comfortable 173,170LBS, often Jianli, you can completely control the US version. recommend</v>
      </c>
    </row>
    <row r="1111">
      <c r="A1111" s="1">
        <v>5.0</v>
      </c>
      <c r="B1111" s="1" t="s">
        <v>1111</v>
      </c>
      <c r="C1111" t="str">
        <f>IFERROR(__xludf.DUMMYFUNCTION("GOOGLETRANSLATE(B1111, ""zh"", ""en"")"),"Very satisfied, in addition to significant net stroke do not understand the logistics head is quite big, express slightly faster than the website shows, but the site shows the delivery trip is incomplete, do not understand why. Fast copy speeds of 40 a fe"&amp;"w times, when 20 a few slow, other capacity more than 2.7 point, nothing else satisfied. When the video resource library, and slowly with, come back to comment.")</f>
        <v>Very satisfied, in addition to significant net stroke do not understand the logistics head is quite big, express slightly faster than the website shows, but the site shows the delivery trip is incomplete, do not understand why. Fast copy speeds of 40 a few times, when 20 a few slow, other capacity more than 2.7 point, nothing else satisfied. When the video resource library, and slowly with, come back to comment.</v>
      </c>
    </row>
    <row r="1112">
      <c r="A1112" s="1">
        <v>5.0</v>
      </c>
      <c r="B1112" s="1" t="s">
        <v>1112</v>
      </c>
      <c r="C1112" t="str">
        <f>IFERROR(__xludf.DUMMYFUNCTION("GOOGLETRANSLATE(B1112, ""zh"", ""en"")"),"Value for money! ! ! 1 F sharp, smooth writing, do not scrape on plain paper of A4 paper. I used before 78G, feeling too fine nib, some Zhise writing. This is not such a problem, but also the United States and Ling area around a bunch of separate, really "&amp;"very good.")</f>
        <v>Value for money! ! ! 1 F sharp, smooth writing, do not scrape on plain paper of A4 paper. I used before 78G, feeling too fine nib, some Zhise writing. This is not such a problem, but also the United States and Ling area around a bunch of separate, really very good.</v>
      </c>
    </row>
    <row r="1113">
      <c r="A1113" s="1">
        <v>5.0</v>
      </c>
      <c r="B1113" s="1" t="s">
        <v>1113</v>
      </c>
      <c r="C1113" t="str">
        <f>IFERROR(__xludf.DUMMYFUNCTION("GOOGLETRANSLATE(B1113, ""zh"", ""en"")"),"Big quality good, is too big, her husband 170cm, 70kg, buy M size, big in big trouble, trousers buy into 110 yuan, 120 yuan to send back freight needs, only to give fat father wore, the sum down, buy European version must wear their own country than usual"&amp;" small one yards")</f>
        <v>Big quality good, is too big, her husband 170cm, 70kg, buy M size, big in big trouble, trousers buy into 110 yuan, 120 yuan to send back freight needs, only to give fat father wore, the sum down, buy European version must wear their own country than usual small one yards</v>
      </c>
    </row>
    <row r="1114">
      <c r="A1114" s="1">
        <v>5.0</v>
      </c>
      <c r="B1114" s="1" t="s">
        <v>1114</v>
      </c>
      <c r="C1114" t="str">
        <f>IFERROR(__xludf.DUMMYFUNCTION("GOOGLETRANSLATE(B1114, ""zh"", ""en"")"),"Black snow red table, with play")</f>
        <v>Black snow red table, with play</v>
      </c>
    </row>
    <row r="1115">
      <c r="A1115" s="1">
        <v>5.0</v>
      </c>
      <c r="B1115" s="1" t="s">
        <v>1115</v>
      </c>
      <c r="C1115" t="str">
        <f>IFERROR(__xludf.DUMMYFUNCTION("GOOGLETRANSLATE(B1115, ""zh"", ""en"")"),"Yes, the value of the price of none, workmanship are good.")</f>
        <v>Yes, the value of the price of none, workmanship are good.</v>
      </c>
    </row>
    <row r="1116">
      <c r="A1116" s="1">
        <v>5.0</v>
      </c>
      <c r="B1116" s="1" t="s">
        <v>1116</v>
      </c>
      <c r="C1116" t="str">
        <f>IFERROR(__xludf.DUMMYFUNCTION("GOOGLETRANSLATE(B1116, ""zh"", ""en"")"),"Bought a lot of good times, the right size, the price is")</f>
        <v>Bought a lot of good times, the right size, the price is</v>
      </c>
    </row>
    <row r="1117">
      <c r="A1117" s="1">
        <v>5.0</v>
      </c>
      <c r="B1117" s="1" t="s">
        <v>1117</v>
      </c>
      <c r="C1117" t="str">
        <f>IFERROR(__xludf.DUMMYFUNCTION("GOOGLETRANSLATE(B1117, ""zh"", ""en"")"),"Japanese products are assured: &lt;div id = ""video-block-R2KJLXIAS4UA27"" class = ""a-section a-spacing-small a-spacing-top-mini video-block""&gt; &lt;/ div&gt; &lt;input type = ""hidden ""name ="" ""value ="" https://images-cn.ssl-images-amazon.com/images/I/91j82nCr5Q"&amp;"S.mp4 ""class ="" video-url ""&gt; &lt;input type ="" hidden ""name ="" ""value ="" https://images-cn.ssl-images-amazon.com/images/I/71ufSZZdkhS.png ""class ="" video-slate-img-url ""&gt; &amp; nbsp; shipping slightly faster installation cost point of mind I am a happ"&amp;"y man woman 😃")</f>
        <v>Japanese products are assured: &lt;div id = "video-block-R2KJLXIAS4UA27" class = "a-section a-spacing-small a-spacing-top-mini video-block"&gt; &lt;/ div&gt; &lt;input type = "hidden "name =" "value =" https://images-cn.ssl-images-amazon.com/images/I/91j82nCr5QS.mp4 "class =" video-url "&gt; &lt;input type =" hidden "name =" "value =" https://images-cn.ssl-images-amazon.com/images/I/71ufSZZdkhS.png "class =" video-slate-img-url "&gt; &amp; nbsp; shipping slightly faster installation cost point of mind I am a happy man woman 😃</v>
      </c>
    </row>
    <row r="1118">
      <c r="A1118" s="1">
        <v>5.0</v>
      </c>
      <c r="B1118" s="1" t="s">
        <v>1118</v>
      </c>
      <c r="C1118" t="str">
        <f>IFERROR(__xludf.DUMMYFUNCTION("GOOGLETRANSLATE(B1118, ""zh"", ""en"")"),"Good soles very soft, comfortable is very comfortable, a little stone hit the foot slightly")</f>
        <v>Good soles very soft, comfortable is very comfortable, a little stone hit the foot slightly</v>
      </c>
    </row>
    <row r="1119">
      <c r="A1119" s="1">
        <v>5.0</v>
      </c>
      <c r="B1119" s="1" t="s">
        <v>1119</v>
      </c>
      <c r="C1119" t="str">
        <f>IFERROR(__xludf.DUMMYFUNCTION("GOOGLETRANSLATE(B1119, ""zh"", ""en"")"),"Very heavy machines, color is very bright. It has helped, and face save a great deal. But no hook and surface coating, can not wash into a dishwasher.")</f>
        <v>Very heavy machines, color is very bright. It has helped, and face save a great deal. But no hook and surface coating, can not wash into a dishwasher.</v>
      </c>
    </row>
    <row r="1120">
      <c r="A1120" s="1">
        <v>5.0</v>
      </c>
      <c r="B1120" s="1" t="s">
        <v>1120</v>
      </c>
      <c r="C1120" t="str">
        <f>IFERROR(__xludf.DUMMYFUNCTION("GOOGLETRANSLATE(B1120, ""zh"", ""en"")"),"This package is good quality is very good, the right size.")</f>
        <v>This package is good quality is very good, the right size.</v>
      </c>
    </row>
    <row r="1121">
      <c r="A1121" s="1">
        <v>5.0</v>
      </c>
      <c r="B1121" s="1" t="s">
        <v>1121</v>
      </c>
      <c r="C1121" t="str">
        <f>IFERROR(__xludf.DUMMYFUNCTION("GOOGLETRANSLATE(B1121, ""zh"", ""en"")"),"satisfaction! Very much! Fine leather! Generous style was thin! Do not wear the foot!")</f>
        <v>satisfaction! Very much! Fine leather! Generous style was thin! Do not wear the foot!</v>
      </c>
    </row>
    <row r="1122">
      <c r="A1122" s="1">
        <v>5.0</v>
      </c>
      <c r="B1122" s="1" t="s">
        <v>1122</v>
      </c>
      <c r="C1122" t="str">
        <f>IFERROR(__xludf.DUMMYFUNCTION("GOOGLETRANSLATE(B1122, ""zh"", ""en"")"),"Perfect shopping very much, the price is right, a little bit small, is not the main xxl")</f>
        <v>Perfect shopping very much, the price is right, a little bit small, is not the main xxl</v>
      </c>
    </row>
    <row r="1123">
      <c r="A1123" s="1">
        <v>5.0</v>
      </c>
      <c r="B1123" s="1" t="s">
        <v>1123</v>
      </c>
      <c r="C1123" t="str">
        <f>IFERROR(__xludf.DUMMYFUNCTION("GOOGLETRANSLATE(B1123, ""zh"", ""en"")"),"Using the experience to buy a third. Because had periodontitis, so buy in units, with red teeth after a meal. Rechargeable batteries may be used, 1900mAh Panasonic battery, a full month use (red teeth twice a day).")</f>
        <v>Using the experience to buy a third. Because had periodontitis, so buy in units, with red teeth after a meal. Rechargeable batteries may be used, 1900mAh Panasonic battery, a full month use (red teeth twice a day).</v>
      </c>
    </row>
    <row r="1124">
      <c r="A1124" s="1">
        <v>5.0</v>
      </c>
      <c r="B1124" s="1" t="s">
        <v>1124</v>
      </c>
      <c r="C1124" t="str">
        <f>IFERROR(__xludf.DUMMYFUNCTION("GOOGLETRANSLATE(B1124, ""zh"", ""en"")"),"Recommended to buy with two friends, feeling and Japan did not buy the poor, but more expensive than Japan.")</f>
        <v>Recommended to buy with two friends, feeling and Japan did not buy the poor, but more expensive than Japan.</v>
      </c>
    </row>
    <row r="1125">
      <c r="A1125" s="1">
        <v>5.0</v>
      </c>
      <c r="B1125" s="1" t="s">
        <v>1125</v>
      </c>
      <c r="C1125" t="str">
        <f>IFERROR(__xludf.DUMMYFUNCTION("GOOGLETRANSLATE(B1125, ""zh"", ""en"")"),"Good packaging good Japanese pen, the pen is also good, as a gift best")</f>
        <v>Good packaging good Japanese pen, the pen is also good, as a gift best</v>
      </c>
    </row>
    <row r="1126">
      <c r="A1126" s="1">
        <v>2.0</v>
      </c>
      <c r="B1126" s="1" t="s">
        <v>1126</v>
      </c>
      <c r="C1126" t="str">
        <f>IFERROR(__xludf.DUMMYFUNCTION("GOOGLETRANSLATE(B1126, ""zh"", ""en"")"),"First time to buy overseas, overseas shopping are similar to those streams. But then, after the goods arrived, very disappointed! Dominican shoes are produced. There are a lot of scratches several perforation! Return too much trouble, and later apply for "&amp;"compensation. Say really, I processing speed as well as the policy of the Amazon is still unsatisfactory, but dissatisfied with the product!")</f>
        <v>First time to buy overseas, overseas shopping are similar to those streams. But then, after the goods arrived, very disappointed! Dominican shoes are produced. There are a lot of scratches several perforation! Return too much trouble, and later apply for compensation. Say really, I processing speed as well as the policy of the Amazon is still unsatisfactory, but dissatisfied with the product!</v>
      </c>
    </row>
    <row r="1127">
      <c r="A1127" s="1">
        <v>3.0</v>
      </c>
      <c r="B1127" s="1" t="s">
        <v>1127</v>
      </c>
      <c r="C1127" t="str">
        <f>IFERROR(__xludf.DUMMYFUNCTION("GOOGLETRANSLATE(B1127, ""zh"", ""en"")"),"Strawberry taste bad bad bad! Strawberry really does not taste good, to October 15 before the arrival of No. No. September 28 payment, too slow is too slow is too slow! ! ! Disappointed! ! !")</f>
        <v>Strawberry taste bad bad bad! Strawberry really does not taste good, to October 15 before the arrival of No. No. September 28 payment, too slow is too slow is too slow! ! ! Disappointed! ! !</v>
      </c>
    </row>
    <row r="1128">
      <c r="A1128" s="1">
        <v>3.0</v>
      </c>
      <c r="B1128" s="1" t="s">
        <v>1128</v>
      </c>
      <c r="C1128" t="str">
        <f>IFERROR(__xludf.DUMMYFUNCTION("GOOGLETRANSLATE(B1128, ""zh"", ""en"")"),"Legs are too fat to wear that type are not as big buttocks Tuicu me, Mrs. legs really too fat. If only for movement, without considering the nice words to buy. Not recommended")</f>
        <v>Legs are too fat to wear that type are not as big buttocks Tuicu me, Mrs. legs really too fat. If only for movement, without considering the nice words to buy. Not recommended</v>
      </c>
    </row>
    <row r="1129">
      <c r="A1129" s="1">
        <v>1.0</v>
      </c>
      <c r="B1129" s="1" t="s">
        <v>1129</v>
      </c>
      <c r="C1129" t="str">
        <f>IFERROR(__xludf.DUMMYFUNCTION("GOOGLETRANSLATE(B1129, ""zh"", ""en"")"),"Poor quality, with a month of bad quality is poor, with a bad month, but also their own freight Post a past repair. Customer service said they are not responsible for the warranty of goods purchased abroad so that they find businesses. After no longer buy"&amp;" things abroad in the purchase.")</f>
        <v>Poor quality, with a month of bad quality is poor, with a bad month, but also their own freight Post a past repair. Customer service said they are not responsible for the warranty of goods purchased abroad so that they find businesses. After no longer buy things abroad in the purchase.</v>
      </c>
    </row>
    <row r="1130">
      <c r="A1130" s="1">
        <v>1.0</v>
      </c>
      <c r="B1130" s="1" t="s">
        <v>1130</v>
      </c>
      <c r="C1130" t="str">
        <f>IFERROR(__xludf.DUMMYFUNCTION("GOOGLETRANSLATE(B1130, ""zh"", ""en"")"),"Leaking water tank with less than six months to start leaking tank, the bottom of the switch interface simply does not close tightly, we have a pool of water on the table after each use. Warranty can not can not replace the tank, can only make do with.")</f>
        <v>Leaking water tank with less than six months to start leaking tank, the bottom of the switch interface simply does not close tightly, we have a pool of water on the table after each use. Warranty can not can not replace the tank, can only make do with.</v>
      </c>
    </row>
    <row r="1131">
      <c r="A1131" s="1">
        <v>1.0</v>
      </c>
      <c r="B1131" s="1" t="s">
        <v>1131</v>
      </c>
      <c r="C1131" t="str">
        <f>IFERROR(__xludf.DUMMYFUNCTION("GOOGLETRANSLATE(B1131, ""zh"", ""en"")"),"Pacifier soft baby to accept it well with soft baby pacifier easy to accept what")</f>
        <v>Pacifier soft baby to accept it well with soft baby pacifier easy to accept what</v>
      </c>
    </row>
    <row r="1132">
      <c r="A1132" s="1">
        <v>4.0</v>
      </c>
      <c r="B1132" s="1" t="s">
        <v>1132</v>
      </c>
      <c r="C1132" t="str">
        <f>IFERROR(__xludf.DUMMYFUNCTION("GOOGLETRANSLATE(B1132, ""zh"", ""en"")"),"Overall looks pretty good. There was a very good friend to leave, bought a pen to send him; pen appearance looked very fine, plastic feel strong, thin carton feeling was not very good; he did not go with the hope that easy to use, he likes ; overall prett"&amp;"y good!")</f>
        <v>Overall looks pretty good. There was a very good friend to leave, bought a pen to send him; pen appearance looked very fine, plastic feel strong, thin carton feeling was not very good; he did not go with the hope that easy to use, he likes ; overall pretty good!</v>
      </c>
    </row>
    <row r="1133">
      <c r="A1133" s="1">
        <v>4.0</v>
      </c>
      <c r="B1133" s="1" t="s">
        <v>1133</v>
      </c>
      <c r="C1133" t="str">
        <f>IFERROR(__xludf.DUMMYFUNCTION("GOOGLETRANSLATE(B1133, ""zh"", ""en"")"),"Size is too large, trained, trained, trained, buy big friends, men and 180,140 votes in the upper body strong buy L, you should buy M's")</f>
        <v>Size is too large, trained, trained, trained, buy big friends, men and 180,140 votes in the upper body strong buy L, you should buy M's</v>
      </c>
    </row>
    <row r="1134">
      <c r="A1134" s="1">
        <v>4.0</v>
      </c>
      <c r="B1134" s="1" t="s">
        <v>1134</v>
      </c>
      <c r="C1134" t="str">
        <f>IFERROR(__xludf.DUMMYFUNCTION("GOOGLETRANSLATE(B1134, ""zh"", ""en"")"),"Wearing feel is not suitable for high instep, the shoes a little darker than the picture on the")</f>
        <v>Wearing feel is not suitable for high instep, the shoes a little darker than the picture on the</v>
      </c>
    </row>
    <row r="1135">
      <c r="A1135" s="1">
        <v>4.0</v>
      </c>
      <c r="B1135" s="1" t="s">
        <v>1135</v>
      </c>
      <c r="C1135" t="str">
        <f>IFERROR(__xludf.DUMMYFUNCTION("GOOGLETRANSLATE(B1135, ""zh"", ""en"")"),"Size suitable sleeve length, shoulder width a little wide, the length of the body, such that the waist! I 180 height, weight 75kg, belongs to the muscular body, for your reference")</f>
        <v>Size suitable sleeve length, shoulder width a little wide, the length of the body, such that the waist! I 180 height, weight 75kg, belongs to the muscular body, for your reference</v>
      </c>
    </row>
    <row r="1136">
      <c r="A1136" s="1">
        <v>4.0</v>
      </c>
      <c r="B1136" s="1" t="s">
        <v>1136</v>
      </c>
      <c r="C1136" t="str">
        <f>IFERROR(__xludf.DUMMYFUNCTION("GOOGLETRANSLATE(B1136, ""zh"", ""en"")"),"Can also be right, some thin material")</f>
        <v>Can also be right, some thin material</v>
      </c>
    </row>
    <row r="1137">
      <c r="A1137" s="1">
        <v>5.0</v>
      </c>
      <c r="B1137" s="1" t="s">
        <v>1137</v>
      </c>
      <c r="C1137" t="str">
        <f>IFERROR(__xludf.DUMMYFUNCTION("GOOGLETRANSLATE(B1137, ""zh"", ""en"")"),"Very good bright color, good quality. Children like.")</f>
        <v>Very good bright color, good quality. Children like.</v>
      </c>
    </row>
    <row r="1138">
      <c r="A1138" s="1">
        <v>5.0</v>
      </c>
      <c r="B1138" s="1" t="s">
        <v>1138</v>
      </c>
      <c r="C1138" t="str">
        <f>IFERROR(__xludf.DUMMYFUNCTION("GOOGLETRANSLATE(B1138, ""zh"", ""en"")"),"Things received, very little light! ! ! I do not know is not no foreign security patch? ? ? There are no big Diao explain! ! ! As! ! ! ! ! ! ! ! ! ! ! ! ! ! ! ! !")</f>
        <v>Things received, very little light! ! ! I do not know is not no foreign security patch? ? ? There are no big Diao explain! ! ! As! ! ! ! ! ! ! ! ! ! ! ! ! ! ! ! !</v>
      </c>
    </row>
    <row r="1139">
      <c r="A1139" s="1">
        <v>5.0</v>
      </c>
      <c r="B1139" s="1" t="s">
        <v>1139</v>
      </c>
      <c r="C1139" t="str">
        <f>IFERROR(__xludf.DUMMYFUNCTION("GOOGLETRANSLATE(B1139, ""zh"", ""en"")"),"I have been using this brand of scissors to the baby, practical and safe!")</f>
        <v>I have been using this brand of scissors to the baby, practical and safe!</v>
      </c>
    </row>
    <row r="1140">
      <c r="A1140" s="1">
        <v>5.0</v>
      </c>
      <c r="B1140" s="1" t="s">
        <v>1140</v>
      </c>
      <c r="C1140" t="str">
        <f>IFERROR(__xludf.DUMMYFUNCTION("GOOGLETRANSLATE(B1140, ""zh"", ""en"")"),"Smooth operation, the installation needs to move it slightly heavy weight hand, sending a particularly large number of accessories, but in addition to the water inlet and outlet pipes have not used, bought for himself two effluent pipe used. The assembly "&amp;"process is very smooth, the water began to come out of a little yellow, drain off the water for some time to normal, there should be a machine's sake sediment. Installation Notes: A total of four ports need to take over the child, export six points of inl"&amp;"et and outlet, and a 2.5 cm row wastewater outfall and a little smaller, and finally this drain is only at the beginning of the machine time is running out over the water, usually not had, do not know is not normal. Need to measure before running the mach"&amp;"ine comes with a tool to measure water quality look ppm, based on the results need to adjust the parameters measured after running up, or it is possible the machine out of the water is too soft, slip a little bit too much. The first time such a serious ev"&amp;"aluation, but also because this machine handy, but other than domestic models much cheaper, thanks Amazon!")</f>
        <v>Smooth operation, the installation needs to move it slightly heavy weight hand, sending a particularly large number of accessories, but in addition to the water inlet and outlet pipes have not used, bought for himself two effluent pipe used. The assembly process is very smooth, the water began to come out of a little yellow, drain off the water for some time to normal, there should be a machine's sake sediment. Installation Notes: A total of four ports need to take over the child, export six points of inlet and outlet, and a 2.5 cm row wastewater outfall and a little smaller, and finally this drain is only at the beginning of the machine time is running out over the water, usually not had, do not know is not normal. Need to measure before running the machine comes with a tool to measure water quality look ppm, based on the results need to adjust the parameters measured after running up, or it is possible the machine out of the water is too soft, slip a little bit too much. The first time such a serious evaluation, but also because this machine handy, but other than domestic models much cheaper, thanks Amazon!</v>
      </c>
    </row>
    <row r="1141">
      <c r="A1141" s="1">
        <v>5.0</v>
      </c>
      <c r="B1141" s="1" t="s">
        <v>1141</v>
      </c>
      <c r="C1141" t="str">
        <f>IFERROR(__xludf.DUMMYFUNCTION("GOOGLETRANSLATE(B1141, ""zh"", ""en"")"),"Shoes is really too large in terms of overall pretty good, shoe size is too large, I usually wear size 44 shoes, 43 shoes, but shoes are 42.5, actually also a little bigger, it touches on the right. Just received the goods because the reason laces tied, n"&amp;"o shoes inside, once thought is to buy small, and later the laces untied a try, a little bigger, just right.")</f>
        <v>Shoes is really too large in terms of overall pretty good, shoe size is too large, I usually wear size 44 shoes, 43 shoes, but shoes are 42.5, actually also a little bigger, it touches on the right. Just received the goods because the reason laces tied, no shoes inside, once thought is to buy small, and later the laces untied a try, a little bigger, just right.</v>
      </c>
    </row>
    <row r="1142">
      <c r="A1142" s="1">
        <v>5.0</v>
      </c>
      <c r="B1142" s="1" t="s">
        <v>1142</v>
      </c>
      <c r="C1142" t="str">
        <f>IFERROR(__xludf.DUMMYFUNCTION("GOOGLETRANSLATE(B1142, ""zh"", ""en"")"),"Buy a second! ! ! Very good 👍 usually wear 38 yards to buy 7.5 very appropriate! Is the second time to buy, very significant foot thin, wild white shoes - but prices fluctuated, like you can pay more attention to, direct start")</f>
        <v>Buy a second! ! ! Very good 👍 usually wear 38 yards to buy 7.5 very appropriate! Is the second time to buy, very significant foot thin, wild white shoes - but prices fluctuated, like you can pay more attention to, direct start</v>
      </c>
    </row>
    <row r="1143">
      <c r="A1143" s="1">
        <v>5.0</v>
      </c>
      <c r="B1143" s="1" t="s">
        <v>1143</v>
      </c>
      <c r="C1143" t="str">
        <f>IFERROR(__xludf.DUMMYFUNCTION("GOOGLETRANSLATE(B1143, ""zh"", ""en"")"),"Comfortable walking shoes code suitable, comfortable, lightweight, slim-type shoes.")</f>
        <v>Comfortable walking shoes code suitable, comfortable, lightweight, slim-type shoes.</v>
      </c>
    </row>
    <row r="1144">
      <c r="A1144" s="1">
        <v>5.0</v>
      </c>
      <c r="B1144" s="1" t="s">
        <v>1144</v>
      </c>
      <c r="C1144" t="str">
        <f>IFERROR(__xludf.DUMMYFUNCTION("GOOGLETRANSLATE(B1144, ""zh"", ""en"")"),"Very very suitable origin of Thailand, usually to buy 41.5, ecco buy 41 just want to buy double goretex, look at this double good price, ecco foot feeling okay, I start with the")</f>
        <v>Very very suitable origin of Thailand, usually to buy 41.5, ecco buy 41 just want to buy double goretex, look at this double good price, ecco foot feeling okay, I start with the</v>
      </c>
    </row>
    <row r="1145">
      <c r="A1145" s="1">
        <v>5.0</v>
      </c>
      <c r="B1145" s="1" t="s">
        <v>1145</v>
      </c>
      <c r="C1145" t="str">
        <f>IFERROR(__xludf.DUMMYFUNCTION("GOOGLETRANSLATE(B1145, ""zh"", ""en"")"),"Buy buy buy go precise, high color value, very satisfied.")</f>
        <v>Buy buy buy go precise, high color value, very satisfied.</v>
      </c>
    </row>
    <row r="1146">
      <c r="A1146" s="1">
        <v>5.0</v>
      </c>
      <c r="B1146" s="1" t="s">
        <v>1146</v>
      </c>
      <c r="C1146" t="str">
        <f>IFERROR(__xludf.DUMMYFUNCTION("GOOGLETRANSLATE(B1146, ""zh"", ""en"")"),"Possible value for money")</f>
        <v>Possible value for money</v>
      </c>
    </row>
    <row r="1147">
      <c r="A1147" s="1">
        <v>5.0</v>
      </c>
      <c r="B1147" s="1" t="s">
        <v>1147</v>
      </c>
      <c r="C1147" t="str">
        <f>IFERROR(__xludf.DUMMYFUNCTION("GOOGLETRANSLATE(B1147, ""zh"", ""en"")"),"Sound quality is good, the rotary knob tight sound quality is also good, tight button")</f>
        <v>Sound quality is good, the rotary knob tight sound quality is also good, tight button</v>
      </c>
    </row>
    <row r="1148">
      <c r="A1148" s="1">
        <v>5.0</v>
      </c>
      <c r="B1148" s="1" t="s">
        <v>1148</v>
      </c>
      <c r="C1148" t="str">
        <f>IFERROR(__xludf.DUMMYFUNCTION("GOOGLETRANSLATE(B1148, ""zh"", ""en"")"),"Well-deserved reputation JBL sound quality, well-deserved reputation, express also responsible for carefully.")</f>
        <v>Well-deserved reputation JBL sound quality, well-deserved reputation, express also responsible for carefully.</v>
      </c>
    </row>
    <row r="1149">
      <c r="A1149" s="1">
        <v>5.0</v>
      </c>
      <c r="B1149" s="1" t="s">
        <v>1149</v>
      </c>
      <c r="C1149" t="str">
        <f>IFERROR(__xludf.DUMMYFUNCTION("GOOGLETRANSLATE(B1149, ""zh"", ""en"")"),"Your side, affecting the water pressure great enough cheap points")</f>
        <v>Your side, affecting the water pressure great enough cheap points</v>
      </c>
    </row>
    <row r="1150">
      <c r="A1150" s="1">
        <v>5.0</v>
      </c>
      <c r="B1150" s="1" t="s">
        <v>1150</v>
      </c>
      <c r="C1150" t="str">
        <f>IFERROR(__xludf.DUMMYFUNCTION("GOOGLETRANSLATE(B1150, ""zh"", ""en"")"),"Tube does not really did not see it, I was back with a comment! It was comfortable, buy dogs main side effects are not afraid of India, used a few times with the pelvis, abdomen with did not feel much effect")</f>
        <v>Tube does not really did not see it, I was back with a comment! It was comfortable, buy dogs main side effects are not afraid of India, used a few times with the pelvis, abdomen with did not feel much effect</v>
      </c>
    </row>
    <row r="1151">
      <c r="A1151" s="1">
        <v>5.0</v>
      </c>
      <c r="B1151" s="1" t="s">
        <v>1151</v>
      </c>
      <c r="C1151" t="str">
        <f>IFERROR(__xludf.DUMMYFUNCTION("GOOGLETRANSLATE(B1151, ""zh"", ""en"")"),"Too large, too large beautiful numbers, usually 44 to wear Adidas, which bought 42.5 double, put on just right. Amazon now express soon, he received four or five days, to the force.")</f>
        <v>Too large, too large beautiful numbers, usually 44 to wear Adidas, which bought 42.5 double, put on just right. Amazon now express soon, he received four or five days, to the force.</v>
      </c>
    </row>
    <row r="1152">
      <c r="A1152" s="1">
        <v>5.0</v>
      </c>
      <c r="B1152" s="1" t="s">
        <v>1152</v>
      </c>
      <c r="C1152" t="str">
        <f>IFERROR(__xludf.DUMMYFUNCTION("GOOGLETRANSLATE(B1152, ""zh"", ""en"")"),"Pleasant shopping experience foot feeling between the range of dress shoes and sports shoes, you can buy a single shoe in accordance with the daily number. Just wear some tightening sense, but also that the small size, then wear a few times much more comf"&amp;"ortable, because it is new shoes sake. Color liked, improved ""old music"" ""Moccasin"" feeling. Permeability is very good, indeed toughness!")</f>
        <v>Pleasant shopping experience foot feeling between the range of dress shoes and sports shoes, you can buy a single shoe in accordance with the daily number. Just wear some tightening sense, but also that the small size, then wear a few times much more comfortable, because it is new shoes sake. Color liked, improved "old music" "Moccasin" feeling. Permeability is very good, indeed toughness!</v>
      </c>
    </row>
    <row r="1153">
      <c r="A1153" s="1">
        <v>5.0</v>
      </c>
      <c r="B1153" s="1" t="s">
        <v>1153</v>
      </c>
      <c r="C1153" t="str">
        <f>IFERROR(__xludf.DUMMYFUNCTION("GOOGLETRANSLATE(B1153, ""zh"", ""en"")"),"Small box hand great, Casio bought so many, it will eventually have to start with the classic box.")</f>
        <v>Small box hand great, Casio bought so many, it will eventually have to start with the classic box.</v>
      </c>
    </row>
    <row r="1154">
      <c r="A1154" s="1">
        <v>5.0</v>
      </c>
      <c r="B1154" s="1" t="s">
        <v>1154</v>
      </c>
      <c r="C1154" t="str">
        <f>IFERROR(__xludf.DUMMYFUNCTION("GOOGLETRANSLATE(B1154, ""zh"", ""en"")"),"493 Shannon really dial a little crooked, the other good, search wave stand outside almost two minutes it successfully, classic ????")</f>
        <v>493 Shannon really dial a little crooked, the other good, search wave stand outside almost two minutes it successfully, classic ????</v>
      </c>
    </row>
    <row r="1155">
      <c r="A1155" s="1">
        <v>5.0</v>
      </c>
      <c r="B1155" s="1" t="s">
        <v>1155</v>
      </c>
      <c r="C1155" t="str">
        <f>IFERROR(__xludf.DUMMYFUNCTION("GOOGLETRANSLATE(B1155, ""zh"", ""en"")"),"skiphop very good, the right size spoon holding a baby, spoon mouth is too large, more than one year old baby with them a little big!")</f>
        <v>skiphop very good, the right size spoon holding a baby, spoon mouth is too large, more than one year old baby with them a little big!</v>
      </c>
    </row>
    <row r="1156">
      <c r="A1156" s="1">
        <v>5.0</v>
      </c>
      <c r="B1156" s="1" t="s">
        <v>1156</v>
      </c>
      <c r="C1156" t="str">
        <f>IFERROR(__xludf.DUMMYFUNCTION("GOOGLETRANSLATE(B1156, ""zh"", ""en"")"),"Lovely small bowl bowl love children very cute! After what snacks to decorate the baby is very convenient, sealing good, that is to fasten the lid a little bit of trouble!")</f>
        <v>Lovely small bowl bowl love children very cute! After what snacks to decorate the baby is very convenient, sealing good, that is to fasten the lid a little bit of trouble!</v>
      </c>
    </row>
    <row r="1157">
      <c r="A1157" s="1">
        <v>5.0</v>
      </c>
      <c r="B1157" s="1" t="s">
        <v>1157</v>
      </c>
      <c r="C1157" t="str">
        <f>IFERROR(__xludf.DUMMYFUNCTION("GOOGLETRANSLATE(B1157, ""zh"", ""en"")"),"Inside is a thick section plus thick section of cotton in the picture and description does not show up. Style is very good, the right size, wear is not suitable now, keep wear it in the second half")</f>
        <v>Inside is a thick section plus thick section of cotton in the picture and description does not show up. Style is very good, the right size, wear is not suitable now, keep wear it in the second half</v>
      </c>
    </row>
    <row r="1158">
      <c r="A1158" s="1">
        <v>5.0</v>
      </c>
      <c r="B1158" s="1" t="s">
        <v>1158</v>
      </c>
      <c r="C1158" t="str">
        <f>IFERROR(__xludf.DUMMYFUNCTION("GOOGLETRANSLATE(B1158, ""zh"", ""en"")"),"Comfort has been in the comfort of socks to wear 👍")</f>
        <v>Comfort has been in the comfort of socks to wear 👍</v>
      </c>
    </row>
    <row r="1159">
      <c r="A1159" s="1">
        <v>2.0</v>
      </c>
      <c r="B1159" s="1" t="s">
        <v>1159</v>
      </c>
      <c r="C1159" t="str">
        <f>IFERROR(__xludf.DUMMYFUNCTION("GOOGLETRANSLATE(B1159, ""zh"", ""en"")"),"Period is too short toothpaste itself is large enough, and very easy to use without having to squeeze, the quality of the product itself should be no problem. But I was 17 years in December of goods received, valid until 18 December, only about a year, th"&amp;"e production date is 15 years, one year is not possible to run out of six, asked the customer service, he said no expired on normal, I do not know if today the receipt, valid for tomorrow is not expired can be considered normal. Amazon hopes to do for thi"&amp;"s commodity marked expiration date in order to prevent misleading consumers in the United States and Asia to buy several things are satisfied, the difference in assessment!")</f>
        <v>Period is too short toothpaste itself is large enough, and very easy to use without having to squeeze, the quality of the product itself should be no problem. But I was 17 years in December of goods received, valid until 18 December, only about a year, the production date is 15 years, one year is not possible to run out of six, asked the customer service, he said no expired on normal, I do not know if today the receipt, valid for tomorrow is not expired can be considered normal. Amazon hopes to do for this commodity marked expiration date in order to prevent misleading consumers in the United States and Asia to buy several things are satisfied, the difference in assessment!</v>
      </c>
    </row>
    <row r="1160">
      <c r="A1160" s="1">
        <v>3.0</v>
      </c>
      <c r="B1160" s="1" t="s">
        <v>1160</v>
      </c>
      <c r="C1160" t="str">
        <f>IFERROR(__xludf.DUMMYFUNCTION("GOOGLETRANSLATE(B1160, ""zh"", ""en"")"),"Fade, fade fade fade ...... actually ...... Oh da")</f>
        <v>Fade, fade fade fade ...... actually ...... Oh da</v>
      </c>
    </row>
    <row r="1161">
      <c r="A1161" s="1">
        <v>3.0</v>
      </c>
      <c r="B1161" s="1" t="s">
        <v>1161</v>
      </c>
      <c r="C1161" t="str">
        <f>IFERROR(__xludf.DUMMYFUNCTION("GOOGLETRANSLATE(B1161, ""zh"", ""en"")"),"low-waist slim fit low waist paragraph slim fit personal 180 88kg legs a little thin")</f>
        <v>low-waist slim fit low waist paragraph slim fit personal 180 88kg legs a little thin</v>
      </c>
    </row>
    <row r="1162">
      <c r="A1162" s="1">
        <v>3.0</v>
      </c>
      <c r="B1162" s="1" t="s">
        <v>1162</v>
      </c>
      <c r="C1162" t="str">
        <f>IFERROR(__xludf.DUMMYFUNCTION("GOOGLETRANSLATE(B1162, ""zh"", ""en"")"),"Some stains shoes, is not expected good, but can also accept it just received the goods, shoe size is slightly bigger, instant a look MADE IN CHINA, shoelaces and left foot at the top of some oil or glue stains can not say, near stains workmanship is not "&amp;"very neat, I do not know true and false, and looks directly in the United States and Asia to buy their own goods are not the same, I hope nothing issues now behind wearing")</f>
        <v>Some stains shoes, is not expected good, but can also accept it just received the goods, shoe size is slightly bigger, instant a look MADE IN CHINA, shoelaces and left foot at the top of some oil or glue stains can not say, near stains workmanship is not very neat, I do not know true and false, and looks directly in the United States and Asia to buy their own goods are not the same, I hope nothing issues now behind wearing</v>
      </c>
    </row>
    <row r="1163">
      <c r="A1163" s="1">
        <v>1.0</v>
      </c>
      <c r="B1163" s="1" t="s">
        <v>1163</v>
      </c>
      <c r="C1163" t="str">
        <f>IFERROR(__xludf.DUMMYFUNCTION("GOOGLETRANSLATE(B1163, ""zh"", ""en"")"),"S number is too big to be just the right height around 173")</f>
        <v>S number is too big to be just the right height around 173</v>
      </c>
    </row>
    <row r="1164">
      <c r="A1164" s="1">
        <v>1.0</v>
      </c>
      <c r="B1164" s="1" t="s">
        <v>1164</v>
      </c>
      <c r="C1164" t="str">
        <f>IFERROR(__xludf.DUMMYFUNCTION("GOOGLETRANSLATE(B1164, ""zh"", ""en"")"),"Flash back, flash back can not be used, can not be used")</f>
        <v>Flash back, flash back can not be used, can not be used</v>
      </c>
    </row>
    <row r="1165">
      <c r="A1165" s="1">
        <v>1.0</v>
      </c>
      <c r="B1165" s="1" t="s">
        <v>1165</v>
      </c>
      <c r="C1165" t="str">
        <f>IFERROR(__xludf.DUMMYFUNCTION("GOOGLETRANSLATE(B1165, ""zh"", ""en"")"),"Clothes dimensioning and the actual size of the deviation is too large. Size mark and the actual size of the clothes too much difference. Leading to buy clothes size is too large. The return costs are too high, to bad bad bad comment.")</f>
        <v>Clothes dimensioning and the actual size of the deviation is too large. Size mark and the actual size of the clothes too much difference. Leading to buy clothes size is too large. The return costs are too high, to bad bad bad comment.</v>
      </c>
    </row>
    <row r="1166">
      <c r="A1166" s="1">
        <v>4.0</v>
      </c>
      <c r="B1166" s="1" t="s">
        <v>1166</v>
      </c>
      <c r="C1166" t="str">
        <f>IFERROR(__xludf.DUMMYFUNCTION("GOOGLETRANSLATE(B1166, ""zh"", ""en"")"),"Satisfaction logistics is very fast, about a week to. Attractive table, pinholes hybrid fabric band, a plastic housing. Small table plan for a little thin of people. After a year and four months of mild to moderate use, the strap broke.")</f>
        <v>Satisfaction logistics is very fast, about a week to. Attractive table, pinholes hybrid fabric band, a plastic housing. Small table plan for a little thin of people. After a year and four months of mild to moderate use, the strap broke.</v>
      </c>
    </row>
    <row r="1167">
      <c r="A1167" s="1">
        <v>4.0</v>
      </c>
      <c r="B1167" s="1" t="s">
        <v>1167</v>
      </c>
      <c r="C1167" t="str">
        <f>IFERROR(__xludf.DUMMYFUNCTION("GOOGLETRANSLATE(B1167, ""zh"", ""en"")"),"there is a problem. . . why? Less than a year on the problem. . Fortunately, less than a year on the problem, still in the warranty period, the question is who told me where the warranty?")</f>
        <v>there is a problem. . . why? Less than a year on the problem. . Fortunately, less than a year on the problem, still in the warranty period, the question is who told me where the warranty?</v>
      </c>
    </row>
    <row r="1168">
      <c r="A1168" s="1">
        <v>4.0</v>
      </c>
      <c r="B1168" s="1" t="s">
        <v>1168</v>
      </c>
      <c r="C1168" t="str">
        <f>IFERROR(__xludf.DUMMYFUNCTION("GOOGLETRANSLATE(B1168, ""zh"", ""en"")"),"Fortunately, a sub-price goods")</f>
        <v>Fortunately, a sub-price goods</v>
      </c>
    </row>
    <row r="1169">
      <c r="A1169" s="1">
        <v>4.0</v>
      </c>
      <c r="B1169" s="1" t="s">
        <v>1169</v>
      </c>
      <c r="C1169" t="str">
        <f>IFERROR(__xludf.DUMMYFUNCTION("GOOGLETRANSLATE(B1169, ""zh"", ""en"")"),"Price changes and some large price changes fast, black five 3820 orders, to on Monday 35xx, as people say, the sound is very ecstasy")</f>
        <v>Price changes and some large price changes fast, black five 3820 orders, to on Monday 35xx, as people say, the sound is very ecstasy</v>
      </c>
    </row>
    <row r="1170">
      <c r="A1170" s="1">
        <v>4.0</v>
      </c>
      <c r="B1170" s="1" t="s">
        <v>1170</v>
      </c>
      <c r="C1170" t="str">
        <f>IFERROR(__xludf.DUMMYFUNCTION("GOOGLETRANSLATE(B1170, ""zh"", ""en"")"),"Began to smell, after a great packaging good enough to start the taste, after taste clean after two days gone, the children generally like, but eat when the angle of the eye to the problem occasionally tie")</f>
        <v>Began to smell, after a great packaging good enough to start the taste, after taste clean after two days gone, the children generally like, but eat when the angle of the eye to the problem occasionally tie</v>
      </c>
    </row>
    <row r="1171">
      <c r="A1171" s="1">
        <v>5.0</v>
      </c>
      <c r="B1171" s="1" t="s">
        <v>1171</v>
      </c>
      <c r="C1171" t="str">
        <f>IFERROR(__xludf.DUMMYFUNCTION("GOOGLETRANSLATE(B1171, ""zh"", ""en"")"),"Amazon to buy things cheaper overseas! First time to buy a green T-shirt, good, very nice. Price beautiful, down to 92, to start immediately. Standard size, height 173, weight 83 kg, L code is very fit.")</f>
        <v>Amazon to buy things cheaper overseas! First time to buy a green T-shirt, good, very nice. Price beautiful, down to 92, to start immediately. Standard size, height 173, weight 83 kg, L code is very fit.</v>
      </c>
    </row>
    <row r="1172">
      <c r="A1172" s="1">
        <v>5.0</v>
      </c>
      <c r="B1172" s="1" t="s">
        <v>1172</v>
      </c>
      <c r="C1172" t="str">
        <f>IFERROR(__xludf.DUMMYFUNCTION("GOOGLETRANSLATE(B1172, ""zh"", ""en"")"),"Rain wear is also very good 👌! Full leather, a good unbiased yards! The normal code as usual size to buy enough.")</f>
        <v>Rain wear is also very good 👌! Full leather, a good unbiased yards! The normal code as usual size to buy enough.</v>
      </c>
    </row>
    <row r="1173">
      <c r="A1173" s="1">
        <v>5.0</v>
      </c>
      <c r="B1173" s="1" t="s">
        <v>1173</v>
      </c>
      <c r="C1173" t="str">
        <f>IFERROR(__xludf.DUMMYFUNCTION("GOOGLETRANSLATE(B1173, ""zh"", ""en"")"),"Suitable girls 160,51 kg, bought a men's XS, very suitable, comfortable fabric, is what I want.")</f>
        <v>Suitable girls 160,51 kg, bought a men's XS, very suitable, comfortable fabric, is what I want.</v>
      </c>
    </row>
    <row r="1174">
      <c r="A1174" s="1">
        <v>5.0</v>
      </c>
      <c r="B1174" s="1" t="s">
        <v>1174</v>
      </c>
      <c r="C1174" t="str">
        <f>IFERROR(__xludf.DUMMYFUNCTION("GOOGLETRANSLATE(B1174, ""zh"", ""en"")"),"Cheap shelf life of May 2021, large amount of cheap")</f>
        <v>Cheap shelf life of May 2021, large amount of cheap</v>
      </c>
    </row>
    <row r="1175">
      <c r="A1175" s="1">
        <v>5.0</v>
      </c>
      <c r="B1175" s="1" t="s">
        <v>1175</v>
      </c>
      <c r="C1175" t="str">
        <f>IFERROR(__xludf.DUMMYFUNCTION("GOOGLETRANSLATE(B1175, ""zh"", ""en"")"),"Good quality. Best buy s code size is too large, it was not by the country code to buy big, but elastic, okay")</f>
        <v>Good quality. Best buy s code size is too large, it was not by the country code to buy big, but elastic, okay</v>
      </c>
    </row>
    <row r="1176">
      <c r="A1176" s="1">
        <v>5.0</v>
      </c>
      <c r="B1176" s="1" t="s">
        <v>1176</v>
      </c>
      <c r="C1176" t="str">
        <f>IFERROR(__xludf.DUMMYFUNCTION("GOOGLETRANSLATE(B1176, ""zh"", ""en"")"),"Size is too large at least a number of big size, at least a large number")</f>
        <v>Size is too large at least a number of big size, at least a large number</v>
      </c>
    </row>
    <row r="1177">
      <c r="A1177" s="1">
        <v>5.0</v>
      </c>
      <c r="B1177" s="1" t="s">
        <v>1177</v>
      </c>
      <c r="C1177" t="str">
        <f>IFERROR(__xludf.DUMMYFUNCTION("GOOGLETRANSLATE(B1177, ""zh"", ""en"")"),"Right size, style like &lt;div id = ""video-block-R1ZXSN9XG0RFVU"" class = ""a-section a-spacing-small a-spacing-top-mini video-block""&gt; &lt;/ div&gt; &lt;input type = ""hidden"" name = """" value = ""https://images-cn.ssl-images-amazon.com/images/I/81srCMrwGFS.mp4"""&amp;" class = ""video-url""&gt; &lt;input type = ""hidden"" name = """" value = ""https://images-cn.ssl-images-amazon.com/images/I/71w4SDWNRUS.png"" class = ""video-slate-img-url""&gt; &amp; nbsp; 36 biased pin 35. Option three yards just right. Really like ah. Faster than"&amp;" expected ~ ~ Attractive Attractive")</f>
        <v>Right size, style like &lt;div id = "video-block-R1ZXSN9XG0RFVU" class = "a-section a-spacing-small a-spacing-top-mini video-block"&gt; &lt;/ div&gt; &lt;input type = "hidden" name = "" value = "https://images-cn.ssl-images-amazon.com/images/I/81srCMrwGFS.mp4" class = "video-url"&gt; &lt;input type = "hidden" name = "" value = "https://images-cn.ssl-images-amazon.com/images/I/71w4SDWNRUS.png" class = "video-slate-img-url"&gt; &amp; nbsp; 36 biased pin 35. Option three yards just right. Really like ah. Faster than expected ~ ~ Attractive Attractive</v>
      </c>
    </row>
    <row r="1178">
      <c r="A1178" s="1">
        <v>5.0</v>
      </c>
      <c r="B1178" s="1" t="s">
        <v>1178</v>
      </c>
      <c r="C1178" t="str">
        <f>IFERROR(__xludf.DUMMYFUNCTION("GOOGLETRANSLATE(B1178, ""zh"", ""en"")"),"Price too high point size perfectly appropriate")</f>
        <v>Price too high point size perfectly appropriate</v>
      </c>
    </row>
    <row r="1179">
      <c r="A1179" s="1">
        <v>5.0</v>
      </c>
      <c r="B1179" s="1" t="s">
        <v>1179</v>
      </c>
      <c r="C1179" t="str">
        <f>IFERROR(__xludf.DUMMYFUNCTION("GOOGLETRANSLATE(B1179, ""zh"", ""en"")"),"Suitable husband to buy, height 181, weight 85 kg, large belly, wearing L code, just right")</f>
        <v>Suitable husband to buy, height 181, weight 85 kg, large belly, wearing L code, just right</v>
      </c>
    </row>
    <row r="1180">
      <c r="A1180" s="1">
        <v>5.0</v>
      </c>
      <c r="B1180" s="1" t="s">
        <v>1180</v>
      </c>
      <c r="C1180" t="str">
        <f>IFERROR(__xludf.DUMMYFUNCTION("GOOGLETRANSLATE(B1180, ""zh"", ""en"")"),"Wrench when installing the pad cloth is very beautiful, exquisite workmanship, details of the experience is very good, but when installed their own, using the wrench to tighten the nut spent (which is pure copper). Massage mode is simply to stimulate the "&amp;"ha ha")</f>
        <v>Wrench when installing the pad cloth is very beautiful, exquisite workmanship, details of the experience is very good, but when installed their own, using the wrench to tighten the nut spent (which is pure copper). Massage mode is simply to stimulate the ha ha</v>
      </c>
    </row>
    <row r="1181">
      <c r="A1181" s="1">
        <v>5.0</v>
      </c>
      <c r="B1181" s="1" t="s">
        <v>1181</v>
      </c>
      <c r="C1181" t="str">
        <f>IFERROR(__xludf.DUMMYFUNCTION("GOOGLETRANSLATE(B1181, ""zh"", ""en"")"),"Well I am so thin people wear trumpet also a big problem sleeve length Well also supposed to pull on the lap just")</f>
        <v>Well I am so thin people wear trumpet also a big problem sleeve length Well also supposed to pull on the lap just</v>
      </c>
    </row>
    <row r="1182">
      <c r="A1182" s="1">
        <v>5.0</v>
      </c>
      <c r="B1182" s="1" t="s">
        <v>1182</v>
      </c>
      <c r="C1182" t="str">
        <f>IFERROR(__xludf.DUMMYFUNCTION("GOOGLETRANSLATE(B1182, ""zh"", ""en"")"),"Like in love, happy mood when to use it to improve the quality of life of a good thing. But after a few days of use, and found good irrigation water bottle, Hudi rest of that little water, there is an odor. Little skeptical kettle material, not so good in"&amp;" the introduction.")</f>
        <v>Like in love, happy mood when to use it to improve the quality of life of a good thing. But after a few days of use, and found good irrigation water bottle, Hudi rest of that little water, there is an odor. Little skeptical kettle material, not so good in the introduction.</v>
      </c>
    </row>
    <row r="1183">
      <c r="A1183" s="1">
        <v>5.0</v>
      </c>
      <c r="B1183" s="1" t="s">
        <v>1183</v>
      </c>
      <c r="C1183" t="str">
        <f>IFERROR(__xludf.DUMMYFUNCTION("GOOGLETRANSLATE(B1183, ""zh"", ""en"")"),"Convenient tax increases over 90, very convenient, but doctors do not recommend the country, I do not know why.")</f>
        <v>Convenient tax increases over 90, very convenient, but doctors do not recommend the country, I do not know why.</v>
      </c>
    </row>
    <row r="1184">
      <c r="A1184" s="1">
        <v>5.0</v>
      </c>
      <c r="B1184" s="1" t="s">
        <v>1184</v>
      </c>
      <c r="C1184" t="str">
        <f>IFERROR(__xludf.DUMMYFUNCTION("GOOGLETRANSLATE(B1184, ""zh"", ""en"")"),"Affordable easy to use the express delivery soon, the baby has been like to use it")</f>
        <v>Affordable easy to use the express delivery soon, the baby has been like to use it</v>
      </c>
    </row>
    <row r="1185">
      <c r="A1185" s="1">
        <v>5.0</v>
      </c>
      <c r="B1185" s="1" t="s">
        <v>1185</v>
      </c>
      <c r="C1185" t="str">
        <f>IFERROR(__xludf.DUMMYFUNCTION("GOOGLETRANSLATE(B1185, ""zh"", ""en"")"),"Satisfaction I 162,84 pounds, to buy 0 long appropriate. There are 0 short time before the regret did not buy, then the price is cheaper than it is now dozens of blocks. 0 short and we have found that there is no hurry to buy 0 long, but also the results "&amp;"of their own money to make them shorter, because almost twice the volume. Good quality, no color, wear comfortable! lee pants in the United States and Asia this is the second buy, and wear 0 yards, fit, and good quality, very satisfied.")</f>
        <v>Satisfaction I 162,84 pounds, to buy 0 long appropriate. There are 0 short time before the regret did not buy, then the price is cheaper than it is now dozens of blocks. 0 short and we have found that there is no hurry to buy 0 long, but also the results of their own money to make them shorter, because almost twice the volume. Good quality, no color, wear comfortable! lee pants in the United States and Asia this is the second buy, and wear 0 yards, fit, and good quality, very satisfied.</v>
      </c>
    </row>
    <row r="1186">
      <c r="A1186" s="1">
        <v>5.0</v>
      </c>
      <c r="B1186" s="1" t="s">
        <v>1186</v>
      </c>
      <c r="C1186" t="str">
        <f>IFERROR(__xludf.DUMMYFUNCTION("GOOGLETRANSLATE(B1186, ""zh"", ""en"")"),"Good good warmth, thin, dark blue color was white, hand 470, one meter sixty-three, 60kg, s number is appropriate")</f>
        <v>Good good warmth, thin, dark blue color was white, hand 470, one meter sixty-three, 60kg, s number is appropriate</v>
      </c>
    </row>
    <row r="1187">
      <c r="A1187" s="1">
        <v>5.0</v>
      </c>
      <c r="B1187" s="1" t="s">
        <v>1187</v>
      </c>
      <c r="C1187" t="str">
        <f>IFERROR(__xludf.DUMMYFUNCTION("GOOGLETRANSLATE(B1187, ""zh"", ""en"")"),"It will buy back the baby to eat hope is genuine,")</f>
        <v>It will buy back the baby to eat hope is genuine,</v>
      </c>
    </row>
    <row r="1188">
      <c r="A1188" s="1">
        <v>5.0</v>
      </c>
      <c r="B1188" s="1" t="s">
        <v>1188</v>
      </c>
      <c r="C1188" t="str">
        <f>IFERROR(__xludf.DUMMYFUNCTION("GOOGLETRANSLATE(B1188, ""zh"", ""en"")"),"Satisfaction very good experience, success make bread.")</f>
        <v>Satisfaction very good experience, success make bread.</v>
      </c>
    </row>
    <row r="1189">
      <c r="A1189" s="1">
        <v>5.0</v>
      </c>
      <c r="B1189" s="1" t="s">
        <v>1189</v>
      </c>
      <c r="C1189" t="str">
        <f>IFERROR(__xludf.DUMMYFUNCTION("GOOGLETRANSLATE(B1189, ""zh"", ""en"")"),"Lee bought the brand before sprinkling, 34X32, feeling the waist slightly larger point, the length is just right. Height 180, weight 70 kg. Want to try another brand, are American brands, we chose the size 33X32, the arrival found that waist circumference"&amp;" is just, long pants but a long one, the subsequent purchase someone to pay attention to it. Pants quality okay, this dress suitable for spring and autumn days.")</f>
        <v>Lee bought the brand before sprinkling, 34X32, feeling the waist slightly larger point, the length is just right. Height 180, weight 70 kg. Want to try another brand, are American brands, we chose the size 33X32, the arrival found that waist circumference is just, long pants but a long one, the subsequent purchase someone to pay attention to it. Pants quality okay, this dress suitable for spring and autumn days.</v>
      </c>
    </row>
    <row r="1190">
      <c r="A1190" s="1">
        <v>5.0</v>
      </c>
      <c r="B1190" s="1" t="s">
        <v>1190</v>
      </c>
      <c r="C1190" t="str">
        <f>IFERROR(__xludf.DUMMYFUNCTION("GOOGLETRANSLATE(B1190, ""zh"", ""en"")"),"Genuine Genuine Tiger mug Tiger mug, quick open, the color looks good!")</f>
        <v>Genuine Genuine Tiger mug Tiger mug, quick open, the color looks good!</v>
      </c>
    </row>
    <row r="1191">
      <c r="A1191" s="1">
        <v>5.0</v>
      </c>
      <c r="B1191" s="1" t="s">
        <v>1191</v>
      </c>
      <c r="C1191" t="str">
        <f>IFERROR(__xludf.DUMMYFUNCTION("GOOGLETRANSLATE(B1191, ""zh"", ""en"")"),"Very good very good quality, belt slightly narrower point.")</f>
        <v>Very good very good quality, belt slightly narrower point.</v>
      </c>
    </row>
    <row r="1192">
      <c r="A1192" s="1">
        <v>2.0</v>
      </c>
      <c r="B1192" s="1" t="s">
        <v>1192</v>
      </c>
      <c r="C1192" t="str">
        <f>IFERROR(__xludf.DUMMYFUNCTION("GOOGLETRANSLATE(B1192, ""zh"", ""en"")"),"And so on for ten days, six days earlier than expected delivery box intact, pen is also complete, really worried at first, not use, should be no problem")</f>
        <v>And so on for ten days, six days earlier than expected delivery box intact, pen is also complete, really worried at first, not use, should be no problem</v>
      </c>
    </row>
    <row r="1193">
      <c r="A1193" s="1">
        <v>3.0</v>
      </c>
      <c r="B1193" s="1" t="s">
        <v>1193</v>
      </c>
      <c r="C1193" t="str">
        <f>IFERROR(__xludf.DUMMYFUNCTION("GOOGLETRANSLATE(B1193, ""zh"", ""en"")"),"Pants too long too long over at least 10 cm")</f>
        <v>Pants too long too long over at least 10 cm</v>
      </c>
    </row>
    <row r="1194">
      <c r="A1194" s="1">
        <v>3.0</v>
      </c>
      <c r="B1194" s="1" t="s">
        <v>1194</v>
      </c>
      <c r="C1194" t="str">
        <f>IFERROR(__xludf.DUMMYFUNCTION("GOOGLETRANSLATE(B1194, ""zh"", ""en"")"),"The sound quality is generally thought that the sound quality will be good, I did not think in general, with the sound of loud cell phone almost.")</f>
        <v>The sound quality is generally thought that the sound quality will be good, I did not think in general, with the sound of loud cell phone almost.</v>
      </c>
    </row>
    <row r="1195">
      <c r="A1195" s="1">
        <v>3.0</v>
      </c>
      <c r="B1195" s="1" t="s">
        <v>1195</v>
      </c>
      <c r="C1195" t="str">
        <f>IFERROR(__xludf.DUMMYFUNCTION("GOOGLETRANSLATE(B1195, ""zh"", ""en"")"),"Will begin after the foot wear wet shoes feel very good, I did not expect the shoes wet water, wearing too long inside thread joints will wear the foot, also skinned, poor")</f>
        <v>Will begin after the foot wear wet shoes feel very good, I did not expect the shoes wet water, wearing too long inside thread joints will wear the foot, also skinned, poor</v>
      </c>
    </row>
    <row r="1196">
      <c r="A1196" s="1">
        <v>1.0</v>
      </c>
      <c r="B1196" s="1" t="s">
        <v>1196</v>
      </c>
      <c r="C1196" t="str">
        <f>IFERROR(__xludf.DUMMYFUNCTION("GOOGLETRANSLATE(B1196, ""zh"", ""en"")"),"Software spicy chicken spicy chicken thing, not use, spicy chicken software is domestic stuff, go logistics, returns regardless, is a liar, and quickly unload it")</f>
        <v>Software spicy chicken spicy chicken thing, not use, spicy chicken software is domestic stuff, go logistics, returns regardless, is a liar, and quickly unload it</v>
      </c>
    </row>
    <row r="1197">
      <c r="A1197" s="1">
        <v>1.0</v>
      </c>
      <c r="B1197" s="1" t="s">
        <v>1197</v>
      </c>
      <c r="C1197" t="str">
        <f>IFERROR(__xludf.DUMMYFUNCTION("GOOGLETRANSLATE(B1197, ""zh"", ""en"")"),"Wearing no way to wear, fabrics too hard.")</f>
        <v>Wearing no way to wear, fabrics too hard.</v>
      </c>
    </row>
    <row r="1198">
      <c r="A1198" s="1">
        <v>4.0</v>
      </c>
      <c r="B1198" s="1" t="s">
        <v>1198</v>
      </c>
      <c r="C1198" t="str">
        <f>IFERROR(__xludf.DUMMYFUNCTION("GOOGLETRANSLATE(B1198, ""zh"", ""en"")"),"Recommended for four stars very thick socks for winter")</f>
        <v>Recommended for four stars very thick socks for winter</v>
      </c>
    </row>
    <row r="1199">
      <c r="A1199" s="1">
        <v>4.0</v>
      </c>
      <c r="B1199" s="1" t="s">
        <v>1199</v>
      </c>
      <c r="C1199" t="str">
        <f>IFERROR(__xludf.DUMMYFUNCTION("GOOGLETRANSLATE(B1199, ""zh"", ""en"")"),"Very good underwear good, but do not like too much pattern")</f>
        <v>Very good underwear good, but do not like too much pattern</v>
      </c>
    </row>
    <row r="1200">
      <c r="A1200" s="1">
        <v>4.0</v>
      </c>
      <c r="B1200" s="1" t="s">
        <v>1200</v>
      </c>
      <c r="C1200" t="str">
        <f>IFERROR(__xludf.DUMMYFUNCTION("GOOGLETRANSLATE(B1200, ""zh"", ""en"")"),"Good quality, fit height 176, weight 60, S number right length sleeves very fat, top quality, it just got finished lower fifty dollars, seems that the future need to wait and see wait and see and then shot")</f>
        <v>Good quality, fit height 176, weight 60, S number right length sleeves very fat, top quality, it just got finished lower fifty dollars, seems that the future need to wait and see wait and see and then shot</v>
      </c>
    </row>
    <row r="1201">
      <c r="A1201" s="1">
        <v>4.0</v>
      </c>
      <c r="B1201" s="1" t="s">
        <v>1201</v>
      </c>
      <c r="C1201" t="str">
        <f>IFERROR(__xludf.DUMMYFUNCTION("GOOGLETRANSLATE(B1201, ""zh"", ""en"")"),"Soles very wear-resistant soles do not wear, shoes to wear for a day a lot of wear on the outside of the heel,")</f>
        <v>Soles very wear-resistant soles do not wear, shoes to wear for a day a lot of wear on the outside of the heel,</v>
      </c>
    </row>
    <row r="1202">
      <c r="A1202" s="1">
        <v>5.0</v>
      </c>
      <c r="B1202" s="1" t="s">
        <v>1202</v>
      </c>
      <c r="C1202" t="str">
        <f>IFERROR(__xludf.DUMMYFUNCTION("GOOGLETRANSLATE(B1202, ""zh"", ""en"")"),"Good quality cost-effective, appropriate size.")</f>
        <v>Good quality cost-effective, appropriate size.</v>
      </c>
    </row>
    <row r="1203">
      <c r="A1203" s="1">
        <v>5.0</v>
      </c>
      <c r="B1203" s="1" t="s">
        <v>1203</v>
      </c>
      <c r="C1203" t="str">
        <f>IFERROR(__xludf.DUMMYFUNCTION("GOOGLETRANSLATE(B1203, ""zh"", ""en"")"),"Good grinding bowl grinding bowl grind very fine, with them also save energy")</f>
        <v>Good grinding bowl grinding bowl grind very fine, with them also save energy</v>
      </c>
    </row>
    <row r="1204">
      <c r="A1204" s="1">
        <v>5.0</v>
      </c>
      <c r="B1204" s="1" t="s">
        <v>1204</v>
      </c>
      <c r="C1204" t="str">
        <f>IFERROR(__xludf.DUMMYFUNCTION("GOOGLETRANSLATE(B1204, ""zh"", ""en"")"),"Good cost-effective, good quality, worthy of the big brands")</f>
        <v>Good cost-effective, good quality, worthy of the big brands</v>
      </c>
    </row>
    <row r="1205">
      <c r="A1205" s="1">
        <v>5.0</v>
      </c>
      <c r="B1205" s="1" t="s">
        <v>1205</v>
      </c>
      <c r="C1205" t="str">
        <f>IFERROR(__xludf.DUMMYFUNCTION("GOOGLETRANSLATE(B1205, ""zh"", ""en"")"),"It looks great. Good height 171mm Weight 63 kg S code just right clothes.")</f>
        <v>It looks great. Good height 171mm Weight 63 kg S code just right clothes.</v>
      </c>
    </row>
    <row r="1206">
      <c r="A1206" s="1">
        <v>5.0</v>
      </c>
      <c r="B1206" s="1" t="s">
        <v>1206</v>
      </c>
      <c r="C1206" t="str">
        <f>IFERROR(__xludf.DUMMYFUNCTION("GOOGLETRANSLATE(B1206, ""zh"", ""en"")"),"The price is right, the shoes also good, I feel no need to tangle package, and I usually 38.5, this because it bought only 38 yards, you can wear the price is right, the shoes also good, I feel no need to tangle package, I usually 38.5 this so because onl"&amp;"y 38 yards to buy, you can wear")</f>
        <v>The price is right, the shoes also good, I feel no need to tangle package, and I usually 38.5, this because it bought only 38 yards, you can wear the price is right, the shoes also good, I feel no need to tangle package, I usually 38.5 this so because only 38 yards to buy, you can wear</v>
      </c>
    </row>
    <row r="1207">
      <c r="A1207" s="1">
        <v>5.0</v>
      </c>
      <c r="B1207" s="1" t="s">
        <v>1207</v>
      </c>
      <c r="C1207" t="str">
        <f>IFERROR(__xludf.DUMMYFUNCTION("GOOGLETRANSLATE(B1207, ""zh"", ""en"")"),"US looks good quality size is too large to buy 39EU, the shoe box is 6, but the models is too large, the actual suitable for 40,40.5, to buy time to pay attention to size. Style, leather, really did not have to say, very good quality.")</f>
        <v>US looks good quality size is too large to buy 39EU, the shoe box is 6, but the models is too large, the actual suitable for 40,40.5, to buy time to pay attention to size. Style, leather, really did not have to say, very good quality.</v>
      </c>
    </row>
    <row r="1208">
      <c r="A1208" s="1">
        <v>5.0</v>
      </c>
      <c r="B1208" s="1" t="s">
        <v>1208</v>
      </c>
      <c r="C1208" t="str">
        <f>IFERROR(__xludf.DUMMYFUNCTION("GOOGLETRANSLATE(B1208, ""zh"", ""en"")"),"Before the good do not understand why there is such a combination of four or more to spend honestly did not know the baby will not take hold in hand on the throw 😭")</f>
        <v>Before the good do not understand why there is such a combination of four or more to spend honestly did not know the baby will not take hold in hand on the throw 😭</v>
      </c>
    </row>
    <row r="1209">
      <c r="A1209" s="1">
        <v>5.0</v>
      </c>
      <c r="B1209" s="1" t="s">
        <v>1209</v>
      </c>
      <c r="C1209" t="str">
        <f>IFERROR(__xludf.DUMMYFUNCTION("GOOGLETRANSLATE(B1209, ""zh"", ""en"")"),"y word teat 3-6 months in the box has two nipple, from Japan to return shipment is crushed, but no deformation of the nipple, the nipple is y-shaped")</f>
        <v>y word teat 3-6 months in the box has two nipple, from Japan to return shipment is crushed, but no deformation of the nipple, the nipple is y-shaped</v>
      </c>
    </row>
    <row r="1210">
      <c r="A1210" s="1">
        <v>5.0</v>
      </c>
      <c r="B1210" s="1" t="s">
        <v>1210</v>
      </c>
      <c r="C1210" t="str">
        <f>IFERROR(__xludf.DUMMYFUNCTION("GOOGLETRANSLATE(B1210, ""zh"", ""en"")"),"Very comfortable size is appropriate than a small one yard sneakers buy buy buy buy ha ha ha")</f>
        <v>Very comfortable size is appropriate than a small one yard sneakers buy buy buy buy ha ha ha</v>
      </c>
    </row>
    <row r="1211">
      <c r="A1211" s="1">
        <v>5.0</v>
      </c>
      <c r="B1211" s="1" t="s">
        <v>1211</v>
      </c>
      <c r="C1211" t="str">
        <f>IFERROR(__xludf.DUMMYFUNCTION("GOOGLETRANSLATE(B1211, ""zh"", ""en"")"),"Very good very good, no trace models, wild and convenient ......")</f>
        <v>Very good very good, no trace models, wild and convenient ......</v>
      </c>
    </row>
    <row r="1212">
      <c r="A1212" s="1">
        <v>5.0</v>
      </c>
      <c r="B1212" s="1" t="s">
        <v>1212</v>
      </c>
      <c r="C1212" t="str">
        <f>IFERROR(__xludf.DUMMYFUNCTION("GOOGLETRANSLATE(B1212, ""zh"", ""en"")"),"Smoothly write up is very smooth, the next day without a beginning and no signs of broken ink and very satisfactory product")</f>
        <v>Smoothly write up is very smooth, the next day without a beginning and no signs of broken ink and very satisfactory product</v>
      </c>
    </row>
    <row r="1213">
      <c r="A1213" s="1">
        <v>5.0</v>
      </c>
      <c r="B1213" s="1" t="s">
        <v>1213</v>
      </c>
      <c r="C1213" t="str">
        <f>IFERROR(__xludf.DUMMYFUNCTION("GOOGLETRANSLATE(B1213, ""zh"", ""en"")"),"No comfort are comfortable to wear without feeling totally agree, especially back")</f>
        <v>No comfort are comfortable to wear without feeling totally agree, especially back</v>
      </c>
    </row>
    <row r="1214">
      <c r="A1214" s="1">
        <v>5.0</v>
      </c>
      <c r="B1214" s="1" t="s">
        <v>1214</v>
      </c>
      <c r="C1214" t="str">
        <f>IFERROR(__xludf.DUMMYFUNCTION("GOOGLETRANSLATE(B1214, ""zh"", ""en"")"),"well! Well, not from the previous evaluation, I do not know how many wasted points, points can change money now know, they should look carefully evaluated, then I put these words to copy to go, both to earn points, but also the easy way, where are copy wh"&amp;"ere, most importantly, do not seriously review, do not think how much worse word, sent directly to it, recommend it to everyone! !")</f>
        <v>well! Well, not from the previous evaluation, I do not know how many wasted points, points can change money now know, they should look carefully evaluated, then I put these words to copy to go, both to earn points, but also the easy way, where are copy where, most importantly, do not seriously review, do not think how much worse word, sent directly to it, recommend it to everyone! !</v>
      </c>
    </row>
    <row r="1215">
      <c r="A1215" s="1">
        <v>5.0</v>
      </c>
      <c r="B1215" s="1" t="s">
        <v>1215</v>
      </c>
      <c r="C1215" t="str">
        <f>IFERROR(__xludf.DUMMYFUNCTION("GOOGLETRANSLATE(B1215, ""zh"", ""en"")"),"Very satisfied very comfortable, good quality, free shipping new users, it is worth")</f>
        <v>Very satisfied very comfortable, good quality, free shipping new users, it is worth</v>
      </c>
    </row>
    <row r="1216">
      <c r="A1216" s="1">
        <v>5.0</v>
      </c>
      <c r="B1216" s="1" t="s">
        <v>1216</v>
      </c>
      <c r="C1216" t="str">
        <f>IFERROR(__xludf.DUMMYFUNCTION("GOOGLETRANSLATE(B1216, ""zh"", ""en"")"),"Good buy big, but the quality is good, wear loose is also very good looking.")</f>
        <v>Good buy big, but the quality is good, wear loose is also very good looking.</v>
      </c>
    </row>
    <row r="1217">
      <c r="A1217" s="1">
        <v>5.0</v>
      </c>
      <c r="B1217" s="1" t="s">
        <v>1217</v>
      </c>
      <c r="C1217" t="str">
        <f>IFERROR(__xludf.DUMMYFUNCTION("GOOGLETRANSLATE(B1217, ""zh"", ""en"")"),"Good 👌 underwear materials smooth and soft, good texture, and EA is the same texture underwear")</f>
        <v>Good 👌 underwear materials smooth and soft, good texture, and EA is the same texture underwear</v>
      </c>
    </row>
    <row r="1218">
      <c r="A1218" s="1">
        <v>5.0</v>
      </c>
      <c r="B1218" s="1" t="s">
        <v>1218</v>
      </c>
      <c r="C1218" t="str">
        <f>IFERROR(__xludf.DUMMYFUNCTION("GOOGLETRANSLATE(B1218, ""zh"", ""en"")"),"Nice pants pants texture good, I believe this brand, can withstand some cold, but Great Northern cold, or not ah, overall satisfaction")</f>
        <v>Nice pants pants texture good, I believe this brand, can withstand some cold, but Great Northern cold, or not ah, overall satisfaction</v>
      </c>
    </row>
    <row r="1219">
      <c r="A1219" s="1">
        <v>5.0</v>
      </c>
      <c r="B1219" s="1" t="s">
        <v>1219</v>
      </c>
      <c r="C1219" t="str">
        <f>IFERROR(__xludf.DUMMYFUNCTION("GOOGLETRANSLATE(B1219, ""zh"", ""en"")"),"Kids love to eat, bought before the parents at ease, just in time for the event. Kids love to eat.")</f>
        <v>Kids love to eat, bought before the parents at ease, just in time for the event. Kids love to eat.</v>
      </c>
    </row>
    <row r="1220">
      <c r="A1220" s="1">
        <v>5.0</v>
      </c>
      <c r="B1220" s="1" t="s">
        <v>1220</v>
      </c>
      <c r="C1220" t="str">
        <f>IFERROR(__xludf.DUMMYFUNCTION("GOOGLETRANSLATE(B1220, ""zh"", ""en"")"),"First-hand experience of the product packaging is slightly squashed, as if the product is not used, because there are gray border on the headset? . . . Have not used half an hour, the sound and feel no different phone comes with headphones. . . It could b"&amp;"e no comparison. .")</f>
        <v>First-hand experience of the product packaging is slightly squashed, as if the product is not used, because there are gray border on the headset? . . . Have not used half an hour, the sound and feel no different phone comes with headphones. . . It could be no comparison. .</v>
      </c>
    </row>
    <row r="1221">
      <c r="A1221" s="1">
        <v>5.0</v>
      </c>
      <c r="B1221" s="1" t="s">
        <v>1221</v>
      </c>
      <c r="C1221" t="str">
        <f>IFERROR(__xludf.DUMMYFUNCTION("GOOGLETRANSLATE(B1221, ""zh"", ""en"")"),"perfect very comfortable, rare fashion styles")</f>
        <v>perfect very comfortable, rare fashion styles</v>
      </c>
    </row>
    <row r="1222">
      <c r="A1222" s="1">
        <v>5.0</v>
      </c>
      <c r="B1222" s="1" t="s">
        <v>1222</v>
      </c>
      <c r="C1222" t="str">
        <f>IFERROR(__xludf.DUMMYFUNCTION("GOOGLETRANSLATE(B1222, ""zh"", ""en"")"),"I consult the domestic shoe number 40 to wear shoes, sports shoes 41. Can I wear the appropriate number how much?")</f>
        <v>I consult the domestic shoe number 40 to wear shoes, sports shoes 41. Can I wear the appropriate number how much?</v>
      </c>
    </row>
    <row r="1223">
      <c r="A1223" s="1">
        <v>5.0</v>
      </c>
      <c r="B1223" s="1" t="s">
        <v>1223</v>
      </c>
      <c r="C1223" t="str">
        <f>IFERROR(__xludf.DUMMYFUNCTION("GOOGLETRANSLATE(B1223, ""zh"", ""en"")"),"Good shoes really good, put on foot as root, especially solid")</f>
        <v>Good shoes really good, put on foot as root, especially solid</v>
      </c>
    </row>
    <row r="1224">
      <c r="A1224" s="1">
        <v>2.0</v>
      </c>
      <c r="B1224" s="1" t="s">
        <v>1224</v>
      </c>
      <c r="C1224" t="str">
        <f>IFERROR(__xludf.DUMMYFUNCTION("GOOGLETRANSLATE(B1224, ""zh"", ""en"")"),"How seals are generally sealed edge closure could not, can overflow")</f>
        <v>How seals are generally sealed edge closure could not, can overflow</v>
      </c>
    </row>
    <row r="1225">
      <c r="A1225" s="1">
        <v>3.0</v>
      </c>
      <c r="B1225" s="1" t="s">
        <v>1225</v>
      </c>
      <c r="C1225" t="str">
        <f>IFERROR(__xludf.DUMMYFUNCTION("GOOGLETRANSLATE(B1225, ""zh"", ""en"")"),"Pilling version material is very good, 181,83kgM code appropriate, a little pilling, treasure Zhendian buy, the price of beauty")</f>
        <v>Pilling version material is very good, 181,83kgM code appropriate, a little pilling, treasure Zhendian buy, the price of beauty</v>
      </c>
    </row>
    <row r="1226">
      <c r="A1226" s="1">
        <v>3.0</v>
      </c>
      <c r="B1226" s="1" t="s">
        <v>1226</v>
      </c>
      <c r="C1226" t="str">
        <f>IFERROR(__xludf.DUMMYFUNCTION("GOOGLETRANSLATE(B1226, ""zh"", ""en"")"),"Girls buy appropriate. Girls, six meters, 135 pounds, wearing appropriate, in the long section.")</f>
        <v>Girls buy appropriate. Girls, six meters, 135 pounds, wearing appropriate, in the long section.</v>
      </c>
    </row>
    <row r="1227">
      <c r="A1227" s="1">
        <v>1.0</v>
      </c>
      <c r="B1227" s="1" t="s">
        <v>1227</v>
      </c>
      <c r="C1227" t="str">
        <f>IFERROR(__xludf.DUMMYFUNCTION("GOOGLETRANSLATE(B1227, ""zh"", ""en"")"),"Describes how inconsistent is matte leather")</f>
        <v>Describes how inconsistent is matte leather</v>
      </c>
    </row>
    <row r="1228">
      <c r="A1228" s="1">
        <v>1.0</v>
      </c>
      <c r="B1228" s="1" t="s">
        <v>1228</v>
      </c>
      <c r="C1228" t="str">
        <f>IFERROR(__xludf.DUMMYFUNCTION("GOOGLETRANSLATE(B1228, ""zh"", ""en"")"),"Hanging paper! ! second hand! ! Of course, it is second-hand goods, have been used on the tip of the nose to buy blue water stains, which also put up, most dissatisfied with it and then hang the paper, really depressed ah, for the first time to buy an exp"&amp;"ensive pen, years ago buy the company sent today to work before the next trial, we can not return, and hey. . . Nothing with")</f>
        <v>Hanging paper! ! second hand! ! Of course, it is second-hand goods, have been used on the tip of the nose to buy blue water stains, which also put up, most dissatisfied with it and then hang the paper, really depressed ah, for the first time to buy an expensive pen, years ago buy the company sent today to work before the next trial, we can not return, and hey. . . Nothing with</v>
      </c>
    </row>
    <row r="1229">
      <c r="A1229" s="1">
        <v>4.0</v>
      </c>
      <c r="B1229" s="1" t="s">
        <v>1229</v>
      </c>
      <c r="C1229" t="str">
        <f>IFERROR(__xludf.DUMMYFUNCTION("GOOGLETRANSLATE(B1229, ""zh"", ""en"")"),"The taste of seafood flavor of the strawberry began to drink feels a bit strange")</f>
        <v>The taste of seafood flavor of the strawberry began to drink feels a bit strange</v>
      </c>
    </row>
    <row r="1230">
      <c r="A1230" s="1">
        <v>4.0</v>
      </c>
      <c r="B1230" s="1" t="s">
        <v>1230</v>
      </c>
      <c r="C1230" t="str">
        <f>IFERROR(__xludf.DUMMYFUNCTION("GOOGLETRANSLATE(B1230, ""zh"", ""en"")"),"Size is too large and a half yards, 42 yards foot feeling okay, slightly larger, overall satisfaction, to the left there is no wear wrinkled.")</f>
        <v>Size is too large and a half yards, 42 yards foot feeling okay, slightly larger, overall satisfaction, to the left there is no wear wrinkled.</v>
      </c>
    </row>
    <row r="1231">
      <c r="A1231" s="1">
        <v>4.0</v>
      </c>
      <c r="B1231" s="1" t="s">
        <v>1231</v>
      </c>
      <c r="C1231" t="str">
        <f>IFERROR(__xludf.DUMMYFUNCTION("GOOGLETRANSLATE(B1231, ""zh"", ""en"")"),"Very thick, very thick, the general feeling cloth.")</f>
        <v>Very thick, very thick, the general feeling cloth.</v>
      </c>
    </row>
    <row r="1232">
      <c r="A1232" s="1">
        <v>4.0</v>
      </c>
      <c r="B1232" s="1" t="s">
        <v>1232</v>
      </c>
      <c r="C1232" t="str">
        <f>IFERROR(__xludf.DUMMYFUNCTION("GOOGLETRANSLATE(B1232, ""zh"", ""en"")"),"No color code number is too large, thin. 176,74 kg, just a small yard.")</f>
        <v>No color code number is too large, thin. 176,74 kg, just a small yard.</v>
      </c>
    </row>
    <row r="1233">
      <c r="A1233" s="1">
        <v>4.0</v>
      </c>
      <c r="B1233" s="1" t="s">
        <v>1233</v>
      </c>
      <c r="C1233" t="str">
        <f>IFERROR(__xludf.DUMMYFUNCTION("GOOGLETRANSLATE(B1233, ""zh"", ""en"")"),"It will shrink will shrink, shrink, shrink, important things to say three times! A little fat people do not buy. Clothes quality is no problem, the problem is the numbers, I bought the L No. feel after shrink fit 170-175cm, weight between 60-70kg wear")</f>
        <v>It will shrink will shrink, shrink, shrink, important things to say three times! A little fat people do not buy. Clothes quality is no problem, the problem is the numbers, I bought the L No. feel after shrink fit 170-175cm, weight between 60-70kg wear</v>
      </c>
    </row>
    <row r="1234">
      <c r="A1234" s="1">
        <v>5.0</v>
      </c>
      <c r="B1234" s="1" t="s">
        <v>1234</v>
      </c>
      <c r="C1234" t="str">
        <f>IFERROR(__xludf.DUMMYFUNCTION("GOOGLETRANSLATE(B1234, ""zh"", ""en"")"),"Inexpensive and durable waterproof really nice ......")</f>
        <v>Inexpensive and durable waterproof really nice ......</v>
      </c>
    </row>
    <row r="1235">
      <c r="A1235" s="1">
        <v>5.0</v>
      </c>
      <c r="B1235" s="1" t="s">
        <v>1235</v>
      </c>
      <c r="C1235" t="str">
        <f>IFERROR(__xludf.DUMMYFUNCTION("GOOGLETRANSLATE(B1235, ""zh"", ""en"")"),"Good thin cashmere for spring and autumn days, size is too large.")</f>
        <v>Good thin cashmere for spring and autumn days, size is too large.</v>
      </c>
    </row>
    <row r="1236">
      <c r="A1236" s="1">
        <v>5.0</v>
      </c>
      <c r="B1236" s="1" t="s">
        <v>1236</v>
      </c>
      <c r="C1236" t="str">
        <f>IFERROR(__xludf.DUMMYFUNCTION("GOOGLETRANSLATE(B1236, ""zh"", ""en"")"),"Product experience good first impression is light, feel good to put a water, insulation can, seven hours is still hot, details of the deal of good.")</f>
        <v>Product experience good first impression is light, feel good to put a water, insulation can, seven hours is still hot, details of the deal of good.</v>
      </c>
    </row>
    <row r="1237">
      <c r="A1237" s="1">
        <v>5.0</v>
      </c>
      <c r="B1237" s="1" t="s">
        <v>1237</v>
      </c>
      <c r="C1237" t="str">
        <f>IFERROR(__xludf.DUMMYFUNCTION("GOOGLETRANSLATE(B1237, ""zh"", ""en"")"),"Convenient, practical good, very practical. You can hold food supplement, soups, snacks.")</f>
        <v>Convenient, practical good, very practical. You can hold food supplement, soups, snacks.</v>
      </c>
    </row>
    <row r="1238">
      <c r="A1238" s="1">
        <v>5.0</v>
      </c>
      <c r="B1238" s="1" t="s">
        <v>1238</v>
      </c>
      <c r="C1238" t="str">
        <f>IFERROR(__xludf.DUMMYFUNCTION("GOOGLETRANSLATE(B1238, ""zh"", ""en"")"),"Too large, good quality! &lt;Div id = ""video-block-R150A6X6QRXGKL"" class = ""a-section a-spacing-small a-spacing-top-mini video-block""&gt; &lt;/ div&gt; &lt;input type = ""hidden"" name = """" value = ""https://images-cn.ssl-images-amazon.com/images/I/918G6rMQs3S.mp4"&amp;""" class = ""video-url""&gt; &lt;input type = ""hidden"" name = """" value = ""https: //images-cn.ssl-images-amazon.com/images/I/A1gHSHiUuwS.png ""class ="" video-slate-img-url ""&gt; &amp; nbsp; s buy green and gray codes of m symbols, feeling s code is China's m cod"&amp;"e is too large! But the quality of Leverage, very soft and comfortable, self-cultivation.")</f>
        <v>Too large, good quality! &lt;Div id = "video-block-R150A6X6QRXGKL" class = "a-section a-spacing-small a-spacing-top-mini video-block"&gt; &lt;/ div&gt; &lt;input type = "hidden" name = "" value = "https://images-cn.ssl-images-amazon.com/images/I/918G6rMQs3S.mp4" class = "video-url"&gt; &lt;input type = "hidden" name = "" value = "https: //images-cn.ssl-images-amazon.com/images/I/A1gHSHiUuwS.png "class =" video-slate-img-url "&gt; &amp; nbsp; s buy green and gray codes of m symbols, feeling s code is China's m code is too large! But the quality of Leverage, very soft and comfortable, self-cultivation.</v>
      </c>
    </row>
    <row r="1239">
      <c r="A1239" s="1">
        <v>5.0</v>
      </c>
      <c r="B1239" s="1" t="s">
        <v>1239</v>
      </c>
      <c r="C1239" t="str">
        <f>IFERROR(__xludf.DUMMYFUNCTION("GOOGLETRANSLATE(B1239, ""zh"", ""en"")"),"Well first overseas purchase orders of Prime membership benefits. Cheaper than purchasing, the key is to guarantee genuine, especially at ease. Good quality shoes, the classic wild style. like very much! Want to buy overseas products may be more abundant")</f>
        <v>Well first overseas purchase orders of Prime membership benefits. Cheaper than purchasing, the key is to guarantee genuine, especially at ease. Good quality shoes, the classic wild style. like very much! Want to buy overseas products may be more abundant</v>
      </c>
    </row>
    <row r="1240">
      <c r="A1240" s="1">
        <v>5.0</v>
      </c>
      <c r="B1240" s="1" t="s">
        <v>1240</v>
      </c>
      <c r="C1240" t="str">
        <f>IFERROR(__xludf.DUMMYFUNCTION("GOOGLETRANSLATE(B1240, ""zh"", ""en"")"),"Good to wear very comfortable, wearing no sense. Become a fan of the brand directly")</f>
        <v>Good to wear very comfortable, wearing no sense. Become a fan of the brand directly</v>
      </c>
    </row>
    <row r="1241">
      <c r="A1241" s="1">
        <v>5.0</v>
      </c>
      <c r="B1241" s="1" t="s">
        <v>1241</v>
      </c>
      <c r="C1241" t="str">
        <f>IFERROR(__xludf.DUMMYFUNCTION("GOOGLETRANSLATE(B1241, ""zh"", ""en"")"),"Bad things good, quality can be.")</f>
        <v>Bad things good, quality can be.</v>
      </c>
    </row>
    <row r="1242">
      <c r="A1242" s="1">
        <v>5.0</v>
      </c>
      <c r="B1242" s="1" t="s">
        <v>1242</v>
      </c>
      <c r="C1242" t="str">
        <f>IFERROR(__xludf.DUMMYFUNCTION("GOOGLETRANSLATE(B1242, ""zh"", ""en"")"),"So good comfort to her mother buy a very satisfied")</f>
        <v>So good comfort to her mother buy a very satisfied</v>
      </c>
    </row>
    <row r="1243">
      <c r="A1243" s="1">
        <v>5.0</v>
      </c>
      <c r="B1243" s="1" t="s">
        <v>1243</v>
      </c>
      <c r="C1243" t="str">
        <f>IFERROR(__xludf.DUMMYFUNCTION("GOOGLETRANSLATE(B1243, ""zh"", ""en"")"),"Quality and feel good thick fabric, feel very good, it 173cm / 80kg, the yardage a little loose, is typical of the clothes!")</f>
        <v>Quality and feel good thick fabric, feel very good, it 173cm / 80kg, the yardage a little loose, is typical of the clothes!</v>
      </c>
    </row>
    <row r="1244">
      <c r="A1244" s="1">
        <v>5.0</v>
      </c>
      <c r="B1244" s="1" t="s">
        <v>1244</v>
      </c>
      <c r="C1244" t="str">
        <f>IFERROR(__xludf.DUMMYFUNCTION("GOOGLETRANSLATE(B1244, ""zh"", ""en"")"),"Z value of the cost-effective to buy, so the value, stronger than the 2.1 subwoofer too much,")</f>
        <v>Z value of the cost-effective to buy, so the value, stronger than the 2.1 subwoofer too much,</v>
      </c>
    </row>
    <row r="1245">
      <c r="A1245" s="1">
        <v>5.0</v>
      </c>
      <c r="B1245" s="1" t="s">
        <v>1245</v>
      </c>
      <c r="C1245" t="str">
        <f>IFERROR(__xludf.DUMMYFUNCTION("GOOGLETRANSLATE(B1245, ""zh"", ""en"")"),"Real have to buy good quality, very light, good size just right, come back next time")</f>
        <v>Real have to buy good quality, very light, good size just right, come back next time</v>
      </c>
    </row>
    <row r="1246">
      <c r="A1246" s="1">
        <v>5.0</v>
      </c>
      <c r="B1246" s="1" t="s">
        <v>1246</v>
      </c>
      <c r="C1246" t="str">
        <f>IFERROR(__xludf.DUMMYFUNCTION("GOOGLETRANSLATE(B1246, ""zh"", ""en"")"),"Comfortable fit with elastic personally prefer immediately order another color.")</f>
        <v>Comfortable fit with elastic personally prefer immediately order another color.</v>
      </c>
    </row>
    <row r="1247">
      <c r="A1247" s="1">
        <v>5.0</v>
      </c>
      <c r="B1247" s="1" t="s">
        <v>1247</v>
      </c>
      <c r="C1247" t="str">
        <f>IFERROR(__xludf.DUMMYFUNCTION("GOOGLETRANSLATE(B1247, ""zh"", ""en"")"),"The headset is very good, sound good, bass full thickness")</f>
        <v>The headset is very good, sound good, bass full thickness</v>
      </c>
    </row>
    <row r="1248">
      <c r="A1248" s="1">
        <v>5.0</v>
      </c>
      <c r="B1248" s="1" t="s">
        <v>1248</v>
      </c>
      <c r="C1248" t="str">
        <f>IFERROR(__xludf.DUMMYFUNCTION("GOOGLETRANSLATE(B1248, ""zh"", ""en"")"),"made in tailand [now stronger than before WD lot ~] [previously bought a large noise WD book series, and now there is no new noise, but also to turn Paul, WD getting a cow! WD] used to buy much time, and more time to buy Seagate, WD now the advantage of n"&amp;"ot using any problems than Seagate's current strong ~.")</f>
        <v>made in tailand [now stronger than before WD lot ~] [previously bought a large noise WD book series, and now there is no new noise, but also to turn Paul, WD getting a cow! WD] used to buy much time, and more time to buy Seagate, WD now the advantage of not using any problems than Seagate's current strong ~.</v>
      </c>
    </row>
    <row r="1249">
      <c r="A1249" s="1">
        <v>5.0</v>
      </c>
      <c r="B1249" s="1" t="s">
        <v>1249</v>
      </c>
      <c r="C1249" t="str">
        <f>IFERROR(__xludf.DUMMYFUNCTION("GOOGLETRANSLATE(B1249, ""zh"", ""en"")"),"Suitable size, style style Attractive Attractive")</f>
        <v>Suitable size, style style Attractive Attractive</v>
      </c>
    </row>
    <row r="1250">
      <c r="A1250" s="1">
        <v>5.0</v>
      </c>
      <c r="B1250" s="1" t="s">
        <v>1250</v>
      </c>
      <c r="C1250" t="str">
        <f>IFERROR(__xludf.DUMMYFUNCTION("GOOGLETRANSLATE(B1250, ""zh"", ""en"")"),"Comfortable good fabric is very comfortable! worth buying")</f>
        <v>Comfortable good fabric is very comfortable! worth buying</v>
      </c>
    </row>
    <row r="1251">
      <c r="A1251" s="1">
        <v>5.0</v>
      </c>
      <c r="B1251" s="1" t="s">
        <v>1251</v>
      </c>
      <c r="C1251" t="str">
        <f>IFERROR(__xludf.DUMMYFUNCTION("GOOGLETRANSLATE(B1251, ""zh"", ""en"")"),"Good quality, comfortable, this election number too appropriate election code good fit, quality stuff, personal comfort")</f>
        <v>Good quality, comfortable, this election number too appropriate election code good fit, quality stuff, personal comfort</v>
      </c>
    </row>
    <row r="1252">
      <c r="A1252" s="1">
        <v>5.0</v>
      </c>
      <c r="B1252" s="1" t="s">
        <v>1252</v>
      </c>
      <c r="C1252" t="str">
        <f>IFERROR(__xludf.DUMMYFUNCTION("GOOGLETRANSLATE(B1252, ""zh"", ""en"")"),"Very, very good, very fit, very comfortable")</f>
        <v>Very, very good, very fit, very comfortable</v>
      </c>
    </row>
    <row r="1253">
      <c r="A1253" s="1">
        <v>5.0</v>
      </c>
      <c r="B1253" s="1" t="s">
        <v>1253</v>
      </c>
      <c r="C1253" t="str">
        <f>IFERROR(__xludf.DUMMYFUNCTION("GOOGLETRANSLATE(B1253, ""zh"", ""en"")"),"v-moda headphones first start, still burn, the sound quality is also OK, praise be to develop decorations")</f>
        <v>v-moda headphones first start, still burn, the sound quality is also OK, praise be to develop decorations</v>
      </c>
    </row>
    <row r="1254">
      <c r="A1254" s="1">
        <v>5.0</v>
      </c>
      <c r="B1254" s="1" t="s">
        <v>1254</v>
      </c>
      <c r="C1254" t="str">
        <f>IFERROR(__xludf.DUMMYFUNCTION("GOOGLETRANSLATE(B1254, ""zh"", ""en"")"),"Comfortable little bar code number is too large, I usually wear shoes 40 yards. Ouma is estimated to be too large a number to wear shoelaces tied it just right. Walk or wear very comfortable, cheaper to buy than in the country too much, and certainly genu"&amp;"ine. Only a little more than 500 hand, domestic motionless 2000 up and down, just terrible.")</f>
        <v>Comfortable little bar code number is too large, I usually wear shoes 40 yards. Ouma is estimated to be too large a number to wear shoelaces tied it just right. Walk or wear very comfortable, cheaper to buy than in the country too much, and certainly genuine. Only a little more than 500 hand, domestic motionless 2000 up and down, just terrible.</v>
      </c>
    </row>
    <row r="1255">
      <c r="A1255" s="1">
        <v>5.0</v>
      </c>
      <c r="B1255" s="1" t="s">
        <v>1255</v>
      </c>
      <c r="C1255" t="str">
        <f>IFERROR(__xludf.DUMMYFUNCTION("GOOGLETRANSLATE(B1255, ""zh"", ""en"")"),"Affordable cheap, very comfortable to wear")</f>
        <v>Affordable cheap, very comfortable to wear</v>
      </c>
    </row>
    <row r="1256">
      <c r="A1256" s="1">
        <v>2.0</v>
      </c>
      <c r="B1256" s="1" t="s">
        <v>1256</v>
      </c>
      <c r="C1256" t="str">
        <f>IFERROR(__xludf.DUMMYFUNCTION("GOOGLETRANSLATE(B1256, ""zh"", ""en"")"),"logo fade thick material, but once on the chest logo wash fade, and cynicism, suspicion brand")</f>
        <v>logo fade thick material, but once on the chest logo wash fade, and cynicism, suspicion brand</v>
      </c>
    </row>
    <row r="1257">
      <c r="A1257" s="1">
        <v>3.0</v>
      </c>
      <c r="B1257" s="1" t="s">
        <v>1257</v>
      </c>
      <c r="C1257" t="str">
        <f>IFERROR(__xludf.DUMMYFUNCTION("GOOGLETRANSLATE(B1257, ""zh"", ""en"")"),"Quality is no problem too small, 177cm, 75kg small No. 1 and a half feeling.")</f>
        <v>Quality is no problem too small, 177cm, 75kg small No. 1 and a half feeling.</v>
      </c>
    </row>
    <row r="1258">
      <c r="A1258" s="1">
        <v>3.0</v>
      </c>
      <c r="B1258" s="1" t="s">
        <v>1258</v>
      </c>
      <c r="C1258" t="str">
        <f>IFERROR(__xludf.DUMMYFUNCTION("GOOGLETRANSLATE(B1258, ""zh"", ""en"")"),"Key stuck to the upper left corner flaw, flawed, with the counter wearing a slightly different texture, feel less fit the wrist.")</f>
        <v>Key stuck to the upper left corner flaw, flawed, with the counter wearing a slightly different texture, feel less fit the wrist.</v>
      </c>
    </row>
    <row r="1259">
      <c r="A1259" s="1">
        <v>1.0</v>
      </c>
      <c r="B1259" s="1" t="s">
        <v>1259</v>
      </c>
      <c r="C1259" t="str">
        <f>IFERROR(__xludf.DUMMYFUNCTION("GOOGLETRANSLATE(B1259, ""zh"", ""en"")"),"The first bad review all missed")</f>
        <v>The first bad review all missed</v>
      </c>
    </row>
    <row r="1260">
      <c r="A1260" s="1">
        <v>1.0</v>
      </c>
      <c r="B1260" s="1" t="s">
        <v>1260</v>
      </c>
      <c r="C1260" t="str">
        <f>IFERROR(__xludf.DUMMYFUNCTION("GOOGLETRANSLATE(B1260, ""zh"", ""en"")"),"The worst thing did not buy the Amazon side of something like $ 20 Taobao want to return to 125 yuan is really no different from stealing money and what difference")</f>
        <v>The worst thing did not buy the Amazon side of something like $ 20 Taobao want to return to 125 yuan is really no different from stealing money and what difference</v>
      </c>
    </row>
    <row r="1261">
      <c r="A1261" s="1">
        <v>1.0</v>
      </c>
      <c r="B1261" s="1" t="s">
        <v>1261</v>
      </c>
      <c r="C1261" t="str">
        <f>IFERROR(__xludf.DUMMYFUNCTION("GOOGLETRANSLATE(B1261, ""zh"", ""en"")"),"Base uneven across the sea, on the broken packaging, the great weight, but the base is uneven, there is always a side tilt! !")</f>
        <v>Base uneven across the sea, on the broken packaging, the great weight, but the base is uneven, there is always a side tilt! !</v>
      </c>
    </row>
    <row r="1262">
      <c r="A1262" s="1">
        <v>4.0</v>
      </c>
      <c r="B1262" s="1" t="s">
        <v>1262</v>
      </c>
      <c r="C1262" t="str">
        <f>IFERROR(__xludf.DUMMYFUNCTION("GOOGLETRANSLATE(B1262, ""zh"", ""en"")"),"Received something a little color, a little color, no pictures on the depth, height 168, S number, and a little long, others are very good")</f>
        <v>Received something a little color, a little color, no pictures on the depth, height 168, S number, and a little long, others are very good</v>
      </c>
    </row>
    <row r="1263">
      <c r="A1263" s="1">
        <v>4.0</v>
      </c>
      <c r="B1263" s="1" t="s">
        <v>1263</v>
      </c>
      <c r="C1263" t="str">
        <f>IFERROR(__xludf.DUMMYFUNCTION("GOOGLETRANSLATE(B1263, ""zh"", ""en"")"),"Noise, 10t cost generally less cost-effective over the same period, and the noise is really big, but if there is no comparison at this price is also quite good, the first experience of logistics is really fast")</f>
        <v>Noise, 10t cost generally less cost-effective over the same period, and the noise is really big, but if there is no comparison at this price is also quite good, the first experience of logistics is really fast</v>
      </c>
    </row>
    <row r="1264">
      <c r="A1264" s="1">
        <v>4.0</v>
      </c>
      <c r="B1264" s="1" t="s">
        <v>1264</v>
      </c>
      <c r="C1264" t="str">
        <f>IFERROR(__xludf.DUMMYFUNCTION("GOOGLETRANSLATE(B1264, ""zh"", ""en"")"),"This small spoon baby spoon is more trumpet. Maybe we are more anxious, I hope with a spoon, feed a little faster")</f>
        <v>This small spoon baby spoon is more trumpet. Maybe we are more anxious, I hope with a spoon, feed a little faster</v>
      </c>
    </row>
    <row r="1265">
      <c r="A1265" s="1">
        <v>4.0</v>
      </c>
      <c r="B1265" s="1" t="s">
        <v>1265</v>
      </c>
      <c r="C1265" t="str">
        <f>IFERROR(__xludf.DUMMYFUNCTION("GOOGLETRANSLATE(B1265, ""zh"", ""en"")"),"Crude ore, solid usually are 36 to buy, this time to buy 35, the waist is very fit, a little fat legs, place of origin in Mexico, a lot of work coarse ore thread, strong enough. Height 173cm, weight 80kg. British-arrival rate faster than the United States"&amp;" and Asia better days, while wearing shorts to buy this dry wash it to.")</f>
        <v>Crude ore, solid usually are 36 to buy, this time to buy 35, the waist is very fit, a little fat legs, place of origin in Mexico, a lot of work coarse ore thread, strong enough. Height 173cm, weight 80kg. British-arrival rate faster than the United States and Asia better days, while wearing shorts to buy this dry wash it to.</v>
      </c>
    </row>
    <row r="1266">
      <c r="A1266" s="1">
        <v>4.0</v>
      </c>
      <c r="B1266" s="1" t="s">
        <v>1266</v>
      </c>
      <c r="C1266" t="str">
        <f>IFERROR(__xludf.DUMMYFUNCTION("GOOGLETRANSLATE(B1266, ""zh"", ""en"")"),"But like feeling slightly larger shoe size is too large to wear socks or empty general wear Nike Elite socks wrapped a lot of sense no less than 37 chose to stay right 😊")</f>
        <v>But like feeling slightly larger shoe size is too large to wear socks or empty general wear Nike Elite socks wrapped a lot of sense no less than 37 chose to stay right 😊</v>
      </c>
    </row>
    <row r="1267">
      <c r="A1267" s="1">
        <v>5.0</v>
      </c>
      <c r="B1267" s="1" t="s">
        <v>1267</v>
      </c>
      <c r="C1267" t="str">
        <f>IFERROR(__xludf.DUMMYFUNCTION("GOOGLETRANSLATE(B1267, ""zh"", ""en"")"),"Exquisite good to see a small bowl, very delicate!")</f>
        <v>Exquisite good to see a small bowl, very delicate!</v>
      </c>
    </row>
    <row r="1268">
      <c r="A1268" s="1">
        <v>5.0</v>
      </c>
      <c r="B1268" s="1" t="s">
        <v>1268</v>
      </c>
      <c r="C1268" t="str">
        <f>IFERROR(__xludf.DUMMYFUNCTION("GOOGLETRANSLATE(B1268, ""zh"", ""en"")"),"awesome! Better than his wife on a treasure to buy a million times.")</f>
        <v>awesome! Better than his wife on a treasure to buy a million times.</v>
      </c>
    </row>
    <row r="1269">
      <c r="A1269" s="1">
        <v>5.0</v>
      </c>
      <c r="B1269" s="1" t="s">
        <v>1269</v>
      </c>
      <c r="C1269" t="str">
        <f>IFERROR(__xludf.DUMMYFUNCTION("GOOGLETRANSLATE(B1269, ""zh"", ""en"")"),"Appropriate, the right size satisfaction, overall satisfaction.")</f>
        <v>Appropriate, the right size satisfaction, overall satisfaction.</v>
      </c>
    </row>
    <row r="1270">
      <c r="A1270" s="1">
        <v>5.0</v>
      </c>
      <c r="B1270" s="1" t="s">
        <v>1270</v>
      </c>
      <c r="C1270" t="str">
        <f>IFERROR(__xludf.DUMMYFUNCTION("GOOGLETRANSLATE(B1270, ""zh"", ""en"")"),"Good quality, fluffy love with this jacket, size is too large one yard abroad, trumpet just right. Hangzhou winter, wore one is enough, my Bosideng also wore two cold, ha ha. Down or professional outdoor sports ah!")</f>
        <v>Good quality, fluffy love with this jacket, size is too large one yard abroad, trumpet just right. Hangzhou winter, wore one is enough, my Bosideng also wore two cold, ha ha. Down or professional outdoor sports ah!</v>
      </c>
    </row>
    <row r="1271">
      <c r="A1271" s="1">
        <v>5.0</v>
      </c>
      <c r="B1271" s="1" t="s">
        <v>1271</v>
      </c>
      <c r="C1271" t="str">
        <f>IFERROR(__xludf.DUMMYFUNCTION("GOOGLETRANSLATE(B1271, ""zh"", ""en"")"),"good quality! good quality! Fit and comfortable to wear.")</f>
        <v>good quality! good quality! Fit and comfortable to wear.</v>
      </c>
    </row>
    <row r="1272">
      <c r="A1272" s="1">
        <v>5.0</v>
      </c>
      <c r="B1272" s="1" t="s">
        <v>1272</v>
      </c>
      <c r="C1272" t="str">
        <f>IFERROR(__xludf.DUMMYFUNCTION("GOOGLETRANSLATE(B1272, ""zh"", ""en"")"),"Never go to a good evaluation of the goods before, do not know how many wasted points, points can change money now know, they should look carefully evaluated, then I put these words to copy to go, both to earn points, but also save trouble, where one copy"&amp;" where, most importantly, do not seriously review, do not think how much worse word, sent directly to it, recommend it to everyone! !")</f>
        <v>Never go to a good evaluation of the goods before, do not know how many wasted points, points can change money now know, they should look carefully evaluated, then I put these words to copy to go, both to earn points, but also save trouble, where one copy where, most importantly, do not seriously review, do not think how much worse word, sent directly to it, recommend it to everyone! !</v>
      </c>
    </row>
    <row r="1273">
      <c r="A1273" s="1">
        <v>5.0</v>
      </c>
      <c r="B1273" s="1" t="s">
        <v>1273</v>
      </c>
      <c r="C1273" t="str">
        <f>IFERROR(__xludf.DUMMYFUNCTION("GOOGLETRANSLATE(B1273, ""zh"", ""en"")"),"Good good quality, the price is little expensive, draw a picture of the effect of leverage, to save the point with, coupled with energy like a pencil sharpener")</f>
        <v>Good good quality, the price is little expensive, draw a picture of the effect of leverage, to save the point with, coupled with energy like a pencil sharpener</v>
      </c>
    </row>
    <row r="1274">
      <c r="A1274" s="1">
        <v>5.0</v>
      </c>
      <c r="B1274" s="1" t="s">
        <v>1274</v>
      </c>
      <c r="C1274" t="str">
        <f>IFERROR(__xludf.DUMMYFUNCTION("GOOGLETRANSLATE(B1274, ""zh"", ""en"")"),"It looks good logistics and good speed, faster than expected. Cheap; if there is no quality issues need to follow the words of the warranty, cost-effective. Currently in use, everything is normal.")</f>
        <v>It looks good logistics and good speed, faster than expected. Cheap; if there is no quality issues need to follow the words of the warranty, cost-effective. Currently in use, everything is normal.</v>
      </c>
    </row>
    <row r="1275">
      <c r="A1275" s="1">
        <v>5.0</v>
      </c>
      <c r="B1275" s="1" t="s">
        <v>1275</v>
      </c>
      <c r="C1275" t="str">
        <f>IFERROR(__xludf.DUMMYFUNCTION("GOOGLETRANSLATE(B1275, ""zh"", ""en"")"),"Very convenient overseas shopping is really very convenient, you can buy first-hand electronic products. Very fond of, new unopened, the trek is also intact! White is very beautiful ...")</f>
        <v>Very convenient overseas shopping is really very convenient, you can buy first-hand electronic products. Very fond of, new unopened, the trek is also intact! White is very beautiful ...</v>
      </c>
    </row>
    <row r="1276">
      <c r="A1276" s="1">
        <v>5.0</v>
      </c>
      <c r="B1276" s="1" t="s">
        <v>1276</v>
      </c>
      <c r="C1276" t="str">
        <f>IFERROR(__xludf.DUMMYFUNCTION("GOOGLETRANSLATE(B1276, ""zh"", ""en"")"),"Very good buy for the first time more than 200 ...... headphones listening to feel worthy of its price")</f>
        <v>Very good buy for the first time more than 200 ...... headphones listening to feel worthy of its price</v>
      </c>
    </row>
    <row r="1277">
      <c r="A1277" s="1">
        <v>5.0</v>
      </c>
      <c r="B1277" s="1" t="s">
        <v>1277</v>
      </c>
      <c r="C1277" t="str">
        <f>IFERROR(__xludf.DUMMYFUNCTION("GOOGLETRANSLATE(B1277, ""zh"", ""en"")"),"171/69, M code is appropriate, particularly comfortable to wear comfortable genuine, 171/69, M code number appropriate, quality assurance, Vietnamese, it seems that Chinese labor costs more expensive.")</f>
        <v>171/69, M code is appropriate, particularly comfortable to wear comfortable genuine, 171/69, M code number appropriate, quality assurance, Vietnamese, it seems that Chinese labor costs more expensive.</v>
      </c>
    </row>
    <row r="1278">
      <c r="A1278" s="1">
        <v>5.0</v>
      </c>
      <c r="B1278" s="1" t="s">
        <v>1278</v>
      </c>
      <c r="C1278" t="str">
        <f>IFERROR(__xludf.DUMMYFUNCTION("GOOGLETRANSLATE(B1278, ""zh"", ""en"")"),"Did not pay attention when buying disposable ink pen that is the kind of gall ink can be on, get a one-time only to find, a little disappointed. . .")</f>
        <v>Did not pay attention when buying disposable ink pen that is the kind of gall ink can be on, get a one-time only to find, a little disappointed. . .</v>
      </c>
    </row>
    <row r="1279">
      <c r="A1279" s="1">
        <v>5.0</v>
      </c>
      <c r="B1279" s="1" t="s">
        <v>1279</v>
      </c>
      <c r="C1279" t="str">
        <f>IFERROR(__xludf.DUMMYFUNCTION("GOOGLETRANSLATE(B1279, ""zh"", ""en"")"),"Multidimensional essential complement SWISSE big brands, this vitamin tablets before eating small can be bought, this time simply to buy a large pot, eat slowly.")</f>
        <v>Multidimensional essential complement SWISSE big brands, this vitamin tablets before eating small can be bought, this time simply to buy a large pot, eat slowly.</v>
      </c>
    </row>
    <row r="1280">
      <c r="A1280" s="1">
        <v>5.0</v>
      </c>
      <c r="B1280" s="1" t="s">
        <v>1280</v>
      </c>
      <c r="C1280" t="str">
        <f>IFERROR(__xludf.DUMMYFUNCTION("GOOGLETRANSLATE(B1280, ""zh"", ""en"")"),"Aisi good quality and size are very positive, very high price")</f>
        <v>Aisi good quality and size are very positive, very high price</v>
      </c>
    </row>
    <row r="1281">
      <c r="A1281" s="1">
        <v>5.0</v>
      </c>
      <c r="B1281" s="1" t="s">
        <v>1281</v>
      </c>
      <c r="C1281" t="str">
        <f>IFERROR(__xludf.DUMMYFUNCTION("GOOGLETRANSLATE(B1281, ""zh"", ""en"")"),"We will continue to use, but also good very good, will continue to use")</f>
        <v>We will continue to use, but also good very good, will continue to use</v>
      </c>
    </row>
    <row r="1282">
      <c r="A1282" s="1">
        <v>5.0</v>
      </c>
      <c r="B1282" s="1" t="s">
        <v>1282</v>
      </c>
      <c r="C1282" t="str">
        <f>IFERROR(__xludf.DUMMYFUNCTION("GOOGLETRANSLATE(B1282, ""zh"", ""en"")"),"Very good red wine is very beautiful, the insulation capability Leverage, put boiling water the night, still hot, just drink directly. Amazon recognition speed, single No. 16, to No. 20. Read the small ticket, indeed Japanese direct mail.")</f>
        <v>Very good red wine is very beautiful, the insulation capability Leverage, put boiling water the night, still hot, just drink directly. Amazon recognition speed, single No. 16, to No. 20. Read the small ticket, indeed Japanese direct mail.</v>
      </c>
    </row>
    <row r="1283">
      <c r="A1283" s="1">
        <v>5.0</v>
      </c>
      <c r="B1283" s="1" t="s">
        <v>1283</v>
      </c>
      <c r="C1283" t="str">
        <f>IFERROR(__xludf.DUMMYFUNCTION("GOOGLETRANSLATE(B1283, ""zh"", ""en"")"),"Products can also be good, but when you receive the goods, bags no problem, but the box is broken.")</f>
        <v>Products can also be good, but when you receive the goods, bags no problem, but the box is broken.</v>
      </c>
    </row>
    <row r="1284">
      <c r="A1284" s="1">
        <v>5.0</v>
      </c>
      <c r="B1284" s="1" t="s">
        <v>1284</v>
      </c>
      <c r="C1284" t="str">
        <f>IFERROR(__xludf.DUMMYFUNCTION("GOOGLETRANSLATE(B1284, ""zh"", ""en"")"),"Warm the normal size to buy, fit, very warm")</f>
        <v>Warm the normal size to buy, fit, very warm</v>
      </c>
    </row>
    <row r="1285">
      <c r="A1285" s="1">
        <v>5.0</v>
      </c>
      <c r="B1285" s="1" t="s">
        <v>1285</v>
      </c>
      <c r="C1285" t="str">
        <f>IFERROR(__xludf.DUMMYFUNCTION("GOOGLETRANSLATE(B1285, ""zh"", ""en"")"),"The fabric is thick fabrics relatively thick but feel very good, very comfortable to wear, size is normal.")</f>
        <v>The fabric is thick fabrics relatively thick but feel very good, very comfortable to wear, size is normal.</v>
      </c>
    </row>
    <row r="1286">
      <c r="A1286" s="1">
        <v>5.0</v>
      </c>
      <c r="B1286" s="1" t="s">
        <v>1286</v>
      </c>
      <c r="C1286" t="str">
        <f>IFERROR(__xludf.DUMMYFUNCTION("GOOGLETRANSLATE(B1286, ""zh"", ""en"")"),"What is worth buying dry goods, this would value")</f>
        <v>What is worth buying dry goods, this would value</v>
      </c>
    </row>
    <row r="1287">
      <c r="A1287" s="1">
        <v>5.0</v>
      </c>
      <c r="B1287" s="1" t="s">
        <v>1287</v>
      </c>
      <c r="C1287" t="str">
        <f>IFERROR(__xludf.DUMMYFUNCTION("GOOGLETRANSLATE(B1287, ""zh"", ""en"")"),"Upper body good, affordable Height 180cm Weight 75KG, bought 3232, a finger width slightly larger waistline bar, which sets winter pants just, if the summer would be best to buy 31, 32. Read previous comments by mail really came when pants are wrinkled, n"&amp;"eed to wash wear, 334 to buy the right!")</f>
        <v>Upper body good, affordable Height 180cm Weight 75KG, bought 3232, a finger width slightly larger waistline bar, which sets winter pants just, if the summer would be best to buy 31, 32. Read previous comments by mail really came when pants are wrinkled, need to wash wear, 334 to buy the right!</v>
      </c>
    </row>
    <row r="1288">
      <c r="A1288" s="1">
        <v>5.0</v>
      </c>
      <c r="B1288" s="1" t="s">
        <v>1288</v>
      </c>
      <c r="C1288" t="str">
        <f>IFERROR(__xludf.DUMMYFUNCTION("GOOGLETRANSLATE(B1288, ""zh"", ""en"")"),"Under Armour Under Armor Men's UA Performance Polo shirt -... clothes large 2 yards than the normal dress code, wear thick summer")</f>
        <v>Under Armour Under Armor Men's UA Performance Polo shirt -... clothes large 2 yards than the normal dress code, wear thick summer</v>
      </c>
    </row>
    <row r="1289">
      <c r="A1289" s="1">
        <v>2.0</v>
      </c>
      <c r="B1289" s="1" t="s">
        <v>1289</v>
      </c>
      <c r="C1289" t="str">
        <f>IFERROR(__xludf.DUMMYFUNCTION("GOOGLETRANSLATE(B1289, ""zh"", ""en"")"),"Physical and photos colors serious discrepancies, two fitted pencil fit two Pelikan fountain pen! . 1. The actual product photos and color match seriously inconsistent with the picture at the Pelikan logo is green, the other part is black; physical sign a"&amp;"t the black belt, pencil side is green! 2. The physical size is narrow, pencil case filled with two fit two Pelikan fountain pen! As I matter of time, not enough time to return.")</f>
        <v>Physical and photos colors serious discrepancies, two fitted pencil fit two Pelikan fountain pen! . 1. The actual product photos and color match seriously inconsistent with the picture at the Pelikan logo is green, the other part is black; physical sign at the black belt, pencil side is green! 2. The physical size is narrow, pencil case filled with two fit two Pelikan fountain pen! As I matter of time, not enough time to return.</v>
      </c>
    </row>
    <row r="1290">
      <c r="A1290" s="1">
        <v>3.0</v>
      </c>
      <c r="B1290" s="1" t="s">
        <v>1290</v>
      </c>
      <c r="C1290" t="str">
        <f>IFERROR(__xludf.DUMMYFUNCTION("GOOGLETRANSLATE(B1290, ""zh"", ""en"")"),"Uncomfortable to wear in the feet very comfortable, very Ge feet, very hard!")</f>
        <v>Uncomfortable to wear in the feet very comfortable, very Ge feet, very hard!</v>
      </c>
    </row>
    <row r="1291">
      <c r="A1291" s="1">
        <v>3.0</v>
      </c>
      <c r="B1291" s="1" t="s">
        <v>1291</v>
      </c>
      <c r="C1291" t="str">
        <f>IFERROR(__xludf.DUMMYFUNCTION("GOOGLETRANSLATE(B1291, ""zh"", ""en"")"),"Size is too large chest no logo, baggy")</f>
        <v>Size is too large chest no logo, baggy</v>
      </c>
    </row>
    <row r="1292">
      <c r="A1292" s="1">
        <v>1.0</v>
      </c>
      <c r="B1292" s="1" t="s">
        <v>1292</v>
      </c>
      <c r="C1292" t="str">
        <f>IFERROR(__xludf.DUMMYFUNCTION("GOOGLETRANSLATE(B1292, ""zh"", ""en"")"),"Sleeves and a small clothes sleeves a little big, is it defective?")</f>
        <v>Sleeves and a small clothes sleeves a little big, is it defective?</v>
      </c>
    </row>
    <row r="1293">
      <c r="A1293" s="1">
        <v>1.0</v>
      </c>
      <c r="B1293" s="1" t="s">
        <v>1293</v>
      </c>
      <c r="C1293" t="str">
        <f>IFERROR(__xludf.DUMMYFUNCTION("GOOGLETRANSLATE(B1293, ""zh"", ""en"")"),"Prudent to buy too many defects can look at other people's comments do not recommend buying abroad may be defective goods arrived on the electrical charge does not go off without a machine can not open the machine need to be repeated several times before "&amp;"they can so that people buy with caution paragraph")</f>
        <v>Prudent to buy too many defects can look at other people's comments do not recommend buying abroad may be defective goods arrived on the electrical charge does not go off without a machine can not open the machine need to be repeated several times before they can so that people buy with caution paragraph</v>
      </c>
    </row>
    <row r="1294">
      <c r="A1294" s="1">
        <v>1.0</v>
      </c>
      <c r="B1294" s="1" t="s">
        <v>1294</v>
      </c>
      <c r="C1294" t="str">
        <f>IFERROR(__xludf.DUMMYFUNCTION("GOOGLETRANSLATE(B1294, ""zh"", ""en"")"),"Known as the 10-year battery, 1 year and 1 month to hang out called 10-year battery, 1 year and 1 month to hang out September 10, 2015 more than the arrival of a child with a school exam today ,, with the use of it display blur, light is not bright, do no"&amp;"t know the cause of the battery or other problems, things are no more than 100 Na Quxiu necessary. Must Tucao is searched Amazon, I could not find the watch's warranty period.")</f>
        <v>Known as the 10-year battery, 1 year and 1 month to hang out called 10-year battery, 1 year and 1 month to hang out September 10, 2015 more than the arrival of a child with a school exam today ,, with the use of it display blur, light is not bright, do not know the cause of the battery or other problems, things are no more than 100 Na Quxiu necessary. Must Tucao is searched Amazon, I could not find the watch's warranty period.</v>
      </c>
    </row>
    <row r="1295">
      <c r="A1295" s="1">
        <v>4.0</v>
      </c>
      <c r="B1295" s="1" t="s">
        <v>1295</v>
      </c>
      <c r="C1295" t="str">
        <f>IFERROR(__xludf.DUMMYFUNCTION("GOOGLETRANSLATE(B1295, ""zh"", ""en"")"),"Leather slightly harder consistent size and other clarks shoes, but the last type is slightly thinner, slightly harder leather, do not know will not wear the same period of time as would have been better to play not bad. Although raw rubber-soled soft but"&amp;" not wear before and after the original one pair of suede desert boots to wear for two months on the sole ground of powerful special")</f>
        <v>Leather slightly harder consistent size and other clarks shoes, but the last type is slightly thinner, slightly harder leather, do not know will not wear the same period of time as would have been better to play not bad. Although raw rubber-soled soft but not wear before and after the original one pair of suede desert boots to wear for two months on the sole ground of powerful special</v>
      </c>
    </row>
    <row r="1296">
      <c r="A1296" s="1">
        <v>4.0</v>
      </c>
      <c r="B1296" s="1" t="s">
        <v>1296</v>
      </c>
      <c r="C1296" t="str">
        <f>IFERROR(__xludf.DUMMYFUNCTION("GOOGLETRANSLATE(B1296, ""zh"", ""en"")"),"I hope for your help slightly larger hips, waist and some large.")</f>
        <v>I hope for your help slightly larger hips, waist and some large.</v>
      </c>
    </row>
    <row r="1297">
      <c r="A1297" s="1">
        <v>4.0</v>
      </c>
      <c r="B1297" s="1" t="s">
        <v>1297</v>
      </c>
      <c r="C1297" t="str">
        <f>IFERROR(__xludf.DUMMYFUNCTION("GOOGLETRANSLATE(B1297, ""zh"", ""en"")"),"Half a yard too large we want to help too suggest that you buy less than half yards, I bought 7.5 7 actually enough. Give us a suggestion")</f>
        <v>Half a yard too large we want to help too suggest that you buy less than half yards, I bought 7.5 7 actually enough. Give us a suggestion</v>
      </c>
    </row>
    <row r="1298">
      <c r="A1298" s="1">
        <v>4.0</v>
      </c>
      <c r="B1298" s="1" t="s">
        <v>1298</v>
      </c>
      <c r="C1298" t="str">
        <f>IFERROR(__xludf.DUMMYFUNCTION("GOOGLETRANSLATE(B1298, ""zh"", ""en"")"),"From all buy this brand of thread material is a bit hard training before this series is much difference how good the quality of the general quality of the sleeves")</f>
        <v>From all buy this brand of thread material is a bit hard training before this series is much difference how good the quality of the general quality of the sleeves</v>
      </c>
    </row>
    <row r="1299">
      <c r="A1299" s="1">
        <v>4.0</v>
      </c>
      <c r="B1299" s="1" t="s">
        <v>1299</v>
      </c>
      <c r="C1299" t="str">
        <f>IFERROR(__xludf.DUMMYFUNCTION("GOOGLETRANSLATE(B1299, ""zh"", ""en"")"),"Size of good quality .168.120 the right size")</f>
        <v>Size of good quality .168.120 the right size</v>
      </c>
    </row>
    <row r="1300">
      <c r="A1300" s="1">
        <v>5.0</v>
      </c>
      <c r="B1300" s="1" t="s">
        <v>1300</v>
      </c>
      <c r="C1300" t="str">
        <f>IFERROR(__xludf.DUMMYFUNCTION("GOOGLETRANSLATE(B1300, ""zh"", ""en"")"),"Bowls good NUK grinding bowl is still very good, grind very fine place.")</f>
        <v>Bowls good NUK grinding bowl is still very good, grind very fine place.</v>
      </c>
    </row>
    <row r="1301">
      <c r="A1301" s="1">
        <v>5.0</v>
      </c>
      <c r="B1301" s="1" t="s">
        <v>1301</v>
      </c>
      <c r="C1301" t="str">
        <f>IFERROR(__xludf.DUMMYFUNCTION("GOOGLETRANSLATE(B1301, ""zh"", ""en"")"),"And very cost-effective than domestic proper size of goods, to buy time activities, very cost-effective. Young married woman height 155, weight 100 small.")</f>
        <v>And very cost-effective than domestic proper size of goods, to buy time activities, very cost-effective. Young married woman height 155, weight 100 small.</v>
      </c>
    </row>
    <row r="1302">
      <c r="A1302" s="1">
        <v>5.0</v>
      </c>
      <c r="B1302" s="1" t="s">
        <v>1302</v>
      </c>
      <c r="C1302" t="str">
        <f>IFERROR(__xludf.DUMMYFUNCTION("GOOGLETRANSLATE(B1302, ""zh"", ""en"")"),"Comfort is very good, comfortable, recommended to buy.")</f>
        <v>Comfort is very good, comfortable, recommended to buy.</v>
      </c>
    </row>
    <row r="1303">
      <c r="A1303" s="1">
        <v>5.0</v>
      </c>
      <c r="B1303" s="1" t="s">
        <v>1303</v>
      </c>
      <c r="C1303" t="str">
        <f>IFERROR(__xludf.DUMMYFUNCTION("GOOGLETRANSLATE(B1303, ""zh"", ""en"")"),"Quality is good, work is also good is a bit too long, after all, not the people")</f>
        <v>Quality is good, work is also good is a bit too long, after all, not the people</v>
      </c>
    </row>
    <row r="1304">
      <c r="A1304" s="1">
        <v>5.0</v>
      </c>
      <c r="B1304" s="1" t="s">
        <v>1304</v>
      </c>
      <c r="C1304" t="str">
        <f>IFERROR(__xludf.DUMMYFUNCTION("GOOGLETRANSLATE(B1304, ""zh"", ""en"")"),"Recommendations Amazon recommended it bought a try, have not started, looked okay")</f>
        <v>Recommendations Amazon recommended it bought a try, have not started, looked okay</v>
      </c>
    </row>
    <row r="1305">
      <c r="A1305" s="1">
        <v>5.0</v>
      </c>
      <c r="B1305" s="1" t="s">
        <v>1305</v>
      </c>
      <c r="C1305" t="str">
        <f>IFERROR(__xludf.DUMMYFUNCTION("GOOGLETRANSLATE(B1305, ""zh"", ""en"")"),"Today received very satisfied with the shopping, just when the goddess's Day gift. I liked it, size, color is very positive, very comfortable to wear. I am a prime member, usually like to buy ECCO, affordable.")</f>
        <v>Today received very satisfied with the shopping, just when the goddess's Day gift. I liked it, size, color is very positive, very comfortable to wear. I am a prime member, usually like to buy ECCO, affordable.</v>
      </c>
    </row>
    <row r="1306">
      <c r="A1306" s="1">
        <v>5.0</v>
      </c>
      <c r="B1306" s="1" t="s">
        <v>1306</v>
      </c>
      <c r="C1306" t="str">
        <f>IFERROR(__xludf.DUMMYFUNCTION("GOOGLETRANSLATE(B1306, ""zh"", ""en"")"),"Easy to use with a nice atmosphere for 10 days to comment. No instructions in Chinese, began with a bit strenuous, tried several times to understand about the usage. Opportunity to open a cleaning nozzle, washing throw away the water, in accordance with t"&amp;"heir drink of choice, the machine is very clever, do the cleaning automatically, usually best placed below ground cleaning waste water cups. Full of coffee grounds have prompt clean-up, there is not enough water tips, add water, in short simple, easy to u"&amp;"se!")</f>
        <v>Easy to use with a nice atmosphere for 10 days to comment. No instructions in Chinese, began with a bit strenuous, tried several times to understand about the usage. Opportunity to open a cleaning nozzle, washing throw away the water, in accordance with their drink of choice, the machine is very clever, do the cleaning automatically, usually best placed below ground cleaning waste water cups. Full of coffee grounds have prompt clean-up, there is not enough water tips, add water, in short simple, easy to use!</v>
      </c>
    </row>
    <row r="1307">
      <c r="A1307" s="1">
        <v>5.0</v>
      </c>
      <c r="B1307" s="1" t="s">
        <v>1307</v>
      </c>
      <c r="C1307" t="str">
        <f>IFERROR(__xludf.DUMMYFUNCTION("GOOGLETRANSLATE(B1307, ""zh"", ""en"")"),"I did not expect such a comfortable feeling, soft texture. Before buying L is too large, so this buy M, slightly elastic, just right.")</f>
        <v>I did not expect such a comfortable feeling, soft texture. Before buying L is too large, so this buy M, slightly elastic, just right.</v>
      </c>
    </row>
    <row r="1308">
      <c r="A1308" s="1">
        <v>5.0</v>
      </c>
      <c r="B1308" s="1" t="s">
        <v>1308</v>
      </c>
      <c r="C1308" t="str">
        <f>IFERROR(__xludf.DUMMYFUNCTION("GOOGLETRANSLATE(B1308, ""zh"", ""en"")"),"Good read not use, looks good.")</f>
        <v>Good read not use, looks good.</v>
      </c>
    </row>
    <row r="1309">
      <c r="A1309" s="1">
        <v>5.0</v>
      </c>
      <c r="B1309" s="1" t="s">
        <v>1309</v>
      </c>
      <c r="C1309" t="str">
        <f>IFERROR(__xludf.DUMMYFUNCTION("GOOGLETRANSLATE(B1309, ""zh"", ""en"")"),"Is there a wooden handle Refill? 11 years bought a 33 cm, Nichia transit, direct mail is now more convenient, now there is no specification of the 33. 30 to buy a new house with. Bought it is best to take the diesel system. On the whole, much lighter than"&amp;" stainless steel pot, easy operation, no coat, do not worry coating flaking, 2006 more than 700 bought a Supor coated, with four or five years, coating fell on vegetables Lane. 11 years to buy 33 of the pot itself is not bad, but the rotation slot wooden "&amp;"handle used in the sixth year, when due to the prolonged exposure to heat, has a card does not work, check the Nichia Taobao, also did not find a replacement, Note that points to the use.")</f>
        <v>Is there a wooden handle Refill? 11 years bought a 33 cm, Nichia transit, direct mail is now more convenient, now there is no specification of the 33. 30 to buy a new house with. Bought it is best to take the diesel system. On the whole, much lighter than stainless steel pot, easy operation, no coat, do not worry coating flaking, 2006 more than 700 bought a Supor coated, with four or five years, coating fell on vegetables Lane. 11 years to buy 33 of the pot itself is not bad, but the rotation slot wooden handle used in the sixth year, when due to the prolonged exposure to heat, has a card does not work, check the Nichia Taobao, also did not find a replacement, Note that points to the use.</v>
      </c>
    </row>
    <row r="1310">
      <c r="A1310" s="1">
        <v>5.0</v>
      </c>
      <c r="B1310" s="1" t="s">
        <v>1310</v>
      </c>
      <c r="C1310" t="str">
        <f>IFERROR(__xludf.DUMMYFUNCTION("GOOGLETRANSLATE(B1310, ""zh"", ""en"")"),"In order to finally start the Klein hat quite a long time to save money, finally I bought, about ten days to")</f>
        <v>In order to finally start the Klein hat quite a long time to save money, finally I bought, about ten days to</v>
      </c>
    </row>
    <row r="1311">
      <c r="A1311" s="1">
        <v>5.0</v>
      </c>
      <c r="B1311" s="1" t="s">
        <v>1311</v>
      </c>
      <c r="C1311" t="str">
        <f>IFERROR(__xludf.DUMMYFUNCTION("GOOGLETRANSLATE(B1311, ""zh"", ""en"")"),"Good-looking and flexible, comfortable to wear, significantly younger. Height 171, m is selected from")</f>
        <v>Good-looking and flexible, comfortable to wear, significantly younger. Height 171, m is selected from</v>
      </c>
    </row>
    <row r="1312">
      <c r="A1312" s="1">
        <v>5.0</v>
      </c>
      <c r="B1312" s="1" t="s">
        <v>1312</v>
      </c>
      <c r="C1312" t="str">
        <f>IFERROR(__xludf.DUMMYFUNCTION("GOOGLETRANSLATE(B1312, ""zh"", ""en"")"),"Suitable quite right, yes!")</f>
        <v>Suitable quite right, yes!</v>
      </c>
    </row>
    <row r="1313">
      <c r="A1313" s="1">
        <v>5.0</v>
      </c>
      <c r="B1313" s="1" t="s">
        <v>1313</v>
      </c>
      <c r="C1313" t="str">
        <f>IFERROR(__xludf.DUMMYFUNCTION("GOOGLETRANSLATE(B1313, ""zh"", ""en"")"),"Life to the force, satisfied with the sound quality, probably because I am still wearing large ear it, wear hurt, but it is filled to the brim, by contrast, I actually prefer the whole ear, but at this price, considering sound quality and battery life, th"&amp;"ere is no better choice; magnetic avoiding worry about losing time to take off the headphones it.")</f>
        <v>Life to the force, satisfied with the sound quality, probably because I am still wearing large ear it, wear hurt, but it is filled to the brim, by contrast, I actually prefer the whole ear, but at this price, considering sound quality and battery life, there is no better choice; magnetic avoiding worry about losing time to take off the headphones it.</v>
      </c>
    </row>
    <row r="1314">
      <c r="A1314" s="1">
        <v>5.0</v>
      </c>
      <c r="B1314" s="1" t="s">
        <v>1314</v>
      </c>
      <c r="C1314" t="str">
        <f>IFERROR(__xludf.DUMMYFUNCTION("GOOGLETRANSLATE(B1314, ""zh"", ""en"")"),"I feel comfortable wearing the right size is very appropriate codon 177 80kg this is not cut very crowded place to despise it at home")</f>
        <v>I feel comfortable wearing the right size is very appropriate codon 177 80kg this is not cut very crowded place to despise it at home</v>
      </c>
    </row>
    <row r="1315">
      <c r="A1315" s="1">
        <v>5.0</v>
      </c>
      <c r="B1315" s="1" t="s">
        <v>1315</v>
      </c>
      <c r="C1315" t="str">
        <f>IFERROR(__xludf.DUMMYFUNCTION("GOOGLETRANSLATE(B1315, ""zh"", ""en"")"),"Big brands are worthy of the big brands really very good.")</f>
        <v>Big brands are worthy of the big brands really very good.</v>
      </c>
    </row>
    <row r="1316">
      <c r="A1316" s="1">
        <v>5.0</v>
      </c>
      <c r="B1316" s="1" t="s">
        <v>1316</v>
      </c>
      <c r="C1316" t="str">
        <f>IFERROR(__xludf.DUMMYFUNCTION("GOOGLETRANSLATE(B1316, ""zh"", ""en"")"),"Small and well liked, very cheap price.")</f>
        <v>Small and well liked, very cheap price.</v>
      </c>
    </row>
    <row r="1317">
      <c r="A1317" s="1">
        <v>5.0</v>
      </c>
      <c r="B1317" s="1" t="s">
        <v>1317</v>
      </c>
      <c r="C1317" t="str">
        <f>IFERROR(__xludf.DUMMYFUNCTION("GOOGLETRANSLATE(B1317, ""zh"", ""en"")"),"Too large, and feet inelastic 168,53KG, xs number just, more comfortable to wear, but no foot bundle pack feeling, with no elasticity")</f>
        <v>Too large, and feet inelastic 168,53KG, xs number just, more comfortable to wear, but no foot bundle pack feeling, with no elasticity</v>
      </c>
    </row>
    <row r="1318">
      <c r="A1318" s="1">
        <v>5.0</v>
      </c>
      <c r="B1318" s="1" t="s">
        <v>1318</v>
      </c>
      <c r="C1318" t="str">
        <f>IFERROR(__xludf.DUMMYFUNCTION("GOOGLETRANSLATE(B1318, ""zh"", ""en"")"),"Thank you, the stuff is very good!")</f>
        <v>Thank you, the stuff is very good!</v>
      </c>
    </row>
    <row r="1319">
      <c r="A1319" s="1">
        <v>5.0</v>
      </c>
      <c r="B1319" s="1" t="s">
        <v>1319</v>
      </c>
      <c r="C1319" t="str">
        <f>IFERROR(__xludf.DUMMYFUNCTION("GOOGLETRANSLATE(B1319, ""zh"", ""en"")"),"Very good and consequently better to do a variety of meatballs but the price is unstable 300 buy cheap today to see the 50")</f>
        <v>Very good and consequently better to do a variety of meatballs but the price is unstable 300 buy cheap today to see the 50</v>
      </c>
    </row>
    <row r="1320">
      <c r="A1320" s="1">
        <v>5.0</v>
      </c>
      <c r="B1320" s="1" t="s">
        <v>1320</v>
      </c>
      <c r="C1320" t="str">
        <f>IFERROR(__xludf.DUMMYFUNCTION("GOOGLETRANSLATE(B1320, ""zh"", ""en"")"),"Quality is very good well worth buying genuine, Choi had a good lead in the count")</f>
        <v>Quality is very good well worth buying genuine, Choi had a good lead in the count</v>
      </c>
    </row>
    <row r="1321">
      <c r="A1321" s="1">
        <v>5.0</v>
      </c>
      <c r="B1321" s="1" t="s">
        <v>1321</v>
      </c>
      <c r="C1321" t="str">
        <f>IFERROR(__xludf.DUMMYFUNCTION("GOOGLETRANSLATE(B1321, ""zh"", ""en"")"),"Perfect I 167cm, 55KG, 82 ~ 70 ~ 92, bought the L code, the display tag 170 / 86A, waist inelastic, slightly loose, but can adjust the size of the drawstring, the legs is also very suitable.")</f>
        <v>Perfect I 167cm, 55KG, 82 ~ 70 ~ 92, bought the L code, the display tag 170 / 86A, waist inelastic, slightly loose, but can adjust the size of the drawstring, the legs is also very suitable.</v>
      </c>
    </row>
    <row r="1322">
      <c r="A1322" s="1">
        <v>2.0</v>
      </c>
      <c r="B1322" s="1" t="s">
        <v>1322</v>
      </c>
      <c r="C1322" t="str">
        <f>IFERROR(__xludf.DUMMYFUNCTION("GOOGLETRANSLATE(B1322, ""zh"", ""en"")"),"No texture, high school students can wear ~ disappointing than expected, it is not texture, very light, like a brother to the third year of plastic to buy, get our hands feel humiliated anyone to think it does not matter ~ Fortunately, brother, can you it"&amp;" is good!")</f>
        <v>No texture, high school students can wear ~ disappointing than expected, it is not texture, very light, like a brother to the third year of plastic to buy, get our hands feel humiliated anyone to think it does not matter ~ Fortunately, brother, can you it is good!</v>
      </c>
    </row>
    <row r="1323">
      <c r="A1323" s="1">
        <v>3.0</v>
      </c>
      <c r="B1323" s="1" t="s">
        <v>1323</v>
      </c>
      <c r="C1323" t="str">
        <f>IFERROR(__xludf.DUMMYFUNCTION("GOOGLETRANSLATE(B1323, ""zh"", ""en"")"),"Pack light, the right size, hair loss is not real pictures look so positive, the color is a bit dark, the cortex of the hair loss marked, are sticking around, pack very light, somewhat hard material")</f>
        <v>Pack light, the right size, hair loss is not real pictures look so positive, the color is a bit dark, the cortex of the hair loss marked, are sticking around, pack very light, somewhat hard material</v>
      </c>
    </row>
    <row r="1324">
      <c r="A1324" s="1">
        <v>3.0</v>
      </c>
      <c r="B1324" s="1" t="s">
        <v>1324</v>
      </c>
      <c r="C1324" t="str">
        <f>IFERROR(__xludf.DUMMYFUNCTION("GOOGLETRANSLATE(B1324, ""zh"", ""en"")"),"No no measuring cup Shaker, no measuring cup, use or muscle soreness after twenty-three days to buy about 10 days to the price of over two hundred")</f>
        <v>No no measuring cup Shaker, no measuring cup, use or muscle soreness after twenty-three days to buy about 10 days to the price of over two hundred</v>
      </c>
    </row>
    <row r="1325">
      <c r="A1325" s="1">
        <v>3.0</v>
      </c>
      <c r="B1325" s="1" t="s">
        <v>1325</v>
      </c>
      <c r="C1325" t="str">
        <f>IFERROR(__xludf.DUMMYFUNCTION("GOOGLETRANSLATE(B1325, ""zh"", ""en"")"),"Volume is not enough, do not like the feeling of power 308 sound is not big enough, not big on my car Original")</f>
        <v>Volume is not enough, do not like the feeling of power 308 sound is not big enough, not big on my car Original</v>
      </c>
    </row>
    <row r="1326">
      <c r="A1326" s="1">
        <v>1.0</v>
      </c>
      <c r="B1326" s="1" t="s">
        <v>1326</v>
      </c>
      <c r="C1326" t="str">
        <f>IFERROR(__xludf.DUMMYFUNCTION("GOOGLETRANSLATE(B1326, ""zh"", ""en"")"),"Fake belt faded, blacked out two pairs of pants. This is said to be authentic? I wanted to leave they would not stain it. so sad!")</f>
        <v>Fake belt faded, blacked out two pairs of pants. This is said to be authentic? I wanted to leave they would not stain it. so sad!</v>
      </c>
    </row>
    <row r="1327">
      <c r="A1327" s="1">
        <v>1.0</v>
      </c>
      <c r="B1327" s="1" t="s">
        <v>1327</v>
      </c>
      <c r="C1327" t="str">
        <f>IFERROR(__xludf.DUMMYFUNCTION("GOOGLETRANSLATE(B1327, ""zh"", ""en"")"),"Amazon too Kengren deceptive, sell things you do not say dead, is not the real thing? To buy 16 yards to 14 yards of me, can not wear to retire, I also received 120, spicy chicken")</f>
        <v>Amazon too Kengren deceptive, sell things you do not say dead, is not the real thing? To buy 16 yards to 14 yards of me, can not wear to retire, I also received 120, spicy chicken</v>
      </c>
    </row>
    <row r="1328">
      <c r="A1328" s="1">
        <v>4.0</v>
      </c>
      <c r="B1328" s="1" t="s">
        <v>1328</v>
      </c>
      <c r="C1328" t="str">
        <f>IFERROR(__xludf.DUMMYFUNCTION("GOOGLETRANSLATE(B1328, ""zh"", ""en"")"),"Good thing this is too delicate color component, and definitely belongs on the color of lead in the tall")</f>
        <v>Good thing this is too delicate color component, and definitely belongs on the color of lead in the tall</v>
      </c>
    </row>
    <row r="1329">
      <c r="A1329" s="1">
        <v>4.0</v>
      </c>
      <c r="B1329" s="1" t="s">
        <v>1329</v>
      </c>
      <c r="C1329" t="str">
        <f>IFERROR(__xludf.DUMMYFUNCTION("GOOGLETRANSLATE(B1329, ""zh"", ""en"")"),"Quality is very good, but in any case, not one-hand operation, this is not as good as Bata.")</f>
        <v>Quality is very good, but in any case, not one-hand operation, this is not as good as Bata.</v>
      </c>
    </row>
    <row r="1330">
      <c r="A1330" s="1">
        <v>4.0</v>
      </c>
      <c r="B1330" s="1" t="s">
        <v>1330</v>
      </c>
      <c r="C1330" t="str">
        <f>IFERROR(__xludf.DUMMYFUNCTION("GOOGLETRANSLATE(B1330, ""zh"", ""en"")"),"I can also work 33 waist 2 feet 7-8, should buy 36, but buy 38, our only add a eyelet.")</f>
        <v>I can also work 33 waist 2 feet 7-8, should buy 36, but buy 38, our only add a eyelet.</v>
      </c>
    </row>
    <row r="1331">
      <c r="A1331" s="1">
        <v>4.0</v>
      </c>
      <c r="B1331" s="1" t="s">
        <v>1331</v>
      </c>
      <c r="C1331" t="str">
        <f>IFERROR(__xludf.DUMMYFUNCTION("GOOGLETRANSLATE(B1331, ""zh"", ""en"")"),"Cost-effective deals like the purchase of about 185, about three or four ten tax it, but also cheaper than the domestic offer 299. But then, this headset sound quality is the general feeling, not so thoroughly sound, heavy bass is not enough, you can also"&amp;" listen to the casual commuter road. Bluetooth range ok, the received signal is also very strong. We are hoping to slightly more than a period of time")</f>
        <v>Cost-effective deals like the purchase of about 185, about three or four ten tax it, but also cheaper than the domestic offer 299. But then, this headset sound quality is the general feeling, not so thoroughly sound, heavy bass is not enough, you can also listen to the casual commuter road. Bluetooth range ok, the received signal is also very strong. We are hoping to slightly more than a period of time</v>
      </c>
    </row>
    <row r="1332">
      <c r="A1332" s="1">
        <v>4.0</v>
      </c>
      <c r="B1332" s="1" t="s">
        <v>1332</v>
      </c>
      <c r="C1332" t="str">
        <f>IFERROR(__xludf.DUMMYFUNCTION("GOOGLETRANSLATE(B1332, ""zh"", ""en"")"),"The watch is good, the display is a bit small dial size ok, but the display on the small side.")</f>
        <v>The watch is good, the display is a bit small dial size ok, but the display on the small side.</v>
      </c>
    </row>
    <row r="1333">
      <c r="A1333" s="1">
        <v>5.0</v>
      </c>
      <c r="B1333" s="1" t="s">
        <v>1333</v>
      </c>
      <c r="C1333" t="str">
        <f>IFERROR(__xludf.DUMMYFUNCTION("GOOGLETRANSLATE(B1333, ""zh"", ""en"")"),"u can also, yes, because of his clearance information write slow, resulting in too late hand u can also, yes, because of his clearance information write slow, resulting in too late hand")</f>
        <v>u can also, yes, because of his clearance information write slow, resulting in too late hand u can also, yes, because of his clearance information write slow, resulting in too late hand</v>
      </c>
    </row>
    <row r="1334">
      <c r="A1334" s="1">
        <v>5.0</v>
      </c>
      <c r="B1334" s="1" t="s">
        <v>1334</v>
      </c>
      <c r="C1334" t="str">
        <f>IFERROR(__xludf.DUMMYFUNCTION("GOOGLETRANSLATE(B1334, ""zh"", ""en"")"),"Quality and design are good models look good, work is also good, cheap, praise.")</f>
        <v>Quality and design are good models look good, work is also good, cheap, praise.</v>
      </c>
    </row>
    <row r="1335">
      <c r="A1335" s="1">
        <v>5.0</v>
      </c>
      <c r="B1335" s="1" t="s">
        <v>1335</v>
      </c>
      <c r="C1335" t="str">
        <f>IFERROR(__xludf.DUMMYFUNCTION("GOOGLETRANSLATE(B1335, ""zh"", ""en"")"),"Good package of shoes are good shoes, very good package, shoes, too.")</f>
        <v>Good package of shoes are good shoes, very good package, shoes, too.</v>
      </c>
    </row>
    <row r="1336">
      <c r="A1336" s="1">
        <v>5.0</v>
      </c>
      <c r="B1336" s="1" t="s">
        <v>1336</v>
      </c>
      <c r="C1336" t="str">
        <f>IFERROR(__xludf.DUMMYFUNCTION("GOOGLETRANSLATE(B1336, ""zh"", ""en"")"),"Amazon satisfied with read and write speeds overseas purchase, cheap, good workmanship big brands, ultra-fast read and write speed, satisfaction.")</f>
        <v>Amazon satisfied with read and write speeds overseas purchase, cheap, good workmanship big brands, ultra-fast read and write speed, satisfaction.</v>
      </c>
    </row>
    <row r="1337">
      <c r="A1337" s="1">
        <v>5.0</v>
      </c>
      <c r="B1337" s="1" t="s">
        <v>1337</v>
      </c>
      <c r="C1337" t="str">
        <f>IFERROR(__xludf.DUMMYFUNCTION("GOOGLETRANSLATE(B1337, ""zh"", ""en"")"),"Something good is worth buying, very delicate things well worth buying very delicate question as to flaws could really see the character of the")</f>
        <v>Something good is worth buying, very delicate things well worth buying very delicate question as to flaws could really see the character of the</v>
      </c>
    </row>
    <row r="1338">
      <c r="A1338" s="1">
        <v>5.0</v>
      </c>
      <c r="B1338" s="1" t="s">
        <v>1338</v>
      </c>
      <c r="C1338" t="str">
        <f>IFERROR(__xludf.DUMMYFUNCTION("GOOGLETRANSLATE(B1338, ""zh"", ""en"")"),"No sense of restraint is very comfortable no sense of restraint, meat and more people is back, following the edge will roll up.")</f>
        <v>No sense of restraint is very comfortable no sense of restraint, meat and more people is back, following the edge will roll up.</v>
      </c>
    </row>
    <row r="1339">
      <c r="A1339" s="1">
        <v>5.0</v>
      </c>
      <c r="B1339" s="1" t="s">
        <v>1339</v>
      </c>
      <c r="C1339" t="str">
        <f>IFERROR(__xludf.DUMMYFUNCTION("GOOGLETRANSLATE(B1339, ""zh"", ""en"")"),"Smooth writing fluency, writing smooth flow worth buying, worth buying")</f>
        <v>Smooth writing fluency, writing smooth flow worth buying, worth buying</v>
      </c>
    </row>
    <row r="1340">
      <c r="A1340" s="1">
        <v>5.0</v>
      </c>
      <c r="B1340" s="1" t="s">
        <v>1340</v>
      </c>
      <c r="C1340" t="str">
        <f>IFERROR(__xludf.DUMMYFUNCTION("GOOGLETRANSLATE(B1340, ""zh"", ""en"")"),"very good. Very good, more than three years old baby can use, brush clean after only a toothbrush head with a.")</f>
        <v>very good. Very good, more than three years old baby can use, brush clean after only a toothbrush head with a.</v>
      </c>
    </row>
    <row r="1341">
      <c r="A1341" s="1">
        <v>5.0</v>
      </c>
      <c r="B1341" s="1" t="s">
        <v>1341</v>
      </c>
      <c r="C1341" t="str">
        <f>IFERROR(__xludf.DUMMYFUNCTION("GOOGLETRANSLATE(B1341, ""zh"", ""en"")"),"Good really like.")</f>
        <v>Good really like.</v>
      </c>
    </row>
    <row r="1342">
      <c r="A1342" s="1">
        <v>5.0</v>
      </c>
      <c r="B1342" s="1" t="s">
        <v>1342</v>
      </c>
      <c r="C1342" t="str">
        <f>IFERROR(__xludf.DUMMYFUNCTION("GOOGLETRANSLATE(B1342, ""zh"", ""en"")"),"Size optimistic about re-start height 180, weight 185 pounds double ❌ enough estimate almost single ❌ I bought 3❌, the big ah very comfortable fabric production work okay Malaysia")</f>
        <v>Size optimistic about re-start height 180, weight 185 pounds double ❌ enough estimate almost single ❌ I bought 3❌, the big ah very comfortable fabric production work okay Malaysia</v>
      </c>
    </row>
    <row r="1343">
      <c r="A1343" s="1">
        <v>5.0</v>
      </c>
      <c r="B1343" s="1" t="s">
        <v>1343</v>
      </c>
      <c r="C1343" t="str">
        <f>IFERROR(__xludf.DUMMYFUNCTION("GOOGLETRANSLATE(B1343, ""zh"", ""en"")"),"Very good very comfortable very comfortable!")</f>
        <v>Very good very comfortable very comfortable!</v>
      </c>
    </row>
    <row r="1344">
      <c r="A1344" s="1">
        <v>5.0</v>
      </c>
      <c r="B1344" s="1" t="s">
        <v>1344</v>
      </c>
      <c r="C1344" t="str">
        <f>IFERROR(__xludf.DUMMYFUNCTION("GOOGLETRANSLATE(B1344, ""zh"", ""en"")"),"Good quality and cheap work quite satisfactory, thick and soft cloth. The first fade more serious, it is estimated to wash a few times just fine")</f>
        <v>Good quality and cheap work quite satisfactory, thick and soft cloth. The first fade more serious, it is estimated to wash a few times just fine</v>
      </c>
    </row>
    <row r="1345">
      <c r="A1345" s="1">
        <v>5.0</v>
      </c>
      <c r="B1345" s="1" t="s">
        <v>1345</v>
      </c>
      <c r="C1345" t="str">
        <f>IFERROR(__xludf.DUMMYFUNCTION("GOOGLETRANSLATE(B1345, ""zh"", ""en"")"),"Very good very good, comfortable, good quality")</f>
        <v>Very good very good, comfortable, good quality</v>
      </c>
    </row>
    <row r="1346">
      <c r="A1346" s="1">
        <v>5.0</v>
      </c>
      <c r="B1346" s="1" t="s">
        <v>1346</v>
      </c>
      <c r="C1346" t="str">
        <f>IFERROR(__xludf.DUMMYFUNCTION("GOOGLETRANSLATE(B1346, ""zh"", ""en"")"),"The noise a little big, good speed suitable for cold backup, but the noise and vibration big but did not switch when not have to pull the line")</f>
        <v>The noise a little big, good speed suitable for cold backup, but the noise and vibration big but did not switch when not have to pull the line</v>
      </c>
    </row>
    <row r="1347">
      <c r="A1347" s="1">
        <v>5.0</v>
      </c>
      <c r="B1347" s="1" t="s">
        <v>1347</v>
      </c>
      <c r="C1347" t="str">
        <f>IFERROR(__xludf.DUMMYFUNCTION("GOOGLETRANSLATE(B1347, ""zh"", ""en"")"),"Easy to use, inexpensive and accurate. Well, now wear every day. Accurate.")</f>
        <v>Easy to use, inexpensive and accurate. Well, now wear every day. Accurate.</v>
      </c>
    </row>
    <row r="1348">
      <c r="A1348" s="1">
        <v>5.0</v>
      </c>
      <c r="B1348" s="1" t="s">
        <v>1348</v>
      </c>
      <c r="C1348" t="str">
        <f>IFERROR(__xludf.DUMMYFUNCTION("GOOGLETRANSLATE(B1348, ""zh"", ""en"")"),"Children like children like he used to brush a little feel no adult toothpaste easy to use, just sweet, sparkling little adults when the brush, the children okay")</f>
        <v>Children like children like he used to brush a little feel no adult toothpaste easy to use, just sweet, sparkling little adults when the brush, the children okay</v>
      </c>
    </row>
    <row r="1349">
      <c r="A1349" s="1">
        <v>5.0</v>
      </c>
      <c r="B1349" s="1" t="s">
        <v>1349</v>
      </c>
      <c r="C1349" t="str">
        <f>IFERROR(__xludf.DUMMYFUNCTION("GOOGLETRANSLATE(B1349, ""zh"", ""en"")"),"Value for money work fine, looks very nice, better use of feelings, and compare the store's expectations, and the same work, the price is much cheaper")</f>
        <v>Value for money work fine, looks very nice, better use of feelings, and compare the store's expectations, and the same work, the price is much cheaper</v>
      </c>
    </row>
    <row r="1350">
      <c r="A1350" s="1">
        <v>5.0</v>
      </c>
      <c r="B1350" s="1" t="s">
        <v>1350</v>
      </c>
      <c r="C1350" t="str">
        <f>IFERROR(__xludf.DUMMYFUNCTION("GOOGLETRANSLATE(B1350, ""zh"", ""en"")"),"Very satisfied with height 171, weight 140, usually belong to a little strong build fitness figure, select W32L30, just right, this little elastic pants, very fit, you need to select to give a reference. But the pocket a little rough, others praise, have "&amp;"time to figure at the meeting.")</f>
        <v>Very satisfied with height 171, weight 140, usually belong to a little strong build fitness figure, select W32L30, just right, this little elastic pants, very fit, you need to select to give a reference. But the pocket a little rough, others praise, have time to figure at the meeting.</v>
      </c>
    </row>
    <row r="1351">
      <c r="A1351" s="1">
        <v>5.0</v>
      </c>
      <c r="B1351" s="1" t="s">
        <v>1351</v>
      </c>
      <c r="C1351" t="str">
        <f>IFERROR(__xludf.DUMMYFUNCTION("GOOGLETRANSLATE(B1351, ""zh"", ""en"")"),"Recommendations to buy M, height 175cm, weight 71kg, M number of upper body is very suitable, comfortable fabric.")</f>
        <v>Recommendations to buy M, height 175cm, weight 71kg, M number of upper body is very suitable, comfortable fabric.</v>
      </c>
    </row>
    <row r="1352">
      <c r="A1352" s="1">
        <v>5.0</v>
      </c>
      <c r="B1352" s="1" t="s">
        <v>1352</v>
      </c>
      <c r="C1352" t="str">
        <f>IFERROR(__xludf.DUMMYFUNCTION("GOOGLETRANSLATE(B1352, ""zh"", ""en"")"),"Affordable height 1.73M, weight 67Kg, S bit too small")</f>
        <v>Affordable height 1.73M, weight 67Kg, S bit too small</v>
      </c>
    </row>
    <row r="1353">
      <c r="A1353" s="1">
        <v>5.0</v>
      </c>
      <c r="B1353" s="1" t="s">
        <v>1353</v>
      </c>
      <c r="C1353" t="str">
        <f>IFERROR(__xludf.DUMMYFUNCTION("GOOGLETRANSLATE(B1353, ""zh"", ""en"")"),"Good quality right size, and very warm")</f>
        <v>Good quality right size, and very warm</v>
      </c>
    </row>
    <row r="1354">
      <c r="A1354" s="1">
        <v>2.0</v>
      </c>
      <c r="B1354" s="1" t="s">
        <v>1354</v>
      </c>
      <c r="C1354" t="str">
        <f>IFERROR(__xludf.DUMMYFUNCTION("GOOGLETRANSLATE(B1354, ""zh"", ""en"")"),"Serious defect shoes have obvious flaws: shoe tongue is crooked, there are few visible scratches on the shoes, there is a two shoes only one is embossed with a pattern that is not - it Litchi produced very silent touches the speed ~ almost surprisingly fa"&amp;"st - it is left to care for the style")</f>
        <v>Serious defect shoes have obvious flaws: shoe tongue is crooked, there are few visible scratches on the shoes, there is a two shoes only one is embossed with a pattern that is not - it Litchi produced very silent touches the speed ~ almost surprisingly fast - it is left to care for the style</v>
      </c>
    </row>
    <row r="1355">
      <c r="A1355" s="1">
        <v>3.0</v>
      </c>
      <c r="B1355" s="1" t="s">
        <v>1355</v>
      </c>
      <c r="C1355" t="str">
        <f>IFERROR(__xludf.DUMMYFUNCTION("GOOGLETRANSLATE(B1355, ""zh"", ""en"")"),"Very good quality belt strap consistent with the physical appearance, the moment of very good quality leather. I am 2.7 feet waist, the right to buy 36 yards. Only half a year, I found the place perforated belt has broken off simply not made of genuine le"&amp;"ather, the next will not buy this product.")</f>
        <v>Very good quality belt strap consistent with the physical appearance, the moment of very good quality leather. I am 2.7 feet waist, the right to buy 36 yards. Only half a year, I found the place perforated belt has broken off simply not made of genuine leather, the next will not buy this product.</v>
      </c>
    </row>
    <row r="1356">
      <c r="A1356" s="1">
        <v>3.0</v>
      </c>
      <c r="B1356" s="1" t="s">
        <v>1356</v>
      </c>
      <c r="C1356" t="str">
        <f>IFERROR(__xludf.DUMMYFUNCTION("GOOGLETRANSLATE(B1356, ""zh"", ""en"")"),"Let me start with caution height 185, weight 65kg, buy the L number, I feel even slightly larger point is just right. 191 starting 10 days of arrival. Really poor quality, manufacturing Haiti, the material is very rough, mesh clothes is relatively large, "&amp;"wear a little frosted sense of the body, feeling even worse than on a treasure to buy 19.9 T-shirt, in order to chase Tide brand to start, this time to buy the flag, it should be genuine, high imitation is definitely better than domestic products this qua"&amp;"lity.")</f>
        <v>Let me start with caution height 185, weight 65kg, buy the L number, I feel even slightly larger point is just right. 191 starting 10 days of arrival. Really poor quality, manufacturing Haiti, the material is very rough, mesh clothes is relatively large, wear a little frosted sense of the body, feeling even worse than on a treasure to buy 19.9 T-shirt, in order to chase Tide brand to start, this time to buy the flag, it should be genuine, high imitation is definitely better than domestic products this quality.</v>
      </c>
    </row>
    <row r="1357">
      <c r="A1357" s="1">
        <v>1.0</v>
      </c>
      <c r="B1357" s="1" t="s">
        <v>1357</v>
      </c>
      <c r="C1357" t="str">
        <f>IFERROR(__xludf.DUMMYFUNCTION("GOOGLETRANSLATE(B1357, ""zh"", ""en"")"),"Very durable to use only seven months and it broke")</f>
        <v>Very durable to use only seven months and it broke</v>
      </c>
    </row>
    <row r="1358">
      <c r="A1358" s="1">
        <v>1.0</v>
      </c>
      <c r="B1358" s="1" t="s">
        <v>1358</v>
      </c>
      <c r="C1358" t="str">
        <f>IFERROR(__xludf.DUMMYFUNCTION("GOOGLETRANSLATE(B1358, ""zh"", ""en"")"),"Spicy chicken, there is no customer service does not take on mac, is really nonsense")</f>
        <v>Spicy chicken, there is no customer service does not take on mac, is really nonsense</v>
      </c>
    </row>
    <row r="1359">
      <c r="A1359" s="1">
        <v>1.0</v>
      </c>
      <c r="B1359" s="1" t="s">
        <v>1359</v>
      </c>
      <c r="C1359" t="str">
        <f>IFERROR(__xludf.DUMMYFUNCTION("GOOGLETRANSLATE(B1359, ""zh"", ""en"")"),"Wrong size size is too small, it very comfortable shoes is to wear a top foot, and now has been idle")</f>
        <v>Wrong size size is too small, it very comfortable shoes is to wear a top foot, and now has been idle</v>
      </c>
    </row>
    <row r="1360">
      <c r="A1360" s="1">
        <v>4.0</v>
      </c>
      <c r="B1360" s="1" t="s">
        <v>1360</v>
      </c>
      <c r="C1360" t="str">
        <f>IFERROR(__xludf.DUMMYFUNCTION("GOOGLETRANSLATE(B1360, ""zh"", ""en"")"),"Worth buying a shoe figure, material models are very good. Wear good package, comfortable, almost the only work is not enough. Excess glue and a little gap,")</f>
        <v>Worth buying a shoe figure, material models are very good. Wear good package, comfortable, almost the only work is not enough. Excess glue and a little gap,</v>
      </c>
    </row>
    <row r="1361">
      <c r="A1361" s="1">
        <v>4.0</v>
      </c>
      <c r="B1361" s="1" t="s">
        <v>1361</v>
      </c>
      <c r="C1361" t="str">
        <f>IFERROR(__xludf.DUMMYFUNCTION("GOOGLETRANSLATE(B1361, ""zh"", ""en"")"),"There are a large number of elastic s buy s enough, elasticity is large enough, there will buy No.")</f>
        <v>There are a large number of elastic s buy s enough, elasticity is large enough, there will buy No.</v>
      </c>
    </row>
    <row r="1362">
      <c r="A1362" s="1">
        <v>4.0</v>
      </c>
      <c r="B1362" s="1" t="s">
        <v>1362</v>
      </c>
      <c r="C1362" t="str">
        <f>IFERROR(__xludf.DUMMYFUNCTION("GOOGLETRANSLATE(B1362, ""zh"", ""en"")"),"Good shoes, value for money is very comfortable on the feet, thicker is not recommended for summer wear. The corresponding eight yards 42 yards China, quasi-yardage")</f>
        <v>Good shoes, value for money is very comfortable on the feet, thicker is not recommended for summer wear. The corresponding eight yards 42 yards China, quasi-yardage</v>
      </c>
    </row>
    <row r="1363">
      <c r="A1363" s="1">
        <v>4.0</v>
      </c>
      <c r="B1363" s="1" t="s">
        <v>1363</v>
      </c>
      <c r="C1363" t="str">
        <f>IFERROR(__xludf.DUMMYFUNCTION("GOOGLETRANSLATE(B1363, ""zh"", ""en"")"),"Material is soft right size, material soft.")</f>
        <v>Material is soft right size, material soft.</v>
      </c>
    </row>
    <row r="1364">
      <c r="A1364" s="1">
        <v>5.0</v>
      </c>
      <c r="B1364" s="1" t="s">
        <v>1364</v>
      </c>
      <c r="C1364" t="str">
        <f>IFERROR(__xludf.DUMMYFUNCTION("GOOGLETRANSLATE(B1364, ""zh"", ""en"")"),"Leading good packaging a bit shabby, the faucet is very beautiful, very heavy, Germany, that is, the water is very light, some are plastic, the overall is still good value, selling more than 2000 days cat")</f>
        <v>Leading good packaging a bit shabby, the faucet is very beautiful, very heavy, Germany, that is, the water is very light, some are plastic, the overall is still good value, selling more than 2000 days cat</v>
      </c>
    </row>
    <row r="1365">
      <c r="A1365" s="1">
        <v>5.0</v>
      </c>
      <c r="B1365" s="1" t="s">
        <v>1365</v>
      </c>
      <c r="C1365" t="str">
        <f>IFERROR(__xludf.DUMMYFUNCTION("GOOGLETRANSLATE(B1365, ""zh"", ""en"")"),"Stockpile store goods in, not use, recommend brand")</f>
        <v>Stockpile store goods in, not use, recommend brand</v>
      </c>
    </row>
    <row r="1366">
      <c r="A1366" s="1">
        <v>5.0</v>
      </c>
      <c r="B1366" s="1" t="s">
        <v>1366</v>
      </c>
      <c r="C1366" t="str">
        <f>IFERROR(__xludf.DUMMYFUNCTION("GOOGLETRANSLATE(B1366, ""zh"", ""en"")"),"Suitable always buy back when men wear, right size, ECCO shoe itself is very wide, not tired to walk.")</f>
        <v>Suitable always buy back when men wear, right size, ECCO shoe itself is very wide, not tired to walk.</v>
      </c>
    </row>
    <row r="1367">
      <c r="A1367" s="1">
        <v>5.0</v>
      </c>
      <c r="B1367" s="1" t="s">
        <v>1367</v>
      </c>
      <c r="C1367" t="str">
        <f>IFERROR(__xludf.DUMMYFUNCTION("GOOGLETRANSLATE(B1367, ""zh"", ""en"")"),"Bottle very, very good, no taste, is the baby does not believe that pacifier")</f>
        <v>Bottle very, very good, no taste, is the baby does not believe that pacifier</v>
      </c>
    </row>
    <row r="1368">
      <c r="A1368" s="1">
        <v>5.0</v>
      </c>
      <c r="B1368" s="1" t="s">
        <v>1368</v>
      </c>
      <c r="C1368" t="str">
        <f>IFERROR(__xludf.DUMMYFUNCTION("GOOGLETRANSLATE(B1368, ""zh"", ""en"")"),"Refined and practical baby is very practical and compact design, it will not drip. It is like hey.")</f>
        <v>Refined and practical baby is very practical and compact design, it will not drip. It is like hey.</v>
      </c>
    </row>
    <row r="1369">
      <c r="A1369" s="1">
        <v>5.0</v>
      </c>
      <c r="B1369" s="1" t="s">
        <v>1369</v>
      </c>
      <c r="C1369" t="str">
        <f>IFERROR(__xludf.DUMMYFUNCTION("GOOGLETRANSLATE(B1369, ""zh"", ""en"")"),"Liang Liang color, comfortable")</f>
        <v>Liang Liang color, comfortable</v>
      </c>
    </row>
    <row r="1370">
      <c r="A1370" s="1">
        <v>5.0</v>
      </c>
      <c r="B1370" s="1" t="s">
        <v>1370</v>
      </c>
      <c r="C1370" t="str">
        <f>IFERROR(__xludf.DUMMYFUNCTION("GOOGLETRANSLATE(B1370, ""zh"", ""en"")"),"Underwear good quality underwear looks good, very good quality, very comfortable")</f>
        <v>Underwear good quality underwear looks good, very good quality, very comfortable</v>
      </c>
    </row>
    <row r="1371">
      <c r="A1371" s="1">
        <v>5.0</v>
      </c>
      <c r="B1371" s="1" t="s">
        <v>1371</v>
      </c>
      <c r="C1371" t="str">
        <f>IFERROR(__xludf.DUMMYFUNCTION("GOOGLETRANSLATE(B1371, ""zh"", ""en"")"),"Well well worth having average speed but very strong 60+")</f>
        <v>Well well worth having average speed but very strong 60+</v>
      </c>
    </row>
    <row r="1372">
      <c r="A1372" s="1">
        <v>5.0</v>
      </c>
      <c r="B1372" s="1" t="s">
        <v>1372</v>
      </c>
      <c r="C1372" t="str">
        <f>IFERROR(__xludf.DUMMYFUNCTION("GOOGLETRANSLATE(B1372, ""zh"", ""en"")"),"Awesome sound quality is superb, but his wife ugly line, this design is only suitable for home listening.")</f>
        <v>Awesome sound quality is superb, but his wife ugly line, this design is only suitable for home listening.</v>
      </c>
    </row>
    <row r="1373">
      <c r="A1373" s="1">
        <v>5.0</v>
      </c>
      <c r="B1373" s="1" t="s">
        <v>1373</v>
      </c>
      <c r="C1373" t="str">
        <f>IFERROR(__xludf.DUMMYFUNCTION("GOOGLETRANSLATE(B1373, ""zh"", ""en"")"),"Balanced enough. 1 more than a week received the goods, packaging is very strong and receipt of goods is perfect. 2 bought two 2 meter shielded XLR cable connected pre-decoding, they have a national standard power cord to it out loud, the sound on the big"&amp;" ear it can not find the slightest low noise. 3 Compare the sound quality of water, open up the low-frequency sound feel the house along with the vibration, overall more balanced. 4 speakers to pull something and I am listening environment is not very goo"&amp;"d, not on the stand, as a computer speaker positioning adjustment is to spend more effort, but once in place it the main speaker, the other slowly and then an additional .")</f>
        <v>Balanced enough. 1 more than a week received the goods, packaging is very strong and receipt of goods is perfect. 2 bought two 2 meter shielded XLR cable connected pre-decoding, they have a national standard power cord to it out loud, the sound on the big ear it can not find the slightest low noise. 3 Compare the sound quality of water, open up the low-frequency sound feel the house along with the vibration, overall more balanced. 4 speakers to pull something and I am listening environment is not very good, not on the stand, as a computer speaker positioning adjustment is to spend more effort, but once in place it the main speaker, the other slowly and then an additional .</v>
      </c>
    </row>
    <row r="1374">
      <c r="A1374" s="1">
        <v>5.0</v>
      </c>
      <c r="B1374" s="1" t="s">
        <v>1374</v>
      </c>
      <c r="C1374" t="str">
        <f>IFERROR(__xludf.DUMMYFUNCTION("GOOGLETRANSLATE(B1374, ""zh"", ""en"")"),"How can it bought two, one large and one small, with a very good.")</f>
        <v>How can it bought two, one large and one small, with a very good.</v>
      </c>
    </row>
    <row r="1375">
      <c r="A1375" s="1">
        <v>5.0</v>
      </c>
      <c r="B1375" s="1" t="s">
        <v>1375</v>
      </c>
      <c r="C1375" t="str">
        <f>IFERROR(__xludf.DUMMYFUNCTION("GOOGLETRANSLATE(B1375, ""zh"", ""en"")"),"British-origin British packaging is simple point, but still things faster ... what is useful, is a British production ...")</f>
        <v>British-origin British packaging is simple point, but still things faster ... what is useful, is a British production ...</v>
      </c>
    </row>
    <row r="1376">
      <c r="A1376" s="1">
        <v>5.0</v>
      </c>
      <c r="B1376" s="1" t="s">
        <v>1376</v>
      </c>
      <c r="C1376" t="str">
        <f>IFERROR(__xludf.DUMMYFUNCTION("GOOGLETRANSLATE(B1376, ""zh"", ""en"")"),"Light value for money, good insulation effect")</f>
        <v>Light value for money, good insulation effect</v>
      </c>
    </row>
    <row r="1377">
      <c r="A1377" s="1">
        <v>5.0</v>
      </c>
      <c r="B1377" s="1" t="s">
        <v>1377</v>
      </c>
      <c r="C1377" t="str">
        <f>IFERROR(__xludf.DUMMYFUNCTION("GOOGLETRANSLATE(B1377, ""zh"", ""en"")"),"Good read right size, very comfortable, like. Overseas purchase of goods are basically very satisfied and at ease.")</f>
        <v>Good read right size, very comfortable, like. Overseas purchase of goods are basically very satisfied and at ease.</v>
      </c>
    </row>
    <row r="1378">
      <c r="A1378" s="1">
        <v>5.0</v>
      </c>
      <c r="B1378" s="1" t="s">
        <v>1378</v>
      </c>
      <c r="C1378" t="str">
        <f>IFERROR(__xludf.DUMMYFUNCTION("GOOGLETRANSLATE(B1378, ""zh"", ""en"")"),"I hope the business case more to the point next time out for our reference. This wear M code just before I 175,80kg, but the underwear this code number is too small, inexpensive, back up procedures for trouble, send people to wear, I hope the business cas"&amp;"e more to the point next time out for our reference.")</f>
        <v>I hope the business case more to the point next time out for our reference. This wear M code just before I 175,80kg, but the underwear this code number is too small, inexpensive, back up procedures for trouble, send people to wear, I hope the business case more to the point next time out for our reference.</v>
      </c>
    </row>
    <row r="1379">
      <c r="A1379" s="1">
        <v>5.0</v>
      </c>
      <c r="B1379" s="1" t="s">
        <v>1379</v>
      </c>
      <c r="C1379" t="str">
        <f>IFERROR(__xludf.DUMMYFUNCTION("GOOGLETRANSLATE(B1379, ""zh"", ""en"")"),"The effect can, use ...... trouble using good results is to buy a transformer and converter plug")</f>
        <v>The effect can, use ...... trouble using good results is to buy a transformer and converter plug</v>
      </c>
    </row>
    <row r="1380">
      <c r="A1380" s="1">
        <v>5.0</v>
      </c>
      <c r="B1380" s="1" t="s">
        <v>1380</v>
      </c>
      <c r="C1380" t="str">
        <f>IFERROR(__xludf.DUMMYFUNCTION("GOOGLETRANSLATE(B1380, ""zh"", ""en"")"),"Sennheiser headphones is owed to burn, no matter the low-end high-end just got a bad sound, high-frequency burr low dive is not enough, now listening to a lot of the time, I thought previously to buy a treasure just got my sound mx375 very similar results"&amp;" when I leave back. .")</f>
        <v>Sennheiser headphones is owed to burn, no matter the low-end high-end just got a bad sound, high-frequency burr low dive is not enough, now listening to a lot of the time, I thought previously to buy a treasure just got my sound mx375 very similar results when I leave back. .</v>
      </c>
    </row>
    <row r="1381">
      <c r="A1381" s="1">
        <v>5.0</v>
      </c>
      <c r="B1381" s="1" t="s">
        <v>1381</v>
      </c>
      <c r="C1381" t="str">
        <f>IFERROR(__xludf.DUMMYFUNCTION("GOOGLETRANSLATE(B1381, ""zh"", ""en"")"),"Take the right size, quality not to say!")</f>
        <v>Take the right size, quality not to say!</v>
      </c>
    </row>
    <row r="1382">
      <c r="A1382" s="1">
        <v>5.0</v>
      </c>
      <c r="B1382" s="1" t="s">
        <v>1382</v>
      </c>
      <c r="C1382" t="str">
        <f>IFERROR(__xludf.DUMMYFUNCTION("GOOGLETRANSLATE(B1382, ""zh"", ""en"")"),"Satisfied in full compliance with the requirements, very satisfied.")</f>
        <v>Satisfied in full compliance with the requirements, very satisfied.</v>
      </c>
    </row>
    <row r="1383">
      <c r="A1383" s="1">
        <v>5.0</v>
      </c>
      <c r="B1383" s="1" t="s">
        <v>1383</v>
      </c>
      <c r="C1383" t="str">
        <f>IFERROR(__xludf.DUMMYFUNCTION("GOOGLETRANSLATE(B1383, ""zh"", ""en"")"),"Stockpile stockpile to buy, pick up a")</f>
        <v>Stockpile stockpile to buy, pick up a</v>
      </c>
    </row>
    <row r="1384">
      <c r="A1384" s="1">
        <v>5.0</v>
      </c>
      <c r="B1384" s="1" t="s">
        <v>1384</v>
      </c>
      <c r="C1384" t="str">
        <f>IFERROR(__xludf.DUMMYFUNCTION("GOOGLETRANSLATE(B1384, ""zh"", ""en"")"),"Delicious, drink more than domestic brands smells good. Tired of eating vanilla flavor, the taste of a good drink. Dissolve well, not sparkling, compared to the domestic brand of soup, drink too much. Delivery is also fast, earlier than the expected deliv"&amp;"ery date of 10 days.")</f>
        <v>Delicious, drink more than domestic brands smells good. Tired of eating vanilla flavor, the taste of a good drink. Dissolve well, not sparkling, compared to the domestic brand of soup, drink too much. Delivery is also fast, earlier than the expected delivery date of 10 days.</v>
      </c>
    </row>
    <row r="1385">
      <c r="A1385" s="1">
        <v>5.0</v>
      </c>
      <c r="B1385" s="1" t="s">
        <v>1385</v>
      </c>
      <c r="C1385" t="str">
        <f>IFERROR(__xludf.DUMMYFUNCTION("GOOGLETRANSLATE(B1385, ""zh"", ""en"")"),"Family Pack, super-affordable eight head, and his wife just one year, with a few years of the electric toothbrush, comfortable and convenient, the prices continue to hope that the British sub-concessions, praise")</f>
        <v>Family Pack, super-affordable eight head, and his wife just one year, with a few years of the electric toothbrush, comfortable and convenient, the prices continue to hope that the British sub-concessions, praise</v>
      </c>
    </row>
    <row r="1386">
      <c r="A1386" s="1">
        <v>2.0</v>
      </c>
      <c r="B1386" s="1" t="s">
        <v>1386</v>
      </c>
      <c r="C1386" t="str">
        <f>IFERROR(__xludf.DUMMYFUNCTION("GOOGLETRANSLATE(B1386, ""zh"", ""en"")"),"M suitable 170,65KG, originally wanted to buy a small yard, and finally bought the M, appropriate")</f>
        <v>M suitable 170,65KG, originally wanted to buy a small yard, and finally bought the M, appropriate</v>
      </c>
    </row>
    <row r="1387">
      <c r="A1387" s="1">
        <v>3.0</v>
      </c>
      <c r="B1387" s="1" t="s">
        <v>1387</v>
      </c>
      <c r="C1387" t="str">
        <f>IFERROR(__xludf.DUMMYFUNCTION("GOOGLETRANSLATE(B1387, ""zh"", ""en"")"),"Tuicu recommended people not to buy my thick thighs, changed the tights. Thin people wear very type.")</f>
        <v>Tuicu recommended people not to buy my thick thighs, changed the tights. Thin people wear very type.</v>
      </c>
    </row>
    <row r="1388">
      <c r="A1388" s="1">
        <v>3.0</v>
      </c>
      <c r="B1388" s="1" t="s">
        <v>1388</v>
      </c>
      <c r="C1388" t="str">
        <f>IFERROR(__xludf.DUMMYFUNCTION("GOOGLETRANSLATE(B1388, ""zh"", ""en"")"),"More general texture of poor materials like plastic is not recommended")</f>
        <v>More general texture of poor materials like plastic is not recommended</v>
      </c>
    </row>
    <row r="1389">
      <c r="A1389" s="1">
        <v>3.0</v>
      </c>
      <c r="B1389" s="1" t="s">
        <v>1389</v>
      </c>
      <c r="C1389" t="str">
        <f>IFERROR(__xludf.DUMMYFUNCTION("GOOGLETRANSLATE(B1389, ""zh"", ""en"")"),"Worth uncomfortable, old trousers riding up, warm in general.")</f>
        <v>Worth uncomfortable, old trousers riding up, warm in general.</v>
      </c>
    </row>
    <row r="1390">
      <c r="A1390" s="1">
        <v>1.0</v>
      </c>
      <c r="B1390" s="1" t="s">
        <v>1390</v>
      </c>
      <c r="C1390" t="str">
        <f>IFERROR(__xludf.DUMMYFUNCTION("GOOGLETRANSLATE(B1390, ""zh"", ""en"")"),"This is quite poor experience poor quality pants, wearing a whole fabrics are pilling. . . Never get this kind of quality pants, pajama pants feel when bad! ! ! Secondly pants code number is too large, we must challenge friends do not buy big! ! ! !")</f>
        <v>This is quite poor experience poor quality pants, wearing a whole fabrics are pilling. . . Never get this kind of quality pants, pajama pants feel when bad! ! ! Secondly pants code number is too large, we must challenge friends do not buy big! ! ! !</v>
      </c>
    </row>
    <row r="1391">
      <c r="A1391" s="1">
        <v>1.0</v>
      </c>
      <c r="B1391" s="1" t="s">
        <v>1391</v>
      </c>
      <c r="C1391" t="str">
        <f>IFERROR(__xludf.DUMMYFUNCTION("GOOGLETRANSLATE(B1391, ""zh"", ""en"")"),"Strap split strap has been cracked, still not good enough, a small Japanese!")</f>
        <v>Strap split strap has been cracked, still not good enough, a small Japanese!</v>
      </c>
    </row>
    <row r="1392">
      <c r="A1392" s="1">
        <v>4.0</v>
      </c>
      <c r="B1392" s="1" t="s">
        <v>1392</v>
      </c>
      <c r="C1392" t="str">
        <f>IFERROR(__xludf.DUMMYFUNCTION("GOOGLETRANSLATE(B1392, ""zh"", ""en"")"),"The results were good height 170, weight 106, L code just wear")</f>
        <v>The results were good height 170, weight 106, L code just wear</v>
      </c>
    </row>
    <row r="1393">
      <c r="A1393" s="1">
        <v>4.0</v>
      </c>
      <c r="B1393" s="1" t="s">
        <v>1393</v>
      </c>
      <c r="C1393" t="str">
        <f>IFERROR(__xludf.DUMMYFUNCTION("GOOGLETRANSLATE(B1393, ""zh"", ""en"")"),"Cover breaking down easily in very good shape, there is a lack of easily breaking down the lid, kids love to go to breaking the lid.")</f>
        <v>Cover breaking down easily in very good shape, there is a lack of easily breaking down the lid, kids love to go to breaking the lid.</v>
      </c>
    </row>
    <row r="1394">
      <c r="A1394" s="1">
        <v>4.0</v>
      </c>
      <c r="B1394" s="1" t="s">
        <v>1394</v>
      </c>
      <c r="C1394" t="str">
        <f>IFERROR(__xludf.DUMMYFUNCTION("GOOGLETRANSLATE(B1394, ""zh"", ""en"")"),"Good fabric is thick, the American Farm style, 174/77, M suitable")</f>
        <v>Good fabric is thick, the American Farm style, 174/77, M suitable</v>
      </c>
    </row>
    <row r="1395">
      <c r="A1395" s="1">
        <v>4.0</v>
      </c>
      <c r="B1395" s="1" t="s">
        <v>1395</v>
      </c>
      <c r="C1395" t="str">
        <f>IFERROR(__xludf.DUMMYFUNCTION("GOOGLETRANSLATE(B1395, ""zh"", ""en"")"),"Not suitable for people who wear large head can also be right, not suitable for people wearing large head.")</f>
        <v>Not suitable for people who wear large head can also be right, not suitable for people wearing large head.</v>
      </c>
    </row>
    <row r="1396">
      <c r="A1396" s="1">
        <v>4.0</v>
      </c>
      <c r="B1396" s="1" t="s">
        <v>1396</v>
      </c>
      <c r="C1396" t="str">
        <f>IFERROR(__xludf.DUMMYFUNCTION("GOOGLETRANSLATE(B1396, ""zh"", ""en"")"),"CK clothes are cotton, 180 words should buy L, the result became a buy XL, big, but when pajamas pretty good, comfortable")</f>
        <v>CK clothes are cotton, 180 words should buy L, the result became a buy XL, big, but when pajamas pretty good, comfortable</v>
      </c>
    </row>
    <row r="1397">
      <c r="A1397" s="1">
        <v>5.0</v>
      </c>
      <c r="B1397" s="1" t="s">
        <v>1397</v>
      </c>
      <c r="C1397" t="str">
        <f>IFERROR(__xludf.DUMMYFUNCTION("GOOGLETRANSLATE(B1397, ""zh"", ""en"")"),"Comfortable shoes well, comfortable to wear.")</f>
        <v>Comfortable shoes well, comfortable to wear.</v>
      </c>
    </row>
    <row r="1398">
      <c r="A1398" s="1">
        <v>5.0</v>
      </c>
      <c r="B1398" s="1" t="s">
        <v>1398</v>
      </c>
      <c r="C1398" t="str">
        <f>IFERROR(__xludf.DUMMYFUNCTION("GOOGLETRANSLATE(B1398, ""zh"", ""en"")"),"Height 173cm, weight 60kg height 173cm, weight 60kg, small fit, fabric is very comfortable")</f>
        <v>Height 173cm, weight 60kg height 173cm, weight 60kg, small fit, fabric is very comfortable</v>
      </c>
    </row>
    <row r="1399">
      <c r="A1399" s="1">
        <v>5.0</v>
      </c>
      <c r="B1399" s="1" t="s">
        <v>1399</v>
      </c>
      <c r="C1399" t="str">
        <f>IFERROR(__xludf.DUMMYFUNCTION("GOOGLETRANSLATE(B1399, ""zh"", ""en"")"),"Hitachi scouring the sea for the first time to feel good about the new disc a week hand, the tests are normal. Noise is a big problem, a little voice when reading and writing, unless the dead of night is not obvious, I'm happy with this purchase.")</f>
        <v>Hitachi scouring the sea for the first time to feel good about the new disc a week hand, the tests are normal. Noise is a big problem, a little voice when reading and writing, unless the dead of night is not obvious, I'm happy with this purchase.</v>
      </c>
    </row>
    <row r="1400">
      <c r="A1400" s="1">
        <v>5.0</v>
      </c>
      <c r="B1400" s="1" t="s">
        <v>1400</v>
      </c>
      <c r="C1400" t="str">
        <f>IFERROR(__xludf.DUMMYFUNCTION("GOOGLETRANSLATE(B1400, ""zh"", ""en"")"),"Comment used again, looked pretty good reviews used again, looked pretty good")</f>
        <v>Comment used again, looked pretty good reviews used again, looked pretty good</v>
      </c>
    </row>
    <row r="1401">
      <c r="A1401" s="1">
        <v>5.0</v>
      </c>
      <c r="B1401" s="1" t="s">
        <v>1401</v>
      </c>
      <c r="C1401" t="str">
        <f>IFERROR(__xludf.DUMMYFUNCTION("GOOGLETRANSLATE(B1401, ""zh"", ""en"")"),"Ah well small, looks good, two feet five small waist 32")</f>
        <v>Ah well small, looks good, two feet five small waist 32</v>
      </c>
    </row>
    <row r="1402">
      <c r="A1402" s="1">
        <v>5.0</v>
      </c>
      <c r="B1402" s="1" t="s">
        <v>1402</v>
      </c>
      <c r="C1402" t="str">
        <f>IFERROR(__xludf.DUMMYFUNCTION("GOOGLETRANSLATE(B1402, ""zh"", ""en"")"),"Successful one purchase comfortable fit and consistent description photo")</f>
        <v>Successful one purchase comfortable fit and consistent description photo</v>
      </c>
    </row>
    <row r="1403">
      <c r="A1403" s="1">
        <v>5.0</v>
      </c>
      <c r="B1403" s="1" t="s">
        <v>1403</v>
      </c>
      <c r="C1403" t="str">
        <f>IFERROR(__xludf.DUMMYFUNCTION("GOOGLETRANSLATE(B1403, ""zh"", ""en"")"),"Capacity, moderate weight Amazon purchased overseas to do activities time to buy, USB3.0 speed, external power supply, more suitable for use as a desktop backup")</f>
        <v>Capacity, moderate weight Amazon purchased overseas to do activities time to buy, USB3.0 speed, external power supply, more suitable for use as a desktop backup</v>
      </c>
    </row>
    <row r="1404">
      <c r="A1404" s="1">
        <v>5.0</v>
      </c>
      <c r="B1404" s="1" t="s">
        <v>1404</v>
      </c>
      <c r="C1404" t="str">
        <f>IFERROR(__xludf.DUMMYFUNCTION("GOOGLETRANSLATE(B1404, ""zh"", ""en"")"),"Size 1.81 m, 78 kg, 99cm, m number exactly, only for reference")</f>
        <v>Size 1.81 m, 78 kg, 99cm, m number exactly, only for reference</v>
      </c>
    </row>
    <row r="1405">
      <c r="A1405" s="1">
        <v>5.0</v>
      </c>
      <c r="B1405" s="1" t="s">
        <v>1405</v>
      </c>
      <c r="C1405" t="str">
        <f>IFERROR(__xludf.DUMMYFUNCTION("GOOGLETRANSLATE(B1405, ""zh"", ""en"")"),"Perfect to help a friend sell, very satisfied.")</f>
        <v>Perfect to help a friend sell, very satisfied.</v>
      </c>
    </row>
    <row r="1406">
      <c r="A1406" s="1">
        <v>5.0</v>
      </c>
      <c r="B1406" s="1" t="s">
        <v>1406</v>
      </c>
      <c r="C1406" t="str">
        <f>IFERROR(__xludf.DUMMYFUNCTION("GOOGLETRANSLATE(B1406, ""zh"", ""en"")"),"Good tasteless product, wash no taste")</f>
        <v>Good tasteless product, wash no taste</v>
      </c>
    </row>
    <row r="1407">
      <c r="A1407" s="1">
        <v>5.0</v>
      </c>
      <c r="B1407" s="1" t="s">
        <v>1407</v>
      </c>
      <c r="C1407" t="str">
        <f>IFERROR(__xludf.DUMMYFUNCTION("GOOGLETRANSLATE(B1407, ""zh"", ""en"")"),"Cool watches believe that Amazon provides a fake genuine, not a treasure smelly street. So this preferential price to buy Citizen Eco-Drive Men's Watch, certainly deserves. Although the color is also very thick strap take, or are you in a treasure bought "&amp;"a black metal strap, feel better.")</f>
        <v>Cool watches believe that Amazon provides a fake genuine, not a treasure smelly street. So this preferential price to buy Citizen Eco-Drive Men's Watch, certainly deserves. Although the color is also very thick strap take, or are you in a treasure bought a black metal strap, feel better.</v>
      </c>
    </row>
    <row r="1408">
      <c r="A1408" s="1">
        <v>5.0</v>
      </c>
      <c r="B1408" s="1" t="s">
        <v>1408</v>
      </c>
      <c r="C1408" t="str">
        <f>IFERROR(__xludf.DUMMYFUNCTION("GOOGLETRANSLATE(B1408, ""zh"", ""en"")"),"Good value for money, packaging is also very safe. Very light, very small size, placed in a small bag easily")</f>
        <v>Good value for money, packaging is also very safe. Very light, very small size, placed in a small bag easily</v>
      </c>
    </row>
    <row r="1409">
      <c r="A1409" s="1">
        <v>5.0</v>
      </c>
      <c r="B1409" s="1" t="s">
        <v>1409</v>
      </c>
      <c r="C1409" t="str">
        <f>IFERROR(__xludf.DUMMYFUNCTION("GOOGLETRANSLATE(B1409, ""zh"", ""en"")"),"Suitable for walking shoes, lightweight, suitable for walking, and it is not stuffy.")</f>
        <v>Suitable for walking shoes, lightweight, suitable for walking, and it is not stuffy.</v>
      </c>
    </row>
    <row r="1410">
      <c r="A1410" s="1">
        <v>5.0</v>
      </c>
      <c r="B1410" s="1" t="s">
        <v>1410</v>
      </c>
      <c r="C1410" t="str">
        <f>IFERROR(__xludf.DUMMYFUNCTION("GOOGLETRANSLATE(B1410, ""zh"", ""en"")"),"Like fever, fever, good quality")</f>
        <v>Like fever, fever, good quality</v>
      </c>
    </row>
    <row r="1411">
      <c r="A1411" s="1">
        <v>5.0</v>
      </c>
      <c r="B1411" s="1" t="s">
        <v>1411</v>
      </c>
      <c r="C1411" t="str">
        <f>IFERROR(__xludf.DUMMYFUNCTION("GOOGLETRANSLATE(B1411, ""zh"", ""en"")"),"Good looks very nice")</f>
        <v>Good looks very nice</v>
      </c>
    </row>
    <row r="1412">
      <c r="A1412" s="1">
        <v>5.0</v>
      </c>
      <c r="B1412" s="1" t="s">
        <v>1412</v>
      </c>
      <c r="C1412" t="str">
        <f>IFERROR(__xludf.DUMMYFUNCTION("GOOGLETRANSLATE(B1412, ""zh"", ""en"")"),"Good texture very good, moderate hardness, good texture")</f>
        <v>Good texture very good, moderate hardness, good texture</v>
      </c>
    </row>
    <row r="1413">
      <c r="A1413" s="1">
        <v>5.0</v>
      </c>
      <c r="B1413" s="1" t="s">
        <v>1413</v>
      </c>
      <c r="C1413" t="str">
        <f>IFERROR(__xludf.DUMMYFUNCTION("GOOGLETRANSLATE(B1413, ""zh"", ""en"")"),"Leather hard, there are a cushion made in China, very hard leather, leather words, but do not know, look at the follow-up. There are cushion layer to enhance the comfort. Domestic pants to wear 31-32 yards, to buy 85 just right.")</f>
        <v>Leather hard, there are a cushion made in China, very hard leather, leather words, but do not know, look at the follow-up. There are cushion layer to enhance the comfort. Domestic pants to wear 31-32 yards, to buy 85 just right.</v>
      </c>
    </row>
    <row r="1414">
      <c r="A1414" s="1">
        <v>5.0</v>
      </c>
      <c r="B1414" s="1" t="s">
        <v>1414</v>
      </c>
      <c r="C1414" t="str">
        <f>IFERROR(__xludf.DUMMYFUNCTION("GOOGLETRANSLATE(B1414, ""zh"", ""en"")"),"Worth buying fast and easy to use suction uniformly charged with the only drawback it is also very easy to master too inconvenient to carry")</f>
        <v>Worth buying fast and easy to use suction uniformly charged with the only drawback it is also very easy to master too inconvenient to carry</v>
      </c>
    </row>
    <row r="1415">
      <c r="A1415" s="1">
        <v>5.0</v>
      </c>
      <c r="B1415" s="1" t="s">
        <v>1415</v>
      </c>
      <c r="C1415" t="str">
        <f>IFERROR(__xludf.DUMMYFUNCTION("GOOGLETRANSLATE(B1415, ""zh"", ""en"")"),"Children cups good Ha, cheaper than domestic. Before meals magician leak, this time for the Zojirushi")</f>
        <v>Children cups good Ha, cheaper than domestic. Before meals magician leak, this time for the Zojirushi</v>
      </c>
    </row>
    <row r="1416">
      <c r="A1416" s="1">
        <v>5.0</v>
      </c>
      <c r="B1416" s="1" t="s">
        <v>1416</v>
      </c>
      <c r="C1416" t="str">
        <f>IFERROR(__xludf.DUMMYFUNCTION("GOOGLETRANSLATE(B1416, ""zh"", ""en"")"),"Unpacking found the water has only one washer is mounted on the lower part. Why no upper rubber gasket, so loaded will not leak it? Unpacking found the water has only one washer is mounted on the lower part. Why no upper rubber gasket, so loaded will not "&amp;"leak it?")</f>
        <v>Unpacking found the water has only one washer is mounted on the lower part. Why no upper rubber gasket, so loaded will not leak it? Unpacking found the water has only one washer is mounted on the lower part. Why no upper rubber gasket, so loaded will not leak it?</v>
      </c>
    </row>
    <row r="1417">
      <c r="A1417" s="1">
        <v>5.0</v>
      </c>
      <c r="B1417" s="1" t="s">
        <v>1417</v>
      </c>
      <c r="C1417" t="str">
        <f>IFERROR(__xludf.DUMMYFUNCTION("GOOGLETRANSLATE(B1417, ""zh"", ""en"")"),"Foreign code is too large a number of foreign code is too large, and a pair of shoes to pay attention")</f>
        <v>Foreign code is too large a number of foreign code is too large, and a pair of shoes to pay attention</v>
      </c>
    </row>
    <row r="1418">
      <c r="A1418" s="1">
        <v>5.0</v>
      </c>
      <c r="B1418" s="1" t="s">
        <v>1418</v>
      </c>
      <c r="C1418" t="str">
        <f>IFERROR(__xludf.DUMMYFUNCTION("GOOGLETRANSLATE(B1418, ""zh"", ""en"")"),"The product has been very good with the baby, easy to use too much than glass")</f>
        <v>The product has been very good with the baby, easy to use too much than glass</v>
      </c>
    </row>
    <row r="1419">
      <c r="A1419" s="1">
        <v>2.0</v>
      </c>
      <c r="B1419" s="1" t="s">
        <v>1419</v>
      </c>
      <c r="C1419" t="str">
        <f>IFERROR(__xludf.DUMMYFUNCTION("GOOGLETRANSLATE(B1419, ""zh"", ""en"")"),"Super large, usually 34, wear M code on it, to buy a large two yards")</f>
        <v>Super large, usually 34, wear M code on it, to buy a large two yards</v>
      </c>
    </row>
    <row r="1420">
      <c r="A1420" s="1">
        <v>3.0</v>
      </c>
      <c r="B1420" s="1" t="s">
        <v>1420</v>
      </c>
      <c r="C1420" t="str">
        <f>IFERROR(__xludf.DUMMYFUNCTION("GOOGLETRANSLATE(B1420, ""zh"", ""en"")"),"Poorly designed materials can be. But the exterior design is unreasonable, when the toothbrush with it, good grip. When it gutta, bad bite, next to the handle and a flat, wide, bad bite or grip. Better to match monkey")</f>
        <v>Poorly designed materials can be. But the exterior design is unreasonable, when the toothbrush with it, good grip. When it gutta, bad bite, next to the handle and a flat, wide, bad bite or grip. Better to match monkey</v>
      </c>
    </row>
    <row r="1421">
      <c r="A1421" s="1">
        <v>3.0</v>
      </c>
      <c r="B1421" s="1" t="s">
        <v>1421</v>
      </c>
      <c r="C1421" t="str">
        <f>IFERROR(__xludf.DUMMYFUNCTION("GOOGLETRANSLATE(B1421, ""zh"", ""en"")"),"Too much height 165, weight 110, t-shirts too!")</f>
        <v>Too much height 165, weight 110, t-shirts too!</v>
      </c>
    </row>
    <row r="1422">
      <c r="A1422" s="1">
        <v>1.0</v>
      </c>
      <c r="B1422" s="1" t="s">
        <v>1422</v>
      </c>
      <c r="C1422" t="str">
        <f>IFERROR(__xludf.DUMMYFUNCTION("GOOGLETRANSLATE(B1422, ""zh"", ""en"")"),"Received is bad plugged nothing happens, can not boot, do not know the machine problems or power problems")</f>
        <v>Received is bad plugged nothing happens, can not boot, do not know the machine problems or power problems</v>
      </c>
    </row>
    <row r="1423">
      <c r="A1423" s="1">
        <v>1.0</v>
      </c>
      <c r="B1423" s="1" t="s">
        <v>1423</v>
      </c>
      <c r="C1423" t="str">
        <f>IFERROR(__xludf.DUMMYFUNCTION("GOOGLETRANSLATE(B1423, ""zh"", ""en"")"),"Maidaojiahuo feeling than in the US Amazon, the feeling is false, coming out of the water did not feel completely filtered feeling. Very sorry.")</f>
        <v>Maidaojiahuo feeling than in the US Amazon, the feeling is false, coming out of the water did not feel completely filtered feeling. Very sorry.</v>
      </c>
    </row>
    <row r="1424">
      <c r="A1424" s="1">
        <v>1.0</v>
      </c>
      <c r="B1424" s="1" t="s">
        <v>1424</v>
      </c>
      <c r="C1424" t="str">
        <f>IFERROR(__xludf.DUMMYFUNCTION("GOOGLETRANSLATE(B1424, ""zh"", ""en"")"),"Poor quality junk clothes once it is broken")</f>
        <v>Poor quality junk clothes once it is broken</v>
      </c>
    </row>
    <row r="1425">
      <c r="A1425" s="1">
        <v>4.0</v>
      </c>
      <c r="B1425" s="1" t="s">
        <v>1425</v>
      </c>
      <c r="C1425" t="str">
        <f>IFERROR(__xludf.DUMMYFUNCTION("GOOGLETRANSLATE(B1425, ""zh"", ""en"")"),"Comments not use, store the first. Look forward to the effect it")</f>
        <v>Comments not use, store the first. Look forward to the effect it</v>
      </c>
    </row>
    <row r="1426">
      <c r="A1426" s="1">
        <v>4.0</v>
      </c>
      <c r="B1426" s="1" t="s">
        <v>1426</v>
      </c>
      <c r="C1426" t="str">
        <f>IFERROR(__xludf.DUMMYFUNCTION("GOOGLETRANSLATE(B1426, ""zh"", ""en"")"),"Reevaluation measuring the insulation performance! Have not used, it is from Thailand, and then to do so on with the review!")</f>
        <v>Reevaluation measuring the insulation performance! Have not used, it is from Thailand, and then to do so on with the review!</v>
      </c>
    </row>
    <row r="1427">
      <c r="A1427" s="1">
        <v>4.0</v>
      </c>
      <c r="B1427" s="1" t="s">
        <v>1427</v>
      </c>
      <c r="C1427" t="str">
        <f>IFERROR(__xludf.DUMMYFUNCTION("GOOGLETRANSLATE(B1427, ""zh"", ""en"")"),"Very good very good effect, and so I do not want to run out and buy a look")</f>
        <v>Very good very good effect, and so I do not want to run out and buy a look</v>
      </c>
    </row>
    <row r="1428">
      <c r="A1428" s="1">
        <v>4.0</v>
      </c>
      <c r="B1428" s="1" t="s">
        <v>1428</v>
      </c>
      <c r="C1428" t="str">
        <f>IFERROR(__xludf.DUMMYFUNCTION("GOOGLETRANSLATE(B1428, ""zh"", ""en"")"),"Amazon China's clothing is best to use Chinese materials marked 170cm80kg, clothes bust 125, waist circumference 122, M number of suitable, inside a shirt a sweater, intelligent recommendation large, do not fly. Relatively thick clothes, these days there "&amp;"is no problem about zero. Work in general, thread a little bit more; price is very favorable, produced in China, shipped all the way to the United States and then shipped back taxes and also a lot cheaper than domestic.")</f>
        <v>Amazon China's clothing is best to use Chinese materials marked 170cm80kg, clothes bust 125, waist circumference 122, M number of suitable, inside a shirt a sweater, intelligent recommendation large, do not fly. Relatively thick clothes, these days there is no problem about zero. Work in general, thread a little bit more; price is very favorable, produced in China, shipped all the way to the United States and then shipped back taxes and also a lot cheaper than domestic.</v>
      </c>
    </row>
    <row r="1429">
      <c r="A1429" s="1">
        <v>4.0</v>
      </c>
      <c r="B1429" s="1" t="s">
        <v>1429</v>
      </c>
      <c r="C1429" t="str">
        <f>IFERROR(__xludf.DUMMYFUNCTION("GOOGLETRANSLATE(B1429, ""zh"", ""en"")"),"Relatively thin clothes, clothes in general are generally relatively thin, suitable for summer, the overall general.")</f>
        <v>Relatively thin clothes, clothes in general are generally relatively thin, suitable for summer, the overall general.</v>
      </c>
    </row>
    <row r="1430">
      <c r="A1430" s="1">
        <v>5.0</v>
      </c>
      <c r="B1430" s="1" t="s">
        <v>1430</v>
      </c>
      <c r="C1430" t="str">
        <f>IFERROR(__xludf.DUMMYFUNCTION("GOOGLETRANSLATE(B1430, ""zh"", ""en"")"),"10 days good to wear shoes, walking super lightweight, good fabric, unlike ordinary breathable shoe so thin, pure black shoes, shirts bought clothes and trousers take up a good foot feeling, normal wear 40 yards sports shoes, 7D (M) US wear foot feeling t"&amp;"ight, but acceptable, very pleasant first overseas purchase!")</f>
        <v>10 days good to wear shoes, walking super lightweight, good fabric, unlike ordinary breathable shoe so thin, pure black shoes, shirts bought clothes and trousers take up a good foot feeling, normal wear 40 yards sports shoes, 7D (M) US wear foot feeling tight, but acceptable, very pleasant first overseas purchase!</v>
      </c>
    </row>
    <row r="1431">
      <c r="A1431" s="1">
        <v>5.0</v>
      </c>
      <c r="B1431" s="1" t="s">
        <v>1431</v>
      </c>
      <c r="C1431" t="str">
        <f>IFERROR(__xludf.DUMMYFUNCTION("GOOGLETRANSLATE(B1431, ""zh"", ""en"")"),"It is the normal code to buy overseas, do not buy the freshman code. Cotton, you can buy a small one yard, because washed 2 times on the big! Prices here, do not expect too much of the shirt! Look at the reviews buy L, fit new, washed 2 times becomes larg"&amp;"e, the material is too general it! 183,70 wear M code on it!")</f>
        <v>It is the normal code to buy overseas, do not buy the freshman code. Cotton, you can buy a small one yard, because washed 2 times on the big! Prices here, do not expect too much of the shirt! Look at the reviews buy L, fit new, washed 2 times becomes large, the material is too general it! 183,70 wear M code on it!</v>
      </c>
    </row>
    <row r="1432">
      <c r="A1432" s="1">
        <v>5.0</v>
      </c>
      <c r="B1432" s="1" t="s">
        <v>1432</v>
      </c>
      <c r="C1432" t="str">
        <f>IFERROR(__xludf.DUMMYFUNCTION("GOOGLETRANSLATE(B1432, ""zh"", ""en"")"),"Doing or doing a lot cheaper than domestic or a lot cheaper than domestic")</f>
        <v>Doing or doing a lot cheaper than domestic or a lot cheaper than domestic</v>
      </c>
    </row>
    <row r="1433">
      <c r="A1433" s="1">
        <v>5.0</v>
      </c>
      <c r="B1433" s="1" t="s">
        <v>1433</v>
      </c>
      <c r="C1433" t="str">
        <f>IFERROR(__xludf.DUMMYFUNCTION("GOOGLETRANSLATE(B1433, ""zh"", ""en"")"),"Wife: Why you buy 8? ! Eight from the sale, but altogether more than thirty dollars, the price of conscience")</f>
        <v>Wife: Why you buy 8? ! Eight from the sale, but altogether more than thirty dollars, the price of conscience</v>
      </c>
    </row>
    <row r="1434">
      <c r="A1434" s="1">
        <v>5.0</v>
      </c>
      <c r="B1434" s="1" t="s">
        <v>1434</v>
      </c>
      <c r="C1434" t="str">
        <f>IFERROR(__xludf.DUMMYFUNCTION("GOOGLETRANSLATE(B1434, ""zh"", ""en"")"),"Excellent stuff, good quality and excellent stuff, good quality, very beautiful")</f>
        <v>Excellent stuff, good quality and excellent stuff, good quality, very beautiful</v>
      </c>
    </row>
    <row r="1435">
      <c r="A1435" s="1">
        <v>5.0</v>
      </c>
      <c r="B1435" s="1" t="s">
        <v>1435</v>
      </c>
      <c r="C1435" t="str">
        <f>IFERROR(__xludf.DUMMYFUNCTION("GOOGLETRANSLATE(B1435, ""zh"", ""en"")"),"Suitable buy this dress is the value of the thickness of the size is very appropriate quality can also be")</f>
        <v>Suitable buy this dress is the value of the thickness of the size is very appropriate quality can also be</v>
      </c>
    </row>
    <row r="1436">
      <c r="A1436" s="1">
        <v>5.0</v>
      </c>
      <c r="B1436" s="1" t="s">
        <v>1436</v>
      </c>
      <c r="C1436" t="str">
        <f>IFERROR(__xludf.DUMMYFUNCTION("GOOGLETRANSLATE(B1436, ""zh"", ""en"")"),"I bought a lot of cool mug cup, favorite only. good looking! Insulation effect Ye Hao. Inside seems to be coated. Morning for the children to bring a pot of warm water. Direct drink. One day enough pot")</f>
        <v>I bought a lot of cool mug cup, favorite only. good looking! Insulation effect Ye Hao. Inside seems to be coated. Morning for the children to bring a pot of warm water. Direct drink. One day enough pot</v>
      </c>
    </row>
    <row r="1437">
      <c r="A1437" s="1">
        <v>5.0</v>
      </c>
      <c r="B1437" s="1" t="s">
        <v>1437</v>
      </c>
      <c r="C1437" t="str">
        <f>IFERROR(__xludf.DUMMYFUNCTION("GOOGLETRANSLATE(B1437, ""zh"", ""en"")"),"Also you need to prepare four British standard triangular valve faucet is too large, a small basin careful. You need to purchase another British standard triangle valve 4 can install")</f>
        <v>Also you need to prepare four British standard triangular valve faucet is too large, a small basin careful. You need to purchase another British standard triangle valve 4 can install</v>
      </c>
    </row>
    <row r="1438">
      <c r="A1438" s="1">
        <v>5.0</v>
      </c>
      <c r="B1438" s="1" t="s">
        <v>1438</v>
      </c>
      <c r="C1438" t="str">
        <f>IFERROR(__xludf.DUMMYFUNCTION("GOOGLETRANSLATE(B1438, ""zh"", ""en"")"),"A Mirau &lt;div id = ""video-block-RFXYMKF242YWF"" class = ""a-section a-spacing-small a-spacing-top-mini video-block""&gt; &lt;/ div&gt; &lt;input type = ""hidden"" name = """" value = ""https://images-cn.ssl-images-amazon.com/images/I/B1V-rIa0yRS.mp4"" class = ""video"&amp;"-url""&gt; &lt;input type = ""hidden"" name = """" value = ""https://images-cn.ssl-images-amazon.com/images/I/91ChDEs0qgS.png"" class = ""video-slate-img-url""&gt; &amp; nbsp; this table with a Mirau Pegasus is the movement of the NH35, NH35 equal to Japan's Seiko mov"&amp;"ement, there is a stop seconds function, but my bad luck, my 24 hours this error 20-30 seconds, unlike others on the error a few seconds. Cost pricey, more than four start, good workmanship, style is very similar to the Water Monster, one meter looking ve"&amp;"ry bluffing, through a low dive table design in very rare, diameter of 40mm thickness suitable for a variety of wrist , not too small, no good style.")</f>
        <v>A Mirau &lt;div id = "video-block-RFXYMKF242YWF" class = "a-section a-spacing-small a-spacing-top-mini video-block"&gt; &lt;/ div&gt; &lt;input type = "hidden" name = "" value = "https://images-cn.ssl-images-amazon.com/images/I/B1V-rIa0yRS.mp4" class = "video-url"&gt; &lt;input type = "hidden" name = "" value = "https://images-cn.ssl-images-amazon.com/images/I/91ChDEs0qgS.png" class = "video-slate-img-url"&gt; &amp; nbsp; this table with a Mirau Pegasus is the movement of the NH35, NH35 equal to Japan's Seiko movement, there is a stop seconds function, but my bad luck, my 24 hours this error 20-30 seconds, unlike others on the error a few seconds. Cost pricey, more than four start, good workmanship, style is very similar to the Water Monster, one meter looking very bluffing, through a low dive table design in very rare, diameter of 40mm thickness suitable for a variety of wrist , not too small, no good style.</v>
      </c>
    </row>
    <row r="1439">
      <c r="A1439" s="1">
        <v>5.0</v>
      </c>
      <c r="B1439" s="1" t="s">
        <v>1439</v>
      </c>
      <c r="C1439" t="str">
        <f>IFERROR(__xludf.DUMMYFUNCTION("GOOGLETRANSLATE(B1439, ""zh"", ""en"")"),"Although there is no good to buy a double, but this comfortable, very good. Spring and autumn wear.")</f>
        <v>Although there is no good to buy a double, but this comfortable, very good. Spring and autumn wear.</v>
      </c>
    </row>
    <row r="1440">
      <c r="A1440" s="1">
        <v>5.0</v>
      </c>
      <c r="B1440" s="1" t="s">
        <v>1440</v>
      </c>
      <c r="C1440" t="str">
        <f>IFERROR(__xludf.DUMMYFUNCTION("GOOGLETRANSLATE(B1440, ""zh"", ""en"")"),"Casio Germany sent me, very good quality, the price is much cheaper")</f>
        <v>Casio Germany sent me, very good quality, the price is much cheaper</v>
      </c>
    </row>
    <row r="1441">
      <c r="A1441" s="1">
        <v>5.0</v>
      </c>
      <c r="B1441" s="1" t="s">
        <v>1441</v>
      </c>
      <c r="C1441" t="str">
        <f>IFERROR(__xludf.DUMMYFUNCTION("GOOGLETRANSLATE(B1441, ""zh"", ""en"")"),"Commodity good pretty good but just not quite up operation will")</f>
        <v>Commodity good pretty good but just not quite up operation will</v>
      </c>
    </row>
    <row r="1442">
      <c r="A1442" s="1">
        <v>5.0</v>
      </c>
      <c r="B1442" s="1" t="s">
        <v>1442</v>
      </c>
      <c r="C1442" t="str">
        <f>IFERROR(__xludf.DUMMYFUNCTION("GOOGLETRANSLATE(B1442, ""zh"", ""en"")"),"Looks good, Ye Hao experience with the purchase after climbing to Nepal, use down pretty good experience. It is overpaid")</f>
        <v>Looks good, Ye Hao experience with the purchase after climbing to Nepal, use down pretty good experience. It is overpaid</v>
      </c>
    </row>
    <row r="1443">
      <c r="A1443" s="1">
        <v>5.0</v>
      </c>
      <c r="B1443" s="1" t="s">
        <v>1443</v>
      </c>
      <c r="C1443" t="str">
        <f>IFERROR(__xludf.DUMMYFUNCTION("GOOGLETRANSLATE(B1443, ""zh"", ""en"")"),"Receiving evaluation quite seriously damaged packaging to give as gifts, a little embarrassed. Ink is very good. love it")</f>
        <v>Receiving evaluation quite seriously damaged packaging to give as gifts, a little embarrassed. Ink is very good. love it</v>
      </c>
    </row>
    <row r="1444">
      <c r="A1444" s="1">
        <v>5.0</v>
      </c>
      <c r="B1444" s="1" t="s">
        <v>1444</v>
      </c>
      <c r="C1444" t="str">
        <f>IFERROR(__xludf.DUMMYFUNCTION("GOOGLETRANSLATE(B1444, ""zh"", ""en"")"),"Harry lost quite texture, height getting bigger, hanging where all good-looking!")</f>
        <v>Harry lost quite texture, height getting bigger, hanging where all good-looking!</v>
      </c>
    </row>
    <row r="1445">
      <c r="A1445" s="1">
        <v>5.0</v>
      </c>
      <c r="B1445" s="1" t="s">
        <v>1445</v>
      </c>
      <c r="C1445" t="str">
        <f>IFERROR(__xludf.DUMMYFUNCTION("GOOGLETRANSLATE(B1445, ""zh"", ""en"")"),"Good quality, comfortable feel. Very good quality, design, tailoring is also good.")</f>
        <v>Good quality, comfortable feel. Very good quality, design, tailoring is also good.</v>
      </c>
    </row>
    <row r="1446">
      <c r="A1446" s="1">
        <v>5.0</v>
      </c>
      <c r="B1446" s="1" t="s">
        <v>1446</v>
      </c>
      <c r="C1446" t="str">
        <f>IFERROR(__xludf.DUMMYFUNCTION("GOOGLETRANSLATE(B1446, ""zh"", ""en"")"),"Lead is a soft, overlapping color are particularly good. The best choice for painting portraits, lead very soft, overlapping color are particularly good. A very high price color of lead")</f>
        <v>Lead is a soft, overlapping color are particularly good. The best choice for painting portraits, lead very soft, overlapping color are particularly good. A very high price color of lead</v>
      </c>
    </row>
    <row r="1447">
      <c r="A1447" s="1">
        <v>5.0</v>
      </c>
      <c r="B1447" s="1" t="s">
        <v>1447</v>
      </c>
      <c r="C1447" t="str">
        <f>IFERROR(__xludf.DUMMYFUNCTION("GOOGLETRANSLATE(B1447, ""zh"", ""en"")"),"Good cleaning robot is very good, very hard-working, punctual cleaned every day, cleaning can be considered simple. That is, I do not know how to see the map")</f>
        <v>Good cleaning robot is very good, very hard-working, punctual cleaned every day, cleaning can be considered simple. That is, I do not know how to see the map</v>
      </c>
    </row>
    <row r="1448">
      <c r="A1448" s="1">
        <v>5.0</v>
      </c>
      <c r="B1448" s="1" t="s">
        <v>1448</v>
      </c>
      <c r="C1448" t="str">
        <f>IFERROR(__xludf.DUMMYFUNCTION("GOOGLETRANSLATE(B1448, ""zh"", ""en"")"),"Code value to buy s, 166 / 66kg")</f>
        <v>Code value to buy s, 166 / 66kg</v>
      </c>
    </row>
    <row r="1449">
      <c r="A1449" s="1">
        <v>5.0</v>
      </c>
      <c r="B1449" s="1" t="s">
        <v>1449</v>
      </c>
      <c r="C1449" t="str">
        <f>IFERROR(__xludf.DUMMYFUNCTION("GOOGLETRANSLATE(B1449, ""zh"", ""en"")"),"Convenient, easy to use red teeth. Portable models more convenient, if the home is the proposed purchase of Home Edition, do not add water rinse once, you need to install portable water several times, but still like, always wanted to buy his family have b"&amp;"een waiting for a good price than before.")</f>
        <v>Convenient, easy to use red teeth. Portable models more convenient, if the home is the proposed purchase of Home Edition, do not add water rinse once, you need to install portable water several times, but still like, always wanted to buy his family have been waiting for a good price than before.</v>
      </c>
    </row>
    <row r="1450">
      <c r="A1450" s="1">
        <v>5.0</v>
      </c>
      <c r="B1450" s="1" t="s">
        <v>1450</v>
      </c>
      <c r="C1450" t="str">
        <f>IFERROR(__xludf.DUMMYFUNCTION("GOOGLETRANSLATE(B1450, ""zh"", ""en"")"),"Recommend to the mother to buy, she likes")</f>
        <v>Recommend to the mother to buy, she likes</v>
      </c>
    </row>
    <row r="1451">
      <c r="A1451" s="1">
        <v>5.0</v>
      </c>
      <c r="B1451" s="1" t="s">
        <v>1451</v>
      </c>
      <c r="C1451" t="str">
        <f>IFERROR(__xludf.DUMMYFUNCTION("GOOGLETRANSLATE(B1451, ""zh"", ""en"")"),"Baseball cap hat good quality, workmanship is very good, a bit shallow, slightly smaller, darker wearing more type.")</f>
        <v>Baseball cap hat good quality, workmanship is very good, a bit shallow, slightly smaller, darker wearing more type.</v>
      </c>
    </row>
    <row r="1452">
      <c r="A1452" s="1">
        <v>2.0</v>
      </c>
      <c r="B1452" s="1" t="s">
        <v>1452</v>
      </c>
      <c r="C1452" t="str">
        <f>IFERROR(__xludf.DUMMYFUNCTION("GOOGLETRANSLATE(B1452, ""zh"", ""en"")"),"Size too big too")</f>
        <v>Size too big too</v>
      </c>
    </row>
    <row r="1453">
      <c r="A1453" s="1">
        <v>3.0</v>
      </c>
      <c r="B1453" s="1" t="s">
        <v>1453</v>
      </c>
      <c r="C1453" t="str">
        <f>IFERROR(__xludf.DUMMYFUNCTION("GOOGLETRANSLATE(B1453, ""zh"", ""en"")"),"Big movement, a vacuum will stop on their own do not know why the process of leaking use.")</f>
        <v>Big movement, a vacuum will stop on their own do not know why the process of leaking use.</v>
      </c>
    </row>
    <row r="1454">
      <c r="A1454" s="1">
        <v>3.0</v>
      </c>
      <c r="B1454" s="1" t="s">
        <v>1454</v>
      </c>
      <c r="C1454" t="str">
        <f>IFERROR(__xludf.DUMMYFUNCTION("GOOGLETRANSLATE(B1454, ""zh"", ""en"")"),"I 172CM 95KG XL clothes a little too large rather long and usually no matter tooling wear shirts or sportswear XL I just 172CM 95KG XL clothes are a bit biased clothing and body fat rather long sleeves Shoulder Length is just overseas just to buy a replac"&amp;"ement can not only return return refundable tax loss also does not pay the freight")</f>
        <v>I 172CM 95KG XL clothes a little too large rather long and usually no matter tooling wear shirts or sportswear XL I just 172CM 95KG XL clothes are a bit biased clothing and body fat rather long sleeves Shoulder Length is just overseas just to buy a replacement can not only return return refundable tax loss also does not pay the freight</v>
      </c>
    </row>
    <row r="1455">
      <c r="A1455" s="1">
        <v>3.0</v>
      </c>
      <c r="B1455" s="1" t="s">
        <v>1455</v>
      </c>
      <c r="C1455" t="str">
        <f>IFERROR(__xludf.DUMMYFUNCTION("GOOGLETRANSLATE(B1455, ""zh"", ""en"")"),"Champion t-shirt female models said to be black, in fact, is not, is gray, there is color, and pictures describe inconsistencies")</f>
        <v>Champion t-shirt female models said to be black, in fact, is not, is gray, there is color, and pictures describe inconsistencies</v>
      </c>
    </row>
    <row r="1456">
      <c r="A1456" s="1">
        <v>1.0</v>
      </c>
      <c r="B1456" s="1" t="s">
        <v>1456</v>
      </c>
      <c r="C1456" t="str">
        <f>IFERROR(__xludf.DUMMYFUNCTION("GOOGLETRANSLATE(B1456, ""zh"", ""en"")"),"Amazon shopping shortly before the first-time buyers need to be cautious in the Amazon a ""LEE"" ""Lee Men PANTS pair of black trousers 40W x 34L"" lack of understanding of standard size, the other choice given the size and national standards are too dive"&amp;"rse to receive the goods long after the discovery of fertilizer, size and presentation serious discrepancies, call returned, and they knew only retreat does not change, but the freight need 120 yuan, equivalent to 50% of the value of the goods, it is not "&amp;"acceptable.")</f>
        <v>Amazon shopping shortly before the first-time buyers need to be cautious in the Amazon a "LEE" "Lee Men PANTS pair of black trousers 40W x 34L" lack of understanding of standard size, the other choice given the size and national standards are too diverse to receive the goods long after the discovery of fertilizer, size and presentation serious discrepancies, call returned, and they knew only retreat does not change, but the freight need 120 yuan, equivalent to 50% of the value of the goods, it is not acceptable.</v>
      </c>
    </row>
    <row r="1457">
      <c r="A1457" s="1">
        <v>1.0</v>
      </c>
      <c r="B1457" s="1" t="s">
        <v>1457</v>
      </c>
      <c r="C1457" t="str">
        <f>IFERROR(__xludf.DUMMYFUNCTION("GOOGLETRANSLATE(B1457, ""zh"", ""en"")"),"Size too big clothes price is indeed very affordable, but the size is too exaggerated, at least more than the difference between domestic and two yards. If the country is normal wear big yards, then you have to buy their little code")</f>
        <v>Size too big clothes price is indeed very affordable, but the size is too exaggerated, at least more than the difference between domestic and two yards. If the country is normal wear big yards, then you have to buy their little code</v>
      </c>
    </row>
    <row r="1458">
      <c r="A1458" s="1">
        <v>1.0</v>
      </c>
      <c r="B1458" s="1" t="s">
        <v>1458</v>
      </c>
      <c r="C1458" t="str">
        <f>IFERROR(__xludf.DUMMYFUNCTION("GOOGLETRANSLATE(B1458, ""zh"", ""en"")"),"so so. A lie is too large. The fabric is not the same with photos. Not worth! Prices are subject to change? When I bought 350, now 318? Big loss!")</f>
        <v>so so. A lie is too large. The fabric is not the same with photos. Not worth! Prices are subject to change? When I bought 350, now 318? Big loss!</v>
      </c>
    </row>
    <row r="1459">
      <c r="A1459" s="1">
        <v>4.0</v>
      </c>
      <c r="B1459" s="1" t="s">
        <v>1459</v>
      </c>
      <c r="C1459" t="str">
        <f>IFERROR(__xludf.DUMMYFUNCTION("GOOGLETRANSLATE(B1459, ""zh"", ""en"")"),"Well just get our hands on the appearance of a little disappointed, but you still acceptable. And it has spent more than a year, I feel pretty good, also go quite accurate, no big problem. Strap is very light, as if did not take the same. Only recently br"&amp;"oken strap, convenient to carry it out.")</f>
        <v>Well just get our hands on the appearance of a little disappointed, but you still acceptable. And it has spent more than a year, I feel pretty good, also go quite accurate, no big problem. Strap is very light, as if did not take the same. Only recently broken strap, convenient to carry it out.</v>
      </c>
    </row>
    <row r="1460">
      <c r="A1460" s="1">
        <v>4.0</v>
      </c>
      <c r="B1460" s="1" t="s">
        <v>1460</v>
      </c>
      <c r="C1460" t="str">
        <f>IFERROR(__xludf.DUMMYFUNCTION("GOOGLETRANSLATE(B1460, ""zh"", ""en"")"),"At least have to buy a smaller size, 166mm, 92 pounds. You have to buy a trumpet ankle! You should buy XS. Small staircase time will drag on the ground. Electrostatic clothes terrible! At least have to buy a smaller size, 166mm, 92 pounds. You have to buy"&amp;" a trumpet ankle! You should buy XS. Small staircase time will drag on the ground. Electrostatic clothes terrible!")</f>
        <v>At least have to buy a smaller size, 166mm, 92 pounds. You have to buy a trumpet ankle! You should buy XS. Small staircase time will drag on the ground. Electrostatic clothes terrible! At least have to buy a smaller size, 166mm, 92 pounds. You have to buy a trumpet ankle! You should buy XS. Small staircase time will drag on the ground. Electrostatic clothes terrible!</v>
      </c>
    </row>
    <row r="1461">
      <c r="A1461" s="1">
        <v>4.0</v>
      </c>
      <c r="B1461" s="1" t="s">
        <v>1461</v>
      </c>
      <c r="C1461" t="str">
        <f>IFERROR(__xludf.DUMMYFUNCTION("GOOGLETRANSLATE(B1461, ""zh"", ""en"")"),"Wear comfortable, quality can still waited about ten days, and finally hand headphones, listen to it, I feel more suitable for pure listening to music, especially good individual instrumental performance, popular law-abiding nothing special brisk performa"&amp;"nce, and other heavy rock bass performance is somewhat unsatisfactory. I fear the headset is relatively small ears uncomfortable, but this headset very comfortable to wear, after a time there is no uncomfortable place.")</f>
        <v>Wear comfortable, quality can still waited about ten days, and finally hand headphones, listen to it, I feel more suitable for pure listening to music, especially good individual instrumental performance, popular law-abiding nothing special brisk performance, and other heavy rock bass performance is somewhat unsatisfactory. I fear the headset is relatively small ears uncomfortable, but this headset very comfortable to wear, after a time there is no uncomfortable place.</v>
      </c>
    </row>
    <row r="1462">
      <c r="A1462" s="1">
        <v>4.0</v>
      </c>
      <c r="B1462" s="1" t="s">
        <v>1462</v>
      </c>
      <c r="C1462" t="str">
        <f>IFERROR(__xludf.DUMMYFUNCTION("GOOGLETRANSLATE(B1462, ""zh"", ""en"")"),"A little bit small quality is also good, very comfortable to wear, that is a little bit small, very appropriate code freshman, but only four are more than two values.")</f>
        <v>A little bit small quality is also good, very comfortable to wear, that is a little bit small, very appropriate code freshman, but only four are more than two values.</v>
      </c>
    </row>
    <row r="1463">
      <c r="A1463" s="1">
        <v>4.0</v>
      </c>
      <c r="B1463" s="1" t="s">
        <v>1463</v>
      </c>
      <c r="C1463" t="str">
        <f>IFERROR(__xludf.DUMMYFUNCTION("GOOGLETRANSLATE(B1463, ""zh"", ""en"")"),"And domestic buying W34L32 than it really is too large and domestic buying W34L32 than it really is too large, should buy a smaller size, but the price is considered a more favorable")</f>
        <v>And domestic buying W34L32 than it really is too large and domestic buying W34L32 than it really is too large, should buy a smaller size, but the price is considered a more favorable</v>
      </c>
    </row>
    <row r="1464">
      <c r="A1464" s="1">
        <v>5.0</v>
      </c>
      <c r="B1464" s="1" t="s">
        <v>1464</v>
      </c>
      <c r="C1464" t="str">
        <f>IFERROR(__xludf.DUMMYFUNCTION("GOOGLETRANSLATE(B1464, ""zh"", ""en"")"),"The cup is very satisfied mug insulation, water can generally holding at least one to two days in warm water can also heat the day! Lightweight and convenient one-hand operable! The cup is light to carry out well, the capacity can be!")</f>
        <v>The cup is very satisfied mug insulation, water can generally holding at least one to two days in warm water can also heat the day! Lightweight and convenient one-hand operable! The cup is light to carry out well, the capacity can be!</v>
      </c>
    </row>
    <row r="1465">
      <c r="A1465" s="1">
        <v>5.0</v>
      </c>
      <c r="B1465" s="1" t="s">
        <v>1465</v>
      </c>
      <c r="C1465" t="str">
        <f>IFERROR(__xludf.DUMMYFUNCTION("GOOGLETRANSLATE(B1465, ""zh"", ""en"")"),"Love the color is perfect, the insulation effect can, in short, very fond of")</f>
        <v>Love the color is perfect, the insulation effect can, in short, very fond of</v>
      </c>
    </row>
    <row r="1466">
      <c r="A1466" s="1">
        <v>5.0</v>
      </c>
      <c r="B1466" s="1" t="s">
        <v>1466</v>
      </c>
      <c r="C1466" t="str">
        <f>IFERROR(__xludf.DUMMYFUNCTION("GOOGLETRANSLATE(B1466, ""zh"", ""en"")"),"Folded into a package does not know how hot weather, not to wear.")</f>
        <v>Folded into a package does not know how hot weather, not to wear.</v>
      </c>
    </row>
    <row r="1467">
      <c r="A1467" s="1">
        <v>5.0</v>
      </c>
      <c r="B1467" s="1" t="s">
        <v>1467</v>
      </c>
      <c r="C1467" t="str">
        <f>IFERROR(__xludf.DUMMYFUNCTION("GOOGLETRANSLATE(B1467, ""zh"", ""en"")"),"Quite appropriate. Second time to buy this model. Quite appropriate.")</f>
        <v>Quite appropriate. Second time to buy this model. Quite appropriate.</v>
      </c>
    </row>
    <row r="1468">
      <c r="A1468" s="1">
        <v>5.0</v>
      </c>
      <c r="B1468" s="1" t="s">
        <v>1468</v>
      </c>
      <c r="C1468" t="str">
        <f>IFERROR(__xludf.DUMMYFUNCTION("GOOGLETRANSLATE(B1468, ""zh"", ""en"")"),"Cortex is very good very good, no smell, very family like.")</f>
        <v>Cortex is very good very good, no smell, very family like.</v>
      </c>
    </row>
    <row r="1469">
      <c r="A1469" s="1">
        <v>5.0</v>
      </c>
      <c r="B1469" s="1" t="s">
        <v>1469</v>
      </c>
      <c r="C1469" t="str">
        <f>IFERROR(__xludf.DUMMYFUNCTION("GOOGLETRANSLATE(B1469, ""zh"", ""en"")"),"Good very good, there's still a possible bomb jj out design, produce of Kenya.")</f>
        <v>Good very good, there's still a possible bomb jj out design, produce of Kenya.</v>
      </c>
    </row>
    <row r="1470">
      <c r="A1470" s="1">
        <v>5.0</v>
      </c>
      <c r="B1470" s="1" t="s">
        <v>423</v>
      </c>
      <c r="C1470" t="str">
        <f>IFERROR(__xludf.DUMMYFUNCTION("GOOGLETRANSLATE(B1470, ""zh"", ""en"")"),"Very good quality, value for money. Very good quality, value for money.")</f>
        <v>Very good quality, value for money. Very good quality, value for money.</v>
      </c>
    </row>
    <row r="1471">
      <c r="A1471" s="1">
        <v>5.0</v>
      </c>
      <c r="B1471" s="1" t="s">
        <v>1470</v>
      </c>
      <c r="C1471" t="str">
        <f>IFERROR(__xludf.DUMMYFUNCTION("GOOGLETRANSLATE(B1471, ""zh"", ""en"")"),"Affordable looked just fine, mainly affordable ah")</f>
        <v>Affordable looked just fine, mainly affordable ah</v>
      </c>
    </row>
    <row r="1472">
      <c r="A1472" s="1">
        <v>5.0</v>
      </c>
      <c r="B1472" s="1" t="s">
        <v>1471</v>
      </c>
      <c r="C1472" t="str">
        <f>IFERROR(__xludf.DUMMYFUNCTION("GOOGLETRANSLATE(B1472, ""zh"", ""en"")"),"The original Chinese manufacturing pot is very beautiful, high-capacity, filled with water capacity scale has three choices. Goods to try a little, boil water quickly, satisfied. Timely logistics, good packaging, the price is expensive.")</f>
        <v>The original Chinese manufacturing pot is very beautiful, high-capacity, filled with water capacity scale has three choices. Goods to try a little, boil water quickly, satisfied. Timely logistics, good packaging, the price is expensive.</v>
      </c>
    </row>
    <row r="1473">
      <c r="A1473" s="1">
        <v>5.0</v>
      </c>
      <c r="B1473" s="1" t="s">
        <v>1472</v>
      </c>
      <c r="C1473" t="str">
        <f>IFERROR(__xludf.DUMMYFUNCTION("GOOGLETRANSLATE(B1473, ""zh"", ""en"")"),"Partial monitor tri-band uniform, listen to piano music, then count started. Sound quality is good, aural sound better, a little small ear ear, headphones direct boxes are delivered without extra protection, extremely simple. Teeth white water, uniform ty"&amp;"pe, not particularly outstanding. Listen to folk flavor is not likely to be pulled into the bass; Chungang melodies IF clarity, but there are low-frequency feedback is not obvious; rock can clearly distinguish instruments not mix, in short, the full amoun"&amp;"t of information; electronic music are too strong not heard, listen to folk grinding rock guitar plucked melody, electric guitars and bass reduction degree good ding. The above are more than a month listening to the feelings of non-metaphysical people for"&amp;" reference only.")</f>
        <v>Partial monitor tri-band uniform, listen to piano music, then count started. Sound quality is good, aural sound better, a little small ear ear, headphones direct boxes are delivered without extra protection, extremely simple. Teeth white water, uniform type, not particularly outstanding. Listen to folk flavor is not likely to be pulled into the bass; Chungang melodies IF clarity, but there are low-frequency feedback is not obvious; rock can clearly distinguish instruments not mix, in short, the full amount of information; electronic music are too strong not heard, listen to folk grinding rock guitar plucked melody, electric guitars and bass reduction degree good ding. The above are more than a month listening to the feelings of non-metaphysical people for reference only.</v>
      </c>
    </row>
    <row r="1474">
      <c r="A1474" s="1">
        <v>5.0</v>
      </c>
      <c r="B1474" s="1" t="s">
        <v>1473</v>
      </c>
      <c r="C1474" t="str">
        <f>IFERROR(__xludf.DUMMYFUNCTION("GOOGLETRANSLATE(B1474, ""zh"", ""en"")"),"Good good shoes, big number. Office recommended to buy a small yard. Nice shoes very well.")</f>
        <v>Good good shoes, big number. Office recommended to buy a small yard. Nice shoes very well.</v>
      </c>
    </row>
    <row r="1475">
      <c r="A1475" s="1">
        <v>5.0</v>
      </c>
      <c r="B1475" s="1" t="s">
        <v>1474</v>
      </c>
      <c r="C1475" t="str">
        <f>IFERROR(__xludf.DUMMYFUNCTION("GOOGLETRANSLATE(B1475, ""zh"", ""en"")"),"Very good very very good worth buying is worth buying is very good worth buying")</f>
        <v>Very good very very good worth buying is worth buying is very good worth buying</v>
      </c>
    </row>
    <row r="1476">
      <c r="A1476" s="1">
        <v>5.0</v>
      </c>
      <c r="B1476" s="1" t="s">
        <v>1475</v>
      </c>
      <c r="C1476" t="str">
        <f>IFERROR(__xludf.DUMMYFUNCTION("GOOGLETRANSLATE(B1476, ""zh"", ""en"")"),"In line with my expectations in line with my expectations. Musical taste. But with its sound is not very different brothers.")</f>
        <v>In line with my expectations in line with my expectations. Musical taste. But with its sound is not very different brothers.</v>
      </c>
    </row>
    <row r="1477">
      <c r="A1477" s="1">
        <v>5.0</v>
      </c>
      <c r="B1477" s="1" t="s">
        <v>1476</v>
      </c>
      <c r="C1477" t="str">
        <f>IFERROR(__xludf.DUMMYFUNCTION("GOOGLETRANSLATE(B1477, ""zh"", ""en"")"),"We must recommend unlimited buy-back, and then not used up for the other.")</f>
        <v>We must recommend unlimited buy-back, and then not used up for the other.</v>
      </c>
    </row>
    <row r="1478">
      <c r="A1478" s="1">
        <v>5.0</v>
      </c>
      <c r="B1478" s="1" t="s">
        <v>1477</v>
      </c>
      <c r="C1478" t="str">
        <f>IFERROR(__xludf.DUMMYFUNCTION("GOOGLETRANSLATE(B1478, ""zh"", ""en"")"),"Good running shoes good performance! The next still want to buy!")</f>
        <v>Good running shoes good performance! The next still want to buy!</v>
      </c>
    </row>
    <row r="1479">
      <c r="A1479" s="1">
        <v>5.0</v>
      </c>
      <c r="B1479" s="1" t="s">
        <v>1478</v>
      </c>
      <c r="C1479" t="str">
        <f>IFERROR(__xludf.DUMMYFUNCTION("GOOGLETRANSLATE(B1479, ""zh"", ""en"")"),"Rather long and somewhat harder fabric points")</f>
        <v>Rather long and somewhat harder fabric points</v>
      </c>
    </row>
    <row r="1480">
      <c r="A1480" s="1">
        <v>5.0</v>
      </c>
      <c r="B1480" s="1" t="s">
        <v>1479</v>
      </c>
      <c r="C1480" t="str">
        <f>IFERROR(__xludf.DUMMYFUNCTION("GOOGLETRANSLATE(B1480, ""zh"", ""en"")"),"It said these pants fit thin people, you usually do not exercise it is completely not thin, spring and autumn equipment, I 174cm.110 pounds, wearing s numbers are very, very big! ! ! ! This is indeed European and American people of size, it is recommended"&amp;" not fat people wear trumpet does not work.")</f>
        <v>It said these pants fit thin people, you usually do not exercise it is completely not thin, spring and autumn equipment, I 174cm.110 pounds, wearing s numbers are very, very big! ! ! ! This is indeed European and American people of size, it is recommended not fat people wear trumpet does not work.</v>
      </c>
    </row>
    <row r="1481">
      <c r="A1481" s="1">
        <v>5.0</v>
      </c>
      <c r="B1481" s="1" t="s">
        <v>1480</v>
      </c>
      <c r="C1481" t="str">
        <f>IFERROR(__xludf.DUMMYFUNCTION("GOOGLETRANSLATE(B1481, ""zh"", ""en"")"),"Tights are warm in winter should wear a pair of Sichuan enough ...... do not look too thick but very warm, and very comfortable to wear, height 172 weight 110 to buy the L is very fit.")</f>
        <v>Tights are warm in winter should wear a pair of Sichuan enough ...... do not look too thick but very warm, and very comfortable to wear, height 172 weight 110 to buy the L is very fit.</v>
      </c>
    </row>
    <row r="1482">
      <c r="A1482" s="1">
        <v>5.0</v>
      </c>
      <c r="B1482" s="1" t="s">
        <v>1481</v>
      </c>
      <c r="C1482" t="str">
        <f>IFERROR(__xludf.DUMMYFUNCTION("GOOGLETRANSLATE(B1482, ""zh"", ""en"")"),"Suitable to wear twice, feeling comfortable. Elastic cloth behind too easily loose")</f>
        <v>Suitable to wear twice, feeling comfortable. Elastic cloth behind too easily loose</v>
      </c>
    </row>
    <row r="1483">
      <c r="A1483" s="1">
        <v>5.0</v>
      </c>
      <c r="B1483" s="1" t="s">
        <v>1482</v>
      </c>
      <c r="C1483" t="str">
        <f>IFERROR(__xludf.DUMMYFUNCTION("GOOGLETRANSLATE(B1483, ""zh"", ""en"")"),"Shoes are satisfied Shoes feel light on your feet")</f>
        <v>Shoes are satisfied Shoes feel light on your feet</v>
      </c>
    </row>
    <row r="1484">
      <c r="A1484" s="1">
        <v>5.0</v>
      </c>
      <c r="B1484" s="1" t="s">
        <v>1483</v>
      </c>
      <c r="C1484" t="str">
        <f>IFERROR(__xludf.DUMMYFUNCTION("GOOGLETRANSLATE(B1484, ""zh"", ""en"")"),"Liked very value size is very standard, I usually 39 feet wide because of the high instep, bought 39.5, very appropriate oh, leather is very soft. Did not think you can wear foot wide, more excited, ha ha. Good prices, a lot of big yards welfare. Preparat"&amp;"ion of the stay for the autumn.")</f>
        <v>Liked very value size is very standard, I usually 39 feet wide because of the high instep, bought 39.5, very appropriate oh, leather is very soft. Did not think you can wear foot wide, more excited, ha ha. Good prices, a lot of big yards welfare. Preparation of the stay for the autumn.</v>
      </c>
    </row>
    <row r="1485">
      <c r="A1485" s="1">
        <v>5.0</v>
      </c>
      <c r="B1485" s="1" t="s">
        <v>1484</v>
      </c>
      <c r="C1485" t="str">
        <f>IFERROR(__xludf.DUMMYFUNCTION("GOOGLETRANSLATE(B1485, ""zh"", ""en"")"),"The price is right for everyday use it is necessary to store goods for daily use price is right it is necessary to store goods")</f>
        <v>The price is right for everyday use it is necessary to store goods for daily use price is right it is necessary to store goods</v>
      </c>
    </row>
    <row r="1486">
      <c r="A1486" s="1">
        <v>2.0</v>
      </c>
      <c r="B1486" s="1" t="s">
        <v>1485</v>
      </c>
      <c r="C1486" t="str">
        <f>IFERROR(__xludf.DUMMYFUNCTION("GOOGLETRANSLATE(B1486, ""zh"", ""en"")"),"Quality No Pilling a power wash, fluff electrification powerful, so worth it")</f>
        <v>Quality No Pilling a power wash, fluff electrification powerful, so worth it</v>
      </c>
    </row>
    <row r="1487">
      <c r="A1487" s="1">
        <v>3.0</v>
      </c>
      <c r="B1487" s="1" t="s">
        <v>1486</v>
      </c>
      <c r="C1487" t="str">
        <f>IFERROR(__xludf.DUMMYFUNCTION("GOOGLETRANSLATE(B1487, ""zh"", ""en"")"),"You can also size is too large, 178cm, 60 kg, buy m number, slightly longer, liberal bias, I guess buy s number fits, wear loose money when also improvise, sea Amoy return too much trouble. But this feeling is like a general quality cotton.")</f>
        <v>You can also size is too large, 178cm, 60 kg, buy m number, slightly longer, liberal bias, I guess buy s number fits, wear loose money when also improvise, sea Amoy return too much trouble. But this feeling is like a general quality cotton.</v>
      </c>
    </row>
    <row r="1488">
      <c r="A1488" s="1">
        <v>3.0</v>
      </c>
      <c r="B1488" s="1" t="s">
        <v>1487</v>
      </c>
      <c r="C1488" t="str">
        <f>IFERROR(__xludf.DUMMYFUNCTION("GOOGLETRANSLATE(B1488, ""zh"", ""en"")"),"Looks very nice, work like a general advantages: they received orders fifty-six days, very fast Cons: parcel outside crushed, watches work in general, the interior lights will find some dust (as shown), in checked online Casio GA-100, GA-110 of these low-"&amp;"end model is China's non-clean room assembly, many have into the gray, psychological balance. And think about the British-return and trouble, on the left. Overall, prime hand price of 505 yuan is good, than the picture looks good, very tide.")</f>
        <v>Looks very nice, work like a general advantages: they received orders fifty-six days, very fast Cons: parcel outside crushed, watches work in general, the interior lights will find some dust (as shown), in checked online Casio GA-100, GA-110 of these low-end model is China's non-clean room assembly, many have into the gray, psychological balance. And think about the British-return and trouble, on the left. Overall, prime hand price of 505 yuan is good, than the picture looks good, very tide.</v>
      </c>
    </row>
    <row r="1489">
      <c r="A1489" s="1">
        <v>3.0</v>
      </c>
      <c r="B1489" s="1" t="s">
        <v>1488</v>
      </c>
      <c r="C1489" t="str">
        <f>IFERROR(__xludf.DUMMYFUNCTION("GOOGLETRANSLATE(B1489, ""zh"", ""en"")"),"Quality general merchandise presentation too simple, simply can not tell the material, only, only to know a lot worse than the quality of the two units before buying. However, this paragraph two of the three and that price is almost, it is no wonder. This"&amp;" may be the most low-end of a CK underwear, there are requirements on the quality of care when buying")</f>
        <v>Quality general merchandise presentation too simple, simply can not tell the material, only, only to know a lot worse than the quality of the two units before buying. However, this paragraph two of the three and that price is almost, it is no wonder. This may be the most low-end of a CK underwear, there are requirements on the quality of care when buying</v>
      </c>
    </row>
    <row r="1490">
      <c r="A1490" s="1">
        <v>1.0</v>
      </c>
      <c r="B1490" s="1" t="s">
        <v>1489</v>
      </c>
      <c r="C1490" t="str">
        <f>IFERROR(__xludf.DUMMYFUNCTION("GOOGLETRANSLATE(B1490, ""zh"", ""en"")"),"Speaker distortion bought two large speakers, there will be a significant distortion.")</f>
        <v>Speaker distortion bought two large speakers, there will be a significant distortion.</v>
      </c>
    </row>
    <row r="1491">
      <c r="A1491" s="1">
        <v>1.0</v>
      </c>
      <c r="B1491" s="1" t="s">
        <v>1490</v>
      </c>
      <c r="C1491" t="str">
        <f>IFERROR(__xludf.DUMMYFUNCTION("GOOGLETRANSLATE(B1491, ""zh"", ""en"")"),"Poor quality took only two months, not the water, garbage and can not repair")</f>
        <v>Poor quality took only two months, not the water, garbage and can not repair</v>
      </c>
    </row>
    <row r="1492">
      <c r="A1492" s="1">
        <v>4.0</v>
      </c>
      <c r="B1492" s="1" t="s">
        <v>1491</v>
      </c>
      <c r="C1492" t="str">
        <f>IFERROR(__xludf.DUMMYFUNCTION("GOOGLETRANSLATE(B1492, ""zh"", ""en"")"),"After consulting okay, or buy a small, but fortunately, good customer service .......")</f>
        <v>After consulting okay, or buy a small, but fortunately, good customer service .......</v>
      </c>
    </row>
    <row r="1493">
      <c r="A1493" s="1">
        <v>4.0</v>
      </c>
      <c r="B1493" s="1" t="s">
        <v>1492</v>
      </c>
      <c r="C1493" t="str">
        <f>IFERROR(__xludf.DUMMYFUNCTION("GOOGLETRANSLATE(B1493, ""zh"", ""en"")"),"Clothes wearing clothes fit very well, washing machine no problem, that is the European version of the long sleeve")</f>
        <v>Clothes wearing clothes fit very well, washing machine no problem, that is the European version of the long sleeve</v>
      </c>
    </row>
    <row r="1494">
      <c r="A1494" s="1">
        <v>4.0</v>
      </c>
      <c r="B1494" s="1" t="s">
        <v>1493</v>
      </c>
      <c r="C1494" t="str">
        <f>IFERROR(__xludf.DUMMYFUNCTION("GOOGLETRANSLATE(B1494, ""zh"", ""en"")"),"Vietnamese general texture, partial thickness .180CM, 92KG wear L number of very suitable")</f>
        <v>Vietnamese general texture, partial thickness .180CM, 92KG wear L number of very suitable</v>
      </c>
    </row>
    <row r="1495">
      <c r="A1495" s="1">
        <v>4.0</v>
      </c>
      <c r="B1495" s="1" t="s">
        <v>1494</v>
      </c>
      <c r="C1495" t="str">
        <f>IFERROR(__xludf.DUMMYFUNCTION("GOOGLETRANSLATE(B1495, ""zh"", ""en"")"),"I 17 680 kilograms, buy W33L32, there is a margin waist length rather long, because it is tapered trousers just right, and then a small calf Bengzhuo One estimate, the sea would have needed to buy clothes Amoy recommended by others, for everyone reference"&amp;", pants a little elasticity, the material does not store well, I 17 680 kilograms, buy W33L32, there is a margin waist length rather long, because it is tapered trousers just right, and then a smaller size is estimated Bengzhuo the calf, sea ​​Amoy have t"&amp;"o buy clothes need to recommend someone else for your reference, pants a little elasticity, the material does not store well, especially trouser pocket lining, feeling like plastic sheeting, ha ha ha")</f>
        <v>I 17 680 kilograms, buy W33L32, there is a margin waist length rather long, because it is tapered trousers just right, and then a small calf Bengzhuo One estimate, the sea would have needed to buy clothes Amoy recommended by others, for everyone reference, pants a little elasticity, the material does not store well, I 17 680 kilograms, buy W33L32, there is a margin waist length rather long, because it is tapered trousers just right, and then a smaller size is estimated Bengzhuo the calf, sea ​​Amoy have to buy clothes need to recommend someone else for your reference, pants a little elasticity, the material does not store well, especially trouser pocket lining, feeling like plastic sheeting, ha ha ha</v>
      </c>
    </row>
    <row r="1496">
      <c r="A1496" s="1">
        <v>5.0</v>
      </c>
      <c r="B1496" s="1" t="s">
        <v>1495</v>
      </c>
      <c r="C1496" t="str">
        <f>IFERROR(__xludf.DUMMYFUNCTION("GOOGLETRANSLATE(B1496, ""zh"", ""en"")"),"Worth buying liked in his hand texture, very good")</f>
        <v>Worth buying liked in his hand texture, very good</v>
      </c>
    </row>
    <row r="1497">
      <c r="A1497" s="1">
        <v>5.0</v>
      </c>
      <c r="B1497" s="1" t="s">
        <v>1496</v>
      </c>
      <c r="C1497" t="str">
        <f>IFERROR(__xludf.DUMMYFUNCTION("GOOGLETRANSLATE(B1497, ""zh"", ""en"")"),"Easy to want to buy one. Pushing!")</f>
        <v>Easy to want to buy one. Pushing!</v>
      </c>
    </row>
    <row r="1498">
      <c r="A1498" s="1">
        <v>5.0</v>
      </c>
      <c r="B1498" s="1" t="s">
        <v>1497</v>
      </c>
      <c r="C1498" t="str">
        <f>IFERROR(__xludf.DUMMYFUNCTION("GOOGLETRANSLATE(B1498, ""zh"", ""en"")"),"Yes, that is hard to install easy to use, in addition to domestic sub-caliber installation costs than old King, others are good")</f>
        <v>Yes, that is hard to install easy to use, in addition to domestic sub-caliber installation costs than old King, others are good</v>
      </c>
    </row>
    <row r="1499">
      <c r="A1499" s="1">
        <v>5.0</v>
      </c>
      <c r="B1499" s="1" t="s">
        <v>1498</v>
      </c>
      <c r="C1499" t="str">
        <f>IFERROR(__xludf.DUMMYFUNCTION("GOOGLETRANSLATE(B1499, ""zh"", ""en"")"),"Workmanship is very good very thin very flexible, you can just winter in the south")</f>
        <v>Workmanship is very good very thin very flexible, you can just winter in the south</v>
      </c>
    </row>
    <row r="1500">
      <c r="A1500" s="1">
        <v>5.0</v>
      </c>
      <c r="B1500" s="1" t="s">
        <v>1499</v>
      </c>
      <c r="C1500" t="str">
        <f>IFERROR(__xludf.DUMMYFUNCTION("GOOGLETRANSLATE(B1500, ""zh"", ""en"")"),"Good quality thin Jackets. Is the same color uniforms and hungry you will be mistaken.")</f>
        <v>Good quality thin Jackets. Is the same color uniforms and hungry you will be mistaken.</v>
      </c>
    </row>
    <row r="1501">
      <c r="A1501" s="1">
        <v>5.0</v>
      </c>
      <c r="B1501" s="1" t="s">
        <v>1500</v>
      </c>
      <c r="C1501" t="str">
        <f>IFERROR(__xludf.DUMMYFUNCTION("GOOGLETRANSLATE(B1501, ""zh"", ""en"")"),"Very satisfied Oh great shoe size is very satisfied ~ soft leather dress sense is also more comfortable - barefoot wear thick socks just a little bit tight, but Chuan Chuan estimates become larger da cool the laces tight, then it is quite remarkable thin "&amp;"legs da logistics soon! 9/12 to 8/31 is projected on to the real! I bought 36 feet of uk3 for your reference Oh ~")</f>
        <v>Very satisfied Oh great shoe size is very satisfied ~ soft leather dress sense is also more comfortable - barefoot wear thick socks just a little bit tight, but Chuan Chuan estimates become larger da cool the laces tight, then it is quite remarkable thin legs da logistics soon! 9/12 to 8/31 is projected on to the real! I bought 36 feet of uk3 for your reference Oh ~</v>
      </c>
    </row>
    <row r="1502">
      <c r="A1502" s="1">
        <v>5.0</v>
      </c>
      <c r="B1502" s="1" t="s">
        <v>1501</v>
      </c>
      <c r="C1502" t="str">
        <f>IFERROR(__xludf.DUMMYFUNCTION("GOOGLETRANSLATE(B1502, ""zh"", ""en"")"),"Lee Uniforms Men's Slim Straight 5 bags of pants quality is very good, the arrival speed is also faster than imagined, the right waist, long pants a bit and then change it.")</f>
        <v>Lee Uniforms Men's Slim Straight 5 bags of pants quality is very good, the arrival speed is also faster than imagined, the right waist, long pants a bit and then change it.</v>
      </c>
    </row>
    <row r="1503">
      <c r="A1503" s="1">
        <v>5.0</v>
      </c>
      <c r="B1503" s="1" t="s">
        <v>1502</v>
      </c>
      <c r="C1503" t="str">
        <f>IFERROR(__xludf.DUMMYFUNCTION("GOOGLETRANSLATE(B1503, ""zh"", ""en"")"),"The thickness of perfect color cotton good perfect comfort")</f>
        <v>The thickness of perfect color cotton good perfect comfort</v>
      </c>
    </row>
    <row r="1504">
      <c r="A1504" s="1">
        <v>5.0</v>
      </c>
      <c r="B1504" s="1" t="s">
        <v>1503</v>
      </c>
      <c r="C1504" t="str">
        <f>IFERROR(__xludf.DUMMYFUNCTION("GOOGLETRANSLATE(B1504, ""zh"", ""en"")"),"No taste to see people say a taste, I do not ah. With some no leakage. Feel very good quality")</f>
        <v>No taste to see people say a taste, I do not ah. With some no leakage. Feel very good quality</v>
      </c>
    </row>
    <row r="1505">
      <c r="A1505" s="1">
        <v>5.0</v>
      </c>
      <c r="B1505" s="1" t="s">
        <v>1504</v>
      </c>
      <c r="C1505" t="str">
        <f>IFERROR(__xludf.DUMMYFUNCTION("GOOGLETRANSLATE(B1505, ""zh"", ""en"")"),"The only drawback is that the capacity of small dots of small capacity, to buy time did not pay attention, I thought it was the kind of original capacity")</f>
        <v>The only drawback is that the capacity of small dots of small capacity, to buy time did not pay attention, I thought it was the kind of original capacity</v>
      </c>
    </row>
    <row r="1506">
      <c r="A1506" s="1">
        <v>5.0</v>
      </c>
      <c r="B1506" s="1" t="s">
        <v>1505</v>
      </c>
      <c r="C1506" t="str">
        <f>IFERROR(__xludf.DUMMYFUNCTION("GOOGLETRANSLATE(B1506, ""zh"", ""en"")"),"Good quality is very good, very comfortable and wild")</f>
        <v>Good quality is very good, very comfortable and wild</v>
      </c>
    </row>
    <row r="1507">
      <c r="A1507" s="1">
        <v>5.0</v>
      </c>
      <c r="B1507" s="1" t="s">
        <v>1506</v>
      </c>
      <c r="C1507" t="str">
        <f>IFERROR(__xludf.DUMMYFUNCTION("GOOGLETRANSLATE(B1507, ""zh"", ""en"")"),"Affordable good, pending further re-use experience. NFC how to use it?")</f>
        <v>Affordable good, pending further re-use experience. NFC how to use it?</v>
      </c>
    </row>
    <row r="1508">
      <c r="A1508" s="1">
        <v>5.0</v>
      </c>
      <c r="B1508" s="1" t="s">
        <v>1507</v>
      </c>
      <c r="C1508" t="str">
        <f>IFERROR(__xludf.DUMMYFUNCTION("GOOGLETRANSLATE(B1508, ""zh"", ""en"")"),"Like logistics this price okay. There is a stethoscope effect. Really line anti-winding it! Special praise logistics. No. 28 is expected to goods, the results of the 10th to go. Haha, I feel very happy too!")</f>
        <v>Like logistics this price okay. There is a stethoscope effect. Really line anti-winding it! Special praise logistics. No. 28 is expected to goods, the results of the 10th to go. Haha, I feel very happy too!</v>
      </c>
    </row>
    <row r="1509">
      <c r="A1509" s="1">
        <v>5.0</v>
      </c>
      <c r="B1509" s="1" t="s">
        <v>1508</v>
      </c>
      <c r="C1509" t="str">
        <f>IFERROR(__xludf.DUMMYFUNCTION("GOOGLETRANSLATE(B1509, ""zh"", ""en"")"),"Especially like this 👖 pants for winter too large one yards, to buy No. 2 is too large, give colleagues, and buy a small")</f>
        <v>Especially like this 👖 pants for winter too large one yards, to buy No. 2 is too large, give colleagues, and buy a small</v>
      </c>
    </row>
    <row r="1510">
      <c r="A1510" s="1">
        <v>5.0</v>
      </c>
      <c r="B1510" s="1" t="s">
        <v>1509</v>
      </c>
      <c r="C1510" t="str">
        <f>IFERROR(__xludf.DUMMYFUNCTION("GOOGLETRANSLATE(B1510, ""zh"", ""en"")"),"...... arm position is quite narrow, I think this thin Ha ha ha, or hediergen")</f>
        <v>...... arm position is quite narrow, I think this thin Ha ha ha, or hediergen</v>
      </c>
    </row>
    <row r="1511">
      <c r="A1511" s="1">
        <v>5.0</v>
      </c>
      <c r="B1511" s="1" t="s">
        <v>1510</v>
      </c>
      <c r="C1511" t="str">
        <f>IFERROR(__xludf.DUMMYFUNCTION("GOOGLETRANSLATE(B1511, ""zh"", ""en"")"),"Good quality fast logistics No. 22 faster than the domestic price of a full week cost too much quality is guaranteed during transport packaging intact Amazon Dafa is good direct German direct mail than expected. Look forward to good effect after installat"&amp;"ion. Seen in the store and then buy should be no problem.")</f>
        <v>Good quality fast logistics No. 22 faster than the domestic price of a full week cost too much quality is guaranteed during transport packaging intact Amazon Dafa is good direct German direct mail than expected. Look forward to good effect after installation. Seen in the store and then buy should be no problem.</v>
      </c>
    </row>
    <row r="1512">
      <c r="A1512" s="1">
        <v>5.0</v>
      </c>
      <c r="B1512" s="1" t="s">
        <v>1511</v>
      </c>
      <c r="C1512" t="str">
        <f>IFERROR(__xludf.DUMMYFUNCTION("GOOGLETRANSLATE(B1512, ""zh"", ""en"")"),"Size is appropriate! For the first time to buy things in the sea Amoy. The time to buy is also concerned that the number does not match! Today received a number of very appropriate! Shoes are very light, soft leather! And time display order than the day e"&amp;"arly! Also, because I foot is relatively small, so buy a female models! very suitable!")</f>
        <v>Size is appropriate! For the first time to buy things in the sea Amoy. The time to buy is also concerned that the number does not match! Today received a number of very appropriate! Shoes are very light, soft leather! And time display order than the day early! Also, because I foot is relatively small, so buy a female models! very suitable!</v>
      </c>
    </row>
    <row r="1513">
      <c r="A1513" s="1">
        <v>5.0</v>
      </c>
      <c r="B1513" s="1" t="s">
        <v>1512</v>
      </c>
      <c r="C1513" t="str">
        <f>IFERROR(__xludf.DUMMYFUNCTION("GOOGLETRANSLATE(B1513, ""zh"", ""en"")"),"Perfect, recommended! Very easy to use, the pen is very beautiful, low-key, elegant, French style!")</f>
        <v>Perfect, recommended! Very easy to use, the pen is very beautiful, low-key, elegant, French style!</v>
      </c>
    </row>
    <row r="1514">
      <c r="A1514" s="1">
        <v>5.0</v>
      </c>
      <c r="B1514" s="1" t="s">
        <v>1513</v>
      </c>
      <c r="C1514" t="str">
        <f>IFERROR(__xludf.DUMMYFUNCTION("GOOGLETRANSLATE(B1514, ""zh"", ""en"")"),"The lower right corner of the dial is no small dots, the dots are small dots is not what the lower right corner of the dial, what is the little dots")</f>
        <v>The lower right corner of the dial is no small dots, the dots are small dots is not what the lower right corner of the dial, what is the little dots</v>
      </c>
    </row>
    <row r="1515">
      <c r="A1515" s="1">
        <v>5.0</v>
      </c>
      <c r="B1515" s="1" t="s">
        <v>1514</v>
      </c>
      <c r="C1515" t="str">
        <f>IFERROR(__xludf.DUMMYFUNCTION("GOOGLETRANSLATE(B1515, ""zh"", ""en"")"),"Good Good")</f>
        <v>Good Good</v>
      </c>
    </row>
    <row r="1516">
      <c r="A1516" s="1">
        <v>5.0</v>
      </c>
      <c r="B1516" s="1" t="s">
        <v>1515</v>
      </c>
      <c r="C1516" t="str">
        <f>IFERROR(__xludf.DUMMYFUNCTION("GOOGLETRANSLATE(B1516, ""zh"", ""en"")"),"Yan newly installed high-value, not use, but it feels Yen value is very high, anyway, to my liking, with a small bathroom space is particularly suitable for this. Logistics quickly, originally expected to arrive on October 9, the result was an order a few"&amp;" days before the National Day sent.")</f>
        <v>Yan newly installed high-value, not use, but it feels Yen value is very high, anyway, to my liking, with a small bathroom space is particularly suitable for this. Logistics quickly, originally expected to arrive on October 9, the result was an order a few days before the National Day sent.</v>
      </c>
    </row>
    <row r="1517">
      <c r="A1517" s="1">
        <v>2.0</v>
      </c>
      <c r="B1517" s="1" t="s">
        <v>1516</v>
      </c>
      <c r="C1517" t="str">
        <f>IFERROR(__xludf.DUMMYFUNCTION("GOOGLETRANSLATE(B1517, ""zh"", ""en"")"),"Significant quality problems, not as good as before bought once before, boxed, this time to buy is plastic bags, and there are serious flavor taste, do not know is true. And before I bought the same style than quality feel a lot worse, in a package with s"&amp;"ize turned out to be not the same, but also contact customer service. Last bought a little box broken even, really is a little disappointed overseas purchase. Amazon needs to improve.")</f>
        <v>Significant quality problems, not as good as before bought once before, boxed, this time to buy is plastic bags, and there are serious flavor taste, do not know is true. And before I bought the same style than quality feel a lot worse, in a package with size turned out to be not the same, but also contact customer service. Last bought a little box broken even, really is a little disappointed overseas purchase. Amazon needs to improve.</v>
      </c>
    </row>
    <row r="1518">
      <c r="A1518" s="1">
        <v>3.0</v>
      </c>
      <c r="B1518" s="1" t="s">
        <v>1517</v>
      </c>
      <c r="C1518" t="str">
        <f>IFERROR(__xludf.DUMMYFUNCTION("GOOGLETRANSLATE(B1518, ""zh"", ""en"")"),"Spread the goods a sub-price goods, too thin models")</f>
        <v>Spread the goods a sub-price goods, too thin models</v>
      </c>
    </row>
    <row r="1519">
      <c r="A1519" s="1">
        <v>1.0</v>
      </c>
      <c r="B1519" s="1" t="s">
        <v>1518</v>
      </c>
      <c r="C1519" t="str">
        <f>IFERROR(__xludf.DUMMYFUNCTION("GOOGLETRANSLATE(B1519, ""zh"", ""en"")"),"Rust, corrosion taking advantage of the black V. had wanted to seek cheaper. Overseas purchase, earlier than planned a whole week to buy faster than at home and abroad, the future is to get such a case, the first belt corrosion, rust, click on the return,"&amp;" but also need to print a bunch of information, but also finished print Additional information, simply reclaim, and less than 100 dollars worth of things, not a waste of time. Determined, will no longer buy stuff from Amazon. PRIME cancel the so-called qu"&amp;"alifications.")</f>
        <v>Rust, corrosion taking advantage of the black V. had wanted to seek cheaper. Overseas purchase, earlier than planned a whole week to buy faster than at home and abroad, the future is to get such a case, the first belt corrosion, rust, click on the return, but also need to print a bunch of information, but also finished print Additional information, simply reclaim, and less than 100 dollars worth of things, not a waste of time. Determined, will no longer buy stuff from Amazon. PRIME cancel the so-called qualifications.</v>
      </c>
    </row>
    <row r="1520">
      <c r="A1520" s="1">
        <v>1.0</v>
      </c>
      <c r="B1520" s="1" t="s">
        <v>1519</v>
      </c>
      <c r="C1520" t="str">
        <f>IFERROR(__xludf.DUMMYFUNCTION("GOOGLETRANSLATE(B1520, ""zh"", ""en"")"),"Packaging is very good! &lt;Div id = ""video-block-R1AG2GZLOFYSZE"" class = ""a-section a-spacing-small a-spacing-top-mini video-block""&gt; &lt;div tabindex = ""0"" class = ""airy airy-svg vmin- supported airy-skin-beacon ""style ="" background-color: rgb (0, 0, "&amp;"0); position: relative; width: 100%; height: 100%; font-size: 0px; overflow: hidden; outline: none ; ""&gt; &lt;div class ="" airy-renderer-container ""style ="" position: relative; height: 100%; width: 100%; ""&gt; &lt;video id ="" 15 ""preload ="" auto ""src ="" ht"&amp;"tps: //images-cn.ssl-images-amazon.com/images/I/91J-SFaUd0S.mp4 ""style ="" position: absolute; left: 0px; top: 0px; overflow: hidden; height: 1px; width: 1px ; ""&gt; &lt;/ video&gt; &lt;/ div&gt; &lt;div id ="" airy-slate-preload ""style ="" background-color: rgb (0, 0, "&amp;"0); background-image: url (&amp; quot; https: // images-cn.ssl-images-amazon.com/images/I/91ksDQ9L1zS.png&amp;quot;); background-size: contain; background-position: center center; background-repeat: no-repeat; position: absolute; top: 0px ; left: 0px; visibility:"&amp;" visible; width: 100%; height: 100%; ""&gt; &lt;/ div&gt; &lt;iframe scrolling ="" no ""frameborder = ""0"" src = ""about: blank"" style = ""display: none;""&gt; &lt;/ iframe&gt; &lt;div tabindex = ""- 1"" class = ""airy-controls-container"" style = ""opacity: 0; visibility: hid"&amp;"den; ""&gt; &lt;div tabindex ="" - 1 ""class ="" airy-screen-size-toggle airy-fullscreen ""&gt; &lt;/ div&gt; &lt;div tabindex ="" - 1 ""class ="" airy-container-bottom ""&gt; &lt; div tabindex = ""- 1"" class = ""airy-track-bar-spacer-left"" style = ""width: 11px;""&gt; &lt;/ div&gt; &lt;d"&amp;"iv tabindex = ""- 1"" class = ""airy-play-toggle airy -play ""style ="" width: 12px; margin-right: 12px; ""&gt; &lt;/ div&gt; &lt;div tabindex ="" - 1 ""class ="" airy-audio-elements ""style ="" float: right; width: 34px; ""&gt; &lt;div tabindex ="" - 1 ""class ="" airy-au"&amp;"dio-toggle airy-on ""&gt; &lt;/ div&gt; &lt;div tabindex ="" - 1 ""class ="" airy-audio-container ""style ="" opacity: 0 ; visibility: hidden; ""&gt; &lt;div tabindex ="" - 1 ""class ="" airy-audio-track-bar ""style ="" height: 80%; ""&gt; &lt;div tabindex ="" - 1 ""class ="" ai"&amp;"ry-audio -scrubber-bar ""style ="" height: 85%; ""&gt; &lt;/ div&gt; &lt;div tabindex ="" - 1 ""class ="" airy-audio-scrubber ""style ="" height: 12px; bottom: 85%; ""&gt; &lt;/ div&gt; &lt;/ div&gt; &lt;/ div&gt; &lt;/ div&gt; &lt;div tabindex = ""- 1"" class = ""airy-duration-label"" style = """&amp;"float: right; width: 26px; margin-right: 4px; text-align: center; ""&gt; 0:00 &lt;/ div&gt; &lt;div tabindex ="" - 1 ""class ="" airy-track-bar-spacer-right ""style ="" float : right; width: 11px; ""&gt; &lt;/ div&gt; &lt;div tabindex ="" - 1 ""class ="" airy-track-bar-container"&amp;" ""style ="" margin-left: 35px; margin-right: 75px; ""&gt; &lt; div tabindex = ""- 1"" class = ""airy-track-bar airy-vertical-centering-table""&gt; &lt;div tabindex = ""- 1"" class = ""airy-vertical-centering-table-cell""&gt; &lt;div tabindex = ""-1"" class = ""airy-track-"&amp;"bar-elements""&gt; &lt;div tabindex = ""- 1"" class = ""airy-progress-bar""&gt; &lt;/ div&gt; &lt;div tabindex = ""- 1"" class = ""airy -scrubber-bar ""&gt; &lt;/ div&gt; &lt;div tabindex ="" - 1 ""class ="" airy-scrubber ""&gt; &lt;div tabindex ="" - 1 ""class ="" airy-scrubber-icon ""&gt; &lt;/"&amp;" div&gt; &lt;div tabindex = ""- 1"" class = ""airy-adjusted-aui-tooltip"" style = ""opacity: 0; visibility: hidden;""&gt; &lt;div tabindex = ""- 1"" class = ""airy-adjusted-aui-tooltip-inner ""&gt; &lt;div tabindex ="" - 1 ""class ="" airy-current-time-label ""&gt; 0:00 &lt;/ di"&amp;"v&gt; &lt;/ div&gt; &lt;div tabindex ="" - 1 ""class ="" airy-adjusted-aui- arrow-border ""&gt; &lt;div tabindex ="" - 1 ""class ="" airy-adjusted-aui-arrow ""&gt; &lt;/ div&gt; &lt;/ div&gt; &lt;/ div&gt; &lt;/ div&gt; &lt;/ div&gt; &lt;/ di v&gt; &lt;/ div&gt; &lt;/ div&gt; &lt;/ div&gt; &lt;/ div&gt; &lt;div tabindex = ""- 1"" class ="&amp;" ""airy-age-gate airy-stage airy-vertical-centering-table airy-dialog"" style = ""opacity: 0; visibility: hidden;""&gt; &lt;div tabindex = ""- 1"" class = ""airy-age-gate-vertical-centering-table-cell airy-vertical-centering-table-cell""&gt; &lt;div tabindex = ""-1"""&amp;" class = ""airy-vertical-centering-wrapper airy-age-gate-elements-wrapper""&gt; &lt;div tabindex = ""- 1"" class = ""airy-age-gate-elements airy-dialog-elements""&gt; &lt;div tabindex = ""- 1"" class = ""airy-age-gate-prompt""&gt; This video is not intended for all audi"&amp;"ences What date were you born &lt;/ div&gt; &lt;div tabindex =.? ""- 1"" class = "" airy-age-gate-inputs airy-dialog-inner-elements ""&gt; &lt;select tabindex ="" - 1 ""class ="" airy-age-gate-month ""&gt; &lt;option value ="" 1 ""&gt; January &lt;/ option&gt; &lt; option value = ""2""&gt; "&amp;"February &lt;/ option&gt; &lt;option value = ""3""&gt; March &lt;/ option&gt; &lt;option value = ""4""&gt; April &lt;/ option&gt; &lt;option value = ""5""&gt; May &lt;/ option &gt; &lt;option value = ""6""&gt; June &lt;/ option&gt; &lt;option value = ""7""&gt; July &lt;/ option&gt; &lt;option value = ""8""&gt; August &lt;/ optio"&amp;"n&gt; &lt;option value = ""9""&gt; September &lt; / option&gt; &lt;option value = ""10""&gt; October &lt;/ op tion&gt; &lt;option value = ""11""&gt; November &lt;/ option&gt; &lt;option value = ""12""&gt; December &lt;/ option&gt; &lt;/ select&gt; &lt;select tabindex = ""- 1"" class = ""airy-age-gate-day ""&gt; &lt;opti"&amp;"on value ="" 1 ""&gt; 1 &lt;/ option&gt; &lt;option value ="" 2 ""&gt; 2 &lt;/ option&gt; &lt;option value ="" 3 ""&gt; 3 &lt;/ option&gt; &lt;option value ="" 4 ""&gt; 4 &lt;/ option&gt; &lt;option value = ""5""&gt; 5 &lt;/ option&gt; &lt;option value = ""6""&gt; 6 &lt;/ option&gt; &lt;option value = ""7""&gt; 7 &lt;/ option&gt; &lt;opt"&amp;"ion value = ""8"" &gt; 8 &lt;/ option&gt; &lt;option value = ""9""&gt; 9 &lt;/ option&gt; &lt;option value = ""10""&gt; 10 &lt;/ option&gt; &lt;option value = ""11""&gt; 11 &lt;/ option&gt; &lt;option value = "" 12 ""&gt; 12 &lt;/ option&gt; &lt;option value ="" 13 ""&gt; 13 &lt;/ option&gt; &lt;option value ="" 14 ""&gt; 14 &lt;/ "&amp;"option&gt; &lt;option value ="" 15 ""&gt; 15 &lt;/ option&gt; &lt;option value = ""16""&gt; 16 &lt;/ option&gt; &lt;option value = ""17""&gt; 17 &lt;/ option&gt; &lt;option value = ""18""&gt; 18 &lt;/ option&gt; &lt;option value = ""19""&gt; 19 &lt;/ option&gt; &lt; option value = ""20""&gt; 20 &lt;/ option&gt; &lt;option value = "&amp;"""21""&gt; 21 &lt;/ option&gt; &lt;option value = ""22""&gt; 22 &lt;/ option&gt; &lt;option value = ""23""&gt; 23 &lt;/ option &gt; &lt;option value = ""24""&gt; 24 &lt;/ option&gt; &lt;option value = ""25""&gt; 25 &lt;/ option&gt; &lt;option value = ""26""&gt; 26 &lt;/ option&gt; &lt;option value = ""27""&gt; 27 &lt; / option&gt; &lt;op"&amp;"tion value = ""28""&gt; 28 &lt;/ option&gt; &lt;option value = ""29""&gt; 29 &lt;/ option&gt; &lt;option value = ""30""&gt; 30 &lt;/ option&gt; &lt;option value = ""31""&gt; 31 &lt;/ option&gt; &lt;/ select&gt; &lt;select tabindex = ""- 1"" class = ""airy-age-gate-year""&gt; &lt;option value = ""2019""&gt; 2019 &lt;/ op"&amp;"tion&gt; &lt;option value = ""2018""&gt; 2018 &lt;/ option&gt; &lt;option value = ""2017""&gt; 2017 &lt;/ option&gt; &lt;option value = ""2016""&gt; ​​2016 &lt;/ option&gt; &lt;option value = ""2015""&gt; 2015 &lt;/ option&gt; &lt;option value = ""2014""&gt; 2014 &lt;/ option&gt; &lt;option value = ""2013""&gt; 2013 &lt;/ opt"&amp;"ion&gt; &lt;option value = ""2012""&gt; 2012 &lt;/ option&gt; &lt;option value = ""2011""&gt; 2011 &lt;/ option&gt; &lt;option value = ""2010""&gt; 2010 &lt;/ option&gt; &lt;option value = ""2009""&gt; 2009 &lt;/ option&gt; &lt;option value = ""2008""&gt; 2008 &lt;/ option&gt; &lt;option value = ""2007""&gt; 2007 &lt;/ option"&amp;"&gt; &lt;option value = ""2006""&gt; 2006 &lt;/ option&gt; &lt;option value = ""2005""&gt; 2005 &lt;/ option&gt; &lt;option value = ""2004""&gt; 2004 &lt;/ option&gt; &lt;option value = ""2003""&gt; 2003 &lt;/ option&gt; &lt;option value = ""2002""&gt; 2002 &lt;/ option&gt; &lt;option value = ""2001""&gt; 2001 &lt;/ option&gt; &lt;"&amp;"option value = ""2000"" &gt; 2000 &lt;/ option&gt; &lt;option value = ""1999""&gt; 1999 &lt;/ option&gt; &lt;option value = ""1998""&gt; 1998 &lt;/ option&gt; &lt;option value = ""1997""&gt; 1997 &lt;/ option&gt; &lt;option value = "" 1996 ""&gt; 1996 &lt;/ option&gt; &lt;option value ="" 1995 ""&gt; 1995 &lt;/ option&gt; "&amp;"&lt;option value ="" 1994 ""&gt; 1994 &lt;/ option&gt; &lt;option valu e = ""1993""&gt; 1993 &lt;/ option&gt; &lt;option value = ""1992""&gt; 1992 &lt;/ option&gt; &lt;option value = ""1991""&gt; 1991 &lt;/ option&gt; &lt;option value = ""1990""&gt; 1990 &lt;/ option&gt; &lt;option value = ""1989""&gt; 1989 &lt;/ option&gt; &lt;"&amp;"option value = ""1988""&gt; 1988 &lt;/ option&gt; &lt;option value = ""1987""&gt; 1987 &lt;/ option&gt; &lt;option value = ""1986""&gt; 1986 &lt;/ option&gt; &lt;option value = ""1985""&gt; 1985 &lt;/ option&gt; &lt;option value = ""1984""&gt; 1984 &lt;/ option&gt; &lt;option value = ""1983""&gt; 1983 &lt;/ option&gt; &lt;opt"&amp;"ion value = ""1982""&gt; 1982 &lt;/ option&gt; &lt;option value = ""1981""&gt; 1981 &lt;/ option&gt; &lt;option value = ""1980""&gt; 1980 &lt;/ option&gt; &lt;option value = ""1979""&gt; 1979 &lt;/ option&gt; &lt;option value = ""1978"" &gt; 1978 &lt;/ option&gt; &lt;option value = ""1977""&gt; 1977 &lt;/ option&gt; &lt;optio"&amp;"n value = ""1976""&gt; 1976 &lt;/ option&gt; &lt;option value = ""1975""&gt; 1975 &lt;/ option&gt; &lt;option value = "" 1974 ""&gt; 1974 &lt;/ option&gt; &lt;option value ="" 1973 ""&gt; 1973 &lt;/ option&gt; &lt;option value ="" 1972 ""&gt; 1972 &lt;/ option&gt; &lt;option value ="" 1971 ""&gt; 1971 &lt;/ option&gt; &lt;opt"&amp;"ion value = ""1970""&gt; 1970 &lt;/ option&gt; &lt;option value = ""1969""&gt; 1969 &lt;/ option&gt; &lt;option value = ""1968""&gt; 1968 &lt;/ option&gt; &lt;option value = ""1967""&gt; 1967 &lt;/ option&gt; &lt; option value = ""1966""&gt; 1966 &lt;/ option&gt; &lt;option value = ""1965""&gt; 1965 &lt;/ option&gt; &lt;optio"&amp;"n value = ""1964""&gt; 1964 &lt; / Option&gt; &lt;option value = ""1963""&gt; 1963 &lt;/ option&gt; &lt;option value = ""1962""&gt; 1962 &lt;/ option&gt; &lt;option value = ""1961""&gt; 1961 &lt;/ option&gt; &lt;option value = ""1960""&gt; 1960 &lt;/ option&gt; &lt;option value = ""1959""&gt; 1959 &lt;/ option&gt; &lt;option "&amp;"value = ""1958""&gt; 1958 &lt;/ option&gt; &lt;option value = ""1957""&gt; 1957 &lt;/ option&gt; &lt;option value = ""1956 ""&gt; 1956 &lt;/ option&gt; &lt;option value ="" 1955 ""&gt; 1955 &lt;/ option&gt; &lt;option value ="" 1954 ""&gt; 1954 &lt;/ option&gt; &lt;option value ="" 1953 ""&gt; 1953 &lt;/ option&gt; &lt;option"&amp;" value = ""1952""&gt; 1952 &lt;/ option&gt; &lt;option value = ""1951""&gt; 1951 &lt;/ option&gt; &lt;option value = ""1950""&gt; 1950 &lt;/ option&gt; &lt;option value = ""1949""&gt; 1949 &lt;/ option&gt; &lt;option value = ""1948""&gt; 1948 &lt;/ option&gt; &lt;option value = ""1947""&gt; 1947 &lt;/ option&gt; &lt;option va"&amp;"lue = ""1946""&gt; 1946 &lt;/ option&gt; &lt;option value = ""1945""&gt; 1945 &lt;/ option&gt; &lt;option value = ""1944""&gt; 1944 &lt;/ option&gt; &lt;option value = ""1943""&gt; 1943 &lt;/ option&gt; &lt;option value = ""1942""&gt; 1942 &lt;/ option&gt; &lt;option value = ""1941""&gt; 1941 &lt;/ option&gt; &lt;option value"&amp;" = ""1940""&gt; 1940 &lt;/ option&gt; &lt;option value = ""1939""&gt; 1939 &lt;/ option&gt; &lt;option value = ""1938""&gt; 1938 &lt;/ option&gt; &lt;option value = ""1937""&gt; 1937 &lt;/ option&gt; &lt;option value = ""1936""&gt; 1936 &lt;/ option&gt; &lt;option value = ""1935""&gt; 1935 &lt;/ option&gt; &lt;optio n value ="&amp;" ""1934""&gt; 1934 &lt;/ option&gt; &lt;option value = ""1933""&gt; 1933 &lt;/ option&gt; &lt;option value = ""1932""&gt; 1932 &lt;/ option&gt; &lt;option value = ""1931""&gt; 1931 &lt;/ option &gt; &lt;option value = ""1930""&gt; 1930 &lt;/ option&gt; &lt;option value = ""1929""&gt; 1929 &lt;/ option&gt; &lt;option value = "&amp;"""1928""&gt; 1928 &lt;/ option&gt; &lt;option value = ""1927""&gt; 1927 &lt; / option&gt; &lt;option value = ""1926""&gt; 1926 &lt;/ option&gt; &lt;option value = ""1925""&gt; 1925 &lt;/ option&gt; &lt;option value = ""1924""&gt; 1924 &lt;/ option&gt; &lt;option value = ""1923""&gt; 1923 &lt;/ option&gt; &lt;option value = """&amp;"1922""&gt; 1922 &lt;/ option&gt; &lt;option value = ""1921""&gt; 1921 &lt;/ option&gt; &lt;option value = ""1920""&gt; 1920 &lt;/ option&gt; &lt;option value = ""1919 ""&gt; 1919 &lt;/ option&gt; &lt;option value ="" 1918 ""&gt; 1918 &lt;/ option&gt; &lt;option value ="" 1917 ""&gt; 1917 &lt;/ option&gt; &lt;option value ="" "&amp;"1916 ""&gt; 1916 &lt;/ option&gt; &lt;option value = ""1915""&gt; 1915 &lt;/ option&gt; &lt;option value = ""1914""&gt; 1914 &lt;/ option&gt; &lt;option value = ""1913""&gt; 1913 &lt;/ option&gt; &lt;option value = ""1912""&gt; 1912 &lt;/ option&gt; &lt;option value = ""1911""&gt; 1911 &lt;/ option&gt; &lt;option value = ""19"&amp;"10""&gt; 1910 &lt;/ option&gt; &lt;option value = ""1909""&gt; 1909 &lt;/ option&gt; &lt;option value = ""1908""&gt; 1908 &lt;/ option&gt; &lt;option value = ""1907""&gt; 1907 &lt;/ option&gt; &lt;option value = ""1906""&gt; 1906 &lt;/ option&gt; &lt;option value = ""1905"" &gt; 1905 &lt;/ option&gt; &lt;option value = ""1904"&amp;"""&gt; 1904 &lt;/ option&gt; &lt;option value = ""1903""&gt; 1903 &lt;/ option&gt; &lt;option value = ""1902""&gt; 1902 &lt;/ option&gt; &lt;option value = "" 1901 ""&gt; 1901 &lt;/ option&gt; &lt;option value ="" 1900 ""&gt; 1900 &lt;/ option&gt; &lt;/ select&gt; &lt;div tabindex ="" - 1 ""class ="" airy-age-gate-submi"&amp;"t airy-submit airy-button airy -submit-disabled ""&gt; Submit &lt;/ div&gt; &lt;/ div&gt; &lt;/ div&gt; &lt;/ div&gt; &lt;/ div&gt; &lt;/ div&gt; &lt;div tabindex ="" - 1 ""class ="" airy-install-flash-dialog airy -stage airy-vertical-centering-table airy-dialog airy-denied ""style ="" opacity: 0"&amp;"; visibility: hidden; ""&gt; &lt;div tabindex ="" - 1 ""class ="" airy-install-flash-vertical-centering- table-cell airy-vertical-centering-table-cell ""&gt; &lt;div tabindex ="" - 1 ""class ="" airy-vertical-centering-wrapper airy-install-flash-elements-wrapper ""&gt; "&amp;"&lt;div tabindex ="" - 1 ""class ="" airy-install-flash-elements airy-dialog-elements ""&gt; &lt;div tabindex ="" - 1 ""class ="" airy-install-flash-prompt ""&gt; Adobe Flash Player is required to watch this video &lt;/. div&gt; &lt;div tabindex = ""- 1"" class = ""airy-insta"&amp;"ll-flash-button-wrapper airy-dialog-inner-elements""&gt; &lt;div tabindex = ""- 1"" class = ""airy-ins tall-flash-button airy-button ""&gt; Install Flash Player &lt;/ div&gt; &lt;/ div&gt; &lt;/ div&gt; &lt;/ div&gt; &lt;/ div&gt; &lt;/ div&gt; &lt;div tabindex ="" - 1 ""class ="" airy- video-unsupport"&amp;"ed-dialog airy-stage airy-vertical-centering-table airy-dialog airy-denied ""style ="" opacity: 0; visibility: hidden; ""&gt; &lt;div tabindex ="" - 1 ""class ="" airy-video- unsupported-vertical-centering-table-cell airy-vertical-centering-table-cell ""&gt; &lt;div "&amp;"tabindex ="" - 1 ""class ="" airy-vertical-centering-wrapper airy-video-unsupported-elements-wrapper ""&gt; &lt; div tabindex = ""- 1"" class = ""airy-video-unsupported-elements airy-dialog-elements""&gt; &lt;div tabindex = ""- 1"" class = ""airy-video-unsupported-pr"&amp;"ompt""&gt; &lt;/ div&gt; &lt;/ div&gt; &lt;/ div&gt; &lt;/ div&gt; &lt;/ div&gt; &lt;div tabindex = ""- 1"" class = ""airy-loading-spinner-stage airy-stage""&gt; &lt;div tabindex = ""- 1"" class = ""airy- loading-spinner-vertical-centering-table-cell airy-vertical-centering-table-cell ""&gt; &lt;div ta"&amp;"bindex ="" - 1 ""class ="" airy-loading-spinner-container airy-scalable-hint-container ""&gt; &lt; div tabindex = ""- 1"" class = ""airy-loading-spinner-dummy airy-scalable-dummy""&gt; &lt;/ div&gt; &lt;div tabindex = ""- 1"" class = ""Airy-loading-spinner airy-hint"" styl"&amp;"e = ""visibility: hidden;""&gt; &lt;/ div&gt; &lt;/ div&gt; &lt;/ div&gt; &lt;/ div&gt; &lt;div tabindex = ""- 1"" class = ""airy-ads- screen-size-toggle airy-screen-size-toggle airy-fullscreen ""style ="" visibility: hidden; ""&gt; &lt;/ div&gt; &lt;div tabindex ="" - 1 ""class ="" airy-ad-promp"&amp;"t-container ""style = ""visibility: hidden;""&gt; &lt;div tabindex = ""- 1"" class = ""airy-ad-prompt-vertical-centering-table airy-vertical-centering-table""&gt; &lt;div tabindex = ""- 1"" class = ""airy -ad-prompt-vertical-centering-table-cell airy-vertical-centeri"&amp;"ng-table-cell ""&gt; &lt;div tabindex ="" - 1 ""class ="" airy-ad-prompt-label ""&gt; &lt;/ div&gt; &lt;/ div &gt; &lt;/ div&gt; &lt;/ div&gt; &lt;div tabindex = ""- 1"" class = ""airy-ads-controls-container"" style = ""visibility: hidden;""&gt; &lt;div tabindex = ""- 1"" class = ""airy- ads-audi"&amp;"o-toggle airy-audio-toggle airy-on ""style ="" visibility: hidden; ""&gt; &lt;/ div&gt; &lt;div tabindex ="" - 1 ""class ="" airy-time-remaining-label-container ""&gt; &lt; div tabindex = ""- 1"" class = ""airy-time-remaining-vertical-centering-table airy-vertical-centerin"&amp;"g-table""&gt; &lt;div tabindex = ""- 1"" class = ""airy-time-remaining-vertical-centering -table-ce ll airy-vertical-centering-table-cell ""&gt; &lt;div tabindex ="" - 1 ""class ="" airy-vertical-centering-wrapper airy-time-remaining-label-wrapper ""&gt; &lt;div tabindex ="&amp;""" - 1 ""class = ""airy-time-remaining-label"" style = ""visibility: hidden;""&gt; &lt;/ div&gt; &lt;div tabindex = ""- 1"" class = ""airy-ad-skip"" style = ""visibility: hidden;""&gt; &lt; "": hidden visibility;""&gt; &lt;/ div&gt; &lt;/ div&gt; &lt;/ div&gt; &lt;/ div&gt; &lt;/ div&gt; &lt;- / div&gt; &lt;div ta"&amp;"bindex = ""1"" class = style = ""airy-ad-end"" div tabindex = ""- 1"" class = ""airy-learn-more"" style = ""visibility: hidden;""&gt; &lt;/ div&gt; &lt;/ div&gt; &lt;div tabindex = ""- 1"" class = ""airy-play-toggle- hint-stage airy-stage airy-cursor ""&gt; &lt;div tabindex ="" "&amp;"- 1 ""class ="" airy-play-toggle-hint-vertical-centering-table-cell airy-vertical-centering-table-cell airy-cursor "" &gt; &lt;div tabindex = ""- 1"" class = ""airy-play-toggle-hint-container airy-scalable-hint-container""&gt; &lt;div tabindex = ""- 1"" class = ""air"&amp;"y-play-toggle-hint-dummy airy-scalable-dummy ""&gt; &lt;/ div&gt; &lt;div tabindex ="" - 1 ""class ="" airy-play-toggle-hint airy-hint airy-play-hint ""style ="" opacity: 1; visibility: visible; "" &gt; &lt;/ div&gt; &lt;/ div&gt; &lt;/ div&gt; &lt;/ div&gt; &lt;div tabindex = "" -1 ""class ="" a"&amp;"iry-replay-hint-stage airy-stage ""style ="" visibility: hidden; ""&gt; &lt;div tabindex ="" - 1 ""class ="" airy-replay-hint-vertical-centering-table-cell airy-vertical-centering-table-cell airy-cursor ""&gt; &lt;div tabindex ="" - 1 ""class ="" airy-replay-hint-con"&amp;"tainer airy-scalable-hint-container ""&gt; &lt;div tabindex ="" - 1 ""class = ""airy-replay-hint-dummy airy-scalable-dummy""&gt; &lt;/ div&gt; &lt;div tabindex = ""- 1"" class = ""airy-replay-hint airy-hint""&gt; &lt;/ div&gt; &lt;/ div&gt; &lt; / div&gt; &lt;/ div&gt; &lt;div tabindex = ""- 1"" class "&amp;"= ""airy-autoplay-hint-stage airy-stage"" style = ""visibility: hidden;""&gt; &lt;div tabindex = ""- 1"" class = ""airy -autoplay-hint-vertical-centering-table-cell airy-vertical-centering-table-cell airy-cursor ""&gt; &lt;div tabindex ="" - 1 ""class ="" airy-autopl"&amp;"ay-hint-container airy-scalable-hint- container ""&gt; &lt;div tabindex ="" - 1 ""class ="" airy-autoplay-hint-dummy airy-scalable-dummy ""&gt; &lt;/ div&gt; &lt;/ div&gt; &lt;/ div&gt; &lt;/ div&gt; &lt;/ div&gt; &lt;/ div&gt; &lt;input type = ""hidden"" name = """" value = ""https://images-cn.ssl-ima"&amp;"ges-amazon.com/images/I/91J-SFaUd0S.mp4"" class = ""video-url""&gt; &lt;input type = ""hidden"" name = """" value = ""https : //Images-cn.ssl-images-amazon.com/images/I/91ksDQ9L1zS.png ""class ="" video-slate-img-url ""&gt; &amp; nbsp; 438 to buy a water floss from th"&amp;"e United States to send over, all look no paper bags, so wretched, water floss boxes are crushed not to return, say belong to commodity quality problems, garbage")</f>
        <v>Packaging is very good! &lt;Div id = "video-block-R1AG2GZLOFYSZE" class = "a-section a-spacing-small a-spacing-top-mini video-block"&gt; &lt;div tabindex = "0" class = "airy airy-svg vmin- supported airy-skin-beacon "style =" background-color: rgb (0, 0, 0); position: relative; width: 100%; height: 100%; font-size: 0px; overflow: hidden; outline: none ; "&gt; &lt;div class =" airy-renderer-container "style =" position: relative; height: 100%; width: 100%; "&gt; &lt;video id =" 15 "preload =" auto "src =" https: //images-cn.ssl-images-amazon.com/images/I/91J-SFaUd0S.mp4 "style =" position: absolute; left: 0px; top: 0px; overflow: hidden; height: 1px; width: 1px ; "&gt; &lt;/ video&gt; &lt;/ div&gt; &lt;div id =" airy-slate-preload "style =" background-color: rgb (0, 0, 0); background-image: url (&amp; quot; https: // images-cn.ssl-images-amazon.com/images/I/91ksDQ9L1zS.png&amp;quot;); background-size: contain; background-position: center center; background-repeat: no-repeat; position: absolute; top: 0px ; left: 0px; visibility: visible; width: 100%; height: 100%; "&gt; &lt;/ div&gt; &lt;iframe scrolling =" no "frameborder = "0" src = "about: blank" style = "display: none;"&gt; &lt;/ iframe&gt; &lt;div tabindex = "- 1" class = "airy-controls-container" style = "opacity: 0; visibility: hidden; "&gt; &lt;div tabindex =" - 1 "class =" airy-screen-size-toggle airy-fullscreen "&gt; &lt;/ div&gt; &lt;div tabindex =" - 1 "class =" airy-container-bottom "&gt; &lt; div tabindex = "- 1" class = "airy-track-bar-spacer-left" style = "width: 11px;"&gt; &lt;/ div&gt; &lt;div tabindex = "- 1" class = "airy-play-toggle airy -play "style =" width: 12px; margin-right: 12px; "&gt; &lt;/ div&gt; &lt;div tabindex =" - 1 "class =" airy-audio-elements "style =" float: right; width: 34px; "&gt; &lt;div tabindex =" - 1 "class =" airy-audio-toggle airy-on "&gt; &lt;/ div&gt; &lt;div tabindex =" - 1 "class =" airy-audio-container "style =" opacity: 0 ; visibility: hidden; "&gt; &lt;div tabindex =" - 1 "class =" airy-audio-track-bar "style =" height: 80%; "&gt; &lt;div tabindex =" - 1 "class =" airy-audio -scrubber-bar "style =" height: 85%; "&gt; &lt;/ div&gt; &lt;div tabindex =" - 1 "class =" airy-audio-scrubber "style =" height: 12px; bottom: 85%; "&gt; &lt;/ div&gt; &lt;/ div&gt; &lt;/ div&gt; &lt;/ div&gt; &lt;div tabindex = "- 1" class = "airy-duration-label" style = "float: right; width: 26px; margin-right: 4px; text-align: center; "&gt; 0:00 &lt;/ div&gt; &lt;div tabindex =" - 1 "class =" airy-track-bar-spacer-right "style =" float : right; width: 11px; "&gt; &lt;/ div&gt; &lt;div tabindex =" - 1 "class =" airy-track-bar-container "style =" margin-left: 35px; margin-right: 75px; "&gt; &lt; div tabindex = "- 1" class = "airy-track-bar airy-vertical-centering-table"&gt; &lt;div tabindex = "- 1" class = "airy-vertical-centering-table-cell"&gt; &lt;div tabindex = "-1" class = "airy-track-bar-elements"&gt; &lt;div tabindex = "- 1" class = "airy-progress-bar"&gt; &lt;/ div&gt; &lt;div tabindex = "- 1" class = "airy -scrubber-bar "&gt; &lt;/ div&gt; &lt;div tabindex =" - 1 "class =" airy-scrubber "&gt; &lt;div tabindex =" - 1 "class =" airy-scrubber-icon "&gt; &lt;/ div&gt; &lt;div tabindex = "- 1" class = "airy-adjusted-aui-tooltip" style = "opacity: 0; visibility: hidden;"&gt; &lt;div tabindex = "- 1" class = "airy-adjusted-aui-tooltip-inner "&gt; &lt;div tabindex =" - 1 "class =" airy-current-time-label "&gt; 0:00 &lt;/ div&gt; &lt;/ div&gt; &lt;div tabindex =" - 1 "class =" airy-adjusted-aui- arrow-border "&gt; &lt;div tabindex =" - 1 "class =" airy-adjusted-aui-arrow "&gt; &lt;/ div&gt; &lt;/ div&gt; &lt;/ div&gt; &lt;/ div&gt; &lt;/ div&gt; &lt;/ di v&gt; &lt;/ div&gt; &lt;/ div&gt; &lt;/ div&gt; &lt;/ div&gt; &lt;div tabindex = "- 1" class = "airy-age-gate airy-stage airy-vertical-centering-table airy-dialog" style = "opacity: 0; visibility: hidden;"&gt; &lt;div tabindex = "- 1" class = "airy-age-gate-vertical-centering-table-cell airy-vertical-centering-table-cell"&gt; &lt;div tabindex = "-1" class = "airy-vertical-centering-wrapper airy-age-gate-elements-wrapper"&gt; &lt;div tabindex = "- 1" class = "airy-age-gate-elements airy-dialog-elements"&gt; &lt;div tabindex = "- 1" class = "airy-age-gate-prompt"&gt; This video is not intended for all audiences What date were you born &lt;/ div&gt; &lt;div tabindex =.? "- 1" class = " airy-age-gate-inputs airy-dialog-inner-elements "&gt; &lt;select tabindex =" - 1 "class =" airy-age-gate-month "&gt; &lt;option value =" 1 "&gt; January &lt;/ option&gt; &lt; option value = "2"&gt; February &lt;/ option&gt; &lt;option value = "3"&gt; March &lt;/ option&gt; &lt;option value = "4"&gt; April &lt;/ option&gt; &lt;option value = "5"&gt; May &lt;/ option &gt; &lt;option value = "6"&gt; June &lt;/ option&gt; &lt;option value = "7"&gt; July &lt;/ option&gt; &lt;option value = "8"&gt; August &lt;/ option&gt; &lt;option value = "9"&gt; September &lt; / option&gt; &lt;option value = "10"&gt; October &lt;/ op tion&gt; &lt;option value = "11"&gt; November &lt;/ option&gt; &lt;option value = "12"&gt; December &lt;/ option&gt; &lt;/ select&gt; &lt;select tabindex = "- 1" class = "airy-age-gate-day "&gt; &lt;option value =" 1 "&gt; 1 &lt;/ option&gt; &lt;option value =" 2 "&gt; 2 &lt;/ option&gt; &lt;option value =" 3 "&gt; 3 &lt;/ option&gt; &lt;option value =" 4 "&gt; 4 &lt;/ option&gt; &lt;option value = "5"&gt; 5 &lt;/ option&gt; &lt;option value = "6"&gt; 6 &lt;/ option&gt; &lt;option value = "7"&gt; 7 &lt;/ option&gt; &lt;option value = "8" &gt; 8 &lt;/ option&gt; &lt;option value = "9"&gt; 9 &lt;/ option&gt; &lt;option value = "10"&gt; 10 &lt;/ option&gt; &lt;option value = "11"&gt; 11 &lt;/ option&gt; &lt;option value = " 12 "&gt; 12 &lt;/ option&gt; &lt;option value =" 13 "&gt; 13 &lt;/ option&gt; &lt;option value =" 14 "&gt; 14 &lt;/ option&gt; &lt;option value =" 15 "&gt; 15 &lt;/ option&gt; &lt;option value = "16"&gt; 16 &lt;/ option&gt; &lt;option value = "17"&gt; 17 &lt;/ option&gt; &lt;option value = "18"&gt; 18 &lt;/ option&gt; &lt;option value = "19"&gt; 19 &lt;/ option&gt; &lt; option value = "20"&gt; 20 &lt;/ option&gt; &lt;option value = "21"&gt; 21 &lt;/ option&gt; &lt;option value = "22"&gt; 22 &lt;/ option&gt; &lt;option value = "23"&gt; 23 &lt;/ option &gt; &lt;option value = "24"&gt; 24 &lt;/ option&gt; &lt;option value = "25"&gt; 25 &lt;/ option&gt; &lt;option value = "26"&gt; 26 &lt;/ option&gt; &lt;option value = "27"&gt; 27 &lt; / option&gt; &lt;option value = "28"&gt; 28 &lt;/ option&gt; &lt;option value = "29"&gt; 29 &lt;/ option&gt; &lt;option value = "30"&gt; 30 &lt;/ option&gt; &lt;option value = "31"&gt; 31 &lt;/ option&gt; &lt;/ select&gt; &lt;select tabindex = "- 1" class = "airy-age-gate-year"&gt; &lt;option value = "2019"&gt; 2019 &lt;/ option&gt; &lt;option value = "2018"&gt; 2018 &lt;/ option&gt; &lt;option value = "2017"&gt; 2017 &lt;/ option&gt; &lt;option value = "2016"&gt; ​​2016 &lt;/ option&gt; &lt;option value = "2015"&gt; 2015 &lt;/ option&gt; &lt;option value = "2014"&gt; 2014 &lt;/ option&gt; &lt;option value = "2013"&gt; 2013 &lt;/ option&gt; &lt;option value = "2012"&gt; 2012 &lt;/ option&gt; &lt;option value = "2011"&gt; 2011 &lt;/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"2003"&gt; 2003 &lt;/ option&gt; &lt;option value = "2002"&gt; 2002 &lt;/ option&gt; &lt;option value = "2001"&gt; 2001 &lt;/ option&gt; &lt;option value = "2000" &gt; 2000 &lt;/ option&gt; &lt;option value = "1999"&gt; 1999 &lt;/ option&gt; &lt;option value = "1998"&gt; 1998 &lt;/ option&gt; &lt;option value = "1997"&gt; 1997 &lt;/ option&gt; &lt;option value = " 1996 "&gt; 1996 &lt;/ option&gt; &lt;option value =" 1995 "&gt; 1995 &lt;/ option&gt; &lt;option value =" 1994 "&gt; 1994 &lt;/ option&gt; &lt;option valu e = "1993"&gt; 1993 &lt;/ option&gt; &lt;option value = "1992"&gt; 1992 &lt;/ option&gt; &lt;option value = "1991"&gt; 1991 &lt;/ option&gt; &lt;option value = "1990"&gt; 1990 &lt;/ option&gt; &lt;option value = "1989"&gt; 1989 &lt;/ option&gt; &lt;option value = "1988"&gt; 1988 &lt;/ option&gt; &lt;option value = "1987"&gt; 1987 &lt;/ option&gt; &lt;option value = "1986"&gt; 1986 &lt;/ option&gt; &lt;option value = "1985"&gt; 1985 &lt;/ option&gt; &lt;option value = "1984"&gt; 1984 &lt;/ option&gt; &lt;option value = "1983"&gt; 1983 &lt;/ option&gt; &lt;option value = "1982"&gt; 1982 &lt;/ option&gt; &lt;option value = "1981"&gt; 1981 &lt;/ option&gt; &lt;option value = "1980"&gt; 1980 &lt;/ option&gt; &lt;option value = "1979"&gt; 1979 &lt;/ option&gt; &lt;option value = "1978" &gt; 1978 &lt;/ option&gt; &lt;option value = "1977"&gt; 1977 &lt;/ option&gt; &lt;option value = "1976"&gt; 1976 &lt;/ option&gt; &lt;option value = "1975"&gt; 1975 &lt;/ option&gt; &lt;option value = " 1974 "&gt; 1974 &lt;/ option&gt; &lt;option value =" 1973 "&gt; 1973 &lt;/ option&gt; &lt;option value =" 1972 "&gt; 1972 &lt;/ option&gt; &lt;option value =" 1971 "&gt; 1971 &lt;/ option&gt; &lt;option value = "1970"&gt; 1970 &lt;/ option&gt; &lt;option value = "1969"&gt; 1969 &lt;/ option&gt; &lt;option value = "1968"&gt; 1968 &lt;/ option&gt; &lt;option value = "1967"&gt; 1967 &lt;/ option&gt; &lt; option value = "1966"&gt; 1966 &lt;/ option&gt; &lt;option value = "1965"&gt; 1965 &lt;/ option&gt; &lt;option value = "1964"&gt; 1964 &lt; / Option&gt; &lt;option value = "1963"&gt; 1963 &lt;/ option&gt; &lt;option value = "1962"&gt; 1962 &lt;/ option&gt; &lt;option value = "1961"&gt; 1961 &lt;/ option&gt; &lt;option value = "1960"&gt; 1960 &lt;/ option&gt; &lt;option value = "1959"&gt; 1959 &lt;/ option&gt; &lt;option value = "1958"&gt; 1958 &lt;/ option&gt; &lt;option value = "1957"&gt; 1957 &lt;/ option&gt; &lt;option value = "1956 "&gt; 1956 &lt;/ option&gt; &lt;option value =" 1955 "&gt; 1955 &lt;/ option&gt; &lt;option value =" 1954 "&gt; 1954 &lt;/ option&gt; &lt;option value =" 1953 "&gt; 1953 &lt;/ option&gt; &lt;option value = "1952"&gt; 1952 &lt;/ option&gt; &lt;option value = "1951"&gt; 1951 &lt;/ option&gt; &lt;option value = "1950"&gt; 1950 &lt;/ option&gt; &lt;option value = "1949"&gt; 1949 &lt;/ option&gt; &lt;option value = "1948"&gt; 1948 &lt;/ option&gt; &lt;option value = "1947"&gt; 1947 &lt;/ option&gt; &lt;option value = "1946"&gt; 1946 &lt;/ option&gt; &lt;option value = "1945"&gt; 1945 &lt;/ option&gt; &lt;option value = "1944"&gt; 1944 &lt;/ option&gt; &lt;option value = "1943"&gt; 1943 &lt;/ option&gt; &lt;option value = "1942"&gt; 1942 &lt;/ option&gt; &lt;option value = "1941"&gt; 1941 &lt;/ option&gt; &lt;option value = "1940"&gt; 1940 &lt;/ option&gt; &lt;option value = "1939"&gt; 1939 &lt;/ option&gt; &lt;option value = "1938"&gt; 1938 &lt;/ option&gt; &lt;option value = "1937"&gt; 1937 &lt;/ option&gt; &lt;option value = "1936"&gt; 1936 &lt;/ option&gt; &lt;option value = "1935"&gt; 1935 &lt;/ option&gt; &lt;optio n value = "1934"&gt; 1934 &lt;/ option&gt; &lt;option value = "1933"&gt; 1933 &lt;/ option&gt; &lt;option value = "1932"&gt; 1932 &lt;/ option&gt; &lt;option value = "1931"&gt; 1931 &lt;/ option &gt; &lt;option value = "1930"&gt; 1930 &lt;/ option&gt; &lt;option value = "1929"&gt; 1929 &lt;/ option&gt; &lt;option value = "1928"&gt; 1928 &lt;/ option&gt; &lt;option value = "1927"&gt; 1927 &lt; /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 "&gt; 1919 &lt;/ option&gt; &lt;option value =" 1918 "&gt; 1918 &lt;/ option&gt; &lt;option value =" 1917 "&gt; 1917 &lt;/ option&gt; &lt;option value =" 1916 "&gt; 1916 &lt;/ option&gt; &lt;option value = "1915"&gt; 1915 &lt;/ option&gt; &lt;option value = "1914"&gt; 1914 &lt;/ option&gt; &lt;option value = "1913"&gt; 1913 &lt;/ option&gt; &lt;option value = "1912"&gt; 1912 &lt;/ option&gt; &lt;option value = "1911"&gt; 1911 &lt;/ option&gt; &lt;option value = "1910"&gt; 1910 &lt;/ option&gt; &lt;option value = "1909"&gt; 1909 &lt;/ option&gt; &lt;option value = "1908"&gt; 1908 &lt;/ option&gt; &lt;option value = "1907"&gt; 1907 &lt;/ option&gt; &lt;option value = "1906"&gt; 1906 &lt;/ option&gt; &lt;option value = "1905" &gt; 1905 &lt;/ option&gt; &lt;option value = "1904"&gt; 1904 &lt;/ option&gt; &lt;option value = "1903"&gt; 1903 &lt;/ option&gt; &lt;option value = "1902"&gt; 1902 &lt;/ option&gt; &lt;option value = " 1901 "&gt; 1901 &lt;/ option&gt; &lt;option value =" 1900 "&gt; 1900 &lt;/ option&gt; &lt;/ select&gt; &lt;div tabindex =" - 1 "class =" airy-age-gate-submit airy-submit airy-button airy -submit-disabled "&gt; Submit &lt;/ div&gt; &lt;/ div&gt; &lt;/ div&gt; &lt;/ div&gt; &lt;/ div&gt; &lt;/ div&gt; &lt;div tabindex =" - 1 "class =" airy-install-flash-dialog airy -stage airy-vertical-centering-table airy-dialog airy-denied "style =" opacity: 0; visibility: hidden; "&gt; &lt;div tabindex =" - 1 "class =" airy-install-flash-vertical-centering- table-cell airy-vertical-centering-table-cell "&gt; &lt;div tabindex =" - 1 "class =" airy-vertical-centering-wrapper airy-install-flash-elements-wrapper "&gt; &lt;div tabindex =" - 1 "class =" airy-install-flash-elements airy-dialog-elements "&gt; &lt;div tabindex =" - 1 "class =" airy-install-flash-prompt "&gt; Adobe Flash Player is required to watch this video &lt;/. div&gt; &lt;div tabindex = "- 1" class = "airy-install-flash-button-wrapper airy-dialog-inner-elements"&gt; &lt;div tabindex = "- 1" class = "airy-ins tall-flash-button airy-button "&gt; Install Flash Player &lt;/ div&gt; &lt;/ div&gt; &lt;/ div&gt; &lt;/ div&gt; &lt;/ div&gt; &lt;/ div&gt; &lt;div tabindex =" - 1 "class =" airy- video-unsupported-dialog airy-stage airy-vertical-centering-table airy-dialog airy-denied "style =" opacity: 0; visibility: hidden; "&gt; &lt;div tabindex =" - 1 "class =" airy-video- unsupported-vertical-centering-table-cell airy-vertical-centering-table-cell "&gt; &lt;div tabindex =" - 1 "class =" airy-vertical-centering-wrapper airy-video-unsupported-elements-wrapper "&gt; &lt; div tabindex = "- 1" class = "airy-video-unsupported-elements airy-dialog-elements"&gt; &lt;div tabindex = "- 1" class = "airy-video-unsupported-prompt"&gt; &lt;/ div&gt; &lt;/ div&gt; &lt;/ div&gt; &lt;/ div&gt; &lt;/ div&gt; &lt;div tabindex = "- 1" class = "airy-loading-spinner-stage airy-stage"&gt; &lt;div tabindex = "- 1" class = "airy- loading-spinner-vertical-centering-table-cell airy-vertical-centering-table-cell "&gt; &lt;div tabindex =" - 1 "class =" airy-loading-spinner-container airy-scalable-hint-container "&gt; &lt; div tabindex = "- 1" class = "airy-loading-spinner-dummy airy-scalable-dummy"&gt; &lt;/ div&gt; &lt;div tabindex = "- 1" class = "Airy-loading-spinner airy-hint" style = "visibility: hidden;"&gt; &lt;/ div&gt; &lt;/ div&gt; &lt;/ div&gt; &lt;/ div&gt; &lt;div tabindex = "- 1" class = "airy-ads- screen-size-toggle airy-screen-size-toggle airy-fullscreen "style =" visibility: hidden; "&gt; &lt;/ div&gt; &lt;div tabindex =" - 1 "class =" airy-ad-prompt-container "style = "visibility: hidden;"&gt; &lt;div tabindex = "- 1" class = "airy-ad-prompt-vertical-centering-table airy-vertical-centering-table"&gt; &lt;div tabindex = "- 1" class = "airy -ad-prompt-vertical-centering-table-cell airy-vertical-centering-table-cell "&gt; &lt;div tabindex =" - 1 "class =" airy-ad-prompt-label "&gt; &lt;/ div&gt; &lt;/ div &gt; &lt;/ div&gt; &lt;/ div&gt; &lt;div tabindex = "- 1" class = "airy-ads-controls-container" style = "visibility: hidden;"&gt; &lt;div tabindex = "- 1" class = "airy- ads-audio-toggle airy-audio-toggle airy-on "style =" visibility: hidden; "&gt; &lt;/ div&gt; &lt;div tabindex =" - 1 "class =" airy-time-remaining-label-container "&gt; &lt; div tabindex = "- 1" class = "airy-time-remaining-vertical-centering-table airy-vertical-centering-table"&gt; &lt;div tabindex = "- 1" class = "airy-time-remaining-vertical-centering -table-ce ll airy-vertical-centering-table-cell "&gt; &lt;div tabindex =" - 1 "class =" airy-vertical-centering-wrapper airy-time-remaining-label-wrapper "&gt; &lt;div tabindex =" - 1 "class = "airy-time-remaining-label" style = "visibility: hidden;"&gt; &lt;/ div&gt; &lt;div tabindex = "- 1" class = "airy-ad-skip" style = "visibility: hidden;"&gt; &lt; ": hidden visibility;"&gt; &lt;/ div&gt; &lt;/ div&gt; &lt;/ div&gt; &lt;/ div&gt; &lt;/ div&gt; &lt;- / div&gt; &lt;div tabindex = "1" class = style = "airy-ad-end" div tabindex = "- 1" class = "airy-learn-more" style = "visibility: hidden;"&gt; &lt;/ div&gt; &lt;/ div&gt; &lt;div tabindex = "- 1" class = "airy-play-toggle- hint-stage airy-stage airy-cursor "&gt; &lt;div tabindex =" - 1 "class =" airy-play-toggle-hint-vertical-centering-table-cell airy-vertical-centering-table-cell airy-cursor " &gt; &lt;div tabindex = "- 1" class = "airy-play-toggle-hint-container airy-scalable-hint-container"&gt; &lt;div tabindex = "- 1" class = "airy-play-toggle-hint-dummy airy-scalable-dummy "&gt; &lt;/ div&gt; &lt;div tabindex =" - 1 "class =" airy-play-toggle-hint airy-hint airy-play-hint "style =" opacity: 1; visibility: visible; " &gt; &lt;/ div&gt; &lt;/ div&gt; &lt;/ div&gt; &lt;/ div&gt; &lt;div tabindex = " -1 "class =" airy-replay-hint-stage airy-stage "style =" visibility: hidden; "&gt; &lt;div tabindex =" - 1 "class =" airy-replay-hint-vertical-centering-table-cell airy-vertical-centering-table-cell airy-cursor "&gt; &lt;div tabindex =" - 1 "class =" airy-replay-hint-container airy-scalable-hint-container "&gt; &lt;div tabindex =" - 1 "class = "airy-replay-hint-dummy airy-scalable-dummy"&gt; &lt;/ div&gt; &lt;div tabindex = "- 1" class = "airy-replay-hint airy-hint"&gt; &lt;/ div&gt; &lt;/ div&gt; &lt; / div&gt; &lt;/ div&gt; &lt;div tabindex = "- 1" class = "airy-autoplay-hint-stage airy-stage" style = "visibility: hidden;"&gt; &lt;div tabindex = "- 1" class = "airy -autoplay-hint-vertical-centering-table-cell airy-vertical-centering-table-cell airy-cursor "&gt; &lt;div tabindex =" - 1 "class =" airy-autoplay-hint-container airy-scalable-hint- container "&gt; &lt;div tabindex =" - 1 "class =" airy-autoplay-hint-dummy airy-scalable-dummy "&gt; &lt;/ div&gt; &lt;/ div&gt; &lt;/ div&gt; &lt;/ div&gt; &lt;/ div&gt; &lt;/ div&gt; &lt;input type = "hidden" name = "" value = "https://images-cn.ssl-images-amazon.com/images/I/91J-SFaUd0S.mp4" class = "video-url"&gt; &lt;input type = "hidden" name = "" value = "https : //Images-cn.ssl-images-amazon.com/images/I/91ksDQ9L1zS.png "class =" video-slate-img-url "&gt; &amp; nbsp; 438 to buy a water floss from the United States to send over, all look no paper bags, so wretched, water floss boxes are crushed not to return, say belong to commodity quality problems, garbage</v>
      </c>
    </row>
    <row r="1521">
      <c r="A1521" s="1">
        <v>4.0</v>
      </c>
      <c r="B1521" s="1" t="s">
        <v>1520</v>
      </c>
      <c r="C1521" t="str">
        <f>IFERROR(__xludf.DUMMYFUNCTION("GOOGLETRANSLATE(B1521, ""zh"", ""en"")"),"Pants a little big to buy two of the same number this little big, the quality can be")</f>
        <v>Pants a little big to buy two of the same number this little big, the quality can be</v>
      </c>
    </row>
    <row r="1522">
      <c r="A1522" s="1">
        <v>4.0</v>
      </c>
      <c r="B1522" s="1" t="s">
        <v>1521</v>
      </c>
      <c r="C1522" t="str">
        <f>IFERROR(__xludf.DUMMYFUNCTION("GOOGLETRANSLATE(B1522, ""zh"", ""en"")"),"Large crayon crayons smaller barrels, when the coating will crumbs, general bar")</f>
        <v>Large crayon crayons smaller barrels, when the coating will crumbs, general bar</v>
      </c>
    </row>
    <row r="1523">
      <c r="A1523" s="1">
        <v>4.0</v>
      </c>
      <c r="B1523" s="1" t="s">
        <v>1522</v>
      </c>
      <c r="C1523" t="str">
        <f>IFERROR(__xludf.DUMMYFUNCTION("GOOGLETRANSLATE(B1523, ""zh"", ""en"")"),"1 like a general, very light pen. 2, it is EF, not particularly smooth. 3, barrel a little loose. Overall, consistent and worth. My colleague did not smooth Ling US F sharp. It may be too thin.")</f>
        <v>1 like a general, very light pen. 2, it is EF, not particularly smooth. 3, barrel a little loose. Overall, consistent and worth. My colleague did not smooth Ling US F sharp. It may be too thin.</v>
      </c>
    </row>
    <row r="1524">
      <c r="A1524" s="1">
        <v>4.0</v>
      </c>
      <c r="B1524" s="1" t="s">
        <v>1523</v>
      </c>
      <c r="C1524" t="str">
        <f>IFERROR(__xludf.DUMMYFUNCTION("GOOGLETRANSLATE(B1524, ""zh"", ""en"")"),"Colleagues like colleagues like, so that there is buy")</f>
        <v>Colleagues like colleagues like, so that there is buy</v>
      </c>
    </row>
    <row r="1525">
      <c r="A1525" s="1">
        <v>4.0</v>
      </c>
      <c r="B1525" s="1" t="s">
        <v>1524</v>
      </c>
      <c r="C1525" t="str">
        <f>IFERROR(__xludf.DUMMYFUNCTION("GOOGLETRANSLATE(B1525, ""zh"", ""en"")"),"Usually the fabric looks good after seeing the word can be determined that the classic long, fairly suitable shoulder, 170 65kg s code to the packet length in addition to other hip Fortunately, the fabric does not close the surface, take along a thickness"&amp;" thicker wicking performance No, quit sweating for a long time")</f>
        <v>Usually the fabric looks good after seeing the word can be determined that the classic long, fairly suitable shoulder, 170 65kg s code to the packet length in addition to other hip Fortunately, the fabric does not close the surface, take along a thickness thicker wicking performance No, quit sweating for a long time</v>
      </c>
    </row>
    <row r="1526">
      <c r="A1526" s="1">
        <v>5.0</v>
      </c>
      <c r="B1526" s="1" t="s">
        <v>1525</v>
      </c>
      <c r="C1526" t="str">
        <f>IFERROR(__xludf.DUMMYFUNCTION("GOOGLETRANSLATE(B1526, ""zh"", ""en"")"),"Very very convenient with a handle, sucker suction is enough, good")</f>
        <v>Very very convenient with a handle, sucker suction is enough, good</v>
      </c>
    </row>
    <row r="1527">
      <c r="A1527" s="1">
        <v>5.0</v>
      </c>
      <c r="B1527" s="1" t="s">
        <v>1526</v>
      </c>
      <c r="C1527" t="str">
        <f>IFERROR(__xludf.DUMMYFUNCTION("GOOGLETRANSLATE(B1527, ""zh"", ""en"")"),"Good pen, there really is not very EF feel fine, very suitable, stable pen, writing comfort")</f>
        <v>Good pen, there really is not very EF feel fine, very suitable, stable pen, writing comfort</v>
      </c>
    </row>
    <row r="1528">
      <c r="A1528" s="1">
        <v>5.0</v>
      </c>
      <c r="B1528" s="1" t="s">
        <v>1527</v>
      </c>
      <c r="C1528" t="str">
        <f>IFERROR(__xludf.DUMMYFUNCTION("GOOGLETRANSLATE(B1528, ""zh"", ""en"")"),"Good shoes are very light very soft and very comfortable.")</f>
        <v>Good shoes are very light very soft and very comfortable.</v>
      </c>
    </row>
    <row r="1529">
      <c r="A1529" s="1">
        <v>5.0</v>
      </c>
      <c r="B1529" s="1" t="s">
        <v>1055</v>
      </c>
      <c r="C1529" t="str">
        <f>IFERROR(__xludf.DUMMYFUNCTION("GOOGLETRANSLATE(B1529, ""zh"", ""en"")"),"With the United States and Asia to buy, like, right size, texture is really good. Packaging is very good, even made a big night is coming hard, no other buyers say the case is open the package. S 160 45kg buy the right, wearing a very comfortable not tigh"&amp;"t. Something is genuine, and I bought before the United States and Asia is the same, the quality is excellent.")</f>
        <v>With the United States and Asia to buy, like, right size, texture is really good. Packaging is very good, even made a big night is coming hard, no other buyers say the case is open the package. S 160 45kg buy the right, wearing a very comfortable not tight. Something is genuine, and I bought before the United States and Asia is the same, the quality is excellent.</v>
      </c>
    </row>
    <row r="1530">
      <c r="A1530" s="1">
        <v>5.0</v>
      </c>
      <c r="B1530" s="1" t="s">
        <v>1528</v>
      </c>
      <c r="C1530" t="str">
        <f>IFERROR(__xludf.DUMMYFUNCTION("GOOGLETRANSLATE(B1530, ""zh"", ""en"")"),"CK jeans good quality, the price is very favorable, like")</f>
        <v>CK jeans good quality, the price is very favorable, like</v>
      </c>
    </row>
    <row r="1531">
      <c r="A1531" s="1">
        <v>5.0</v>
      </c>
      <c r="B1531" s="1" t="s">
        <v>1529</v>
      </c>
      <c r="C1531" t="str">
        <f>IFERROR(__xludf.DUMMYFUNCTION("GOOGLETRANSLATE(B1531, ""zh"", ""en"")"),"The best material goods today's children so happy to do this is for the conscience of the child's second of the")</f>
        <v>The best material goods today's children so happy to do this is for the conscience of the child's second of the</v>
      </c>
    </row>
    <row r="1532">
      <c r="A1532" s="1">
        <v>5.0</v>
      </c>
      <c r="B1532" s="1" t="s">
        <v>1530</v>
      </c>
      <c r="C1532" t="str">
        <f>IFERROR(__xludf.DUMMYFUNCTION("GOOGLETRANSLATE(B1532, ""zh"", ""en"")"),"Good quality shoes too fat, relatively accurate number, the quality was okay, quite satisfactory")</f>
        <v>Good quality shoes too fat, relatively accurate number, the quality was okay, quite satisfactory</v>
      </c>
    </row>
    <row r="1533">
      <c r="A1533" s="1">
        <v>5.0</v>
      </c>
      <c r="B1533" s="1" t="s">
        <v>1531</v>
      </c>
      <c r="C1533" t="str">
        <f>IFERROR(__xludf.DUMMYFUNCTION("GOOGLETRANSLATE(B1533, ""zh"", ""en"")"),"Good right gift, feeling comfortable, stylish pants")</f>
        <v>Good right gift, feeling comfortable, stylish pants</v>
      </c>
    </row>
    <row r="1534">
      <c r="A1534" s="1">
        <v>5.0</v>
      </c>
      <c r="B1534" s="1" t="s">
        <v>1532</v>
      </c>
      <c r="C1534" t="str">
        <f>IFERROR(__xludf.DUMMYFUNCTION("GOOGLETRANSLATE(B1534, ""zh"", ""en"")"),"Millau a really good, since the price is right, super high cost")</f>
        <v>Millau a really good, since the price is right, super high cost</v>
      </c>
    </row>
    <row r="1535">
      <c r="A1535" s="1">
        <v>5.0</v>
      </c>
      <c r="B1535" s="1" t="s">
        <v>1533</v>
      </c>
      <c r="C1535" t="str">
        <f>IFERROR(__xludf.DUMMYFUNCTION("GOOGLETRANSLATE(B1535, ""zh"", ""en"")"),"Good quality clothes can be, yes, the fabric can be comfortable to wear")</f>
        <v>Good quality clothes can be, yes, the fabric can be comfortable to wear</v>
      </c>
    </row>
    <row r="1536">
      <c r="A1536" s="1">
        <v>5.0</v>
      </c>
      <c r="B1536" s="1" t="s">
        <v>1534</v>
      </c>
      <c r="C1536" t="str">
        <f>IFERROR(__xludf.DUMMYFUNCTION("GOOGLETRANSLATE(B1536, ""zh"", ""en"")"),"Well good, very light, Ms. casual one-handed weigh pot, the pot is not very sticky, very satisfied v")</f>
        <v>Well good, very light, Ms. casual one-handed weigh pot, the pot is not very sticky, very satisfied v</v>
      </c>
    </row>
    <row r="1537">
      <c r="A1537" s="1">
        <v>5.0</v>
      </c>
      <c r="B1537" s="1" t="s">
        <v>1535</v>
      </c>
      <c r="C1537" t="str">
        <f>IFERROR(__xludf.DUMMYFUNCTION("GOOGLETRANSLATE(B1537, ""zh"", ""en"")"),"Well send his wife, the fabric is very good, do not fade, very safe and reliable")</f>
        <v>Well send his wife, the fabric is very good, do not fade, very safe and reliable</v>
      </c>
    </row>
    <row r="1538">
      <c r="A1538" s="1">
        <v>5.0</v>
      </c>
      <c r="B1538" s="1" t="s">
        <v>1536</v>
      </c>
      <c r="C1538" t="str">
        <f>IFERROR(__xludf.DUMMYFUNCTION("GOOGLETRANSLATE(B1538, ""zh"", ""en"")"),"Good shoes styles of shoes look great, the price can now buy this style, and so sad.")</f>
        <v>Good shoes styles of shoes look great, the price can now buy this style, and so sad.</v>
      </c>
    </row>
    <row r="1539">
      <c r="A1539" s="1">
        <v>5.0</v>
      </c>
      <c r="B1539" s="1" t="s">
        <v>1537</v>
      </c>
      <c r="C1539" t="str">
        <f>IFERROR(__xludf.DUMMYFUNCTION("GOOGLETRANSLATE(B1539, ""zh"", ""en"")"),"Summer wear a good quality, without any quality problems, the style is very good. 177cm, 74kg, the right size.")</f>
        <v>Summer wear a good quality, without any quality problems, the style is very good. 177cm, 74kg, the right size.</v>
      </c>
    </row>
    <row r="1540">
      <c r="A1540" s="1">
        <v>5.0</v>
      </c>
      <c r="B1540" s="1" t="s">
        <v>1538</v>
      </c>
      <c r="C1540" t="str">
        <f>IFERROR(__xludf.DUMMYFUNCTION("GOOGLETRANSLATE(B1540, ""zh"", ""en"")"),"Something good to buy her daughter, her daughter very much.")</f>
        <v>Something good to buy her daughter, her daughter very much.</v>
      </c>
    </row>
    <row r="1541">
      <c r="A1541" s="1">
        <v>5.0</v>
      </c>
      <c r="B1541" s="1" t="s">
        <v>1539</v>
      </c>
      <c r="C1541" t="str">
        <f>IFERROR(__xludf.DUMMYFUNCTION("GOOGLETRANSLATE(B1541, ""zh"", ""en"")"),"Other long sleeves are good, the neck is a little tight.")</f>
        <v>Other long sleeves are good, the neck is a little tight.</v>
      </c>
    </row>
    <row r="1542">
      <c r="A1542" s="1">
        <v>5.0</v>
      </c>
      <c r="B1542" s="1" t="s">
        <v>1540</v>
      </c>
      <c r="C1542" t="str">
        <f>IFERROR(__xludf.DUMMYFUNCTION("GOOGLETRANSLATE(B1542, ""zh"", ""en"")"),"184.100kg, XL price is very good, but the workmanship is very good. The elastic waist a little hard, 184.100kg, XL appropriate number")</f>
        <v>184.100kg, XL price is very good, but the workmanship is very good. The elastic waist a little hard, 184.100kg, XL appropriate number</v>
      </c>
    </row>
    <row r="1543">
      <c r="A1543" s="1">
        <v>5.0</v>
      </c>
      <c r="B1543" s="1" t="s">
        <v>1541</v>
      </c>
      <c r="C1543" t="str">
        <f>IFERROR(__xludf.DUMMYFUNCTION("GOOGLETRANSLATE(B1543, ""zh"", ""en"")"),"It turned out to be three get one! It turned out to be three get one! Page did not prompt an instant feeling of a one hundred million")</f>
        <v>It turned out to be three get one! It turned out to be three get one! Page did not prompt an instant feeling of a one hundred million</v>
      </c>
    </row>
    <row r="1544">
      <c r="A1544" s="1">
        <v>5.0</v>
      </c>
      <c r="B1544" s="1" t="s">
        <v>1542</v>
      </c>
      <c r="C1544" t="str">
        <f>IFERROR(__xludf.DUMMYFUNCTION("GOOGLETRANSLATE(B1544, ""zh"", ""en"")"),"It may also be a good overall garment fabric, thin fleece, work in general, a little pull on the zip pocket American uneven rough standard. I 185,92.5KG, robust comparison, L clothing length can, the shoulder is too large, giant long sleeves. Overall also"&amp;".")</f>
        <v>It may also be a good overall garment fabric, thin fleece, work in general, a little pull on the zip pocket American uneven rough standard. I 185,92.5KG, robust comparison, L clothing length can, the shoulder is too large, giant long sleeves. Overall also.</v>
      </c>
    </row>
    <row r="1545">
      <c r="A1545" s="1">
        <v>5.0</v>
      </c>
      <c r="B1545" s="1" t="s">
        <v>1543</v>
      </c>
      <c r="C1545" t="str">
        <f>IFERROR(__xludf.DUMMYFUNCTION("GOOGLETRANSLATE(B1545, ""zh"", ""en"")"),"Very appropriate, wearing fit, followed by very soft very good, very appropriate foot wear")</f>
        <v>Very appropriate, wearing fit, followed by very soft very good, very appropriate foot wear</v>
      </c>
    </row>
    <row r="1546">
      <c r="A1546" s="1">
        <v>5.0</v>
      </c>
      <c r="B1546" s="1" t="s">
        <v>1544</v>
      </c>
      <c r="C1546" t="str">
        <f>IFERROR(__xludf.DUMMYFUNCTION("GOOGLETRANSLATE(B1546, ""zh"", ""en"")"),"Good sound quality, sound quality is very good, but need a good front-end, even if the phone")</f>
        <v>Good sound quality, sound quality is very good, but need a good front-end, even if the phone</v>
      </c>
    </row>
    <row r="1547">
      <c r="A1547" s="1">
        <v>5.0</v>
      </c>
      <c r="B1547" s="1" t="s">
        <v>1545</v>
      </c>
      <c r="C1547" t="str">
        <f>IFERROR(__xludf.DUMMYFUNCTION("GOOGLETRANSLATE(B1547, ""zh"", ""en"")"),"Interestingly push very interesting press design, I decided to write a review for each product")</f>
        <v>Interestingly push very interesting press design, I decided to write a review for each product</v>
      </c>
    </row>
    <row r="1548">
      <c r="A1548" s="1">
        <v>2.0</v>
      </c>
      <c r="B1548" s="1" t="s">
        <v>1546</v>
      </c>
      <c r="C1548" t="str">
        <f>IFERROR(__xludf.DUMMYFUNCTION("GOOGLETRANSLATE(B1548, ""zh"", ""en"")"),"Strange shoes my feet wide, and meat, but not the kind of special wide-meat, a little bit of it, recently lost 20 pounds of weight loss, feet, less meat, I would buy a small one yards, foot wear It is particularly long on, like men's shoes, comfort? Buy s"&amp;"mall a yard or good good length, width is not enough, the pressure is very, anyway, my feet can not wear it.")</f>
        <v>Strange shoes my feet wide, and meat, but not the kind of special wide-meat, a little bit of it, recently lost 20 pounds of weight loss, feet, less meat, I would buy a small one yards, foot wear It is particularly long on, like men's shoes, comfort? Buy small a yard or good good length, width is not enough, the pressure is very, anyway, my feet can not wear it.</v>
      </c>
    </row>
    <row r="1549">
      <c r="A1549" s="1">
        <v>3.0</v>
      </c>
      <c r="B1549" s="1" t="s">
        <v>1547</v>
      </c>
      <c r="C1549" t="str">
        <f>IFERROR(__xludf.DUMMYFUNCTION("GOOGLETRANSLATE(B1549, ""zh"", ""en"")"),"Shoes too big fancy these shoes for a long time, about two weeks of arrival, speed still can. Many commented that the shoes look is narrow, so buy big half a yard 39.5, and then on the tragedy. Now only cushion insoles to wear thick socks. Estimates usual"&amp;"ly 39 feet should buy 38.5. Styles of shoes I liked it, but since large strenuous walking, sea Amoy is this bad. I suggest that you re-start the counter of shoes, cry ......")</f>
        <v>Shoes too big fancy these shoes for a long time, about two weeks of arrival, speed still can. Many commented that the shoes look is narrow, so buy big half a yard 39.5, and then on the tragedy. Now only cushion insoles to wear thick socks. Estimates usually 39 feet should buy 38.5. Styles of shoes I liked it, but since large strenuous walking, sea Amoy is this bad. I suggest that you re-start the counter of shoes, cry ......</v>
      </c>
    </row>
    <row r="1550">
      <c r="A1550" s="1">
        <v>3.0</v>
      </c>
      <c r="B1550" s="1" t="s">
        <v>1548</v>
      </c>
      <c r="C1550" t="str">
        <f>IFERROR(__xludf.DUMMYFUNCTION("GOOGLETRANSLATE(B1550, ""zh"", ""en"")"),"Felt a bit too large too large pantyhose short sticky hairs")</f>
        <v>Felt a bit too large too large pantyhose short sticky hairs</v>
      </c>
    </row>
    <row r="1551">
      <c r="A1551" s="1">
        <v>1.0</v>
      </c>
      <c r="B1551" s="1" t="s">
        <v>1549</v>
      </c>
      <c r="C1551" t="str">
        <f>IFERROR(__xludf.DUMMYFUNCTION("GOOGLETRANSLATE(B1551, ""zh"", ""en"")"),"A bad online shopping experience poor quality, a very good online shopping experience, get hands feel completely spread the goods! I can not believe that this is self-Amazon products!")</f>
        <v>A bad online shopping experience poor quality, a very good online shopping experience, get hands feel completely spread the goods! I can not believe that this is self-Amazon products!</v>
      </c>
    </row>
    <row r="1552">
      <c r="A1552" s="1">
        <v>1.0</v>
      </c>
      <c r="B1552" s="1" t="s">
        <v>1550</v>
      </c>
      <c r="C1552" t="str">
        <f>IFERROR(__xludf.DUMMYFUNCTION("GOOGLETRANSLATE(B1552, ""zh"", ""en"")"),"Quality really did not feel like a little worrying ah thread is so much suspicion quality generally like fake")</f>
        <v>Quality really did not feel like a little worrying ah thread is so much suspicion quality generally like fake</v>
      </c>
    </row>
    <row r="1553">
      <c r="A1553" s="1">
        <v>1.0</v>
      </c>
      <c r="B1553" s="1" t="s">
        <v>1551</v>
      </c>
      <c r="C1553" t="str">
        <f>IFERROR(__xludf.DUMMYFUNCTION("GOOGLETRANSLATE(B1553, ""zh"", ""en"")"),"Nichia buy defective, there is a significant gap in the lid")</f>
        <v>Nichia buy defective, there is a significant gap in the lid</v>
      </c>
    </row>
    <row r="1554">
      <c r="A1554" s="1">
        <v>4.0</v>
      </c>
      <c r="B1554" s="1" t="s">
        <v>1552</v>
      </c>
      <c r="C1554" t="str">
        <f>IFERROR(__xludf.DUMMYFUNCTION("GOOGLETRANSLATE(B1554, ""zh"", ""en"")"),"Good good, never went before the evaluation, I do not know how many wasted points, points can change money now know, they should look carefully evaluated, then I put these words to copy to go, both to earn points, but also the easy way to go where copy wh"&amp;"ere, most importantly, do not seriously review, do not think how much worse word, sent directly to it, recommend it to everyone! !")</f>
        <v>Good good, never went before the evaluation, I do not know how many wasted points, points can change money now know, they should look carefully evaluated, then I put these words to copy to go, both to earn points, but also the easy way to go where copy where, most importantly, do not seriously review, do not think how much worse word, sent directly to it, recommend it to everyone! !</v>
      </c>
    </row>
    <row r="1555">
      <c r="A1555" s="1">
        <v>4.0</v>
      </c>
      <c r="B1555" s="1" t="s">
        <v>1553</v>
      </c>
      <c r="C1555" t="str">
        <f>IFERROR(__xludf.DUMMYFUNCTION("GOOGLETRANSLATE(B1555, ""zh"", ""en"")"),"Quality general merchandise quality: 1, the glue does not close, coarse dry, there are many debonding. 2, thin cortex than (less than 0.5mm), has suspected multiple cracking phenomenon, compared with the thickness of the wearing leather boots 10 years, un"&amp;"like full grain cowhide. 3, lined with relatively thin, wear resistance in general. 4, the origin of the goods; China, no date of manufacture. Distribution services: Amazon Logistics always good.")</f>
        <v>Quality general merchandise quality: 1, the glue does not close, coarse dry, there are many debonding. 2, thin cortex than (less than 0.5mm), has suspected multiple cracking phenomenon, compared with the thickness of the wearing leather boots 10 years, unlike full grain cowhide. 3, lined with relatively thin, wear resistance in general. 4, the origin of the goods; China, no date of manufacture. Distribution services: Amazon Logistics always good.</v>
      </c>
    </row>
    <row r="1556">
      <c r="A1556" s="1">
        <v>4.0</v>
      </c>
      <c r="B1556" s="1" t="s">
        <v>1554</v>
      </c>
      <c r="C1556" t="str">
        <f>IFERROR(__xludf.DUMMYFUNCTION("GOOGLETRANSLATE(B1556, ""zh"", ""en"")"),"Okay for her husband to buy, the quality of the general quality of underwear, and almost Giordano, the price is not too high requirements.")</f>
        <v>Okay for her husband to buy, the quality of the general quality of underwear, and almost Giordano, the price is not too high requirements.</v>
      </c>
    </row>
    <row r="1557">
      <c r="A1557" s="1">
        <v>4.0</v>
      </c>
      <c r="B1557" s="1" t="s">
        <v>1555</v>
      </c>
      <c r="C1557" t="str">
        <f>IFERROR(__xludf.DUMMYFUNCTION("GOOGLETRANSLATE(B1557, ""zh"", ""en"")"),"Fabrics can also be 36A, equivalent to the domestic 80A ~ 80B, a bit tight around the")</f>
        <v>Fabrics can also be 36A, equivalent to the domestic 80A ~ 80B, a bit tight around the</v>
      </c>
    </row>
    <row r="1558">
      <c r="A1558" s="1">
        <v>4.0</v>
      </c>
      <c r="B1558" s="1" t="s">
        <v>1556</v>
      </c>
      <c r="C1558" t="str">
        <f>IFERROR(__xludf.DUMMYFUNCTION("GOOGLETRANSLATE(B1558, ""zh"", ""en"")"),"Is sent, the size is too large Ouma 42, 270mm, corresponding to country code 44, a bit width of the heel. 42 yards usually wear, the wear is too large, uncomfortable")</f>
        <v>Is sent, the size is too large Ouma 42, 270mm, corresponding to country code 44, a bit width of the heel. 42 yards usually wear, the wear is too large, uncomfortable</v>
      </c>
    </row>
    <row r="1559">
      <c r="A1559" s="1">
        <v>5.0</v>
      </c>
      <c r="B1559" s="1" t="s">
        <v>1557</v>
      </c>
      <c r="C1559" t="str">
        <f>IFERROR(__xludf.DUMMYFUNCTION("GOOGLETRANSLATE(B1559, ""zh"", ""en"")"),"Yes, and I bought a treasure packaging, taste: colors are different, Maidaojiahuo before possible.")</f>
        <v>Yes, and I bought a treasure packaging, taste: colors are different, Maidaojiahuo before possible.</v>
      </c>
    </row>
    <row r="1560">
      <c r="A1560" s="1">
        <v>5.0</v>
      </c>
      <c r="B1560" s="1" t="s">
        <v>1558</v>
      </c>
      <c r="C1560" t="str">
        <f>IFERROR(__xludf.DUMMYFUNCTION("GOOGLETRANSLATE(B1560, ""zh"", ""en"")"),"Not bad, very self-cultivation! Cost-effective")</f>
        <v>Not bad, very self-cultivation! Cost-effective</v>
      </c>
    </row>
    <row r="1561">
      <c r="A1561" s="1">
        <v>5.0</v>
      </c>
      <c r="B1561" s="1" t="s">
        <v>1559</v>
      </c>
      <c r="C1561" t="str">
        <f>IFERROR(__xludf.DUMMYFUNCTION("GOOGLETRANSLATE(B1561, ""zh"", ""en"")"),"Very good particularly good")</f>
        <v>Very good particularly good</v>
      </c>
    </row>
    <row r="1562">
      <c r="A1562" s="1">
        <v>5.0</v>
      </c>
      <c r="B1562" s="1" t="s">
        <v>1560</v>
      </c>
      <c r="C1562" t="str">
        <f>IFERROR(__xludf.DUMMYFUNCTION("GOOGLETRANSLATE(B1562, ""zh"", ""en"")"),"Very good light, like")</f>
        <v>Very good light, like</v>
      </c>
    </row>
    <row r="1563">
      <c r="A1563" s="1">
        <v>5.0</v>
      </c>
      <c r="B1563" s="1" t="s">
        <v>1561</v>
      </c>
      <c r="C1563" t="str">
        <f>IFERROR(__xludf.DUMMYFUNCTION("GOOGLETRANSLATE(B1563, ""zh"", ""en"")"),"Goods are, easy to use good eye cream")</f>
        <v>Goods are, easy to use good eye cream</v>
      </c>
    </row>
    <row r="1564">
      <c r="A1564" s="1">
        <v>5.0</v>
      </c>
      <c r="B1564" s="1" t="s">
        <v>1562</v>
      </c>
      <c r="C1564" t="str">
        <f>IFERROR(__xludf.DUMMYFUNCTION("GOOGLETRANSLATE(B1564, ""zh"", ""en"")"),"Very very comfortable shoes are particularly good and very comfortable, like the store counter and postal logistics in advance for the first time in the Amazon to buy good will continue to repurchase!")</f>
        <v>Very very comfortable shoes are particularly good and very comfortable, like the store counter and postal logistics in advance for the first time in the Amazon to buy good will continue to repurchase!</v>
      </c>
    </row>
    <row r="1565">
      <c r="A1565" s="1">
        <v>5.0</v>
      </c>
      <c r="B1565" s="1" t="s">
        <v>1563</v>
      </c>
      <c r="C1565" t="str">
        <f>IFERROR(__xludf.DUMMYFUNCTION("GOOGLETRANSLATE(B1565, ""zh"", ""en"")"),"Version does not seem to fit very good fabric worn in winter, it will suck in the legs; the version is very good")</f>
        <v>Version does not seem to fit very good fabric worn in winter, it will suck in the legs; the version is very good</v>
      </c>
    </row>
    <row r="1566">
      <c r="A1566" s="1">
        <v>5.0</v>
      </c>
      <c r="B1566" s="1" t="s">
        <v>1564</v>
      </c>
      <c r="C1566" t="str">
        <f>IFERROR(__xludf.DUMMYFUNCTION("GOOGLETRANSLATE(B1566, ""zh"", ""en"")"),"Good quality affordable quality, open the lock is very convenient, very good insulation properties")</f>
        <v>Good quality affordable quality, open the lock is very convenient, very good insulation properties</v>
      </c>
    </row>
    <row r="1567">
      <c r="A1567" s="1">
        <v>5.0</v>
      </c>
      <c r="B1567" s="1" t="s">
        <v>1565</v>
      </c>
      <c r="C1567" t="str">
        <f>IFERROR(__xludf.DUMMYFUNCTION("GOOGLETRANSLATE(B1567, ""zh"", ""en"")"),"Very comfortable, breathable and comfortable, this is the third piece of the purchase. To be able to wear this often, daily open-necked clothes no longer pick up larger lower. No chest pad lining, very breathable, Guangdong place for this long summer. Wan"&amp;"t to help, then do not consider plastic. I usually 32A, 70 less than the bottom circumference, through section 75B also fit substantially")</f>
        <v>Very comfortable, breathable and comfortable, this is the third piece of the purchase. To be able to wear this often, daily open-necked clothes no longer pick up larger lower. No chest pad lining, very breathable, Guangdong place for this long summer. Want to help, then do not consider plastic. I usually 32A, 70 less than the bottom circumference, through section 75B also fit substantially</v>
      </c>
    </row>
    <row r="1568">
      <c r="A1568" s="1">
        <v>5.0</v>
      </c>
      <c r="B1568" s="1" t="s">
        <v>1566</v>
      </c>
      <c r="C1568" t="str">
        <f>IFERROR(__xludf.DUMMYFUNCTION("GOOGLETRANSLATE(B1568, ""zh"", ""en"")"),"Nice shoes feel comfortable sports shoes")</f>
        <v>Nice shoes feel comfortable sports shoes</v>
      </c>
    </row>
    <row r="1569">
      <c r="A1569" s="1">
        <v>5.0</v>
      </c>
      <c r="B1569" s="1" t="s">
        <v>1567</v>
      </c>
      <c r="C1569" t="str">
        <f>IFERROR(__xludf.DUMMYFUNCTION("GOOGLETRANSLATE(B1569, ""zh"", ""en"")"),"42 yards, just the right size, width Jiaogan are in line with past due")</f>
        <v>42 yards, just the right size, width Jiaogan are in line with past due</v>
      </c>
    </row>
    <row r="1570">
      <c r="A1570" s="1">
        <v>5.0</v>
      </c>
      <c r="B1570" s="1" t="s">
        <v>1568</v>
      </c>
      <c r="C1570" t="str">
        <f>IFERROR(__xludf.DUMMYFUNCTION("GOOGLETRANSLATE(B1570, ""zh"", ""en"")"),"This product is worth having this product I personally very satisfied, especially the tank capacity is large enough, do not hold water several times")</f>
        <v>This product is worth having this product I personally very satisfied, especially the tank capacity is large enough, do not hold water several times</v>
      </c>
    </row>
    <row r="1571">
      <c r="A1571" s="1">
        <v>5.0</v>
      </c>
      <c r="B1571" s="1" t="s">
        <v>1569</v>
      </c>
      <c r="C1571" t="str">
        <f>IFERROR(__xludf.DUMMYFUNCTION("GOOGLETRANSLATE(B1571, ""zh"", ""en"")"),"High waist, high waist comfortable cotton underwear, wearing very comfortable. We intend to increase purchase.")</f>
        <v>High waist, high waist comfortable cotton underwear, wearing very comfortable. We intend to increase purchase.</v>
      </c>
    </row>
    <row r="1572">
      <c r="A1572" s="1">
        <v>5.0</v>
      </c>
      <c r="B1572" s="1" t="s">
        <v>1570</v>
      </c>
      <c r="C1572" t="str">
        <f>IFERROR(__xludf.DUMMYFUNCTION("GOOGLETRANSLATE(B1572, ""zh"", ""en"")"),"Thermal insulation effect is good, attractive appearance")</f>
        <v>Thermal insulation effect is good, attractive appearance</v>
      </c>
    </row>
    <row r="1573">
      <c r="A1573" s="1">
        <v>5.0</v>
      </c>
      <c r="B1573" s="1" t="s">
        <v>1571</v>
      </c>
      <c r="C1573" t="str">
        <f>IFERROR(__xludf.DUMMYFUNCTION("GOOGLETRANSLATE(B1573, ""zh"", ""en"")"),"Amazon family trust overseas purchase Swisse products or can be, this is produced in Australia, enough to pay for a few months.")</f>
        <v>Amazon family trust overseas purchase Swisse products or can be, this is produced in Australia, enough to pay for a few months.</v>
      </c>
    </row>
    <row r="1574">
      <c r="A1574" s="1">
        <v>5.0</v>
      </c>
      <c r="B1574" s="1" t="s">
        <v>1572</v>
      </c>
      <c r="C1574" t="str">
        <f>IFERROR(__xludf.DUMMYFUNCTION("GOOGLETRANSLATE(B1574, ""zh"", ""en"")"),"Received no instruction manual pasta machine, very small, Ye Hao, I tried it, hardness and poor control when the plane. No manual, it is not leak made? Crank has Nabuxialai, stuck in a patch of local press, local press could not move the child into pieces"&amp;". Just call the Amazon customer service, customer service said to buy merchandise purchased is no warranty, returned only a month period.")</f>
        <v>Received no instruction manual pasta machine, very small, Ye Hao, I tried it, hardness and poor control when the plane. No manual, it is not leak made? Crank has Nabuxialai, stuck in a patch of local press, local press could not move the child into pieces. Just call the Amazon customer service, customer service said to buy merchandise purchased is no warranty, returned only a month period.</v>
      </c>
    </row>
    <row r="1575">
      <c r="A1575" s="1">
        <v>5.0</v>
      </c>
      <c r="B1575" s="1" t="s">
        <v>1573</v>
      </c>
      <c r="C1575" t="str">
        <f>IFERROR(__xludf.DUMMYFUNCTION("GOOGLETRANSLATE(B1575, ""zh"", ""en"")"),"About me choose the size weight 120 height 165, wearing a very appropriate l, m should be able to wear, but not as l easing")</f>
        <v>About me choose the size weight 120 height 165, wearing a very appropriate l, m should be able to wear, but not as l easing</v>
      </c>
    </row>
    <row r="1576">
      <c r="A1576" s="1">
        <v>5.0</v>
      </c>
      <c r="B1576" s="1" t="s">
        <v>1574</v>
      </c>
      <c r="C1576" t="str">
        <f>IFERROR(__xludf.DUMMYFUNCTION("GOOGLETRANSLATE(B1576, ""zh"", ""en"")"),"Very insulation! Very insulation!")</f>
        <v>Very insulation! Very insulation!</v>
      </c>
    </row>
    <row r="1577">
      <c r="A1577" s="1">
        <v>5.0</v>
      </c>
      <c r="B1577" s="1" t="s">
        <v>1575</v>
      </c>
      <c r="C1577" t="str">
        <f>IFERROR(__xludf.DUMMYFUNCTION("GOOGLETRANSLATE(B1577, ""zh"", ""en"")"),"General cost is not high, the price is a little expensive")</f>
        <v>General cost is not high, the price is a little expensive</v>
      </c>
    </row>
    <row r="1578">
      <c r="A1578" s="1">
        <v>5.0</v>
      </c>
      <c r="B1578" s="1" t="s">
        <v>1576</v>
      </c>
      <c r="C1578" t="str">
        <f>IFERROR(__xludf.DUMMYFUNCTION("GOOGLETRANSLATE(B1578, ""zh"", ""en"")"),"Good German rigor has always been admirable, no matter how the pen body rotation, the final will tip toward the direction! Personal feeling slightly wider nose a bit, but that does not hinder the smooth writing. Black ink bag used directly, ink colors are"&amp;" uniform, and uniform and smooth water and dried easily. Very light weight, but thicker pen body, estimated that the girls would have some difficulty with. The only drawback is the overall impression material pen body feel good enough for this price.")</f>
        <v>Good German rigor has always been admirable, no matter how the pen body rotation, the final will tip toward the direction! Personal feeling slightly wider nose a bit, but that does not hinder the smooth writing. Black ink bag used directly, ink colors are uniform, and uniform and smooth water and dried easily. Very light weight, but thicker pen body, estimated that the girls would have some difficulty with. The only drawback is the overall impression material pen body feel good enough for this price.</v>
      </c>
    </row>
    <row r="1579">
      <c r="A1579" s="1">
        <v>5.0</v>
      </c>
      <c r="B1579" s="1" t="s">
        <v>1577</v>
      </c>
      <c r="C1579" t="str">
        <f>IFERROR(__xludf.DUMMYFUNCTION("GOOGLETRANSLATE(B1579, ""zh"", ""en"")"),"Very nice socks. Bought to give as gifts found to be men. . . .")</f>
        <v>Very nice socks. Bought to give as gifts found to be men. . . .</v>
      </c>
    </row>
    <row r="1580">
      <c r="A1580" s="1">
        <v>5.0</v>
      </c>
      <c r="B1580" s="1" t="s">
        <v>1578</v>
      </c>
      <c r="C1580" t="str">
        <f>IFERROR(__xludf.DUMMYFUNCTION("GOOGLETRANSLATE(B1580, ""zh"", ""en"")"),"A little off paint insulation effect, Chinese production, high 22㎝ and pictures do not meet, paint chips")</f>
        <v>A little off paint insulation effect, Chinese production, high 22㎝ and pictures do not meet, paint chips</v>
      </c>
    </row>
    <row r="1581">
      <c r="A1581" s="1">
        <v>2.0</v>
      </c>
      <c r="B1581" s="1" t="s">
        <v>1579</v>
      </c>
      <c r="C1581" t="str">
        <f>IFERROR(__xludf.DUMMYFUNCTION("GOOGLETRANSLATE(B1581, ""zh"", ""en"")"),"With a taste for so long, glass or taste, and big. Before holding 100 points trust did not pay attention today to drink water with children find delicious large quilt. Fake or so? Worth the price! ! !")</f>
        <v>With a taste for so long, glass or taste, and big. Before holding 100 points trust did not pay attention today to drink water with children find delicious large quilt. Fake or so? Worth the price! ! !</v>
      </c>
    </row>
    <row r="1582">
      <c r="A1582" s="1">
        <v>3.0</v>
      </c>
      <c r="B1582" s="1" t="s">
        <v>1580</v>
      </c>
      <c r="C1582" t="str">
        <f>IFERROR(__xludf.DUMMYFUNCTION("GOOGLETRANSLATE(B1582, ""zh"", ""en"")"),"A little disappointed, did not achieve the desired effect for two years for the first time to change head, a little disappointed with the results, must be shaved clean by hand pulling faces, had to shave back and forth several times")</f>
        <v>A little disappointed, did not achieve the desired effect for two years for the first time to change head, a little disappointed with the results, must be shaved clean by hand pulling faces, had to shave back and forth several times</v>
      </c>
    </row>
    <row r="1583">
      <c r="A1583" s="1">
        <v>3.0</v>
      </c>
      <c r="B1583" s="1" t="s">
        <v>1581</v>
      </c>
      <c r="C1583" t="str">
        <f>IFERROR(__xludf.DUMMYFUNCTION("GOOGLETRANSLATE(B1583, ""zh"", ""en"")"),"Some shoes usually wear shoe 41 is narrow, this is 41, the length of the shoe is enough, is a little narrow. The rest are pretty good")</f>
        <v>Some shoes usually wear shoe 41 is narrow, this is 41, the length of the shoe is enough, is a little narrow. The rest are pretty good</v>
      </c>
    </row>
    <row r="1584">
      <c r="A1584" s="1">
        <v>3.0</v>
      </c>
      <c r="B1584" s="1" t="s">
        <v>1582</v>
      </c>
      <c r="C1584" t="str">
        <f>IFERROR(__xludf.DUMMYFUNCTION("GOOGLETRANSLATE(B1584, ""zh"", ""en"")"),"too sweet! Although there are Smelly taste than on the feeling there is progress, but it really is too sweet!")</f>
        <v>too sweet! Although there are Smelly taste than on the feeling there is progress, but it really is too sweet!</v>
      </c>
    </row>
    <row r="1585">
      <c r="A1585" s="1">
        <v>1.0</v>
      </c>
      <c r="B1585" s="1" t="s">
        <v>1583</v>
      </c>
      <c r="C1585" t="str">
        <f>IFERROR(__xludf.DUMMYFUNCTION("GOOGLETRANSLATE(B1585, ""zh"", ""en"")"),"Three months on the bad quality is poor, the quality of worrying, I'm still in with a baby")</f>
        <v>Three months on the bad quality is poor, the quality of worrying, I'm still in with a baby</v>
      </c>
    </row>
    <row r="1586">
      <c r="A1586" s="1">
        <v>1.0</v>
      </c>
      <c r="B1586" s="1" t="s">
        <v>1584</v>
      </c>
      <c r="C1586" t="str">
        <f>IFERROR(__xludf.DUMMYFUNCTION("GOOGLETRANSLATE(B1586, ""zh"", ""en"")"),"The poor quality of customer service of goods to the other buyers. Poor customer service to Central Asia, customers get the runaround head.")</f>
        <v>The poor quality of customer service of goods to the other buyers. Poor customer service to Central Asia, customers get the runaround head.</v>
      </c>
    </row>
    <row r="1587">
      <c r="A1587" s="1">
        <v>1.0</v>
      </c>
      <c r="B1587" s="1" t="s">
        <v>1585</v>
      </c>
      <c r="C1587" t="str">
        <f>IFERROR(__xludf.DUMMYFUNCTION("GOOGLETRANSLATE(B1587, ""zh"", ""en"")"),"Rotten buy is bad, returns also pit, rotten")</f>
        <v>Rotten buy is bad, returns also pit, rotten</v>
      </c>
    </row>
    <row r="1588">
      <c r="A1588" s="1">
        <v>4.0</v>
      </c>
      <c r="B1588" s="1" t="s">
        <v>1586</v>
      </c>
      <c r="C1588" t="str">
        <f>IFERROR(__xludf.DUMMYFUNCTION("GOOGLETRANSLATE(B1588, ""zh"", ""en"")"),"Value for money is very fond of children")</f>
        <v>Value for money is very fond of children</v>
      </c>
    </row>
    <row r="1589">
      <c r="A1589" s="1">
        <v>4.0</v>
      </c>
      <c r="B1589" s="1" t="s">
        <v>1587</v>
      </c>
      <c r="C1589" t="str">
        <f>IFERROR(__xludf.DUMMYFUNCTION("GOOGLETRANSLATE(B1589, ""zh"", ""en"")"),"Inseam inseam for beauty legs")</f>
        <v>Inseam inseam for beauty legs</v>
      </c>
    </row>
    <row r="1590">
      <c r="A1590" s="1">
        <v>4.0</v>
      </c>
      <c r="B1590" s="1" t="s">
        <v>1588</v>
      </c>
      <c r="C1590" t="str">
        <f>IFERROR(__xludf.DUMMYFUNCTION("GOOGLETRANSLATE(B1590, ""zh"", ""en"")"),"Safety and effectiveness of vanilla ice cream did not taste good chocolate")</f>
        <v>Safety and effectiveness of vanilla ice cream did not taste good chocolate</v>
      </c>
    </row>
    <row r="1591">
      <c r="A1591" s="1">
        <v>4.0</v>
      </c>
      <c r="B1591" s="1" t="s">
        <v>1589</v>
      </c>
      <c r="C1591" t="str">
        <f>IFERROR(__xludf.DUMMYFUNCTION("GOOGLETRANSLATE(B1591, ""zh"", ""en"")"),"The effect is not obvious and more and more obvious the effect is not.")</f>
        <v>The effect is not obvious and more and more obvious the effect is not.</v>
      </c>
    </row>
    <row r="1592">
      <c r="A1592" s="1">
        <v>4.0</v>
      </c>
      <c r="B1592" s="1" t="s">
        <v>1590</v>
      </c>
      <c r="C1592" t="str">
        <f>IFERROR(__xludf.DUMMYFUNCTION("GOOGLETRANSLATE(B1592, ""zh"", ""en"")"),"Generally small, less than 100 yuan to buy really good stuff")</f>
        <v>Generally small, less than 100 yuan to buy really good stuff</v>
      </c>
    </row>
    <row r="1593">
      <c r="A1593" s="1">
        <v>5.0</v>
      </c>
      <c r="B1593" s="1" t="s">
        <v>1591</v>
      </c>
      <c r="C1593" t="str">
        <f>IFERROR(__xludf.DUMMYFUNCTION("GOOGLETRANSLATE(B1593, ""zh"", ""en"")"),"Good bowls good, there is straw, sucking child can eat. Good bowl design, can be hidden in the straw bowl.")</f>
        <v>Good bowls good, there is straw, sucking child can eat. Good bowl design, can be hidden in the straw bowl.</v>
      </c>
    </row>
    <row r="1594">
      <c r="A1594" s="1">
        <v>5.0</v>
      </c>
      <c r="B1594" s="1" t="s">
        <v>1592</v>
      </c>
      <c r="C1594" t="str">
        <f>IFERROR(__xludf.DUMMYFUNCTION("GOOGLETRANSLATE(B1594, ""zh"", ""en"")"),"Like sea Amoy really very good, faster than expected four days send at hand. Speed, installed in the invincible lion in shooting snapshots accessible!")</f>
        <v>Like sea Amoy really very good, faster than expected four days send at hand. Speed, installed in the invincible lion in shooting snapshots accessible!</v>
      </c>
    </row>
    <row r="1595">
      <c r="A1595" s="1">
        <v>5.0</v>
      </c>
      <c r="B1595" s="1" t="s">
        <v>1593</v>
      </c>
      <c r="C1595" t="str">
        <f>IFERROR(__xludf.DUMMYFUNCTION("GOOGLETRANSLATE(B1595, ""zh"", ""en"")"),"Deserve the right size, quality, reliable, cost-effective.")</f>
        <v>Deserve the right size, quality, reliable, cost-effective.</v>
      </c>
    </row>
    <row r="1596">
      <c r="A1596" s="1">
        <v>5.0</v>
      </c>
      <c r="B1596" s="1" t="s">
        <v>1594</v>
      </c>
      <c r="C1596" t="str">
        <f>IFERROR(__xludf.DUMMYFUNCTION("GOOGLETRANSLATE(B1596, ""zh"", ""en"")"),"Nice pants did not pass through the counter, but the price of this quality already. Waist 170,130 pounds, 31 just fine. Version or slant a little fat, are satisfied")</f>
        <v>Nice pants did not pass through the counter, but the price of this quality already. Waist 170,130 pounds, 31 just fine. Version or slant a little fat, are satisfied</v>
      </c>
    </row>
    <row r="1597">
      <c r="A1597" s="1">
        <v>5.0</v>
      </c>
      <c r="B1597" s="1" t="s">
        <v>1595</v>
      </c>
      <c r="C1597" t="str">
        <f>IFERROR(__xludf.DUMMYFUNCTION("GOOGLETRANSLATE(B1597, ""zh"", ""en"")"),"Good not used other bottles, it feels pretty good")</f>
        <v>Good not used other bottles, it feels pretty good</v>
      </c>
    </row>
    <row r="1598">
      <c r="A1598" s="1">
        <v>5.0</v>
      </c>
      <c r="B1598" s="1" t="s">
        <v>1596</v>
      </c>
      <c r="C1598" t="str">
        <f>IFERROR(__xludf.DUMMYFUNCTION("GOOGLETRANSLATE(B1598, ""zh"", ""en"")"),"Cotton Cotton, mother identified before, feel super good, the right size. Just finished, waiting for her husband Evaluation")</f>
        <v>Cotton Cotton, mother identified before, feel super good, the right size. Just finished, waiting for her husband Evaluation</v>
      </c>
    </row>
    <row r="1599">
      <c r="A1599" s="1">
        <v>5.0</v>
      </c>
      <c r="B1599" s="1" t="s">
        <v>1597</v>
      </c>
      <c r="C1599" t="str">
        <f>IFERROR(__xludf.DUMMYFUNCTION("GOOGLETRANSLATE(B1599, ""zh"", ""en"")"),"ok very good pair of shoes, the right size, comfortable and breathable!")</f>
        <v>ok very good pair of shoes, the right size, comfortable and breathable!</v>
      </c>
    </row>
    <row r="1600">
      <c r="A1600" s="1">
        <v>5.0</v>
      </c>
      <c r="B1600" s="1" t="s">
        <v>1598</v>
      </c>
      <c r="C1600" t="str">
        <f>IFERROR(__xludf.DUMMYFUNCTION("GOOGLETRANSLATE(B1600, ""zh"", ""en"")"),"A big bottle of ah packaging intact, express delivery soon, is said to liquid calcium absorption is better")</f>
        <v>A big bottle of ah packaging intact, express delivery soon, is said to liquid calcium absorption is better</v>
      </c>
    </row>
    <row r="1601">
      <c r="A1601" s="1">
        <v>5.0</v>
      </c>
      <c r="B1601" s="1" t="s">
        <v>1599</v>
      </c>
      <c r="C1601" t="str">
        <f>IFERROR(__xludf.DUMMYFUNCTION("GOOGLETRANSLATE(B1601, ""zh"", ""en"")"),"Clothing is very good, size is also very suitable because it is overseas purchase, the buyer before the US message read before, they think this jacket size is too small, has also been worried. But when I received the jacket, dress behind him, very happy f"&amp;"or this jacket is perfect for me.")</f>
        <v>Clothing is very good, size is also very suitable because it is overseas purchase, the buyer before the US message read before, they think this jacket size is too small, has also been worried. But when I received the jacket, dress behind him, very happy for this jacket is perfect for me.</v>
      </c>
    </row>
    <row r="1602">
      <c r="A1602" s="1">
        <v>5.0</v>
      </c>
      <c r="B1602" s="1" t="s">
        <v>1600</v>
      </c>
      <c r="C1602" t="str">
        <f>IFERROR(__xludf.DUMMYFUNCTION("GOOGLETRANSLATE(B1602, ""zh"", ""en"")"),"Reasonably comfortable design style, comfortable, ready to buy one.")</f>
        <v>Reasonably comfortable design style, comfortable, ready to buy one.</v>
      </c>
    </row>
    <row r="1603">
      <c r="A1603" s="1">
        <v>5.0</v>
      </c>
      <c r="B1603" s="1" t="s">
        <v>1601</v>
      </c>
      <c r="C1603" t="str">
        <f>IFERROR(__xludf.DUMMYFUNCTION("GOOGLETRANSLATE(B1603, ""zh"", ""en"")"),"Good, it looks very handsome and very comfortable to wear")</f>
        <v>Good, it looks very handsome and very comfortable to wear</v>
      </c>
    </row>
    <row r="1604">
      <c r="A1604" s="1">
        <v>5.0</v>
      </c>
      <c r="B1604" s="1" t="s">
        <v>1602</v>
      </c>
      <c r="C1604" t="str">
        <f>IFERROR(__xludf.DUMMYFUNCTION("GOOGLETRANSLATE(B1604, ""zh"", ""en"")"),"It fit very fit, the right size, pants good shape")</f>
        <v>It fit very fit, the right size, pants good shape</v>
      </c>
    </row>
    <row r="1605">
      <c r="A1605" s="1">
        <v>5.0</v>
      </c>
      <c r="B1605" s="1" t="s">
        <v>1603</v>
      </c>
      <c r="C1605" t="str">
        <f>IFERROR(__xludf.DUMMYFUNCTION("GOOGLETRANSLATE(B1605, ""zh"", ""en"")"),"In addition to very much like a little big point, the other are very good! Very warm Bang Bangbang")</f>
        <v>In addition to very much like a little big point, the other are very good! Very warm Bang Bangbang</v>
      </c>
    </row>
    <row r="1606">
      <c r="A1606" s="1">
        <v>5.0</v>
      </c>
      <c r="B1606" s="1" t="s">
        <v>1604</v>
      </c>
      <c r="C1606" t="str">
        <f>IFERROR(__xludf.DUMMYFUNCTION("GOOGLETRANSLATE(B1606, ""zh"", ""en"")"),"Bottle small nephew liked the look, it is also comfortable with, very nice little bottle")</f>
        <v>Bottle small nephew liked the look, it is also comfortable with, very nice little bottle</v>
      </c>
    </row>
    <row r="1607">
      <c r="A1607" s="1">
        <v>5.0</v>
      </c>
      <c r="B1607" s="1" t="s">
        <v>1605</v>
      </c>
      <c r="C1607" t="str">
        <f>IFERROR(__xludf.DUMMYFUNCTION("GOOGLETRANSLATE(B1607, ""zh"", ""en"")"),"Shoes are very good, very satisfied with the very good")</f>
        <v>Shoes are very good, very satisfied with the very good</v>
      </c>
    </row>
    <row r="1608">
      <c r="A1608" s="1">
        <v>5.0</v>
      </c>
      <c r="B1608" s="1" t="s">
        <v>1606</v>
      </c>
      <c r="C1608" t="str">
        <f>IFERROR(__xludf.DUMMYFUNCTION("GOOGLETRANSLATE(B1608, ""zh"", ""en"")"),"awesome! Nice, fine, workmanship, quality Leverage insulation effect Leverage, 12:00 filling into water 85 degrees, at 20 degrees at room temperature, to 20:00 open, further hot not enter the mouth, super satisfied!")</f>
        <v>awesome! Nice, fine, workmanship, quality Leverage insulation effect Leverage, 12:00 filling into water 85 degrees, at 20 degrees at room temperature, to 20:00 open, further hot not enter the mouth, super satisfied!</v>
      </c>
    </row>
    <row r="1609">
      <c r="A1609" s="1">
        <v>5.0</v>
      </c>
      <c r="B1609" s="1" t="s">
        <v>1607</v>
      </c>
      <c r="C1609" t="str">
        <f>IFERROR(__xludf.DUMMYFUNCTION("GOOGLETRANSLATE(B1609, ""zh"", ""en"")"),"Cost-effective high speed and sometimes fast, sometimes slow, high cost, big man, but plug the computer does not take, I do not know how to get, will partially formatted hard disk format conversion, it is ok. However, no response interpolation MAC")</f>
        <v>Cost-effective high speed and sometimes fast, sometimes slow, high cost, big man, but plug the computer does not take, I do not know how to get, will partially formatted hard disk format conversion, it is ok. However, no response interpolation MAC</v>
      </c>
    </row>
    <row r="1610">
      <c r="A1610" s="1">
        <v>5.0</v>
      </c>
      <c r="B1610" s="1" t="s">
        <v>1608</v>
      </c>
      <c r="C1610" t="str">
        <f>IFERROR(__xludf.DUMMYFUNCTION("GOOGLETRANSLATE(B1610, ""zh"", ""en"")"),"Amazon to buy shoes must be absolutely authentic, than the same money would buy only products work much better, feeling great value")</f>
        <v>Amazon to buy shoes must be absolutely authentic, than the same money would buy only products work much better, feeling great value</v>
      </c>
    </row>
    <row r="1611">
      <c r="A1611" s="1">
        <v>5.0</v>
      </c>
      <c r="B1611" s="1" t="s">
        <v>1609</v>
      </c>
      <c r="C1611" t="str">
        <f>IFERROR(__xludf.DUMMYFUNCTION("GOOGLETRANSLATE(B1611, ""zh"", ""en"")"),"Overall, good shoes is good, PUMA shoes on the market with little to sell, only to have these models on Amazon, then you can consider this a long-term purchase")</f>
        <v>Overall, good shoes is good, PUMA shoes on the market with little to sell, only to have these models on Amazon, then you can consider this a long-term purchase</v>
      </c>
    </row>
    <row r="1612">
      <c r="A1612" s="1">
        <v>5.0</v>
      </c>
      <c r="B1612" s="1" t="s">
        <v>1610</v>
      </c>
      <c r="C1612" t="str">
        <f>IFERROR(__xludf.DUMMYFUNCTION("GOOGLETRANSLATE(B1612, ""zh"", ""en"")"),"Suitable very good, as good as imagined. Fabric texture comfortable fit.")</f>
        <v>Suitable very good, as good as imagined. Fabric texture comfortable fit.</v>
      </c>
    </row>
    <row r="1613">
      <c r="A1613" s="1">
        <v>5.0</v>
      </c>
      <c r="B1613" s="1" t="s">
        <v>1611</v>
      </c>
      <c r="C1613" t="str">
        <f>IFERROR(__xludf.DUMMYFUNCTION("GOOGLETRANSLATE(B1613, ""zh"", ""en"")"),"Good &lt;div id = ""video-block-R1LHTUMK9DWLBM"" class = ""a-section a-spacing-small a-spacing-top-mini video-block""&gt; &lt;/ div&gt; &lt;input type = ""hidden"" name = """" value = ""https://images-cn.ssl-images-amazon.com/images/I/91qMJmlASmS.mp4"" class = ""video-u"&amp;"rl""&gt; &lt;input type = ""hidden"" name = """" value = ""https : //images-cn.ssl-images-amazon.com/images/I/716l6+VTkyS.png ""class ="" video-slate-img-url ""&gt; &amp; nbsp; corners will not rub in place, but overall are clean a lot, the liberation of the human")</f>
        <v>Good &lt;div id = "video-block-R1LHTUMK9DWLBM" class = "a-section a-spacing-small a-spacing-top-mini video-block"&gt; &lt;/ div&gt; &lt;input type = "hidden" name = "" value = "https://images-cn.ssl-images-amazon.com/images/I/91qMJmlASmS.mp4" class = "video-url"&gt; &lt;input type = "hidden" name = "" value = "https : //images-cn.ssl-images-amazon.com/images/I/716l6+VTkyS.png "class =" video-slate-img-url "&gt; &amp; nbsp; corners will not rub in place, but overall are clean a lot, the liberation of the human</v>
      </c>
    </row>
    <row r="1614">
      <c r="A1614" s="1">
        <v>5.0</v>
      </c>
      <c r="B1614" s="1" t="s">
        <v>1612</v>
      </c>
      <c r="C1614" t="str">
        <f>IFERROR(__xludf.DUMMYFUNCTION("GOOGLETRANSLATE(B1614, ""zh"", ""en"")"),"And Chinese version are different, the Chinese version of the wear 3XL, L are estimated to wear this big purchase in accordance with the Chinese version, complete results can not wear, buy accordance with the normal waist on the right")</f>
        <v>And Chinese version are different, the Chinese version of the wear 3XL, L are estimated to wear this big purchase in accordance with the Chinese version, complete results can not wear, buy accordance with the normal waist on the right</v>
      </c>
    </row>
    <row r="1615">
      <c r="A1615" s="1">
        <v>2.0</v>
      </c>
      <c r="B1615" s="1" t="s">
        <v>1613</v>
      </c>
      <c r="C1615" t="str">
        <f>IFERROR(__xludf.DUMMYFUNCTION("GOOGLETRANSLATE(B1615, ""zh"", ""en"")"),"Feel like a fake is fake, underwear sewing is crooked!")</f>
        <v>Feel like a fake is fake, underwear sewing is crooked!</v>
      </c>
    </row>
    <row r="1616">
      <c r="A1616" s="1">
        <v>3.0</v>
      </c>
      <c r="B1616" s="1" t="s">
        <v>1614</v>
      </c>
      <c r="C1616" t="str">
        <f>IFERROR(__xludf.DUMMYFUNCTION("GOOGLETRANSLATE(B1616, ""zh"", ""en"")"),"This is very cost-effective Amazon silent shoes entirely discrimination high instep ...... 37 yards, long half-length codes, can not get into a flute. Shoes mouth is too small, uncomfortable pressure instep pressure, not quite that good, good-looking is g"&amp;"ood looking, very cheap to buy Amazon")</f>
        <v>This is very cost-effective Amazon silent shoes entirely discrimination high instep ...... 37 yards, long half-length codes, can not get into a flute. Shoes mouth is too small, uncomfortable pressure instep pressure, not quite that good, good-looking is good looking, very cheap to buy Amazon</v>
      </c>
    </row>
    <row r="1617">
      <c r="A1617" s="1">
        <v>3.0</v>
      </c>
      <c r="B1617" s="1" t="s">
        <v>1615</v>
      </c>
      <c r="C1617" t="str">
        <f>IFERROR(__xludf.DUMMYFUNCTION("GOOGLETRANSLATE(B1617, ""zh"", ""en"")"),"Overall OK leather, small scratches, the overall situation also, the old wearing this brand, very comfortable shoes or")</f>
        <v>Overall OK leather, small scratches, the overall situation also, the old wearing this brand, very comfortable shoes or</v>
      </c>
    </row>
    <row r="1618">
      <c r="A1618" s="1">
        <v>3.0</v>
      </c>
      <c r="B1618" s="1" t="s">
        <v>1616</v>
      </c>
      <c r="C1618" t="str">
        <f>IFERROR(__xludf.DUMMYFUNCTION("GOOGLETRANSLATE(B1618, ""zh"", ""en"")"),"180,75 poor workmanship, wear m, Honduras yield poor workmanship, as to spread the goods.")</f>
        <v>180,75 poor workmanship, wear m, Honduras yield poor workmanship, as to spread the goods.</v>
      </c>
    </row>
    <row r="1619">
      <c r="A1619" s="1">
        <v>1.0</v>
      </c>
      <c r="B1619" s="1" t="s">
        <v>1617</v>
      </c>
      <c r="C1619" t="str">
        <f>IFERROR(__xludf.DUMMYFUNCTION("GOOGLETRANSLATE(B1619, ""zh"", ""en"")"),"Version version too tight too tight ... I am a normal body type")</f>
        <v>Version version too tight too tight ... I am a normal body type</v>
      </c>
    </row>
    <row r="1620">
      <c r="A1620" s="1">
        <v>1.0</v>
      </c>
      <c r="B1620" s="1" t="s">
        <v>1618</v>
      </c>
      <c r="C1620" t="str">
        <f>IFERROR(__xludf.DUMMYFUNCTION("GOOGLETRANSLATE(B1620, ""zh"", ""en"")"),"China says the United States made the bottom of Chinese design and manufacture of China assembled in China, what the hell. Only a few times with the frequent failure, the machine back spin")</f>
        <v>China says the United States made the bottom of Chinese design and manufacture of China assembled in China, what the hell. Only a few times with the frequent failure, the machine back spin</v>
      </c>
    </row>
    <row r="1621">
      <c r="A1621" s="1">
        <v>4.0</v>
      </c>
      <c r="B1621" s="1" t="s">
        <v>1619</v>
      </c>
      <c r="C1621" t="str">
        <f>IFERROR(__xludf.DUMMYFUNCTION("GOOGLETRANSLATE(B1621, ""zh"", ""en"")"),"Size is too large to buy big, quality is also good.")</f>
        <v>Size is too large to buy big, quality is also good.</v>
      </c>
    </row>
    <row r="1622">
      <c r="A1622" s="1">
        <v>4.0</v>
      </c>
      <c r="B1622" s="1" t="s">
        <v>1620</v>
      </c>
      <c r="C1622" t="str">
        <f>IFERROR(__xludf.DUMMYFUNCTION("GOOGLETRANSLATE(B1622, ""zh"", ""en"")"),"Stick blade design is unreasonable, clean vain to do something good, found that there is a problem, head of plastic rod chopper, which can not clean up dirt, dirty, asked Taobao customer service, is said to be designed so , can not be completely cleaned u"&amp;"p. Do to the baby food supplement, feel unsafe. We want others to learn from. Hit the customer service, he has been busy. The black part of the picture. It took a year.")</f>
        <v>Stick blade design is unreasonable, clean vain to do something good, found that there is a problem, head of plastic rod chopper, which can not clean up dirt, dirty, asked Taobao customer service, is said to be designed so , can not be completely cleaned up. Do to the baby food supplement, feel unsafe. We want others to learn from. Hit the customer service, he has been busy. The black part of the picture. It took a year.</v>
      </c>
    </row>
    <row r="1623">
      <c r="A1623" s="1">
        <v>4.0</v>
      </c>
      <c r="B1623" s="1" t="s">
        <v>1621</v>
      </c>
      <c r="C1623" t="str">
        <f>IFERROR(__xludf.DUMMYFUNCTION("GOOGLETRANSLATE(B1623, ""zh"", ""en"")"),"A little thin right size, material a little thin, the price on the case")</f>
        <v>A little thin right size, material a little thin, the price on the case</v>
      </c>
    </row>
    <row r="1624">
      <c r="A1624" s="1">
        <v>4.0</v>
      </c>
      <c r="B1624" s="1" t="s">
        <v>1622</v>
      </c>
      <c r="C1624" t="str">
        <f>IFERROR(__xludf.DUMMYFUNCTION("GOOGLETRANSLATE(B1624, ""zh"", ""en"")"),"More moderate face value of a good pen; plastic pen body strong sense; a good quality pen, writing smooth, evenly spit ink; writing have a dry sense, no hunting like lamy brain slippery, but slightly inferior to the hands of the gold tip Tupper 92 and 800"&amp;" heroes. Binding the ink reservoir of the piston, and a light pen body, the recommended daily.")</f>
        <v>More moderate face value of a good pen; plastic pen body strong sense; a good quality pen, writing smooth, evenly spit ink; writing have a dry sense, no hunting like lamy brain slippery, but slightly inferior to the hands of the gold tip Tupper 92 and 800 heroes. Binding the ink reservoir of the piston, and a light pen body, the recommended daily.</v>
      </c>
    </row>
    <row r="1625">
      <c r="A1625" s="1">
        <v>4.0</v>
      </c>
      <c r="B1625" s="1" t="s">
        <v>1623</v>
      </c>
      <c r="C1625" t="str">
        <f>IFERROR(__xludf.DUMMYFUNCTION("GOOGLETRANSLATE(B1625, ""zh"", ""en"")"),"Dress was too big, please note. Clothes very good, if not too large, I liked the. My height is 171 cm, to buy the S number, bodice, the sleeves are too long.")</f>
        <v>Dress was too big, please note. Clothes very good, if not too large, I liked the. My height is 171 cm, to buy the S number, bodice, the sleeves are too long.</v>
      </c>
    </row>
    <row r="1626">
      <c r="A1626" s="1">
        <v>5.0</v>
      </c>
      <c r="B1626" s="1" t="s">
        <v>1624</v>
      </c>
      <c r="C1626" t="str">
        <f>IFERROR(__xludf.DUMMYFUNCTION("GOOGLETRANSLATE(B1626, ""zh"", ""en"")"),"Summer essential summer essential, not a trace")</f>
        <v>Summer essential summer essential, not a trace</v>
      </c>
    </row>
    <row r="1627">
      <c r="A1627" s="1">
        <v>5.0</v>
      </c>
      <c r="B1627" s="1" t="s">
        <v>1625</v>
      </c>
      <c r="C1627" t="str">
        <f>IFERROR(__xludf.DUMMYFUNCTION("GOOGLETRANSLATE(B1627, ""zh"", ""en"")"),"5 to start off, cost is particularly high. New live old houses, especially small water pressure, water heater Haier is the original gift of showers. Originally water is not large, coupled with the scale vintage bathing water did not feel it. Simply to a l"&amp;"arge new ones, into the shower showers 120 plus 3M filter out the effect of a sudden. By the way, remember not to install a small hydraulic cut nets. In fact, I feel the problem is the scale block, and this should buy just want to chop hands down ... 🤣")</f>
        <v>5 to start off, cost is particularly high. New live old houses, especially small water pressure, water heater Haier is the original gift of showers. Originally water is not large, coupled with the scale vintage bathing water did not feel it. Simply to a large new ones, into the shower showers 120 plus 3M filter out the effect of a sudden. By the way, remember not to install a small hydraulic cut nets. In fact, I feel the problem is the scale block, and this should buy just want to chop hands down ... 🤣</v>
      </c>
    </row>
    <row r="1628">
      <c r="A1628" s="1">
        <v>5.0</v>
      </c>
      <c r="B1628" s="1" t="s">
        <v>1626</v>
      </c>
      <c r="C1628" t="str">
        <f>IFERROR(__xludf.DUMMYFUNCTION("GOOGLETRANSLATE(B1628, ""zh"", ""en"")"),"Girls achieve the psychological expectations and folk music performed better, I hope over time to a higher level, not deliberately burn, books Direct Push, decoder and amp are in DIY")</f>
        <v>Girls achieve the psychological expectations and folk music performed better, I hope over time to a higher level, not deliberately burn, books Direct Push, decoder and amp are in DIY</v>
      </c>
    </row>
    <row r="1629">
      <c r="A1629" s="1">
        <v>5.0</v>
      </c>
      <c r="B1629" s="1" t="s">
        <v>1627</v>
      </c>
      <c r="C1629" t="str">
        <f>IFERROR(__xludf.DUMMYFUNCTION("GOOGLETRANSLATE(B1629, ""zh"", ""en"")"),"Praise the quality of a good size just right.")</f>
        <v>Praise the quality of a good size just right.</v>
      </c>
    </row>
    <row r="1630">
      <c r="A1630" s="1">
        <v>5.0</v>
      </c>
      <c r="B1630" s="1" t="s">
        <v>1628</v>
      </c>
      <c r="C1630" t="str">
        <f>IFERROR(__xludf.DUMMYFUNCTION("GOOGLETRANSLATE(B1630, ""zh"", ""en"")"),"Particularly easy to use, it is worth starting. Clean teeth very clean, just after the beginning of the gear with a low gear can adapt, little bleeding; Flush after a bit of dry mouth, may be appropriate to supplement drinking water. Products equipped wit"&amp;"h punches 4, but basically only one; very human charging, charging head can be attached to the fuselage. If you carry travel, or slightly larger than the slightly heavier points. A few months down the greatest feeling is that for so many years before whit"&amp;"e teeth are brushed, this thing you deserve!")</f>
        <v>Particularly easy to use, it is worth starting. Clean teeth very clean, just after the beginning of the gear with a low gear can adapt, little bleeding; Flush after a bit of dry mouth, may be appropriate to supplement drinking water. Products equipped with punches 4, but basically only one; very human charging, charging head can be attached to the fuselage. If you carry travel, or slightly larger than the slightly heavier points. A few months down the greatest feeling is that for so many years before white teeth are brushed, this thing you deserve!</v>
      </c>
    </row>
    <row r="1631">
      <c r="A1631" s="1">
        <v>5.0</v>
      </c>
      <c r="B1631" s="1" t="s">
        <v>1629</v>
      </c>
      <c r="C1631" t="str">
        <f>IFERROR(__xludf.DUMMYFUNCTION("GOOGLETRANSLATE(B1631, ""zh"", ""en"")"),"Comfortable, worth starting comfortable to wear may be running, but Yue Chuanyue comfortable, and now want to start with a pair, I do not know how long have the goods")</f>
        <v>Comfortable, worth starting comfortable to wear may be running, but Yue Chuanyue comfortable, and now want to start with a pair, I do not know how long have the goods</v>
      </c>
    </row>
    <row r="1632">
      <c r="A1632" s="1">
        <v>5.0</v>
      </c>
      <c r="B1632" s="1" t="s">
        <v>1630</v>
      </c>
      <c r="C1632" t="str">
        <f>IFERROR(__xludf.DUMMYFUNCTION("GOOGLETRANSLATE(B1632, ""zh"", ""en"")"),"This improvement in constipation than that to facilitate brewing, suitable for baby's ability to chew.")</f>
        <v>This improvement in constipation than that to facilitate brewing, suitable for baby's ability to chew.</v>
      </c>
    </row>
    <row r="1633">
      <c r="A1633" s="1">
        <v>5.0</v>
      </c>
      <c r="B1633" s="1" t="s">
        <v>1631</v>
      </c>
      <c r="C1633" t="str">
        <f>IFERROR(__xludf.DUMMYFUNCTION("GOOGLETRANSLATE(B1633, ""zh"", ""en"")"),"Good strong elastic wrap, wrap and strong. I 1.68 m, weight 130 pounds, wearing just!")</f>
        <v>Good strong elastic wrap, wrap and strong. I 1.68 m, weight 130 pounds, wearing just!</v>
      </c>
    </row>
    <row r="1634">
      <c r="A1634" s="1">
        <v>5.0</v>
      </c>
      <c r="B1634" s="1" t="s">
        <v>1632</v>
      </c>
      <c r="C1634" t="str">
        <f>IFERROR(__xludf.DUMMYFUNCTION("GOOGLETRANSLATE(B1634, ""zh"", ""en"")"),"Worth having very good set of headphones, noise reduction function is also very good!")</f>
        <v>Worth having very good set of headphones, noise reduction function is also very good!</v>
      </c>
    </row>
    <row r="1635">
      <c r="A1635" s="1">
        <v>5.0</v>
      </c>
      <c r="B1635" s="1" t="s">
        <v>1633</v>
      </c>
      <c r="C1635" t="str">
        <f>IFERROR(__xludf.DUMMYFUNCTION("GOOGLETRANSLATE(B1635, ""zh"", ""en"")"),"Indeed the king of the pen nib is very smooth, very good ink spiral! That is not blocked when writing ink")</f>
        <v>Indeed the king of the pen nib is very smooth, very good ink spiral! That is not blocked when writing ink</v>
      </c>
    </row>
    <row r="1636">
      <c r="A1636" s="1">
        <v>5.0</v>
      </c>
      <c r="B1636" s="1" t="s">
        <v>1634</v>
      </c>
      <c r="C1636" t="str">
        <f>IFERROR(__xludf.DUMMYFUNCTION("GOOGLETRANSLATE(B1636, ""zh"", ""en"")"),"Good shoes these shoes very good, cheaper than half of the country to buy, wear very bottom of Oxford, is to wear a long time will be deformed, possibly because of too much foot")</f>
        <v>Good shoes these shoes very good, cheaper than half of the country to buy, wear very bottom of Oxford, is to wear a long time will be deformed, possibly because of too much foot</v>
      </c>
    </row>
    <row r="1637">
      <c r="A1637" s="1">
        <v>5.0</v>
      </c>
      <c r="B1637" s="1" t="s">
        <v>1635</v>
      </c>
      <c r="C1637" t="str">
        <f>IFERROR(__xludf.DUMMYFUNCTION("GOOGLETRANSLATE(B1637, ""zh"", ""en"")"),"The first double ecco good, very light and very comfortable, uk7 670 to start, but also a little explanation, scouring the sea before their music uk7 is eu41, this ecco uk7 corresponding eu40, almost small")</f>
        <v>The first double ecco good, very light and very comfortable, uk7 670 to start, but also a little explanation, scouring the sea before their music uk7 is eu41, this ecco uk7 corresponding eu40, almost small</v>
      </c>
    </row>
    <row r="1638">
      <c r="A1638" s="1">
        <v>5.0</v>
      </c>
      <c r="B1638" s="1" t="s">
        <v>1636</v>
      </c>
      <c r="C1638" t="str">
        <f>IFERROR(__xludf.DUMMYFUNCTION("GOOGLETRANSLATE(B1638, ""zh"", ""en"")"),"Normal size of the usual 38, to buy this pair of uk5 just, just the right size")</f>
        <v>Normal size of the usual 38, to buy this pair of uk5 just, just the right size</v>
      </c>
    </row>
    <row r="1639">
      <c r="A1639" s="1">
        <v>5.0</v>
      </c>
      <c r="B1639" s="1" t="s">
        <v>1637</v>
      </c>
      <c r="C1639" t="str">
        <f>IFERROR(__xludf.DUMMYFUNCTION("GOOGLETRANSLATE(B1639, ""zh"", ""en"")"),"Worth the shot. Very good ten days arrive, I'm in great beauty of Xinjiang. Advantages: 1, quiet, high-speed. 2, although the sea Amoy, but cost-effective, quality is guaranteed. Cons: The new discwizp software is not easy to get started, wondering for th"&amp;"ree days to get partition. Who abandon the XP system and hold it!")</f>
        <v>Worth the shot. Very good ten days arrive, I'm in great beauty of Xinjiang. Advantages: 1, quiet, high-speed. 2, although the sea Amoy, but cost-effective, quality is guaranteed. Cons: The new discwizp software is not easy to get started, wondering for three days to get partition. Who abandon the XP system and hold it!</v>
      </c>
    </row>
    <row r="1640">
      <c r="A1640" s="1">
        <v>5.0</v>
      </c>
      <c r="B1640" s="1" t="s">
        <v>1638</v>
      </c>
      <c r="C1640" t="str">
        <f>IFERROR(__xludf.DUMMYFUNCTION("GOOGLETRANSLATE(B1640, ""zh"", ""en"")"),"This is a very good buy pants have been a pair of jeans, a good version, was thin, like")</f>
        <v>This is a very good buy pants have been a pair of jeans, a good version, was thin, like</v>
      </c>
    </row>
    <row r="1641">
      <c r="A1641" s="1">
        <v>5.0</v>
      </c>
      <c r="B1641" s="1" t="s">
        <v>1639</v>
      </c>
      <c r="C1641" t="str">
        <f>IFERROR(__xludf.DUMMYFUNCTION("GOOGLETRANSLATE(B1641, ""zh"", ""en"")"),"A high quality headset! After listening to more than 100 hours of fast, buy amp still on the road, only 300 open files Euro Tiger card to listen, first of all resolve is high indeed, but did not reach beyond the level of around four iron-ear earplugs, as "&amp;"the move circle, has been very good, the sense of hearing indeed, as most people have said, a little straightforward, after all, is listening, this can not be considered disadvantage bought is listening headphones. And then there are musical background so"&amp;"und feeling a little big, sometimes feel overshadowed by the human voice, and a little overwhelming feeling of, arguably, should be prominent human voice-based ah, there may be on the amp to be a good point of it. Then a little, those who wear glasses if "&amp;"you want to listen to wearing glasses, ears a bit uncomfortable, wearing the estimated have this wrong right, the other is still relatively satisfied!")</f>
        <v>A high quality headset! After listening to more than 100 hours of fast, buy amp still on the road, only 300 open files Euro Tiger card to listen, first of all resolve is high indeed, but did not reach beyond the level of around four iron-ear earplugs, as the move circle, has been very good, the sense of hearing indeed, as most people have said, a little straightforward, after all, is listening, this can not be considered disadvantage bought is listening headphones. And then there are musical background sound feeling a little big, sometimes feel overshadowed by the human voice, and a little overwhelming feeling of, arguably, should be prominent human voice-based ah, there may be on the amp to be a good point of it. Then a little, those who wear glasses if you want to listen to wearing glasses, ears a bit uncomfortable, wearing the estimated have this wrong right, the other is still relatively satisfied!</v>
      </c>
    </row>
    <row r="1642">
      <c r="A1642" s="1">
        <v>5.0</v>
      </c>
      <c r="B1642" s="1" t="s">
        <v>1640</v>
      </c>
      <c r="C1642" t="str">
        <f>IFERROR(__xludf.DUMMYFUNCTION("GOOGLETRANSLATE(B1642, ""zh"", ""en"")"),"Art supplies very good Mexican origin")</f>
        <v>Art supplies very good Mexican origin</v>
      </c>
    </row>
    <row r="1643">
      <c r="A1643" s="1">
        <v>5.0</v>
      </c>
      <c r="B1643" s="1" t="s">
        <v>1641</v>
      </c>
      <c r="C1643" t="str">
        <f>IFERROR(__xludf.DUMMYFUNCTION("GOOGLETRANSLATE(B1643, ""zh"", ""en"")"),"Value used to listen to vinyl, catch up with really special value, bought two did not expect were the courier, to start one, buy the wrong thought")</f>
        <v>Value used to listen to vinyl, catch up with really special value, bought two did not expect were the courier, to start one, buy the wrong thought</v>
      </c>
    </row>
    <row r="1644">
      <c r="A1644" s="1">
        <v>5.0</v>
      </c>
      <c r="B1644" s="1" t="s">
        <v>1642</v>
      </c>
      <c r="C1644" t="str">
        <f>IFERROR(__xludf.DUMMYFUNCTION("GOOGLETRANSLATE(B1644, ""zh"", ""en"")"),"In addition to excellent volume a little big, the rest are good.")</f>
        <v>In addition to excellent volume a little big, the rest are good.</v>
      </c>
    </row>
    <row r="1645">
      <c r="A1645" s="1">
        <v>5.0</v>
      </c>
      <c r="B1645" s="1" t="s">
        <v>1643</v>
      </c>
      <c r="C1645" t="str">
        <f>IFERROR(__xludf.DUMMYFUNCTION("GOOGLETRANSLATE(B1645, ""zh"", ""en"")"),"Like packaging appearance (delivery tray) looks good, but there is only a very empty damping crumpled paper, which sent sloshing badly. In addition ghd box no plastic wrap or seal Han, and can be opened directly so I do not know someone or be torn out, gh"&amp;"d black box surface is not particularly new, but scuffed corners intact no bump. Deliberately chose German direct mail, domestic socket can be used directly, very convenient. Is platinum plus version, try a bit, no problem. Overall satisfaction, but no pl"&amp;"astic boxes sealed, others could be opened was a little awkward, or give five-star")</f>
        <v>Like packaging appearance (delivery tray) looks good, but there is only a very empty damping crumpled paper, which sent sloshing badly. In addition ghd box no plastic wrap or seal Han, and can be opened directly so I do not know someone or be torn out, ghd black box surface is not particularly new, but scuffed corners intact no bump. Deliberately chose German direct mail, domestic socket can be used directly, very convenient. Is platinum plus version, try a bit, no problem. Overall satisfaction, but no plastic boxes sealed, others could be opened was a little awkward, or give five-star</v>
      </c>
    </row>
    <row r="1646">
      <c r="A1646" s="1">
        <v>5.0</v>
      </c>
      <c r="B1646" s="1" t="s">
        <v>1644</v>
      </c>
      <c r="C1646" t="str">
        <f>IFERROR(__xludf.DUMMYFUNCTION("GOOGLETRANSLATE(B1646, ""zh"", ""en"")"),"Fit height 178 weight 170 L No. buy, possible! ! !")</f>
        <v>Fit height 178 weight 170 L No. buy, possible! ! !</v>
      </c>
    </row>
    <row r="1647">
      <c r="A1647" s="1">
        <v>5.0</v>
      </c>
      <c r="B1647" s="1" t="s">
        <v>1645</v>
      </c>
      <c r="C1647" t="str">
        <f>IFERROR(__xludf.DUMMYFUNCTION("GOOGLETRANSLATE(B1647, ""zh"", ""en"")"),"T-shirt clothes, some large, good quality. Shipping Soon")</f>
        <v>T-shirt clothes, some large, good quality. Shipping Soon</v>
      </c>
    </row>
    <row r="1648">
      <c r="A1648" s="1">
        <v>2.0</v>
      </c>
      <c r="B1648" s="1" t="s">
        <v>1646</v>
      </c>
      <c r="C1648" t="str">
        <f>IFERROR(__xludf.DUMMYFUNCTION("GOOGLETRANSLATE(B1648, ""zh"", ""en"")"),"Three a day to eat, too much. Three a day to eat, too much. Also a little gastrointestinal irritation. The effect okay. Hoping to make better, eat a day. Not to intestines and stomach irritation.")</f>
        <v>Three a day to eat, too much. Three a day to eat, too much. Also a little gastrointestinal irritation. The effect okay. Hoping to make better, eat a day. Not to intestines and stomach irritation.</v>
      </c>
    </row>
    <row r="1649">
      <c r="A1649" s="1">
        <v>3.0</v>
      </c>
      <c r="B1649" s="1" t="s">
        <v>1647</v>
      </c>
      <c r="C1649" t="str">
        <f>IFERROR(__xludf.DUMMYFUNCTION("GOOGLETRANSLATE(B1649, ""zh"", ""en"")"),"Sports shoes to wear slightly larger 40.5 permeability temporary general feeling overpaid ¥ 490 purchase of personal preference what aspect did not feel good to see")</f>
        <v>Sports shoes to wear slightly larger 40.5 permeability temporary general feeling overpaid ¥ 490 purchase of personal preference what aspect did not feel good to see</v>
      </c>
    </row>
    <row r="1650">
      <c r="A1650" s="1">
        <v>3.0</v>
      </c>
      <c r="B1650" s="1" t="s">
        <v>1648</v>
      </c>
      <c r="C1650" t="str">
        <f>IFERROR(__xludf.DUMMYFUNCTION("GOOGLETRANSLATE(B1650, ""zh"", ""en"")"),"Something good is nice, but look at the tag guess not genuine.")</f>
        <v>Something good is nice, but look at the tag guess not genuine.</v>
      </c>
    </row>
    <row r="1651">
      <c r="A1651" s="1">
        <v>1.0</v>
      </c>
      <c r="B1651" s="1" t="s">
        <v>1649</v>
      </c>
      <c r="C1651" t="str">
        <f>IFERROR(__xludf.DUMMYFUNCTION("GOOGLETRANSLATE(B1651, ""zh"", ""en"")"),"Sea Amoy sale of electronic products after a high risk of failure can not be purchased Seagate hard drive warranty in the country. Seagate, China does not provide turn security services, security Amazon month. Purchase need to be cautious.")</f>
        <v>Sea Amoy sale of electronic products after a high risk of failure can not be purchased Seagate hard drive warranty in the country. Seagate, China does not provide turn security services, security Amazon month. Purchase need to be cautious.</v>
      </c>
    </row>
    <row r="1652">
      <c r="A1652" s="1">
        <v>1.0</v>
      </c>
      <c r="B1652" s="1" t="s">
        <v>1650</v>
      </c>
      <c r="C1652" t="str">
        <f>IFERROR(__xludf.DUMMYFUNCTION("GOOGLETRANSLATE(B1652, ""zh"", ""en"")"),"Get our hands on first impressions, coarse fiber, slightly thick. Worn, too large, rough uncomfortable, and spread the goods no difference.")</f>
        <v>Get our hands on first impressions, coarse fiber, slightly thick. Worn, too large, rough uncomfortable, and spread the goods no difference.</v>
      </c>
    </row>
    <row r="1653">
      <c r="A1653" s="1">
        <v>1.0</v>
      </c>
      <c r="B1653" s="1" t="s">
        <v>1651</v>
      </c>
      <c r="C1653" t="str">
        <f>IFERROR(__xludf.DUMMYFUNCTION("GOOGLETRANSLATE(B1653, ""zh"", ""en"")"),"Clothes good bad customer service very good clothes that stars to Amazon's customer service is very poor")</f>
        <v>Clothes good bad customer service very good clothes that stars to Amazon's customer service is very poor</v>
      </c>
    </row>
    <row r="1654">
      <c r="A1654" s="1">
        <v>4.0</v>
      </c>
      <c r="B1654" s="1" t="s">
        <v>1652</v>
      </c>
      <c r="C1654" t="str">
        <f>IFERROR(__xludf.DUMMYFUNCTION("GOOGLETRANSLATE(B1654, ""zh"", ""en"")"),"Overall still can. Box design is not very satisfactory, partial too big. Sound quality, sound, and other parsing is not talked about, there are many consumers it has been described. I would say that this pair of speakers seem to be opened, or behind the m"&amp;"outh screw bright, there are signs of wear. If it is returned after the demolition of the consumer, and that is the scum. I open the packaging are cautious for fear of problems we need to return, to smash things up on the bad. If it is official, as if una"&amp;"ble to find the reason. But did not recognize what the problem ...... I want to see what little there or changed anything, not removed, it will not split, but some worry. First listen to it, it is not only a replacement of the ......")</f>
        <v>Overall still can. Box design is not very satisfactory, partial too big. Sound quality, sound, and other parsing is not talked about, there are many consumers it has been described. I would say that this pair of speakers seem to be opened, or behind the mouth screw bright, there are signs of wear. If it is returned after the demolition of the consumer, and that is the scum. I open the packaging are cautious for fear of problems we need to return, to smash things up on the bad. If it is official, as if unable to find the reason. But did not recognize what the problem ...... I want to see what little there or changed anything, not removed, it will not split, but some worry. First listen to it, it is not only a replacement of the ......</v>
      </c>
    </row>
    <row r="1655">
      <c r="A1655" s="1">
        <v>4.0</v>
      </c>
      <c r="B1655" s="1" t="s">
        <v>1653</v>
      </c>
      <c r="C1655" t="str">
        <f>IFERROR(__xludf.DUMMYFUNCTION("GOOGLETRANSLATE(B1655, ""zh"", ""en"")"),"Very appropriate super fit, feel more Western style than the color black")</f>
        <v>Very appropriate super fit, feel more Western style than the color black</v>
      </c>
    </row>
    <row r="1656">
      <c r="A1656" s="1">
        <v>4.0</v>
      </c>
      <c r="B1656" s="1" t="s">
        <v>1654</v>
      </c>
      <c r="C1656" t="str">
        <f>IFERROR(__xludf.DUMMYFUNCTION("GOOGLETRANSLATE(B1656, ""zh"", ""en"")"),"Version is too large clothes are good, but the version code and the number is too large. I 90kg, 1.75m, were heavier, I usually wear XL, this dress is selected L or large, and rather long partial fat, tall 175 M should be selected appropriate.")</f>
        <v>Version is too large clothes are good, but the version code and the number is too large. I 90kg, 1.75m, were heavier, I usually wear XL, this dress is selected L or large, and rather long partial fat, tall 175 M should be selected appropriate.</v>
      </c>
    </row>
    <row r="1657">
      <c r="A1657" s="1">
        <v>4.0</v>
      </c>
      <c r="B1657" s="1" t="s">
        <v>1655</v>
      </c>
      <c r="C1657" t="str">
        <f>IFERROR(__xludf.DUMMYFUNCTION("GOOGLETRANSLATE(B1657, ""zh"", ""en"")"),"Leather, leather products of high quality, very strong, quality is not lost big!")</f>
        <v>Leather, leather products of high quality, very strong, quality is not lost big!</v>
      </c>
    </row>
    <row r="1658">
      <c r="A1658" s="1">
        <v>5.0</v>
      </c>
      <c r="B1658" s="1" t="s">
        <v>1656</v>
      </c>
      <c r="C1658" t="str">
        <f>IFERROR(__xludf.DUMMYFUNCTION("GOOGLETRANSLATE(B1658, ""zh"", ""en"")"),"Good packaging is not damaged, something very good. Been eating")</f>
        <v>Good packaging is not damaged, something very good. Been eating</v>
      </c>
    </row>
    <row r="1659">
      <c r="A1659" s="1">
        <v>5.0</v>
      </c>
      <c r="B1659" s="1" t="s">
        <v>1657</v>
      </c>
      <c r="C1659" t="str">
        <f>IFERROR(__xludf.DUMMYFUNCTION("GOOGLETRANSLATE(B1659, ""zh"", ""en"")"),"More value than 120 a genuine, feeling very value of. Work okay, worthy of the price - in general as saying A goods are more than this price.")</f>
        <v>More value than 120 a genuine, feeling very value of. Work okay, worthy of the price - in general as saying A goods are more than this price.</v>
      </c>
    </row>
    <row r="1660">
      <c r="A1660" s="1">
        <v>5.0</v>
      </c>
      <c r="B1660" s="1" t="s">
        <v>1658</v>
      </c>
      <c r="C1660" t="str">
        <f>IFERROR(__xludf.DUMMYFUNCTION("GOOGLETRANSLATE(B1660, ""zh"", ""en"")"),"Dema Dema powder has been buying clothes. Excellent scouring overseas is still very good, but also cheaper than the sea Amoy. Very good shoes to wear, NB and AD usually wear 42.5. Dema buy 43, wearing appropriate, encapsulated good. . . There is a price t"&amp;"oo beautiful.")</f>
        <v>Dema Dema powder has been buying clothes. Excellent scouring overseas is still very good, but also cheaper than the sea Amoy. Very good shoes to wear, NB and AD usually wear 42.5. Dema buy 43, wearing appropriate, encapsulated good. . . There is a price too beautiful.</v>
      </c>
    </row>
    <row r="1661">
      <c r="A1661" s="1">
        <v>5.0</v>
      </c>
      <c r="B1661" s="1" t="s">
        <v>1659</v>
      </c>
      <c r="C1661" t="str">
        <f>IFERROR(__xludf.DUMMYFUNCTION("GOOGLETRANSLATE(B1661, ""zh"", ""en"")"),"Never go to a good evaluation before, which I bought several pieces of this brand of clothes, and very good. Not from the previous evaluation, I do not know how many wasted points, points can change money now know, they should look carefully evaluated, th"&amp;"en I put these words to copy to go, both to earn points, but also save trouble, they go where copy the most important thing is, do not seriously review, do not think how much worse word, sent directly to it, recommend it to everyone!")</f>
        <v>Never go to a good evaluation before, which I bought several pieces of this brand of clothes, and very good. Not from the previous evaluation, I do not know how many wasted points, points can change money now know, they should look carefully evaluated, then I put these words to copy to go, both to earn points, but also save trouble, they go where copy the most important thing is, do not seriously review, do not think how much worse word, sent directly to it, recommend it to everyone!</v>
      </c>
    </row>
    <row r="1662">
      <c r="A1662" s="1">
        <v>5.0</v>
      </c>
      <c r="B1662" s="1" t="s">
        <v>1660</v>
      </c>
      <c r="C1662" t="str">
        <f>IFERROR(__xludf.DUMMYFUNCTION("GOOGLETRANSLATE(B1662, ""zh"", ""en"")"),"Little big a little big, but also more suitable as a low rise")</f>
        <v>Little big a little big, but also more suitable as a low rise</v>
      </c>
    </row>
    <row r="1663">
      <c r="A1663" s="1">
        <v>5.0</v>
      </c>
      <c r="B1663" s="1" t="s">
        <v>1661</v>
      </c>
      <c r="C1663" t="str">
        <f>IFERROR(__xludf.DUMMYFUNCTION("GOOGLETRANSLATE(B1663, ""zh"", ""en"")"),"Amazon sent the United States cost-effective, almost ten days now, and I asked my friend from South Korea with the same key also cheaper than that, very good.")</f>
        <v>Amazon sent the United States cost-effective, almost ten days now, and I asked my friend from South Korea with the same key also cheaper than that, very good.</v>
      </c>
    </row>
    <row r="1664">
      <c r="A1664" s="1">
        <v>5.0</v>
      </c>
      <c r="B1664" s="1" t="s">
        <v>1662</v>
      </c>
      <c r="C1664" t="str">
        <f>IFERROR(__xludf.DUMMYFUNCTION("GOOGLETRANSLATE(B1664, ""zh"", ""en"")"),"Feel good in the hand feels pretty good, and then use it to recover comment")</f>
        <v>Feel good in the hand feels pretty good, and then use it to recover comment</v>
      </c>
    </row>
    <row r="1665">
      <c r="A1665" s="1">
        <v>5.0</v>
      </c>
      <c r="B1665" s="1" t="s">
        <v>1663</v>
      </c>
      <c r="C1665" t="str">
        <f>IFERROR(__xludf.DUMMYFUNCTION("GOOGLETRANSLATE(B1665, ""zh"", ""en"")"),"174,136 Japanese version l wear appropriate. Japanese version of the champion Bimei version number to fit, comfortable, good upper body")</f>
        <v>174,136 Japanese version l wear appropriate. Japanese version of the champion Bimei version number to fit, comfortable, good upper body</v>
      </c>
    </row>
    <row r="1666">
      <c r="A1666" s="1">
        <v>5.0</v>
      </c>
      <c r="B1666" s="1" t="s">
        <v>1664</v>
      </c>
      <c r="C1666" t="str">
        <f>IFERROR(__xludf.DUMMYFUNCTION("GOOGLETRANSLATE(B1666, ""zh"", ""en"")"),"A second change Tyrant bitch Daikin Daikin ah ah bitch a second change Tyrant")</f>
        <v>A second change Tyrant bitch Daikin Daikin ah ah bitch a second change Tyrant</v>
      </c>
    </row>
    <row r="1667">
      <c r="A1667" s="1">
        <v>5.0</v>
      </c>
      <c r="B1667" s="1" t="s">
        <v>1665</v>
      </c>
      <c r="C1667" t="str">
        <f>IFERROR(__xludf.DUMMYFUNCTION("GOOGLETRANSLATE(B1667, ""zh"", ""en"")"),"Wearing a pretty good like this relatively simple design, and Germany Braun quality or trustworthy. Table is also thin, wear very appropriate.")</f>
        <v>Wearing a pretty good like this relatively simple design, and Germany Braun quality or trustworthy. Table is also thin, wear very appropriate.</v>
      </c>
    </row>
    <row r="1668">
      <c r="A1668" s="1">
        <v>5.0</v>
      </c>
      <c r="B1668" s="1" t="s">
        <v>1666</v>
      </c>
      <c r="C1668" t="str">
        <f>IFERROR(__xludf.DUMMYFUNCTION("GOOGLETRANSLATE(B1668, ""zh"", ""en"")"),"Pot quality is very good, is the size of the pot with a lid great trouble very slippery, family size of four appropriate. Red dot on the technology used every day to see signs can put the dishwasher. 28mm refers to the outer edge of the pot is, in fact, o"&amp;"nly about 27 along the inside, because the first wife without a cover, he bought a 28mm cap is not very fit, generally within the domestic pot along the 28mm")</f>
        <v>Pot quality is very good, is the size of the pot with a lid great trouble very slippery, family size of four appropriate. Red dot on the technology used every day to see signs can put the dishwasher. 28mm refers to the outer edge of the pot is, in fact, only about 27 along the inside, because the first wife without a cover, he bought a 28mm cap is not very fit, generally within the domestic pot along the 28mm</v>
      </c>
    </row>
    <row r="1669">
      <c r="A1669" s="1">
        <v>5.0</v>
      </c>
      <c r="B1669" s="1" t="s">
        <v>1667</v>
      </c>
      <c r="C1669" t="str">
        <f>IFERROR(__xludf.DUMMYFUNCTION("GOOGLETRANSLATE(B1669, ""zh"", ""en"")"),"Abdomen abdomen can effect good results, good quality. Black is the piece slightly faded")</f>
        <v>Abdomen abdomen can effect good results, good quality. Black is the piece slightly faded</v>
      </c>
    </row>
    <row r="1670">
      <c r="A1670" s="1">
        <v>5.0</v>
      </c>
      <c r="B1670" s="1" t="s">
        <v>1668</v>
      </c>
      <c r="C1670" t="str">
        <f>IFERROR(__xludf.DUMMYFUNCTION("GOOGLETRANSLATE(B1670, ""zh"", ""en"")"),"Handsome pair of shoes to wear very comfortable, very appropriate to wear 254 feet long. The price is very affordable")</f>
        <v>Handsome pair of shoes to wear very comfortable, very appropriate to wear 254 feet long. The price is very affordable</v>
      </c>
    </row>
    <row r="1671">
      <c r="A1671" s="1">
        <v>5.0</v>
      </c>
      <c r="B1671" s="1" t="s">
        <v>1669</v>
      </c>
      <c r="C1671" t="str">
        <f>IFERROR(__xludf.DUMMYFUNCTION("GOOGLETRANSLATE(B1671, ""zh"", ""en"")"),"Imported authentic quality is very practical")</f>
        <v>Imported authentic quality is very practical</v>
      </c>
    </row>
    <row r="1672">
      <c r="A1672" s="1">
        <v>5.0</v>
      </c>
      <c r="B1672" s="1" t="s">
        <v>1670</v>
      </c>
      <c r="C1672" t="str">
        <f>IFERROR(__xludf.DUMMYFUNCTION("GOOGLETRANSLATE(B1672, ""zh"", ""en"")"),"Amazon shipped from the US fast logistics, eight days into the packaging is very simple, but the goods intact, satisfaction")</f>
        <v>Amazon shipped from the US fast logistics, eight days into the packaging is very simple, but the goods intact, satisfaction</v>
      </c>
    </row>
    <row r="1673">
      <c r="A1673" s="1">
        <v>5.0</v>
      </c>
      <c r="B1673" s="1" t="s">
        <v>1671</v>
      </c>
      <c r="C1673" t="str">
        <f>IFERROR(__xludf.DUMMYFUNCTION("GOOGLETRANSLATE(B1673, ""zh"", ""en"")"),"Ugly but extremely comfortable bra just get our hands a little disappointed: only a thin layer of terrifying, especially material savings, I thought the Japanese stingy it. And other wear body was found, less material is breathable for comfort, no edge se"&amp;"am so there is no pressure, really like wearing comfortable, like, oh no, even more comfortable than wearing, because there was a gentle wrapped feeling. Do not take a snap as long as the position is too loose in some tight, breast shape is good. For the "&amp;"sake of comfortable and healthy, we decided to replace all of this without steel ring after the.")</f>
        <v>Ugly but extremely comfortable bra just get our hands a little disappointed: only a thin layer of terrifying, especially material savings, I thought the Japanese stingy it. And other wear body was found, less material is breathable for comfort, no edge seam so there is no pressure, really like wearing comfortable, like, oh no, even more comfortable than wearing, because there was a gentle wrapped feeling. Do not take a snap as long as the position is too loose in some tight, breast shape is good. For the sake of comfortable and healthy, we decided to replace all of this without steel ring after the.</v>
      </c>
    </row>
    <row r="1674">
      <c r="A1674" s="1">
        <v>5.0</v>
      </c>
      <c r="B1674" s="1" t="s">
        <v>1672</v>
      </c>
      <c r="C1674" t="str">
        <f>IFERROR(__xludf.DUMMYFUNCTION("GOOGLETRANSLATE(B1674, ""zh"", ""en"")"),"Receive radio waves fast, accurate travel time. &lt;Div id = ""video-block-RAVQRR217LTR2"" class = ""a-section a-spacing-small a-spacing-top-mini video-block""&gt; &lt;/ div&gt; &lt;input type = ""hidden"" name = """" value = ""https://images-cn.ssl-images-amazon.com/im"&amp;"ages/I/B1Y68DPHyYS.mp4"" class = ""video-url""&gt; &lt;input type = ""hidden"" name = """" value = ""https: //images-cn.ssl-images-amazon.com/images/I/A1cCkNSQ0xS.png ""class ="" video-slate-img-url ""&gt; &amp; nbsp; practical and useful.")</f>
        <v>Receive radio waves fast, accurate travel time. &lt;Div id = "video-block-RAVQRR217LTR2" class = "a-section a-spacing-small a-spacing-top-mini video-block"&gt; &lt;/ div&gt; &lt;input type = "hidden" name = "" value = "https://images-cn.ssl-images-amazon.com/images/I/B1Y68DPHyYS.mp4" class = "video-url"&gt; &lt;input type = "hidden" name = "" value = "https: //images-cn.ssl-images-amazon.com/images/I/A1cCkNSQ0xS.png "class =" video-slate-img-url "&gt; &amp; nbsp; practical and useful.</v>
      </c>
    </row>
    <row r="1675">
      <c r="A1675" s="1">
        <v>5.0</v>
      </c>
      <c r="B1675" s="1" t="s">
        <v>1673</v>
      </c>
      <c r="C1675" t="str">
        <f>IFERROR(__xludf.DUMMYFUNCTION("GOOGLETRANSLATE(B1675, ""zh"", ""en"")"),"Slightly more expensive, but the quality did not say not at all loose, very good, feeling a little expensive")</f>
        <v>Slightly more expensive, but the quality did not say not at all loose, very good, feeling a little expensive</v>
      </c>
    </row>
    <row r="1676">
      <c r="A1676" s="1">
        <v>5.0</v>
      </c>
      <c r="B1676" s="1" t="s">
        <v>1674</v>
      </c>
      <c r="C1676" t="str">
        <f>IFERROR(__xludf.DUMMYFUNCTION("GOOGLETRANSLATE(B1676, ""zh"", ""en"")"),"First-class shape simple smooth, great feeling to hold a pen")</f>
        <v>First-class shape simple smooth, great feeling to hold a pen</v>
      </c>
    </row>
    <row r="1677">
      <c r="A1677" s="1">
        <v>5.0</v>
      </c>
      <c r="B1677" s="1" t="s">
        <v>1675</v>
      </c>
      <c r="C1677" t="str">
        <f>IFERROR(__xludf.DUMMYFUNCTION("GOOGLETRANSLATE(B1677, ""zh"", ""en"")"),"Easy to use spray is very good, there is a certain supercharging.")</f>
        <v>Easy to use spray is very good, there is a certain supercharging.</v>
      </c>
    </row>
    <row r="1678">
      <c r="A1678" s="1">
        <v>5.0</v>
      </c>
      <c r="B1678" s="1" t="s">
        <v>1676</v>
      </c>
      <c r="C1678" t="str">
        <f>IFERROR(__xludf.DUMMYFUNCTION("GOOGLETRANSLATE(B1678, ""zh"", ""en"")"),"Belt really good, is feeling nervous is not enough, we need to go outside to play their own Yaner")</f>
        <v>Belt really good, is feeling nervous is not enough, we need to go outside to play their own Yaner</v>
      </c>
    </row>
    <row r="1679">
      <c r="A1679" s="1">
        <v>2.0</v>
      </c>
      <c r="B1679" s="1" t="s">
        <v>1677</v>
      </c>
      <c r="C1679" t="str">
        <f>IFERROR(__xludf.DUMMYFUNCTION("GOOGLETRANSLATE(B1679, ""zh"", ""en"")"),"No wear wear has now been broken with a full off-line and broken-hole mass similar suitable Wal Jane")</f>
        <v>No wear wear has now been broken with a full off-line and broken-hole mass similar suitable Wal Jane</v>
      </c>
    </row>
    <row r="1680">
      <c r="A1680" s="1">
        <v>3.0</v>
      </c>
      <c r="B1680" s="1" t="s">
        <v>1678</v>
      </c>
      <c r="C1680" t="str">
        <f>IFERROR(__xludf.DUMMYFUNCTION("GOOGLETRANSLATE(B1680, ""zh"", ""en"")"),"Shrunk soft, very comfortable. Logistics slow for a whole ten days to wash a shrink.")</f>
        <v>Shrunk soft, very comfortable. Logistics slow for a whole ten days to wash a shrink.</v>
      </c>
    </row>
    <row r="1681">
      <c r="A1681" s="1">
        <v>3.0</v>
      </c>
      <c r="B1681" s="1" t="s">
        <v>1679</v>
      </c>
      <c r="C1681" t="str">
        <f>IFERROR(__xludf.DUMMYFUNCTION("GOOGLETRANSLATE(B1681, ""zh"", ""en"")"),"Thin Thin ah, even QiuKu thickness are not.")</f>
        <v>Thin Thin ah, even QiuKu thickness are not.</v>
      </c>
    </row>
    <row r="1682">
      <c r="A1682" s="1">
        <v>3.0</v>
      </c>
      <c r="B1682" s="1" t="s">
        <v>1680</v>
      </c>
      <c r="C1682" t="str">
        <f>IFERROR(__xludf.DUMMYFUNCTION("GOOGLETRANSLATE(B1682, ""zh"", ""en"")"),"Daughter likes a good cup. . . . . . .")</f>
        <v>Daughter likes a good cup. . . . . . .</v>
      </c>
    </row>
    <row r="1683">
      <c r="A1683" s="1">
        <v>1.0</v>
      </c>
      <c r="B1683" s="1" t="s">
        <v>1681</v>
      </c>
      <c r="C1683" t="str">
        <f>IFERROR(__xludf.DUMMYFUNCTION("GOOGLETRANSLATE(B1683, ""zh"", ""en"")"),"Not surprisingly, only to be fake is a fake Parker is also very serious bleeds written neatly do not buy this waste of money")</f>
        <v>Not surprisingly, only to be fake is a fake Parker is also very serious bleeds written neatly do not buy this waste of money</v>
      </c>
    </row>
    <row r="1684">
      <c r="A1684" s="1">
        <v>1.0</v>
      </c>
      <c r="B1684" s="1" t="s">
        <v>1682</v>
      </c>
      <c r="C1684" t="str">
        <f>IFERROR(__xludf.DUMMYFUNCTION("GOOGLETRANSLATE(B1684, ""zh"", ""en"")"),"Poor, poor looks gorgeous, muddy sound quality, too terrible, Marshall hit the face of the brand, and poor!")</f>
        <v>Poor, poor looks gorgeous, muddy sound quality, too terrible, Marshall hit the face of the brand, and poor!</v>
      </c>
    </row>
    <row r="1685">
      <c r="A1685" s="1">
        <v>4.0</v>
      </c>
      <c r="B1685" s="1" t="s">
        <v>1683</v>
      </c>
      <c r="C1685" t="str">
        <f>IFERROR(__xludf.DUMMYFUNCTION("GOOGLETRANSLATE(B1685, ""zh"", ""en"")"),"Also can work better, height 186, weight 210, sleeve length is just right, a little bit big")</f>
        <v>Also can work better, height 186, weight 210, sleeve length is just right, a little bit big</v>
      </c>
    </row>
    <row r="1686">
      <c r="A1686" s="1">
        <v>4.0</v>
      </c>
      <c r="B1686" s="1" t="s">
        <v>1684</v>
      </c>
      <c r="C1686" t="str">
        <f>IFERROR(__xludf.DUMMYFUNCTION("GOOGLETRANSLATE(B1686, ""zh"", ""en"")"),"Wear comfortable to buy S, or appear to be large, especially the hem is too long, it may be the reason I am slim now. Clothes really good, next time you start with a few pieces.")</f>
        <v>Wear comfortable to buy S, or appear to be large, especially the hem is too long, it may be the reason I am slim now. Clothes really good, next time you start with a few pieces.</v>
      </c>
    </row>
    <row r="1687">
      <c r="A1687" s="1">
        <v>4.0</v>
      </c>
      <c r="B1687" s="1" t="s">
        <v>1685</v>
      </c>
      <c r="C1687" t="str">
        <f>IFERROR(__xludf.DUMMYFUNCTION("GOOGLETRANSLATE(B1687, ""zh"", ""en"")"),"Also the version good, waist elastic, yes.")</f>
        <v>Also the version good, waist elastic, yes.</v>
      </c>
    </row>
    <row r="1688">
      <c r="A1688" s="1">
        <v>4.0</v>
      </c>
      <c r="B1688" s="1" t="s">
        <v>1686</v>
      </c>
      <c r="C1688" t="str">
        <f>IFERROR(__xludf.DUMMYFUNCTION("GOOGLETRANSLATE(B1688, ""zh"", ""en"")"),"Well wait a week before the day of the temptation to see the middle of the night, immediately orders, and then the next day to continue to show no goods, this hat ,, see hat size, that would be more shallow. . After receiving very fit, salted fish had int"&amp;"ended to hand out ,,, after the results actually reluctant to, ha ha, into the treasure in a similar cottage the two, a little shallower, and finally return")</f>
        <v>Well wait a week before the day of the temptation to see the middle of the night, immediately orders, and then the next day to continue to show no goods, this hat ,, see hat size, that would be more shallow. . After receiving very fit, salted fish had intended to hand out ,,, after the results actually reluctant to, ha ha, into the treasure in a similar cottage the two, a little shallower, and finally return</v>
      </c>
    </row>
    <row r="1689">
      <c r="A1689" s="1">
        <v>4.0</v>
      </c>
      <c r="B1689" s="1" t="s">
        <v>1687</v>
      </c>
      <c r="C1689" t="str">
        <f>IFERROR(__xludf.DUMMYFUNCTION("GOOGLETRANSLATE(B1689, ""zh"", ""en"")"),"You can buy two, a thickness of a thin")</f>
        <v>You can buy two, a thickness of a thin</v>
      </c>
    </row>
    <row r="1690">
      <c r="A1690" s="1">
        <v>5.0</v>
      </c>
      <c r="B1690" s="1" t="s">
        <v>1688</v>
      </c>
      <c r="C1690" t="str">
        <f>IFERROR(__xludf.DUMMYFUNCTION("GOOGLETRANSLATE(B1690, ""zh"", ""en"")"),"Satisfaction on foot for some time, to sum up. Heavy, really began to wear the ankle, wear thick socks, plus a run-in period Band-Aid spent. New Balance wear 40, bought 7e, the length is just right, but for me too broad a. Tie the laces need, or do not Ge"&amp;"njiao. Now running almost. Wearing normal socks, do not wear the ankle, also Genjiao, and Yue Chuanyue will feel comfortable.")</f>
        <v>Satisfaction on foot for some time, to sum up. Heavy, really began to wear the ankle, wear thick socks, plus a run-in period Band-Aid spent. New Balance wear 40, bought 7e, the length is just right, but for me too broad a. Tie the laces need, or do not Genjiao. Now running almost. Wearing normal socks, do not wear the ankle, also Genjiao, and Yue Chuanyue will feel comfortable.</v>
      </c>
    </row>
    <row r="1691">
      <c r="A1691" s="1">
        <v>5.0</v>
      </c>
      <c r="B1691" s="1" t="s">
        <v>1689</v>
      </c>
      <c r="C1691" t="str">
        <f>IFERROR(__xludf.DUMMYFUNCTION("GOOGLETRANSLATE(B1691, ""zh"", ""en"")"),"Great shoes the right size, delivery fast, fabulous, a lot cheaper than the domestic counter, huh")</f>
        <v>Great shoes the right size, delivery fast, fabulous, a lot cheaper than the domestic counter, huh</v>
      </c>
    </row>
    <row r="1692">
      <c r="A1692" s="1">
        <v>5.0</v>
      </c>
      <c r="B1692" s="1" t="s">
        <v>1690</v>
      </c>
      <c r="C1692" t="str">
        <f>IFERROR(__xludf.DUMMYFUNCTION("GOOGLETRANSLATE(B1692, ""zh"", ""en"")"),"Good hard bristles did not imagine good")</f>
        <v>Good hard bristles did not imagine good</v>
      </c>
    </row>
    <row r="1693">
      <c r="A1693" s="1">
        <v>5.0</v>
      </c>
      <c r="B1693" s="1" t="s">
        <v>1691</v>
      </c>
      <c r="C1693" t="str">
        <f>IFERROR(__xludf.DUMMYFUNCTION("GOOGLETRANSLATE(B1693, ""zh"", ""en"")"),"Good to trust this brand of probiotics, when the Amazon service is good, is the logistics information, if more detail is even more convenient")</f>
        <v>Good to trust this brand of probiotics, when the Amazon service is good, is the logistics information, if more detail is even more convenient</v>
      </c>
    </row>
    <row r="1694">
      <c r="A1694" s="1">
        <v>5.0</v>
      </c>
      <c r="B1694" s="1" t="s">
        <v>1692</v>
      </c>
      <c r="C1694" t="str">
        <f>IFERROR(__xludf.DUMMYFUNCTION("GOOGLETRANSLATE(B1694, ""zh"", ""en"")"),"Good satisfaction. Light and easy to carry out short-haul summer cup")</f>
        <v>Good satisfaction. Light and easy to carry out short-haul summer cup</v>
      </c>
    </row>
    <row r="1695">
      <c r="A1695" s="1">
        <v>5.0</v>
      </c>
      <c r="B1695" s="1" t="s">
        <v>1693</v>
      </c>
      <c r="C1695" t="str">
        <f>IFERROR(__xludf.DUMMYFUNCTION("GOOGLETRANSLATE(B1695, ""zh"", ""en"")"),"Elastic fabric elastic good very good, even like pants. General crotch jeans with different, more durable")</f>
        <v>Elastic fabric elastic good very good, even like pants. General crotch jeans with different, more durable</v>
      </c>
    </row>
    <row r="1696">
      <c r="A1696" s="1">
        <v>5.0</v>
      </c>
      <c r="B1696" s="1" t="s">
        <v>1694</v>
      </c>
      <c r="C1696" t="str">
        <f>IFERROR(__xludf.DUMMYFUNCTION("GOOGLETRANSLATE(B1696, ""zh"", ""en"")"),"Size matters pants good, is China's size and the size of foreign figure out, not buy, including clothing sizes, the size of their own do not know which, if too large too small, express delivery is not convenient, throw away waste")</f>
        <v>Size matters pants good, is China's size and the size of foreign figure out, not buy, including clothing sizes, the size of their own do not know which, if too large too small, express delivery is not convenient, throw away waste</v>
      </c>
    </row>
    <row r="1697">
      <c r="A1697" s="1">
        <v>5.0</v>
      </c>
      <c r="B1697" s="1" t="s">
        <v>1695</v>
      </c>
      <c r="C1697" t="str">
        <f>IFERROR(__xludf.DUMMYFUNCTION("GOOGLETRANSLATE(B1697, ""zh"", ""en"")"),"It can also feel authentic, wave-success, for the first time Amazon shopping, good")</f>
        <v>It can also feel authentic, wave-success, for the first time Amazon shopping, good</v>
      </c>
    </row>
    <row r="1698">
      <c r="A1698" s="1">
        <v>5.0</v>
      </c>
      <c r="B1698" s="1" t="s">
        <v>1696</v>
      </c>
      <c r="C1698" t="str">
        <f>IFERROR(__xludf.DUMMYFUNCTION("GOOGLETRANSLATE(B1698, ""zh"", ""en"")"),"Products of good faith for parents to buy this brand over")</f>
        <v>Products of good faith for parents to buy this brand over</v>
      </c>
    </row>
    <row r="1699">
      <c r="A1699" s="1">
        <v>5.0</v>
      </c>
      <c r="B1699" s="1" t="s">
        <v>1697</v>
      </c>
      <c r="C1699" t="str">
        <f>IFERROR(__xludf.DUMMYFUNCTION("GOOGLETRANSLATE(B1699, ""zh"", ""en"")"),"Satisfied very satisfied with the shopping, watch thin and light, medium size, wearing very comfortable.")</f>
        <v>Satisfied very satisfied with the shopping, watch thin and light, medium size, wearing very comfortable.</v>
      </c>
    </row>
    <row r="1700">
      <c r="A1700" s="1">
        <v>5.0</v>
      </c>
      <c r="B1700" s="1" t="s">
        <v>1698</v>
      </c>
      <c r="C1700" t="str">
        <f>IFERROR(__xludf.DUMMYFUNCTION("GOOGLETRANSLATE(B1700, ""zh"", ""en"")"),"Good cold water filter kettle by overseas shopping channel to buy, logistics speed is OK. Carton have been damaged, there is no problem, British-packaging but still better than Nichia. Much cheaper than similar domestic products offer the course. Filter q"&amp;"uality is also very good. Filter British production, not used domestically so I can not compare. Not from the previous evaluation, I do not know how many wasted points, points can change money now know, they should look carefully evaluated, then I put the"&amp;"se words to copy to go, both to earn points, but also save trouble, they go where copy the most important thing is, do not seriously review, do not think how much worse word, sent directly to it, recommend it to everyone! !")</f>
        <v>Good cold water filter kettle by overseas shopping channel to buy, logistics speed is OK. Carton have been damaged, there is no problem, British-packaging but still better than Nichia. Much cheaper than similar domestic products offer the course. Filter quality is also very good. Filter British production, not used domestically so I can not compare. Not from the previous evaluation, I do not know how many wasted points, points can change money now know, they should look carefully evaluated, then I put these words to copy to go, both to earn points, but also save trouble, they go where copy the most important thing is, do not seriously review, do not think how much worse word, sent directly to it, recommend it to everyone! !</v>
      </c>
    </row>
    <row r="1701">
      <c r="A1701" s="1">
        <v>5.0</v>
      </c>
      <c r="B1701" s="1" t="s">
        <v>1699</v>
      </c>
      <c r="C1701" t="str">
        <f>IFERROR(__xludf.DUMMYFUNCTION("GOOGLETRANSLATE(B1701, ""zh"", ""en"")"),"Easy to use good use, made in China in Guangzhou")</f>
        <v>Easy to use good use, made in China in Guangzhou</v>
      </c>
    </row>
    <row r="1702">
      <c r="A1702" s="1">
        <v>5.0</v>
      </c>
      <c r="B1702" s="1" t="s">
        <v>1700</v>
      </c>
      <c r="C1702" t="str">
        <f>IFERROR(__xludf.DUMMYFUNCTION("GOOGLETRANSLATE(B1702, ""zh"", ""en"")"),"Sports shoes usually feel shoes 36 yards, and sometimes can wear 35 yards, just the size of the length, width slightly narrower, still appropriate, suitable mainly price.")</f>
        <v>Sports shoes usually feel shoes 36 yards, and sometimes can wear 35 yards, just the size of the length, width slightly narrower, still appropriate, suitable mainly price.</v>
      </c>
    </row>
    <row r="1703">
      <c r="A1703" s="1">
        <v>5.0</v>
      </c>
      <c r="B1703" s="1" t="s">
        <v>1701</v>
      </c>
      <c r="C1703" t="str">
        <f>IFERROR(__xludf.DUMMYFUNCTION("GOOGLETRANSLATE(B1703, ""zh"", ""en"")"),"Very good ~ ~ just received 12 orders in addition to the outside of the box a little bit bad (it is estimated that through customs was a look inside the box is no problem at all the right size I bought 7m Big K in the country we buy shoes are at least 41 "&amp;"currently do not have any problem")</f>
        <v>Very good ~ ~ just received 12 orders in addition to the outside of the box a little bit bad (it is estimated that through customs was a look inside the box is no problem at all the right size I bought 7m Big K in the country we buy shoes are at least 41 currently do not have any problem</v>
      </c>
    </row>
    <row r="1704">
      <c r="A1704" s="1">
        <v>5.0</v>
      </c>
      <c r="B1704" s="1" t="s">
        <v>1702</v>
      </c>
      <c r="C1704" t="str">
        <f>IFERROR(__xludf.DUMMYFUNCTION("GOOGLETRANSLATE(B1704, ""zh"", ""en"")"),"Comfort height 180, weight 85 kg, wearing M size is slightly smaller, but like the Slim version of the proposal is still wear M. Comfort can.")</f>
        <v>Comfort height 180, weight 85 kg, wearing M size is slightly smaller, but like the Slim version of the proposal is still wear M. Comfort can.</v>
      </c>
    </row>
    <row r="1705">
      <c r="A1705" s="1">
        <v>5.0</v>
      </c>
      <c r="B1705" s="1" t="s">
        <v>1703</v>
      </c>
      <c r="C1705" t="str">
        <f>IFERROR(__xludf.DUMMYFUNCTION("GOOGLETRANSLATE(B1705, ""zh"", ""en"")"),"Baby food supplement box not with, feel the quality should be good, quite like their own, and to freeze the baby food supplement. But I did not write the manual cleaning Can boiling water disinfection, but just say wash dishwasher, microwave oven, it shou"&amp;"ld be possible.")</f>
        <v>Baby food supplement box not with, feel the quality should be good, quite like their own, and to freeze the baby food supplement. But I did not write the manual cleaning Can boiling water disinfection, but just say wash dishwasher, microwave oven, it should be possible.</v>
      </c>
    </row>
    <row r="1706">
      <c r="A1706" s="1">
        <v>5.0</v>
      </c>
      <c r="B1706" s="1" t="s">
        <v>1704</v>
      </c>
      <c r="C1706" t="str">
        <f>IFERROR(__xludf.DUMMYFUNCTION("GOOGLETRANSLATE(B1706, ""zh"", ""en"")"),"dt880 shipped quickly, packaging is very good, really good value for money, great sound.")</f>
        <v>dt880 shipped quickly, packaging is very good, really good value for money, great sound.</v>
      </c>
    </row>
    <row r="1707">
      <c r="A1707" s="1">
        <v>5.0</v>
      </c>
      <c r="B1707" s="1" t="s">
        <v>1705</v>
      </c>
      <c r="C1707" t="str">
        <f>IFERROR(__xludf.DUMMYFUNCTION("GOOGLETRANSLATE(B1707, ""zh"", ""en"")"),"Bought a little big brand's other models, this number looks bigger, arms that have a sponge, comfortable than other models.")</f>
        <v>Bought a little big brand's other models, this number looks bigger, arms that have a sponge, comfortable than other models.</v>
      </c>
    </row>
    <row r="1708">
      <c r="A1708" s="1">
        <v>5.0</v>
      </c>
      <c r="B1708" s="1" t="s">
        <v>1706</v>
      </c>
      <c r="C1708" t="str">
        <f>IFERROR(__xludf.DUMMYFUNCTION("GOOGLETRANSLATE(B1708, ""zh"", ""en"")"),"To his mother to buy, it is the prevention of mother older, some joint problems, bought for her to try, she asked the doctor, saying you can eat.")</f>
        <v>To his mother to buy, it is the prevention of mother older, some joint problems, bought for her to try, she asked the doctor, saying you can eat.</v>
      </c>
    </row>
    <row r="1709">
      <c r="A1709" s="1">
        <v>5.0</v>
      </c>
      <c r="B1709" s="1" t="s">
        <v>1707</v>
      </c>
      <c r="C1709" t="str">
        <f>IFERROR(__xludf.DUMMYFUNCTION("GOOGLETRANSLATE(B1709, ""zh"", ""en"")"),"Very good very satisfied with the price first. What is big is not all big clouds")</f>
        <v>Very good very satisfied with the price first. What is big is not all big clouds</v>
      </c>
    </row>
    <row r="1710">
      <c r="A1710" s="1">
        <v>5.0</v>
      </c>
      <c r="B1710" s="1" t="s">
        <v>1708</v>
      </c>
      <c r="C1710" t="str">
        <f>IFERROR(__xludf.DUMMYFUNCTION("GOOGLETRANSLATE(B1710, ""zh"", ""en"")"),"Good thick skin, produced in India, with jeans handsome, fine workmanship, satisfaction,")</f>
        <v>Good thick skin, produced in India, with jeans handsome, fine workmanship, satisfaction,</v>
      </c>
    </row>
    <row r="1711">
      <c r="A1711" s="1">
        <v>5.0</v>
      </c>
      <c r="B1711" s="1" t="s">
        <v>1709</v>
      </c>
      <c r="C1711" t="str">
        <f>IFERROR(__xludf.DUMMYFUNCTION("GOOGLETRANSLATE(B1711, ""zh"", ""en"")"),"Very good shoes comfortable breathable lightweight running well.")</f>
        <v>Very good shoes comfortable breathable lightweight running well.</v>
      </c>
    </row>
    <row r="1712">
      <c r="A1712" s="1">
        <v>2.0</v>
      </c>
      <c r="B1712" s="1" t="s">
        <v>1710</v>
      </c>
      <c r="C1712" t="str">
        <f>IFERROR(__xludf.DUMMYFUNCTION("GOOGLETRANSLATE(B1712, ""zh"", ""en"")"),"QC has been detected unsatisfactory poor quality, yellow label affixed. But eventually shipped ... really speechless!")</f>
        <v>QC has been detected unsatisfactory poor quality, yellow label affixed. But eventually shipped ... really speechless!</v>
      </c>
    </row>
    <row r="1713">
      <c r="A1713" s="1">
        <v>3.0</v>
      </c>
      <c r="B1713" s="1" t="s">
        <v>1711</v>
      </c>
      <c r="C1713" t="str">
        <f>IFERROR(__xludf.DUMMYFUNCTION("GOOGLETRANSLATE(B1713, ""zh"", ""en"")"),"High instep presser foot length would be more suitable, but there is relatively low instep, instep will be relatively high presser foot. Hard soles.")</f>
        <v>High instep presser foot length would be more suitable, but there is relatively low instep, instep will be relatively high presser foot. Hard soles.</v>
      </c>
    </row>
    <row r="1714">
      <c r="A1714" s="1">
        <v>3.0</v>
      </c>
      <c r="B1714" s="1" t="s">
        <v>1712</v>
      </c>
      <c r="C1714" t="str">
        <f>IFERROR(__xludf.DUMMYFUNCTION("GOOGLETRANSLATE(B1714, ""zh"", ""en"")"),"General quality of the shirt, although Lee is the brand name, but it is produced in Bangladesh, where some buttons at the cable head. Spring and Autumn thin section, size larger than our country. 70% cotton, general quality.")</f>
        <v>General quality of the shirt, although Lee is the brand name, but it is produced in Bangladesh, where some buttons at the cable head. Spring and Autumn thin section, size larger than our country. 70% cotton, general quality.</v>
      </c>
    </row>
    <row r="1715">
      <c r="A1715" s="1">
        <v>1.0</v>
      </c>
      <c r="B1715" s="1" t="s">
        <v>1713</v>
      </c>
      <c r="C1715" t="str">
        <f>IFERROR(__xludf.DUMMYFUNCTION("GOOGLETRANSLATE(B1715, ""zh"", ""en"")"),"Drain waste products store put a one-year, open now found that the use of filtered water is blue, and black scum, what quality ah! too poor.")</f>
        <v>Drain waste products store put a one-year, open now found that the use of filtered water is blue, and black scum, what quality ah! too poor.</v>
      </c>
    </row>
    <row r="1716">
      <c r="A1716" s="1">
        <v>1.0</v>
      </c>
      <c r="B1716" s="1" t="s">
        <v>1714</v>
      </c>
      <c r="C1716" t="str">
        <f>IFERROR(__xludf.DUMMYFUNCTION("GOOGLETRANSLATE(B1716, ""zh"", ""en"")"),"Corsair put too much garbage do more rugged exterior but the interior is too fragile life at the interface is not more than three months and will be done under the premise of normal use")</f>
        <v>Corsair put too much garbage do more rugged exterior but the interior is too fragile life at the interface is not more than three months and will be done under the premise of normal use</v>
      </c>
    </row>
    <row r="1717">
      <c r="A1717" s="1">
        <v>1.0</v>
      </c>
      <c r="B1717" s="1" t="s">
        <v>1715</v>
      </c>
      <c r="C1717" t="str">
        <f>IFERROR(__xludf.DUMMYFUNCTION("GOOGLETRANSLATE(B1717, ""zh"", ""en"")"),"Old pen box short of the sea for the first time to buy so satisfied, bought a box received was very old, 12 fewer open inside the pen color, 132 became 120, there are 12 colors Repeated. Returns ready to re-take a little longer to buy ... buy this ...")</f>
        <v>Old pen box short of the sea for the first time to buy so satisfied, bought a box received was very old, 12 fewer open inside the pen color, 132 became 120, there are 12 colors Repeated. Returns ready to re-take a little longer to buy ... buy this ...</v>
      </c>
    </row>
    <row r="1718">
      <c r="A1718" s="1">
        <v>4.0</v>
      </c>
      <c r="B1718" s="1" t="s">
        <v>1716</v>
      </c>
      <c r="C1718" t="str">
        <f>IFERROR(__xludf.DUMMYFUNCTION("GOOGLETRANSLATE(B1718, ""zh"", ""en"")"),"Good pot! Good maintenance can be a hundred years. 3.8kg! Really can be used to exercise! Single hand to about ten days, can also speed. Packaging is relatively simple, direct use of wrap and then sets out cartons, some small scratches while to get our ha"&amp;"nds should be out of the way. Most dissatisfied with the handle there is a little rusty scratched! ! see the picture. Finally, I would ask how to boil, I feel on top of a layer of paint, you are not all off? ? Why can not upload pictures?")</f>
        <v>Good pot! Good maintenance can be a hundred years. 3.8kg! Really can be used to exercise! Single hand to about ten days, can also speed. Packaging is relatively simple, direct use of wrap and then sets out cartons, some small scratches while to get our hands should be out of the way. Most dissatisfied with the handle there is a little rusty scratched! ! see the picture. Finally, I would ask how to boil, I feel on top of a layer of paint, you are not all off? ? Why can not upload pictures?</v>
      </c>
    </row>
    <row r="1719">
      <c r="A1719" s="1">
        <v>4.0</v>
      </c>
      <c r="B1719" s="1" t="s">
        <v>1717</v>
      </c>
      <c r="C1719" t="str">
        <f>IFERROR(__xludf.DUMMYFUNCTION("GOOGLETRANSLATE(B1719, ""zh"", ""en"")"),"Taking a bad feeling than last wish counter to lean. . I really fat")</f>
        <v>Taking a bad feeling than last wish counter to lean. . I really fat</v>
      </c>
    </row>
    <row r="1720">
      <c r="A1720" s="1">
        <v>4.0</v>
      </c>
      <c r="B1720" s="1" t="s">
        <v>1718</v>
      </c>
      <c r="C1720" t="str">
        <f>IFERROR(__xludf.DUMMYFUNCTION("GOOGLETRANSLATE(B1720, ""zh"", ""en"")"),"Plastic straws bad flavor ...... do not drink baby")</f>
        <v>Plastic straws bad flavor ...... do not drink baby</v>
      </c>
    </row>
    <row r="1721">
      <c r="A1721" s="1">
        <v>4.0</v>
      </c>
      <c r="B1721" s="1" t="s">
        <v>1719</v>
      </c>
      <c r="C1721" t="str">
        <f>IFERROR(__xludf.DUMMYFUNCTION("GOOGLETRANSLATE(B1721, ""zh"", ""en"")"),"Cloth Yes, yes a little personal quality, a little bit of slightly elastic, supple fabric wearing more comfortable, a bit like Ms. tight jeans cloth. Slim style bias, relatively close to the trousers, not a straight-oh! Originally wanted to buy straight, "&amp;"and look at the good points even if the cloth (mainly the cost of returned scary) right, darker color, not the picture so white, light blue closer. 172/140 wear long pants 30 waist are just, over two hundred regarded value, the premise is genuine, then Ha"&amp;"! Write so rare, to refer to the newcomers, Amazon had not much comment, without reference to each other, do not buy.")</f>
        <v>Cloth Yes, yes a little personal quality, a little bit of slightly elastic, supple fabric wearing more comfortable, a bit like Ms. tight jeans cloth. Slim style bias, relatively close to the trousers, not a straight-oh! Originally wanted to buy straight, and look at the good points even if the cloth (mainly the cost of returned scary) right, darker color, not the picture so white, light blue closer. 172/140 wear long pants 30 waist are just, over two hundred regarded value, the premise is genuine, then Ha! Write so rare, to refer to the newcomers, Amazon had not much comment, without reference to each other, do not buy.</v>
      </c>
    </row>
    <row r="1722">
      <c r="A1722" s="1">
        <v>4.0</v>
      </c>
      <c r="B1722" s="1" t="s">
        <v>1720</v>
      </c>
      <c r="C1722" t="str">
        <f>IFERROR(__xludf.DUMMYFUNCTION("GOOGLETRANSLATE(B1722, ""zh"", ""en"")"),"It can also be a little expensive okay good little hard a little expensive")</f>
        <v>It can also be a little expensive okay good little hard a little expensive</v>
      </c>
    </row>
    <row r="1723">
      <c r="A1723" s="1">
        <v>5.0</v>
      </c>
      <c r="B1723" s="1" t="s">
        <v>1721</v>
      </c>
      <c r="C1723" t="str">
        <f>IFERROR(__xludf.DUMMYFUNCTION("GOOGLETRANSLATE(B1723, ""zh"", ""en"")"),"Basically satisfied with the first day after Asia, something which packaging can also, after a solid plastic as well as rubber band, was almost outside the box, when you receive the goods are damaged. Inside the cargo almost fell out ... thought buy is le"&amp;"ggings, pantyhose actually, I have 165,114 pounds, ML number is too large, the pants a little long, to wear little feeling of pressure, especially that ankle there is a big gap between no pressure, and ankle socks. Quality is good, very comfortable to wea"&amp;"r. Inside is a black velvet. Nichia buy cheaper than other places. Week to.")</f>
        <v>Basically satisfied with the first day after Asia, something which packaging can also, after a solid plastic as well as rubber band, was almost outside the box, when you receive the goods are damaged. Inside the cargo almost fell out ... thought buy is leggings, pantyhose actually, I have 165,114 pounds, ML number is too large, the pants a little long, to wear little feeling of pressure, especially that ankle there is a big gap between no pressure, and ankle socks. Quality is good, very comfortable to wear. Inside is a black velvet. Nichia buy cheaper than other places. Week to.</v>
      </c>
    </row>
    <row r="1724">
      <c r="A1724" s="1">
        <v>5.0</v>
      </c>
      <c r="B1724" s="1" t="s">
        <v>1722</v>
      </c>
      <c r="C1724" t="str">
        <f>IFERROR(__xludf.DUMMYFUNCTION("GOOGLETRANSLATE(B1724, ""zh"", ""en"")"),"Very good physical color not so bright picture, it should be close to dark purple, but also feel very good.")</f>
        <v>Very good physical color not so bright picture, it should be close to dark purple, but also feel very good.</v>
      </c>
    </row>
    <row r="1725">
      <c r="A1725" s="1">
        <v>5.0</v>
      </c>
      <c r="B1725" s="1" t="s">
        <v>1723</v>
      </c>
      <c r="C1725" t="str">
        <f>IFERROR(__xludf.DUMMYFUNCTION("GOOGLETRANSLATE(B1725, ""zh"", ""en"")"),"Buy cheap overseas hand, with a few months, solid steel, quartz watch. Also more peace of mind, work is absolutely worthy of the price.")</f>
        <v>Buy cheap overseas hand, with a few months, solid steel, quartz watch. Also more peace of mind, work is absolutely worthy of the price.</v>
      </c>
    </row>
    <row r="1726">
      <c r="A1726" s="1">
        <v>5.0</v>
      </c>
      <c r="B1726" s="1" t="s">
        <v>1724</v>
      </c>
      <c r="C1726" t="str">
        <f>IFERROR(__xludf.DUMMYFUNCTION("GOOGLETRANSLATE(B1726, ""zh"", ""en"")"),"Good Very Good friends are like!")</f>
        <v>Good Very Good friends are like!</v>
      </c>
    </row>
    <row r="1727">
      <c r="A1727" s="1">
        <v>5.0</v>
      </c>
      <c r="B1727" s="1" t="s">
        <v>1725</v>
      </c>
      <c r="C1727" t="str">
        <f>IFERROR(__xludf.DUMMYFUNCTION("GOOGLETRANSLATE(B1727, ""zh"", ""en"")"),"Quality good quality is very good. . . .")</f>
        <v>Quality good quality is very good. . . .</v>
      </c>
    </row>
    <row r="1728">
      <c r="A1728" s="1">
        <v>5.0</v>
      </c>
      <c r="B1728" s="1" t="s">
        <v>1726</v>
      </c>
      <c r="C1728" t="str">
        <f>IFERROR(__xludf.DUMMYFUNCTION("GOOGLETRANSLATE(B1728, ""zh"", ""en"")"),"Good quality, cost-effective. Basketball shoes usually wear 40.5 feet long 26cm, bought US8, just right.")</f>
        <v>Good quality, cost-effective. Basketball shoes usually wear 40.5 feet long 26cm, bought US8, just right.</v>
      </c>
    </row>
    <row r="1729">
      <c r="A1729" s="1">
        <v>5.0</v>
      </c>
      <c r="B1729" s="1" t="s">
        <v>1727</v>
      </c>
      <c r="C1729" t="str">
        <f>IFERROR(__xludf.DUMMYFUNCTION("GOOGLETRANSLATE(B1729, ""zh"", ""en"")"),"Genuine praise! like very much. It flows to date! Dressing a good fit.")</f>
        <v>Genuine praise! like very much. It flows to date! Dressing a good fit.</v>
      </c>
    </row>
    <row r="1730">
      <c r="A1730" s="1">
        <v>5.0</v>
      </c>
      <c r="B1730" s="1" t="s">
        <v>1728</v>
      </c>
      <c r="C1730" t="str">
        <f>IFERROR(__xludf.DUMMYFUNCTION("GOOGLETRANSLATE(B1730, ""zh"", ""en"")"),"The cup is like, and trust Amazon.")</f>
        <v>The cup is like, and trust Amazon.</v>
      </c>
    </row>
    <row r="1731">
      <c r="A1731" s="1">
        <v>5.0</v>
      </c>
      <c r="B1731" s="1" t="s">
        <v>1729</v>
      </c>
      <c r="C1731" t="str">
        <f>IFERROR(__xludf.DUMMYFUNCTION("GOOGLETRANSLATE(B1731, ""zh"", ""en"")"),"Very satisfied 166/102, election xs, fit, a little bit longer")</f>
        <v>Very satisfied 166/102, election xs, fit, a little bit longer</v>
      </c>
    </row>
    <row r="1732">
      <c r="A1732" s="1">
        <v>5.0</v>
      </c>
      <c r="B1732" s="1" t="s">
        <v>1730</v>
      </c>
      <c r="C1732" t="str">
        <f>IFERROR(__xludf.DUMMYFUNCTION("GOOGLETRANSLATE(B1732, ""zh"", ""en"")"),"Easy to use good use! Arbitrary burn the desired temperature")</f>
        <v>Easy to use good use! Arbitrary burn the desired temperature</v>
      </c>
    </row>
    <row r="1733">
      <c r="A1733" s="1">
        <v>5.0</v>
      </c>
      <c r="B1733" s="1" t="s">
        <v>1731</v>
      </c>
      <c r="C1733" t="str">
        <f>IFERROR(__xludf.DUMMYFUNCTION("GOOGLETRANSLATE(B1733, ""zh"", ""en"")"),"Logistics, excellent Mishap! Commodity play 5 minutes, 1 minute to play excellent service. After receiving the check is Emperor Jie licensed, quality headset there are many professional reviews online, I believe we have done all their homework before you "&amp;"buy. Burning machine, temporarily no comment. On a lot of excellent shopping, online shopping or bulky precious commodities, generally it. But this time the feeling there are two sorts: 1. manufacturers may have to turn over packed, packed the 2011's has "&amp;"no bag to send, but excellent in the trade description or did not change overnight. 2. is the logistics, this can be said to be excellent Mishap. Temporary problems, and want to communicate with logistics personnel at delivery time. The system displays th"&amp;"e parcel has been in the station, but the logistics to fight the phone, they say not to, playing exceptional customer service telephone to find the logistics letting myself. Nima do you Qucai customer service, you should be recommended to the Camacho! The"&amp;" future will be easy to turn a fast and Jingdong. In particular Yi Xun, sent three times a day: One night in and sent the next morning; orders in the morning, at noon to; to a single night before 15:00. And the system can be found names and phone logistic"&amp;"s personnel can communicate directly. We can say that the logistics alone in this regard, a few blocks thrown excellent!")</f>
        <v>Logistics, excellent Mishap! Commodity play 5 minutes, 1 minute to play excellent service. After receiving the check is Emperor Jie licensed, quality headset there are many professional reviews online, I believe we have done all their homework before you buy. Burning machine, temporarily no comment. On a lot of excellent shopping, online shopping or bulky precious commodities, generally it. But this time the feeling there are two sorts: 1. manufacturers may have to turn over packed, packed the 2011's has no bag to send, but excellent in the trade description or did not change overnight. 2. is the logistics, this can be said to be excellent Mishap. Temporary problems, and want to communicate with logistics personnel at delivery time. The system displays the parcel has been in the station, but the logistics to fight the phone, they say not to, playing exceptional customer service telephone to find the logistics letting myself. Nima do you Qucai customer service, you should be recommended to the Camacho! The future will be easy to turn a fast and Jingdong. In particular Yi Xun, sent three times a day: One night in and sent the next morning; orders in the morning, at noon to; to a single night before 15:00. And the system can be found names and phone logistics personnel can communicate directly. We can say that the logistics alone in this regard, a few blocks thrown excellent!</v>
      </c>
    </row>
    <row r="1734">
      <c r="A1734" s="1">
        <v>5.0</v>
      </c>
      <c r="B1734" s="1" t="s">
        <v>1732</v>
      </c>
      <c r="C1734" t="str">
        <f>IFERROR(__xludf.DUMMYFUNCTION("GOOGLETRANSLATE(B1734, ""zh"", ""en"")"),"nas nas used by warehouse dish, very good")</f>
        <v>nas nas used by warehouse dish, very good</v>
      </c>
    </row>
    <row r="1735">
      <c r="A1735" s="1">
        <v>5.0</v>
      </c>
      <c r="B1735" s="1" t="s">
        <v>1733</v>
      </c>
      <c r="C1735" t="str">
        <f>IFERROR(__xludf.DUMMYFUNCTION("GOOGLETRANSLATE(B1735, ""zh"", ""en"")"),"A good deal of good, pretty cool, very cost-effective. . .")</f>
        <v>A good deal of good, pretty cool, very cost-effective. . .</v>
      </c>
    </row>
    <row r="1736">
      <c r="A1736" s="1">
        <v>5.0</v>
      </c>
      <c r="B1736" s="1" t="s">
        <v>1734</v>
      </c>
      <c r="C1736" t="str">
        <f>IFERROR(__xludf.DUMMYFUNCTION("GOOGLETRANSLATE(B1736, ""zh"", ""en"")"),"Line is broken, replace well. Not from the previous evaluation, I do not know how many wasted points, points can change money now know, they should look carefully evaluated, then I put these words to copy to go, both to earn points, but also save trouble,"&amp;" they go where copy , sent directly to it, recommend it to everyone! !")</f>
        <v>Line is broken, replace well. Not from the previous evaluation, I do not know how many wasted points, points can change money now know, they should look carefully evaluated, then I put these words to copy to go, both to earn points, but also save trouble, they go where copy , sent directly to it, recommend it to everyone! !</v>
      </c>
    </row>
    <row r="1737">
      <c r="A1737" s="1">
        <v>5.0</v>
      </c>
      <c r="B1737" s="1" t="s">
        <v>1735</v>
      </c>
      <c r="C1737" t="str">
        <f>IFERROR(__xludf.DUMMYFUNCTION("GOOGLETRANSLATE(B1737, ""zh"", ""en"")"),"Satisfaction classic style, low-key, keep good time, in addition to express slow, other are good!")</f>
        <v>Satisfaction classic style, low-key, keep good time, in addition to express slow, other are good!</v>
      </c>
    </row>
    <row r="1738">
      <c r="A1738" s="1">
        <v>5.0</v>
      </c>
      <c r="B1738" s="1" t="s">
        <v>1736</v>
      </c>
      <c r="C1738" t="str">
        <f>IFERROR(__xludf.DUMMYFUNCTION("GOOGLETRANSLATE(B1738, ""zh"", ""en"")"),"ok very good buy small one yard just right.")</f>
        <v>ok very good buy small one yard just right.</v>
      </c>
    </row>
    <row r="1739">
      <c r="A1739" s="1">
        <v>5.0</v>
      </c>
      <c r="B1739" s="1" t="s">
        <v>1737</v>
      </c>
      <c r="C1739" t="str">
        <f>IFERROR(__xludf.DUMMYFUNCTION("GOOGLETRANSLATE(B1739, ""zh"", ""en"")"),"Yes 165cm, 46kg right size")</f>
        <v>Yes 165cm, 46kg right size</v>
      </c>
    </row>
    <row r="1740">
      <c r="A1740" s="1">
        <v>5.0</v>
      </c>
      <c r="B1740" s="1" t="s">
        <v>1738</v>
      </c>
      <c r="C1740" t="str">
        <f>IFERROR(__xludf.DUMMYFUNCTION("GOOGLETRANSLATE(B1740, ""zh"", ""en"")"),"Good-looking, good-looking it is too slippery insole is nice, and indeed relatively large, long and short yardage and own almost normal shoes, is too fat look larger. Very soft, comfortable. It is really the only insoles slip")</f>
        <v>Good-looking, good-looking it is too slippery insole is nice, and indeed relatively large, long and short yardage and own almost normal shoes, is too fat look larger. Very soft, comfortable. It is really the only insoles slip</v>
      </c>
    </row>
    <row r="1741">
      <c r="A1741" s="1">
        <v>5.0</v>
      </c>
      <c r="B1741" s="1" t="s">
        <v>1739</v>
      </c>
      <c r="C1741" t="str">
        <f>IFERROR(__xludf.DUMMYFUNCTION("GOOGLETRANSLATE(B1741, ""zh"", ""en"")"),"Super good style good-looking shoes, wear comfortable, soft leather super comfortable, out of")</f>
        <v>Super good style good-looking shoes, wear comfortable, soft leather super comfortable, out of</v>
      </c>
    </row>
    <row r="1742">
      <c r="A1742" s="1">
        <v>5.0</v>
      </c>
      <c r="B1742" s="1" t="s">
        <v>1740</v>
      </c>
      <c r="C1742" t="str">
        <f>IFERROR(__xludf.DUMMYFUNCTION("GOOGLETRANSLATE(B1742, ""zh"", ""en"")"),"Good quality size is too large, good quality.")</f>
        <v>Good quality size is too large, good quality.</v>
      </c>
    </row>
    <row r="1743">
      <c r="A1743" s="1">
        <v>5.0</v>
      </c>
      <c r="B1743" s="1" t="s">
        <v>1741</v>
      </c>
      <c r="C1743" t="str">
        <f>IFERROR(__xludf.DUMMYFUNCTION("GOOGLETRANSLATE(B1743, ""zh"", ""en"")"),"Size, perfect texture are good, the price is also good, very comfortable Pima cotton")</f>
        <v>Size, perfect texture are good, the price is also good, very comfortable Pima cotton</v>
      </c>
    </row>
    <row r="1744">
      <c r="A1744" s="1">
        <v>5.0</v>
      </c>
      <c r="B1744" s="1" t="s">
        <v>1742</v>
      </c>
      <c r="C1744" t="str">
        <f>IFERROR(__xludf.DUMMYFUNCTION("GOOGLETRANSLATE(B1744, ""zh"", ""en"")"),"Good things, is too weighty a dishwasher after buying accidentally planted this grass, and finally pulled")</f>
        <v>Good things, is too weighty a dishwasher after buying accidentally planted this grass, and finally pulled</v>
      </c>
    </row>
    <row r="1745">
      <c r="A1745" s="1">
        <v>2.0</v>
      </c>
      <c r="B1745" s="1" t="s">
        <v>1743</v>
      </c>
      <c r="C1745" t="str">
        <f>IFERROR(__xludf.DUMMYFUNCTION("GOOGLETRANSLATE(B1745, ""zh"", ""en"")"),"April 24, 2016 to purchase, until now in less than two months has been broken, can not be used, depressed, there is no place to buy the warranty and complaint April 24, 2016, and now with less than two may has been broken, can not be used, depressed, no p"&amp;"lace to warranty")</f>
        <v>April 24, 2016 to purchase, until now in less than two months has been broken, can not be used, depressed, there is no place to buy the warranty and complaint April 24, 2016, and now with less than two may has been broken, can not be used, depressed, no place to warranty</v>
      </c>
    </row>
    <row r="1746">
      <c r="A1746" s="1">
        <v>3.0</v>
      </c>
      <c r="B1746" s="1" t="s">
        <v>1744</v>
      </c>
      <c r="C1746" t="str">
        <f>IFERROR(__xludf.DUMMYFUNCTION("GOOGLETRANSLATE(B1746, ""zh"", ""en"")"),"Currently lacks effect with family")</f>
        <v>Currently lacks effect with family</v>
      </c>
    </row>
    <row r="1747">
      <c r="A1747" s="1">
        <v>3.0</v>
      </c>
      <c r="B1747" s="1" t="s">
        <v>1745</v>
      </c>
      <c r="C1747" t="str">
        <f>IFERROR(__xludf.DUMMYFUNCTION("GOOGLETRANSLATE(B1747, ""zh"", ""en"")"),"Packaging bad! Bad packaging, are broken, the machine also has the appearance of damage! Fortunately, not bad!")</f>
        <v>Packaging bad! Bad packaging, are broken, the machine also has the appearance of damage! Fortunately, not bad!</v>
      </c>
    </row>
    <row r="1748">
      <c r="A1748" s="1">
        <v>1.0</v>
      </c>
      <c r="B1748" s="1" t="s">
        <v>1746</v>
      </c>
      <c r="C1748" t="str">
        <f>IFERROR(__xludf.DUMMYFUNCTION("GOOGLETRANSLATE(B1748, ""zh"", ""en"")"),"mac support too disgusting for the first time are also likely to be the last with wd! It is too hard to use! !")</f>
        <v>mac support too disgusting for the first time are also likely to be the last with wd! It is too hard to use! !</v>
      </c>
    </row>
    <row r="1749">
      <c r="A1749" s="1">
        <v>1.0</v>
      </c>
      <c r="B1749" s="1" t="s">
        <v>1747</v>
      </c>
      <c r="C1749" t="str">
        <f>IFERROR(__xludf.DUMMYFUNCTION("GOOGLETRANSLATE(B1749, ""zh"", ""en"")"),"200 wife wife big bucks, if returned, gave 74, clothes too big, can not wear, waiting for someone to donate it")</f>
        <v>200 wife wife big bucks, if returned, gave 74, clothes too big, can not wear, waiting for someone to donate it</v>
      </c>
    </row>
    <row r="1750">
      <c r="A1750" s="1">
        <v>4.0</v>
      </c>
      <c r="B1750" s="1" t="s">
        <v>1748</v>
      </c>
      <c r="C1750" t="str">
        <f>IFERROR(__xludf.DUMMYFUNCTION("GOOGLETRANSLATE(B1750, ""zh"", ""en"")"),"Overall okay belt can, I believe the quality of Timberland, with the same expectations!")</f>
        <v>Overall okay belt can, I believe the quality of Timberland, with the same expectations!</v>
      </c>
    </row>
    <row r="1751">
      <c r="A1751" s="1">
        <v>4.0</v>
      </c>
      <c r="B1751" s="1" t="s">
        <v>1749</v>
      </c>
      <c r="C1751" t="str">
        <f>IFERROR(__xludf.DUMMYFUNCTION("GOOGLETRANSLATE(B1751, ""zh"", ""en"")"),"Right size feel nothing special. Less value.")</f>
        <v>Right size feel nothing special. Less value.</v>
      </c>
    </row>
    <row r="1752">
      <c r="A1752" s="1">
        <v>4.0</v>
      </c>
      <c r="B1752" s="1" t="s">
        <v>1750</v>
      </c>
      <c r="C1752" t="str">
        <f>IFERROR(__xludf.DUMMYFUNCTION("GOOGLETRANSLATE(B1752, ""zh"", ""en"")"),"The box has been opened inside a plastic box marks have no problem using a new instrument breakage received on both sides of labels may be ripped up one side of the plastic base mat customs check broken new instrument is nothing big problems with the ligh"&amp;"t outlet baffle is loose shaking sound domestic no conversion plug")</f>
        <v>The box has been opened inside a plastic box marks have no problem using a new instrument breakage received on both sides of labels may be ripped up one side of the plastic base mat customs check broken new instrument is nothing big problems with the light outlet baffle is loose shaking sound domestic no conversion plug</v>
      </c>
    </row>
    <row r="1753">
      <c r="A1753" s="1">
        <v>4.0</v>
      </c>
      <c r="B1753" s="1" t="s">
        <v>1751</v>
      </c>
      <c r="C1753" t="str">
        <f>IFERROR(__xludf.DUMMYFUNCTION("GOOGLETRANSLATE(B1753, ""zh"", ""en"")"),"Too large a little bit too large, domestic 80B, 80B on the election of the larger, 75A can be")</f>
        <v>Too large a little bit too large, domestic 80B, 80B on the election of the larger, 75A can be</v>
      </c>
    </row>
    <row r="1754">
      <c r="A1754" s="1">
        <v>4.0</v>
      </c>
      <c r="B1754" s="1" t="s">
        <v>1752</v>
      </c>
      <c r="C1754" t="str">
        <f>IFERROR(__xludf.DUMMYFUNCTION("GOOGLETRANSLATE(B1754, ""zh"", ""en"")"),"Cost can, good cost can be, good good!")</f>
        <v>Cost can, good cost can be, good good!</v>
      </c>
    </row>
    <row r="1755">
      <c r="A1755" s="1">
        <v>5.0</v>
      </c>
      <c r="B1755" s="1" t="s">
        <v>1753</v>
      </c>
      <c r="C1755" t="str">
        <f>IFERROR(__xludf.DUMMYFUNCTION("GOOGLETRANSLATE(B1755, ""zh"", ""en"")"),"Good very comfortable, good! The future will buy.")</f>
        <v>Good very comfortable, good! The future will buy.</v>
      </c>
    </row>
    <row r="1756">
      <c r="A1756" s="1">
        <v>5.0</v>
      </c>
      <c r="B1756" s="1" t="s">
        <v>1754</v>
      </c>
      <c r="C1756" t="str">
        <f>IFERROR(__xludf.DUMMYFUNCTION("GOOGLETRANSLATE(B1756, ""zh"", ""en"")"),"Color and delicate easy to color a very powerful love it! While waiting for ten days but also the value!")</f>
        <v>Color and delicate easy to color a very powerful love it! While waiting for ten days but also the value!</v>
      </c>
    </row>
    <row r="1757">
      <c r="A1757" s="1">
        <v>5.0</v>
      </c>
      <c r="B1757" s="1" t="s">
        <v>1755</v>
      </c>
      <c r="C1757" t="str">
        <f>IFERROR(__xludf.DUMMYFUNCTION("GOOGLETRANSLATE(B1757, ""zh"", ""en"")"),"Breakfast suddenly feeling a senior smoothly with them, cleaning is also convenient for the morning rush of rhythm.")</f>
        <v>Breakfast suddenly feeling a senior smoothly with them, cleaning is also convenient for the morning rush of rhythm.</v>
      </c>
    </row>
    <row r="1758">
      <c r="A1758" s="1">
        <v>5.0</v>
      </c>
      <c r="B1758" s="1" t="s">
        <v>1756</v>
      </c>
      <c r="C1758" t="str">
        <f>IFERROR(__xludf.DUMMYFUNCTION("GOOGLETRANSLATE(B1758, ""zh"", ""en"")"),"Not allergic Biniukangte good, baby love to eat.")</f>
        <v>Not allergic Biniukangte good, baby love to eat.</v>
      </c>
    </row>
    <row r="1759">
      <c r="A1759" s="1">
        <v>5.0</v>
      </c>
      <c r="B1759" s="1" t="s">
        <v>1757</v>
      </c>
      <c r="C1759" t="str">
        <f>IFERROR(__xludf.DUMMYFUNCTION("GOOGLETRANSLATE(B1759, ""zh"", ""en"")"),"The new packaging is made easy to use, Kao spent two years, and used other, eventually go back to Kao.")</f>
        <v>The new packaging is made easy to use, Kao spent two years, and used other, eventually go back to Kao.</v>
      </c>
    </row>
    <row r="1760">
      <c r="A1760" s="1">
        <v>5.0</v>
      </c>
      <c r="B1760" s="1" t="s">
        <v>1758</v>
      </c>
      <c r="C1760" t="str">
        <f>IFERROR(__xludf.DUMMYFUNCTION("GOOGLETRANSLATE(B1760, ""zh"", ""en"")"),"Amazon Japan Cup is very beautiful packaging is really good! The cup is very beautiful, also very satisfied with the size, but it has not bought a 20 shipments to drop the price floating a little too big, not very satisfied.")</f>
        <v>Amazon Japan Cup is very beautiful packaging is really good! The cup is very beautiful, also very satisfied with the size, but it has not bought a 20 shipments to drop the price floating a little too big, not very satisfied.</v>
      </c>
    </row>
    <row r="1761">
      <c r="A1761" s="1">
        <v>5.0</v>
      </c>
      <c r="B1761" s="1" t="s">
        <v>1759</v>
      </c>
      <c r="C1761" t="str">
        <f>IFERROR(__xludf.DUMMYFUNCTION("GOOGLETRANSLATE(B1761, ""zh"", ""en"")"),"Suction cup to the baby colleagues liked, and now this is our country created")</f>
        <v>Suction cup to the baby colleagues liked, and now this is our country created</v>
      </c>
    </row>
    <row r="1762">
      <c r="A1762" s="1">
        <v>5.0</v>
      </c>
      <c r="B1762" s="1" t="s">
        <v>1760</v>
      </c>
      <c r="C1762" t="str">
        <f>IFERROR(__xludf.DUMMYFUNCTION("GOOGLETRANSLATE(B1762, ""zh"", ""en"")"),"Recommendations from the first contact with mx500, the innovative air, k450, ie80, great bread, hd650, ue18, Sony a3, z5, in addition to customized ue18, most comfortable wearing this regard, as we say in high school may sound, the bass is very casual but"&amp;" this price is the value.")</f>
        <v>Recommendations from the first contact with mx500, the innovative air, k450, ie80, great bread, hd650, ue18, Sony a3, z5, in addition to customized ue18, most comfortable wearing this regard, as we say in high school may sound, the bass is very casual but this price is the value.</v>
      </c>
    </row>
    <row r="1763">
      <c r="A1763" s="1">
        <v>5.0</v>
      </c>
      <c r="B1763" s="1" t="s">
        <v>1761</v>
      </c>
      <c r="C1763" t="str">
        <f>IFERROR(__xludf.DUMMYFUNCTION("GOOGLETRANSLATE(B1763, ""zh"", ""en"")"),"When compact appearance and home kitchen tap connection, and found that tap water filters are in contact at the interface of an external thread, the internal thread requires a separate adapter ring together in combination can be used, it is necessary to p"&amp;"rovide the seller! As shown urgent need ....")</f>
        <v>When compact appearance and home kitchen tap connection, and found that tap water filters are in contact at the interface of an external thread, the internal thread requires a separate adapter ring together in combination can be used, it is necessary to provide the seller! As shown urgent need ....</v>
      </c>
    </row>
    <row r="1764">
      <c r="A1764" s="1">
        <v>5.0</v>
      </c>
      <c r="B1764" s="1" t="s">
        <v>1762</v>
      </c>
      <c r="C1764" t="str">
        <f>IFERROR(__xludf.DUMMYFUNCTION("GOOGLETRANSLATE(B1764, ""zh"", ""en"")"),"The new high-capacity hard drives, stable and efficient second purchase, the price is regarded advantage, came back also checked, new and original, speed and stability, very good things recommended to purchase a hard disk protection package")</f>
        <v>The new high-capacity hard drives, stable and efficient second purchase, the price is regarded advantage, came back also checked, new and original, speed and stability, very good things recommended to purchase a hard disk protection package</v>
      </c>
    </row>
    <row r="1765">
      <c r="A1765" s="1">
        <v>5.0</v>
      </c>
      <c r="B1765" s="1" t="s">
        <v>1763</v>
      </c>
      <c r="C1765" t="str">
        <f>IFERROR(__xludf.DUMMYFUNCTION("GOOGLETRANSLATE(B1765, ""zh"", ""en"")"),"Very good very good, no smell. With a sterilizer disinfection, and we have not found any changes. See the instructions on the box should be steam sterilized.")</f>
        <v>Very good very good, no smell. With a sterilizer disinfection, and we have not found any changes. See the instructions on the box should be steam sterilized.</v>
      </c>
    </row>
    <row r="1766">
      <c r="A1766" s="1">
        <v>5.0</v>
      </c>
      <c r="B1766" s="1" t="s">
        <v>1764</v>
      </c>
      <c r="C1766" t="str">
        <f>IFERROR(__xludf.DUMMYFUNCTION("GOOGLETRANSLATE(B1766, ""zh"", ""en"")"),"Insulation quite a force well this direct screw insulation effect, the previous day afternoon installed, the third day as well as temperature, really good than Starbucks that easy to use, but because of the insulation effect good, do not drink mouth ah, n"&amp;"ext times or to buy the kind with a small cup is better")</f>
        <v>Insulation quite a force well this direct screw insulation effect, the previous day afternoon installed, the third day as well as temperature, really good than Starbucks that easy to use, but because of the insulation effect good, do not drink mouth ah, next times or to buy the kind with a small cup is better</v>
      </c>
    </row>
    <row r="1767">
      <c r="A1767" s="1">
        <v>5.0</v>
      </c>
      <c r="B1767" s="1" t="s">
        <v>1765</v>
      </c>
      <c r="C1767" t="str">
        <f>IFERROR(__xludf.DUMMYFUNCTION("GOOGLETRANSLATE(B1767, ""zh"", ""en"")"),"165 like normal wear or code, this code right size S available.")</f>
        <v>165 like normal wear or code, this code right size S available.</v>
      </c>
    </row>
    <row r="1768">
      <c r="A1768" s="1">
        <v>5.0</v>
      </c>
      <c r="B1768" s="1" t="s">
        <v>1766</v>
      </c>
      <c r="C1768" t="str">
        <f>IFERROR(__xludf.DUMMYFUNCTION("GOOGLETRANSLATE(B1768, ""zh"", ""en"")"),"Good price very comfortable wife liked to wear very comfortable like wearing the same as what")</f>
        <v>Good price very comfortable wife liked to wear very comfortable like wearing the same as what</v>
      </c>
    </row>
    <row r="1769">
      <c r="A1769" s="1">
        <v>5.0</v>
      </c>
      <c r="B1769" s="1" t="s">
        <v>1767</v>
      </c>
      <c r="C1769" t="str">
        <f>IFERROR(__xludf.DUMMYFUNCTION("GOOGLETRANSLATE(B1769, ""zh"", ""en"")"),"Good 173,65KG. Buy the S number is still relatively fit")</f>
        <v>Good 173,65KG. Buy the S number is still relatively fit</v>
      </c>
    </row>
    <row r="1770">
      <c r="A1770" s="1">
        <v>5.0</v>
      </c>
      <c r="B1770" s="1" t="s">
        <v>1768</v>
      </c>
      <c r="C1770" t="str">
        <f>IFERROR(__xludf.DUMMYFUNCTION("GOOGLETRANSLATE(B1770, ""zh"", ""en"")"),"Something really good product quality is good, much better than imagined.")</f>
        <v>Something really good product quality is good, much better than imagined.</v>
      </c>
    </row>
    <row r="1771">
      <c r="A1771" s="1">
        <v>5.0</v>
      </c>
      <c r="B1771" s="1" t="s">
        <v>1769</v>
      </c>
      <c r="C1771" t="str">
        <f>IFERROR(__xludf.DUMMYFUNCTION("GOOGLETRANSLATE(B1771, ""zh"", ""en"")"),"1. feel very good logistics soon, received a single week;. The results shown in Figure 2 Master Lu, display unused.")</f>
        <v>1. feel very good logistics soon, received a single week;. The results shown in Figure 2 Master Lu, display unused.</v>
      </c>
    </row>
    <row r="1772">
      <c r="A1772" s="1">
        <v>5.0</v>
      </c>
      <c r="B1772" s="1" t="s">
        <v>1770</v>
      </c>
      <c r="C1772" t="str">
        <f>IFERROR(__xludf.DUMMYFUNCTION("GOOGLETRANSLATE(B1772, ""zh"", ""en"")"),"Perfectly appropriate to wear for the first time do not wear foot")</f>
        <v>Perfectly appropriate to wear for the first time do not wear foot</v>
      </c>
    </row>
    <row r="1773">
      <c r="A1773" s="1">
        <v>5.0</v>
      </c>
      <c r="B1773" s="1" t="s">
        <v>1771</v>
      </c>
      <c r="C1773" t="str">
        <f>IFERROR(__xludf.DUMMYFUNCTION("GOOGLETRANSLATE(B1773, ""zh"", ""en"")"),"Casio F-108WHC-7ACF watch is authentic, quality is better than expected, just do not know in China can guarantee it? Cover the table below to write manufactured in China.")</f>
        <v>Casio F-108WHC-7ACF watch is authentic, quality is better than expected, just do not know in China can guarantee it? Cover the table below to write manufactured in China.</v>
      </c>
    </row>
    <row r="1774">
      <c r="A1774" s="1">
        <v>5.0</v>
      </c>
      <c r="B1774" s="1" t="s">
        <v>1772</v>
      </c>
      <c r="C1774" t="str">
        <f>IFERROR(__xludf.DUMMYFUNCTION("GOOGLETRANSLATE(B1774, ""zh"", ""en"")"),"Value great pair of small speakers small box, I bought it home in one-piece Bluetooth speaker then start it right. After the desktop gracefully can easily show small sound field, very vocal cohesion. For two-way speaker 3-inch bass, the high school bass p"&amp;"erformance but yet, neutral colors. From the home, the lifting angle of the speaker it is necessary. Wire connection with the first wife has better sound quality than Bluetooth and loudness. I am very interested in trying to better use third-party wire. s"&amp;"c203 more pleasant than it is, but on the price, or is this small box victory. Another impressed me deeply is that the left and right speaker cables really rough ...... This is also effective measures to ensure sound quality")</f>
        <v>Value great pair of small speakers small box, I bought it home in one-piece Bluetooth speaker then start it right. After the desktop gracefully can easily show small sound field, very vocal cohesion. For two-way speaker 3-inch bass, the high school bass performance but yet, neutral colors. From the home, the lifting angle of the speaker it is necessary. Wire connection with the first wife has better sound quality than Bluetooth and loudness. I am very interested in trying to better use third-party wire. sc203 more pleasant than it is, but on the price, or is this small box victory. Another impressed me deeply is that the left and right speaker cables really rough ...... This is also effective measures to ensure sound quality</v>
      </c>
    </row>
    <row r="1775">
      <c r="A1775" s="1">
        <v>5.0</v>
      </c>
      <c r="B1775" s="1" t="s">
        <v>1773</v>
      </c>
      <c r="C1775" t="str">
        <f>IFERROR(__xludf.DUMMYFUNCTION("GOOGLETRANSLATE(B1775, ""zh"", ""en"")"),"Not how to eat good things, but not how to eat")</f>
        <v>Not how to eat good things, but not how to eat</v>
      </c>
    </row>
    <row r="1776">
      <c r="A1776" s="1">
        <v>5.0</v>
      </c>
      <c r="B1776" s="1" t="s">
        <v>1774</v>
      </c>
      <c r="C1776" t="str">
        <f>IFERROR(__xludf.DUMMYFUNCTION("GOOGLETRANSLATE(B1776, ""zh"", ""en"")"),"Easy to use, heat quickly, does have the effect of hair care, do not panic")</f>
        <v>Easy to use, heat quickly, does have the effect of hair care, do not panic</v>
      </c>
    </row>
    <row r="1777">
      <c r="A1777" s="1">
        <v>2.0</v>
      </c>
      <c r="B1777" s="1" t="s">
        <v>1775</v>
      </c>
      <c r="C1777" t="str">
        <f>IFERROR(__xludf.DUMMYFUNCTION("GOOGLETRANSLATE(B1777, ""zh"", ""en"")"),"Suspect bought a fake First of all the clothes out color, washed three times with warm colors in there, the quality is very general, I 80KG 172cm bust size 100cm. On the long sleeves, the overall size is also suitable")</f>
        <v>Suspect bought a fake First of all the clothes out color, washed three times with warm colors in there, the quality is very general, I 80KG 172cm bust size 100cm. On the long sleeves, the overall size is also suitable</v>
      </c>
    </row>
    <row r="1778">
      <c r="A1778" s="1">
        <v>3.0</v>
      </c>
      <c r="B1778" s="1" t="s">
        <v>1776</v>
      </c>
      <c r="C1778" t="str">
        <f>IFERROR(__xludf.DUMMYFUNCTION("GOOGLETRANSLATE(B1778, ""zh"", ""en"")"),"Thick soles children the right length, fly in the ointment is too thick soles children, only winter wear")</f>
        <v>Thick soles children the right length, fly in the ointment is too thick soles children, only winter wear</v>
      </c>
    </row>
    <row r="1779">
      <c r="A1779" s="1">
        <v>3.0</v>
      </c>
      <c r="B1779" s="1" t="s">
        <v>1777</v>
      </c>
      <c r="C1779" t="str">
        <f>IFERROR(__xludf.DUMMYFUNCTION("GOOGLETRANSLATE(B1779, ""zh"", ""en"")"),"Too many car thieves unfair entire line really do not see many, many thread is from Lee")</f>
        <v>Too many car thieves unfair entire line really do not see many, many thread is from Lee</v>
      </c>
    </row>
    <row r="1780">
      <c r="A1780" s="1">
        <v>1.0</v>
      </c>
      <c r="B1780" s="1" t="s">
        <v>1778</v>
      </c>
      <c r="C1780" t="str">
        <f>IFERROR(__xludf.DUMMYFUNCTION("GOOGLETRANSLATE(B1780, ""zh"", ""en"")"),"The first star to fade, fade serious.")</f>
        <v>The first star to fade, fade serious.</v>
      </c>
    </row>
    <row r="1781">
      <c r="A1781" s="1">
        <v>1.0</v>
      </c>
      <c r="B1781" s="1" t="s">
        <v>1779</v>
      </c>
      <c r="C1781" t="str">
        <f>IFERROR(__xludf.DUMMYFUNCTION("GOOGLETRANSLATE(B1781, ""zh"", ""en"")"),"Comments feels like more than a fake, and the store, not soft")</f>
        <v>Comments feels like more than a fake, and the store, not soft</v>
      </c>
    </row>
    <row r="1782">
      <c r="A1782" s="1">
        <v>1.0</v>
      </c>
      <c r="B1782" s="1" t="s">
        <v>1780</v>
      </c>
      <c r="C1782" t="str">
        <f>IFERROR(__xludf.DUMMYFUNCTION("GOOGLETRANSLATE(B1782, ""zh"", ""en"")"),"Not worth the price like a general, not as good, or there is background noise, too tall")</f>
        <v>Not worth the price like a general, not as good, or there is background noise, too tall</v>
      </c>
    </row>
    <row r="1783">
      <c r="A1783" s="1">
        <v>4.0</v>
      </c>
      <c r="B1783" s="1" t="s">
        <v>1781</v>
      </c>
      <c r="C1783" t="str">
        <f>IFERROR(__xludf.DUMMYFUNCTION("GOOGLETRANSLATE(B1783, ""zh"", ""en"")"),"Good color looks good, lighter than the picture, but, vamp high, with another one pairs brand is very appropriate, this pair on empty, obviously is one yards")</f>
        <v>Good color looks good, lighter than the picture, but, vamp high, with another one pairs brand is very appropriate, this pair on empty, obviously is one yards</v>
      </c>
    </row>
    <row r="1784">
      <c r="A1784" s="1">
        <v>4.0</v>
      </c>
      <c r="B1784" s="1" t="s">
        <v>1782</v>
      </c>
      <c r="C1784" t="str">
        <f>IFERROR(__xludf.DUMMYFUNCTION("GOOGLETRANSLATE(B1784, ""zh"", ""en"")"),"Black is buying less stable received quite a surprise. But with today when the write speed is there 6m +, I do not know computer problems or hard drive problems. When cancel the transfer reaction is also very slow, internal injuries.")</f>
        <v>Black is buying less stable received quite a surprise. But with today when the write speed is there 6m +, I do not know computer problems or hard drive problems. When cancel the transfer reaction is also very slow, internal injuries.</v>
      </c>
    </row>
    <row r="1785">
      <c r="A1785" s="1">
        <v>4.0</v>
      </c>
      <c r="B1785" s="1" t="s">
        <v>1783</v>
      </c>
      <c r="C1785" t="str">
        <f>IFERROR(__xludf.DUMMYFUNCTION("GOOGLETRANSLATE(B1785, ""zh"", ""en"")"),"Good quality good quality, then a little to perfect Slim")</f>
        <v>Good quality good quality, then a little to perfect Slim</v>
      </c>
    </row>
    <row r="1786">
      <c r="A1786" s="1">
        <v>4.0</v>
      </c>
      <c r="B1786" s="1" t="s">
        <v>1784</v>
      </c>
      <c r="C1786" t="str">
        <f>IFERROR(__xludf.DUMMYFUNCTION("GOOGLETRANSLATE(B1786, ""zh"", ""en"")"),"Thin fabric thin fabrics feel more 181/80 M wear feeling tight ...... code Asia")</f>
        <v>Thin fabric thin fabrics feel more 181/80 M wear feeling tight ...... code Asia</v>
      </c>
    </row>
    <row r="1787">
      <c r="A1787" s="1">
        <v>5.0</v>
      </c>
      <c r="B1787" s="1" t="s">
        <v>1785</v>
      </c>
      <c r="C1787" t="str">
        <f>IFERROR(__xludf.DUMMYFUNCTION("GOOGLETRANSLATE(B1787, ""zh"", ""en"")"),"Cost-effective helium disk, 7.27gb, 5400 rpm, 256mb cache. Cost-effective, the only drawback is a large shock.")</f>
        <v>Cost-effective helium disk, 7.27gb, 5400 rpm, 256mb cache. Cost-effective, the only drawback is a large shock.</v>
      </c>
    </row>
    <row r="1788">
      <c r="A1788" s="1">
        <v>5.0</v>
      </c>
      <c r="B1788" s="1" t="s">
        <v>1786</v>
      </c>
      <c r="C1788" t="str">
        <f>IFERROR(__xludf.DUMMYFUNCTION("GOOGLETRANSLATE(B1788, ""zh"", ""en"")"),"Very comfortable, that does not stimulate very comfortable, nothing exciting.")</f>
        <v>Very comfortable, that does not stimulate very comfortable, nothing exciting.</v>
      </c>
    </row>
    <row r="1789">
      <c r="A1789" s="1">
        <v>5.0</v>
      </c>
      <c r="B1789" s="1" t="s">
        <v>1787</v>
      </c>
      <c r="C1789" t="str">
        <f>IFERROR(__xludf.DUMMYFUNCTION("GOOGLETRANSLATE(B1789, ""zh"", ""en"")"),"The high cost of a high cost of a razor razors, noise is also acceptable range!")</f>
        <v>The high cost of a high cost of a razor razors, noise is also acceptable range!</v>
      </c>
    </row>
    <row r="1790">
      <c r="A1790" s="1">
        <v>5.0</v>
      </c>
      <c r="B1790" s="1" t="s">
        <v>1788</v>
      </c>
      <c r="C1790" t="str">
        <f>IFERROR(__xludf.DUMMYFUNCTION("GOOGLETRANSLATE(B1790, ""zh"", ""en"")"),"Artifact calligraphy pen super-smooth, M models just water. Calligraphy artifact. A pen-shaped design stable atmosphere, moderate weight, safe home business. Good pen!")</f>
        <v>Artifact calligraphy pen super-smooth, M models just water. Calligraphy artifact. A pen-shaped design stable atmosphere, moderate weight, safe home business. Good pen!</v>
      </c>
    </row>
    <row r="1791">
      <c r="A1791" s="1">
        <v>5.0</v>
      </c>
      <c r="B1791" s="1" t="s">
        <v>1789</v>
      </c>
      <c r="C1791" t="str">
        <f>IFERROR(__xludf.DUMMYFUNCTION("GOOGLETRANSLATE(B1791, ""zh"", ""en"")"),"Your toothbrush head is good, but the price is more expensive")</f>
        <v>Your toothbrush head is good, but the price is more expensive</v>
      </c>
    </row>
    <row r="1792">
      <c r="A1792" s="1">
        <v>5.0</v>
      </c>
      <c r="B1792" s="1" t="s">
        <v>1790</v>
      </c>
      <c r="C1792" t="str">
        <f>IFERROR(__xludf.DUMMYFUNCTION("GOOGLETRANSLATE(B1792, ""zh"", ""en"")"),"Easy to use has been in use, good price.")</f>
        <v>Easy to use has been in use, good price.</v>
      </c>
    </row>
    <row r="1793">
      <c r="A1793" s="1">
        <v>5.0</v>
      </c>
      <c r="B1793" s="1" t="s">
        <v>1791</v>
      </c>
      <c r="C1793" t="str">
        <f>IFERROR(__xludf.DUMMYFUNCTION("GOOGLETRANSLATE(B1793, ""zh"", ""en"")"),"Comfortable thermal underwear. Wear comfortable, size is very positive. Length is a little long.")</f>
        <v>Comfortable thermal underwear. Wear comfortable, size is very positive. Length is a little long.</v>
      </c>
    </row>
    <row r="1794">
      <c r="A1794" s="1">
        <v>5.0</v>
      </c>
      <c r="B1794" s="1" t="s">
        <v>1792</v>
      </c>
      <c r="C1794" t="str">
        <f>IFERROR(__xludf.DUMMYFUNCTION("GOOGLETRANSLATE(B1794, ""zh"", ""en"")"),"Some of the results of the machine Bang Bang episode very satisfied 😀 Amazon to praise the machine can do well with a very successful bakery bread noodles a good helper")</f>
        <v>Some of the results of the machine Bang Bang episode very satisfied 😀 Amazon to praise the machine can do well with a very successful bakery bread noodles a good helper</v>
      </c>
    </row>
    <row r="1795">
      <c r="A1795" s="1">
        <v>5.0</v>
      </c>
      <c r="B1795" s="1" t="s">
        <v>1793</v>
      </c>
      <c r="C1795" t="str">
        <f>IFERROR(__xludf.DUMMYFUNCTION("GOOGLETRANSLATE(B1795, ""zh"", ""en"")"),"Satisfied, very good commodity. Always wear. Fit and comfort. After the encounter will be a good price to buy back!")</f>
        <v>Satisfied, very good commodity. Always wear. Fit and comfort. After the encounter will be a good price to buy back!</v>
      </c>
    </row>
    <row r="1796">
      <c r="A1796" s="1">
        <v>5.0</v>
      </c>
      <c r="B1796" s="1" t="s">
        <v>1794</v>
      </c>
      <c r="C1796" t="str">
        <f>IFERROR(__xludf.DUMMYFUNCTION("GOOGLETRANSLATE(B1796, ""zh"", ""en"")"),"Quality good quality work well, soft and flexible, small one yard without problems because of the elastic waist slightly larger buy a little, not to say that good quality, very good!")</f>
        <v>Quality good quality work well, soft and flexible, small one yard without problems because of the elastic waist slightly larger buy a little, not to say that good quality, very good!</v>
      </c>
    </row>
    <row r="1797">
      <c r="A1797" s="1">
        <v>5.0</v>
      </c>
      <c r="B1797" s="1" t="s">
        <v>1795</v>
      </c>
      <c r="C1797" t="str">
        <f>IFERROR(__xludf.DUMMYFUNCTION("GOOGLETRANSLATE(B1797, ""zh"", ""en"")"),"Very good like the speed of delivery, quality can also be")</f>
        <v>Very good like the speed of delivery, quality can also be</v>
      </c>
    </row>
    <row r="1798">
      <c r="A1798" s="1">
        <v>5.0</v>
      </c>
      <c r="B1798" s="1" t="s">
        <v>1796</v>
      </c>
      <c r="C1798" t="str">
        <f>IFERROR(__xludf.DUMMYFUNCTION("GOOGLETRANSLATE(B1798, ""zh"", ""en"")"),"11 well, not from the previous evaluation, I do not know how many wasted points, points can change money now know, they should look carefully evaluated, this review helpful to you?")</f>
        <v>11 well, not from the previous evaluation, I do not know how many wasted points, points can change money now know, they should look carefully evaluated, this review helpful to you?</v>
      </c>
    </row>
    <row r="1799">
      <c r="A1799" s="1">
        <v>5.0</v>
      </c>
      <c r="B1799" s="1" t="s">
        <v>1797</v>
      </c>
      <c r="C1799" t="str">
        <f>IFERROR(__xludf.DUMMYFUNCTION("GOOGLETRANSLATE(B1799, ""zh"", ""en"")"),"Toothbrush with a good brushing too comfortable")</f>
        <v>Toothbrush with a good brushing too comfortable</v>
      </c>
    </row>
    <row r="1800">
      <c r="A1800" s="1">
        <v>5.0</v>
      </c>
      <c r="B1800" s="1" t="s">
        <v>1798</v>
      </c>
      <c r="C1800" t="str">
        <f>IFERROR(__xludf.DUMMYFUNCTION("GOOGLETRANSLATE(B1800, ""zh"", ""en"")"),"Cup ... not wireless speed fairly quickly, but I think the cup is wireless turned out I want more")</f>
        <v>Cup ... not wireless speed fairly quickly, but I think the cup is wireless turned out I want more</v>
      </c>
    </row>
    <row r="1801">
      <c r="A1801" s="1">
        <v>5.0</v>
      </c>
      <c r="B1801" s="1" t="s">
        <v>1799</v>
      </c>
      <c r="C1801" t="str">
        <f>IFERROR(__xludf.DUMMYFUNCTION("GOOGLETRANSLATE(B1801, ""zh"", ""en"")"),"Well worth buying! It is authentic! Fine workmanship, comfortable to hold a pen, the severity of the right, smooth writing, the price is reasonable.")</f>
        <v>Well worth buying! It is authentic! Fine workmanship, comfortable to hold a pen, the severity of the right, smooth writing, the price is reasonable.</v>
      </c>
    </row>
    <row r="1802">
      <c r="A1802" s="1">
        <v>5.0</v>
      </c>
      <c r="B1802" s="1" t="s">
        <v>1800</v>
      </c>
      <c r="C1802" t="str">
        <f>IFERROR(__xludf.DUMMYFUNCTION("GOOGLETRANSLATE(B1802, ""zh"", ""en"")"),"Cost can pants worthy of the price, the right size.")</f>
        <v>Cost can pants worthy of the price, the right size.</v>
      </c>
    </row>
    <row r="1803">
      <c r="A1803" s="1">
        <v>5.0</v>
      </c>
      <c r="B1803" s="1" t="s">
        <v>1801</v>
      </c>
      <c r="C1803" t="str">
        <f>IFERROR(__xludf.DUMMYFUNCTION("GOOGLETRANSLATE(B1803, ""zh"", ""en"")"),"Suitable size 176cm 71kg, 32 * 32 later, the right size.")</f>
        <v>Suitable size 176cm 71kg, 32 * 32 later, the right size.</v>
      </c>
    </row>
    <row r="1804">
      <c r="A1804" s="1">
        <v>5.0</v>
      </c>
      <c r="B1804" s="1" t="s">
        <v>1802</v>
      </c>
      <c r="C1804" t="str">
        <f>IFERROR(__xludf.DUMMYFUNCTION("GOOGLETRANSLATE(B1804, ""zh"", ""en"")"),"Very good package packet")</f>
        <v>Very good package packet</v>
      </c>
    </row>
    <row r="1805">
      <c r="A1805" s="1">
        <v>5.0</v>
      </c>
      <c r="B1805" s="1" t="s">
        <v>1803</v>
      </c>
      <c r="C1805" t="str">
        <f>IFERROR(__xludf.DUMMYFUNCTION("GOOGLETRANSLATE(B1805, ""zh"", ""en"")"),"Found that've been looking for, cotton, waist, comfortable")</f>
        <v>Found that've been looking for, cotton, waist, comfortable</v>
      </c>
    </row>
    <row r="1806">
      <c r="A1806" s="1">
        <v>5.0</v>
      </c>
      <c r="B1806" s="1" t="s">
        <v>1804</v>
      </c>
      <c r="C1806" t="str">
        <f>IFERROR(__xludf.DUMMYFUNCTION("GOOGLETRANSLATE(B1806, ""zh"", ""en"")"),"Good shoe can usually wear the Nike 42.5 is not playing bad buy 9US whole good. Yes, it is the right size to wear just a little foot where Ge feel uncomfortable, wearing a three-day get used to it did not feel. Shoes, great weight is very strong on-site w"&amp;"ork is not afraid to hit the kick to knock afraid to step on a nail.")</f>
        <v>Good shoe can usually wear the Nike 42.5 is not playing bad buy 9US whole good. Yes, it is the right size to wear just a little foot where Ge feel uncomfortable, wearing a three-day get used to it did not feel. Shoes, great weight is very strong on-site work is not afraid to hit the kick to knock afraid to step on a nail.</v>
      </c>
    </row>
    <row r="1807">
      <c r="A1807" s="1">
        <v>5.0</v>
      </c>
      <c r="B1807" s="1" t="s">
        <v>1805</v>
      </c>
      <c r="C1807" t="str">
        <f>IFERROR(__xludf.DUMMYFUNCTION("GOOGLETRANSLATE(B1807, ""zh"", ""en"")"),"Something very, very good value, although very expensive, can be used to describe quality")</f>
        <v>Something very, very good value, although very expensive, can be used to describe quality</v>
      </c>
    </row>
    <row r="1808">
      <c r="A1808" s="1">
        <v>5.0</v>
      </c>
      <c r="B1808" s="1" t="s">
        <v>1806</v>
      </c>
      <c r="C1808" t="str">
        <f>IFERROR(__xludf.DUMMYFUNCTION("GOOGLETRANSLATE(B1808, ""zh"", ""en"")"),"Good fabric to wear comfortable, basic fit, slightly fat ass")</f>
        <v>Good fabric to wear comfortable, basic fit, slightly fat ass</v>
      </c>
    </row>
    <row r="1809">
      <c r="A1809" s="1">
        <v>2.0</v>
      </c>
      <c r="B1809" s="1" t="s">
        <v>1807</v>
      </c>
      <c r="C1809" t="str">
        <f>IFERROR(__xludf.DUMMYFUNCTION("GOOGLETRANSLATE(B1809, ""zh"", ""en"")"),"Writing is not smooth, nothing special, this product is equivalent to China five years ago, the product is now difficult to buy the ballpoint pen in the Chinese market. Cheap, writing is not smooth, positioning forget to bring a pen for the meeting room o"&amp;"nce used, but in fact it is a waste, damage to the environment, so did not feel the positioning of the product. I do not recommend buying. Amazon do not always put foreign obsolete products purchased by overseas Chinese throw, I understand that the way to"&amp;" deal with inventory. Prior to include tommy wallets, RMB does not fit, India production than China's wallet do not know how bad, I guess tommy many years of inventory. Amazon gave us a lot of overseas purchase ""fresh"" content, thank you first, but also"&amp;" a lot of ""inventory""")</f>
        <v>Writing is not smooth, nothing special, this product is equivalent to China five years ago, the product is now difficult to buy the ballpoint pen in the Chinese market. Cheap, writing is not smooth, positioning forget to bring a pen for the meeting room once used, but in fact it is a waste, damage to the environment, so did not feel the positioning of the product. I do not recommend buying. Amazon do not always put foreign obsolete products purchased by overseas Chinese throw, I understand that the way to deal with inventory. Prior to include tommy wallets, RMB does not fit, India production than China's wallet do not know how bad, I guess tommy many years of inventory. Amazon gave us a lot of overseas purchase "fresh" content, thank you first, but also a lot of "inventory"</v>
      </c>
    </row>
    <row r="1810">
      <c r="A1810" s="1">
        <v>3.0</v>
      </c>
      <c r="B1810" s="1" t="s">
        <v>1808</v>
      </c>
      <c r="C1810" t="str">
        <f>IFERROR(__xludf.DUMMYFUNCTION("GOOGLETRANSLATE(B1810, ""zh"", ""en"")"),"Work in general work in general, than expected difference!")</f>
        <v>Work in general work in general, than expected difference!</v>
      </c>
    </row>
    <row r="1811">
      <c r="A1811" s="1">
        <v>3.0</v>
      </c>
      <c r="B1811" s="1" t="s">
        <v>1809</v>
      </c>
      <c r="C1811" t="str">
        <f>IFERROR(__xludf.DUMMYFUNCTION("GOOGLETRANSLATE(B1811, ""zh"", ""en"")"),"It looks quite lovely, but simple-minded. It looks quite lovely, but simple-minded.")</f>
        <v>It looks quite lovely, but simple-minded. It looks quite lovely, but simple-minded.</v>
      </c>
    </row>
    <row r="1812">
      <c r="A1812" s="1">
        <v>3.0</v>
      </c>
      <c r="B1812" s="1" t="s">
        <v>1810</v>
      </c>
      <c r="C1812" t="str">
        <f>IFERROR(__xludf.DUMMYFUNCTION("GOOGLETRANSLATE(B1812, ""zh"", ""en"")"),"Size is selected from buy small size hard, small height and weighing 75 to buy s 182 yards, there is no large buy m symbols replaced, or a List")</f>
        <v>Size is selected from buy small size hard, small height and weighing 75 to buy s 182 yards, there is no large buy m symbols replaced, or a List</v>
      </c>
    </row>
    <row r="1813">
      <c r="A1813" s="1">
        <v>1.0</v>
      </c>
      <c r="B1813" s="1" t="s">
        <v>1811</v>
      </c>
      <c r="C1813" t="str">
        <f>IFERROR(__xludf.DUMMYFUNCTION("GOOGLETRANSLATE(B1813, ""zh"", ""en"")"),"Mrs. follow the recommended size is too big, again referring to the comments already small one yards than the normal election, try to get the super big, not replacement, return should subsidize only bad review, and also the first a negative feedback ah! T"&amp;"his reference table size is too Kengren it!")</f>
        <v>Mrs. follow the recommended size is too big, again referring to the comments already small one yards than the normal election, try to get the super big, not replacement, return should subsidize only bad review, and also the first a negative feedback ah! This reference table size is too Kengren it!</v>
      </c>
    </row>
    <row r="1814">
      <c r="A1814" s="1">
        <v>1.0</v>
      </c>
      <c r="B1814" s="1" t="s">
        <v>1812</v>
      </c>
      <c r="C1814" t="str">
        <f>IFERROR(__xludf.DUMMYFUNCTION("GOOGLETRANSLATE(B1814, ""zh"", ""en"")"),"Graphic match for the first time to buy, and sent me the picture is not the same, re-buy after the return, and sent me the picture or the picture is not the same shoes ...... misplaced it")</f>
        <v>Graphic match for the first time to buy, and sent me the picture is not the same, re-buy after the return, and sent me the picture or the picture is not the same shoes ...... misplaced it</v>
      </c>
    </row>
    <row r="1815">
      <c r="A1815" s="1">
        <v>4.0</v>
      </c>
      <c r="B1815" s="1" t="s">
        <v>1813</v>
      </c>
      <c r="C1815" t="str">
        <f>IFERROR(__xludf.DUMMYFUNCTION("GOOGLETRANSLATE(B1815, ""zh"", ""en"")"),"Leather just does not seem to rub a bit on the broken skin, the feeling is not leather, the price is not high, looks can be.")</f>
        <v>Leather just does not seem to rub a bit on the broken skin, the feeling is not leather, the price is not high, looks can be.</v>
      </c>
    </row>
    <row r="1816">
      <c r="A1816" s="1">
        <v>4.0</v>
      </c>
      <c r="B1816" s="1" t="s">
        <v>1814</v>
      </c>
      <c r="C1816" t="str">
        <f>IFERROR(__xludf.DUMMYFUNCTION("GOOGLETRANSLATE(B1816, ""zh"", ""en"")"),"Cheap winter wear size is too large for very cheap, wool, suitable for winter wear. But they really too large and has a. Recently in the United States and Asia to buy shoes, clothes are too large.")</f>
        <v>Cheap winter wear size is too large for very cheap, wool, suitable for winter wear. But they really too large and has a. Recently in the United States and Asia to buy shoes, clothes are too large.</v>
      </c>
    </row>
    <row r="1817">
      <c r="A1817" s="1">
        <v>4.0</v>
      </c>
      <c r="B1817" s="1" t="s">
        <v>1815</v>
      </c>
      <c r="C1817" t="str">
        <f>IFERROR(__xludf.DUMMYFUNCTION("GOOGLETRANSLATE(B1817, ""zh"", ""en"")"),"Packaging bad headphones sound really great, but sent me packing for a long time sucks, that is not new, and 250 in Europe if there is no pre-push, then only use a computer is a mobile phone could not move. So back to change the ath m50x")</f>
        <v>Packaging bad headphones sound really great, but sent me packing for a long time sucks, that is not new, and 250 in Europe if there is no pre-push, then only use a computer is a mobile phone could not move. So back to change the ath m50x</v>
      </c>
    </row>
    <row r="1818">
      <c r="A1818" s="1">
        <v>4.0</v>
      </c>
      <c r="B1818" s="1" t="s">
        <v>1816</v>
      </c>
      <c r="C1818" t="str">
        <f>IFERROR(__xludf.DUMMYFUNCTION("GOOGLETRANSLATE(B1818, ""zh"", ""en"")"),"Special attention than less than half the code 650EE shoes shoe last: less than half than the shoes code 650EE shoe last (that is to say this is danner normal shoe size) I generally wear shoes with danner 8ee blue thick insole just wealthy 1 finger width,"&amp;" the 8.5 also so just the same. We all know the advantages I will not say + Disadvantages: 1 star buckle, a common problem metal parts will rust, so each way when oiled cast can be solved 2, skin rather hard, grinding foot comparison, first proposed on 3 "&amp;"better wear softening oil, and the white line will be meandering tongue .............")</f>
        <v>Special attention than less than half the code 650EE shoes shoe last: less than half than the shoes code 650EE shoe last (that is to say this is danner normal shoe size) I generally wear shoes with danner 8ee blue thick insole just wealthy 1 finger width, the 8.5 also so just the same. We all know the advantages I will not say + Disadvantages: 1 star buckle, a common problem metal parts will rust, so each way when oiled cast can be solved 2, skin rather hard, grinding foot comparison, first proposed on 3 better wear softening oil, and the white line will be meandering tongue .............</v>
      </c>
    </row>
    <row r="1819">
      <c r="A1819" s="1">
        <v>4.0</v>
      </c>
      <c r="B1819" s="1" t="s">
        <v>1817</v>
      </c>
      <c r="C1819" t="str">
        <f>IFERROR(__xludf.DUMMYFUNCTION("GOOGLETRANSLATE(B1819, ""zh"", ""en"")"),"Big point height 175cm, weight 77kg, XL is at least a yard.")</f>
        <v>Big point height 175cm, weight 77kg, XL is at least a yard.</v>
      </c>
    </row>
    <row r="1820">
      <c r="A1820" s="1">
        <v>5.0</v>
      </c>
      <c r="B1820" s="1" t="s">
        <v>1818</v>
      </c>
      <c r="C1820" t="str">
        <f>IFERROR(__xludf.DUMMYFUNCTION("GOOGLETRANSLATE(B1820, ""zh"", ""en"")"),"Nice shoes good, cost-effective than domestic, I wear Uk8 just 265 feet,")</f>
        <v>Nice shoes good, cost-effective than domestic, I wear Uk8 just 265 feet,</v>
      </c>
    </row>
    <row r="1821">
      <c r="A1821" s="1">
        <v>5.0</v>
      </c>
      <c r="B1821" s="1" t="s">
        <v>1819</v>
      </c>
      <c r="C1821" t="str">
        <f>IFERROR(__xludf.DUMMYFUNCTION("GOOGLETRANSLATE(B1821, ""zh"", ""en"")"),"Quite satisfied 178,63 study bought a half-day of 30/32, after the hand texture satisfied with the color styling, you want this to work are not able to wear trousers pants. But because it is a little low-cut and slightly further back so tight, a bit lengt"&amp;"h slightly longer, 31/31 should be more appropriate, 31/32 OK")</f>
        <v>Quite satisfied 178,63 study bought a half-day of 30/32, after the hand texture satisfied with the color styling, you want this to work are not able to wear trousers pants. But because it is a little low-cut and slightly further back so tight, a bit length slightly longer, 31/31 should be more appropriate, 31/32 OK</v>
      </c>
    </row>
    <row r="1822">
      <c r="A1822" s="1">
        <v>5.0</v>
      </c>
      <c r="B1822" s="1" t="s">
        <v>1820</v>
      </c>
      <c r="C1822" t="str">
        <f>IFERROR(__xludf.DUMMYFUNCTION("GOOGLETRANSLATE(B1822, ""zh"", ""en"")"),"Somatosensory good to send LP adults, good price, recommend to hurry with the goods purchased abroad")</f>
        <v>Somatosensory good to send LP adults, good price, recommend to hurry with the goods purchased abroad</v>
      </c>
    </row>
    <row r="1823">
      <c r="A1823" s="1">
        <v>5.0</v>
      </c>
      <c r="B1823" s="1" t="s">
        <v>1821</v>
      </c>
      <c r="C1823" t="str">
        <f>IFERROR(__xludf.DUMMYFUNCTION("GOOGLETRANSLATE(B1823, ""zh"", ""en"")"),"We look forward to the results did not eat, should be good")</f>
        <v>We look forward to the results did not eat, should be good</v>
      </c>
    </row>
    <row r="1824">
      <c r="A1824" s="1">
        <v>5.0</v>
      </c>
      <c r="B1824" s="1" t="s">
        <v>1822</v>
      </c>
      <c r="C1824" t="str">
        <f>IFERROR(__xludf.DUMMYFUNCTION("GOOGLETRANSLATE(B1824, ""zh"", ""en"")"),"Genuine good! And the United States bought the same! awesome!")</f>
        <v>Genuine good! And the United States bought the same! awesome!</v>
      </c>
    </row>
    <row r="1825">
      <c r="A1825" s="1">
        <v>5.0</v>
      </c>
      <c r="B1825" s="1" t="s">
        <v>1823</v>
      </c>
      <c r="C1825" t="str">
        <f>IFERROR(__xludf.DUMMYFUNCTION("GOOGLETRANSLATE(B1825, ""zh"", ""en"")"),"ecco hiking shoes, but fortunately, No. 14 overall orders, to No. 23 in Chongqing, faster. Color slightly darker than the picture, but also good. The right size, did not pass through outdoor hiking shoes ecco, hoping and other shoes as perfect experience."&amp;" And a tongue tie at the simple, I do not know whether there is gore as fabrics, soles lightweight, durable and wear-resistant hope")</f>
        <v>ecco hiking shoes, but fortunately, No. 14 overall orders, to No. 23 in Chongqing, faster. Color slightly darker than the picture, but also good. The right size, did not pass through outdoor hiking shoes ecco, hoping and other shoes as perfect experience. And a tongue tie at the simple, I do not know whether there is gore as fabrics, soles lightweight, durable and wear-resistant hope</v>
      </c>
    </row>
    <row r="1826">
      <c r="A1826" s="1">
        <v>5.0</v>
      </c>
      <c r="B1826" s="1" t="s">
        <v>1824</v>
      </c>
      <c r="C1826" t="str">
        <f>IFERROR(__xludf.DUMMYFUNCTION("GOOGLETRANSLATE(B1826, ""zh"", ""en"")"),"These shoes are very comfortable and very comfortable, the price is very appropriate")</f>
        <v>These shoes are very comfortable and very comfortable, the price is very appropriate</v>
      </c>
    </row>
    <row r="1827">
      <c r="A1827" s="1">
        <v>5.0</v>
      </c>
      <c r="B1827" s="1" t="s">
        <v>1825</v>
      </c>
      <c r="C1827" t="str">
        <f>IFERROR(__xludf.DUMMYFUNCTION("GOOGLETRANSLATE(B1827, ""zh"", ""en"")"),"Than the counter value is not the province of a Ding slightest, as long as the understanding of their size, or cost-effective, because it is overseas purchase, so the time is a bit long")</f>
        <v>Than the counter value is not the province of a Ding slightest, as long as the understanding of their size, or cost-effective, because it is overseas purchase, so the time is a bit long</v>
      </c>
    </row>
    <row r="1828">
      <c r="A1828" s="1">
        <v>5.0</v>
      </c>
      <c r="B1828" s="1" t="s">
        <v>1826</v>
      </c>
      <c r="C1828" t="str">
        <f>IFERROR(__xludf.DUMMYFUNCTION("GOOGLETRANSLATE(B1828, ""zh"", ""en"")"),"Satisfaction should be leather, taste, smell may be skin? satisfaction")</f>
        <v>Satisfaction should be leather, taste, smell may be skin? satisfaction</v>
      </c>
    </row>
    <row r="1829">
      <c r="A1829" s="1">
        <v>5.0</v>
      </c>
      <c r="B1829" s="1" t="s">
        <v>1827</v>
      </c>
      <c r="C1829" t="str">
        <f>IFERROR(__xludf.DUMMYFUNCTION("GOOGLETRANSLATE(B1829, ""zh"", ""en"")"),"Well once I took a two ML a L two colors are like the results are not willing to retreat on two left a very good fit 180cm 85kg")</f>
        <v>Well once I took a two ML a L two colors are like the results are not willing to retreat on two left a very good fit 180cm 85kg</v>
      </c>
    </row>
    <row r="1830">
      <c r="A1830" s="1">
        <v>5.0</v>
      </c>
      <c r="B1830" s="1" t="s">
        <v>1828</v>
      </c>
      <c r="C1830" t="str">
        <f>IFERROR(__xludf.DUMMYFUNCTION("GOOGLETRANSLATE(B1830, ""zh"", ""en"")"),"Insulation effect very good, strong thermal insulation effect")</f>
        <v>Insulation effect very good, strong thermal insulation effect</v>
      </c>
    </row>
    <row r="1831">
      <c r="A1831" s="1">
        <v>5.0</v>
      </c>
      <c r="B1831" s="1" t="s">
        <v>1829</v>
      </c>
      <c r="C1831" t="str">
        <f>IFERROR(__xludf.DUMMYFUNCTION("GOOGLETRANSLATE(B1831, ""zh"", ""en"")"),"Good quality good quality, slightly larger shoe")</f>
        <v>Good quality good quality, slightly larger shoe</v>
      </c>
    </row>
    <row r="1832">
      <c r="A1832" s="1">
        <v>5.0</v>
      </c>
      <c r="B1832" s="1" t="s">
        <v>1830</v>
      </c>
      <c r="C1832" t="str">
        <f>IFERROR(__xludf.DUMMYFUNCTION("GOOGLETRANSLATE(B1832, ""zh"", ""en"")"),"Leather shoes can be a little bit bigger")</f>
        <v>Leather shoes can be a little bit bigger</v>
      </c>
    </row>
    <row r="1833">
      <c r="A1833" s="1">
        <v>5.0</v>
      </c>
      <c r="B1833" s="1" t="s">
        <v>1831</v>
      </c>
      <c r="C1833" t="str">
        <f>IFERROR(__xludf.DUMMYFUNCTION("GOOGLETRANSLATE(B1833, ""zh"", ""en"")"),"Like like ~ bought back, the little guy a lot of times to wash hands")</f>
        <v>Like like ~ bought back, the little guy a lot of times to wash hands</v>
      </c>
    </row>
    <row r="1834">
      <c r="A1834" s="1">
        <v>5.0</v>
      </c>
      <c r="B1834" s="1" t="s">
        <v>1832</v>
      </c>
      <c r="C1834" t="str">
        <f>IFERROR(__xludf.DUMMYFUNCTION("GOOGLETRANSLATE(B1834, ""zh"", ""en"")"),"Expected effect I feel very real, very big bottle. Some whole, more than the outside layer of plastic film packaging than the Lynx, as well as in the cap layer of film, almost taste.")</f>
        <v>Expected effect I feel very real, very big bottle. Some whole, more than the outside layer of plastic film packaging than the Lynx, as well as in the cap layer of film, almost taste.</v>
      </c>
    </row>
    <row r="1835">
      <c r="A1835" s="1">
        <v>5.0</v>
      </c>
      <c r="B1835" s="1" t="s">
        <v>1833</v>
      </c>
      <c r="C1835" t="str">
        <f>IFERROR(__xludf.DUMMYFUNCTION("GOOGLETRANSLATE(B1835, ""zh"", ""en"")"),"It sounds great price spike was okay, the sound quality is also good, but power too small, can only be used very close monitoring.")</f>
        <v>It sounds great price spike was okay, the sound quality is also good, but power too small, can only be used very close monitoring.</v>
      </c>
    </row>
    <row r="1836">
      <c r="A1836" s="1">
        <v>5.0</v>
      </c>
      <c r="B1836" s="1" t="s">
        <v>1834</v>
      </c>
      <c r="C1836" t="str">
        <f>IFERROR(__xludf.DUMMYFUNCTION("GOOGLETRANSLATE(B1836, ""zh"", ""en"")"),"European standard national standard hot and cold water pipe fittings need another with the European standard interfaces appear to be three points, four points are the national standard interfaces. Good goods")</f>
        <v>European standard national standard hot and cold water pipe fittings need another with the European standard interfaces appear to be three points, four points are the national standard interfaces. Good goods</v>
      </c>
    </row>
    <row r="1837">
      <c r="A1837" s="1">
        <v>5.0</v>
      </c>
      <c r="B1837" s="1" t="s">
        <v>1835</v>
      </c>
      <c r="C1837" t="str">
        <f>IFERROR(__xludf.DUMMYFUNCTION("GOOGLETRANSLATE(B1837, ""zh"", ""en"")"),"Satisfied with the group table wine store three types of light, not wearing a winter ice hand and comfortable. 6 Bureau of Radio, solar, reverse display, store wine worth buying three of the group table, satisfied!")</f>
        <v>Satisfied with the group table wine store three types of light, not wearing a winter ice hand and comfortable. 6 Bureau of Radio, solar, reverse display, store wine worth buying three of the group table, satisfied!</v>
      </c>
    </row>
    <row r="1838">
      <c r="A1838" s="1">
        <v>5.0</v>
      </c>
      <c r="B1838" s="1" t="s">
        <v>1836</v>
      </c>
      <c r="C1838" t="str">
        <f>IFERROR(__xludf.DUMMYFUNCTION("GOOGLETRANSLATE(B1838, ""zh"", ""en"")"),"👍🏻 good, much cheaper than domestic")</f>
        <v>👍🏻 good, much cheaper than domestic</v>
      </c>
    </row>
    <row r="1839">
      <c r="A1839" s="1">
        <v>5.0</v>
      </c>
      <c r="B1839" s="1" t="s">
        <v>1837</v>
      </c>
      <c r="C1839" t="str">
        <f>IFERROR(__xludf.DUMMYFUNCTION("GOOGLETRANSLATE(B1839, ""zh"", ""en"")"),"Good wife 162 high, 100 pounds, wearing just right, work is also good")</f>
        <v>Good wife 162 high, 100 pounds, wearing just right, work is also good</v>
      </c>
    </row>
    <row r="1840">
      <c r="A1840" s="1">
        <v>5.0</v>
      </c>
      <c r="B1840" s="1" t="s">
        <v>1838</v>
      </c>
      <c r="C1840" t="str">
        <f>IFERROR(__xludf.DUMMYFUNCTION("GOOGLETRANSLATE(B1840, ""zh"", ""en"")"),"Acid composition is very good to see that my kids do not eat very sour taste")</f>
        <v>Acid composition is very good to see that my kids do not eat very sour taste</v>
      </c>
    </row>
    <row r="1841">
      <c r="A1841" s="1">
        <v>2.0</v>
      </c>
      <c r="B1841" s="1" t="s">
        <v>1839</v>
      </c>
      <c r="C1841" t="str">
        <f>IFERROR(__xludf.DUMMYFUNCTION("GOOGLETRANSLATE(B1841, ""zh"", ""en"")"),"Wash twice to become discolored discoloring, redness")</f>
        <v>Wash twice to become discolored discoloring, redness</v>
      </c>
    </row>
    <row r="1842">
      <c r="A1842" s="1">
        <v>3.0</v>
      </c>
      <c r="B1842" s="1" t="s">
        <v>1840</v>
      </c>
      <c r="C1842" t="str">
        <f>IFERROR(__xludf.DUMMYFUNCTION("GOOGLETRANSLATE(B1842, ""zh"", ""en"")"),"Clothes version is not suitable for bad 172/75, clothes too long overall")</f>
        <v>Clothes version is not suitable for bad 172/75, clothes too long overall</v>
      </c>
    </row>
    <row r="1843">
      <c r="A1843" s="1">
        <v>3.0</v>
      </c>
      <c r="B1843" s="1" t="s">
        <v>1841</v>
      </c>
      <c r="C1843" t="str">
        <f>IFERROR(__xludf.DUMMYFUNCTION("GOOGLETRANSLATE(B1843, ""zh"", ""en"")"),"Samsung evaluation Vietnamese, feel good, feeling a little sanding. Half the number shoulder width, long sleeves, short body, not as warm Fleece is not recommended")</f>
        <v>Samsung evaluation Vietnamese, feel good, feeling a little sanding. Half the number shoulder width, long sleeves, short body, not as warm Fleece is not recommended</v>
      </c>
    </row>
    <row r="1844">
      <c r="A1844" s="1">
        <v>1.0</v>
      </c>
      <c r="B1844" s="1" t="s">
        <v>1842</v>
      </c>
      <c r="C1844" t="str">
        <f>IFERROR(__xludf.DUMMYFUNCTION("GOOGLETRANSLATE(B1844, ""zh"", ""en"")"),"XL I really do not know, a mess of foreign dimensions are the same size just some brands, some big, some small. The problem has appeared in the LEE. The clothes obviously some big, and the size XXL I've bought abroad the same. I also bought LEE exception "&amp;"of jeans, 40/32 is significantly large, 38/30 have a significantly smaller. And I bought abroad levi's just fit on the 38/30. Is there a problem here? Who is in there out what hair thing!")</f>
        <v>XL I really do not know, a mess of foreign dimensions are the same size just some brands, some big, some small. The problem has appeared in the LEE. The clothes obviously some big, and the size XXL I've bought abroad the same. I also bought LEE exception of jeans, 40/32 is significantly large, 38/30 have a significantly smaller. And I bought abroad levi's just fit on the 38/30. Is there a problem here? Who is in there out what hair thing!</v>
      </c>
    </row>
    <row r="1845">
      <c r="A1845" s="1">
        <v>1.0</v>
      </c>
      <c r="B1845" s="1" t="s">
        <v>1843</v>
      </c>
      <c r="C1845" t="str">
        <f>IFERROR(__xludf.DUMMYFUNCTION("GOOGLETRANSLATE(B1845, ""zh"", ""en"")"),"There are serious quality problems and the Amazon is not to change the broken garbage garbage Amazon Seagate hard drive warranty evade two three-way calling each other so that together Seagate find Amazon, Amazon wants me to think for myself very bad shop"&amp;"ping experience I wish you an early leave China")</f>
        <v>There are serious quality problems and the Amazon is not to change the broken garbage garbage Amazon Seagate hard drive warranty evade two three-way calling each other so that together Seagate find Amazon, Amazon wants me to think for myself very bad shopping experience I wish you an early leave China</v>
      </c>
    </row>
    <row r="1846">
      <c r="A1846" s="1">
        <v>1.0</v>
      </c>
      <c r="B1846" s="1" t="s">
        <v>1844</v>
      </c>
      <c r="C1846" t="str">
        <f>IFERROR(__xludf.DUMMYFUNCTION("GOOGLETRANSLATE(B1846, ""zh"", ""en"")"),"This dress is too long, long clothes version is rather strange, rather long, I 167/63, s this dress code just Shoulder, chest taut, but below the hem was near the crotch, if you buy the m properly skirt to wear, very embarrassed, at the same time to buy R"&amp;"alph Lauren, hugo bosss code exactly. . . .")</f>
        <v>This dress is too long, long clothes version is rather strange, rather long, I 167/63, s this dress code just Shoulder, chest taut, but below the hem was near the crotch, if you buy the m properly skirt to wear, very embarrassed, at the same time to buy Ralph Lauren, hugo bosss code exactly. . . .</v>
      </c>
    </row>
    <row r="1847">
      <c r="A1847" s="1">
        <v>4.0</v>
      </c>
      <c r="B1847" s="1" t="s">
        <v>1845</v>
      </c>
      <c r="C1847" t="str">
        <f>IFERROR(__xludf.DUMMYFUNCTION("GOOGLETRANSLATE(B1847, ""zh"", ""en"")"),"24CM enamel pot boil, and do a bowl of soup, taste good, a good pot")</f>
        <v>24CM enamel pot boil, and do a bowl of soup, taste good, a good pot</v>
      </c>
    </row>
    <row r="1848">
      <c r="A1848" s="1">
        <v>4.0</v>
      </c>
      <c r="B1848" s="1" t="s">
        <v>1846</v>
      </c>
      <c r="C1848" t="str">
        <f>IFERROR(__xludf.DUMMYFUNCTION("GOOGLETRANSLATE(B1848, ""zh"", ""en"")"),"The general feeling sink side too dishwasher This seems the general feeling")</f>
        <v>The general feeling sink side too dishwasher This seems the general feeling</v>
      </c>
    </row>
    <row r="1849">
      <c r="A1849" s="1">
        <v>4.0</v>
      </c>
      <c r="B1849" s="1" t="s">
        <v>1847</v>
      </c>
      <c r="C1849" t="str">
        <f>IFERROR(__xludf.DUMMYFUNCTION("GOOGLETRANSLATE(B1849, ""zh"", ""en"")"),"Suitable size, heated, very hot pot, to be noted that the anti-hot pot gettin not used")</f>
        <v>Suitable size, heated, very hot pot, to be noted that the anti-hot pot gettin not used</v>
      </c>
    </row>
    <row r="1850">
      <c r="A1850" s="1">
        <v>4.0</v>
      </c>
      <c r="B1850" s="1" t="s">
        <v>1848</v>
      </c>
      <c r="C1850" t="str">
        <f>IFERROR(__xludf.DUMMYFUNCTION("GOOGLETRANSLATE(B1850, ""zh"", ""en"")"),"The preferred overall kinetic energy of young entry-level light is a perfect sea Amoy shopping experience. Table I expected, that is, before not wearing a watch, now wearing a watch a little less adaptation. Or it is too loose, or is strong, anyway, not v"&amp;"ery comfortable.")</f>
        <v>The preferred overall kinetic energy of young entry-level light is a perfect sea Amoy shopping experience. Table I expected, that is, before not wearing a watch, now wearing a watch a little less adaptation. Or it is too loose, or is strong, anyway, not very comfortable.</v>
      </c>
    </row>
    <row r="1851">
      <c r="A1851" s="1">
        <v>4.0</v>
      </c>
      <c r="B1851" s="1" t="s">
        <v>1849</v>
      </c>
      <c r="C1851" t="str">
        <f>IFERROR(__xludf.DUMMYFUNCTION("GOOGLETRANSLATE(B1851, ""zh"", ""en"")"),"In addition to the original factory packaging, no transport packaging, the arrival of the original packaging is damaged seriously! In addition to the original factory packaging, no transport packaging, the original packaging is damaged severely arrival! W"&amp;"anted to return, I thought for a moment too much trouble, when the courier surface inspection findings machine Accessories are, giving the capsule 14 are also not damaged, so they took home trial, but fortunately no problem. We hope businesses in the tran"&amp;"sport process to take account '.")</f>
        <v>In addition to the original factory packaging, no transport packaging, the arrival of the original packaging is damaged seriously! In addition to the original factory packaging, no transport packaging, the original packaging is damaged severely arrival! Wanted to return, I thought for a moment too much trouble, when the courier surface inspection findings machine Accessories are, giving the capsule 14 are also not damaged, so they took home trial, but fortunately no problem. We hope businesses in the transport process to take account '.</v>
      </c>
    </row>
    <row r="1852">
      <c r="A1852" s="1">
        <v>5.0</v>
      </c>
      <c r="B1852" s="1" t="s">
        <v>1850</v>
      </c>
      <c r="C1852" t="str">
        <f>IFERROR(__xludf.DUMMYFUNCTION("GOOGLETRANSLATE(B1852, ""zh"", ""en"")"),"Value for money hand quickly, the hard disk itself is good quality, cost-effective.")</f>
        <v>Value for money hand quickly, the hard disk itself is good quality, cost-effective.</v>
      </c>
    </row>
    <row r="1853">
      <c r="A1853" s="1">
        <v>5.0</v>
      </c>
      <c r="B1853" s="1" t="s">
        <v>1851</v>
      </c>
      <c r="C1853" t="str">
        <f>IFERROR(__xludf.DUMMYFUNCTION("GOOGLETRANSLATE(B1853, ""zh"", ""en"")"),"Taste good just fine, and product description, like son said to orange-flavored, this bottle eat, if good results will continue to stockpile 😊")</f>
        <v>Taste good just fine, and product description, like son said to orange-flavored, this bottle eat, if good results will continue to stockpile 😊</v>
      </c>
    </row>
    <row r="1854">
      <c r="A1854" s="1">
        <v>5.0</v>
      </c>
      <c r="B1854" s="1" t="s">
        <v>1852</v>
      </c>
      <c r="C1854" t="str">
        <f>IFERROR(__xludf.DUMMYFUNCTION("GOOGLETRANSLATE(B1854, ""zh"", ""en"")"),"Satisfied with the size is very accurate, neutral color, men and women can be.")</f>
        <v>Satisfied with the size is very accurate, neutral color, men and women can be.</v>
      </c>
    </row>
    <row r="1855">
      <c r="A1855" s="1">
        <v>5.0</v>
      </c>
      <c r="B1855" s="1" t="s">
        <v>1853</v>
      </c>
      <c r="C1855" t="str">
        <f>IFERROR(__xludf.DUMMYFUNCTION("GOOGLETRANSLATE(B1855, ""zh"", ""en"")"),"It was nice pen. Logistics quickly, very warm in charge of Amazon customers, pen is also very like, very pleasant shopping experience!")</f>
        <v>It was nice pen. Logistics quickly, very warm in charge of Amazon customers, pen is also very like, very pleasant shopping experience!</v>
      </c>
    </row>
    <row r="1856">
      <c r="A1856" s="1">
        <v>5.0</v>
      </c>
      <c r="B1856" s="1" t="s">
        <v>1854</v>
      </c>
      <c r="C1856" t="str">
        <f>IFERROR(__xludf.DUMMYFUNCTION("GOOGLETRANSLATE(B1856, ""zh"", ""en"")"),"Value. Like most ecco comfortable, very comfortable, with foot insoles, soft soles of shoes than similar, value")</f>
        <v>Value. Like most ecco comfortable, very comfortable, with foot insoles, soft soles of shoes than similar, value</v>
      </c>
    </row>
    <row r="1857">
      <c r="A1857" s="1">
        <v>5.0</v>
      </c>
      <c r="B1857" s="1" t="s">
        <v>1855</v>
      </c>
      <c r="C1857" t="str">
        <f>IFERROR(__xludf.DUMMYFUNCTION("GOOGLETRANSLATE(B1857, ""zh"", ""en"")"),"Bought a total of two effective price is very good but the other one is sent from Hong Kong but things are good, like a courier is sent from Wisconsin for the first time with front teeth bleeding gums now under eight stalls with some four or five times, w"&amp;"ell try to open higher after feeling a little flushed show is better able to feel")</f>
        <v>Bought a total of two effective price is very good but the other one is sent from Hong Kong but things are good, like a courier is sent from Wisconsin for the first time with front teeth bleeding gums now under eight stalls with some four or five times, well try to open higher after feeling a little flushed show is better able to feel</v>
      </c>
    </row>
    <row r="1858">
      <c r="A1858" s="1">
        <v>5.0</v>
      </c>
      <c r="B1858" s="1" t="s">
        <v>1856</v>
      </c>
      <c r="C1858" t="str">
        <f>IFERROR(__xludf.DUMMYFUNCTION("GOOGLETRANSLATE(B1858, ""zh"", ""en"")"),"I liked the coffee machine was like, express delivery speed is fast, all in a day. Small coffee machine, enhance happiness index, thumbs up 👍")</f>
        <v>I liked the coffee machine was like, express delivery speed is fast, all in a day. Small coffee machine, enhance happiness index, thumbs up 👍</v>
      </c>
    </row>
    <row r="1859">
      <c r="A1859" s="1">
        <v>5.0</v>
      </c>
      <c r="B1859" s="1" t="s">
        <v>1857</v>
      </c>
      <c r="C1859" t="str">
        <f>IFERROR(__xludf.DUMMYFUNCTION("GOOGLETRANSLATE(B1859, ""zh"", ""en"")"),"Shoe size standard, prior comfortable to wear ECCO 41 yards shoes, ASICS 8.5 yards sneakers, this election 41 yards, but also a little worried about the result just 😊; wear comfortable shoes, worth recommending!")</f>
        <v>Shoe size standard, prior comfortable to wear ECCO 41 yards shoes, ASICS 8.5 yards sneakers, this election 41 yards, but also a little worried about the result just 😊; wear comfortable shoes, worth recommending!</v>
      </c>
    </row>
    <row r="1860">
      <c r="A1860" s="1">
        <v>5.0</v>
      </c>
      <c r="B1860" s="1" t="s">
        <v>1858</v>
      </c>
      <c r="C1860" t="str">
        <f>IFERROR(__xludf.DUMMYFUNCTION("GOOGLETRANSLATE(B1860, ""zh"", ""en"")"),"Really fragrant bass lovers turn over gradually from 99 latent really fragrant bass is not very different but still better than a lot of potential but the 99 treble stronger than one star the slightest")</f>
        <v>Really fragrant bass lovers turn over gradually from 99 latent really fragrant bass is not very different but still better than a lot of potential but the 99 treble stronger than one star the slightest</v>
      </c>
    </row>
    <row r="1861">
      <c r="A1861" s="1">
        <v>5.0</v>
      </c>
      <c r="B1861" s="1" t="s">
        <v>1859</v>
      </c>
      <c r="C1861" t="str">
        <f>IFERROR(__xludf.DUMMYFUNCTION("GOOGLETRANSLATE(B1861, ""zh"", ""en"")"),"For fat people look good foot for foot fat people")</f>
        <v>For fat people look good foot for foot fat people</v>
      </c>
    </row>
    <row r="1862">
      <c r="A1862" s="1">
        <v>5.0</v>
      </c>
      <c r="B1862" s="1" t="s">
        <v>1860</v>
      </c>
      <c r="C1862" t="str">
        <f>IFERROR(__xludf.DUMMYFUNCTION("GOOGLETRANSLATE(B1862, ""zh"", ""en"")"),"Not bad products")</f>
        <v>Not bad products</v>
      </c>
    </row>
    <row r="1863">
      <c r="A1863" s="1">
        <v>5.0</v>
      </c>
      <c r="B1863" s="1" t="s">
        <v>1861</v>
      </c>
      <c r="C1863" t="str">
        <f>IFERROR(__xludf.DUMMYFUNCTION("GOOGLETRANSLATE(B1863, ""zh"", ""en"")"),"Purchasing spike is very good, a friend recommended this brand, Japanese shipments, much cheaper than purchasing, genuine easy to use.")</f>
        <v>Purchasing spike is very good, a friend recommended this brand, Japanese shipments, much cheaper than purchasing, genuine easy to use.</v>
      </c>
    </row>
    <row r="1864">
      <c r="A1864" s="1">
        <v>5.0</v>
      </c>
      <c r="B1864" s="1" t="s">
        <v>1862</v>
      </c>
      <c r="C1864" t="str">
        <f>IFERROR(__xludf.DUMMYFUNCTION("GOOGLETRANSLATE(B1864, ""zh"", ""en"")"),"Good quality and good quality, can not afford to velvet. It is slightly longer sleeves")</f>
        <v>Good quality and good quality, can not afford to velvet. It is slightly longer sleeves</v>
      </c>
    </row>
    <row r="1865">
      <c r="A1865" s="1">
        <v>5.0</v>
      </c>
      <c r="B1865" s="1" t="s">
        <v>1863</v>
      </c>
      <c r="C1865" t="str">
        <f>IFERROR(__xludf.DUMMYFUNCTION("GOOGLETRANSLATE(B1865, ""zh"", ""en"")"),"It feels good soft, lightweight and comfortable warm clothing")</f>
        <v>It feels good soft, lightweight and comfortable warm clothing</v>
      </c>
    </row>
    <row r="1866">
      <c r="A1866" s="1">
        <v>5.0</v>
      </c>
      <c r="B1866" s="1" t="s">
        <v>1864</v>
      </c>
      <c r="C1866" t="str">
        <f>IFERROR(__xludf.DUMMYFUNCTION("GOOGLETRANSLATE(B1866, ""zh"", ""en"")"),"Grinding foot problems can not be solved right foot a little wear, but the overall feeling okay quality.")</f>
        <v>Grinding foot problems can not be solved right foot a little wear, but the overall feeling okay quality.</v>
      </c>
    </row>
    <row r="1867">
      <c r="A1867" s="1">
        <v>5.0</v>
      </c>
      <c r="B1867" s="1" t="s">
        <v>1865</v>
      </c>
      <c r="C1867" t="str">
        <f>IFERROR(__xludf.DUMMYFUNCTION("GOOGLETRANSLATE(B1867, ""zh"", ""en"")"),"Great experience is very good, very fond of, leading very heavy, a bit surprised, honest use of materials.")</f>
        <v>Great experience is very good, very fond of, leading very heavy, a bit surprised, honest use of materials.</v>
      </c>
    </row>
    <row r="1868">
      <c r="A1868" s="1">
        <v>5.0</v>
      </c>
      <c r="B1868" s="1" t="s">
        <v>1866</v>
      </c>
      <c r="C1868" t="str">
        <f>IFERROR(__xludf.DUMMYFUNCTION("GOOGLETRANSLATE(B1868, ""zh"", ""en"")"),"Rigid good material, good size just right. Pretty good")</f>
        <v>Rigid good material, good size just right. Pretty good</v>
      </c>
    </row>
    <row r="1869">
      <c r="A1869" s="1">
        <v>5.0</v>
      </c>
      <c r="B1869" s="1" t="s">
        <v>1867</v>
      </c>
      <c r="C1869" t="str">
        <f>IFERROR(__xludf.DUMMYFUNCTION("GOOGLETRANSLATE(B1869, ""zh"", ""en"")"),"Very light and comfortable upper body is very comfortable and comfortable, suitable for summer wear!")</f>
        <v>Very light and comfortable upper body is very comfortable and comfortable, suitable for summer wear!</v>
      </c>
    </row>
    <row r="1870">
      <c r="A1870" s="1">
        <v>5.0</v>
      </c>
      <c r="B1870" s="1" t="s">
        <v>1868</v>
      </c>
      <c r="C1870" t="str">
        <f>IFERROR(__xludf.DUMMYFUNCTION("GOOGLETRANSLATE(B1870, ""zh"", ""en"")"),"Very fast delivery would have thought to wait until next week to receive, did not expect yesterday received. Free Trade Zone is estimated to be shipped from it - today began to eat, I hope bb healthy smart")</f>
        <v>Very fast delivery would have thought to wait until next week to receive, did not expect yesterday received. Free Trade Zone is estimated to be shipped from it - today began to eat, I hope bb healthy smart</v>
      </c>
    </row>
    <row r="1871">
      <c r="A1871" s="1">
        <v>5.0</v>
      </c>
      <c r="B1871" s="1" t="s">
        <v>1869</v>
      </c>
      <c r="C1871" t="str">
        <f>IFERROR(__xludf.DUMMYFUNCTION("GOOGLETRANSLATE(B1871, ""zh"", ""en"")"),"Cheap cheap ah, less than three hundred.")</f>
        <v>Cheap cheap ah, less than three hundred.</v>
      </c>
    </row>
    <row r="1872">
      <c r="A1872" s="1">
        <v>5.0</v>
      </c>
      <c r="B1872" s="1" t="s">
        <v>1870</v>
      </c>
      <c r="C1872" t="str">
        <f>IFERROR(__xludf.DUMMYFUNCTION("GOOGLETRANSLATE(B1872, ""zh"", ""en"")"),"Mainly cheap cheap, with a couple of boxes and found a leak bags")</f>
        <v>Mainly cheap cheap, with a couple of boxes and found a leak bags</v>
      </c>
    </row>
    <row r="1873">
      <c r="A1873" s="1">
        <v>5.0</v>
      </c>
      <c r="B1873" s="1" t="s">
        <v>1871</v>
      </c>
      <c r="C1873" t="str">
        <f>IFERROR(__xludf.DUMMYFUNCTION("GOOGLETRANSLATE(B1873, ""zh"", ""en"")"),"Very satisfied with the scissors out of the blue one has a red still working very good thing")</f>
        <v>Very satisfied with the scissors out of the blue one has a red still working very good thing</v>
      </c>
    </row>
    <row r="1874">
      <c r="A1874" s="1">
        <v>2.0</v>
      </c>
      <c r="B1874" s="1" t="s">
        <v>1872</v>
      </c>
      <c r="C1874" t="str">
        <f>IFERROR(__xludf.DUMMYFUNCTION("GOOGLETRANSLATE(B1874, ""zh"", ""en"")"),"Baggy size'd be right, but it is kind of loose, no type. I also look to buy four, are inappropriate! Can not buy after the Japanese bra!")</f>
        <v>Baggy size'd be right, but it is kind of loose, no type. I also look to buy four, are inappropriate! Can not buy after the Japanese bra!</v>
      </c>
    </row>
    <row r="1875">
      <c r="A1875" s="1">
        <v>3.0</v>
      </c>
      <c r="B1875" s="1" t="s">
        <v>1873</v>
      </c>
      <c r="C1875" t="str">
        <f>IFERROR(__xludf.DUMMYFUNCTION("GOOGLETRANSLATE(B1875, ""zh"", ""en"")"),"Buy a box before the whole rotten, I feel pretty good, ready to buy three sets to give as gifts, the result of all the rotten box, silent")</f>
        <v>Buy a box before the whole rotten, I feel pretty good, ready to buy three sets to give as gifts, the result of all the rotten box, silent</v>
      </c>
    </row>
    <row r="1876">
      <c r="A1876" s="1">
        <v>3.0</v>
      </c>
      <c r="B1876" s="1" t="s">
        <v>1874</v>
      </c>
      <c r="C1876" t="str">
        <f>IFERROR(__xludf.DUMMYFUNCTION("GOOGLETRANSLATE(B1876, ""zh"", ""en"")"),"New just have to wash several times it did not charcoal is not recommended to buy this, expensive and troublesome very annoying, as there will be this new charcoal. The old used up, these days with the opening of the Amazon to buy new, that can worry some"&amp;" of the results cup bottom there are still many small black particles. Remove the cartridge come washing, three times washing water are still black. That was no difference between the old and ah, as a hassle to clean several times to use. And the British "&amp;"have to send over more expensive, but also exposure to upload identity privacy. Might as well buy a new domestic forget. But I bought in Germany, the UK local filter does not need to wash, clean no particles in the bottom of the cup. I really do not know "&amp;"how,")</f>
        <v>New just have to wash several times it did not charcoal is not recommended to buy this, expensive and troublesome very annoying, as there will be this new charcoal. The old used up, these days with the opening of the Amazon to buy new, that can worry some of the results cup bottom there are still many small black particles. Remove the cartridge come washing, three times washing water are still black. That was no difference between the old and ah, as a hassle to clean several times to use. And the British have to send over more expensive, but also exposure to upload identity privacy. Might as well buy a new domestic forget. But I bought in Germany, the UK local filter does not need to wash, clean no particles in the bottom of the cup. I really do not know how,</v>
      </c>
    </row>
    <row r="1877">
      <c r="A1877" s="1">
        <v>3.0</v>
      </c>
      <c r="B1877" s="1" t="s">
        <v>1875</v>
      </c>
      <c r="C1877" t="str">
        <f>IFERROR(__xludf.DUMMYFUNCTION("GOOGLETRANSLATE(B1877, ""zh"", ""en"")"),"170 65kg s code bit long sleeve entirely appropriate, the sleeves sprinkling")</f>
        <v>170 65kg s code bit long sleeve entirely appropriate, the sleeves sprinkling</v>
      </c>
    </row>
    <row r="1878">
      <c r="A1878" s="1">
        <v>1.0</v>
      </c>
      <c r="B1878" s="1" t="s">
        <v>1876</v>
      </c>
      <c r="C1878" t="str">
        <f>IFERROR(__xludf.DUMMYFUNCTION("GOOGLETRANSLATE(B1878, ""zh"", ""en"")"),"Is too large, the details and photos do not match the details and photos do not match, buy big, too lazy to back up")</f>
        <v>Is too large, the details and photos do not match the details and photos do not match, buy big, too lazy to back up</v>
      </c>
    </row>
    <row r="1879">
      <c r="A1879" s="1">
        <v>1.0</v>
      </c>
      <c r="B1879" s="1" t="s">
        <v>1877</v>
      </c>
      <c r="C1879" t="str">
        <f>IFERROR(__xludf.DUMMYFUNCTION("GOOGLETRANSLATE(B1879, ""zh"", ""en"")"),"His family did not face mq70 hook, to purchase another home mq70 his face and no hook to purchase another")</f>
        <v>His family did not face mq70 hook, to purchase another home mq70 his face and no hook to purchase another</v>
      </c>
    </row>
    <row r="1880">
      <c r="A1880" s="1">
        <v>4.0</v>
      </c>
      <c r="B1880" s="1" t="s">
        <v>1878</v>
      </c>
      <c r="C1880" t="str">
        <f>IFERROR(__xludf.DUMMYFUNCTION("GOOGLETRANSLATE(B1880, ""zh"", ""en"")"),"Okay, a bit thick okay, that is a bit thick, the other better")</f>
        <v>Okay, a bit thick okay, that is a bit thick, the other better</v>
      </c>
    </row>
    <row r="1881">
      <c r="A1881" s="1">
        <v>4.0</v>
      </c>
      <c r="B1881" s="1" t="s">
        <v>1879</v>
      </c>
      <c r="C1881" t="str">
        <f>IFERROR(__xludf.DUMMYFUNCTION("GOOGLETRANSLATE(B1881, ""zh"", ""en"")"),"Price moving. Price moving: the purchase price. Logistics General: early delivery, early delivery, express little brother well. Quality line: trust WD, so buy it, but not very good data lines, two cable connectors are a bit loose, the feeling is not firm "&amp;"(plugged into the notebook USB2.0 transfer directly off a period of time)")</f>
        <v>Price moving. Price moving: the purchase price. Logistics General: early delivery, early delivery, express little brother well. Quality line: trust WD, so buy it, but not very good data lines, two cable connectors are a bit loose, the feeling is not firm (plugged into the notebook USB2.0 transfer directly off a period of time)</v>
      </c>
    </row>
    <row r="1882">
      <c r="A1882" s="1">
        <v>4.0</v>
      </c>
      <c r="B1882" s="1" t="s">
        <v>1880</v>
      </c>
      <c r="C1882" t="str">
        <f>IFERROR(__xludf.DUMMYFUNCTION("GOOGLETRANSLATE(B1882, ""zh"", ""en"")"),"Good fried steak is good, there is no coating of non-stick wok is impossible, makeshift bar, 10-inch has 5 pounds, and for women is also very heavy man, glad we did not buy more")</f>
        <v>Good fried steak is good, there is no coating of non-stick wok is impossible, makeshift bar, 10-inch has 5 pounds, and for women is also very heavy man, glad we did not buy more</v>
      </c>
    </row>
    <row r="1883">
      <c r="A1883" s="1">
        <v>4.0</v>
      </c>
      <c r="B1883" s="1" t="s">
        <v>1881</v>
      </c>
      <c r="C1883" t="str">
        <f>IFERROR(__xludf.DUMMYFUNCTION("GOOGLETRANSLATE(B1883, ""zh"", ""en"")"),"Color is too large, and thin fabric, suitable for spring wear computer ratio, color is too large, darker color, dark blue to nearly black, fabric and thin, but flexible, wear suitable for spring")</f>
        <v>Color is too large, and thin fabric, suitable for spring wear computer ratio, color is too large, darker color, dark blue to nearly black, fabric and thin, but flexible, wear suitable for spring</v>
      </c>
    </row>
    <row r="1884">
      <c r="A1884" s="1">
        <v>4.0</v>
      </c>
      <c r="B1884" s="1" t="s">
        <v>1882</v>
      </c>
      <c r="C1884" t="str">
        <f>IFERROR(__xludf.DUMMYFUNCTION("GOOGLETRANSLATE(B1884, ""zh"", ""en"")"),"Marshall Marshall Minor II early in the Amazon shopping experience for the first time, received headphones. 1. Watch the details, good shape, see the headset profile, details of the place, it should be genuine. 2. Just use sound, bass done very shocking, "&amp;"after other effects need to burn in order to understand. 3. Line a bit short, thick neck, then if possible to wear a bit uncomfortable.")</f>
        <v>Marshall Marshall Minor II early in the Amazon shopping experience for the first time, received headphones. 1. Watch the details, good shape, see the headset profile, details of the place, it should be genuine. 2. Just use sound, bass done very shocking, after other effects need to burn in order to understand. 3. Line a bit short, thick neck, then if possible to wear a bit uncomfortable.</v>
      </c>
    </row>
    <row r="1885">
      <c r="A1885" s="1">
        <v>5.0</v>
      </c>
      <c r="B1885" s="1" t="s">
        <v>1883</v>
      </c>
      <c r="C1885" t="str">
        <f>IFERROR(__xludf.DUMMYFUNCTION("GOOGLETRANSLATE(B1885, ""zh"", ""en"")"),"Clothes fit, very fit quite satisfied, bought two a good work, the other is not how cheap. Shipping a little slow, good customer service attitude is good, also called me to explain the situation, this is pretty cool, express not sent home, the attitude in"&amp;" general, a little fly in the ointment, overall not bad.")</f>
        <v>Clothes fit, very fit quite satisfied, bought two a good work, the other is not how cheap. Shipping a little slow, good customer service attitude is good, also called me to explain the situation, this is pretty cool, express not sent home, the attitude in general, a little fly in the ointment, overall not bad.</v>
      </c>
    </row>
    <row r="1886">
      <c r="A1886" s="1">
        <v>5.0</v>
      </c>
      <c r="B1886" s="1" t="s">
        <v>1884</v>
      </c>
      <c r="C1886" t="str">
        <f>IFERROR(__xludf.DUMMYFUNCTION("GOOGLETRANSLATE(B1886, ""zh"", ""en"")"),"Very good, appropriate, receive 10 days")</f>
        <v>Very good, appropriate, receive 10 days</v>
      </c>
    </row>
    <row r="1887">
      <c r="A1887" s="1">
        <v>5.0</v>
      </c>
      <c r="B1887" s="1" t="s">
        <v>1885</v>
      </c>
      <c r="C1887" t="str">
        <f>IFERROR(__xludf.DUMMYFUNCTION("GOOGLETRANSLATE(B1887, ""zh"", ""en"")"),"Very Good Very Good very fine leather version, no problem will not fall back just started to wear a little difficult to wear a few times would be good")</f>
        <v>Very Good Very Good very fine leather version, no problem will not fall back just started to wear a little difficult to wear a few times would be good</v>
      </c>
    </row>
    <row r="1888">
      <c r="A1888" s="1">
        <v>5.0</v>
      </c>
      <c r="B1888" s="1" t="s">
        <v>1886</v>
      </c>
      <c r="C1888" t="str">
        <f>IFERROR(__xludf.DUMMYFUNCTION("GOOGLETRANSLATE(B1888, ""zh"", ""en"")"),"Pants are very comfortable with my height 160cm, weight 105 pounds, to buy a larger number 8, the estimated number 6 is enough! Pants good elasticity, wear very comfortable!")</f>
        <v>Pants are very comfortable with my height 160cm, weight 105 pounds, to buy a larger number 8, the estimated number 6 is enough! Pants good elasticity, wear very comfortable!</v>
      </c>
    </row>
    <row r="1889">
      <c r="A1889" s="1">
        <v>5.0</v>
      </c>
      <c r="B1889" s="1" t="s">
        <v>1887</v>
      </c>
      <c r="C1889" t="str">
        <f>IFERROR(__xludf.DUMMYFUNCTION("GOOGLETRANSLATE(B1889, ""zh"", ""en"")"),"prime Day discount is really value for money! Price value ah, I used to expand the 4K original disc collection, but no warranty, hope it will not go wrong.")</f>
        <v>prime Day discount is really value for money! Price value ah, I used to expand the 4K original disc collection, but no warranty, hope it will not go wrong.</v>
      </c>
    </row>
    <row r="1890">
      <c r="A1890" s="1">
        <v>5.0</v>
      </c>
      <c r="B1890" s="1" t="s">
        <v>1888</v>
      </c>
      <c r="C1890" t="str">
        <f>IFERROR(__xludf.DUMMYFUNCTION("GOOGLETRANSLATE(B1890, ""zh"", ""en"")"),"Not good to very good friends, like the appearance of this crude ore, only the first pot of porridge overflow, mess, black on the bottom of the pot a few Indian, I should be operational problems, then there is no longer with overflow, very like 💕")</f>
        <v>Not good to very good friends, like the appearance of this crude ore, only the first pot of porridge overflow, mess, black on the bottom of the pot a few Indian, I should be operational problems, then there is no longer with overflow, very like 💕</v>
      </c>
    </row>
    <row r="1891">
      <c r="A1891" s="1">
        <v>5.0</v>
      </c>
      <c r="B1891" s="1" t="s">
        <v>1889</v>
      </c>
      <c r="C1891" t="str">
        <f>IFERROR(__xludf.DUMMYFUNCTION("GOOGLETRANSLATE(B1891, ""zh"", ""en"")"),"Can be added to taste fat too fast, sick face color, think of it to eat protein powder, Amazon trustworthy, we see other people's evaluation did not know, which actually have a spoon, fishing for a long time to find out, but how much to eat once or no con"&amp;"cept")</f>
        <v>Can be added to taste fat too fast, sick face color, think of it to eat protein powder, Amazon trustworthy, we see other people's evaluation did not know, which actually have a spoon, fishing for a long time to find out, but how much to eat once or no concept</v>
      </c>
    </row>
    <row r="1892">
      <c r="A1892" s="1">
        <v>5.0</v>
      </c>
      <c r="B1892" s="1" t="s">
        <v>1890</v>
      </c>
      <c r="C1892" t="str">
        <f>IFERROR(__xludf.DUMMYFUNCTION("GOOGLETRANSLATE(B1892, ""zh"", ""en"")"),"Price fluctuations too! I just want to say I'm 623 hand, but the hand was found after the price cuts, 550 will be able to hand the difference between the 70, too lazy to back, too much trouble overseas. It might sound quality just like with very satisfied"&amp;".")</f>
        <v>Price fluctuations too! I just want to say I'm 623 hand, but the hand was found after the price cuts, 550 will be able to hand the difference between the 70, too lazy to back, too much trouble overseas. It might sound quality just like with very satisfied.</v>
      </c>
    </row>
    <row r="1893">
      <c r="A1893" s="1">
        <v>5.0</v>
      </c>
      <c r="B1893" s="1" t="s">
        <v>1891</v>
      </c>
      <c r="C1893" t="str">
        <f>IFERROR(__xludf.DUMMYFUNCTION("GOOGLETRANSLATE(B1893, ""zh"", ""en"")"),"Super lightweight for summer comfort, flexibility, ideal for summer, wear to yoga does not shift, just do not know whether durable")</f>
        <v>Super lightweight for summer comfort, flexibility, ideal for summer, wear to yoga does not shift, just do not know whether durable</v>
      </c>
    </row>
    <row r="1894">
      <c r="A1894" s="1">
        <v>5.0</v>
      </c>
      <c r="B1894" s="1" t="s">
        <v>1892</v>
      </c>
      <c r="C1894" t="str">
        <f>IFERROR(__xludf.DUMMYFUNCTION("GOOGLETRANSLATE(B1894, ""zh"", ""en"")"),"In addition to large, I heard really good shoes too big yardage, I deliberately buy small half a yard, but still big. My feet long but did not belong to the kind of meat,")</f>
        <v>In addition to large, I heard really good shoes too big yardage, I deliberately buy small half a yard, but still big. My feet long but did not belong to the kind of meat,</v>
      </c>
    </row>
    <row r="1895">
      <c r="A1895" s="1">
        <v>5.0</v>
      </c>
      <c r="B1895" s="1" t="s">
        <v>1893</v>
      </c>
      <c r="C1895" t="str">
        <f>IFERROR(__xludf.DUMMYFUNCTION("GOOGLETRANSLATE(B1895, ""zh"", ""en"")"),"Seamless material super good value for money and quality of this price is simply great value!")</f>
        <v>Seamless material super good value for money and quality of this price is simply great value!</v>
      </c>
    </row>
    <row r="1896">
      <c r="A1896" s="1">
        <v>5.0</v>
      </c>
      <c r="B1896" s="1" t="s">
        <v>1894</v>
      </c>
      <c r="C1896" t="str">
        <f>IFERROR(__xludf.DUMMYFUNCTION("GOOGLETRANSLATE(B1896, ""zh"", ""en"")"),"Looks good once returned goods, good service. Good headphones, resolve the bad, the sound field feeling a little small, may be closed because of it, usually listen to pop, vocal far, listening to instrumental music is very good, suitable for classical, in"&amp;" line with Baia style.")</f>
        <v>Looks good once returned goods, good service. Good headphones, resolve the bad, the sound field feeling a little small, may be closed because of it, usually listen to pop, vocal far, listening to instrumental music is very good, suitable for classical, in line with Baia style.</v>
      </c>
    </row>
    <row r="1897">
      <c r="A1897" s="1">
        <v>5.0</v>
      </c>
      <c r="B1897" s="1" t="s">
        <v>1895</v>
      </c>
      <c r="C1897" t="str">
        <f>IFERROR(__xludf.DUMMYFUNCTION("GOOGLETRANSLATE(B1897, ""zh"", ""en"")"),"Size fit, comfort is very good upper body, upper body comfort, size fit! Height 170, weight 70 kg, M code perfect fit! Pretty good")</f>
        <v>Size fit, comfort is very good upper body, upper body comfort, size fit! Height 170, weight 70 kg, M code perfect fit! Pretty good</v>
      </c>
    </row>
    <row r="1898">
      <c r="A1898" s="1">
        <v>5.0</v>
      </c>
      <c r="B1898" s="1" t="s">
        <v>1896</v>
      </c>
      <c r="C1898" t="str">
        <f>IFERROR(__xludf.DUMMYFUNCTION("GOOGLETRANSLATE(B1898, ""zh"", ""en"")"),"Good for a friend's daughter, after she received believes Meng Meng, very cute, very, very happy!")</f>
        <v>Good for a friend's daughter, after she received believes Meng Meng, very cute, very, very happy!</v>
      </c>
    </row>
    <row r="1899">
      <c r="A1899" s="1">
        <v>5.0</v>
      </c>
      <c r="B1899" s="1" t="s">
        <v>1897</v>
      </c>
      <c r="C1899" t="str">
        <f>IFERROR(__xludf.DUMMYFUNCTION("GOOGLETRANSLATE(B1899, ""zh"", ""en"")"),"Comfortable right size, very comfortable to wear")</f>
        <v>Comfortable right size, very comfortable to wear</v>
      </c>
    </row>
    <row r="1900">
      <c r="A1900" s="1">
        <v>5.0</v>
      </c>
      <c r="B1900" s="1" t="s">
        <v>1898</v>
      </c>
      <c r="C1900" t="str">
        <f>IFERROR(__xludf.DUMMYFUNCTION("GOOGLETRANSLATE(B1900, ""zh"", ""en"")"),"Like heavy unchanged bought several, and has been like a weight has not changed")</f>
        <v>Like heavy unchanged bought several, and has been like a weight has not changed</v>
      </c>
    </row>
    <row r="1901">
      <c r="A1901" s="1">
        <v>5.0</v>
      </c>
      <c r="B1901" s="1" t="s">
        <v>1899</v>
      </c>
      <c r="C1901" t="str">
        <f>IFERROR(__xludf.DUMMYFUNCTION("GOOGLETRANSLATE(B1901, ""zh"", ""en"")"),"Reliable and comfortable, really good! Delivery time faster than expected!")</f>
        <v>Reliable and comfortable, really good! Delivery time faster than expected!</v>
      </c>
    </row>
    <row r="1902">
      <c r="A1902" s="1">
        <v>5.0</v>
      </c>
      <c r="B1902" s="1" t="s">
        <v>1900</v>
      </c>
      <c r="C1902" t="str">
        <f>IFERROR(__xludf.DUMMYFUNCTION("GOOGLETRANSLATE(B1902, ""zh"", ""en"")"),"Good insulation effect, the official online home are not selling something very good, the inside of the stainless steel is the best I've ever seen, super bright, hot to go in the first morning, there are still 30, 40 degrees the next morning about it, yes"&amp;". But thermos insulation effect is not good, it may be the reason uncoated bar")</f>
        <v>Good insulation effect, the official online home are not selling something very good, the inside of the stainless steel is the best I've ever seen, super bright, hot to go in the first morning, there are still 30, 40 degrees the next morning about it, yes. But thermos insulation effect is not good, it may be the reason uncoated bar</v>
      </c>
    </row>
    <row r="1903">
      <c r="A1903" s="1">
        <v>5.0</v>
      </c>
      <c r="B1903" s="1" t="s">
        <v>1901</v>
      </c>
      <c r="C1903" t="str">
        <f>IFERROR(__xludf.DUMMYFUNCTION("GOOGLETRANSLATE(B1903, ""zh"", ""en"")"),"The first is the price of the successful, black is buying is still very good value, not freight tariffs on more than 900 yuan cheaper than the official website. In fact, buy this dress size is most in doubt, the size of this clothes is particularly strang"&amp;"e, everyone will feel different to wear, before bought a L in the official website of feel a little bit smaller, later read a lot online comments and contrast (Chinese English have read), and finally bought a XL, but did not increase in terms of clothes l"&amp;"ong, so I do not struggled on short do with it. Finally, providing about my size, for reference (in fact useless) I 190CM tall 150 pounds, slim build, wearing almost the length L and XL, L shoulder width is just right, then you can try to wear loose XL.")</f>
        <v>The first is the price of the successful, black is buying is still very good value, not freight tariffs on more than 900 yuan cheaper than the official website. In fact, buy this dress size is most in doubt, the size of this clothes is particularly strange, everyone will feel different to wear, before bought a L in the official website of feel a little bit smaller, later read a lot online comments and contrast (Chinese English have read), and finally bought a XL, but did not increase in terms of clothes long, so I do not struggled on short do with it. Finally, providing about my size, for reference (in fact useless) I 190CM tall 150 pounds, slim build, wearing almost the length L and XL, L shoulder width is just right, then you can try to wear loose XL.</v>
      </c>
    </row>
    <row r="1904">
      <c r="A1904" s="1">
        <v>5.0</v>
      </c>
      <c r="B1904" s="1" t="s">
        <v>1902</v>
      </c>
      <c r="C1904" t="str">
        <f>IFERROR(__xludf.DUMMYFUNCTION("GOOGLETRANSLATE(B1904, ""zh"", ""en"")"),"good quality. This is thin, the quality is very good, better than the poor Nichia.")</f>
        <v>good quality. This is thin, the quality is very good, better than the poor Nichia.</v>
      </c>
    </row>
    <row r="1905">
      <c r="A1905" s="1">
        <v>5.0</v>
      </c>
      <c r="B1905" s="1" t="s">
        <v>1903</v>
      </c>
      <c r="C1905" t="str">
        <f>IFERROR(__xludf.DUMMYFUNCTION("GOOGLETRANSLATE(B1905, ""zh"", ""en"")"),"You can also use the effect does not know how, but the design is very reasonable, a little squeeze before the baby are squeezed out a lot, this is better control!")</f>
        <v>You can also use the effect does not know how, but the design is very reasonable, a little squeeze before the baby are squeezed out a lot, this is better control!</v>
      </c>
    </row>
    <row r="1906">
      <c r="A1906" s="1">
        <v>5.0</v>
      </c>
      <c r="B1906" s="1" t="s">
        <v>1904</v>
      </c>
      <c r="C1906" t="str">
        <f>IFERROR(__xludf.DUMMYFUNCTION("GOOGLETRANSLATE(B1906, ""zh"", ""en"")"),"Good cheap goods Gaussian classic ear hook, after wearing very comfortable ~")</f>
        <v>Good cheap goods Gaussian classic ear hook, after wearing very comfortable ~</v>
      </c>
    </row>
    <row r="1907">
      <c r="A1907" s="1">
        <v>2.0</v>
      </c>
      <c r="B1907" s="1" t="s">
        <v>1905</v>
      </c>
      <c r="C1907" t="str">
        <f>IFERROR(__xludf.DUMMYFUNCTION("GOOGLETRANSLATE(B1907, ""zh"", ""en"")"),"Prices artificially high is very serious! Quality in general, prices were inflated lace short ... very serious! Quality in general, lace short ...")</f>
        <v>Prices artificially high is very serious! Quality in general, prices were inflated lace short ... very serious! Quality in general, lace short ...</v>
      </c>
    </row>
    <row r="1908">
      <c r="A1908" s="1">
        <v>3.0</v>
      </c>
      <c r="B1908" s="1" t="s">
        <v>1906</v>
      </c>
      <c r="C1908" t="str">
        <f>IFERROR(__xludf.DUMMYFUNCTION("GOOGLETRANSLATE(B1908, ""zh"", ""en"")"),"The filter is not disabled ah ago in the Amazon is looking to buy another home, two months basically changing times, now the situation before, I do not know Shanghai water quality deterioration or filter not work, times a month for basic")</f>
        <v>The filter is not disabled ah ago in the Amazon is looking to buy another home, two months basically changing times, now the situation before, I do not know Shanghai water quality deterioration or filter not work, times a month for basic</v>
      </c>
    </row>
    <row r="1909">
      <c r="A1909" s="1">
        <v>3.0</v>
      </c>
      <c r="B1909" s="1" t="s">
        <v>1907</v>
      </c>
      <c r="C1909" t="str">
        <f>IFERROR(__xludf.DUMMYFUNCTION("GOOGLETRANSLATE(B1909, ""zh"", ""en"")"),"Fade fade away too much, soak 4 times, water or purple")</f>
        <v>Fade fade away too much, soak 4 times, water or purple</v>
      </c>
    </row>
    <row r="1910">
      <c r="A1910" s="1">
        <v>1.0</v>
      </c>
      <c r="B1910" s="1" t="s">
        <v>1908</v>
      </c>
      <c r="C1910" t="str">
        <f>IFERROR(__xludf.DUMMYFUNCTION("GOOGLETRANSLATE(B1910, ""zh"", ""en"")"),"Clothes too long, poor quality can also be looked at, clothes rather long, but the quality is really flattered, but for the return of trouble. . . As with rough cloth. There are enough garbage.")</f>
        <v>Clothes too long, poor quality can also be looked at, clothes rather long, but the quality is really flattered, but for the return of trouble. . . As with rough cloth. There are enough garbage.</v>
      </c>
    </row>
    <row r="1911">
      <c r="A1911" s="1">
        <v>1.0</v>
      </c>
      <c r="B1911" s="1" t="s">
        <v>1909</v>
      </c>
      <c r="C1911" t="str">
        <f>IFERROR(__xludf.DUMMYFUNCTION("GOOGLETRANSLATE(B1911, ""zh"", ""en"")"),"Black precipitate very difficult to use, there are a lot of black sediment, too many times the water is still there, had a good point to drink water, which is a big pit")</f>
        <v>Black precipitate very difficult to use, there are a lot of black sediment, too many times the water is still there, had a good point to drink water, which is a big pit</v>
      </c>
    </row>
    <row r="1912">
      <c r="A1912" s="1">
        <v>1.0</v>
      </c>
      <c r="B1912" s="1" t="s">
        <v>1910</v>
      </c>
      <c r="C1912" t="str">
        <f>IFERROR(__xludf.DUMMYFUNCTION("GOOGLETRANSLATE(B1912, ""zh"", ""en"")"),"Cloth bad, seriously do not recommend too hard, like cardboard child, had never seen such a material pants, too failed, Poor")</f>
        <v>Cloth bad, seriously do not recommend too hard, like cardboard child, had never seen such a material pants, too failed, Poor</v>
      </c>
    </row>
    <row r="1913">
      <c r="A1913" s="1">
        <v>4.0</v>
      </c>
      <c r="B1913" s="1" t="s">
        <v>1911</v>
      </c>
      <c r="C1913" t="str">
        <f>IFERROR(__xludf.DUMMYFUNCTION("GOOGLETRANSLATE(B1913, ""zh"", ""en"")"),"Some larger and heavier weight than imagined. Originally wanted to take it out, it is impossible. Buy this mainly Chinese and a good Mac compatible. In addition, noisy operation. Amazon packaging is very simple, from the United States only sent large card"&amp;"board box inside a bubble bag installed, sloshing inside the box.")</f>
        <v>Some larger and heavier weight than imagined. Originally wanted to take it out, it is impossible. Buy this mainly Chinese and a good Mac compatible. In addition, noisy operation. Amazon packaging is very simple, from the United States only sent large cardboard box inside a bubble bag installed, sloshing inside the box.</v>
      </c>
    </row>
    <row r="1914">
      <c r="A1914" s="1">
        <v>4.0</v>
      </c>
      <c r="B1914" s="1" t="s">
        <v>1912</v>
      </c>
      <c r="C1914" t="str">
        <f>IFERROR(__xludf.DUMMYFUNCTION("GOOGLETRANSLATE(B1914, ""zh"", ""en"")"),"Nice slacks much higher than the domestic price, a little elastic cotton, cotton content may not particularly high, once washed not fade, 170cm, 66kg, years ago 70kg, the current reduction of 5kg, 33L29, waist a little loose, relatively fit, I like a litt"&amp;"le loose pants, pants waist my domestic general election 2.52 feet 2.46 can wear, a little tight,")</f>
        <v>Nice slacks much higher than the domestic price, a little elastic cotton, cotton content may not particularly high, once washed not fade, 170cm, 66kg, years ago 70kg, the current reduction of 5kg, 33L29, waist a little loose, relatively fit, I like a little loose pants, pants waist my domestic general election 2.52 feet 2.46 can wear, a little tight,</v>
      </c>
    </row>
    <row r="1915">
      <c r="A1915" s="1">
        <v>4.0</v>
      </c>
      <c r="B1915" s="1" t="s">
        <v>1913</v>
      </c>
      <c r="C1915" t="str">
        <f>IFERROR(__xludf.DUMMYFUNCTION("GOOGLETRANSLATE(B1915, ""zh"", ""en"")"),"Quality okay 172CM, 76kg, M code slightly loose, clothing and body a little long")</f>
        <v>Quality okay 172CM, 76kg, M code slightly loose, clothing and body a little long</v>
      </c>
    </row>
    <row r="1916">
      <c r="A1916" s="1">
        <v>4.0</v>
      </c>
      <c r="B1916" s="1" t="s">
        <v>1914</v>
      </c>
      <c r="C1916" t="str">
        <f>IFERROR(__xludf.DUMMYFUNCTION("GOOGLETRANSLATE(B1916, ""zh"", ""en"")"),"Walk creaking bad soles, creaking when walking, especially on a hard surface, can not wear to the unit")</f>
        <v>Walk creaking bad soles, creaking when walking, especially on a hard surface, can not wear to the unit</v>
      </c>
    </row>
    <row r="1917">
      <c r="A1917" s="1">
        <v>4.0</v>
      </c>
      <c r="B1917" s="1" t="s">
        <v>1915</v>
      </c>
      <c r="C1917" t="str">
        <f>IFERROR(__xludf.DUMMYFUNCTION("GOOGLETRANSLATE(B1917, ""zh"", ""en"")"),"Slightly overall fat version and the fabric is also good, but in my body yet a little bit fat, lean careful to buy")</f>
        <v>Slightly overall fat version and the fabric is also good, but in my body yet a little bit fat, lean careful to buy</v>
      </c>
    </row>
    <row r="1918">
      <c r="A1918" s="1">
        <v>5.0</v>
      </c>
      <c r="B1918" s="1" t="s">
        <v>1916</v>
      </c>
      <c r="C1918" t="str">
        <f>IFERROR(__xludf.DUMMYFUNCTION("GOOGLETRANSLATE(B1918, ""zh"", ""en"")"),"It did not taste very good, good quality, not made in China, Thailand, which still can not remember, a total of two.")</f>
        <v>It did not taste very good, good quality, not made in China, Thailand, which still can not remember, a total of two.</v>
      </c>
    </row>
    <row r="1919">
      <c r="A1919" s="1">
        <v>5.0</v>
      </c>
      <c r="B1919" s="1" t="s">
        <v>1917</v>
      </c>
      <c r="C1919" t="str">
        <f>IFERROR(__xludf.DUMMYFUNCTION("GOOGLETRANSLATE(B1919, ""zh"", ""en"")"),"Easy to use, easy to use multi-Tuen point, just add food supplement use it - but will crack over time, so multi-store point ~")</f>
        <v>Easy to use, easy to use multi-Tuen point, just add food supplement use it - but will crack over time, so multi-store point ~</v>
      </c>
    </row>
    <row r="1920">
      <c r="A1920" s="1">
        <v>5.0</v>
      </c>
      <c r="B1920" s="1" t="s">
        <v>1918</v>
      </c>
      <c r="C1920" t="str">
        <f>IFERROR(__xludf.DUMMYFUNCTION("GOOGLETRANSLATE(B1920, ""zh"", ""en"")"),"Something good! Very fragrant very fragrant incense! Sweet sweet sweet! Water adds a drink endless, it is less fragrant sweet!")</f>
        <v>Something good! Very fragrant very fragrant incense! Sweet sweet sweet! Water adds a drink endless, it is less fragrant sweet!</v>
      </c>
    </row>
    <row r="1921">
      <c r="A1921" s="1">
        <v>5.0</v>
      </c>
      <c r="B1921" s="1" t="s">
        <v>1919</v>
      </c>
      <c r="C1921" t="str">
        <f>IFERROR(__xludf.DUMMYFUNCTION("GOOGLETRANSLATE(B1921, ""zh"", ""en"")"),"Ecco good foot feeling can usually wear, can also be worn when the referee, a rare good shoes")</f>
        <v>Ecco good foot feeling can usually wear, can also be worn when the referee, a rare good shoes</v>
      </c>
    </row>
    <row r="1922">
      <c r="A1922" s="1">
        <v>5.0</v>
      </c>
      <c r="B1922" s="1" t="s">
        <v>1920</v>
      </c>
      <c r="C1922" t="str">
        <f>IFERROR(__xludf.DUMMYFUNCTION("GOOGLETRANSLATE(B1922, ""zh"", ""en"")"),"Nice purple very cute! Also very comfortable to wear")</f>
        <v>Nice purple very cute! Also very comfortable to wear</v>
      </c>
    </row>
    <row r="1923">
      <c r="A1923" s="1">
        <v>5.0</v>
      </c>
      <c r="B1923" s="1" t="s">
        <v>1921</v>
      </c>
      <c r="C1923" t="str">
        <f>IFERROR(__xludf.DUMMYFUNCTION("GOOGLETRANSLATE(B1923, ""zh"", ""en"")"),"The first Amazon satisfying shopping satisfaction did not taste good quality")</f>
        <v>The first Amazon satisfying shopping satisfaction did not taste good quality</v>
      </c>
    </row>
    <row r="1924">
      <c r="A1924" s="1">
        <v>5.0</v>
      </c>
      <c r="B1924" s="1" t="s">
        <v>1922</v>
      </c>
      <c r="C1924" t="str">
        <f>IFERROR(__xludf.DUMMYFUNCTION("GOOGLETRANSLATE(B1924, ""zh"", ""en"")"),"Good high-capacity hard disk, high cost")</f>
        <v>Good high-capacity hard disk, high cost</v>
      </c>
    </row>
    <row r="1925">
      <c r="A1925" s="1">
        <v>5.0</v>
      </c>
      <c r="B1925" s="1" t="s">
        <v>1923</v>
      </c>
      <c r="C1925" t="str">
        <f>IFERROR(__xludf.DUMMYFUNCTION("GOOGLETRANSLATE(B1925, ""zh"", ""en"")"),"not bad. Thin fabric shoes, but the exact size.")</f>
        <v>not bad. Thin fabric shoes, but the exact size.</v>
      </c>
    </row>
    <row r="1926">
      <c r="A1926" s="1">
        <v>5.0</v>
      </c>
      <c r="B1926" s="1" t="s">
        <v>1924</v>
      </c>
      <c r="C1926" t="str">
        <f>IFERROR(__xludf.DUMMYFUNCTION("GOOGLETRANSLATE(B1926, ""zh"", ""en"")"),"Special packages, by slowly. A large number of store goods, and slowly use.")</f>
        <v>Special packages, by slowly. A large number of store goods, and slowly use.</v>
      </c>
    </row>
    <row r="1927">
      <c r="A1927" s="1">
        <v>5.0</v>
      </c>
      <c r="B1927" s="1" t="s">
        <v>1925</v>
      </c>
      <c r="C1927" t="str">
        <f>IFERROR(__xludf.DUMMYFUNCTION("GOOGLETRANSLATE(B1927, ""zh"", ""en"")"),"Well require long-term treatment with large doses of d3, only a few years ago to buy from abroad Trustee everywhere, now scouring the sea is really a big problem to solve")</f>
        <v>Well require long-term treatment with large doses of d3, only a few years ago to buy from abroad Trustee everywhere, now scouring the sea is really a big problem to solve</v>
      </c>
    </row>
    <row r="1928">
      <c r="A1928" s="1">
        <v>5.0</v>
      </c>
      <c r="B1928" s="1" t="s">
        <v>1926</v>
      </c>
      <c r="C1928" t="str">
        <f>IFERROR(__xludf.DUMMYFUNCTION("GOOGLETRANSLATE(B1928, ""zh"", ""en"")"),"Mobile hard good like. It can be configured like a box or bag of such a loading of.")</f>
        <v>Mobile hard good like. It can be configured like a box or bag of such a loading of.</v>
      </c>
    </row>
    <row r="1929">
      <c r="A1929" s="1">
        <v>5.0</v>
      </c>
      <c r="B1929" s="1" t="s">
        <v>1927</v>
      </c>
      <c r="C1929" t="str">
        <f>IFERROR(__xludf.DUMMYFUNCTION("GOOGLETRANSLATE(B1929, ""zh"", ""en"")"),"Affordable very suitable logistics to force")</f>
        <v>Affordable very suitable logistics to force</v>
      </c>
    </row>
    <row r="1930">
      <c r="A1930" s="1">
        <v>5.0</v>
      </c>
      <c r="B1930" s="1" t="s">
        <v>1928</v>
      </c>
      <c r="C1930" t="str">
        <f>IFERROR(__xludf.DUMMYFUNCTION("GOOGLETRANSLATE(B1930, ""zh"", ""en"")"),"I feel pretty good baby bottle use almost 3 months, and did not used other bottles, I feel pretty good, quite like the baby, sometimes you can hold yourself to eat! Can Shuitang and microwave disinfection")</f>
        <v>I feel pretty good baby bottle use almost 3 months, and did not used other bottles, I feel pretty good, quite like the baby, sometimes you can hold yourself to eat! Can Shuitang and microwave disinfection</v>
      </c>
    </row>
    <row r="1931">
      <c r="A1931" s="1">
        <v>5.0</v>
      </c>
      <c r="B1931" s="1" t="s">
        <v>1929</v>
      </c>
      <c r="C1931" t="str">
        <f>IFERROR(__xludf.DUMMYFUNCTION("GOOGLETRANSLATE(B1931, ""zh"", ""en"")"),"Shoes and boots is praise is praise, but also to the spike, very cheap, ^ _ ^, the size of just one yards better than Nike")</f>
        <v>Shoes and boots is praise is praise, but also to the spike, very cheap, ^ _ ^, the size of just one yards better than Nike</v>
      </c>
    </row>
    <row r="1932">
      <c r="A1932" s="1">
        <v>5.0</v>
      </c>
      <c r="B1932" s="1" t="s">
        <v>1930</v>
      </c>
      <c r="C1932" t="str">
        <f>IFERROR(__xludf.DUMMYFUNCTION("GOOGLETRANSLATE(B1932, ""zh"", ""en"")"),"Good quality is very beautiful, simple and elegant style.")</f>
        <v>Good quality is very beautiful, simple and elegant style.</v>
      </c>
    </row>
    <row r="1933">
      <c r="A1933" s="1">
        <v>5.0</v>
      </c>
      <c r="B1933" s="1" t="s">
        <v>1931</v>
      </c>
      <c r="C1933" t="str">
        <f>IFERROR(__xludf.DUMMYFUNCTION("GOOGLETRANSLATE(B1933, ""zh"", ""en"")"),"Brief Encounter machine more than a week they received, and bought Shun red transformer 3000W, the very match, has been used for almost a month, utilization is high, there is the milk often do chickpea paste, according to a Buyers recommended recipes made"&amp;" peanut milk (a boiled peanut + milk + 1/3 +2/3 of the water a few dates, no sugar has sweet), her daughter said super tasty, often at home now cooked some beans in the fridge in the morning soon be able to drink a glass of warm milk variety, there are su"&amp;"gar white fungus Sydney, you can also use it churned white fungus soup, taste particularly good, it should also be better absorbed . I would recommend it to friends around the health-conscious. Also I prefer places that operation and simple, when using th"&amp;"e card without rotation on the base, in the direction of placement directly on it, the cup is not heavy, girls used to take it easy, especially easy to clean, so these its higher usage.")</f>
        <v>Brief Encounter machine more than a week they received, and bought Shun red transformer 3000W, the very match, has been used for almost a month, utilization is high, there is the milk often do chickpea paste, according to a Buyers recommended recipes made peanut milk (a boiled peanut + milk + 1/3 +2/3 of the water a few dates, no sugar has sweet), her daughter said super tasty, often at home now cooked some beans in the fridge in the morning soon be able to drink a glass of warm milk variety, there are sugar white fungus Sydney, you can also use it churned white fungus soup, taste particularly good, it should also be better absorbed . I would recommend it to friends around the health-conscious. Also I prefer places that operation and simple, when using the card without rotation on the base, in the direction of placement directly on it, the cup is not heavy, girls used to take it easy, especially easy to clean, so these its higher usage.</v>
      </c>
    </row>
    <row r="1934">
      <c r="A1934" s="1">
        <v>5.0</v>
      </c>
      <c r="B1934" s="1" t="s">
        <v>1932</v>
      </c>
      <c r="C1934" t="str">
        <f>IFERROR(__xludf.DUMMYFUNCTION("GOOGLETRANSLATE(B1934, ""zh"", ""en"")"),"Very satisfied, it looks very nice, good quality, practical and very satisfied, looks very nice, very good quality, but also practical")</f>
        <v>Very satisfied, it looks very nice, good quality, practical and very satisfied, looks very nice, very good quality, but also practical</v>
      </c>
    </row>
    <row r="1935">
      <c r="A1935" s="1">
        <v>5.0</v>
      </c>
      <c r="B1935" s="1" t="s">
        <v>1933</v>
      </c>
      <c r="C1935" t="str">
        <f>IFERROR(__xludf.DUMMYFUNCTION("GOOGLETRANSLATE(B1935, ""zh"", ""en"")"),"Comfortable very appropriate, 170cm, 68kg, M number is just a good, good design, the fabric is very comfortable.")</f>
        <v>Comfortable very appropriate, 170cm, 68kg, M number is just a good, good design, the fabric is very comfortable.</v>
      </c>
    </row>
    <row r="1936">
      <c r="A1936" s="1">
        <v>5.0</v>
      </c>
      <c r="B1936" s="1" t="s">
        <v>1934</v>
      </c>
      <c r="C1936" t="str">
        <f>IFERROR(__xludf.DUMMYFUNCTION("GOOGLETRANSLATE(B1936, ""zh"", ""en"")"),"Satisfied with the quality of clearance, warm okay, I 179/80")</f>
        <v>Satisfied with the quality of clearance, warm okay, I 179/80</v>
      </c>
    </row>
    <row r="1937">
      <c r="A1937" s="1">
        <v>5.0</v>
      </c>
      <c r="B1937" s="1" t="s">
        <v>1935</v>
      </c>
      <c r="C1937" t="str">
        <f>IFERROR(__xludf.DUMMYFUNCTION("GOOGLETRANSLATE(B1937, ""zh"", ""en"")"),"Anyway, very good buy cheaper than domestic authentic if I had a child also would estimate it has been soaked in the Amazon")</f>
        <v>Anyway, very good buy cheaper than domestic authentic if I had a child also would estimate it has been soaked in the Amazon</v>
      </c>
    </row>
    <row r="1938">
      <c r="A1938" s="1">
        <v>5.0</v>
      </c>
      <c r="B1938" s="1" t="s">
        <v>1936</v>
      </c>
      <c r="C1938" t="str">
        <f>IFERROR(__xludf.DUMMYFUNCTION("GOOGLETRANSLATE(B1938, ""zh"", ""en"")"),"Bottle pretty good stockpile of waiting for the baby born")</f>
        <v>Bottle pretty good stockpile of waiting for the baby born</v>
      </c>
    </row>
    <row r="1939">
      <c r="A1939" s="1">
        <v>5.0</v>
      </c>
      <c r="B1939" s="1" t="s">
        <v>1937</v>
      </c>
      <c r="C1939" t="str">
        <f>IFERROR(__xludf.DUMMYFUNCTION("GOOGLETRANSLATE(B1939, ""zh"", ""en"")"),"Genuine, packaging intact Oh, about a week of arrival, genuine, like this one")</f>
        <v>Genuine, packaging intact Oh, about a week of arrival, genuine, like this one</v>
      </c>
    </row>
    <row r="1940">
      <c r="A1940" s="1">
        <v>2.0</v>
      </c>
      <c r="B1940" s="1" t="s">
        <v>1938</v>
      </c>
      <c r="C1940" t="str">
        <f>IFERROR(__xludf.DUMMYFUNCTION("GOOGLETRANSLATE(B1940, ""zh"", ""en"")"),"Banana chews disinfection before each use, clean, showed the baby can not play for a while very sticky ash, and low price, do not know is not genuine, too easy to dirty.")</f>
        <v>Banana chews disinfection before each use, clean, showed the baby can not play for a while very sticky ash, and low price, do not know is not genuine, too easy to dirty.</v>
      </c>
    </row>
    <row r="1941">
      <c r="A1941" s="1">
        <v>3.0</v>
      </c>
      <c r="B1941" s="1" t="s">
        <v>1939</v>
      </c>
      <c r="C1941" t="str">
        <f>IFERROR(__xludf.DUMMYFUNCTION("GOOGLETRANSLATE(B1941, ""zh"", ""en"")"),"Not ideal, not a lot of details seconds loud, and the second hand are not allowed, and take it, I will go back and shake half grid. Because it is cloth strap, lead the table is a direct cut, some forked thread")</f>
        <v>Not ideal, not a lot of details seconds loud, and the second hand are not allowed, and take it, I will go back and shake half grid. Because it is cloth strap, lead the table is a direct cut, some forked thread</v>
      </c>
    </row>
    <row r="1942">
      <c r="A1942" s="1">
        <v>3.0</v>
      </c>
      <c r="B1942" s="1" t="s">
        <v>1940</v>
      </c>
      <c r="C1942" t="str">
        <f>IFERROR(__xludf.DUMMYFUNCTION("GOOGLETRANSLATE(B1942, ""zh"", ""en"")"),"Table Pianman speed Pianman table speed, as described with the seller, in 3-4 month deceleration walking minutes")</f>
        <v>Table Pianman speed Pianman table speed, as described with the seller, in 3-4 month deceleration walking minutes</v>
      </c>
    </row>
    <row r="1943">
      <c r="A1943" s="1">
        <v>3.0</v>
      </c>
      <c r="B1943" s="1" t="s">
        <v>1941</v>
      </c>
      <c r="C1943" t="str">
        <f>IFERROR(__xludf.DUMMYFUNCTION("GOOGLETRANSLATE(B1943, ""zh"", ""en"")"),"Good results, but the date is not good! September 9 arrived, but expired on December 17, and also the period covered by stickers!")</f>
        <v>Good results, but the date is not good! September 9 arrived, but expired on December 17, and also the period covered by stickers!</v>
      </c>
    </row>
    <row r="1944">
      <c r="A1944" s="1">
        <v>1.0</v>
      </c>
      <c r="B1944" s="1" t="s">
        <v>1942</v>
      </c>
      <c r="C1944" t="str">
        <f>IFERROR(__xludf.DUMMYFUNCTION("GOOGLETRANSLATE(B1944, ""zh"", ""en"")"),"A month on the bad really not, though wearing comfortable, quality drinking water to put up, the question is of very poor quality, can not boot a month, and he will be able to open a little pulling power on the line, I checked, this there are many kinds o"&amp;"f situations, hey")</f>
        <v>A month on the bad really not, though wearing comfortable, quality drinking water to put up, the question is of very poor quality, can not boot a month, and he will be able to open a little pulling power on the line, I checked, this there are many kinds of situations, hey</v>
      </c>
    </row>
    <row r="1945">
      <c r="A1945" s="1">
        <v>1.0</v>
      </c>
      <c r="B1945" s="1" t="s">
        <v>1943</v>
      </c>
      <c r="C1945" t="str">
        <f>IFERROR(__xludf.DUMMYFUNCTION("GOOGLETRANSLATE(B1945, ""zh"", ""en"")"),"Poor pluse this key, how the press can not be restored; probably because of transport problems, leading to the base split")</f>
        <v>Poor pluse this key, how the press can not be restored; probably because of transport problems, leading to the base split</v>
      </c>
    </row>
    <row r="1946">
      <c r="A1946" s="1">
        <v>1.0</v>
      </c>
      <c r="B1946" s="1" t="s">
        <v>1944</v>
      </c>
      <c r="C1946" t="str">
        <f>IFERROR(__xludf.DUMMYFUNCTION("GOOGLETRANSLATE(B1946, ""zh"", ""en"")"),"Bad service and describe the size of a little different, too big, I was selected as described in size, had wanted to retire, customer service repeatedly stressed how expensive shipping costs, but also kept asking how inappropriate, I put it bluntly bloate"&amp;"d, does not look good, the finish also asked me to describe, I am according to your size to buy, wear inappropriate, that does not look good, I describe how, also said to buy big, freight he spent a total of not much money, bear customer service repeated "&amp;"grinding grumble, well, I wish I had, and then another electricity supplier as well as seven days no reason to return, you can also choose to logistics, this can not be, members of what is available, the Amazon have nothing, only some of their own interes"&amp;"ts, he would not buy this thing, I will not use this electricity supplier, if you can comment zero, I will")</f>
        <v>Bad service and describe the size of a little different, too big, I was selected as described in size, had wanted to retire, customer service repeatedly stressed how expensive shipping costs, but also kept asking how inappropriate, I put it bluntly bloated, does not look good, the finish also asked me to describe, I am according to your size to buy, wear inappropriate, that does not look good, I describe how, also said to buy big, freight he spent a total of not much money, bear customer service repeated grinding grumble, well, I wish I had, and then another electricity supplier as well as seven days no reason to return, you can also choose to logistics, this can not be, members of what is available, the Amazon have nothing, only some of their own interests, he would not buy this thing, I will not use this electricity supplier, if you can comment zero, I will</v>
      </c>
    </row>
    <row r="1947">
      <c r="A1947" s="1">
        <v>4.0</v>
      </c>
      <c r="B1947" s="1" t="s">
        <v>1945</v>
      </c>
      <c r="C1947" t="str">
        <f>IFERROR(__xludf.DUMMYFUNCTION("GOOGLETRANSLATE(B1947, ""zh"", ""en"")"),"Sometimes you can not find ""Seagate"" My Device: DELL desktop machine, after upgrading the win10 system. When turned on, you can sometimes see ""Seagate"", sometimes can not see.")</f>
        <v>Sometimes you can not find "Seagate" My Device: DELL desktop machine, after upgrading the win10 system. When turned on, you can sometimes see "Seagate", sometimes can not see.</v>
      </c>
    </row>
    <row r="1948">
      <c r="A1948" s="1">
        <v>4.0</v>
      </c>
      <c r="B1948" s="1" t="s">
        <v>1946</v>
      </c>
      <c r="C1948" t="str">
        <f>IFERROR(__xludf.DUMMYFUNCTION("GOOGLETRANSLATE(B1948, ""zh"", ""en"")"),"I buy a bigger bar height 176 weight 77kg. After reading reviews chose xl, but still feel a bit small. Now wearing just is worried about shrinking after washing")</f>
        <v>I buy a bigger bar height 176 weight 77kg. After reading reviews chose xl, but still feel a bit small. Now wearing just is worried about shrinking after washing</v>
      </c>
    </row>
    <row r="1949">
      <c r="A1949" s="1">
        <v>4.0</v>
      </c>
      <c r="B1949" s="1" t="s">
        <v>1947</v>
      </c>
      <c r="C1949" t="str">
        <f>IFERROR(__xludf.DUMMYFUNCTION("GOOGLETRANSLATE(B1949, ""zh"", ""en"")"),"Speed ​​faster than expected, leather good, think big size half a yard, wear comfortable at this price is definitely value for money, continue to focus on")</f>
        <v>Speed ​​faster than expected, leather good, think big size half a yard, wear comfortable at this price is definitely value for money, continue to focus on</v>
      </c>
    </row>
    <row r="1950">
      <c r="A1950" s="1">
        <v>4.0</v>
      </c>
      <c r="B1950" s="1" t="s">
        <v>1948</v>
      </c>
      <c r="C1950" t="str">
        <f>IFERROR(__xludf.DUMMYFUNCTION("GOOGLETRANSLATE(B1950, ""zh"", ""en"")"),"Thick socks very thick, cotton full texture! It is too large, just to wear Dad!")</f>
        <v>Thick socks very thick, cotton full texture! It is too large, just to wear Dad!</v>
      </c>
    </row>
    <row r="1951">
      <c r="A1951" s="1">
        <v>5.0</v>
      </c>
      <c r="B1951" s="1" t="s">
        <v>1949</v>
      </c>
      <c r="C1951" t="str">
        <f>IFERROR(__xludf.DUMMYFUNCTION("GOOGLETRANSLATE(B1951, ""zh"", ""en"")"),"Something good, something good logistics ultrafast, look just fine, one week can hand the speed of logistics is like, practical capacity of 3.63T")</f>
        <v>Something good, something good logistics ultrafast, look just fine, one week can hand the speed of logistics is like, practical capacity of 3.63T</v>
      </c>
    </row>
    <row r="1952">
      <c r="A1952" s="1">
        <v>5.0</v>
      </c>
      <c r="B1952" s="1" t="s">
        <v>1950</v>
      </c>
      <c r="C1952" t="str">
        <f>IFERROR(__xludf.DUMMYFUNCTION("GOOGLETRANSLATE(B1952, ""zh"", ""en"")"),"Good stuff, buy no regrets! In the case already has the Sennheiser HD800, IE800 other high-end headphones, also bought this used to be the more popular brand's flagship headphones, purely for adventure and fun-not returned it. However, after playing for s"&amp;"ome time, feeling that buy the right! Whether it is from the only headset sound quality, materials or workmanship is very good. Manufacturers conscience, conscience products, especially in the Adriatic conscience outsourcing. Worth thumbs up! (Headphones "&amp;"need to burn more than 100 hours)")</f>
        <v>Good stuff, buy no regrets! In the case already has the Sennheiser HD800, IE800 other high-end headphones, also bought this used to be the more popular brand's flagship headphones, purely for adventure and fun-not returned it. However, after playing for some time, feeling that buy the right! Whether it is from the only headset sound quality, materials or workmanship is very good. Manufacturers conscience, conscience products, especially in the Adriatic conscience outsourcing. Worth thumbs up! (Headphones need to burn more than 100 hours)</v>
      </c>
    </row>
    <row r="1953">
      <c r="A1953" s="1">
        <v>5.0</v>
      </c>
      <c r="B1953" s="1" t="s">
        <v>1951</v>
      </c>
      <c r="C1953" t="str">
        <f>IFERROR(__xludf.DUMMYFUNCTION("GOOGLETRANSLATE(B1953, ""zh"", ""en"")"),"Very good table! ! ! In fact, buy this table is to buy movement, because he is CASIO, there will be no excess in the design and production of good movement and yet so cheap, the CASIO so cheap can buy a table is really very happy. In fact, although simple"&amp;", but is actually very simple and elegant, I took more than a year, colleagues say very simple and stylish, very good with clothes, of course, it also depends on what kind of person band (Oh), more suitable for young professionals and students but why giv"&amp;"e people the feeling of simple, I think it is a problem on the packaging, should be used more stylish materials and packaging, can be worthy of this table, this table but then I found that many people use, because it is very durable , you can take 5-year "&amp;"battery, more than any before I bought a watch are durable, although my tone was a bit of care, but this is really my real-life experience, prior to the time just received does have struggled, but later found casio really is the design and production, ver"&amp;"y good, not what people will enjoy! ! ! ! ! ! ! ! ! ! ! ! ! ! ! ! ! ! ! ! ! ! !")</f>
        <v>Very good table! ! ! In fact, buy this table is to buy movement, because he is CASIO, there will be no excess in the design and production of good movement and yet so cheap, the CASIO so cheap can buy a table is really very happy. In fact, although simple, but is actually very simple and elegant, I took more than a year, colleagues say very simple and stylish, very good with clothes, of course, it also depends on what kind of person band (Oh), more suitable for young professionals and students but why give people the feeling of simple, I think it is a problem on the packaging, should be used more stylish materials and packaging, can be worthy of this table, this table but then I found that many people use, because it is very durable , you can take 5-year battery, more than any before I bought a watch are durable, although my tone was a bit of care, but this is really my real-life experience, prior to the time just received does have struggled, but later found casio really is the design and production, very good, not what people will enjoy! ! ! ! ! ! ! ! ! ! ! ! ! ! ! ! ! ! ! ! ! ! !</v>
      </c>
    </row>
    <row r="1954">
      <c r="A1954" s="1">
        <v>5.0</v>
      </c>
      <c r="B1954" s="1" t="s">
        <v>1952</v>
      </c>
      <c r="C1954" t="str">
        <f>IFERROR(__xludf.DUMMYFUNCTION("GOOGLETRANSLATE(B1954, ""zh"", ""en"")"),"Yes! Like the style, the color is also very good, wearing fit, comfortable. Not like underwear, fabrics are too hard.")</f>
        <v>Yes! Like the style, the color is also very good, wearing fit, comfortable. Not like underwear, fabrics are too hard.</v>
      </c>
    </row>
    <row r="1955">
      <c r="A1955" s="1">
        <v>5.0</v>
      </c>
      <c r="B1955" s="1" t="s">
        <v>1953</v>
      </c>
      <c r="C1955" t="str">
        <f>IFERROR(__xludf.DUMMYFUNCTION("GOOGLETRANSLATE(B1955, ""zh"", ""en"")"),"Cost can 172cm, 90kg, L No. suitable, slightly tight. Clothes are not thick. Long sleeves, can also be accepted. Little sticky black hair. Ready to set pieces XL, or like loose points.")</f>
        <v>Cost can 172cm, 90kg, L No. suitable, slightly tight. Clothes are not thick. Long sleeves, can also be accepted. Little sticky black hair. Ready to set pieces XL, or like loose points.</v>
      </c>
    </row>
    <row r="1956">
      <c r="A1956" s="1">
        <v>5.0</v>
      </c>
      <c r="B1956" s="1" t="s">
        <v>1954</v>
      </c>
      <c r="C1956" t="str">
        <f>IFERROR(__xludf.DUMMYFUNCTION("GOOGLETRANSLATE(B1956, ""zh"", ""en"")"),"Never bought before the high impedance headphones very good headset, that this is difficult to push. However, after just received the goods, tried using a mobile phone, the sound is so large, and some people say there is no line of Direct Push mosquito so"&amp;"und. . . But also, of course, sounds great does not mean it does not need to amp up. Go back and listened carefully as well as Chopin's first two drop-down Steel Association, with the HM650 + power push the card straight, all in all, I was quite satisfied"&amp;" with the results. Work is also very good, than my previous K701 to feel Naicao more. Wearing comfort is acceptable, because my head is relatively large, some chuck, but also good, acceptable, most people do not think there should be a chuck. But of cours"&amp;"e there are some problems: First, the symphony sounds relatively sharp percussion, such as the gong sounds very unpleasant harsh. As for the bass, I think it is quite enough, but the feeling is not so smooth, there are always glitches feeling. I do not kn"&amp;"ow because the new headphones did not open burning or how, I hope the future will be better now. Second telephone line looks very high-end professional, but actual use of it ,,, feel more boring, especially when the telephone line suspended, always feel t"&amp;"hat there is a heavy thing, he took the same head. After listening to two days to write comments may be less accurate, for reference purposes only.")</f>
        <v>Never bought before the high impedance headphones very good headset, that this is difficult to push. However, after just received the goods, tried using a mobile phone, the sound is so large, and some people say there is no line of Direct Push mosquito sound. . . But also, of course, sounds great does not mean it does not need to amp up. Go back and listened carefully as well as Chopin's first two drop-down Steel Association, with the HM650 + power push the card straight, all in all, I was quite satisfied with the results. Work is also very good, than my previous K701 to feel Naicao more. Wearing comfort is acceptable, because my head is relatively large, some chuck, but also good, acceptable, most people do not think there should be a chuck. But of course there are some problems: First, the symphony sounds relatively sharp percussion, such as the gong sounds very unpleasant harsh. As for the bass, I think it is quite enough, but the feeling is not so smooth, there are always glitches feeling. I do not know because the new headphones did not open burning or how, I hope the future will be better now. Second telephone line looks very high-end professional, but actual use of it ,,, feel more boring, especially when the telephone line suspended, always feel that there is a heavy thing, he took the same head. After listening to two days to write comments may be less accurate, for reference purposes only.</v>
      </c>
    </row>
    <row r="1957">
      <c r="A1957" s="1">
        <v>5.0</v>
      </c>
      <c r="B1957" s="1" t="s">
        <v>1955</v>
      </c>
      <c r="C1957" t="str">
        <f>IFERROR(__xludf.DUMMYFUNCTION("GOOGLETRANSLATE(B1957, ""zh"", ""en"")"),"Legendary headphones really clean, comfortable listening")</f>
        <v>Legendary headphones really clean, comfortable listening</v>
      </c>
    </row>
    <row r="1958">
      <c r="A1958" s="1">
        <v>5.0</v>
      </c>
      <c r="B1958" s="1" t="s">
        <v>1956</v>
      </c>
      <c r="C1958" t="str">
        <f>IFERROR(__xludf.DUMMYFUNCTION("GOOGLETRANSLATE(B1958, ""zh"", ""en"")"),"Clothes length bust sleeve fertilizer I height 180cm weight 63kg wear L code is just a short shoulder sleeve bust fat fat clothes work well good fabric is very thick winter wear should not have any problems")</f>
        <v>Clothes length bust sleeve fertilizer I height 180cm weight 63kg wear L code is just a short shoulder sleeve bust fat fat clothes work well good fabric is very thick winter wear should not have any problems</v>
      </c>
    </row>
    <row r="1959">
      <c r="A1959" s="1">
        <v>5.0</v>
      </c>
      <c r="B1959" s="1" t="s">
        <v>1957</v>
      </c>
      <c r="C1959" t="str">
        <f>IFERROR(__xludf.DUMMYFUNCTION("GOOGLETRANSLATE(B1959, ""zh"", ""en"")"),"Height 182, weight 158. Buy 33X32, and just right. Height 182, weight 158. Buy 33X32, and just right. Pants quality did not have to say, with the introduction of overseas purchase, I basically do not buy things from the United States and Asia, all buttone"&amp;"d purchased directly in the Adriatic, not freight revenue. Tax that point on when the freight forwarding.")</f>
        <v>Height 182, weight 158. Buy 33X32, and just right. Height 182, weight 158. Buy 33X32, and just right. Pants quality did not have to say, with the introduction of overseas purchase, I basically do not buy things from the United States and Asia, all buttoned purchased directly in the Adriatic, not freight revenue. Tax that point on when the freight forwarding.</v>
      </c>
    </row>
    <row r="1960">
      <c r="A1960" s="1">
        <v>5.0</v>
      </c>
      <c r="B1960" s="1" t="s">
        <v>1958</v>
      </c>
      <c r="C1960" t="str">
        <f>IFERROR(__xludf.DUMMYFUNCTION("GOOGLETRANSLATE(B1960, ""zh"", ""en"")"),"Awesome value of a purchase. Bottle is Japan's direct mail, received a few days feel good, with boiling water, disinfection cabinet disinfection no smell, praise! Mother and child in the country before the store bought four or five Pigeon nipple, after al"&amp;"so bought a Pigeon bottle child king APP above, after disinfecting teat surfaces are weeping weeping, and great an odor, no wonder before the baby resist eat bottle. Amazon to buy this bottle of overseas Japanese direct mail very well, lightweight, six an"&amp;"d a half months baby can eat obediently once 160ml, I also resolve a major problem, after then bigger we will be able to hold his own bottle feeding up.")</f>
        <v>Awesome value of a purchase. Bottle is Japan's direct mail, received a few days feel good, with boiling water, disinfection cabinet disinfection no smell, praise! Mother and child in the country before the store bought four or five Pigeon nipple, after also bought a Pigeon bottle child king APP above, after disinfecting teat surfaces are weeping weeping, and great an odor, no wonder before the baby resist eat bottle. Amazon to buy this bottle of overseas Japanese direct mail very well, lightweight, six and a half months baby can eat obediently once 160ml, I also resolve a major problem, after then bigger we will be able to hold his own bottle feeding up.</v>
      </c>
    </row>
    <row r="1961">
      <c r="A1961" s="1">
        <v>5.0</v>
      </c>
      <c r="B1961" s="1" t="s">
        <v>1959</v>
      </c>
      <c r="C1961" t="str">
        <f>IFERROR(__xludf.DUMMYFUNCTION("GOOGLETRANSLATE(B1961, ""zh"", ""en"")"),"Stockpile, face value and size can accept friend breast pump will recommend this stockpile has not been used, the size is acceptable; But why are the Dongguan production host adapter and the power of it? ? Web page information to the manufacturer to be ev"&amp;"erready first aid ah?")</f>
        <v>Stockpile, face value and size can accept friend breast pump will recommend this stockpile has not been used, the size is acceptable; But why are the Dongguan production host adapter and the power of it? ? Web page information to the manufacturer to be everready first aid ah?</v>
      </c>
    </row>
    <row r="1962">
      <c r="A1962" s="1">
        <v>5.0</v>
      </c>
      <c r="B1962" s="1" t="s">
        <v>1960</v>
      </c>
      <c r="C1962" t="str">
        <f>IFERROR(__xludf.DUMMYFUNCTION("GOOGLETRANSLATE(B1962, ""zh"", ""en"")"),"Class suit quality, size is too large, people buy to pay attention! Suit fine workmanship, top quality, code is too large, people buy to pay attention! I height 174cm, weight 60kg ,, bought 38Regular (Black Black), a lot of long coat, pants with a 31, but"&amp;" I only wear 29 pants, had to return! Ready to re next 36Regular (Navy Blue)")</f>
        <v>Class suit quality, size is too large, people buy to pay attention! Suit fine workmanship, top quality, code is too large, people buy to pay attention! I height 174cm, weight 60kg ,, bought 38Regular (Black Black), a lot of long coat, pants with a 31, but I only wear 29 pants, had to return! Ready to re next 36Regular (Navy Blue)</v>
      </c>
    </row>
    <row r="1963">
      <c r="A1963" s="1">
        <v>5.0</v>
      </c>
      <c r="B1963" s="1" t="s">
        <v>1961</v>
      </c>
      <c r="C1963" t="str">
        <f>IFERROR(__xludf.DUMMYFUNCTION("GOOGLETRANSLATE(B1963, ""zh"", ""en"")"),"Very good value for money wearing a particularly comfortable, pretty good")</f>
        <v>Very good value for money wearing a particularly comfortable, pretty good</v>
      </c>
    </row>
    <row r="1964">
      <c r="A1964" s="1">
        <v>5.0</v>
      </c>
      <c r="B1964" s="1" t="s">
        <v>1962</v>
      </c>
      <c r="C1964" t="str">
        <f>IFERROR(__xludf.DUMMYFUNCTION("GOOGLETRANSLATE(B1964, ""zh"", ""en"")"),"Standing at home this multi-dimensional mineral tablets prepared with home daily, vitamins and trace elements filled due to dietary imbalance was caused by a lack of")</f>
        <v>Standing at home this multi-dimensional mineral tablets prepared with home daily, vitamins and trace elements filled due to dietary imbalance was caused by a lack of</v>
      </c>
    </row>
    <row r="1965">
      <c r="A1965" s="1">
        <v>5.0</v>
      </c>
      <c r="B1965" s="1" t="s">
        <v>1963</v>
      </c>
      <c r="C1965" t="str">
        <f>IFERROR(__xludf.DUMMYFUNCTION("GOOGLETRANSLATE(B1965, ""zh"", ""en"")"),"Very satisfied with the quality good, no taste, baby love to chew on.")</f>
        <v>Very satisfied with the quality good, no taste, baby love to chew on.</v>
      </c>
    </row>
    <row r="1966">
      <c r="A1966" s="1">
        <v>5.0</v>
      </c>
      <c r="B1966" s="1" t="s">
        <v>1964</v>
      </c>
      <c r="C1966" t="str">
        <f>IFERROR(__xludf.DUMMYFUNCTION("GOOGLETRANSLATE(B1966, ""zh"", ""en"")"),"Like pregnancy buy a lot of things Wacoal, basic pieces are satisfied with this, be sure not to buy too big number, postpartum off the meat is still pretty fast.")</f>
        <v>Like pregnancy buy a lot of things Wacoal, basic pieces are satisfied with this, be sure not to buy too big number, postpartum off the meat is still pretty fast.</v>
      </c>
    </row>
    <row r="1967">
      <c r="A1967" s="1">
        <v>5.0</v>
      </c>
      <c r="B1967" s="1" t="s">
        <v>1965</v>
      </c>
      <c r="C1967" t="str">
        <f>IFERROR(__xludf.DUMMYFUNCTION("GOOGLETRANSLATE(B1967, ""zh"", ""en"")"),"Suitable 17,075 M suitable slightly fat")</f>
        <v>Suitable 17,075 M suitable slightly fat</v>
      </c>
    </row>
    <row r="1968">
      <c r="A1968" s="1">
        <v>5.0</v>
      </c>
      <c r="B1968" s="1" t="s">
        <v>1966</v>
      </c>
      <c r="C1968" t="str">
        <f>IFERROR(__xludf.DUMMYFUNCTION("GOOGLETRANSLATE(B1968, ""zh"", ""en"")"),"Good but I feel very comfortable right foot over left foot loose a little. According to the usual size to buy, it can be considered a suitable Diudiu large. But it does not matter anyway, tie")</f>
        <v>Good but I feel very comfortable right foot over left foot loose a little. According to the usual size to buy, it can be considered a suitable Diudiu large. But it does not matter anyway, tie</v>
      </c>
    </row>
    <row r="1969">
      <c r="A1969" s="1">
        <v>5.0</v>
      </c>
      <c r="B1969" s="1" t="s">
        <v>1967</v>
      </c>
      <c r="C1969" t="str">
        <f>IFERROR(__xludf.DUMMYFUNCTION("GOOGLETRANSLATE(B1969, ""zh"", ""en"")"),"Very good workmanship is good, with the baby when it is convenient to carry out the insulation effect can be.")</f>
        <v>Very good workmanship is good, with the baby when it is convenient to carry out the insulation effect can be.</v>
      </c>
    </row>
    <row r="1970">
      <c r="A1970" s="1">
        <v>5.0</v>
      </c>
      <c r="B1970" s="1" t="s">
        <v>1968</v>
      </c>
      <c r="C1970" t="str">
        <f>IFERROR(__xludf.DUMMYFUNCTION("GOOGLETRANSLATE(B1970, ""zh"", ""en"")"),"not bad! Very soft, suitable for children bite, children like to like.")</f>
        <v>not bad! Very soft, suitable for children bite, children like to like.</v>
      </c>
    </row>
    <row r="1971">
      <c r="A1971" s="1">
        <v>5.0</v>
      </c>
      <c r="B1971" s="1" t="s">
        <v>1969</v>
      </c>
      <c r="C1971" t="str">
        <f>IFERROR(__xludf.DUMMYFUNCTION("GOOGLETRANSLATE(B1971, ""zh"", ""en"")"),"Exquisite workmanship is very fond of, exquisite workmanship, writing smooth, flexible")</f>
        <v>Exquisite workmanship is very fond of, exquisite workmanship, writing smooth, flexible</v>
      </c>
    </row>
    <row r="1972">
      <c r="A1972" s="1">
        <v>5.0</v>
      </c>
      <c r="B1972" s="1" t="s">
        <v>1970</v>
      </c>
      <c r="C1972" t="str">
        <f>IFERROR(__xludf.DUMMYFUNCTION("GOOGLETRANSLATE(B1972, ""zh"", ""en"")"),"Beyerdynamic Beyerdynamic DT770 PRO headset professional monitoring headphones 250 ohm evening to buy the next morning arrived, the headset looks very good, very comfortable to wear, have to listen to know the sound.")</f>
        <v>Beyerdynamic Beyerdynamic DT770 PRO headset professional monitoring headphones 250 ohm evening to buy the next morning arrived, the headset looks very good, very comfortable to wear, have to listen to know the sound.</v>
      </c>
    </row>
    <row r="1973">
      <c r="A1973" s="1">
        <v>2.0</v>
      </c>
      <c r="B1973" s="1" t="s">
        <v>1971</v>
      </c>
      <c r="C1973" t="str">
        <f>IFERROR(__xludf.DUMMYFUNCTION("GOOGLETRANSLATE(B1973, ""zh"", ""en"")"),"Improper transportation transport too violent, bad outside the box, inside the box too bad! I want to sound all right")</f>
        <v>Improper transportation transport too violent, bad outside the box, inside the box too bad! I want to sound all right</v>
      </c>
    </row>
    <row r="1974">
      <c r="A1974" s="1">
        <v>3.0</v>
      </c>
      <c r="B1974" s="1" t="s">
        <v>1972</v>
      </c>
      <c r="C1974" t="str">
        <f>IFERROR(__xludf.DUMMYFUNCTION("GOOGLETRANSLATE(B1974, ""zh"", ""en"")"),"This is what is too slim style Yeah,")</f>
        <v>This is what is too slim style Yeah,</v>
      </c>
    </row>
    <row r="1975">
      <c r="A1975" s="1">
        <v>3.0</v>
      </c>
      <c r="B1975" s="1" t="s">
        <v>1973</v>
      </c>
      <c r="C1975" t="str">
        <f>IFERROR(__xludf.DUMMYFUNCTION("GOOGLETRANSLATE(B1975, ""zh"", ""en"")"),"Hand feel Made in China, the sound quality is also good. Clip have ear pain, in addition to color seriously. Recommended to buy black.")</f>
        <v>Hand feel Made in China, the sound quality is also good. Clip have ear pain, in addition to color seriously. Recommended to buy black.</v>
      </c>
    </row>
    <row r="1976">
      <c r="A1976" s="1">
        <v>1.0</v>
      </c>
      <c r="B1976" s="1" t="s">
        <v>1974</v>
      </c>
      <c r="C1976" t="str">
        <f>IFERROR(__xludf.DUMMYFUNCTION("GOOGLETRANSLATE(B1976, ""zh"", ""en"")"),"Clothes are second-hand clothes second-hand open the parcel found flannel sweater surge of liquid detergent taste of someone else's hair is just awful! Amazon has no tag clothes This is simply Diandaqike to put garbage shipped to China to sell")</f>
        <v>Clothes are second-hand clothes second-hand open the parcel found flannel sweater surge of liquid detergent taste of someone else's hair is just awful! Amazon has no tag clothes This is simply Diandaqike to put garbage shipped to China to sell</v>
      </c>
    </row>
    <row r="1977">
      <c r="A1977" s="1">
        <v>1.0</v>
      </c>
      <c r="B1977" s="1" t="s">
        <v>1975</v>
      </c>
      <c r="C1977" t="str">
        <f>IFERROR(__xludf.DUMMYFUNCTION("GOOGLETRANSLATE(B1977, ""zh"", ""en"")"),"The wrong goods! ! ! Bought three, this one is what the hell? You do not have a heart too. Had to retire, really in trouble!")</f>
        <v>The wrong goods! ! ! Bought three, this one is what the hell? You do not have a heart too. Had to retire, really in trouble!</v>
      </c>
    </row>
    <row r="1978">
      <c r="A1978" s="1">
        <v>4.0</v>
      </c>
      <c r="B1978" s="1" t="s">
        <v>1976</v>
      </c>
      <c r="C1978" t="str">
        <f>IFERROR(__xludf.DUMMYFUNCTION("GOOGLETRANSLATE(B1978, ""zh"", ""en"")"),"Good cheap, durable, comfortable, cost-effective")</f>
        <v>Good cheap, durable, comfortable, cost-effective</v>
      </c>
    </row>
    <row r="1979">
      <c r="A1979" s="1">
        <v>4.0</v>
      </c>
      <c r="B1979" s="1" t="s">
        <v>1977</v>
      </c>
      <c r="C1979" t="str">
        <f>IFERROR(__xludf.DUMMYFUNCTION("GOOGLETRANSLATE(B1979, ""zh"", ""en"")"),"Pants good, but the price should be given five-star, but the wrong goods, sent a close buy open. Well, so wear it")</f>
        <v>Pants good, but the price should be given five-star, but the wrong goods, sent a close buy open. Well, so wear it</v>
      </c>
    </row>
    <row r="1980">
      <c r="A1980" s="1">
        <v>4.0</v>
      </c>
      <c r="B1980" s="1" t="s">
        <v>1978</v>
      </c>
      <c r="C1980" t="str">
        <f>IFERROR(__xludf.DUMMYFUNCTION("GOOGLETRANSLATE(B1980, ""zh"", ""en"")"),"Advantages and defects stereo sound bilateral capacitive pickups to be fine, layering is also ratio DV comes out, is a good alternative to the fuselage section pickup microphone. There are three issues: the battery is difficult to come up with; it is a hi"&amp;"dden lever decay; no mini hot shoe adapter seat.")</f>
        <v>Advantages and defects stereo sound bilateral capacitive pickups to be fine, layering is also ratio DV comes out, is a good alternative to the fuselage section pickup microphone. There are three issues: the battery is difficult to come up with; it is a hidden lever decay; no mini hot shoe adapter seat.</v>
      </c>
    </row>
    <row r="1981">
      <c r="A1981" s="1">
        <v>4.0</v>
      </c>
      <c r="B1981" s="1" t="s">
        <v>1979</v>
      </c>
      <c r="C1981" t="str">
        <f>IFERROR(__xludf.DUMMYFUNCTION("GOOGLETRANSLATE(B1981, ""zh"", ""en"")"),"Shenru work also can not burn the sound quality is good, not evaluation, but exports to domestic sales, the price naturally enough affordable.")</f>
        <v>Shenru work also can not burn the sound quality is good, not evaluation, but exports to domestic sales, the price naturally enough affordable.</v>
      </c>
    </row>
    <row r="1982">
      <c r="A1982" s="1">
        <v>4.0</v>
      </c>
      <c r="B1982" s="1" t="s">
        <v>1980</v>
      </c>
      <c r="C1982" t="str">
        <f>IFERROR(__xludf.DUMMYFUNCTION("GOOGLETRANSLATE(B1982, ""zh"", ""en"")"),"And before the store to buy the same, in line with expectations and the store to buy the same as before, in line with expectations")</f>
        <v>And before the store to buy the same, in line with expectations and the store to buy the same as before, in line with expectations</v>
      </c>
    </row>
    <row r="1983">
      <c r="A1983" s="1">
        <v>5.0</v>
      </c>
      <c r="B1983" s="1" t="s">
        <v>1981</v>
      </c>
      <c r="C1983" t="str">
        <f>IFERROR(__xludf.DUMMYFUNCTION("GOOGLETRANSLATE(B1983, ""zh"", ""en"")"),"Very satisfied, the price is not bad receipt try it is my favorite section, the foot feels comfortable, moderate hardness, sandals money than usual to buy 43 yards shoes large a yard will be better, than the counter looks like a 44-yard try a little Diudi"&amp;"u")</f>
        <v>Very satisfied, the price is not bad receipt try it is my favorite section, the foot feels comfortable, moderate hardness, sandals money than usual to buy 43 yards shoes large a yard will be better, than the counter looks like a 44-yard try a little Diudiu</v>
      </c>
    </row>
    <row r="1984">
      <c r="A1984" s="1">
        <v>5.0</v>
      </c>
      <c r="B1984" s="1" t="s">
        <v>1982</v>
      </c>
      <c r="C1984" t="str">
        <f>IFERROR(__xludf.DUMMYFUNCTION("GOOGLETRANSLATE(B1984, ""zh"", ""en"")"),"Like the second purchase, good smoldering effect")</f>
        <v>Like the second purchase, good smoldering effect</v>
      </c>
    </row>
    <row r="1985">
      <c r="A1985" s="1">
        <v>5.0</v>
      </c>
      <c r="B1985" s="1" t="s">
        <v>1983</v>
      </c>
      <c r="C1985" t="str">
        <f>IFERROR(__xludf.DUMMYFUNCTION("GOOGLETRANSLATE(B1985, ""zh"", ""en"")"),"Brush with a good brush is very appropriate, with the child after a lot of white teeth electric toothbrush, 4 brush can be used for 8 months, very good, ha ha")</f>
        <v>Brush with a good brush is very appropriate, with the child after a lot of white teeth electric toothbrush, 4 brush can be used for 8 months, very good, ha ha</v>
      </c>
    </row>
    <row r="1986">
      <c r="A1986" s="1">
        <v>5.0</v>
      </c>
      <c r="B1986" s="1" t="s">
        <v>1984</v>
      </c>
      <c r="C1986" t="str">
        <f>IFERROR(__xludf.DUMMYFUNCTION("GOOGLETRANSLATE(B1986, ""zh"", ""en"")"),"Origin Vietnam good-looking, quality is guaranteed, the version is good-looking, with a waterproof fiber, cool, praise")</f>
        <v>Origin Vietnam good-looking, quality is guaranteed, the version is good-looking, with a waterproof fiber, cool, praise</v>
      </c>
    </row>
    <row r="1987">
      <c r="A1987" s="1">
        <v>5.0</v>
      </c>
      <c r="B1987" s="1" t="s">
        <v>1985</v>
      </c>
      <c r="C1987" t="str">
        <f>IFERROR(__xludf.DUMMYFUNCTION("GOOGLETRANSLATE(B1987, ""zh"", ""en"")"),"Value light blue, very cost-effective, origin China")</f>
        <v>Value light blue, very cost-effective, origin China</v>
      </c>
    </row>
    <row r="1988">
      <c r="A1988" s="1">
        <v>5.0</v>
      </c>
      <c r="B1988" s="1" t="s">
        <v>1986</v>
      </c>
      <c r="C1988" t="str">
        <f>IFERROR(__xludf.DUMMYFUNCTION("GOOGLETRANSLATE(B1988, ""zh"", ""en"")"),"Compact, lightweight baby has received is their favorite compact portable watches, the most important thing is the price is very reasonable, very good.")</f>
        <v>Compact, lightweight baby has received is their favorite compact portable watches, the most important thing is the price is very reasonable, very good.</v>
      </c>
    </row>
    <row r="1989">
      <c r="A1989" s="1">
        <v>5.0</v>
      </c>
      <c r="B1989" s="1" t="s">
        <v>1987</v>
      </c>
      <c r="C1989" t="str">
        <f>IFERROR(__xludf.DUMMYFUNCTION("GOOGLETRANSLATE(B1989, ""zh"", ""en"")"),"Like a little small, certainly much casual fashion fit, very like it, there is marked buy.")</f>
        <v>Like a little small, certainly much casual fashion fit, very like it, there is marked buy.</v>
      </c>
    </row>
    <row r="1990">
      <c r="A1990" s="1">
        <v>5.0</v>
      </c>
      <c r="B1990" s="1" t="s">
        <v>1988</v>
      </c>
      <c r="C1990" t="str">
        <f>IFERROR(__xludf.DUMMYFUNCTION("GOOGLETRANSLATE(B1990, ""zh"", ""en"")"),"25.5cm long shoe size selection pin, suitable to buy 265, previously bought gt2000 (42 yards wide 2e) a little tight. Gt2000 is not so obvious step on feces sense.")</f>
        <v>25.5cm long shoe size selection pin, suitable to buy 265, previously bought gt2000 (42 yards wide 2e) a little tight. Gt2000 is not so obvious step on feces sense.</v>
      </c>
    </row>
    <row r="1991">
      <c r="A1991" s="1">
        <v>5.0</v>
      </c>
      <c r="B1991" s="1" t="s">
        <v>1989</v>
      </c>
      <c r="C1991" t="str">
        <f>IFERROR(__xludf.DUMMYFUNCTION("GOOGLETRANSLATE(B1991, ""zh"", ""en"")"),"Cheap too fond of, Casio's quality is good, very accurate when taking")</f>
        <v>Cheap too fond of, Casio's quality is good, very accurate when taking</v>
      </c>
    </row>
    <row r="1992">
      <c r="A1992" s="1">
        <v>5.0</v>
      </c>
      <c r="B1992" s="1" t="s">
        <v>1990</v>
      </c>
      <c r="C1992" t="str">
        <f>IFERROR(__xludf.DUMMYFUNCTION("GOOGLETRANSLATE(B1992, ""zh"", ""en"")"),"A good percentage of spandex pants for price reasons of content a little, almost nothing elasticity. 175,80 just too fat, body length (pre-washing), but only in spring and autumn and winter wearing a close-fitting little thick Fleece Trousers on tight. If"&amp;" there are 33, 31 may also be good. Pants worth buying. 10 days of arrival.")</f>
        <v>A good percentage of spandex pants for price reasons of content a little, almost nothing elasticity. 175,80 just too fat, body length (pre-washing), but only in spring and autumn and winter wearing a close-fitting little thick Fleece Trousers on tight. If there are 33, 31 may also be good. Pants worth buying. 10 days of arrival.</v>
      </c>
    </row>
    <row r="1993">
      <c r="A1993" s="1">
        <v>5.0</v>
      </c>
      <c r="B1993" s="1" t="s">
        <v>1991</v>
      </c>
      <c r="C1993" t="str">
        <f>IFERROR(__xludf.DUMMYFUNCTION("GOOGLETRANSLATE(B1993, ""zh"", ""en"")"),"Very very good for summer")</f>
        <v>Very very good for summer</v>
      </c>
    </row>
    <row r="1994">
      <c r="A1994" s="1">
        <v>5.0</v>
      </c>
      <c r="B1994" s="1" t="s">
        <v>1992</v>
      </c>
      <c r="C1994" t="str">
        <f>IFERROR(__xludf.DUMMYFUNCTION("GOOGLETRANSLATE(B1994, ""zh"", ""en"")"),"Like a satisfying purchase experience very much, I have been to buy this brand, comfortable to wear.")</f>
        <v>Like a satisfying purchase experience very much, I have been to buy this brand, comfortable to wear.</v>
      </c>
    </row>
    <row r="1995">
      <c r="A1995" s="1">
        <v>5.0</v>
      </c>
      <c r="B1995" s="1" t="s">
        <v>1993</v>
      </c>
      <c r="C1995" t="str">
        <f>IFERROR(__xludf.DUMMYFUNCTION("GOOGLETRANSLATE(B1995, ""zh"", ""en"")"),"Victory is very good pot, a family of four is enough to use, good quality, very perfect, Bang Bang da")</f>
        <v>Victory is very good pot, a family of four is enough to use, good quality, very perfect, Bang Bang da</v>
      </c>
    </row>
    <row r="1996">
      <c r="A1996" s="1">
        <v>5.0</v>
      </c>
      <c r="B1996" s="1" t="s">
        <v>1994</v>
      </c>
      <c r="C1996" t="str">
        <f>IFERROR(__xludf.DUMMYFUNCTION("GOOGLETRANSLATE(B1996, ""zh"", ""en"")"),"Single recommendation accidentally became two. What is received by DHL to send, there is a box packaging is opened, but things did not affected, cotton comfortable right size. US version should be higher than the domestic version, it is recommended to buy"&amp;" a smaller size to wear. Recommended, wearing a very comfortable.")</f>
        <v>Single recommendation accidentally became two. What is received by DHL to send, there is a box packaging is opened, but things did not affected, cotton comfortable right size. US version should be higher than the domestic version, it is recommended to buy a smaller size to wear. Recommended, wearing a very comfortable.</v>
      </c>
    </row>
    <row r="1997">
      <c r="A1997" s="1">
        <v>5.0</v>
      </c>
      <c r="B1997" s="1" t="s">
        <v>1995</v>
      </c>
      <c r="C1997" t="str">
        <f>IFERROR(__xludf.DUMMYFUNCTION("GOOGLETRANSLATE(B1997, ""zh"", ""en"")"),"Huge, this thin L bust 108, XL bust 120-130, this gap is too big, XL for about 190,200 pounds of people.")</f>
        <v>Huge, this thin L bust 108, XL bust 120-130, this gap is too big, XL for about 190,200 pounds of people.</v>
      </c>
    </row>
    <row r="1998">
      <c r="A1998" s="1">
        <v>5.0</v>
      </c>
      <c r="B1998" s="1" t="s">
        <v>1996</v>
      </c>
      <c r="C1998" t="str">
        <f>IFERROR(__xludf.DUMMYFUNCTION("GOOGLETRANSLATE(B1998, ""zh"", ""en"")"),"Clarks not have to say very good quality, cost-effective")</f>
        <v>Clarks not have to say very good quality, cost-effective</v>
      </c>
    </row>
    <row r="1999">
      <c r="A1999" s="1">
        <v>5.0</v>
      </c>
      <c r="B1999" s="1" t="s">
        <v>1997</v>
      </c>
      <c r="C1999" t="str">
        <f>IFERROR(__xludf.DUMMYFUNCTION("GOOGLETRANSLATE(B1999, ""zh"", ""en"")"),"Very well liked bright colors easy to color")</f>
        <v>Very well liked bright colors easy to color</v>
      </c>
    </row>
    <row r="2000">
      <c r="A2000" s="1">
        <v>5.0</v>
      </c>
      <c r="B2000" s="1" t="s">
        <v>1998</v>
      </c>
      <c r="C2000" t="str">
        <f>IFERROR(__xludf.DUMMYFUNCTION("GOOGLETRANSLATE(B2000, ""zh"", ""en"")"),"Cute little set of cutlery tray is Q, look cute, friend, can not wait for the next offer can only be a single")</f>
        <v>Cute little set of cutlery tray is Q, look cute, friend, can not wait for the next offer can only be a single</v>
      </c>
    </row>
    <row r="2001">
      <c r="A2001" s="1">
        <v>5.0</v>
      </c>
      <c r="B2001" s="1" t="s">
        <v>1999</v>
      </c>
      <c r="C2001" t="str">
        <f>IFERROR(__xludf.DUMMYFUNCTION("GOOGLETRANSLATE(B2001, ""zh"", ""en"")"),"well! Pretty cool, I did not expect so soon received, can not wait to go back and put pen to paper, baby no problem at all.")</f>
        <v>well! Pretty cool, I did not expect so soon received, can not wait to go back and put pen to paper, baby no problem at all.</v>
      </c>
    </row>
    <row r="2002">
      <c r="A2002" s="1">
        <v>5.0</v>
      </c>
      <c r="B2002" s="1" t="s">
        <v>2000</v>
      </c>
      <c r="C2002" t="str">
        <f>IFERROR(__xludf.DUMMYFUNCTION("GOOGLETRANSLATE(B2002, ""zh"", ""en"")"),"In addition to size pants a little long, the other very good.")</f>
        <v>In addition to size pants a little long, the other very good.</v>
      </c>
    </row>
    <row r="2003">
      <c r="A2003" s="1">
        <v>5.0</v>
      </c>
      <c r="B2003" s="1" t="s">
        <v>2001</v>
      </c>
      <c r="C2003" t="str">
        <f>IFERROR(__xludf.DUMMYFUNCTION("GOOGLETRANSLATE(B2003, ""zh"", ""en"")"),"Very good very good, cheap affordable, better than the domestic tights")</f>
        <v>Very good very good, cheap affordable, better than the domestic tights</v>
      </c>
    </row>
    <row r="2004">
      <c r="A2004" s="1">
        <v>2.0</v>
      </c>
      <c r="B2004" s="1" t="s">
        <v>2002</v>
      </c>
      <c r="C2004" t="str">
        <f>IFERROR(__xludf.DUMMYFUNCTION("GOOGLETRANSLATE(B2004, ""zh"", ""en"")"),"Poor texture, color is not correct comparison should be the quality of the brand is still lagging behind boss expected, the general feeling!")</f>
        <v>Poor texture, color is not correct comparison should be the quality of the brand is still lagging behind boss expected, the general feeling!</v>
      </c>
    </row>
    <row r="2005">
      <c r="A2005" s="1">
        <v>3.0</v>
      </c>
      <c r="B2005" s="1" t="s">
        <v>2003</v>
      </c>
      <c r="C2005" t="str">
        <f>IFERROR(__xludf.DUMMYFUNCTION("GOOGLETRANSLATE(B2005, ""zh"", ""en"")"),"Ouma size is too large, too large to wear")</f>
        <v>Ouma size is too large, too large to wear</v>
      </c>
    </row>
    <row r="2006">
      <c r="A2006" s="1">
        <v>3.0</v>
      </c>
      <c r="B2006" s="1" t="s">
        <v>2004</v>
      </c>
      <c r="C2006" t="str">
        <f>IFERROR(__xludf.DUMMYFUNCTION("GOOGLETRANSLATE(B2006, ""zh"", ""en"")"),"I'm not pressing the instep feet high pressure arch type clarks Oxford shoes I wear a little big 38 37.5 38 wearing this tight little tight this 39 is estimated to be large. Send over when the upper wear. Deep color than the picture quite comfortable walk"&amp;"ing")</f>
        <v>I'm not pressing the instep feet high pressure arch type clarks Oxford shoes I wear a little big 38 37.5 38 wearing this tight little tight this 39 is estimated to be large. Send over when the upper wear. Deep color than the picture quite comfortable walking</v>
      </c>
    </row>
    <row r="2007">
      <c r="A2007" s="1">
        <v>1.0</v>
      </c>
      <c r="B2007" s="1" t="s">
        <v>2005</v>
      </c>
      <c r="C2007" t="str">
        <f>IFERROR(__xludf.DUMMYFUNCTION("GOOGLETRANSLATE(B2007, ""zh"", ""en"")"),"Amazon silent aftermarket headphones appear less than three months to go right or left ear Sennheiser Sennheiser sound partial reply Jingdong Amazon sell them find the tone of the Amazon to find a slightly better point but the problem with Amazon customer"&amp;" service communication is very unfriendly tone still make Amazon really does not solve the sale speechless")</f>
        <v>Amazon silent aftermarket headphones appear less than three months to go right or left ear Sennheiser Sennheiser sound partial reply Jingdong Amazon sell them find the tone of the Amazon to find a slightly better point but the problem with Amazon customer service communication is very unfriendly tone still make Amazon really does not solve the sale speechless</v>
      </c>
    </row>
    <row r="2008">
      <c r="A2008" s="1">
        <v>1.0</v>
      </c>
      <c r="B2008" s="1" t="s">
        <v>2006</v>
      </c>
      <c r="C2008" t="str">
        <f>IFERROR(__xludf.DUMMYFUNCTION("GOOGLETRANSLATE(B2008, ""zh"", ""en"")"),"Poor quality, to wonder whether the big difference with the introduction of genuine leather, the poor, do not believe that music has such a rough shoes, doubt is genuine. The shoes have a single picture of the sun on the United States and Asia, the pictur"&amp;"e is consistent with the site, perhaps the defective goods sent to the country? Amazon's first overseas purchase, very disappointed, spent so long. It is for return. &lt;A data-hook = ""product-link-linked"" class = ""a-link-normal"" href = ""/ CLARKS- men -"&amp;"Stinson-Hi- high shoes -Stinson-Hi-Wallabee- black leather -9-5 -DM-US / dp / B00AKLRBZ6 / ref = cm_cr_getr_d_rvw_txt? ie = UTF8 ""&gt; CLARKS Men Stinson Hi high-top shoes Stinson Hi Wallabee black leather 9.5 D (M) US &lt;/a&gt;")</f>
        <v>Poor quality, to wonder whether the big difference with the introduction of genuine leather, the poor, do not believe that music has such a rough shoes, doubt is genuine. The shoes have a single picture of the sun on the United States and Asia, the picture is consistent with the site, perhaps the defective goods sent to the country? Amazon's first overseas purchase, very disappointed, spent so long. It is for return. &lt;A data-hook = "product-link-linked" class = "a-link-normal" href = "/ CLARKS- men -Stinson-Hi- high shoes -Stinson-Hi-Wallabee- black leather -9-5 -DM-US / dp / B00AKLRBZ6 / ref = cm_cr_getr_d_rvw_txt? ie = UTF8 "&gt; CLARKS Men Stinson Hi high-top shoes Stinson Hi Wallabee black leather 9.5 D (M) US &lt;/a&gt;</v>
      </c>
    </row>
    <row r="2009">
      <c r="A2009" s="1">
        <v>1.0</v>
      </c>
      <c r="B2009" s="1" t="s">
        <v>2007</v>
      </c>
      <c r="C2009" t="str">
        <f>IFERROR(__xludf.DUMMYFUNCTION("GOOGLETRANSLATE(B2009, ""zh"", ""en"")"),"Fake strap directly and completely different from the official website")</f>
        <v>Fake strap directly and completely different from the official website</v>
      </c>
    </row>
    <row r="2010">
      <c r="A2010" s="1">
        <v>4.0</v>
      </c>
      <c r="B2010" s="1" t="s">
        <v>2008</v>
      </c>
      <c r="C2010" t="str">
        <f>IFERROR(__xludf.DUMMYFUNCTION("GOOGLETRANSLATE(B2010, ""zh"", ""en"")"),"Can buy goods received in advance, the overwrap significantly across the oceans experienced a little old, opened the tape, after opening, the packaging might be like Kaifeng clearance when the country opened, all is well plate, slightly shorter line, capa"&amp;"city 1.81t 6 detects power-on period 20m to 26m transmission speed usb2.0 occur even be stable at a disc 15m, substantially satisfied")</f>
        <v>Can buy goods received in advance, the overwrap significantly across the oceans experienced a little old, opened the tape, after opening, the packaging might be like Kaifeng clearance when the country opened, all is well plate, slightly shorter line, capacity 1.81t 6 detects power-on period 20m to 26m transmission speed usb2.0 occur even be stable at a disc 15m, substantially satisfied</v>
      </c>
    </row>
    <row r="2011">
      <c r="A2011" s="1">
        <v>4.0</v>
      </c>
      <c r="B2011" s="1" t="s">
        <v>2009</v>
      </c>
      <c r="C2011" t="str">
        <f>IFERROR(__xludf.DUMMYFUNCTION("GOOGLETRANSLATE(B2011, ""zh"", ""en"")"),"Suitable size suitable size, fabric moderate")</f>
        <v>Suitable size suitable size, fabric moderate</v>
      </c>
    </row>
    <row r="2012">
      <c r="A2012" s="1">
        <v>4.0</v>
      </c>
      <c r="B2012" s="1" t="s">
        <v>2010</v>
      </c>
      <c r="C2012" t="str">
        <f>IFERROR(__xludf.DUMMYFUNCTION("GOOGLETRANSLATE(B2012, ""zh"", ""en"")"),"Quality is not very amazing and the price of domestic purse almost")</f>
        <v>Quality is not very amazing and the price of domestic purse almost</v>
      </c>
    </row>
    <row r="2013">
      <c r="A2013" s="1">
        <v>4.0</v>
      </c>
      <c r="B2013" s="1" t="s">
        <v>2011</v>
      </c>
      <c r="C2013" t="str">
        <f>IFERROR(__xludf.DUMMYFUNCTION("GOOGLETRANSLATE(B2013, ""zh"", ""en"")"),"Good choice good texture, slightly longer sleeves, comfortable")</f>
        <v>Good choice good texture, slightly longer sleeves, comfortable</v>
      </c>
    </row>
    <row r="2014">
      <c r="A2014" s="1">
        <v>4.0</v>
      </c>
      <c r="B2014" s="1" t="s">
        <v>2012</v>
      </c>
      <c r="C2014" t="str">
        <f>IFERROR(__xludf.DUMMYFUNCTION("GOOGLETRANSLATE(B2014, ""zh"", ""en"")"),"Satisfaction tried before a cursory inspection intact, after trying on the inside there is only a small foot broken, do not know if I get, do not mind. Instep leather hard, not to wear out, do not know will not foot pain.")</f>
        <v>Satisfaction tried before a cursory inspection intact, after trying on the inside there is only a small foot broken, do not know if I get, do not mind. Instep leather hard, not to wear out, do not know will not foot pain.</v>
      </c>
    </row>
    <row r="2015">
      <c r="A2015" s="1">
        <v>5.0</v>
      </c>
      <c r="B2015" s="1" t="s">
        <v>2013</v>
      </c>
      <c r="C2015" t="str">
        <f>IFERROR(__xludf.DUMMYFUNCTION("GOOGLETRANSLATE(B2015, ""zh"", ""en"")"),"Overall very good in all aspects")</f>
        <v>Overall very good in all aspects</v>
      </c>
    </row>
    <row r="2016">
      <c r="A2016" s="1">
        <v>5.0</v>
      </c>
      <c r="B2016" s="1" t="s">
        <v>2014</v>
      </c>
      <c r="C2016" t="str">
        <f>IFERROR(__xludf.DUMMYFUNCTION("GOOGLETRANSLATE(B2016, ""zh"", ""en"")"),"Indonesia's production is very appropriate that my twin, nothing issue, comfortable fit! Recommended to buy freshman yards, the shoe is too small!")</f>
        <v>Indonesia's production is very appropriate that my twin, nothing issue, comfortable fit! Recommended to buy freshman yards, the shoe is too small!</v>
      </c>
    </row>
    <row r="2017">
      <c r="A2017" s="1">
        <v>5.0</v>
      </c>
      <c r="B2017" s="1" t="s">
        <v>2015</v>
      </c>
      <c r="C2017" t="str">
        <f>IFERROR(__xludf.DUMMYFUNCTION("GOOGLETRANSLATE(B2017, ""zh"", ""en"")"),"182cm78kg, m is appropriate wear 182cm78kg, m is appropriate to wear")</f>
        <v>182cm78kg, m is appropriate wear 182cm78kg, m is appropriate to wear</v>
      </c>
    </row>
    <row r="2018">
      <c r="A2018" s="1">
        <v>5.0</v>
      </c>
      <c r="B2018" s="1" t="s">
        <v>2016</v>
      </c>
      <c r="C2018" t="str">
        <f>IFERROR(__xludf.DUMMYFUNCTION("GOOGLETRANSLATE(B2018, ""zh"", ""en"")"),"Good product with gpt not mbr Silient and quick for data. Be aware it is only accessible from 64bit systems as gpt instead of mdr is used")</f>
        <v>Good product with gpt not mbr Silient and quick for data. Be aware it is only accessible from 64bit systems as gpt instead of mdr is used</v>
      </c>
    </row>
    <row r="2019">
      <c r="A2019" s="1">
        <v>5.0</v>
      </c>
      <c r="B2019" s="1" t="s">
        <v>2017</v>
      </c>
      <c r="C2019" t="str">
        <f>IFERROR(__xludf.DUMMYFUNCTION("GOOGLETRANSLATE(B2019, ""zh"", ""en"")"),"Review the proposed reference read reviews buy or reference value M of appropriate")</f>
        <v>Review the proposed reference read reviews buy or reference value M of appropriate</v>
      </c>
    </row>
    <row r="2020">
      <c r="A2020" s="1">
        <v>5.0</v>
      </c>
      <c r="B2020" s="1" t="s">
        <v>2018</v>
      </c>
      <c r="C2020" t="str">
        <f>IFERROR(__xludf.DUMMYFUNCTION("GOOGLETRANSLATE(B2020, ""zh"", ""en"")"),"Good fine fabrics")</f>
        <v>Good fine fabrics</v>
      </c>
    </row>
    <row r="2021">
      <c r="A2021" s="1">
        <v>5.0</v>
      </c>
      <c r="B2021" s="1" t="s">
        <v>2019</v>
      </c>
      <c r="C2021" t="str">
        <f>IFERROR(__xludf.DUMMYFUNCTION("GOOGLETRANSLATE(B2021, ""zh"", ""en"")"),"Bound effective, more tired wear shackles good effect, convenient than the corset belt, just out of the month, wearing a complete moment in his stomach flat. Is the time to wear a bit tired. After all, it lacks flexibility.")</f>
        <v>Bound effective, more tired wear shackles good effect, convenient than the corset belt, just out of the month, wearing a complete moment in his stomach flat. Is the time to wear a bit tired. After all, it lacks flexibility.</v>
      </c>
    </row>
    <row r="2022">
      <c r="A2022" s="1">
        <v>5.0</v>
      </c>
      <c r="B2022" s="1" t="s">
        <v>2020</v>
      </c>
      <c r="C2022" t="str">
        <f>IFERROR(__xludf.DUMMYFUNCTION("GOOGLETRANSLATE(B2022, ""zh"", ""en"")"),"Not being fit from the previous evaluation, I do not know how many wasted points, points can change money now know, they should look carefully evaluated, then I put these words to copy to go, both to earn points, but also save trouble, where one copy wher"&amp;"e, most importantly, do not seriously review, do not think how much worse word, sent directly to it, recommend it to everyone! !")</f>
        <v>Not being fit from the previous evaluation, I do not know how many wasted points, points can change money now know, they should look carefully evaluated, then I put these words to copy to go, both to earn points, but also save trouble, where one copy where, most importantly, do not seriously review, do not think how much worse word, sent directly to it, recommend it to everyone! !</v>
      </c>
    </row>
    <row r="2023">
      <c r="A2023" s="1">
        <v>5.0</v>
      </c>
      <c r="B2023" s="1" t="s">
        <v>2021</v>
      </c>
      <c r="C2023" t="str">
        <f>IFERROR(__xludf.DUMMYFUNCTION("GOOGLETRANSLATE(B2023, ""zh"", ""en"")"),"Very good in Riga velvet, very thick, feel comfortable, relaxed version, suitable for cold weather clothes on.")</f>
        <v>Very good in Riga velvet, very thick, feel comfortable, relaxed version, suitable for cold weather clothes on.</v>
      </c>
    </row>
    <row r="2024">
      <c r="A2024" s="1">
        <v>5.0</v>
      </c>
      <c r="B2024" s="1" t="s">
        <v>2022</v>
      </c>
      <c r="C2024" t="str">
        <f>IFERROR(__xludf.DUMMYFUNCTION("GOOGLETRANSLATE(B2024, ""zh"", ""en"")"),"Good to buy his son, the school principal to use a pencil to write, it is also good to use, but did not say special magic. A small one, but also good for children Claudius stationery, small lost not a pity, Oh")</f>
        <v>Good to buy his son, the school principal to use a pencil to write, it is also good to use, but did not say special magic. A small one, but also good for children Claudius stationery, small lost not a pity, Oh</v>
      </c>
    </row>
    <row r="2025">
      <c r="A2025" s="1">
        <v>5.0</v>
      </c>
      <c r="B2025" s="1" t="s">
        <v>2023</v>
      </c>
      <c r="C2025" t="str">
        <f>IFERROR(__xludf.DUMMYFUNCTION("GOOGLETRANSLATE(B2025, ""zh"", ""en"")"),"Packaging is not the same, smell and I bought the flagship store is not the same")</f>
        <v>Packaging is not the same, smell and I bought the flagship store is not the same</v>
      </c>
    </row>
    <row r="2026">
      <c r="A2026" s="1">
        <v>5.0</v>
      </c>
      <c r="B2026" s="1" t="s">
        <v>2024</v>
      </c>
      <c r="C2026" t="str">
        <f>IFERROR(__xludf.DUMMYFUNCTION("GOOGLETRANSLATE(B2026, ""zh"", ""en"")"),"There have effect as scheduled arrival, looks good, is indeed effective, it has been eating")</f>
        <v>There have effect as scheduled arrival, looks good, is indeed effective, it has been eating</v>
      </c>
    </row>
    <row r="2027">
      <c r="A2027" s="1">
        <v>5.0</v>
      </c>
      <c r="B2027" s="1" t="s">
        <v>2025</v>
      </c>
      <c r="C2027" t="str">
        <f>IFERROR(__xludf.DUMMYFUNCTION("GOOGLETRANSLATE(B2027, ""zh"", ""en"")"),"Very good very good")</f>
        <v>Very good very good</v>
      </c>
    </row>
    <row r="2028">
      <c r="A2028" s="1">
        <v>5.0</v>
      </c>
      <c r="B2028" s="1" t="s">
        <v>2026</v>
      </c>
      <c r="C2028" t="str">
        <f>IFERROR(__xludf.DUMMYFUNCTION("GOOGLETRANSLATE(B2028, ""zh"", ""en"")"),"Sleeper Tiger Tiger lightweight stainless steel mug 200ml gravity mini pearl powder MMP-J020-PP Tiger insulating effect is still possible.")</f>
        <v>Sleeper Tiger Tiger lightweight stainless steel mug 200ml gravity mini pearl powder MMP-J020-PP Tiger insulating effect is still possible.</v>
      </c>
    </row>
    <row r="2029">
      <c r="A2029" s="1">
        <v>5.0</v>
      </c>
      <c r="B2029" s="1" t="s">
        <v>2027</v>
      </c>
      <c r="C2029" t="str">
        <f>IFERROR(__xludf.DUMMYFUNCTION("GOOGLETRANSLATE(B2029, ""zh"", ""en"")"),"This is the right shoe size shoe size standard, as long as the foot is not wide, according to the usual code to buy, in addition to wear for a day, feet without any discomfort, do not wear the foot does not squeeze the foot, very good.")</f>
        <v>This is the right shoe size shoe size standard, as long as the foot is not wide, according to the usual code to buy, in addition to wear for a day, feet without any discomfort, do not wear the foot does not squeeze the foot, very good.</v>
      </c>
    </row>
    <row r="2030">
      <c r="A2030" s="1">
        <v>5.0</v>
      </c>
      <c r="B2030" s="1" t="s">
        <v>2028</v>
      </c>
      <c r="C2030" t="str">
        <f>IFERROR(__xludf.DUMMYFUNCTION("GOOGLETRANSLATE(B2030, ""zh"", ""en"")"),"Very good, did not buy the blue too expensive, buy a little more green cover parts, that is to clean no dead ...... now baby eat much, used to hold a portion of the lay of the ingredients, fairly large box, or try not to dirty the lid, do not want to take"&amp;" apart and wash each ha ha")</f>
        <v>Very good, did not buy the blue too expensive, buy a little more green cover parts, that is to clean no dead ...... now baby eat much, used to hold a portion of the lay of the ingredients, fairly large box, or try not to dirty the lid, do not want to take apart and wash each ha ha</v>
      </c>
    </row>
    <row r="2031">
      <c r="A2031" s="1">
        <v>5.0</v>
      </c>
      <c r="B2031" s="1" t="s">
        <v>2029</v>
      </c>
      <c r="C2031" t="str">
        <f>IFERROR(__xludf.DUMMYFUNCTION("GOOGLETRANSLATE(B2031, ""zh"", ""en"")"),"Small, rugged, high-speed as final cut pro job disc, no problem within 4K performance, reliability should be no problem, lightweight solid, the recent production, very good very practical!")</f>
        <v>Small, rugged, high-speed as final cut pro job disc, no problem within 4K performance, reliability should be no problem, lightweight solid, the recent production, very good very practical!</v>
      </c>
    </row>
    <row r="2032">
      <c r="A2032" s="1">
        <v>5.0</v>
      </c>
      <c r="B2032" s="1" t="s">
        <v>2030</v>
      </c>
      <c r="C2032" t="str">
        <f>IFERROR(__xludf.DUMMYFUNCTION("GOOGLETRANSLATE(B2032, ""zh"", ""en"")"),"Shoes that this number is too small shoes are very comfortable, shot a black light skin, yak skin. Photographed evaluation looked at, looked at home athletic shoes are shoes than usual freshman code, then, decisively beat freshman yards, comfortable, but "&amp;"also to other buyers to be a reference. Then the price is volatile, need to look at, such as the right time to sell. It spent a total of about 1,000 yuan less.")</f>
        <v>Shoes that this number is too small shoes are very comfortable, shot a black light skin, yak skin. Photographed evaluation looked at, looked at home athletic shoes are shoes than usual freshman code, then, decisively beat freshman yards, comfortable, but also to other buyers to be a reference. Then the price is volatile, need to look at, such as the right time to sell. It spent a total of about 1,000 yuan less.</v>
      </c>
    </row>
    <row r="2033">
      <c r="A2033" s="1">
        <v>5.0</v>
      </c>
      <c r="B2033" s="1" t="s">
        <v>2031</v>
      </c>
      <c r="C2033" t="str">
        <f>IFERROR(__xludf.DUMMYFUNCTION("GOOGLETRANSLATE(B2033, ""zh"", ""en"")"),"Who says Amazon does not solve the problem of sale? ? ? Scaling is bought does not work, email customer service, perfect solution, Amazon members buy very value! Customer service sweet voice, attitude, super, will always support the Amazon!")</f>
        <v>Who says Amazon does not solve the problem of sale? ? ? Scaling is bought does not work, email customer service, perfect solution, Amazon members buy very value! Customer service sweet voice, attitude, super, will always support the Amazon!</v>
      </c>
    </row>
    <row r="2034">
      <c r="A2034" s="1">
        <v>5.0</v>
      </c>
      <c r="B2034" s="1" t="s">
        <v>2032</v>
      </c>
      <c r="C2034" t="str">
        <f>IFERROR(__xludf.DUMMYFUNCTION("GOOGLETRANSLATE(B2034, ""zh"", ""en"")"),"Deserves to have it stuffed No. 3 No. 6 single delivery, domestic courier fast to catch up! This headset tuning really comfortable, close to the human voice and clear, horizontal sound field also make it open. It may be low-sensitive headset features bar,"&amp;" very dark background, strong sense of three-dimensional sound, feeling a little big ears. While parsing general lack of high-frequency extension, but the price of listening to pop, but also what 🚲.")</f>
        <v>Deserves to have it stuffed No. 3 No. 6 single delivery, domestic courier fast to catch up! This headset tuning really comfortable, close to the human voice and clear, horizontal sound field also make it open. It may be low-sensitive headset features bar, very dark background, strong sense of three-dimensional sound, feeling a little big ears. While parsing general lack of high-frequency extension, but the price of listening to pop, but also what 🚲.</v>
      </c>
    </row>
    <row r="2035">
      <c r="A2035" s="1">
        <v>5.0</v>
      </c>
      <c r="B2035" s="1" t="s">
        <v>2033</v>
      </c>
      <c r="C2035" t="str">
        <f>IFERROR(__xludf.DUMMYFUNCTION("GOOGLETRANSLATE(B2035, ""zh"", ""en"")"),"Good shopping experience clothes of good quality, very comfortable fabric, is their large size of the election, the domestic brands of the same size clothes I wore tight, this is big - a lot of hair SF Express domestic segment, too pleasant surprise ~")</f>
        <v>Good shopping experience clothes of good quality, very comfortable fabric, is their large size of the election, the domestic brands of the same size clothes I wore tight, this is big - a lot of hair SF Express domestic segment, too pleasant surprise ~</v>
      </c>
    </row>
    <row r="2036">
      <c r="A2036" s="1">
        <v>5.0</v>
      </c>
      <c r="B2036" s="1" t="s">
        <v>2034</v>
      </c>
      <c r="C2036" t="str">
        <f>IFERROR(__xludf.DUMMYFUNCTION("GOOGLETRANSLATE(B2036, ""zh"", ""en"")"),"Bang Bang da cup good, no smell, good quality")</f>
        <v>Bang Bang da cup good, no smell, good quality</v>
      </c>
    </row>
    <row r="2037">
      <c r="A2037" s="1">
        <v>2.0</v>
      </c>
      <c r="B2037" s="1" t="s">
        <v>2035</v>
      </c>
      <c r="C2037" t="str">
        <f>IFERROR(__xludf.DUMMYFUNCTION("GOOGLETRANSLATE(B2037, ""zh"", ""en"")"),"Waist size too seriously inaccurate manual measurement waist circumference greater than 10cm mark")</f>
        <v>Waist size too seriously inaccurate manual measurement waist circumference greater than 10cm mark</v>
      </c>
    </row>
    <row r="2038">
      <c r="A2038" s="1">
        <v>3.0</v>
      </c>
      <c r="B2038" s="1" t="s">
        <v>2036</v>
      </c>
      <c r="C2038" t="str">
        <f>IFERROR(__xludf.DUMMYFUNCTION("GOOGLETRANSLATE(B2038, ""zh"", ""en"")"),"The right size, comfortable to wear 180cm, 81kg wear this size being just good, very comfortable, flexibility is also good.")</f>
        <v>The right size, comfortable to wear 180cm, 81kg wear this size being just good, very comfortable, flexibility is also good.</v>
      </c>
    </row>
    <row r="2039">
      <c r="A2039" s="1">
        <v>3.0</v>
      </c>
      <c r="B2039" s="1" t="s">
        <v>2037</v>
      </c>
      <c r="C2039" t="str">
        <f>IFERROR(__xludf.DUMMYFUNCTION("GOOGLETRANSLATE(B2039, ""zh"", ""en"")"),"Wearing a period of time, the appearance is acceptable, faster travel time every week for a minute, and domestic watches a kind, served. Take a look at dates still, time is not accurate, it needs to be calibrated every week. Fairly sophisticated appearanc"&amp;"e. The cheap, do not care about the details, can be a shot.")</f>
        <v>Wearing a period of time, the appearance is acceptable, faster travel time every week for a minute, and domestic watches a kind, served. Take a look at dates still, time is not accurate, it needs to be calibrated every week. Fairly sophisticated appearance. The cheap, do not care about the details, can be a shot.</v>
      </c>
    </row>
    <row r="2040">
      <c r="A2040" s="1">
        <v>3.0</v>
      </c>
      <c r="B2040" s="1" t="s">
        <v>2038</v>
      </c>
      <c r="C2040" t="str">
        <f>IFERROR(__xludf.DUMMYFUNCTION("GOOGLETRANSLATE(B2040, ""zh"", ""en"")"),"Color color too much trouble refunded quality can also be refunded trouble!")</f>
        <v>Color color too much trouble refunded quality can also be refunded trouble!</v>
      </c>
    </row>
    <row r="2041">
      <c r="A2041" s="1">
        <v>1.0</v>
      </c>
      <c r="B2041" s="1" t="s">
        <v>2039</v>
      </c>
      <c r="C2041" t="str">
        <f>IFERROR(__xludf.DUMMYFUNCTION("GOOGLETRANSLATE(B2041, ""zh"", ""en"")"),"Stinking people feel soft, thick enough. Just the smell is too big, wash also washed away, ready to throw away, but my money ~ ~ ~")</f>
        <v>Stinking people feel soft, thick enough. Just the smell is too big, wash also washed away, ready to throw away, but my money ~ ~ ~</v>
      </c>
    </row>
    <row r="2042">
      <c r="A2042" s="1">
        <v>1.0</v>
      </c>
      <c r="B2042" s="1" t="s">
        <v>2040</v>
      </c>
      <c r="C2042" t="str">
        <f>IFERROR(__xludf.DUMMYFUNCTION("GOOGLETRANSLATE(B2042, ""zh"", ""en"")"),"1 rough work, unable to Tucao, not Taobao dozens of blocks.")</f>
        <v>1 rough work, unable to Tucao, not Taobao dozens of blocks.</v>
      </c>
    </row>
    <row r="2043">
      <c r="A2043" s="1">
        <v>4.0</v>
      </c>
      <c r="B2043" s="1" t="s">
        <v>2041</v>
      </c>
      <c r="C2043" t="str">
        <f>IFERROR(__xludf.DUMMYFUNCTION("GOOGLETRANSLATE(B2043, ""zh"", ""en"")"),"Thermal insulation effect is not bad, for a while to cool it")</f>
        <v>Thermal insulation effect is not bad, for a while to cool it</v>
      </c>
    </row>
    <row r="2044">
      <c r="A2044" s="1">
        <v>4.0</v>
      </c>
      <c r="B2044" s="1" t="s">
        <v>2042</v>
      </c>
      <c r="C2044" t="str">
        <f>IFERROR(__xludf.DUMMYFUNCTION("GOOGLETRANSLATE(B2044, ""zh"", ""en"")"),"Spoon sister really like, they will soon own home baby can learn to eat their own")</f>
        <v>Spoon sister really like, they will soon own home baby can learn to eat their own</v>
      </c>
    </row>
    <row r="2045">
      <c r="A2045" s="1">
        <v>4.0</v>
      </c>
      <c r="B2045" s="1" t="s">
        <v>2043</v>
      </c>
      <c r="C2045" t="str">
        <f>IFERROR(__xludf.DUMMYFUNCTION("GOOGLETRANSLATE(B2045, ""zh"", ""en"")"),"To really feel good when some sticky to cook, taste side also good, very Q.")</f>
        <v>To really feel good when some sticky to cook, taste side also good, very Q.</v>
      </c>
    </row>
    <row r="2046">
      <c r="A2046" s="1">
        <v>4.0</v>
      </c>
      <c r="B2046" s="1" t="s">
        <v>2044</v>
      </c>
      <c r="C2046" t="str">
        <f>IFERROR(__xludf.DUMMYFUNCTION("GOOGLETRANSLATE(B2046, ""zh"", ""en"")"),"Watch good but flawed after just received is still pretty exciting discovery waterproof seen the discovery is good when I swim there with no water but the surface is easy to wear flowers just a simple little package with the first day after it was used I "&amp;"grind the rear surface of a distressed dead flowers affect the appearance and look at the time but this price is still quite cheap price is still high it depressed me the most is to buy a few days on the price of the outstanding tears ran ~ ~ ~ ~")</f>
        <v>Watch good but flawed after just received is still pretty exciting discovery waterproof seen the discovery is good when I swim there with no water but the surface is easy to wear flowers just a simple little package with the first day after it was used I grind the rear surface of a distressed dead flowers affect the appearance and look at the time but this price is still quite cheap price is still high it depressed me the most is to buy a few days on the price of the outstanding tears ran ~ ~ ~ ~</v>
      </c>
    </row>
    <row r="2047">
      <c r="A2047" s="1">
        <v>4.0</v>
      </c>
      <c r="B2047" s="1" t="s">
        <v>2045</v>
      </c>
      <c r="C2047" t="str">
        <f>IFERROR(__xludf.DUMMYFUNCTION("GOOGLETRANSLATE(B2047, ""zh"", ""en"")"),"Things can not be disinfected not sterilized high temperature steam, the reminder to buy it, disinfect dishes on the deformation, the rest can")</f>
        <v>Things can not be disinfected not sterilized high temperature steam, the reminder to buy it, disinfect dishes on the deformation, the rest can</v>
      </c>
    </row>
    <row r="2048">
      <c r="A2048" s="1">
        <v>5.0</v>
      </c>
      <c r="B2048" s="1" t="s">
        <v>2046</v>
      </c>
      <c r="C2048" t="str">
        <f>IFERROR(__xludf.DUMMYFUNCTION("GOOGLETRANSLATE(B2048, ""zh"", ""en"")"),"As you look at the number of comments that buy large numbers, it is recommended to buy a smaller size. The results tragedy")</f>
        <v>As you look at the number of comments that buy large numbers, it is recommended to buy a smaller size. The results tragedy</v>
      </c>
    </row>
    <row r="2049">
      <c r="A2049" s="1">
        <v>5.0</v>
      </c>
      <c r="B2049" s="1" t="s">
        <v>2047</v>
      </c>
      <c r="C2049" t="str">
        <f>IFERROR(__xludf.DUMMYFUNCTION("GOOGLETRANSLATE(B2049, ""zh"", ""en"")"),"Installed a temperature not accurate, do not know how durable")</f>
        <v>Installed a temperature not accurate, do not know how durable</v>
      </c>
    </row>
    <row r="2050">
      <c r="A2050" s="1">
        <v>5.0</v>
      </c>
      <c r="B2050" s="1" t="s">
        <v>2048</v>
      </c>
      <c r="C2050" t="str">
        <f>IFERROR(__xludf.DUMMYFUNCTION("GOOGLETRANSLATE(B2050, ""zh"", ""en"")"),"Delivery speed fast good quality price is not expensive things just for money Dai Dai relatively small minority")</f>
        <v>Delivery speed fast good quality price is not expensive things just for money Dai Dai relatively small minority</v>
      </c>
    </row>
    <row r="2051">
      <c r="A2051" s="1">
        <v>5.0</v>
      </c>
      <c r="B2051" s="1" t="s">
        <v>2049</v>
      </c>
      <c r="C2051" t="str">
        <f>IFERROR(__xludf.DUMMYFUNCTION("GOOGLETRANSLATE(B2051, ""zh"", ""en"")"),"Fortunately, the princess did not receive, seek election shall be effective, random delivery is a little suck, but fortunately did not receive the princess, his son liked McQueen")</f>
        <v>Fortunately, the princess did not receive, seek election shall be effective, random delivery is a little suck, but fortunately did not receive the princess, his son liked McQueen</v>
      </c>
    </row>
    <row r="2052">
      <c r="A2052" s="1">
        <v>5.0</v>
      </c>
      <c r="B2052" s="1" t="s">
        <v>2050</v>
      </c>
      <c r="C2052" t="str">
        <f>IFERROR(__xludf.DUMMYFUNCTION("GOOGLETRANSLATE(B2052, ""zh"", ""en"")"),"Shoe size suitable especially comfortable.")</f>
        <v>Shoe size suitable especially comfortable.</v>
      </c>
    </row>
    <row r="2053">
      <c r="A2053" s="1">
        <v>5.0</v>
      </c>
      <c r="B2053" s="1" t="s">
        <v>2051</v>
      </c>
      <c r="C2053" t="str">
        <f>IFERROR(__xludf.DUMMYFUNCTION("GOOGLETRANSLATE(B2053, ""zh"", ""en"")"),"Price level and quantity of high value feature-rich color even in the play-off with a cloud NAS can be said to be fooled price level (¥ 1020) and quantity (8T capacity) home enough with two USB ports you can then expand or plug in the U disk reader is sta"&amp;"ble enough to copy is temporarily not reflect how kind of hard, but now it can only pray")</f>
        <v>Price level and quantity of high value feature-rich color even in the play-off with a cloud NAS can be said to be fooled price level (¥ 1020) and quantity (8T capacity) home enough with two USB ports you can then expand or plug in the U disk reader is stable enough to copy is temporarily not reflect how kind of hard, but now it can only pray</v>
      </c>
    </row>
    <row r="2054">
      <c r="A2054" s="1">
        <v>5.0</v>
      </c>
      <c r="B2054" s="1" t="s">
        <v>2052</v>
      </c>
      <c r="C2054" t="str">
        <f>IFERROR(__xludf.DUMMYFUNCTION("GOOGLETRANSLATE(B2054, ""zh"", ""en"")"),"Very easy to use currently with a spoon, very easy to use, yet with the other")</f>
        <v>Very easy to use currently with a spoon, very easy to use, yet with the other</v>
      </c>
    </row>
    <row r="2055">
      <c r="A2055" s="1">
        <v>5.0</v>
      </c>
      <c r="B2055" s="1" t="s">
        <v>2053</v>
      </c>
      <c r="C2055" t="str">
        <f>IFERROR(__xludf.DUMMYFUNCTION("GOOGLETRANSLATE(B2055, ""zh"", ""en"")"),"Comparative fit white, cotton comfortable texture, slightly transparent, female, weight 167. Height 106, S code suitable bit length")</f>
        <v>Comparative fit white, cotton comfortable texture, slightly transparent, female, weight 167. Height 106, S code suitable bit length</v>
      </c>
    </row>
    <row r="2056">
      <c r="A2056" s="1">
        <v>5.0</v>
      </c>
      <c r="B2056" s="1" t="s">
        <v>2054</v>
      </c>
      <c r="C2056" t="str">
        <f>IFERROR(__xludf.DUMMYFUNCTION("GOOGLETRANSLATE(B2056, ""zh"", ""en"")"),"It is worth buying 42.5 tidal shoes usually wear shoes, this pair of 42 is enough, perfect, walk outside the blast wave")</f>
        <v>It is worth buying 42.5 tidal shoes usually wear shoes, this pair of 42 is enough, perfect, walk outside the blast wave</v>
      </c>
    </row>
    <row r="2057">
      <c r="A2057" s="1">
        <v>5.0</v>
      </c>
      <c r="B2057" s="1" t="s">
        <v>2055</v>
      </c>
      <c r="C2057" t="str">
        <f>IFERROR(__xludf.DUMMYFUNCTION("GOOGLETRANSLATE(B2057, ""zh"", ""en"")"),"Habit habit look something good, very convenient. Originally a long time without wearing a watch, hoping to up the habit")</f>
        <v>Habit habit look something good, very convenient. Originally a long time without wearing a watch, hoping to up the habit</v>
      </c>
    </row>
    <row r="2058">
      <c r="A2058" s="1">
        <v>5.0</v>
      </c>
      <c r="B2058" s="1" t="s">
        <v>2056</v>
      </c>
      <c r="C2058" t="str">
        <f>IFERROR(__xludf.DUMMYFUNCTION("GOOGLETRANSLATE(B2058, ""zh"", ""en"")"),"Basically suitable basically appropriate, feet a little tight, my feet 235mm, 240mm shoes to buy is for your reference")</f>
        <v>Basically suitable basically appropriate, feet a little tight, my feet 235mm, 240mm shoes to buy is for your reference</v>
      </c>
    </row>
    <row r="2059">
      <c r="A2059" s="1">
        <v>5.0</v>
      </c>
      <c r="B2059" s="1" t="s">
        <v>2057</v>
      </c>
      <c r="C2059" t="str">
        <f>IFERROR(__xludf.DUMMYFUNCTION("GOOGLETRANSLATE(B2059, ""zh"", ""en"")"),"Quality can also be")</f>
        <v>Quality can also be</v>
      </c>
    </row>
    <row r="2060">
      <c r="A2060" s="1">
        <v>5.0</v>
      </c>
      <c r="B2060" s="1" t="s">
        <v>2058</v>
      </c>
      <c r="C2060" t="str">
        <f>IFERROR(__xludf.DUMMYFUNCTION("GOOGLETRANSLATE(B2060, ""zh"", ""en"")"),"Thrive, thick, material cross the border, in line with expectations, will repurchase the same brand to other products")</f>
        <v>Thrive, thick, material cross the border, in line with expectations, will repurchase the same brand to other products</v>
      </c>
    </row>
    <row r="2061">
      <c r="A2061" s="1">
        <v>5.0</v>
      </c>
      <c r="B2061" s="1" t="s">
        <v>2059</v>
      </c>
      <c r="C2061" t="str">
        <f>IFERROR(__xludf.DUMMYFUNCTION("GOOGLETRANSLATE(B2061, ""zh"", ""en"")"),"Recommended uncomfortable, but later opened the line, how to deal with it")</f>
        <v>Recommended uncomfortable, but later opened the line, how to deal with it</v>
      </c>
    </row>
    <row r="2062">
      <c r="A2062" s="1">
        <v>5.0</v>
      </c>
      <c r="B2062" s="1" t="s">
        <v>401</v>
      </c>
      <c r="C2062" t="str">
        <f>IFERROR(__xludf.DUMMYFUNCTION("GOOGLETRANSLATE(B2062, ""zh"", ""en"")"),"Satisfaction is the jacket thin section - flexible, soft texture to 170 to 110 pounds just s")</f>
        <v>Satisfaction is the jacket thin section - flexible, soft texture to 170 to 110 pounds just s</v>
      </c>
    </row>
    <row r="2063">
      <c r="A2063" s="1">
        <v>5.0</v>
      </c>
      <c r="B2063" s="1" t="s">
        <v>2060</v>
      </c>
      <c r="C2063" t="str">
        <f>IFERROR(__xludf.DUMMYFUNCTION("GOOGLETRANSLATE(B2063, ""zh"", ""en"")"),"S the right size to wear comfortable clothes and soft, but just the number would not be very comfortable to wear like type")</f>
        <v>S the right size to wear comfortable clothes and soft, but just the number would not be very comfortable to wear like type</v>
      </c>
    </row>
    <row r="2064">
      <c r="A2064" s="1">
        <v>5.0</v>
      </c>
      <c r="B2064" s="1" t="s">
        <v>2061</v>
      </c>
      <c r="C2064" t="str">
        <f>IFERROR(__xludf.DUMMYFUNCTION("GOOGLETRANSLATE(B2064, ""zh"", ""en"")"),"173-77kg wear the number M number is too large, I wear M just right, a little bit biased long sleeves, others are ok")</f>
        <v>173-77kg wear the number M number is too large, I wear M just right, a little bit biased long sleeves, others are ok</v>
      </c>
    </row>
    <row r="2065">
      <c r="A2065" s="1">
        <v>5.0</v>
      </c>
      <c r="B2065" s="1" t="s">
        <v>2062</v>
      </c>
      <c r="C2065" t="str">
        <f>IFERROR(__xludf.DUMMYFUNCTION("GOOGLETRANSLATE(B2065, ""zh"", ""en"")"),"Very good casio asked to call customer service, you will be taught to use them. Chinese official website there are instructions available for download. Very good, but this is a man money, a woman with a slightly larger, and then to the family man he used "&amp;"to buy a female.")</f>
        <v>Very good casio asked to call customer service, you will be taught to use them. Chinese official website there are instructions available for download. Very good, but this is a man money, a woman with a slightly larger, and then to the family man he used to buy a female.</v>
      </c>
    </row>
    <row r="2066">
      <c r="A2066" s="1">
        <v>5.0</v>
      </c>
      <c r="B2066" s="1" t="s">
        <v>2063</v>
      </c>
      <c r="C2066" t="str">
        <f>IFERROR(__xludf.DUMMYFUNCTION("GOOGLETRANSLATE(B2066, ""zh"", ""en"")"),"Good value for money compared the country to buy before the next, not much difference, it should be used, much higher than the national line version price")</f>
        <v>Good value for money compared the country to buy before the next, not much difference, it should be used, much higher than the national line version price</v>
      </c>
    </row>
    <row r="2067">
      <c r="A2067" s="1">
        <v>5.0</v>
      </c>
      <c r="B2067" s="1" t="s">
        <v>2064</v>
      </c>
      <c r="C2067" t="str">
        <f>IFERROR(__xludf.DUMMYFUNCTION("GOOGLETRANSLATE(B2067, ""zh"", ""en"")"),"Very comfortable, close-fitting comfortable, personal, warm. . . . .")</f>
        <v>Very comfortable, close-fitting comfortable, personal, warm. . . . .</v>
      </c>
    </row>
    <row r="2068">
      <c r="A2068" s="1">
        <v>5.0</v>
      </c>
      <c r="B2068" s="1" t="s">
        <v>2065</v>
      </c>
      <c r="C2068" t="str">
        <f>IFERROR(__xludf.DUMMYFUNCTION("GOOGLETRANSLATE(B2068, ""zh"", ""en"")"),"Overall good liner with a coating, the overall feeling okay, not soaked wash.")</f>
        <v>Overall good liner with a coating, the overall feeling okay, not soaked wash.</v>
      </c>
    </row>
    <row r="2069">
      <c r="A2069" s="1">
        <v>5.0</v>
      </c>
      <c r="B2069" s="1" t="s">
        <v>2066</v>
      </c>
      <c r="C2069" t="str">
        <f>IFERROR(__xludf.DUMMYFUNCTION("GOOGLETRANSLATE(B2069, ""zh"", ""en"")"),"Pacifier and very soft like the domestic version is not the same, scale thicker, softer and more obvious pacifiers also the value of so many online shopping platform with the baby just believe Amazon")</f>
        <v>Pacifier and very soft like the domestic version is not the same, scale thicker, softer and more obvious pacifiers also the value of so many online shopping platform with the baby just believe Amazon</v>
      </c>
    </row>
    <row r="2070">
      <c r="A2070" s="1">
        <v>2.0</v>
      </c>
      <c r="B2070" s="1" t="s">
        <v>2067</v>
      </c>
      <c r="C2070" t="str">
        <f>IFERROR(__xludf.DUMMYFUNCTION("GOOGLETRANSLATE(B2070, ""zh"", ""en"")"),"171 70kg size too big, and the family size before you buy too much deviation")</f>
        <v>171 70kg size too big, and the family size before you buy too much deviation</v>
      </c>
    </row>
    <row r="2071">
      <c r="A2071" s="1">
        <v>3.0</v>
      </c>
      <c r="B2071" s="1" t="s">
        <v>2068</v>
      </c>
      <c r="C2071" t="str">
        <f>IFERROR(__xludf.DUMMYFUNCTION("GOOGLETRANSLATE(B2071, ""zh"", ""en"")"),"The shoes too hard! ↖ like to play 80 minutes, foot feeling to play 59 minutes! Before and bought two pairs, black state too hard! ! ! decline!")</f>
        <v>The shoes too hard! ↖ like to play 80 minutes, foot feeling to play 59 minutes! Before and bought two pairs, black state too hard! ! ! decline!</v>
      </c>
    </row>
    <row r="2072">
      <c r="A2072" s="1">
        <v>3.0</v>
      </c>
      <c r="B2072" s="1" t="s">
        <v>2069</v>
      </c>
      <c r="C2072" t="str">
        <f>IFERROR(__xludf.DUMMYFUNCTION("GOOGLETRANSLATE(B2072, ""zh"", ""en"")"),"Seeking identification Although overall are good, but the feeling had returned wearing secondhand others, more obvious signs, shipping packaging is very simple, and there is no protective film to protect the dial, streaking inside the box, looked distress"&amp;"ed, barely 3 star, on the map seeking identification")</f>
        <v>Seeking identification Although overall are good, but the feeling had returned wearing secondhand others, more obvious signs, shipping packaging is very simple, and there is no protective film to protect the dial, streaking inside the box, looked distressed, barely 3 star, on the map seeking identification</v>
      </c>
    </row>
    <row r="2073">
      <c r="A2073" s="1">
        <v>1.0</v>
      </c>
      <c r="B2073" s="1" t="s">
        <v>2070</v>
      </c>
      <c r="C2073" t="str">
        <f>IFERROR(__xludf.DUMMYFUNCTION("GOOGLETRANSLATE(B2073, ""zh"", ""en"")"),"Do not buy this watch! ! ! Watch quality is very poor! ! ! Do not buy this watch! ! ! Less than a year, the minute hand hour hand can be adjusted, but the date can not be adjusted, and then suddenly the backlight is not bright. With battery power it does "&amp;"not matter, for a piece of the battery or not used. Direct throw, more than three hundred dollars is not worth a watch repair.")</f>
        <v>Do not buy this watch! ! ! Watch quality is very poor! ! ! Do not buy this watch! ! ! Less than a year, the minute hand hour hand can be adjusted, but the date can not be adjusted, and then suddenly the backlight is not bright. With battery power it does not matter, for a piece of the battery or not used. Direct throw, more than three hundred dollars is not worth a watch repair.</v>
      </c>
    </row>
    <row r="2074">
      <c r="A2074" s="1">
        <v>1.0</v>
      </c>
      <c r="B2074" s="1" t="s">
        <v>2071</v>
      </c>
      <c r="C2074" t="str">
        <f>IFERROR(__xludf.DUMMYFUNCTION("GOOGLETRANSLATE(B2074, ""zh"", ""en"")"),"China does not give bad repair! Overseas buying bad, not to repair the domestic sale only in the issuing country repair, what I might buy a headset, have to go abroad to repair, a tragedy! Buyers carefully consider!")</f>
        <v>China does not give bad repair! Overseas buying bad, not to repair the domestic sale only in the issuing country repair, what I might buy a headset, have to go abroad to repair, a tragedy! Buyers carefully consider!</v>
      </c>
    </row>
    <row r="2075">
      <c r="A2075" s="1">
        <v>1.0</v>
      </c>
      <c r="B2075" s="1" t="s">
        <v>2072</v>
      </c>
      <c r="C2075" t="str">
        <f>IFERROR(__xludf.DUMMYFUNCTION("GOOGLETRANSLATE(B2075, ""zh"", ""en"")"),"Serious physical and picture does not match is not fixed bowl three received several very shallow cups, top three grid. Had trouble returns, left early")</f>
        <v>Serious physical and picture does not match is not fixed bowl three received several very shallow cups, top three grid. Had trouble returns, left early</v>
      </c>
    </row>
    <row r="2076">
      <c r="A2076" s="1">
        <v>4.0</v>
      </c>
      <c r="B2076" s="1" t="s">
        <v>2073</v>
      </c>
      <c r="C2076" t="str">
        <f>IFERROR(__xludf.DUMMYFUNCTION("GOOGLETRANSLATE(B2076, ""zh"", ""en"")"),"You can buy something good, quality can be.")</f>
        <v>You can buy something good, quality can be.</v>
      </c>
    </row>
    <row r="2077">
      <c r="A2077" s="1">
        <v>4.0</v>
      </c>
      <c r="B2077" s="1" t="s">
        <v>2074</v>
      </c>
      <c r="C2077" t="str">
        <f>IFERROR(__xludf.DUMMYFUNCTION("GOOGLETRANSLATE(B2077, ""zh"", ""en"")"),"Well, appropriate. Japanese version of the US version is not comfortable, the fabric is very hard. I 162cm, 55kg wear xs appropriate United States Code, date code wear m. To provide you refer, the United States and Japan code xs = m, and so on.")</f>
        <v>Well, appropriate. Japanese version of the US version is not comfortable, the fabric is very hard. I 162cm, 55kg wear xs appropriate United States Code, date code wear m. To provide you refer, the United States and Japan code xs = m, and so on.</v>
      </c>
    </row>
    <row r="2078">
      <c r="A2078" s="1">
        <v>4.0</v>
      </c>
      <c r="B2078" s="1" t="s">
        <v>2075</v>
      </c>
      <c r="C2078" t="str">
        <f>IFERROR(__xludf.DUMMYFUNCTION("GOOGLETRANSLATE(B2078, ""zh"", ""en"")"),"Satisfactory quality can be, it is a bit thick")</f>
        <v>Satisfactory quality can be, it is a bit thick</v>
      </c>
    </row>
    <row r="2079">
      <c r="A2079" s="1">
        <v>4.0</v>
      </c>
      <c r="B2079" s="1" t="s">
        <v>2076</v>
      </c>
      <c r="C2079" t="str">
        <f>IFERROR(__xludf.DUMMYFUNCTION("GOOGLETRANSLATE(B2079, ""zh"", ""en"")"),"Suitable cost-effective size normal wear 38 yards just this pair may be slightly larger bit wear thicker socks good quality")</f>
        <v>Suitable cost-effective size normal wear 38 yards just this pair may be slightly larger bit wear thicker socks good quality</v>
      </c>
    </row>
    <row r="2080">
      <c r="A2080" s="1">
        <v>5.0</v>
      </c>
      <c r="B2080" s="1" t="s">
        <v>2077</v>
      </c>
      <c r="C2080" t="str">
        <f>IFERROR(__xludf.DUMMYFUNCTION("GOOGLETRANSLATE(B2080, ""zh"", ""en"")"),"You can also walk, can have the appearance of quality, good")</f>
        <v>You can also walk, can have the appearance of quality, good</v>
      </c>
    </row>
    <row r="2081">
      <c r="A2081" s="1">
        <v>5.0</v>
      </c>
      <c r="B2081" s="1" t="s">
        <v>2078</v>
      </c>
      <c r="C2081" t="str">
        <f>IFERROR(__xludf.DUMMYFUNCTION("GOOGLETRANSLATE(B2081, ""zh"", ""en"")"),"Yes looks good, but not installed")</f>
        <v>Yes looks good, but not installed</v>
      </c>
    </row>
    <row r="2082">
      <c r="A2082" s="1">
        <v>5.0</v>
      </c>
      <c r="B2082" s="1" t="s">
        <v>2079</v>
      </c>
      <c r="C2082" t="str">
        <f>IFERROR(__xludf.DUMMYFUNCTION("GOOGLETRANSLATE(B2082, ""zh"", ""en"")"),"I have the right size 158/44, M number right size. The Japanese attitude can be seen from the packaging quality, it is worth people to learn.")</f>
        <v>I have the right size 158/44, M number right size. The Japanese attitude can be seen from the packaging quality, it is worth people to learn.</v>
      </c>
    </row>
    <row r="2083">
      <c r="A2083" s="1">
        <v>5.0</v>
      </c>
      <c r="B2083" s="1" t="s">
        <v>2080</v>
      </c>
      <c r="C2083" t="str">
        <f>IFERROR(__xludf.DUMMYFUNCTION("GOOGLETRANSLATE(B2083, ""zh"", ""en"")"),"I am too small a 180,85KG, M is able to wear, but obviously too small, visually L is very appropriate, some critics say no to 70KG M are too small, impossible. . . It may be different from our understanding of tights ~")</f>
        <v>I am too small a 180,85KG, M is able to wear, but obviously too small, visually L is very appropriate, some critics say no to 70KG M are too small, impossible. . . It may be different from our understanding of tights ~</v>
      </c>
    </row>
    <row r="2084">
      <c r="A2084" s="1">
        <v>5.0</v>
      </c>
      <c r="B2084" s="1" t="s">
        <v>2081</v>
      </c>
      <c r="C2084" t="str">
        <f>IFERROR(__xludf.DUMMYFUNCTION("GOOGLETRANSLATE(B2084, ""zh"", ""en"")"),"Suit pants size is very appropriate, good quality")</f>
        <v>Suit pants size is very appropriate, good quality</v>
      </c>
    </row>
    <row r="2085">
      <c r="A2085" s="1">
        <v>5.0</v>
      </c>
      <c r="B2085" s="1" t="s">
        <v>2082</v>
      </c>
      <c r="C2085" t="str">
        <f>IFERROR(__xludf.DUMMYFUNCTION("GOOGLETRANSLATE(B2085, ""zh"", ""en"")"),"Price okay. Nichia packaging is very tight, glass still looks good, not use, give praise!")</f>
        <v>Price okay. Nichia packaging is very tight, glass still looks good, not use, give praise!</v>
      </c>
    </row>
    <row r="2086">
      <c r="A2086" s="1">
        <v>5.0</v>
      </c>
      <c r="B2086" s="1" t="s">
        <v>2083</v>
      </c>
      <c r="C2086" t="str">
        <f>IFERROR(__xludf.DUMMYFUNCTION("GOOGLETRANSLATE(B2086, ""zh"", ""en"")"),"Particularly well how can I express my love for you")</f>
        <v>Particularly well how can I express my love for you</v>
      </c>
    </row>
    <row r="2087">
      <c r="A2087" s="1">
        <v>5.0</v>
      </c>
      <c r="B2087" s="1" t="s">
        <v>2084</v>
      </c>
      <c r="C2087" t="str">
        <f>IFERROR(__xludf.DUMMYFUNCTION("GOOGLETRANSLATE(B2087, ""zh"", ""en"")"),"Like the first single package Nichia. Packaging is praise. You do not have to worry about the damage during transportation may cause")</f>
        <v>Like the first single package Nichia. Packaging is praise. You do not have to worry about the damage during transportation may cause</v>
      </c>
    </row>
    <row r="2088">
      <c r="A2088" s="1">
        <v>5.0</v>
      </c>
      <c r="B2088" s="1" t="s">
        <v>2085</v>
      </c>
      <c r="C2088" t="str">
        <f>IFERROR(__xludf.DUMMYFUNCTION("GOOGLETRANSLATE(B2088, ""zh"", ""en"")"),"Really feel Bang Bang da Korea-based Friends of similar models discounted price 280 ha ha ha ha this is really a good deal curved eaves significantly smaller face")</f>
        <v>Really feel Bang Bang da Korea-based Friends of similar models discounted price 280 ha ha ha ha this is really a good deal curved eaves significantly smaller face</v>
      </c>
    </row>
    <row r="2089">
      <c r="A2089" s="1">
        <v>5.0</v>
      </c>
      <c r="B2089" s="1" t="s">
        <v>2086</v>
      </c>
      <c r="C2089" t="str">
        <f>IFERROR(__xludf.DUMMYFUNCTION("GOOGLETRANSLATE(B2089, ""zh"", ""en"")"),"Good quality, high cost of logistics much faster than expected, good quality, is easy to use and do good coffee. And compared to a few years ago bought, there are a lot of improvements. Value for money.")</f>
        <v>Good quality, high cost of logistics much faster than expected, good quality, is easy to use and do good coffee. And compared to a few years ago bought, there are a lot of improvements. Value for money.</v>
      </c>
    </row>
    <row r="2090">
      <c r="A2090" s="1">
        <v>5.0</v>
      </c>
      <c r="B2090" s="1" t="s">
        <v>2087</v>
      </c>
      <c r="C2090" t="str">
        <f>IFERROR(__xludf.DUMMYFUNCTION("GOOGLETRANSLATE(B2090, ""zh"", ""en"")"),"Very good workmanship and elegant style not to say, really authentic work, the end is not glued, together with the surface of the wire-heeled shoes, heel hit four copper nails. I also overpaid, and now the price is cheaper than when I bought a hundred, bu"&amp;"t I still feel value.")</f>
        <v>Very good workmanship and elegant style not to say, really authentic work, the end is not glued, together with the surface of the wire-heeled shoes, heel hit four copper nails. I also overpaid, and now the price is cheaper than when I bought a hundred, but I still feel value.</v>
      </c>
    </row>
    <row r="2091">
      <c r="A2091" s="1">
        <v>5.0</v>
      </c>
      <c r="B2091" s="1" t="s">
        <v>2088</v>
      </c>
      <c r="C2091" t="str">
        <f>IFERROR(__xludf.DUMMYFUNCTION("GOOGLETRANSLATE(B2091, ""zh"", ""en"")"),"Dedicated cup cold or very good, but did not see a dedicated cold, do not know insulation Can")</f>
        <v>Dedicated cup cold or very good, but did not see a dedicated cold, do not know insulation Can</v>
      </c>
    </row>
    <row r="2092">
      <c r="A2092" s="1">
        <v>5.0</v>
      </c>
      <c r="B2092" s="1" t="s">
        <v>2089</v>
      </c>
      <c r="C2092" t="str">
        <f>IFERROR(__xludf.DUMMYFUNCTION("GOOGLETRANSLATE(B2092, ""zh"", ""en"")"),"Beautifully packaged worthy of recommendation, eat some time to know the effect!")</f>
        <v>Beautifully packaged worthy of recommendation, eat some time to know the effect!</v>
      </c>
    </row>
    <row r="2093">
      <c r="A2093" s="1">
        <v>5.0</v>
      </c>
      <c r="B2093" s="1" t="s">
        <v>2090</v>
      </c>
      <c r="C2093" t="str">
        <f>IFERROR(__xludf.DUMMYFUNCTION("GOOGLETRANSLATE(B2093, ""zh"", ""en"")"),"Satisfied with the upper body works well, the girls, according to the comments buy size is very appropriate. 160 wearing m")</f>
        <v>Satisfied with the upper body works well, the girls, according to the comments buy size is very appropriate. 160 wearing m</v>
      </c>
    </row>
    <row r="2094">
      <c r="A2094" s="1">
        <v>5.0</v>
      </c>
      <c r="B2094" s="1" t="s">
        <v>2091</v>
      </c>
      <c r="C2094" t="str">
        <f>IFERROR(__xludf.DUMMYFUNCTION("GOOGLETRANSLATE(B2094, ""zh"", ""en"")"),"Fabric is very high, satisfactory wear very comfortable, cost-effective")</f>
        <v>Fabric is very high, satisfactory wear very comfortable, cost-effective</v>
      </c>
    </row>
    <row r="2095">
      <c r="A2095" s="1">
        <v>5.0</v>
      </c>
      <c r="B2095" s="1" t="s">
        <v>2092</v>
      </c>
      <c r="C2095" t="str">
        <f>IFERROR(__xludf.DUMMYFUNCTION("GOOGLETRANSLATE(B2095, ""zh"", ""en"")"),"Product Description Very true! Compass and water resistance has been tested repeatedly describe the real!")</f>
        <v>Product Description Very true! Compass and water resistance has been tested repeatedly describe the real!</v>
      </c>
    </row>
    <row r="2096">
      <c r="A2096" s="1">
        <v>5.0</v>
      </c>
      <c r="B2096" s="1" t="s">
        <v>2093</v>
      </c>
      <c r="C2096" t="str">
        <f>IFERROR(__xludf.DUMMYFUNCTION("GOOGLETRANSLATE(B2096, ""zh"", ""en"")"),"Genuine satisfaction. I liked. It only took a plastic bag as packaging, shoebox completely damaged, but fortunately no damage to the shoes.")</f>
        <v>Genuine satisfaction. I liked. It only took a plastic bag as packaging, shoebox completely damaged, but fortunately no damage to the shoes.</v>
      </c>
    </row>
    <row r="2097">
      <c r="A2097" s="1">
        <v>5.0</v>
      </c>
      <c r="B2097" s="1" t="s">
        <v>2094</v>
      </c>
      <c r="C2097" t="str">
        <f>IFERROR(__xludf.DUMMYFUNCTION("GOOGLETRANSLATE(B2097, ""zh"", ""en"")"),"Yan high value plastic pots. Yan high value, does not this pot liner is plastic, but fortunately no taste boil.")</f>
        <v>Yan high value plastic pots. Yan high value, does not this pot liner is plastic, but fortunately no taste boil.</v>
      </c>
    </row>
    <row r="2098">
      <c r="A2098" s="1">
        <v>5.0</v>
      </c>
      <c r="B2098" s="1" t="s">
        <v>2095</v>
      </c>
      <c r="C2098" t="str">
        <f>IFERROR(__xludf.DUMMYFUNCTION("GOOGLETRANSLATE(B2098, ""zh"", ""en"")"),"Good pot really like, no coating")</f>
        <v>Good pot really like, no coating</v>
      </c>
    </row>
    <row r="2099">
      <c r="A2099" s="1">
        <v>5.0</v>
      </c>
      <c r="B2099" s="1" t="s">
        <v>2096</v>
      </c>
      <c r="C2099" t="str">
        <f>IFERROR(__xludf.DUMMYFUNCTION("GOOGLETRANSLATE(B2099, ""zh"", ""en"")"),"Amazon bought six pairs of shoes on a good, quality is better than domestic production, as long as selecting the right size, not much to say other")</f>
        <v>Amazon bought six pairs of shoes on a good, quality is better than domestic production, as long as selecting the right size, not much to say other</v>
      </c>
    </row>
    <row r="2100">
      <c r="A2100" s="1">
        <v>5.0</v>
      </c>
      <c r="B2100" s="1" t="s">
        <v>2097</v>
      </c>
      <c r="C2100" t="str">
        <f>IFERROR(__xludf.DUMMYFUNCTION("GOOGLETRANSLATE(B2100, ""zh"", ""en"")"),"Good quality and good quality, effective insulation")</f>
        <v>Good quality and good quality, effective insulation</v>
      </c>
    </row>
    <row r="2101">
      <c r="A2101" s="1">
        <v>5.0</v>
      </c>
      <c r="B2101" s="1" t="s">
        <v>2098</v>
      </c>
      <c r="C2101" t="str">
        <f>IFERROR(__xludf.DUMMYFUNCTION("GOOGLETRANSLATE(B2101, ""zh"", ""en"")"),"Very satisfied with the price, good texture, very fit, 170cm, 65kg.")</f>
        <v>Very satisfied with the price, good texture, very fit, 170cm, 65kg.</v>
      </c>
    </row>
    <row r="2102">
      <c r="A2102" s="1">
        <v>2.0</v>
      </c>
      <c r="B2102" s="1" t="s">
        <v>2099</v>
      </c>
      <c r="C2102" t="str">
        <f>IFERROR(__xludf.DUMMYFUNCTION("GOOGLETRANSLATE(B2102, ""zh"", ""en"")"),"Dissatisfied really doubt, ECCO's so rough work, and no merchandise tag, open as well as heavy taste.")</f>
        <v>Dissatisfied really doubt, ECCO's so rough work, and no merchandise tag, open as well as heavy taste.</v>
      </c>
    </row>
    <row r="2103">
      <c r="A2103" s="1">
        <v>3.0</v>
      </c>
      <c r="B2103" s="1" t="s">
        <v>2100</v>
      </c>
      <c r="C2103" t="str">
        <f>IFERROR(__xludf.DUMMYFUNCTION("GOOGLETRANSLATE(B2103, ""zh"", ""en"")"),"Bought a leaking spent two years this place is leaking. So I buy a new one, but this has just bought a new, in the same position, direct water out, do not know why. . .")</f>
        <v>Bought a leaking spent two years this place is leaking. So I buy a new one, but this has just bought a new, in the same position, direct water out, do not know why. . .</v>
      </c>
    </row>
    <row r="2104">
      <c r="A2104" s="1">
        <v>3.0</v>
      </c>
      <c r="B2104" s="1" t="s">
        <v>2101</v>
      </c>
      <c r="C2104" t="str">
        <f>IFERROR(__xludf.DUMMYFUNCTION("GOOGLETRANSLATE(B2104, ""zh"", ""en"")"),"Super thin style okay, wearing a very pretty, is a bit thin, so the summer season will wear reimbursed")</f>
        <v>Super thin style okay, wearing a very pretty, is a bit thin, so the summer season will wear reimbursed</v>
      </c>
    </row>
    <row r="2105">
      <c r="A2105" s="1">
        <v>3.0</v>
      </c>
      <c r="B2105" s="1" t="s">
        <v>2102</v>
      </c>
      <c r="C2105" t="str">
        <f>IFERROR(__xludf.DUMMYFUNCTION("GOOGLETRANSLATE(B2105, ""zh"", ""en"")"),"Cheap quality is generally personal feelings and domestic stores of goods are different, size is too large!")</f>
        <v>Cheap quality is generally personal feelings and domestic stores of goods are different, size is too large!</v>
      </c>
    </row>
    <row r="2106">
      <c r="A2106" s="1">
        <v>1.0</v>
      </c>
      <c r="B2106" s="1" t="s">
        <v>2103</v>
      </c>
      <c r="C2106" t="str">
        <f>IFERROR(__xludf.DUMMYFUNCTION("GOOGLETRANSLATE(B2106, ""zh"", ""en"")"),"Why did not the box? Not even a box, this 😣 ............")</f>
        <v>Why did not the box? Not even a box, this 😣 ............</v>
      </c>
    </row>
    <row r="2107">
      <c r="A2107" s="1">
        <v>1.0</v>
      </c>
      <c r="B2107" s="1" t="s">
        <v>2104</v>
      </c>
      <c r="C2107" t="str">
        <f>IFERROR(__xludf.DUMMYFUNCTION("GOOGLETRANSLATE(B2107, ""zh"", ""en"")"),"Impurities with an impurity filter, the white filled black powder bowl visible. I do not know what the substance is. Put the water for a while, then consecutive bowls also true")</f>
        <v>Impurities with an impurity filter, the white filled black powder bowl visible. I do not know what the substance is. Put the water for a while, then consecutive bowls also true</v>
      </c>
    </row>
    <row r="2108">
      <c r="A2108" s="1">
        <v>4.0</v>
      </c>
      <c r="B2108" s="1" t="s">
        <v>2105</v>
      </c>
      <c r="C2108" t="str">
        <f>IFERROR(__xludf.DUMMYFUNCTION("GOOGLETRANSLATE(B2108, ""zh"", ""en"")"),"Just so-so wide range, clear vocals, bass slightly less, even with the upgraded app also gain was not significant (I over-emphasis on the bass because of it). These are the results link Apple devices. Good balance plus the front line will launch a new eff"&amp;"ect, the recent plan to start NW-ZX300, hopes to launch the desired effect after put balance.")</f>
        <v>Just so-so wide range, clear vocals, bass slightly less, even with the upgraded app also gain was not significant (I over-emphasis on the bass because of it). These are the results link Apple devices. Good balance plus the front line will launch a new effect, the recent plan to start NW-ZX300, hopes to launch the desired effect after put balance.</v>
      </c>
    </row>
    <row r="2109">
      <c r="A2109" s="1">
        <v>4.0</v>
      </c>
      <c r="B2109" s="1" t="s">
        <v>2106</v>
      </c>
      <c r="C2109" t="str">
        <f>IFERROR(__xludf.DUMMYFUNCTION("GOOGLETRANSLATE(B2109, ""zh"", ""en"")"),"Recommended color is a bit dark, not very too fond of, size can also comfortable to wear, is the color, pink beige, not ideal")</f>
        <v>Recommended color is a bit dark, not very too fond of, size can also comfortable to wear, is the color, pink beige, not ideal</v>
      </c>
    </row>
    <row r="2110">
      <c r="A2110" s="1">
        <v>4.0</v>
      </c>
      <c r="B2110" s="1" t="s">
        <v>2107</v>
      </c>
      <c r="C2110" t="str">
        <f>IFERROR(__xludf.DUMMYFUNCTION("GOOGLETRANSLATE(B2110, ""zh"", ""en"")"),"Clean-shaven Netherlands production, clean-shaven, and waterproof, do not clip the beard is often reminded to wash, and washed after the lights still on, and just whatever it up.")</f>
        <v>Clean-shaven Netherlands production, clean-shaven, and waterproof, do not clip the beard is often reminded to wash, and washed after the lights still on, and just whatever it up.</v>
      </c>
    </row>
    <row r="2111">
      <c r="A2111" s="1">
        <v>4.0</v>
      </c>
      <c r="B2111" s="1" t="s">
        <v>2108</v>
      </c>
      <c r="C2111" t="str">
        <f>IFERROR(__xludf.DUMMYFUNCTION("GOOGLETRANSLATE(B2111, ""zh"", ""en"")"),"Not a good use, very cost-effective!")</f>
        <v>Not a good use, very cost-effective!</v>
      </c>
    </row>
    <row r="2112">
      <c r="A2112" s="1">
        <v>4.0</v>
      </c>
      <c r="B2112" s="1" t="s">
        <v>2109</v>
      </c>
      <c r="C2112" t="str">
        <f>IFERROR(__xludf.DUMMYFUNCTION("GOOGLETRANSLATE(B2112, ""zh"", ""en"")"),"Too large 160cm, 46kg, bought No. 2, pants too long, thigh and hip are also big, calf circumference is actually more appropriate. 0 may be more appropriate.")</f>
        <v>Too large 160cm, 46kg, bought No. 2, pants too long, thigh and hip are also big, calf circumference is actually more appropriate. 0 may be more appropriate.</v>
      </c>
    </row>
    <row r="2113">
      <c r="A2113" s="1">
        <v>5.0</v>
      </c>
      <c r="B2113" s="1" t="s">
        <v>2110</v>
      </c>
      <c r="C2113" t="str">
        <f>IFERROR(__xludf.DUMMYFUNCTION("GOOGLETRANSLATE(B2113, ""zh"", ""en"")"),"Reputation difficult to pay wearing comfortable, relatively thin, will play ball")</f>
        <v>Reputation difficult to pay wearing comfortable, relatively thin, will play ball</v>
      </c>
    </row>
    <row r="2114">
      <c r="A2114" s="1">
        <v>5.0</v>
      </c>
      <c r="B2114" s="1" t="s">
        <v>2111</v>
      </c>
      <c r="C2114" t="str">
        <f>IFERROR(__xludf.DUMMYFUNCTION("GOOGLETRANSLATE(B2114, ""zh"", ""en"")"),"Super recommended super rod, really tighten Naples, bought two smaller numbers, can wear into, it is appropriate, that there is no uncomfortable feeling ~")</f>
        <v>Super recommended super rod, really tighten Naples, bought two smaller numbers, can wear into, it is appropriate, that there is no uncomfortable feeling ~</v>
      </c>
    </row>
    <row r="2115">
      <c r="A2115" s="1">
        <v>5.0</v>
      </c>
      <c r="B2115" s="1" t="s">
        <v>2112</v>
      </c>
      <c r="C2115" t="str">
        <f>IFERROR(__xludf.DUMMYFUNCTION("GOOGLETRANSLATE(B2115, ""zh"", ""en"")"),"Very, very good clothes is to buy big, high 180, weight 85kg should buy M's very, very good clothes is to buy big, high 180, weight 85kg should buy M's")</f>
        <v>Very, very good clothes is to buy big, high 180, weight 85kg should buy M's very, very good clothes is to buy big, high 180, weight 85kg should buy M's</v>
      </c>
    </row>
    <row r="2116">
      <c r="A2116" s="1">
        <v>5.0</v>
      </c>
      <c r="B2116" s="1" t="s">
        <v>2113</v>
      </c>
      <c r="C2116" t="str">
        <f>IFERROR(__xludf.DUMMYFUNCTION("GOOGLETRANSLATE(B2116, ""zh"", ""en"")"),"Comfortable, the right size pants is thin, suitable for hot days, wear, self-cultivation, exquisite workmanship")</f>
        <v>Comfortable, the right size pants is thin, suitable for hot days, wear, self-cultivation, exquisite workmanship</v>
      </c>
    </row>
    <row r="2117">
      <c r="A2117" s="1">
        <v>5.0</v>
      </c>
      <c r="B2117" s="1" t="s">
        <v>2114</v>
      </c>
      <c r="C2117" t="str">
        <f>IFERROR(__xludf.DUMMYFUNCTION("GOOGLETRANSLATE(B2117, ""zh"", ""en"")"),"Okay pick amp, you can own a1")</f>
        <v>Okay pick amp, you can own a1</v>
      </c>
    </row>
    <row r="2118">
      <c r="A2118" s="1">
        <v>5.0</v>
      </c>
      <c r="B2118" s="1" t="s">
        <v>2115</v>
      </c>
      <c r="C2118" t="str">
        <f>IFERROR(__xludf.DUMMYFUNCTION("GOOGLETRANSLATE(B2118, ""zh"", ""en"")"),"Yes tell the truth is very good, after listening to two weeks, in addition to general appearance")</f>
        <v>Yes tell the truth is very good, after listening to two weeks, in addition to general appearance</v>
      </c>
    </row>
    <row r="2119">
      <c r="A2119" s="1">
        <v>5.0</v>
      </c>
      <c r="B2119" s="1" t="s">
        <v>2116</v>
      </c>
      <c r="C2119" t="str">
        <f>IFERROR(__xludf.DUMMYFUNCTION("GOOGLETRANSLATE(B2119, ""zh"", ""en"")"),"Like the lightweight and insulation, very good")</f>
        <v>Like the lightweight and insulation, very good</v>
      </c>
    </row>
    <row r="2120">
      <c r="A2120" s="1">
        <v>5.0</v>
      </c>
      <c r="B2120" s="1" t="s">
        <v>2117</v>
      </c>
      <c r="C2120" t="str">
        <f>IFERROR(__xludf.DUMMYFUNCTION("GOOGLETRANSLATE(B2120, ""zh"", ""en"")"),"There is no good amp, it may not play the skill with the original HTC phone Morel earphones ratio, and almost delicate layers of sound. Earmuffs large, long summer wear sweat. There is no good amp, it may not play the skill.")</f>
        <v>There is no good amp, it may not play the skill with the original HTC phone Morel earphones ratio, and almost delicate layers of sound. Earmuffs large, long summer wear sweat. There is no good amp, it may not play the skill.</v>
      </c>
    </row>
    <row r="2121">
      <c r="A2121" s="1">
        <v>5.0</v>
      </c>
      <c r="B2121" s="1" t="s">
        <v>2118</v>
      </c>
      <c r="C2121" t="str">
        <f>IFERROR(__xludf.DUMMYFUNCTION("GOOGLETRANSLATE(B2121, ""zh"", ""en"")"),"The buy smaller, 101 hip postpartum month, 86 this buy small waist, sit down and breathe, hip postpartum month 101, waist 86, just freshman code!")</f>
        <v>The buy smaller, 101 hip postpartum month, 86 this buy small waist, sit down and breathe, hip postpartum month 101, waist 86, just freshman code!</v>
      </c>
    </row>
    <row r="2122">
      <c r="A2122" s="1">
        <v>5.0</v>
      </c>
      <c r="B2122" s="1" t="s">
        <v>2119</v>
      </c>
      <c r="C2122" t="str">
        <f>IFERROR(__xludf.DUMMYFUNCTION("GOOGLETRANSLATE(B2122, ""zh"", ""en"")"),"Thermostat leading out of the package price is very delicate, rapid delivery, excellent workmanship, anti-scald jacket comes with a very sophisticated, heads relatively simple, but the standard interface can upgrade their own")</f>
        <v>Thermostat leading out of the package price is very delicate, rapid delivery, excellent workmanship, anti-scald jacket comes with a very sophisticated, heads relatively simple, but the standard interface can upgrade their own</v>
      </c>
    </row>
    <row r="2123">
      <c r="A2123" s="1">
        <v>5.0</v>
      </c>
      <c r="B2123" s="1" t="s">
        <v>2120</v>
      </c>
      <c r="C2123" t="str">
        <f>IFERROR(__xludf.DUMMYFUNCTION("GOOGLETRANSLATE(B2123, ""zh"", ""en"")"),"Linen cloth is very good to see linen background material unique style is also very thick can also be more convenient to use two sets of straps")</f>
        <v>Linen cloth is very good to see linen background material unique style is also very thick can also be more convenient to use two sets of straps</v>
      </c>
    </row>
    <row r="2124">
      <c r="A2124" s="1">
        <v>5.0</v>
      </c>
      <c r="B2124" s="1" t="s">
        <v>2121</v>
      </c>
      <c r="C2124" t="str">
        <f>IFERROR(__xludf.DUMMYFUNCTION("GOOGLETRANSLATE(B2124, ""zh"", ""en"")"),"Champion for the first time wearing a sweater very thick clothes, I bought the right size, but long sleeves or partial, not to wear")</f>
        <v>Champion for the first time wearing a sweater very thick clothes, I bought the right size, but long sleeves or partial, not to wear</v>
      </c>
    </row>
    <row r="2125">
      <c r="A2125" s="1">
        <v>5.0</v>
      </c>
      <c r="B2125" s="1" t="s">
        <v>2122</v>
      </c>
      <c r="C2125" t="str">
        <f>IFERROR(__xludf.DUMMYFUNCTION("GOOGLETRANSLATE(B2125, ""zh"", ""en"")"),"Quality good quality feel OK, my husband on a business trip, not try, the quality is really good 👍")</f>
        <v>Quality good quality feel OK, my husband on a business trip, not try, the quality is really good 👍</v>
      </c>
    </row>
    <row r="2126">
      <c r="A2126" s="1">
        <v>5.0</v>
      </c>
      <c r="B2126" s="1" t="s">
        <v>2123</v>
      </c>
      <c r="C2126" t="str">
        <f>IFERROR(__xludf.DUMMYFUNCTION("GOOGLETRANSLATE(B2126, ""zh"", ""en"")"),"Ok silver pen body, beautiful, fine workmanship, the most important is the price too good, the domestic price is really Pike.")</f>
        <v>Ok silver pen body, beautiful, fine workmanship, the most important is the price too good, the domestic price is really Pike.</v>
      </c>
    </row>
    <row r="2127">
      <c r="A2127" s="1">
        <v>5.0</v>
      </c>
      <c r="B2127" s="1" t="s">
        <v>2124</v>
      </c>
      <c r="C2127" t="str">
        <f>IFERROR(__xludf.DUMMYFUNCTION("GOOGLETRANSLATE(B2127, ""zh"", ""en"")"),"Writing experience to write very Shunliu!")</f>
        <v>Writing experience to write very Shunliu!</v>
      </c>
    </row>
    <row r="2128">
      <c r="A2128" s="1">
        <v>5.0</v>
      </c>
      <c r="B2128" s="1" t="s">
        <v>2125</v>
      </c>
      <c r="C2128" t="str">
        <f>IFERROR(__xludf.DUMMYFUNCTION("GOOGLETRANSLATE(B2128, ""zh"", ""en"")"),"Nice yardage husband put on just being nice couple shoes hee hee")</f>
        <v>Nice yardage husband put on just being nice couple shoes hee hee</v>
      </c>
    </row>
    <row r="2129">
      <c r="A2129" s="1">
        <v>5.0</v>
      </c>
      <c r="B2129" s="1" t="s">
        <v>2126</v>
      </c>
      <c r="C2129" t="str">
        <f>IFERROR(__xludf.DUMMYFUNCTION("GOOGLETRANSLATE(B2129, ""zh"", ""en"")"),"Amazon Commodity size of this problem, please point effort at No. L, roughly equal to domestic xl, things are good, worth buying")</f>
        <v>Amazon Commodity size of this problem, please point effort at No. L, roughly equal to domestic xl, things are good, worth buying</v>
      </c>
    </row>
    <row r="2130">
      <c r="A2130" s="1">
        <v>5.0</v>
      </c>
      <c r="B2130" s="1" t="s">
        <v>2127</v>
      </c>
      <c r="C2130" t="str">
        <f>IFERROR(__xludf.DUMMYFUNCTION("GOOGLETRANSLATE(B2130, ""zh"", ""en"")"),"Helium disk doing less than 125 / TB, although not the cheapest, but also accepted. It is primarily used when the warehouse disk, power-on time will not be too often so decisively removed the shell.")</f>
        <v>Helium disk doing less than 125 / TB, although not the cheapest, but also accepted. It is primarily used when the warehouse disk, power-on time will not be too often so decisively removed the shell.</v>
      </c>
    </row>
    <row r="2131">
      <c r="A2131" s="1">
        <v>5.0</v>
      </c>
      <c r="B2131" s="1" t="s">
        <v>2128</v>
      </c>
      <c r="C2131" t="str">
        <f>IFERROR(__xludf.DUMMYFUNCTION("GOOGLETRANSLATE(B2131, ""zh"", ""en"")"),"Comments nice shoes")</f>
        <v>Comments nice shoes</v>
      </c>
    </row>
    <row r="2132">
      <c r="A2132" s="1">
        <v>5.0</v>
      </c>
      <c r="B2132" s="1" t="s">
        <v>2129</v>
      </c>
      <c r="C2132" t="str">
        <f>IFERROR(__xludf.DUMMYFUNCTION("GOOGLETRANSLATE(B2132, ""zh"", ""en"")"),"Very nice shoes are very good, with jeans, casual pants look good, material workmanship are first-class. Note that the size is slightly too large, the people who give negative feedback, you are deliberately to Amazon's black, right? Obviously very loose v"&amp;"ersion of the type you say something too small! Suggest that you buy the normal size on the line, I was wearing a light, if cold weather wear socks should be just right. Although slightly too large, but relatively tight shoes mouth, so there is no problem"&amp;" no Genjiao.")</f>
        <v>Very nice shoes are very good, with jeans, casual pants look good, material workmanship are first-class. Note that the size is slightly too large, the people who give negative feedback, you are deliberately to Amazon's black, right? Obviously very loose version of the type you say something too small! Suggest that you buy the normal size on the line, I was wearing a light, if cold weather wear socks should be just right. Although slightly too large, but relatively tight shoes mouth, so there is no problem no Genjiao.</v>
      </c>
    </row>
    <row r="2133">
      <c r="A2133" s="1">
        <v>5.0</v>
      </c>
      <c r="B2133" s="1" t="s">
        <v>2130</v>
      </c>
      <c r="C2133" t="str">
        <f>IFERROR(__xludf.DUMMYFUNCTION("GOOGLETRANSLATE(B2133, ""zh"", ""en"")"),"Very satisfied with very nice color is also good bargain 167cm97 kg s yards just fit a little loose effect")</f>
        <v>Very satisfied with very nice color is also good bargain 167cm97 kg s yards just fit a little loose effect</v>
      </c>
    </row>
    <row r="2134">
      <c r="A2134" s="1">
        <v>5.0</v>
      </c>
      <c r="B2134" s="1" t="s">
        <v>2131</v>
      </c>
      <c r="C2134" t="str">
        <f>IFERROR(__xludf.DUMMYFUNCTION("GOOGLETRANSLATE(B2134, ""zh"", ""en"")"),"Good to my wife bought, very much. A little expensive.")</f>
        <v>Good to my wife bought, very much. A little expensive.</v>
      </c>
    </row>
    <row r="2135">
      <c r="A2135" s="1">
        <v>2.0</v>
      </c>
      <c r="B2135" s="1" t="s">
        <v>2132</v>
      </c>
      <c r="C2135" t="str">
        <f>IFERROR(__xludf.DUMMYFUNCTION("GOOGLETRANSLATE(B2135, ""zh"", ""en"")"),"Yellow to green it actually did not take long yellow hair")</f>
        <v>Yellow to green it actually did not take long yellow hair</v>
      </c>
    </row>
    <row r="2136">
      <c r="A2136" s="1">
        <v>3.0</v>
      </c>
      <c r="B2136" s="1" t="s">
        <v>2133</v>
      </c>
      <c r="C2136" t="str">
        <f>IFERROR(__xludf.DUMMYFUNCTION("GOOGLETRANSLATE(B2136, ""zh"", ""en"")"),"Not turn good sound quality, is sometimes crash (suddenly Rom also not drive off), buy the end of October last year, today will not suddenly opened, the keys did not respond, do not know what Amazon can not find service .")</f>
        <v>Not turn good sound quality, is sometimes crash (suddenly Rom also not drive off), buy the end of October last year, today will not suddenly opened, the keys did not respond, do not know what Amazon can not find service .</v>
      </c>
    </row>
    <row r="2137">
      <c r="A2137" s="1">
        <v>3.0</v>
      </c>
      <c r="B2137" s="1" t="s">
        <v>2134</v>
      </c>
      <c r="C2137" t="str">
        <f>IFERROR(__xludf.DUMMYFUNCTION("GOOGLETRANSLATE(B2137, ""zh"", ""en"")"),"Most of the code, rainy day to wear special shoes with mud most of the code, this brand of amount common problem. Key is the original value is waterproof, bought them to wear a rainy day, but rain was wearing a mud but with ideas, especially upset.")</f>
        <v>Most of the code, rainy day to wear special shoes with mud most of the code, this brand of amount common problem. Key is the original value is waterproof, bought them to wear a rainy day, but rain was wearing a mud but with ideas, especially upset.</v>
      </c>
    </row>
    <row r="2138">
      <c r="A2138" s="1">
        <v>1.0</v>
      </c>
      <c r="B2138" s="1" t="s">
        <v>2135</v>
      </c>
      <c r="C2138" t="str">
        <f>IFERROR(__xludf.DUMMYFUNCTION("GOOGLETRANSLATE(B2138, ""zh"", ""en"")"),"! ! Fake ba! I go! This is simply a fake it! ! I'm furious! I bought so much! ! Cheap is not good quality!")</f>
        <v>! ! Fake ba! I go! This is simply a fake it! ! I'm furious! I bought so much! ! Cheap is not good quality!</v>
      </c>
    </row>
    <row r="2139">
      <c r="A2139" s="1">
        <v>1.0</v>
      </c>
      <c r="B2139" s="1" t="s">
        <v>2136</v>
      </c>
      <c r="C2139" t="str">
        <f>IFERROR(__xludf.DUMMYFUNCTION("GOOGLETRANSLATE(B2139, ""zh"", ""en"")"),"Images and pictures and shoddy goods not, is simply not a model, return but also trouble! ! !")</f>
        <v>Images and pictures and shoddy goods not, is simply not a model, return but also trouble! ! !</v>
      </c>
    </row>
    <row r="2140">
      <c r="A2140" s="1">
        <v>1.0</v>
      </c>
      <c r="B2140" s="1" t="s">
        <v>2137</v>
      </c>
      <c r="C2140" t="str">
        <f>IFERROR(__xludf.DUMMYFUNCTION("GOOGLETRANSLATE(B2140, ""zh"", ""en"")"),"Such a big electricity companies made shoes are worn shoes like other people off! Upper two deep wrinkles! There behind the wrinkles! Shoes are dirty dust!")</f>
        <v>Such a big electricity companies made shoes are worn shoes like other people off! Upper two deep wrinkles! There behind the wrinkles! Shoes are dirty dust!</v>
      </c>
    </row>
    <row r="2141">
      <c r="A2141" s="1">
        <v>4.0</v>
      </c>
      <c r="B2141" s="1" t="s">
        <v>2138</v>
      </c>
      <c r="C2141" t="str">
        <f>IFERROR(__xludf.DUMMYFUNCTION("GOOGLETRANSLATE(B2141, ""zh"", ""en"")"),"Delicious taste good, but the baby does not like candy. I had to eat their own")</f>
        <v>Delicious taste good, but the baby does not like candy. I had to eat their own</v>
      </c>
    </row>
    <row r="2142">
      <c r="A2142" s="1">
        <v>4.0</v>
      </c>
      <c r="B2142" s="1" t="s">
        <v>2139</v>
      </c>
      <c r="C2142" t="str">
        <f>IFERROR(__xludf.DUMMYFUNCTION("GOOGLETRANSLATE(B2142, ""zh"", ""en"")"),"Cheap cheaper, the quality is not so high,")</f>
        <v>Cheap cheaper, the quality is not so high,</v>
      </c>
    </row>
    <row r="2143">
      <c r="A2143" s="1">
        <v>4.0</v>
      </c>
      <c r="B2143" s="1" t="s">
        <v>2140</v>
      </c>
      <c r="C2143" t="str">
        <f>IFERROR(__xludf.DUMMYFUNCTION("GOOGLETRANSLATE(B2143, ""zh"", ""en"")"),"Good easy to use. Also lightweight. Raw and cooked separately with scissors")</f>
        <v>Good easy to use. Also lightweight. Raw and cooked separately with scissors</v>
      </c>
    </row>
    <row r="2144">
      <c r="A2144" s="1">
        <v>4.0</v>
      </c>
      <c r="B2144" s="1" t="s">
        <v>2141</v>
      </c>
      <c r="C2144" t="str">
        <f>IFERROR(__xludf.DUMMYFUNCTION("GOOGLETRANSLATE(B2144, ""zh"", ""en"")"),"Look for cracks would be very nice, clutching the baby love to play, is the middle of silica gel actually has a few cracks easily broken estimate it")</f>
        <v>Look for cracks would be very nice, clutching the baby love to play, is the middle of silica gel actually has a few cracks easily broken estimate it</v>
      </c>
    </row>
    <row r="2145">
      <c r="A2145" s="1">
        <v>4.0</v>
      </c>
      <c r="B2145" s="1" t="s">
        <v>2142</v>
      </c>
      <c r="C2145" t="str">
        <f>IFERROR(__xludf.DUMMYFUNCTION("GOOGLETRANSLATE(B2145, ""zh"", ""en"")"),"Good little flaw is acceptable, and beautiful pot, good 👍")</f>
        <v>Good little flaw is acceptable, and beautiful pot, good 👍</v>
      </c>
    </row>
    <row r="2146">
      <c r="A2146" s="1">
        <v>5.0</v>
      </c>
      <c r="B2146" s="1" t="s">
        <v>2143</v>
      </c>
      <c r="C2146" t="str">
        <f>IFERROR(__xludf.DUMMYFUNCTION("GOOGLETRANSLATE(B2146, ""zh"", ""en"")"),"Happy shopping a heavy cast iron pot, great texture, definitely authentic, the first feeling is like. Though this is the first time in the Amazon shopping, but the pot breath bought three, really live up to my expectations. Express also to the force! Real"&amp;"ly a happy shopping!")</f>
        <v>Happy shopping a heavy cast iron pot, great texture, definitely authentic, the first feeling is like. Though this is the first time in the Amazon shopping, but the pot breath bought three, really live up to my expectations. Express also to the force! Really a happy shopping!</v>
      </c>
    </row>
    <row r="2147">
      <c r="A2147" s="1">
        <v>5.0</v>
      </c>
      <c r="B2147" s="1" t="s">
        <v>2144</v>
      </c>
      <c r="C2147" t="str">
        <f>IFERROR(__xludf.DUMMYFUNCTION("GOOGLETRANSLATE(B2147, ""zh"", ""en"")"),"The headset is very good just bought it was false gone, good quality. Less than 900")</f>
        <v>The headset is very good just bought it was false gone, good quality. Less than 900</v>
      </c>
    </row>
    <row r="2148">
      <c r="A2148" s="1">
        <v>5.0</v>
      </c>
      <c r="B2148" s="1" t="s">
        <v>2145</v>
      </c>
      <c r="C2148" t="str">
        <f>IFERROR(__xludf.DUMMYFUNCTION("GOOGLETRANSLATE(B2148, ""zh"", ""en"")"),"Cotton, comfortable it 163,52, especially suitable clothes, I liked it, very comfortable to wear, is cotton")</f>
        <v>Cotton, comfortable it 163,52, especially suitable clothes, I liked it, very comfortable to wear, is cotton</v>
      </c>
    </row>
    <row r="2149">
      <c r="A2149" s="1">
        <v>5.0</v>
      </c>
      <c r="B2149" s="1" t="s">
        <v>2146</v>
      </c>
      <c r="C2149" t="str">
        <f>IFERROR(__xludf.DUMMYFUNCTION("GOOGLETRANSLATE(B2149, ""zh"", ""en"")"),"The right to buy her husband, felt belt is also very appropriate, may later receive, the very pretty")</f>
        <v>The right to buy her husband, felt belt is also very appropriate, may later receive, the very pretty</v>
      </c>
    </row>
    <row r="2150">
      <c r="A2150" s="1">
        <v>5.0</v>
      </c>
      <c r="B2150" s="1" t="s">
        <v>2147</v>
      </c>
      <c r="C2150" t="str">
        <f>IFERROR(__xludf.DUMMYFUNCTION("GOOGLETRANSLATE(B2150, ""zh"", ""en"")"),"Very good week sent, super fast speed. Quality is also very good, the size of the US version than the Asian version of a large number")</f>
        <v>Very good week sent, super fast speed. Quality is also very good, the size of the US version than the Asian version of a large number</v>
      </c>
    </row>
    <row r="2151">
      <c r="A2151" s="1">
        <v>5.0</v>
      </c>
      <c r="B2151" s="1" t="s">
        <v>2148</v>
      </c>
      <c r="C2151" t="str">
        <f>IFERROR(__xludf.DUMMYFUNCTION("GOOGLETRANSLATE(B2151, ""zh"", ""en"")"),"Cheap no warranty, and consequently very good. . . Electronic products are not so easily broken, eyes closed bought. Of course, luck back when huh up. But the price of your cat x outrageous")</f>
        <v>Cheap no warranty, and consequently very good. . . Electronic products are not so easily broken, eyes closed bought. Of course, luck back when huh up. But the price of your cat x outrageous</v>
      </c>
    </row>
    <row r="2152">
      <c r="A2152" s="1">
        <v>5.0</v>
      </c>
      <c r="B2152" s="1" t="s">
        <v>2149</v>
      </c>
      <c r="C2152" t="str">
        <f>IFERROR(__xludf.DUMMYFUNCTION("GOOGLETRANSLATE(B2152, ""zh"", ""en"")"),"Size selection in accordance with normal size usually wear shoes you can choose, size is normal, sort of a small. Shoes are very comfortable.")</f>
        <v>Size selection in accordance with normal size usually wear shoes you can choose, size is normal, sort of a small. Shoes are very comfortable.</v>
      </c>
    </row>
    <row r="2153">
      <c r="A2153" s="1">
        <v>5.0</v>
      </c>
      <c r="B2153" s="1" t="s">
        <v>2150</v>
      </c>
      <c r="C2153" t="str">
        <f>IFERROR(__xludf.DUMMYFUNCTION("GOOGLETRANSLATE(B2153, ""zh"", ""en"")"),"Did not have to say precisely when the sporty Seiko quartz watches go, the light energy is convenient and save blue canvas strap is very wild, especially for sports attire with the only drawback is that the dial is too thick Well")</f>
        <v>Did not have to say precisely when the sporty Seiko quartz watches go, the light energy is convenient and save blue canvas strap is very wild, especially for sports attire with the only drawback is that the dial is too thick Well</v>
      </c>
    </row>
    <row r="2154">
      <c r="A2154" s="1">
        <v>5.0</v>
      </c>
      <c r="B2154" s="1" t="s">
        <v>2151</v>
      </c>
      <c r="C2154" t="str">
        <f>IFERROR(__xludf.DUMMYFUNCTION("GOOGLETRANSLATE(B2154, ""zh"", ""en"")"),"I like the pocket-type pocket is my favorite type")</f>
        <v>I like the pocket-type pocket is my favorite type</v>
      </c>
    </row>
    <row r="2155">
      <c r="A2155" s="1">
        <v>5.0</v>
      </c>
      <c r="B2155" s="1" t="s">
        <v>2152</v>
      </c>
      <c r="C2155" t="str">
        <f>IFERROR(__xludf.DUMMYFUNCTION("GOOGLETRANSLATE(B2155, ""zh"", ""en"")"),"like very much. Good quality is very good. like")</f>
        <v>like very much. Good quality is very good. like</v>
      </c>
    </row>
    <row r="2156">
      <c r="A2156" s="1">
        <v>5.0</v>
      </c>
      <c r="B2156" s="1" t="s">
        <v>2153</v>
      </c>
      <c r="C2156" t="str">
        <f>IFERROR(__xludf.DUMMYFUNCTION("GOOGLETRANSLATE(B2156, ""zh"", ""en"")"),"Nice shirt, as expected United States Code standard M, 178 78KG, shoulders, sleeves, collar, chest are suitable, in addition to hem is too long, the pendulum goes to the thigh. Card pants'd not hinder, stylish clothes")</f>
        <v>Nice shirt, as expected United States Code standard M, 178 78KG, shoulders, sleeves, collar, chest are suitable, in addition to hem is too long, the pendulum goes to the thigh. Card pants'd not hinder, stylish clothes</v>
      </c>
    </row>
    <row r="2157">
      <c r="A2157" s="1">
        <v>5.0</v>
      </c>
      <c r="B2157" s="1" t="s">
        <v>2154</v>
      </c>
      <c r="C2157" t="str">
        <f>IFERROR(__xludf.DUMMYFUNCTION("GOOGLETRANSLATE(B2157, ""zh"", ""en"")"),"Very comfortable to wear shrinkage of what just fine.")</f>
        <v>Very comfortable to wear shrinkage of what just fine.</v>
      </c>
    </row>
    <row r="2158">
      <c r="A2158" s="1">
        <v>5.0</v>
      </c>
      <c r="B2158" s="1" t="s">
        <v>2155</v>
      </c>
      <c r="C2158" t="str">
        <f>IFERROR(__xludf.DUMMYFUNCTION("GOOGLETRANSLATE(B2158, ""zh"", ""en"")"),"This is a headset for listening to a symphony just bought it and cut prices, and did not catch the lowest, really very sorry. Headset received a quick, less than a week, the packaging is very appropriate, also new, good luck. Beyerdynamic headphones had t"&amp;"o burn for a long time because as children, currently burning dozens of hours, is already higher than the beginning of the dry, prickly sound much better. Headphone effect is listening, more structured sound field, listening to the symphony very comfortab"&amp;"le, especially not recommended to use this power to listen to sounds and hiphop. . . Overall still value for money.")</f>
        <v>This is a headset for listening to a symphony just bought it and cut prices, and did not catch the lowest, really very sorry. Headset received a quick, less than a week, the packaging is very appropriate, also new, good luck. Beyerdynamic headphones had to burn for a long time because as children, currently burning dozens of hours, is already higher than the beginning of the dry, prickly sound much better. Headphone effect is listening, more structured sound field, listening to the symphony very comfortable, especially not recommended to use this power to listen to sounds and hiphop. . . Overall still value for money.</v>
      </c>
    </row>
    <row r="2159">
      <c r="A2159" s="1">
        <v>5.0</v>
      </c>
      <c r="B2159" s="1" t="s">
        <v>2156</v>
      </c>
      <c r="C2159" t="str">
        <f>IFERROR(__xludf.DUMMYFUNCTION("GOOGLETRANSLATE(B2159, ""zh"", ""en"")"),"Taste, no plastic arrival time very long. May 29 order, June 13 only received the goods. Bottle taste, not to use. Packaging is good, indeed no plastic, no plastic but many foreign products. I have not seen money counter, unable to distinguish between tru"&amp;"e and false. But not to say that foreign goods are scouring the United States and Asia import it, should not fake it.")</f>
        <v>Taste, no plastic arrival time very long. May 29 order, June 13 only received the goods. Bottle taste, not to use. Packaging is good, indeed no plastic, no plastic but many foreign products. I have not seen money counter, unable to distinguish between true and false. But not to say that foreign goods are scouring the United States and Asia import it, should not fake it.</v>
      </c>
    </row>
    <row r="2160">
      <c r="A2160" s="1">
        <v>5.0</v>
      </c>
      <c r="B2160" s="1" t="s">
        <v>2157</v>
      </c>
      <c r="C2160" t="str">
        <f>IFERROR(__xludf.DUMMYFUNCTION("GOOGLETRANSLATE(B2160, ""zh"", ""en"")"),"Very satisfied with something good! Logistics soon! Thought it was a start, the result is a red and a blue, a good deal")</f>
        <v>Very satisfied with something good! Logistics soon! Thought it was a start, the result is a red and a blue, a good deal</v>
      </c>
    </row>
    <row r="2161">
      <c r="A2161" s="1">
        <v>5.0</v>
      </c>
      <c r="B2161" s="1" t="s">
        <v>2158</v>
      </c>
      <c r="C2161" t="str">
        <f>IFERROR(__xludf.DUMMYFUNCTION("GOOGLETRANSLATE(B2161, ""zh"", ""en"")"),"Easy to use than washing powder, buy back my house is 13 sets of Siemens dishwasher, washing this block although small in size, but each one is perfectly adequate, wash it clean. Each have a plastic film, it does not afford gray dirty, too easy to use tha"&amp;"n the washing powder. Affordable, satisfaction.")</f>
        <v>Easy to use than washing powder, buy back my house is 13 sets of Siemens dishwasher, washing this block although small in size, but each one is perfectly adequate, wash it clean. Each have a plastic film, it does not afford gray dirty, too easy to use than the washing powder. Affordable, satisfaction.</v>
      </c>
    </row>
    <row r="2162">
      <c r="A2162" s="1">
        <v>5.0</v>
      </c>
      <c r="B2162" s="1" t="s">
        <v>2159</v>
      </c>
      <c r="C2162" t="str">
        <f>IFERROR(__xludf.DUMMYFUNCTION("GOOGLETRANSLATE(B2162, ""zh"", ""en"")"),"170cm 65kg s yards just good clothes, good texture")</f>
        <v>170cm 65kg s yards just good clothes, good texture</v>
      </c>
    </row>
    <row r="2163">
      <c r="A2163" s="1">
        <v>5.0</v>
      </c>
      <c r="B2163" s="1" t="s">
        <v>2160</v>
      </c>
      <c r="C2163" t="str">
        <f>IFERROR(__xludf.DUMMYFUNCTION("GOOGLETRANSLATE(B2163, ""zh"", ""en"")"),"Net red cups fresh baby suck it up very provincial, and watertight")</f>
        <v>Net red cups fresh baby suck it up very provincial, and watertight</v>
      </c>
    </row>
    <row r="2164">
      <c r="A2164" s="1">
        <v>5.0</v>
      </c>
      <c r="B2164" s="1" t="s">
        <v>2161</v>
      </c>
      <c r="C2164" t="str">
        <f>IFERROR(__xludf.DUMMYFUNCTION("GOOGLETRANSLATE(B2164, ""zh"", ""en"")"),"Very satisfied! Very satisfied!")</f>
        <v>Very satisfied! Very satisfied!</v>
      </c>
    </row>
    <row r="2165">
      <c r="A2165" s="1">
        <v>5.0</v>
      </c>
      <c r="B2165" s="1" t="s">
        <v>2162</v>
      </c>
      <c r="C2165" t="str">
        <f>IFERROR(__xludf.DUMMYFUNCTION("GOOGLETRANSLATE(B2165, ""zh"", ""en"")"),"Good good, very satisfied, will always support")</f>
        <v>Good good, very satisfied, will always support</v>
      </c>
    </row>
    <row r="2166">
      <c r="A2166" s="1">
        <v>5.0</v>
      </c>
      <c r="B2166" s="1" t="s">
        <v>2163</v>
      </c>
      <c r="C2166" t="str">
        <f>IFERROR(__xludf.DUMMYFUNCTION("GOOGLETRANSLATE(B2166, ""zh"", ""en"")"),"Filter used for years, used to make tea good!")</f>
        <v>Filter used for years, used to make tea good!</v>
      </c>
    </row>
    <row r="2167">
      <c r="A2167" s="1">
        <v>2.0</v>
      </c>
      <c r="B2167" s="1" t="s">
        <v>2164</v>
      </c>
      <c r="C2167" t="str">
        <f>IFERROR(__xludf.DUMMYFUNCTION("GOOGLETRANSLATE(B2167, ""zh"", ""en"")"),"Bad version difficult to wear dead! Front bottom against posts (not because of a large, very tight later), breast cup further pressure. Waste of money")</f>
        <v>Bad version difficult to wear dead! Front bottom against posts (not because of a large, very tight later), breast cup further pressure. Waste of money</v>
      </c>
    </row>
    <row r="2168">
      <c r="A2168" s="1">
        <v>3.0</v>
      </c>
      <c r="B2168" s="1" t="s">
        <v>2165</v>
      </c>
      <c r="C2168" t="str">
        <f>IFERROR(__xludf.DUMMYFUNCTION("GOOGLETRANSLATE(B2168, ""zh"", ""en"")"),"There is a kind of gray-green color, chromatic aberration")</f>
        <v>There is a kind of gray-green color, chromatic aberration</v>
      </c>
    </row>
    <row r="2169">
      <c r="A2169" s="1">
        <v>3.0</v>
      </c>
      <c r="B2169" s="1" t="s">
        <v>2166</v>
      </c>
      <c r="C2169" t="str">
        <f>IFERROR(__xludf.DUMMYFUNCTION("GOOGLETRANSLATE(B2169, ""zh"", ""en"")"),"N-code, the shoes usually about 248 feet long, standard foot, wear shoes of various 250 / 39.5 / US8.5, is very suitable to wear this 6UK. Double last year bought Ecco the same texture, also the general feeling of this, a number of thin hard soles, as ECC"&amp;"O comfortable. Because the overall hard, Pei-ling do not walk, then no problem, go fast feet hurt. The strange thing is obviously the lateral malleolus where nothing, not tight, but inexplicable pain")</f>
        <v>N-code, the shoes usually about 248 feet long, standard foot, wear shoes of various 250 / 39.5 / US8.5, is very suitable to wear this 6UK. Double last year bought Ecco the same texture, also the general feeling of this, a number of thin hard soles, as ECCO comfortable. Because the overall hard, Pei-ling do not walk, then no problem, go fast feet hurt. The strange thing is obviously the lateral malleolus where nothing, not tight, but inexplicable pain</v>
      </c>
    </row>
    <row r="2170">
      <c r="A2170" s="1">
        <v>3.0</v>
      </c>
      <c r="B2170" s="1" t="s">
        <v>2167</v>
      </c>
      <c r="C2170" t="str">
        <f>IFERROR(__xludf.DUMMYFUNCTION("GOOGLETRANSLATE(B2170, ""zh"", ""en"")"),"The quality of the general quality in general, and in general the supermarket to buy a little better a little bit, not worth the strenuous Bala buy back from overseas, the tax is so high!")</f>
        <v>The quality of the general quality in general, and in general the supermarket to buy a little better a little bit, not worth the strenuous Bala buy back from overseas, the tax is so high!</v>
      </c>
    </row>
    <row r="2171">
      <c r="A2171" s="1">
        <v>1.0</v>
      </c>
      <c r="B2171" s="1" t="s">
        <v>2168</v>
      </c>
      <c r="C2171" t="str">
        <f>IFERROR(__xludf.DUMMYFUNCTION("GOOGLETRANSLATE(B2171, ""zh"", ""en"")"),"Too great, and completely inconsistent size reference, returns a lot of trouble, people had to find some of piecemeal")</f>
        <v>Too great, and completely inconsistent size reference, returns a lot of trouble, people had to find some of piecemeal</v>
      </c>
    </row>
    <row r="2172">
      <c r="A2172" s="1">
        <v>1.0</v>
      </c>
      <c r="B2172" s="1" t="s">
        <v>2169</v>
      </c>
      <c r="C2172" t="str">
        <f>IFERROR(__xludf.DUMMYFUNCTION("GOOGLETRANSLATE(B2172, ""zh"", ""en"")"),"Serious quality problems! Staff of dereliction of duty and damage to the Amazon brand! Even defective products are not as! Did not like big brand shoes, in any case not even a pair of shoes qualified! Upper multiple scratches! Tongue badly worn! Sole larg"&amp;"er break! Leather suture breakage, crack turn! Shoe head is crooked! Even some leather Edge did not do! Very angry!")</f>
        <v>Serious quality problems! Staff of dereliction of duty and damage to the Amazon brand! Even defective products are not as! Did not like big brand shoes, in any case not even a pair of shoes qualified! Upper multiple scratches! Tongue badly worn! Sole larger break! Leather suture breakage, crack turn! Shoe head is crooked! Even some leather Edge did not do! Very angry!</v>
      </c>
    </row>
    <row r="2173">
      <c r="A2173" s="1">
        <v>4.0</v>
      </c>
      <c r="B2173" s="1" t="s">
        <v>2170</v>
      </c>
      <c r="C2173" t="str">
        <f>IFERROR(__xludf.DUMMYFUNCTION("GOOGLETRANSLATE(B2173, ""zh"", ""en"")"),"Okay, not as good as the first wife of durable razor okay, not as good as the first wife of durable razor, this can only be seven months or so will be damaged foil")</f>
        <v>Okay, not as good as the first wife of durable razor okay, not as good as the first wife of durable razor, this can only be seven months or so will be damaged foil</v>
      </c>
    </row>
    <row r="2174">
      <c r="A2174" s="1">
        <v>4.0</v>
      </c>
      <c r="B2174" s="1" t="s">
        <v>2171</v>
      </c>
      <c r="C2174" t="str">
        <f>IFERROR(__xludf.DUMMYFUNCTION("GOOGLETRANSLATE(B2174, ""zh"", ""en"")"),"Value for money to the four stars it did not in the case of the pot. Very comfortable to wear, no discomfort.")</f>
        <v>Value for money to the four stars it did not in the case of the pot. Very comfortable to wear, no discomfort.</v>
      </c>
    </row>
    <row r="2175">
      <c r="A2175" s="1">
        <v>4.0</v>
      </c>
      <c r="B2175" s="1" t="s">
        <v>2172</v>
      </c>
      <c r="C2175" t="str">
        <f>IFERROR(__xludf.DUMMYFUNCTION("GOOGLETRANSLATE(B2175, ""zh"", ""en"")"),"The overall fit clothes the whole can, 17868 wear M is slightly too large to accept")</f>
        <v>The overall fit clothes the whole can, 17868 wear M is slightly too large to accept</v>
      </c>
    </row>
    <row r="2176">
      <c r="A2176" s="1">
        <v>4.0</v>
      </c>
      <c r="B2176" s="1" t="s">
        <v>2173</v>
      </c>
      <c r="C2176" t="str">
        <f>IFERROR(__xludf.DUMMYFUNCTION("GOOGLETRANSLATE(B2176, ""zh"", ""en"")"),"You can also go from the previous evaluation, I do not know how many wasted points, points can change money now know, they should look carefully evaluated, then I put these words to copy to go, both to earn points, but also save trouble, where one copy wh"&amp;"ere, most importantly, do not seriously review, do not think how much worse word, sent directly to it, recommend it to everyone! !")</f>
        <v>You can also go from the previous evaluation, I do not know how many wasted points, points can change money now know, they should look carefully evaluated, then I put these words to copy to go, both to earn points, but also save trouble, where one copy where, most importantly, do not seriously review, do not think how much worse word, sent directly to it, recommend it to everyone! !</v>
      </c>
    </row>
    <row r="2177">
      <c r="A2177" s="1">
        <v>4.0</v>
      </c>
      <c r="B2177" s="1" t="s">
        <v>2174</v>
      </c>
      <c r="C2177" t="str">
        <f>IFERROR(__xludf.DUMMYFUNCTION("GOOGLETRANSLATE(B2177, ""zh"", ""en"")"),"Usually general comfort, look upper flat, slippery liner")</f>
        <v>Usually general comfort, look upper flat, slippery liner</v>
      </c>
    </row>
    <row r="2178">
      <c r="A2178" s="1">
        <v>5.0</v>
      </c>
      <c r="B2178" s="1" t="s">
        <v>2175</v>
      </c>
      <c r="C2178" t="str">
        <f>IFERROR(__xludf.DUMMYFUNCTION("GOOGLETRANSLATE(B2178, ""zh"", ""en"")"),"Something good can really increase the resistance of children. The number of sick a lot better.")</f>
        <v>Something good can really increase the resistance of children. The number of sick a lot better.</v>
      </c>
    </row>
    <row r="2179">
      <c r="A2179" s="1">
        <v>5.0</v>
      </c>
      <c r="B2179" s="1" t="s">
        <v>2176</v>
      </c>
      <c r="C2179" t="str">
        <f>IFERROR(__xludf.DUMMYFUNCTION("GOOGLETRANSLATE(B2179, ""zh"", ""en"")"),"Extremely comfortable a sub-price goods ah, out!")</f>
        <v>Extremely comfortable a sub-price goods ah, out!</v>
      </c>
    </row>
    <row r="2180">
      <c r="A2180" s="1">
        <v>5.0</v>
      </c>
      <c r="B2180" s="1" t="s">
        <v>2177</v>
      </c>
      <c r="C2180" t="str">
        <f>IFERROR(__xludf.DUMMYFUNCTION("GOOGLETRANSLATE(B2180, ""zh"", ""en"")"),"The smell, the taste is very affordable, much cheaper to buy than at home, and no smell, no tip is watertight fitting after being bitten rotten kids to buy,")</f>
        <v>The smell, the taste is very affordable, much cheaper to buy than at home, and no smell, no tip is watertight fitting after being bitten rotten kids to buy,</v>
      </c>
    </row>
    <row r="2181">
      <c r="A2181" s="1">
        <v>5.0</v>
      </c>
      <c r="B2181" s="1" t="s">
        <v>2178</v>
      </c>
      <c r="C2181" t="str">
        <f>IFERROR(__xludf.DUMMYFUNCTION("GOOGLETRANSLATE(B2181, ""zh"", ""en"")"),"Yes. 168cm.68kg. Fit, good quality.")</f>
        <v>Yes. 168cm.68kg. Fit, good quality.</v>
      </c>
    </row>
    <row r="2182">
      <c r="A2182" s="1">
        <v>5.0</v>
      </c>
      <c r="B2182" s="1" t="s">
        <v>2179</v>
      </c>
      <c r="C2182" t="str">
        <f>IFERROR(__xludf.DUMMYFUNCTION("GOOGLETRANSLATE(B2182, ""zh"", ""en"")"),"Good quality is strongly recommended rich chocolate, with milk better to drink!")</f>
        <v>Good quality is strongly recommended rich chocolate, with milk better to drink!</v>
      </c>
    </row>
    <row r="2183">
      <c r="A2183" s="1">
        <v>5.0</v>
      </c>
      <c r="B2183" s="1" t="s">
        <v>2180</v>
      </c>
      <c r="C2183" t="str">
        <f>IFERROR(__xludf.DUMMYFUNCTION("GOOGLETRANSLATE(B2183, ""zh"", ""en"")"),"For the commute to work wearing a good, clarks wear uk8.5, just this 42")</f>
        <v>For the commute to work wearing a good, clarks wear uk8.5, just this 42</v>
      </c>
    </row>
    <row r="2184">
      <c r="A2184" s="1">
        <v>5.0</v>
      </c>
      <c r="B2184" s="1" t="s">
        <v>2181</v>
      </c>
      <c r="C2184" t="str">
        <f>IFERROR(__xludf.DUMMYFUNCTION("GOOGLETRANSLATE(B2184, ""zh"", ""en"")"),"Larger color looks good, great US version, usually wear 26, the minimum number is loose")</f>
        <v>Larger color looks good, great US version, usually wear 26, the minimum number is loose</v>
      </c>
    </row>
    <row r="2185">
      <c r="A2185" s="1">
        <v>5.0</v>
      </c>
      <c r="B2185" s="1" t="s">
        <v>2182</v>
      </c>
      <c r="C2185" t="str">
        <f>IFERROR(__xludf.DUMMYFUNCTION("GOOGLETRANSLATE(B2185, ""zh"", ""en"")"),"Big money box to buy the Four Seasons, containing 4.5 + 9 the two can be used together by buttoned. 40 degrees can be displayed label drum washing and drying. 4.5 pile less, a lot of light leakage portion of the lattice, 9 relatively uniform. Is the Briti"&amp;"sh standard and domestic big difference, difficult to apply with. But having said that, if I fail to get the same size bought, has long been yellow cattle were evacuated. . .")</f>
        <v>Big money box to buy the Four Seasons, containing 4.5 + 9 the two can be used together by buttoned. 40 degrees can be displayed label drum washing and drying. 4.5 pile less, a lot of light leakage portion of the lattice, 9 relatively uniform. Is the British standard and domestic big difference, difficult to apply with. But having said that, if I fail to get the same size bought, has long been yellow cattle were evacuated. . .</v>
      </c>
    </row>
    <row r="2186">
      <c r="A2186" s="1">
        <v>5.0</v>
      </c>
      <c r="B2186" s="1" t="s">
        <v>2183</v>
      </c>
      <c r="C2186" t="str">
        <f>IFERROR(__xludf.DUMMYFUNCTION("GOOGLETRANSLATE(B2186, ""zh"", ""en"")"),"This freshman code size than domestic brands freshman code, just buy a small one yard.")</f>
        <v>This freshman code size than domestic brands freshman code, just buy a small one yard.</v>
      </c>
    </row>
    <row r="2187">
      <c r="A2187" s="1">
        <v>5.0</v>
      </c>
      <c r="B2187" s="1" t="s">
        <v>2184</v>
      </c>
      <c r="C2187" t="str">
        <f>IFERROR(__xludf.DUMMYFUNCTION("GOOGLETRANSLATE(B2187, ""zh"", ""en"")"),"Bite the baby is not too fond of watching my colleagues to buy themselves bought, not James Gray, is four feet biting time blocked off each other, but also too big to bite the head, baby, do not play the next two")</f>
        <v>Bite the baby is not too fond of watching my colleagues to buy themselves bought, not James Gray, is four feet biting time blocked off each other, but also too big to bite the head, baby, do not play the next two</v>
      </c>
    </row>
    <row r="2188">
      <c r="A2188" s="1">
        <v>5.0</v>
      </c>
      <c r="B2188" s="1" t="s">
        <v>2185</v>
      </c>
      <c r="C2188" t="str">
        <f>IFERROR(__xludf.DUMMYFUNCTION("GOOGLETRANSLATE(B2188, ""zh"", ""en"")"),"Good shoes are very good, the right size, no doubt genuine")</f>
        <v>Good shoes are very good, the right size, no doubt genuine</v>
      </c>
    </row>
    <row r="2189">
      <c r="A2189" s="1">
        <v>5.0</v>
      </c>
      <c r="B2189" s="1" t="s">
        <v>2186</v>
      </c>
      <c r="C2189" t="str">
        <f>IFERROR(__xludf.DUMMYFUNCTION("GOOGLETRANSLATE(B2189, ""zh"", ""en"")"),"Good normal wear No. 31 just right jeans belt 34 in the second well normal")</f>
        <v>Good normal wear No. 31 just right jeans belt 34 in the second well normal</v>
      </c>
    </row>
    <row r="2190">
      <c r="A2190" s="1">
        <v>5.0</v>
      </c>
      <c r="B2190" s="1" t="s">
        <v>2187</v>
      </c>
      <c r="C2190" t="str">
        <f>IFERROR(__xludf.DUMMYFUNCTION("GOOGLETRANSLATE(B2190, ""zh"", ""en"")"),"Half received a very good, generous, steady, quality, workmanship is very good, the price is much cheaper than the counter, it is worth buying.")</f>
        <v>Half received a very good, generous, steady, quality, workmanship is very good, the price is much cheaper than the counter, it is worth buying.</v>
      </c>
    </row>
    <row r="2191">
      <c r="A2191" s="1">
        <v>5.0</v>
      </c>
      <c r="B2191" s="1" t="s">
        <v>2188</v>
      </c>
      <c r="C2191" t="str">
        <f>IFERROR(__xludf.DUMMYFUNCTION("GOOGLETRANSLATE(B2191, ""zh"", ""en"")"),"The right size. Soft, the right size.")</f>
        <v>The right size. Soft, the right size.</v>
      </c>
    </row>
    <row r="2192">
      <c r="A2192" s="1">
        <v>5.0</v>
      </c>
      <c r="B2192" s="1" t="s">
        <v>2189</v>
      </c>
      <c r="C2192" t="str">
        <f>IFERROR(__xludf.DUMMYFUNCTION("GOOGLETRANSLATE(B2192, ""zh"", ""en"")"),"Light and comfortable 172.5, slightly longer length, but there is no so-called necking, light and comfortable")</f>
        <v>Light and comfortable 172.5, slightly longer length, but there is no so-called necking, light and comfortable</v>
      </c>
    </row>
    <row r="2193">
      <c r="A2193" s="1">
        <v>5.0</v>
      </c>
      <c r="B2193" s="1" t="s">
        <v>2190</v>
      </c>
      <c r="C2193" t="str">
        <f>IFERROR(__xludf.DUMMYFUNCTION("GOOGLETRANSLATE(B2193, ""zh"", ""en"")"),"Suitable pretty pretty appropriate")</f>
        <v>Suitable pretty pretty appropriate</v>
      </c>
    </row>
    <row r="2194">
      <c r="A2194" s="1">
        <v>5.0</v>
      </c>
      <c r="B2194" s="1" t="s">
        <v>2191</v>
      </c>
      <c r="C2194" t="str">
        <f>IFERROR(__xludf.DUMMYFUNCTION("GOOGLETRANSLATE(B2194, ""zh"", ""en"")"),"Very good value domestic double eleven 1399 must hand side before 1050. About a week to get the hand thing really is true, workmanship feel, what are the superb sound quality, then have to burn for a long time, open burning a still very good, guitar sound"&amp;" poison does not work, other then law-abiding, the main or rock, and occasionally listen listen to folk songs is also good. Not worth it.")</f>
        <v>Very good value domestic double eleven 1399 must hand side before 1050. About a week to get the hand thing really is true, workmanship feel, what are the superb sound quality, then have to burn for a long time, open burning a still very good, guitar sound poison does not work, other then law-abiding, the main or rock, and occasionally listen listen to folk songs is also good. Not worth it.</v>
      </c>
    </row>
    <row r="2195">
      <c r="A2195" s="1">
        <v>5.0</v>
      </c>
      <c r="B2195" s="1" t="s">
        <v>2192</v>
      </c>
      <c r="C2195" t="str">
        <f>IFERROR(__xludf.DUMMYFUNCTION("GOOGLETRANSLATE(B2195, ""zh"", ""en"")"),"Healthy summer wear very comfortable")</f>
        <v>Healthy summer wear very comfortable</v>
      </c>
    </row>
    <row r="2196">
      <c r="A2196" s="1">
        <v>5.0</v>
      </c>
      <c r="B2196" s="1" t="s">
        <v>2193</v>
      </c>
      <c r="C2196" t="str">
        <f>IFERROR(__xludf.DUMMYFUNCTION("GOOGLETRANSLATE(B2196, ""zh"", ""en"")"),"Amazon purchased abroad may rest assured that buy the most secure is a short-sleeved, long sleeves problem does not exist. 169/120 and comfortable fit, the price is really worth it")</f>
        <v>Amazon purchased abroad may rest assured that buy the most secure is a short-sleeved, long sleeves problem does not exist. 169/120 and comfortable fit, the price is really worth it</v>
      </c>
    </row>
    <row r="2197">
      <c r="A2197" s="1">
        <v>5.0</v>
      </c>
      <c r="B2197" s="1" t="s">
        <v>2194</v>
      </c>
      <c r="C2197" t="str">
        <f>IFERROR(__xludf.DUMMYFUNCTION("GOOGLETRANSLATE(B2197, ""zh"", ""en"")"),"Overall fit! 170,60 kg! The sleeves a little long, a little thin but soft clothes fit! for reference")</f>
        <v>Overall fit! 170,60 kg! The sleeves a little long, a little thin but soft clothes fit! for reference</v>
      </c>
    </row>
    <row r="2198">
      <c r="A2198" s="1">
        <v>5.0</v>
      </c>
      <c r="B2198" s="1" t="s">
        <v>2195</v>
      </c>
      <c r="C2198" t="str">
        <f>IFERROR(__xludf.DUMMYFUNCTION("GOOGLETRANSLATE(B2198, ""zh"", ""en"")"),"Description consistent size standard is very satisfied!")</f>
        <v>Description consistent size standard is very satisfied!</v>
      </c>
    </row>
    <row r="2199">
      <c r="A2199" s="1">
        <v>5.0</v>
      </c>
      <c r="B2199" s="1" t="s">
        <v>2196</v>
      </c>
      <c r="C2199" t="str">
        <f>IFERROR(__xludf.DUMMYFUNCTION("GOOGLETRANSLATE(B2199, ""zh"", ""en"")"),"Good quality took some time to comment, good quality leather, easily deformed, material a little hard (I like hardness).")</f>
        <v>Good quality took some time to comment, good quality leather, easily deformed, material a little hard (I like hardness).</v>
      </c>
    </row>
    <row r="2200">
      <c r="A2200" s="1">
        <v>2.0</v>
      </c>
      <c r="B2200" s="1" t="s">
        <v>2197</v>
      </c>
      <c r="C2200" t="str">
        <f>IFERROR(__xludf.DUMMYFUNCTION("GOOGLETRANSLATE(B2200, ""zh"", ""en"")"),"Poor quality is not good quality, style can also wear a few times and found the back that ass pocket actually broke a big hole, I really do not know a good spade, quality fakes are better than you, huh da")</f>
        <v>Poor quality is not good quality, style can also wear a few times and found the back that ass pocket actually broke a big hole, I really do not know a good spade, quality fakes are better than you, huh da</v>
      </c>
    </row>
    <row r="2201">
      <c r="A2201" s="1">
        <v>3.0</v>
      </c>
      <c r="B2201" s="1" t="s">
        <v>2198</v>
      </c>
      <c r="C2201" t="str">
        <f>IFERROR(__xludf.DUMMYFUNCTION("GOOGLETRANSLATE(B2201, ""zh"", ""en"")"),"6.35 lbs and my tastes in the US costco brought back are not the same as chocolate, but the taste is not the same. Moreover, cold brew with floating clot. Stir not open. I bring back from the US do not have this problem. How could this be? totally differe"&amp;"nt! You can answer about it?")</f>
        <v>6.35 lbs and my tastes in the US costco brought back are not the same as chocolate, but the taste is not the same. Moreover, cold brew with floating clot. Stir not open. I bring back from the US do not have this problem. How could this be? totally different! You can answer about it?</v>
      </c>
    </row>
    <row r="2202">
      <c r="A2202" s="1">
        <v>3.0</v>
      </c>
      <c r="B2202" s="1" t="s">
        <v>2199</v>
      </c>
      <c r="C2202" t="str">
        <f>IFERROR(__xludf.DUMMYFUNCTION("GOOGLETRANSLATE(B2202, ""zh"", ""en"")"),"Good texture, good texture size too small, but size really too small a lot.")</f>
        <v>Good texture, good texture size too small, but size really too small a lot.</v>
      </c>
    </row>
    <row r="2203">
      <c r="A2203" s="1">
        <v>1.0</v>
      </c>
      <c r="B2203" s="1" t="s">
        <v>2200</v>
      </c>
      <c r="C2203" t="str">
        <f>IFERROR(__xludf.DUMMYFUNCTION("GOOGLETRANSLATE(B2203, ""zh"", ""en"")"),"Left and right is not as big pit father, Meyer sent me shoes are 38 left, 40 right, but also their own return America to return.")</f>
        <v>Left and right is not as big pit father, Meyer sent me shoes are 38 left, 40 right, but also their own return America to return.</v>
      </c>
    </row>
    <row r="2204">
      <c r="A2204" s="1">
        <v>1.0</v>
      </c>
      <c r="B2204" s="1" t="s">
        <v>2201</v>
      </c>
      <c r="C2204" t="str">
        <f>IFERROR(__xludf.DUMMYFUNCTION("GOOGLETRANSLATE(B2204, ""zh"", ""en"")"),"Rough suspected fake, carefully later (Poor) rough suspected fake, carefully later (Poor)")</f>
        <v>Rough suspected fake, carefully later (Poor) rough suspected fake, carefully later (Poor)</v>
      </c>
    </row>
    <row r="2205">
      <c r="A2205" s="1">
        <v>1.0</v>
      </c>
      <c r="B2205" s="1" t="s">
        <v>2202</v>
      </c>
      <c r="C2205" t="str">
        <f>IFERROR(__xludf.DUMMYFUNCTION("GOOGLETRANSLATE(B2205, ""zh"", ""en"")"),"Production date date location does have altered IOUs to cover, into print at the bottom. I do not know how it is. Look at the reviews 2017 purchase of the case, I did not think in 2019 or so. . .")</f>
        <v>Production date date location does have altered IOUs to cover, into print at the bottom. I do not know how it is. Look at the reviews 2017 purchase of the case, I did not think in 2019 or so. . .</v>
      </c>
    </row>
    <row r="2206">
      <c r="A2206" s="1">
        <v>4.0</v>
      </c>
      <c r="B2206" s="1" t="s">
        <v>2203</v>
      </c>
      <c r="C2206" t="str">
        <f>IFERROR(__xludf.DUMMYFUNCTION("GOOGLETRANSLATE(B2206, ""zh"", ""en"")"),"Long pants a little long, other more appropriate, cost is very high cost out, took more than a tremor, sea Amoy return shipping more expensive than pants")</f>
        <v>Long pants a little long, other more appropriate, cost is very high cost out, took more than a tremor, sea Amoy return shipping more expensive than pants</v>
      </c>
    </row>
    <row r="2207">
      <c r="A2207" s="1">
        <v>4.0</v>
      </c>
      <c r="B2207" s="1" t="s">
        <v>2204</v>
      </c>
      <c r="C2207" t="str">
        <f>IFERROR(__xludf.DUMMYFUNCTION("GOOGLETRANSLATE(B2207, ""zh"", ""en"")"),"It can be cost-effective, less than 110 purchase pattern of domestic materials can not pass.")</f>
        <v>It can be cost-effective, less than 110 purchase pattern of domestic materials can not pass.</v>
      </c>
    </row>
    <row r="2208">
      <c r="A2208" s="1">
        <v>4.0</v>
      </c>
      <c r="B2208" s="1" t="s">
        <v>2205</v>
      </c>
      <c r="C2208" t="str">
        <f>IFERROR(__xludf.DUMMYFUNCTION("GOOGLETRANSLATE(B2208, ""zh"", ""en"")"),"Timberland shoes after a lapse of four years and I bought a pair, but the cortex clearly see it is not the same, is part of the original light skinned, the larger grain leather. Shoes should be a little too large")</f>
        <v>Timberland shoes after a lapse of four years and I bought a pair, but the cortex clearly see it is not the same, is part of the original light skinned, the larger grain leather. Shoes should be a little too large</v>
      </c>
    </row>
    <row r="2209">
      <c r="A2209" s="1">
        <v>4.0</v>
      </c>
      <c r="B2209" s="1" t="s">
        <v>2206</v>
      </c>
      <c r="C2209" t="str">
        <f>IFERROR(__xludf.DUMMYFUNCTION("GOOGLETRANSLATE(B2209, ""zh"", ""en"")"),"Fast and convenient a few months, Advantages: convenient, easy to use, very fragrant coffee, noise is also acceptable range Cons: milk frother in the milk is not super-max (line), when the bubble will automatically play often overflow (will be the top of "&amp;"the lid),")</f>
        <v>Fast and convenient a few months, Advantages: convenient, easy to use, very fragrant coffee, noise is also acceptable range Cons: milk frother in the milk is not super-max (line), when the bubble will automatically play often overflow (will be the top of the lid),</v>
      </c>
    </row>
    <row r="2210">
      <c r="A2210" s="1">
        <v>5.0</v>
      </c>
      <c r="B2210" s="1" t="s">
        <v>2207</v>
      </c>
      <c r="C2210" t="str">
        <f>IFERROR(__xludf.DUMMYFUNCTION("GOOGLETRANSLATE(B2210, ""zh"", ""en"")"),"Proper fit, thermal effects can ............")</f>
        <v>Proper fit, thermal effects can ............</v>
      </c>
    </row>
    <row r="2211">
      <c r="A2211" s="1">
        <v>5.0</v>
      </c>
      <c r="B2211" s="1" t="s">
        <v>2208</v>
      </c>
      <c r="C2211" t="str">
        <f>IFERROR(__xludf.DUMMYFUNCTION("GOOGLETRANSLATE(B2211, ""zh"", ""en"")"),"Fast card, necessary after the British-SLR compare prices fairly OK, but also Chinese-made goods, the overall feel is acceptable to use specific data on the Internet are no longer tested, with the package also comes with two years of data restore. Shippin"&amp;"g is OK, the next single to a little more than 10 days of receipt, but the British-packaging to garbage, is a cardboard wrap it up, although the goods in good condition, but the whole package are covered with a layer of soil, there is no date Avaya packag"&amp;"ing carefully, goods fifth of zero packaging")</f>
        <v>Fast card, necessary after the British-SLR compare prices fairly OK, but also Chinese-made goods, the overall feel is acceptable to use specific data on the Internet are no longer tested, with the package also comes with two years of data restore. Shipping is OK, the next single to a little more than 10 days of receipt, but the British-packaging to garbage, is a cardboard wrap it up, although the goods in good condition, but the whole package are covered with a layer of soil, there is no date Avaya packaging carefully, goods fifth of zero packaging</v>
      </c>
    </row>
    <row r="2212">
      <c r="A2212" s="1">
        <v>5.0</v>
      </c>
      <c r="B2212" s="1" t="s">
        <v>2209</v>
      </c>
      <c r="C2212" t="str">
        <f>IFERROR(__xludf.DUMMYFUNCTION("GOOGLETRANSLATE(B2212, ""zh"", ""en"")"),"Prudent to buy Amazon's service is great protein powder sent packing slip of the customer immediately gave me a refund little sister very grateful 🙏 buy friends, this might be the production date after 18 years and then send over everyone is likely to le"&amp;"ak powder buy with caution")</f>
        <v>Prudent to buy Amazon's service is great protein powder sent packing slip of the customer immediately gave me a refund little sister very grateful 🙏 buy friends, this might be the production date after 18 years and then send over everyone is likely to leak powder buy with caution</v>
      </c>
    </row>
    <row r="2213">
      <c r="A2213" s="1">
        <v>5.0</v>
      </c>
      <c r="B2213" s="1" t="s">
        <v>2210</v>
      </c>
      <c r="C2213" t="str">
        <f>IFERROR(__xludf.DUMMYFUNCTION("GOOGLETRANSLATE(B2213, ""zh"", ""en"")"),"Easy to use heavy work really sent me a good cost-effective conservation measures equivalent to no, but fortunately was doing anything visible scratches. Shanghai to the point of a distribution after all SF Like 👍 machine very easy to use, my mother said"&amp;" you can not buy one behind children to do their own noodles at ease!")</f>
        <v>Easy to use heavy work really sent me a good cost-effective conservation measures equivalent to no, but fortunately was doing anything visible scratches. Shanghai to the point of a distribution after all SF Like 👍 machine very easy to use, my mother said you can not buy one behind children to do their own noodles at ease!</v>
      </c>
    </row>
    <row r="2214">
      <c r="A2214" s="1">
        <v>5.0</v>
      </c>
      <c r="B2214" s="1" t="s">
        <v>2211</v>
      </c>
      <c r="C2214" t="str">
        <f>IFERROR(__xludf.DUMMYFUNCTION("GOOGLETRANSLATE(B2214, ""zh"", ""en"")"),"Jeans really good quality, style Ye Hao")</f>
        <v>Jeans really good quality, style Ye Hao</v>
      </c>
    </row>
    <row r="2215">
      <c r="A2215" s="1">
        <v>5.0</v>
      </c>
      <c r="B2215" s="1" t="s">
        <v>2212</v>
      </c>
      <c r="C2215" t="str">
        <f>IFERROR(__xludf.DUMMYFUNCTION("GOOGLETRANSLATE(B2215, ""zh"", ""en"")"),"Ah regular size, soft fabrics, colors unbiased")</f>
        <v>Ah regular size, soft fabrics, colors unbiased</v>
      </c>
    </row>
    <row r="2216">
      <c r="A2216" s="1">
        <v>5.0</v>
      </c>
      <c r="B2216" s="1" t="s">
        <v>2213</v>
      </c>
      <c r="C2216" t="str">
        <f>IFERROR(__xludf.DUMMYFUNCTION("GOOGLETRANSLATE(B2216, ""zh"", ""en"")"),"Good pen, detoxification recipe, recommended! Pen is very positive, tall, very smooth, very, very good writing. M is my tip, the tip is too big points, meticulous fast to catch up with the United States, and signature calligraphy F sharp enough.")</f>
        <v>Good pen, detoxification recipe, recommended! Pen is very positive, tall, very smooth, very, very good writing. M is my tip, the tip is too big points, meticulous fast to catch up with the United States, and signature calligraphy F sharp enough.</v>
      </c>
    </row>
    <row r="2217">
      <c r="A2217" s="1">
        <v>5.0</v>
      </c>
      <c r="B2217" s="1" t="s">
        <v>2214</v>
      </c>
      <c r="C2217" t="str">
        <f>IFERROR(__xludf.DUMMYFUNCTION("GOOGLETRANSLATE(B2217, ""zh"", ""en"")"),"Free your point is average, okay, less than twenty dollars a bottle, the taste is very fond of children, bottle design is also very characteristic, especially like his son now brush your teeth")</f>
        <v>Free your point is average, okay, less than twenty dollars a bottle, the taste is very fond of children, bottle design is also very characteristic, especially like his son now brush your teeth</v>
      </c>
    </row>
    <row r="2218">
      <c r="A2218" s="1">
        <v>5.0</v>
      </c>
      <c r="B2218" s="1" t="s">
        <v>2215</v>
      </c>
      <c r="C2218" t="str">
        <f>IFERROR(__xludf.DUMMYFUNCTION("GOOGLETRANSLATE(B2218, ""zh"", ""en"")"),"Good clothes very fit, very fit.")</f>
        <v>Good clothes very fit, very fit.</v>
      </c>
    </row>
    <row r="2219">
      <c r="A2219" s="1">
        <v>5.0</v>
      </c>
      <c r="B2219" s="1" t="s">
        <v>2216</v>
      </c>
      <c r="C2219" t="str">
        <f>IFERROR(__xludf.DUMMYFUNCTION("GOOGLETRANSLATE(B2219, ""zh"", ""en"")"),"Value is good, the error is 6 seconds, 460 fast, error according to the curriculum, half a month, within three seconds, sometimes even on time, is so fast hardware, yellow Tuo back through the movement do not see how operation,")</f>
        <v>Value is good, the error is 6 seconds, 460 fast, error according to the curriculum, half a month, within three seconds, sometimes even on time, is so fast hardware, yellow Tuo back through the movement do not see how operation,</v>
      </c>
    </row>
    <row r="2220">
      <c r="A2220" s="1">
        <v>5.0</v>
      </c>
      <c r="B2220" s="1" t="s">
        <v>2217</v>
      </c>
      <c r="C2220" t="str">
        <f>IFERROR(__xludf.DUMMYFUNCTION("GOOGLETRANSLATE(B2220, ""zh"", ""en"")"),"3T storing mechanical hard drives Hitachi brand identification, inventory standard white plate, used as a backup data storage cost value.")</f>
        <v>3T storing mechanical hard drives Hitachi brand identification, inventory standard white plate, used as a backup data storage cost value.</v>
      </c>
    </row>
    <row r="2221">
      <c r="A2221" s="1">
        <v>5.0</v>
      </c>
      <c r="B2221" s="1" t="s">
        <v>2218</v>
      </c>
      <c r="C2221" t="str">
        <f>IFERROR(__xludf.DUMMYFUNCTION("GOOGLETRANSLATE(B2221, ""zh"", ""en"")"),"Good shoes usually wear 41 yards, just the shoes.")</f>
        <v>Good shoes usually wear 41 yards, just the shoes.</v>
      </c>
    </row>
    <row r="2222">
      <c r="A2222" s="1">
        <v>5.0</v>
      </c>
      <c r="B2222" s="1" t="s">
        <v>2219</v>
      </c>
      <c r="C2222" t="str">
        <f>IFERROR(__xludf.DUMMYFUNCTION("GOOGLETRANSLATE(B2222, ""zh"", ""en"")"),"Strange same size pants were bought gravel and navy blue color, the result of two pairs of pants actually not as big, navy blue pants type is very positive, is the standard slimfit.")</f>
        <v>Strange same size pants were bought gravel and navy blue color, the result of two pairs of pants actually not as big, navy blue pants type is very positive, is the standard slimfit.</v>
      </c>
    </row>
    <row r="2223">
      <c r="A2223" s="1">
        <v>5.0</v>
      </c>
      <c r="B2223" s="1" t="s">
        <v>2220</v>
      </c>
      <c r="C2223" t="str">
        <f>IFERROR(__xludf.DUMMYFUNCTION("GOOGLETRANSLATE(B2223, ""zh"", ""en"")"),"Comfort 172 65 s code")</f>
        <v>Comfort 172 65 s code</v>
      </c>
    </row>
    <row r="2224">
      <c r="A2224" s="1">
        <v>5.0</v>
      </c>
      <c r="B2224" s="1" t="s">
        <v>2221</v>
      </c>
      <c r="C2224" t="str">
        <f>IFERROR(__xludf.DUMMYFUNCTION("GOOGLETRANSLATE(B2224, ""zh"", ""en"")"),"Very good, it is not entirely soft, still a little cup shape, 70c wear m just, still very comfortable. Arrived very fast, one week to go.")</f>
        <v>Very good, it is not entirely soft, still a little cup shape, 70c wear m just, still very comfortable. Arrived very fast, one week to go.</v>
      </c>
    </row>
    <row r="2225">
      <c r="A2225" s="1">
        <v>5.0</v>
      </c>
      <c r="B2225" s="1" t="s">
        <v>2222</v>
      </c>
      <c r="C2225" t="str">
        <f>IFERROR(__xludf.DUMMYFUNCTION("GOOGLETRANSLATE(B2225, ""zh"", ""en"")"),"The appearance of quality to be very good burn, logistics and very efficient, sent a week, five-star praise!")</f>
        <v>The appearance of quality to be very good burn, logistics and very efficient, sent a week, five-star praise!</v>
      </c>
    </row>
    <row r="2226">
      <c r="A2226" s="1">
        <v>5.0</v>
      </c>
      <c r="B2226" s="1" t="s">
        <v>2223</v>
      </c>
      <c r="C2226" t="str">
        <f>IFERROR(__xludf.DUMMYFUNCTION("GOOGLETRANSLATE(B2226, ""zh"", ""en"")"),"Tasty, tasty like candy, like candy")</f>
        <v>Tasty, tasty like candy, like candy</v>
      </c>
    </row>
    <row r="2227">
      <c r="A2227" s="1">
        <v>5.0</v>
      </c>
      <c r="B2227" s="1" t="s">
        <v>2224</v>
      </c>
      <c r="C2227" t="str">
        <f>IFERROR(__xludf.DUMMYFUNCTION("GOOGLETRANSLATE(B2227, ""zh"", ""en"")"),"175cm, 85kg, medium. 175,85kg, medium, just right. Very good, buy one.")</f>
        <v>175cm, 85kg, medium. 175,85kg, medium, just right. Very good, buy one.</v>
      </c>
    </row>
    <row r="2228">
      <c r="A2228" s="1">
        <v>5.0</v>
      </c>
      <c r="B2228" s="1" t="s">
        <v>2225</v>
      </c>
      <c r="C2228" t="str">
        <f>IFERROR(__xludf.DUMMYFUNCTION("GOOGLETRANSLATE(B2228, ""zh"", ""en"")"),"Replace simple inexpensive, simple replacement brush for complete and very clean.")</f>
        <v>Replace simple inexpensive, simple replacement brush for complete and very clean.</v>
      </c>
    </row>
    <row r="2229">
      <c r="A2229" s="1">
        <v>5.0</v>
      </c>
      <c r="B2229" s="1" t="s">
        <v>2226</v>
      </c>
      <c r="C2229" t="str">
        <f>IFERROR(__xludf.DUMMYFUNCTION("GOOGLETRANSLATE(B2229, ""zh"", ""en"")"),"Good quality genuine mug! Big trusted brand.")</f>
        <v>Good quality genuine mug! Big trusted brand.</v>
      </c>
    </row>
    <row r="2230">
      <c r="A2230" s="1">
        <v>5.0</v>
      </c>
      <c r="B2230" s="1" t="s">
        <v>2227</v>
      </c>
      <c r="C2230" t="str">
        <f>IFERROR(__xludf.DUMMYFUNCTION("GOOGLETRANSLATE(B2230, ""zh"", ""en"")"),"philips diamond brush clearance fast, this time the price is good, w2 can be used in the old section of the hx9332")</f>
        <v>philips diamond brush clearance fast, this time the price is good, w2 can be used in the old section of the hx9332</v>
      </c>
    </row>
    <row r="2231">
      <c r="A2231" s="1">
        <v>5.0</v>
      </c>
      <c r="B2231" s="1" t="s">
        <v>2228</v>
      </c>
      <c r="C2231" t="str">
        <f>IFERROR(__xludf.DUMMYFUNCTION("GOOGLETRANSLATE(B2231, ""zh"", ""en"")"),"Pelvis with Nichia buy this indeed is the most cost-effective. I have not seen the quality of the Lynx, but have seen a friend of the same. Fast.")</f>
        <v>Pelvis with Nichia buy this indeed is the most cost-effective. I have not seen the quality of the Lynx, but have seen a friend of the same. Fast.</v>
      </c>
    </row>
    <row r="2232">
      <c r="A2232" s="1">
        <v>2.0</v>
      </c>
      <c r="B2232" s="1" t="s">
        <v>2229</v>
      </c>
      <c r="C2232" t="str">
        <f>IFERROR(__xludf.DUMMYFUNCTION("GOOGLETRANSLATE(B2232, ""zh"", ""en"")"),"Blue color fabric rather hard, and blue color picture of a little big.")</f>
        <v>Blue color fabric rather hard, and blue color picture of a little big.</v>
      </c>
    </row>
    <row r="2233">
      <c r="A2233" s="1">
        <v>3.0</v>
      </c>
      <c r="B2233" s="1" t="s">
        <v>2230</v>
      </c>
      <c r="C2233" t="str">
        <f>IFERROR(__xludf.DUMMYFUNCTION("GOOGLETRANSLATE(B2233, ""zh"", ""en"")"),"Wearing one week, and then play ball! Wearing one week, and then play ball! The right size, the plate is very beautiful, just put on the feeling of value, but with a few days to play the ball, it felt so right")</f>
        <v>Wearing one week, and then play ball! Wearing one week, and then play ball! The right size, the plate is very beautiful, just put on the feeling of value, but with a few days to play the ball, it felt so right</v>
      </c>
    </row>
    <row r="2234">
      <c r="A2234" s="1">
        <v>3.0</v>
      </c>
      <c r="B2234" s="1" t="s">
        <v>2231</v>
      </c>
      <c r="C2234" t="str">
        <f>IFERROR(__xludf.DUMMYFUNCTION("GOOGLETRANSLATE(B2234, ""zh"", ""en"")"),"too big! ! ! 185cm / 88kg, bought L, feeling 3XL ~ 4XL, too. . .")</f>
        <v>too big! ! ! 185cm / 88kg, bought L, feeling 3XL ~ 4XL, too. . .</v>
      </c>
    </row>
    <row r="2235">
      <c r="A2235" s="1">
        <v>1.0</v>
      </c>
      <c r="B2235" s="1" t="s">
        <v>2232</v>
      </c>
      <c r="C2235" t="str">
        <f>IFERROR(__xludf.DUMMYFUNCTION("GOOGLETRANSLATE(B2235, ""zh"", ""en"")"),"Spicy chicken spicy chicken, hair loss, lost a lot of hair, the feeling spread the goods")</f>
        <v>Spicy chicken spicy chicken, hair loss, lost a lot of hair, the feeling spread the goods</v>
      </c>
    </row>
    <row r="2236">
      <c r="A2236" s="1">
        <v>1.0</v>
      </c>
      <c r="B2236" s="1" t="s">
        <v>2233</v>
      </c>
      <c r="C2236" t="str">
        <f>IFERROR(__xludf.DUMMYFUNCTION("GOOGLETRANSLATE(B2236, ""zh"", ""en"")"),"It is generally weak batch of low frequency, with only piano, listening to music is simply impossible")</f>
        <v>It is generally weak batch of low frequency, with only piano, listening to music is simply impossible</v>
      </c>
    </row>
    <row r="2237">
      <c r="A2237" s="1">
        <v>4.0</v>
      </c>
      <c r="B2237" s="1" t="s">
        <v>2234</v>
      </c>
      <c r="C2237" t="str">
        <f>IFERROR(__xludf.DUMMYFUNCTION("GOOGLETRANSLATE(B2237, ""zh"", ""en"")"),"Size height 183 weight 220 number to buy Xl! Started to wear a little tight when the day began to wear loose quickly, this weather was okay, if the high temperatures in the summer to buy the freshman code may be more comfortable! Cotton may be the reason!"&amp;" A little self! Quality line, with the former wearing a Nike T-shirt Adidas thickness almost feel!")</f>
        <v>Size height 183 weight 220 number to buy Xl! Started to wear a little tight when the day began to wear loose quickly, this weather was okay, if the high temperatures in the summer to buy the freshman code may be more comfortable! Cotton may be the reason! A little self! Quality line, with the former wearing a Nike T-shirt Adidas thickness almost feel!</v>
      </c>
    </row>
    <row r="2238">
      <c r="A2238" s="1">
        <v>4.0</v>
      </c>
      <c r="B2238" s="1" t="s">
        <v>2235</v>
      </c>
      <c r="C2238" t="str">
        <f>IFERROR(__xludf.DUMMYFUNCTION("GOOGLETRANSLATE(B2238, ""zh"", ""en"")"),"Convenient baby likes to bite, but the old bell. not convenient")</f>
        <v>Convenient baby likes to bite, but the old bell. not convenient</v>
      </c>
    </row>
    <row r="2239">
      <c r="A2239" s="1">
        <v>4.0</v>
      </c>
      <c r="B2239" s="1" t="s">
        <v>2236</v>
      </c>
      <c r="C2239" t="str">
        <f>IFERROR(__xludf.DUMMYFUNCTION("GOOGLETRANSLATE(B2239, ""zh"", ""en"")"),"Fairly satisfied with the speed of a generally stable in 50-60M / s capacity will be almost 0.93 times on the way considered normal volume is also good point is smaller than expected")</f>
        <v>Fairly satisfied with the speed of a generally stable in 50-60M / s capacity will be almost 0.93 times on the way considered normal volume is also good point is smaller than expected</v>
      </c>
    </row>
    <row r="2240">
      <c r="A2240" s="1">
        <v>4.0</v>
      </c>
      <c r="B2240" s="1" t="s">
        <v>2237</v>
      </c>
      <c r="C2240" t="str">
        <f>IFERROR(__xludf.DUMMYFUNCTION("GOOGLETRANSLATE(B2240, ""zh"", ""en"")"),"Roll waist clip fart not very thick, winter wear can not roll back not tight, a little clip fart")</f>
        <v>Roll waist clip fart not very thick, winter wear can not roll back not tight, a little clip fart</v>
      </c>
    </row>
    <row r="2241">
      <c r="A2241" s="1">
        <v>4.0</v>
      </c>
      <c r="B2241" s="1" t="s">
        <v>2238</v>
      </c>
      <c r="C2241" t="str">
        <f>IFERROR(__xludf.DUMMYFUNCTION("GOOGLETRANSLATE(B2241, ""zh"", ""en"")"),"After the package is too simple orders see a country east of the same model line price spike 999, the actual receipt of the goods took nine days, the arrival of the packaging is too simple, a little shock protection are not, things okay. Normal use, the a"&amp;"ctual capacity of more than 3.6T")</f>
        <v>After the package is too simple orders see a country east of the same model line price spike 999, the actual receipt of the goods took nine days, the arrival of the packaging is too simple, a little shock protection are not, things okay. Normal use, the actual capacity of more than 3.6T</v>
      </c>
    </row>
    <row r="2242">
      <c r="A2242" s="1">
        <v>5.0</v>
      </c>
      <c r="B2242" s="1" t="s">
        <v>2239</v>
      </c>
      <c r="C2242" t="str">
        <f>IFERROR(__xludf.DUMMYFUNCTION("GOOGLETRANSLATE(B2242, ""zh"", ""en"")"),"Comfortable fabric comfortable thin, fit to wear the South.")</f>
        <v>Comfortable fabric comfortable thin, fit to wear the South.</v>
      </c>
    </row>
    <row r="2243">
      <c r="A2243" s="1">
        <v>5.0</v>
      </c>
      <c r="B2243" s="1" t="s">
        <v>2240</v>
      </c>
      <c r="C2243" t="str">
        <f>IFERROR(__xludf.DUMMYFUNCTION("GOOGLETRANSLATE(B2243, ""zh"", ""en"")"),"Very cozy little inside! In Japan, high waist cotton pants, my height 166CM, 70CM and 92CM waist-hip, bought the L code, very comfortable, breathable, like to wear high waist recommended to buy.")</f>
        <v>Very cozy little inside! In Japan, high waist cotton pants, my height 166CM, 70CM and 92CM waist-hip, bought the L code, very comfortable, breathable, like to wear high waist recommended to buy.</v>
      </c>
    </row>
    <row r="2244">
      <c r="A2244" s="1">
        <v>5.0</v>
      </c>
      <c r="B2244" s="1" t="s">
        <v>2241</v>
      </c>
      <c r="C2244" t="str">
        <f>IFERROR(__xludf.DUMMYFUNCTION("GOOGLETRANSLATE(B2244, ""zh"", ""en"")"),"No good, never went before the evaluation, I do not know how many wasted points, points can change money now know, they should look carefully evaluated, then I put these words to copy to go, both to earn points, but also save trouble, went to which copy w"&amp;"here, most importantly, do not seriously review, do not think how much worse word, sent directly to it, recommend it to everyone!")</f>
        <v>No good, never went before the evaluation, I do not know how many wasted points, points can change money now know, they should look carefully evaluated, then I put these words to copy to go, both to earn points, but also save trouble, went to which copy where, most importantly, do not seriously review, do not think how much worse word, sent directly to it, recommend it to everyone!</v>
      </c>
    </row>
    <row r="2245">
      <c r="A2245" s="1">
        <v>5.0</v>
      </c>
      <c r="B2245" s="1" t="s">
        <v>2242</v>
      </c>
      <c r="C2245" t="str">
        <f>IFERROR(__xludf.DUMMYFUNCTION("GOOGLETRANSLATE(B2245, ""zh"", ""en"")"),"Effective price better than the domestic effects are particularly good all in one grade better than the above two, the domestic washing block will resort to a strange smell exhausted after remaining on the dishes. This version did not, do not fully unders"&amp;"tand the comparison. Buy expensive imported version 7 people found this review helpful")</f>
        <v>Effective price better than the domestic effects are particularly good all in one grade better than the above two, the domestic washing block will resort to a strange smell exhausted after remaining on the dishes. This version did not, do not fully understand the comparison. Buy expensive imported version 7 people found this review helpful</v>
      </c>
    </row>
    <row r="2246">
      <c r="A2246" s="1">
        <v>5.0</v>
      </c>
      <c r="B2246" s="1" t="s">
        <v>2243</v>
      </c>
      <c r="C2246" t="str">
        <f>IFERROR(__xludf.DUMMYFUNCTION("GOOGLETRANSLATE(B2246, ""zh"", ""en"")"),"Delicious candy. Delicious, nutritious. satisfaction.")</f>
        <v>Delicious candy. Delicious, nutritious. satisfaction.</v>
      </c>
    </row>
    <row r="2247">
      <c r="A2247" s="1">
        <v>5.0</v>
      </c>
      <c r="B2247" s="1" t="s">
        <v>2244</v>
      </c>
      <c r="C2247" t="str">
        <f>IFERROR(__xludf.DUMMYFUNCTION("GOOGLETRANSLATE(B2247, ""zh"", ""en"")"),"Happy shopping a pleasant shopping, the first time Amazon, feel good.")</f>
        <v>Happy shopping a pleasant shopping, the first time Amazon, feel good.</v>
      </c>
    </row>
    <row r="2248">
      <c r="A2248" s="1">
        <v>5.0</v>
      </c>
      <c r="B2248" s="1" t="s">
        <v>2245</v>
      </c>
      <c r="C2248" t="str">
        <f>IFERROR(__xludf.DUMMYFUNCTION("GOOGLETRANSLATE(B2248, ""zh"", ""en"")"),"Easy to buy a few good use")</f>
        <v>Easy to buy a few good use</v>
      </c>
    </row>
    <row r="2249">
      <c r="A2249" s="1">
        <v>5.0</v>
      </c>
      <c r="B2249" s="1" t="s">
        <v>2246</v>
      </c>
      <c r="C2249" t="str">
        <f>IFERROR(__xludf.DUMMYFUNCTION("GOOGLETRANSLATE(B2249, ""zh"", ""en"")"),"Good pen high cost! Yes! Smooth writing")</f>
        <v>Good pen high cost! Yes! Smooth writing</v>
      </c>
    </row>
    <row r="2250">
      <c r="A2250" s="1">
        <v>5.0</v>
      </c>
      <c r="B2250" s="1" t="s">
        <v>2247</v>
      </c>
      <c r="C2250" t="str">
        <f>IFERROR(__xludf.DUMMYFUNCTION("GOOGLETRANSLATE(B2250, ""zh"", ""en"")"),"Recommended to buy cups are particularly good, super-insulation effect, it is recommended, the price is very beautiful, cheaper than the Lynx's official website")</f>
        <v>Recommended to buy cups are particularly good, super-insulation effect, it is recommended, the price is very beautiful, cheaper than the Lynx's official website</v>
      </c>
    </row>
    <row r="2251">
      <c r="A2251" s="1">
        <v>5.0</v>
      </c>
      <c r="B2251" s="1" t="s">
        <v>2248</v>
      </c>
      <c r="C2251" t="str">
        <f>IFERROR(__xludf.DUMMYFUNCTION("GOOGLETRANSLATE(B2251, ""zh"", ""en"")"),"Good sound quality is very good, worth having.")</f>
        <v>Good sound quality is very good, worth having.</v>
      </c>
    </row>
    <row r="2252">
      <c r="A2252" s="1">
        <v>5.0</v>
      </c>
      <c r="B2252" s="1" t="s">
        <v>2249</v>
      </c>
      <c r="C2252" t="str">
        <f>IFERROR(__xludf.DUMMYFUNCTION("GOOGLETRANSLATE(B2252, ""zh"", ""en"")"),"10061 style and not much different, no need to recognize only the 10061 domestic 42 yards, 26 cm, bought 8.5 foot high I can not buy small, big boots option is not selected small. And remember.")</f>
        <v>10061 style and not much different, no need to recognize only the 10061 domestic 42 yards, 26 cm, bought 8.5 foot high I can not buy small, big boots option is not selected small. And remember.</v>
      </c>
    </row>
    <row r="2253">
      <c r="A2253" s="1">
        <v>5.0</v>
      </c>
      <c r="B2253" s="1" t="s">
        <v>2250</v>
      </c>
      <c r="C2253" t="str">
        <f>IFERROR(__xludf.DUMMYFUNCTION("GOOGLETRANSLATE(B2253, ""zh"", ""en"")"),"You can also right also good, I feel like a general, because it is straight, legs indeed very fat")</f>
        <v>You can also right also good, I feel like a general, because it is straight, legs indeed very fat</v>
      </c>
    </row>
    <row r="2254">
      <c r="A2254" s="1">
        <v>5.0</v>
      </c>
      <c r="B2254" s="1" t="s">
        <v>2251</v>
      </c>
      <c r="C2254" t="str">
        <f>IFERROR(__xludf.DUMMYFUNCTION("GOOGLETRANSLATE(B2254, ""zh"", ""en"")"),"Compact and lightweight body is cheap and easy")</f>
        <v>Compact and lightweight body is cheap and easy</v>
      </c>
    </row>
    <row r="2255">
      <c r="A2255" s="1">
        <v>5.0</v>
      </c>
      <c r="B2255" s="1" t="s">
        <v>2252</v>
      </c>
      <c r="C2255" t="str">
        <f>IFERROR(__xludf.DUMMYFUNCTION("GOOGLETRANSLATE(B2255, ""zh"", ""en"")"),"I pretty strange too large for everyday wear 39 this is a great 8.5")</f>
        <v>I pretty strange too large for everyday wear 39 this is a great 8.5</v>
      </c>
    </row>
    <row r="2256">
      <c r="A2256" s="1">
        <v>5.0</v>
      </c>
      <c r="B2256" s="1" t="s">
        <v>2253</v>
      </c>
      <c r="C2256" t="str">
        <f>IFERROR(__xludf.DUMMYFUNCTION("GOOGLETRANSLATE(B2256, ""zh"", ""en"")"),"Very Good Very Good")</f>
        <v>Very Good Very Good</v>
      </c>
    </row>
    <row r="2257">
      <c r="A2257" s="1">
        <v>5.0</v>
      </c>
      <c r="B2257" s="1" t="s">
        <v>2254</v>
      </c>
      <c r="C2257" t="str">
        <f>IFERROR(__xludf.DUMMYFUNCTION("GOOGLETRANSLATE(B2257, ""zh"", ""en"")"),"Super love love! Unfortunately, just bought on price cuts")</f>
        <v>Super love love! Unfortunately, just bought on price cuts</v>
      </c>
    </row>
    <row r="2258">
      <c r="A2258" s="1">
        <v>5.0</v>
      </c>
      <c r="B2258" s="1" t="s">
        <v>2255</v>
      </c>
      <c r="C2258" t="str">
        <f>IFERROR(__xludf.DUMMYFUNCTION("GOOGLETRANSLATE(B2258, ""zh"", ""en"")"),"Size Size is not good choice, too small")</f>
        <v>Size Size is not good choice, too small</v>
      </c>
    </row>
    <row r="2259">
      <c r="A2259" s="1">
        <v>5.0</v>
      </c>
      <c r="B2259" s="1" t="s">
        <v>2256</v>
      </c>
      <c r="C2259" t="str">
        <f>IFERROR(__xludf.DUMMYFUNCTION("GOOGLETRANSLATE(B2259, ""zh"", ""en"")"),"AIU send good speed quickly, the price is very cost-effective, the measured speed of about 160M / S, also good")</f>
        <v>AIU send good speed quickly, the price is very cost-effective, the measured speed of about 160M / S, also good</v>
      </c>
    </row>
    <row r="2260">
      <c r="A2260" s="1">
        <v>5.0</v>
      </c>
      <c r="B2260" s="1" t="s">
        <v>2257</v>
      </c>
      <c r="C2260" t="str">
        <f>IFERROR(__xludf.DUMMYFUNCTION("GOOGLETRANSLATE(B2260, ""zh"", ""en"")"),"Stylish and comfortable. Hiking for outdoor activities. The price is very good.")</f>
        <v>Stylish and comfortable. Hiking for outdoor activities. The price is very good.</v>
      </c>
    </row>
    <row r="2261">
      <c r="A2261" s="1">
        <v>5.0</v>
      </c>
      <c r="B2261" s="1" t="s">
        <v>2258</v>
      </c>
      <c r="C2261" t="str">
        <f>IFERROR(__xludf.DUMMYFUNCTION("GOOGLETRANSLATE(B2261, ""zh"", ""en"")"),"Easy to increase the water pressure, spray on the body comfortable, did not wait for the new home decoration can not wait to spend the nozzle")</f>
        <v>Easy to increase the water pressure, spray on the body comfortable, did not wait for the new home decoration can not wait to spend the nozzle</v>
      </c>
    </row>
    <row r="2262">
      <c r="A2262" s="1">
        <v>5.0</v>
      </c>
      <c r="B2262" s="1" t="s">
        <v>2259</v>
      </c>
      <c r="C2262" t="str">
        <f>IFERROR(__xludf.DUMMYFUNCTION("GOOGLETRANSLATE(B2262, ""zh"", ""en"")"),"Has been eating this brand, the role of the elderly have been eating this brand, the role of the elderly")</f>
        <v>Has been eating this brand, the role of the elderly have been eating this brand, the role of the elderly</v>
      </c>
    </row>
    <row r="2263">
      <c r="A2263" s="1">
        <v>5.0</v>
      </c>
      <c r="B2263" s="1" t="s">
        <v>2260</v>
      </c>
      <c r="C2263" t="str">
        <f>IFERROR(__xludf.DUMMYFUNCTION("GOOGLETRANSLATE(B2263, ""zh"", ""en"")"),"Genuine cheaper than domestic prices cheaper than the domestic price ah looks good about five days arrive")</f>
        <v>Genuine cheaper than domestic prices cheaper than the domestic price ah looks good about five days arrive</v>
      </c>
    </row>
    <row r="2264">
      <c r="A2264" s="1">
        <v>2.0</v>
      </c>
      <c r="B2264" s="1" t="s">
        <v>2261</v>
      </c>
      <c r="C2264" t="str">
        <f>IFERROR(__xludf.DUMMYFUNCTION("GOOGLETRANSLATE(B2264, ""zh"", ""en"")"),"The high cost prices are very favorable right size ~ ~")</f>
        <v>The high cost prices are very favorable right size ~ ~</v>
      </c>
    </row>
    <row r="2265">
      <c r="A2265" s="1">
        <v>3.0</v>
      </c>
      <c r="B2265" s="1" t="s">
        <v>2262</v>
      </c>
      <c r="C2265" t="str">
        <f>IFERROR(__xludf.DUMMYFUNCTION("GOOGLETRANSLATE(B2265, ""zh"", ""en"")"),"For beginning to eat their own baby fit this model for just learning to handle their own baby take a spoon, another big point I felt a little handle. And in the bowl, the dish can only lie down throughout the whole spoon, because the handle put too unstab"&amp;"le, often dropped on the table and floor. Baby big point is not recommended. Further, 2 months after use, the patterned side of the plastic handle on the whole are off, leaving only the blue handle, mottled surface.")</f>
        <v>For beginning to eat their own baby fit this model for just learning to handle their own baby take a spoon, another big point I felt a little handle. And in the bowl, the dish can only lie down throughout the whole spoon, because the handle put too unstable, often dropped on the table and floor. Baby big point is not recommended. Further, 2 months after use, the patterned side of the plastic handle on the whole are off, leaving only the blue handle, mottled surface.</v>
      </c>
    </row>
    <row r="2266">
      <c r="A2266" s="1">
        <v>3.0</v>
      </c>
      <c r="B2266" s="1" t="s">
        <v>2263</v>
      </c>
      <c r="C2266" t="str">
        <f>IFERROR(__xludf.DUMMYFUNCTION("GOOGLETRANSLATE(B2266, ""zh"", ""en"")"),"Less permeable thin, some pinch, digital understand this brand, the original bought small as not wearing a pair of codes. ecco no problems on other brands")</f>
        <v>Less permeable thin, some pinch, digital understand this brand, the original bought small as not wearing a pair of codes. ecco no problems on other brands</v>
      </c>
    </row>
    <row r="2267">
      <c r="A2267" s="1">
        <v>1.0</v>
      </c>
      <c r="B2267" s="1" t="s">
        <v>2264</v>
      </c>
      <c r="C2267" t="str">
        <f>IFERROR(__xludf.DUMMYFUNCTION("GOOGLETRANSLATE(B2267, ""zh"", ""en"")"),"No tag, too large a particularly long sleeves really do not know ye deal. There are even a clothing tag are not drunk ......")</f>
        <v>No tag, too large a particularly long sleeves really do not know ye deal. There are even a clothing tag are not drunk ......</v>
      </c>
    </row>
    <row r="2268">
      <c r="A2268" s="1">
        <v>1.0</v>
      </c>
      <c r="B2268" s="1" t="s">
        <v>2265</v>
      </c>
      <c r="C2268" t="str">
        <f>IFERROR(__xludf.DUMMYFUNCTION("GOOGLETRANSLATE(B2268, ""zh"", ""en"")"),"Very, very bad shopping experience terribel shppping fabric is very scratchy and thin color is not correct size allowed very uncomfortable to wear")</f>
        <v>Very, very bad shopping experience terribel shppping fabric is very scratchy and thin color is not correct size allowed very uncomfortable to wear</v>
      </c>
    </row>
    <row r="2269">
      <c r="A2269" s="1">
        <v>1.0</v>
      </c>
      <c r="B2269" s="1" t="s">
        <v>2266</v>
      </c>
      <c r="C2269" t="str">
        <f>IFERROR(__xludf.DUMMYFUNCTION("GOOGLETRANSLATE(B2269, ""zh"", ""en"")"),"Why waste is old, obviously worn.")</f>
        <v>Why waste is old, obviously worn.</v>
      </c>
    </row>
    <row r="2270">
      <c r="A2270" s="1">
        <v>4.0</v>
      </c>
      <c r="B2270" s="1" t="s">
        <v>2267</v>
      </c>
      <c r="C2270" t="str">
        <f>IFERROR(__xludf.DUMMYFUNCTION("GOOGLETRANSLATE(B2270, ""zh"", ""en"")"),"There may also be a cover to be opened. There are 4 days after I bought the freight can avoid the shipping costs. . . .")</f>
        <v>There may also be a cover to be opened. There are 4 days after I bought the freight can avoid the shipping costs. . . .</v>
      </c>
    </row>
    <row r="2271">
      <c r="A2271" s="1">
        <v>4.0</v>
      </c>
      <c r="B2271" s="1" t="s">
        <v>2268</v>
      </c>
      <c r="C2271" t="str">
        <f>IFERROR(__xludf.DUMMYFUNCTION("GOOGLETRANSLATE(B2271, ""zh"", ""en"")"),"Dier size shoes size is not one, are separated. On foot in kind it is not very beautiful, but very comfortable to wear.")</f>
        <v>Dier size shoes size is not one, are separated. On foot in kind it is not very beautiful, but very comfortable to wear.</v>
      </c>
    </row>
    <row r="2272">
      <c r="A2272" s="1">
        <v>4.0</v>
      </c>
      <c r="B2272" s="1" t="s">
        <v>2269</v>
      </c>
      <c r="C2272" t="str">
        <f>IFERROR(__xludf.DUMMYFUNCTION("GOOGLETRANSLATE(B2272, ""zh"", ""en"")"),"Easily scratched, holding the cup is very good insulation, one-handed operation is very convenient, is not afraid leak, but easily scratched, put a cup Tory car, he used a few times there is a very visible scratches, and this FIG coating too weak")</f>
        <v>Easily scratched, holding the cup is very good insulation, one-handed operation is very convenient, is not afraid leak, but easily scratched, put a cup Tory car, he used a few times there is a very visible scratches, and this FIG coating too weak</v>
      </c>
    </row>
    <row r="2273">
      <c r="A2273" s="1">
        <v>4.0</v>
      </c>
      <c r="B2273" s="1" t="s">
        <v>2270</v>
      </c>
      <c r="C2273" t="str">
        <f>IFERROR(__xludf.DUMMYFUNCTION("GOOGLETRANSLATE(B2273, ""zh"", ""en"")"),"No packaging, acceptable quality. Why not package it? It is genuine, bought, the same.")</f>
        <v>No packaging, acceptable quality. Why not package it? It is genuine, bought, the same.</v>
      </c>
    </row>
    <row r="2274">
      <c r="A2274" s="1">
        <v>4.0</v>
      </c>
      <c r="B2274" s="1" t="s">
        <v>2271</v>
      </c>
      <c r="C2274" t="str">
        <f>IFERROR(__xludf.DUMMYFUNCTION("GOOGLETRANSLATE(B2274, ""zh"", ""en"")"),"1699 start, is still relatively satisfied with the 1699 spike i version of the black, super-fast delivery empire. Headphone quality no big problem, earmuffs part is feeling very wrinkled, the material itself may be the problem now. Open burning is not the"&amp;" sound quality, but the personal feeling is commendatory boiled water, eat bread also chew for a long time will be sweet.")</f>
        <v>1699 start, is still relatively satisfied with the 1699 spike i version of the black, super-fast delivery empire. Headphone quality no big problem, earmuffs part is feeling very wrinkled, the material itself may be the problem now. Open burning is not the sound quality, but the personal feeling is commendatory boiled water, eat bread also chew for a long time will be sweet.</v>
      </c>
    </row>
    <row r="2275">
      <c r="A2275" s="1">
        <v>5.0</v>
      </c>
      <c r="B2275" s="1" t="s">
        <v>2272</v>
      </c>
      <c r="C2275" t="str">
        <f>IFERROR(__xludf.DUMMYFUNCTION("GOOGLETRANSLATE(B2275, ""zh"", ""en"")"),"Good family benefits, to help students buy, the second time to buy, easy to use, cheaper than purchasing, run out will continue to buy.")</f>
        <v>Good family benefits, to help students buy, the second time to buy, easy to use, cheaper than purchasing, run out will continue to buy.</v>
      </c>
    </row>
    <row r="2276">
      <c r="A2276" s="1">
        <v>5.0</v>
      </c>
      <c r="B2276" s="1" t="s">
        <v>2273</v>
      </c>
      <c r="C2276" t="str">
        <f>IFERROR(__xludf.DUMMYFUNCTION("GOOGLETRANSLATE(B2276, ""zh"", ""en"")"),"Yes 178 cm, 90KG, wear L code, just very thin, is good, but a general material.")</f>
        <v>Yes 178 cm, 90KG, wear L code, just very thin, is good, but a general material.</v>
      </c>
    </row>
    <row r="2277">
      <c r="A2277" s="1">
        <v>5.0</v>
      </c>
      <c r="B2277" s="1" t="s">
        <v>2274</v>
      </c>
      <c r="C2277" t="str">
        <f>IFERROR(__xludf.DUMMYFUNCTION("GOOGLETRANSLATE(B2277, ""zh"", ""en"")"),"No fitting problems. Read comments are wary of buying before you buy, because of his believe that the quality of Japanese products later or buy, to home improvement No comments said at all can not buy parts of the problem, is a point short hose, go downst"&amp;"airs Hardware store bought master open hardware accessories, fitted able to use, very good!")</f>
        <v>No fitting problems. Read comments are wary of buying before you buy, because of his believe that the quality of Japanese products later or buy, to home improvement No comments said at all can not buy parts of the problem, is a point short hose, go downstairs Hardware store bought master open hardware accessories, fitted able to use, very good!</v>
      </c>
    </row>
    <row r="2278">
      <c r="A2278" s="1">
        <v>5.0</v>
      </c>
      <c r="B2278" s="1" t="s">
        <v>2275</v>
      </c>
      <c r="C2278" t="str">
        <f>IFERROR(__xludf.DUMMYFUNCTION("GOOGLETRANSLATE(B2278, ""zh"", ""en"")"),"Number bad points to buy clothes too big")</f>
        <v>Number bad points to buy clothes too big</v>
      </c>
    </row>
    <row r="2279">
      <c r="A2279" s="1">
        <v>5.0</v>
      </c>
      <c r="B2279" s="1" t="s">
        <v>2276</v>
      </c>
      <c r="C2279" t="str">
        <f>IFERROR(__xludf.DUMMYFUNCTION("GOOGLETRANSLATE(B2279, ""zh"", ""en"")"),"Nice shoes shoes the right size, see comment bought.")</f>
        <v>Nice shoes shoes the right size, see comment bought.</v>
      </c>
    </row>
    <row r="2280">
      <c r="A2280" s="1">
        <v>5.0</v>
      </c>
      <c r="B2280" s="1" t="s">
        <v>2277</v>
      </c>
      <c r="C2280" t="str">
        <f>IFERROR(__xludf.DUMMYFUNCTION("GOOGLETRANSLATE(B2280, ""zh"", ""en"")"),"Perfect height 169, weight 110, wearing the perfect girlfriend, the domestic counter 549, half the price here is cheaper, very good")</f>
        <v>Perfect height 169, weight 110, wearing the perfect girlfriend, the domestic counter 549, half the price here is cheaper, very good</v>
      </c>
    </row>
    <row r="2281">
      <c r="A2281" s="1">
        <v>5.0</v>
      </c>
      <c r="B2281" s="1" t="s">
        <v>2278</v>
      </c>
      <c r="C2281" t="str">
        <f>IFERROR(__xludf.DUMMYFUNCTION("GOOGLETRANSLATE(B2281, ""zh"", ""en"")"),"Japanese version of the Japanese version of the good work the cost is very high, I looked carefully evaluate before you buy, deliberately bought a big One, 177cm, 65kg wear L is very appropriate. Logistics is also much faster than expected.")</f>
        <v>Japanese version of the Japanese version of the good work the cost is very high, I looked carefully evaluate before you buy, deliberately bought a big One, 177cm, 65kg wear L is very appropriate. Logistics is also much faster than expected.</v>
      </c>
    </row>
    <row r="2282">
      <c r="A2282" s="1">
        <v>5.0</v>
      </c>
      <c r="B2282" s="1" t="s">
        <v>2279</v>
      </c>
      <c r="C2282" t="str">
        <f>IFERROR(__xludf.DUMMYFUNCTION("GOOGLETRANSLATE(B2282, ""zh"", ""en"")"),"Casio 5610 Yes, this is what I want Casio watch, I like")</f>
        <v>Casio 5610 Yes, this is what I want Casio watch, I like</v>
      </c>
    </row>
    <row r="2283">
      <c r="A2283" s="1">
        <v>5.0</v>
      </c>
      <c r="B2283" s="1" t="s">
        <v>2280</v>
      </c>
      <c r="C2283" t="str">
        <f>IFERROR(__xludf.DUMMYFUNCTION("GOOGLETRANSLATE(B2283, ""zh"", ""en"")"),"Value for money tangled for a long time, after careful comparison (including JBL305) after into this right, after all, cheaper by nearly 1k. A lot of background noise interference problems people encounter, I have basically solved, can be used in general "&amp;"have a balanced output of the decoder, shielding the bottom line, away from the 2.4G equipment, renovation decoder USB cable, specific methods can refer to my photos Aunt single sun")</f>
        <v>Value for money tangled for a long time, after careful comparison (including JBL305) after into this right, after all, cheaper by nearly 1k. A lot of background noise interference problems people encounter, I have basically solved, can be used in general have a balanced output of the decoder, shielding the bottom line, away from the 2.4G equipment, renovation decoder USB cable, specific methods can refer to my photos Aunt single sun</v>
      </c>
    </row>
    <row r="2284">
      <c r="A2284" s="1">
        <v>5.0</v>
      </c>
      <c r="B2284" s="1" t="s">
        <v>2281</v>
      </c>
      <c r="C2284" t="str">
        <f>IFERROR(__xludf.DUMMYFUNCTION("GOOGLETRANSLATE(B2284, ""zh"", ""en"")"),"Good use good use, LaCie Les something easy to use")</f>
        <v>Good use good use, LaCie Les something easy to use</v>
      </c>
    </row>
    <row r="2285">
      <c r="A2285" s="1">
        <v>5.0</v>
      </c>
      <c r="B2285" s="1" t="s">
        <v>2282</v>
      </c>
      <c r="C2285" t="str">
        <f>IFERROR(__xludf.DUMMYFUNCTION("GOOGLETRANSLATE(B2285, ""zh"", ""en"")"),"Yan high value of the high price of beauty is very practical cook machine Yen value, the price is beautiful, orders three days after delivery, week of receiving, transparent mixing bowl very practical, more directly see the state of the food, made with th"&amp;"e cook and the face, beat egg white, mix the meat, the performance is very good, sound can accept work, but no instructions in Chinese, need to be familiar with their own way")</f>
        <v>Yan high value of the high price of beauty is very practical cook machine Yen value, the price is beautiful, orders three days after delivery, week of receiving, transparent mixing bowl very practical, more directly see the state of the food, made with the cook and the face, beat egg white, mix the meat, the performance is very good, sound can accept work, but no instructions in Chinese, need to be familiar with their own way</v>
      </c>
    </row>
    <row r="2286">
      <c r="A2286" s="1">
        <v>5.0</v>
      </c>
      <c r="B2286" s="1" t="s">
        <v>2283</v>
      </c>
      <c r="C2286" t="str">
        <f>IFERROR(__xludf.DUMMYFUNCTION("GOOGLETRANSLATE(B2286, ""zh"", ""en"")"),"Water bottle water bottle is a good capacity of 1.2L")</f>
        <v>Water bottle water bottle is a good capacity of 1.2L</v>
      </c>
    </row>
    <row r="2287">
      <c r="A2287" s="1">
        <v>5.0</v>
      </c>
      <c r="B2287" s="1" t="s">
        <v>2284</v>
      </c>
      <c r="C2287" t="str">
        <f>IFERROR(__xludf.DUMMYFUNCTION("GOOGLETRANSLATE(B2287, ""zh"", ""en"")"),"Good to wear very comfortable, good-looking breast shape.")</f>
        <v>Good to wear very comfortable, good-looking breast shape.</v>
      </c>
    </row>
    <row r="2288">
      <c r="A2288" s="1">
        <v>5.0</v>
      </c>
      <c r="B2288" s="1" t="s">
        <v>2285</v>
      </c>
      <c r="C2288" t="str">
        <f>IFERROR(__xludf.DUMMYFUNCTION("GOOGLETRANSLATE(B2288, ""zh"", ""en"")"),"Very, very good product, we need to save the fridge, and it is best not to let run into the mouth, so as not to have to go saliva-producing bacteria.")</f>
        <v>Very, very good product, we need to save the fridge, and it is best not to let run into the mouth, so as not to have to go saliva-producing bacteria.</v>
      </c>
    </row>
    <row r="2289">
      <c r="A2289" s="1">
        <v>5.0</v>
      </c>
      <c r="B2289" s="1" t="s">
        <v>2286</v>
      </c>
      <c r="C2289" t="str">
        <f>IFERROR(__xludf.DUMMYFUNCTION("GOOGLETRANSLATE(B2289, ""zh"", ""en"")"),"Very satisfied with the shopping is very good, work well, the price is right, good softness, comfortable, 177,77kg, appropriate. Sort, wore shirts or T-shirts may be.")</f>
        <v>Very satisfied with the shopping is very good, work well, the price is right, good softness, comfortable, 177,77kg, appropriate. Sort, wore shirts or T-shirts may be.</v>
      </c>
    </row>
    <row r="2290">
      <c r="A2290" s="1">
        <v>5.0</v>
      </c>
      <c r="B2290" s="1" t="s">
        <v>2287</v>
      </c>
      <c r="C2290" t="str">
        <f>IFERROR(__xludf.DUMMYFUNCTION("GOOGLETRANSLATE(B2290, ""zh"", ""en"")"),"Cost-effective and very comfortable, there is support and it feels especially tight!")</f>
        <v>Cost-effective and very comfortable, there is support and it feels especially tight!</v>
      </c>
    </row>
    <row r="2291">
      <c r="A2291" s="1">
        <v>5.0</v>
      </c>
      <c r="B2291" s="1" t="s">
        <v>2288</v>
      </c>
      <c r="C2291" t="str">
        <f>IFERROR(__xludf.DUMMYFUNCTION("GOOGLETRANSLATE(B2291, ""zh"", ""en"")"),"Not particularly soft texture, color clothes feeling a little dim")</f>
        <v>Not particularly soft texture, color clothes feeling a little dim</v>
      </c>
    </row>
    <row r="2292">
      <c r="A2292" s="1">
        <v>5.0</v>
      </c>
      <c r="B2292" s="1" t="s">
        <v>2289</v>
      </c>
      <c r="C2292" t="str">
        <f>IFERROR(__xludf.DUMMYFUNCTION("GOOGLETRANSLATE(B2292, ""zh"", ""en"")"),"Yardage forty-one yards wear sneakers forty-one yards to buy so large a trace of 9 should be almost, but not the original shoe box, as if foreign buying something like this?")</f>
        <v>Yardage forty-one yards wear sneakers forty-one yards to buy so large a trace of 9 should be almost, but not the original shoe box, as if foreign buying something like this?</v>
      </c>
    </row>
    <row r="2293">
      <c r="A2293" s="1">
        <v>5.0</v>
      </c>
      <c r="B2293" s="1" t="s">
        <v>2290</v>
      </c>
      <c r="C2293" t="str">
        <f>IFERROR(__xludf.DUMMYFUNCTION("GOOGLETRANSLATE(B2293, ""zh"", ""en"")"),"Good quality! Good quality!")</f>
        <v>Good quality! Good quality!</v>
      </c>
    </row>
    <row r="2294">
      <c r="A2294" s="1">
        <v>5.0</v>
      </c>
      <c r="B2294" s="1" t="s">
        <v>2291</v>
      </c>
      <c r="C2294" t="str">
        <f>IFERROR(__xludf.DUMMYFUNCTION("GOOGLETRANSLATE(B2294, ""zh"", ""en"")"),"Is too large, then the general appearance of thick, too large for summer wear clothes is obviously partial thickness, wearing too hot for obese Aunt Uncle wear")</f>
        <v>Is too large, then the general appearance of thick, too large for summer wear clothes is obviously partial thickness, wearing too hot for obese Aunt Uncle wear</v>
      </c>
    </row>
    <row r="2295">
      <c r="A2295" s="1">
        <v>5.0</v>
      </c>
      <c r="B2295" s="1" t="s">
        <v>2292</v>
      </c>
      <c r="C2295" t="str">
        <f>IFERROR(__xludf.DUMMYFUNCTION("GOOGLETRANSLATE(B2295, ""zh"", ""en"")"),"Cotton good length of almost 1 meter 72, but the waist a little big, but there are elastic")</f>
        <v>Cotton good length of almost 1 meter 72, but the waist a little big, but there are elastic</v>
      </c>
    </row>
    <row r="2296">
      <c r="A2296" s="1">
        <v>5.0</v>
      </c>
      <c r="B2296" s="1" t="s">
        <v>2293</v>
      </c>
      <c r="C2296" t="str">
        <f>IFERROR(__xludf.DUMMYFUNCTION("GOOGLETRANSLATE(B2296, ""zh"", ""en"")"),"A nice watch good watch, as long as the fancy of this convenient table radio pair, plus the appearance of the table is quite satisfactory. A pleasant shopping experience.")</f>
        <v>A nice watch good watch, as long as the fancy of this convenient table radio pair, plus the appearance of the table is quite satisfactory. A pleasant shopping experience.</v>
      </c>
    </row>
    <row r="2297">
      <c r="A2297" s="1">
        <v>2.0</v>
      </c>
      <c r="B2297" s="1" t="s">
        <v>2294</v>
      </c>
      <c r="C2297" t="str">
        <f>IFERROR(__xludf.DUMMYFUNCTION("GOOGLETRANSLATE(B2297, ""zh"", ""en"")"),"Bags too small break, Mom and pictures, Poor delivery, slow death.")</f>
        <v>Bags too small break, Mom and pictures, Poor delivery, slow death.</v>
      </c>
    </row>
    <row r="2298">
      <c r="A2298" s="1">
        <v>3.0</v>
      </c>
      <c r="B2298" s="1" t="s">
        <v>2295</v>
      </c>
      <c r="C2298" t="str">
        <f>IFERROR(__xludf.DUMMYFUNCTION("GOOGLETRANSLATE(B2298, ""zh"", ""en"")"),"Shoddy goods headline title is MQ785, sent me is MQ745, halo")</f>
        <v>Shoddy goods headline title is MQ785, sent me is MQ745, halo</v>
      </c>
    </row>
    <row r="2299">
      <c r="A2299" s="1">
        <v>3.0</v>
      </c>
      <c r="B2299" s="1" t="s">
        <v>2296</v>
      </c>
      <c r="C2299" t="str">
        <f>IFERROR(__xludf.DUMMYFUNCTION("GOOGLETRANSLATE(B2299, ""zh"", ""en"")"),"Users generally like to see a review of the main problems, had wanted to return, but the speed okay, is this plastic case too knock chen, even the outlet are.")</f>
        <v>Users generally like to see a review of the main problems, had wanted to return, but the speed okay, is this plastic case too knock chen, even the outlet are.</v>
      </c>
    </row>
    <row r="2300">
      <c r="A2300" s="1">
        <v>3.0</v>
      </c>
      <c r="B2300" s="1" t="s">
        <v>2297</v>
      </c>
      <c r="C2300" t="str">
        <f>IFERROR(__xludf.DUMMYFUNCTION("GOOGLETRANSLATE(B2300, ""zh"", ""en"")"),"Larger size than normal, it is 41 feet, bought us9, larger size, 42 feet just to wear, only through time, you want to contact me, sell")</f>
        <v>Larger size than normal, it is 41 feet, bought us9, larger size, 42 feet just to wear, only through time, you want to contact me, sell</v>
      </c>
    </row>
    <row r="2301">
      <c r="A2301" s="1">
        <v>1.0</v>
      </c>
      <c r="B2301" s="1" t="s">
        <v>2298</v>
      </c>
      <c r="C2301" t="str">
        <f>IFERROR(__xludf.DUMMYFUNCTION("GOOGLETRANSLATE(B2301, ""zh"", ""en"")"),"Very easy to use poor quality brush, the bristles are not very strong, always brush with the brush with his mouth there are a few plastic bristles. Bad experience")</f>
        <v>Very easy to use poor quality brush, the bristles are not very strong, always brush with the brush with his mouth there are a few plastic bristles. Bad experience</v>
      </c>
    </row>
    <row r="2302">
      <c r="A2302" s="1">
        <v>1.0</v>
      </c>
      <c r="B2302" s="1" t="s">
        <v>2299</v>
      </c>
      <c r="C2302" t="str">
        <f>IFERROR(__xludf.DUMMYFUNCTION("GOOGLETRANSLATE(B2302, ""zh"", ""en"")"),"Plug in the power loom broken machine did not respond ah bad yet")</f>
        <v>Plug in the power loom broken machine did not respond ah bad yet</v>
      </c>
    </row>
    <row r="2303">
      <c r="A2303" s="1">
        <v>4.0</v>
      </c>
      <c r="B2303" s="1" t="s">
        <v>2300</v>
      </c>
      <c r="C2303" t="str">
        <f>IFERROR(__xludf.DUMMYFUNCTION("GOOGLETRANSLATE(B2303, ""zh"", ""en"")"),"Leg wear shoe size fit, comfortable on the feet, the only drawback is that the shoes I wear leg strike areas")</f>
        <v>Leg wear shoe size fit, comfortable on the feet, the only drawback is that the shoes I wear leg strike areas</v>
      </c>
    </row>
    <row r="2304">
      <c r="A2304" s="1">
        <v>4.0</v>
      </c>
      <c r="B2304" s="1" t="s">
        <v>2301</v>
      </c>
      <c r="C2304" t="str">
        <f>IFERROR(__xludf.DUMMYFUNCTION("GOOGLETRANSLATE(B2304, ""zh"", ""en"")"),"CITIZEN watches feeling good quality, style I like, basically the same. Strap is a bit hard, the whole package in general, simple and practical! Time whether the Right, have a look to say slightly.")</f>
        <v>CITIZEN watches feeling good quality, style I like, basically the same. Strap is a bit hard, the whole package in general, simple and practical! Time whether the Right, have a look to say slightly.</v>
      </c>
    </row>
    <row r="2305">
      <c r="A2305" s="1">
        <v>4.0</v>
      </c>
      <c r="B2305" s="1" t="s">
        <v>2302</v>
      </c>
      <c r="C2305" t="str">
        <f>IFERROR(__xludf.DUMMYFUNCTION("GOOGLETRANSLATE(B2305, ""zh"", ""en"")"),"Cost-effective to buy two, the overall feeling is very good. bouncy. The only regret is that radical-colored trousers trousers color than the larger maverick")</f>
        <v>Cost-effective to buy two, the overall feeling is very good. bouncy. The only regret is that radical-colored trousers trousers color than the larger maverick</v>
      </c>
    </row>
    <row r="2306">
      <c r="A2306" s="1">
        <v>4.0</v>
      </c>
      <c r="B2306" s="1" t="s">
        <v>2303</v>
      </c>
      <c r="C2306" t="str">
        <f>IFERROR(__xludf.DUMMYFUNCTION("GOOGLETRANSLATE(B2306, ""zh"", ""en"")"),"Fly something very good, I used a feel good 👍")</f>
        <v>Fly something very good, I used a feel good 👍</v>
      </c>
    </row>
    <row r="2307">
      <c r="A2307" s="1">
        <v>4.0</v>
      </c>
      <c r="B2307" s="1" t="s">
        <v>2304</v>
      </c>
      <c r="C2307" t="str">
        <f>IFERROR(__xludf.DUMMYFUNCTION("GOOGLETRANSLATE(B2307, ""zh"", ""en"")"),"Too big, clothes can be, not retreat. Clothing prices are still beautiful, is too large to wear, I 175CM, 70KG, selected M number, the actual feeling of S number is enough.")</f>
        <v>Too big, clothes can be, not retreat. Clothing prices are still beautiful, is too large to wear, I 175CM, 70KG, selected M number, the actual feeling of S number is enough.</v>
      </c>
    </row>
    <row r="2308">
      <c r="A2308" s="1">
        <v>5.0</v>
      </c>
      <c r="B2308" s="1" t="s">
        <v>2305</v>
      </c>
      <c r="C2308" t="str">
        <f>IFERROR(__xludf.DUMMYFUNCTION("GOOGLETRANSLATE(B2308, ""zh"", ""en"")"),"Yes, British-come fast good, British-over quickly, the original, which is double the package open only a head, to promptly resolve customer service, good service")</f>
        <v>Yes, British-come fast good, British-over quickly, the original, which is double the package open only a head, to promptly resolve customer service, good service</v>
      </c>
    </row>
    <row r="2309">
      <c r="A2309" s="1">
        <v>5.0</v>
      </c>
      <c r="B2309" s="1" t="s">
        <v>2306</v>
      </c>
      <c r="C2309" t="str">
        <f>IFERROR(__xludf.DUMMYFUNCTION("GOOGLETRANSLATE(B2309, ""zh"", ""en"")"),"Like to use for a long time, good quality!")</f>
        <v>Like to use for a long time, good quality!</v>
      </c>
    </row>
    <row r="2310">
      <c r="A2310" s="1">
        <v>5.0</v>
      </c>
      <c r="B2310" s="1" t="s">
        <v>2307</v>
      </c>
      <c r="C2310" t="str">
        <f>IFERROR(__xludf.DUMMYFUNCTION("GOOGLETRANSLATE(B2310, ""zh"", ""en"")"),"Buy this brand has been comfortable, my mother bought, comfortable")</f>
        <v>Buy this brand has been comfortable, my mother bought, comfortable</v>
      </c>
    </row>
    <row r="2311">
      <c r="A2311" s="1">
        <v>5.0</v>
      </c>
      <c r="B2311" s="1" t="s">
        <v>2308</v>
      </c>
      <c r="C2311" t="str">
        <f>IFERROR(__xludf.DUMMYFUNCTION("GOOGLETRANSLATE(B2311, ""zh"", ""en"")"),"It is very good value, very satisfied, cheaper by half.")</f>
        <v>It is very good value, very satisfied, cheaper by half.</v>
      </c>
    </row>
    <row r="2312">
      <c r="A2312" s="1">
        <v>5.0</v>
      </c>
      <c r="B2312" s="1" t="s">
        <v>2309</v>
      </c>
      <c r="C2312" t="str">
        <f>IFERROR(__xludf.DUMMYFUNCTION("GOOGLETRANSLATE(B2312, ""zh"", ""en"")"),"When finally have 650 orders before the fact, wanted to buy prw3500, because it has six Bureau of radio, however, the value of Yen 650 better, so buy chant, faster time to hand for an hour, estimated to be legendary daylight saving time . Always under the"&amp;" instructions Quguan network, slowly debugging, generally speaking, a lot of functions, feel good, cost-effective. Finally, under Ruoruo ask, where to look this off how much tax?")</f>
        <v>When finally have 650 orders before the fact, wanted to buy prw3500, because it has six Bureau of radio, however, the value of Yen 650 better, so buy chant, faster time to hand for an hour, estimated to be legendary daylight saving time . Always under the instructions Quguan network, slowly debugging, generally speaking, a lot of functions, feel good, cost-effective. Finally, under Ruoruo ask, where to look this off how much tax?</v>
      </c>
    </row>
    <row r="2313">
      <c r="A2313" s="1">
        <v>5.0</v>
      </c>
      <c r="B2313" s="1" t="s">
        <v>2310</v>
      </c>
      <c r="C2313" t="str">
        <f>IFERROR(__xludf.DUMMYFUNCTION("GOOGLETRANSLATE(B2313, ""zh"", ""en"")"),"ecco brand of shoes is good. Very good, wear comfortable shoes, lightweight.")</f>
        <v>ecco brand of shoes is good. Very good, wear comfortable shoes, lightweight.</v>
      </c>
    </row>
    <row r="2314">
      <c r="A2314" s="1">
        <v>5.0</v>
      </c>
      <c r="B2314" s="1" t="s">
        <v>2311</v>
      </c>
      <c r="C2314" t="str">
        <f>IFERROR(__xludf.DUMMYFUNCTION("GOOGLETRANSLATE(B2314, ""zh"", ""en"")"),"Comfortable Lycra fabric elastic, wear comfortable, relatively thick, suitable for winter days, comfortable elastic waist design, 172,78 wear W33L30 just.")</f>
        <v>Comfortable Lycra fabric elastic, wear comfortable, relatively thick, suitable for winter days, comfortable elastic waist design, 172,78 wear W33L30 just.</v>
      </c>
    </row>
    <row r="2315">
      <c r="A2315" s="1">
        <v>5.0</v>
      </c>
      <c r="B2315" s="1" t="s">
        <v>2312</v>
      </c>
      <c r="C2315" t="str">
        <f>IFERROR(__xludf.DUMMYFUNCTION("GOOGLETRANSLATE(B2315, ""zh"", ""en"")"),"173 hard cloth weight 70kg selected M, slightly longer hem, cuffs slightly longer. Cloth hard. Generally acceptable")</f>
        <v>173 hard cloth weight 70kg selected M, slightly longer hem, cuffs slightly longer. Cloth hard. Generally acceptable</v>
      </c>
    </row>
    <row r="2316">
      <c r="A2316" s="1">
        <v>5.0</v>
      </c>
      <c r="B2316" s="1" t="s">
        <v>2313</v>
      </c>
      <c r="C2316" t="str">
        <f>IFERROR(__xludf.DUMMYFUNCTION("GOOGLETRANSLATE(B2316, ""zh"", ""en"")"),"Light and beautiful overseas shopping too convenient, prices are also cost-effective, light and beautiful, a gift to send girlfriends")</f>
        <v>Light and beautiful overseas shopping too convenient, prices are also cost-effective, light and beautiful, a gift to send girlfriends</v>
      </c>
    </row>
    <row r="2317">
      <c r="A2317" s="1">
        <v>5.0</v>
      </c>
      <c r="B2317" s="1" t="s">
        <v>2314</v>
      </c>
      <c r="C2317" t="str">
        <f>IFERROR(__xludf.DUMMYFUNCTION("GOOGLETRANSLATE(B2317, ""zh"", ""en"")"),"Good quality, good speed 70M per second, quality, speed of 70M per second. Push")</f>
        <v>Good quality, good speed 70M per second, quality, speed of 70M per second. Push</v>
      </c>
    </row>
    <row r="2318">
      <c r="A2318" s="1">
        <v>5.0</v>
      </c>
      <c r="B2318" s="1" t="s">
        <v>2315</v>
      </c>
      <c r="C2318" t="str">
        <f>IFERROR(__xludf.DUMMYFUNCTION("GOOGLETRANSLATE(B2318, ""zh"", ""en"")"),"Very good 39 yards more standard foot generally buy a pair of shoes in the long 24.5cm did not how a fault, this election uk5.5 / us8 / eur38.5 / 24.5cm very appropriate. FIG thick flesh can wear the socks, but more relaxed. Really easy to fold the toe po"&amp;"rtion of the skin, personal feeling does not matter. Overall, great, increased significantly feet delicate and winter wild. The issue of a plastic and the like has yet to be verified. Hand price including tax of more than 290 points")</f>
        <v>Very good 39 yards more standard foot generally buy a pair of shoes in the long 24.5cm did not how a fault, this election uk5.5 / us8 / eur38.5 / 24.5cm very appropriate. FIG thick flesh can wear the socks, but more relaxed. Really easy to fold the toe portion of the skin, personal feeling does not matter. Overall, great, increased significantly feet delicate and winter wild. The issue of a plastic and the like has yet to be verified. Hand price including tax of more than 290 points</v>
      </c>
    </row>
    <row r="2319">
      <c r="A2319" s="1">
        <v>5.0</v>
      </c>
      <c r="B2319" s="1" t="s">
        <v>2316</v>
      </c>
      <c r="C2319" t="str">
        <f>IFERROR(__xludf.DUMMYFUNCTION("GOOGLETRANSLATE(B2319, ""zh"", ""en"")"),"Suitable suitable size, cheap, only three 108 yuan.")</f>
        <v>Suitable suitable size, cheap, only three 108 yuan.</v>
      </c>
    </row>
    <row r="2320">
      <c r="A2320" s="1">
        <v>5.0</v>
      </c>
      <c r="B2320" s="1" t="s">
        <v>2317</v>
      </c>
      <c r="C2320" t="str">
        <f>IFERROR(__xludf.DUMMYFUNCTION("GOOGLETRANSLATE(B2320, ""zh"", ""en"")"),"Worth buying looks good, the quality of Leverage! Made in Germany, trusted!")</f>
        <v>Worth buying looks good, the quality of Leverage! Made in Germany, trusted!</v>
      </c>
    </row>
    <row r="2321">
      <c r="A2321" s="1">
        <v>5.0</v>
      </c>
      <c r="B2321" s="1" t="s">
        <v>2318</v>
      </c>
      <c r="C2321" t="str">
        <f>IFERROR(__xludf.DUMMYFUNCTION("GOOGLETRANSLATE(B2321, ""zh"", ""en"")"),"Very Good Very Good German, to Beijing six days, very good")</f>
        <v>Very Good Very Good German, to Beijing six days, very good</v>
      </c>
    </row>
    <row r="2322">
      <c r="A2322" s="1">
        <v>5.0</v>
      </c>
      <c r="B2322" s="1" t="s">
        <v>2319</v>
      </c>
      <c r="C2322" t="str">
        <f>IFERROR(__xludf.DUMMYFUNCTION("GOOGLETRANSLATE(B2322, ""zh"", ""en"")"),"Cool recently fell in love with a tall black good leather shoes, even into three pairs, the same label size 255, Tim Bo Lan largest, followed by the north, just Martin. This pair is leather covered, I do not know whether the durable, cool black look good."&amp;" I do not know how to care. Because it is all black, brown leather shoes significantly smaller than appearance. I is the standard 250 feet, has been like to wear shoes half yards. 40 feet have been like to buy 41, so this double UK7US8 Martin right size.")</f>
        <v>Cool recently fell in love with a tall black good leather shoes, even into three pairs, the same label size 255, Tim Bo Lan largest, followed by the north, just Martin. This pair is leather covered, I do not know whether the durable, cool black look good. I do not know how to care. Because it is all black, brown leather shoes significantly smaller than appearance. I is the standard 250 feet, has been like to wear shoes half yards. 40 feet have been like to buy 41, so this double UK7US8 Martin right size.</v>
      </c>
    </row>
    <row r="2323">
      <c r="A2323" s="1">
        <v>5.0</v>
      </c>
      <c r="B2323" s="1" t="s">
        <v>2320</v>
      </c>
      <c r="C2323" t="str">
        <f>IFERROR(__xludf.DUMMYFUNCTION("GOOGLETRANSLATE(B2323, ""zh"", ""en"")"),"Good really good, which domestic prices can not buy a")</f>
        <v>Good really good, which domestic prices can not buy a</v>
      </c>
    </row>
    <row r="2324">
      <c r="A2324" s="1">
        <v>5.0</v>
      </c>
      <c r="B2324" s="1" t="s">
        <v>856</v>
      </c>
      <c r="C2324" t="str">
        <f>IFERROR(__xludf.DUMMYFUNCTION("GOOGLETRANSLATE(B2324, ""zh"", ""en"")"),"Good good microprojectiles, according to the size of the table to buy the right size, is also very good pant")</f>
        <v>Good good microprojectiles, according to the size of the table to buy the right size, is also very good pant</v>
      </c>
    </row>
    <row r="2325">
      <c r="A2325" s="1">
        <v>5.0</v>
      </c>
      <c r="B2325" s="1" t="s">
        <v>2321</v>
      </c>
      <c r="C2325" t="str">
        <f>IFERROR(__xludf.DUMMYFUNCTION("GOOGLETRANSLATE(B2325, ""zh"", ""en"")"),"Cost-effective to buy office, with very comfortable, smooth writing feeling very good")</f>
        <v>Cost-effective to buy office, with very comfortable, smooth writing feeling very good</v>
      </c>
    </row>
    <row r="2326">
      <c r="A2326" s="1">
        <v>5.0</v>
      </c>
      <c r="B2326" s="1" t="s">
        <v>2322</v>
      </c>
      <c r="C2326" t="str">
        <f>IFERROR(__xludf.DUMMYFUNCTION("GOOGLETRANSLATE(B2326, ""zh"", ""en"")"),"Quality okay good quality, value for money.")</f>
        <v>Quality okay good quality, value for money.</v>
      </c>
    </row>
    <row r="2327">
      <c r="A2327" s="1">
        <v>5.0</v>
      </c>
      <c r="B2327" s="1" t="s">
        <v>2323</v>
      </c>
      <c r="C2327" t="str">
        <f>IFERROR(__xludf.DUMMYFUNCTION("GOOGLETRANSLATE(B2327, ""zh"", ""en"")"),"The greatest feature is comfortable! Very nice sandals, free Prime membership can not start with 300, free shipping, value incomparable! Amazon logistics very fast, more than one week to go. Yardage very accurate, usually wear 40 yards shoes, sandals also"&amp;" chose 40 yards, freshman code estimation problem of course is not great (the price difference is big, ha ha). Indonesian origin, and leather work are good, especially the soles very strong, does not slip! Although some thread or something, overall good q"&amp;"uality. To wear the most comfortable feeling worn sandals, with soles foot contact layer is quite soft, flexible, and soles are flexible rubber sole, the supporting role of the foot well, parcel above cortex shoes on the feet also very good, the contact p"&amp;"ortion has a buffer Genjiao wrapping material. To sum it up: This is the biggest feature is the comfortable shoes!")</f>
        <v>The greatest feature is comfortable! Very nice sandals, free Prime membership can not start with 300, free shipping, value incomparable! Amazon logistics very fast, more than one week to go. Yardage very accurate, usually wear 40 yards shoes, sandals also chose 40 yards, freshman code estimation problem of course is not great (the price difference is big, ha ha). Indonesian origin, and leather work are good, especially the soles very strong, does not slip! Although some thread or something, overall good quality. To wear the most comfortable feeling worn sandals, with soles foot contact layer is quite soft, flexible, and soles are flexible rubber sole, the supporting role of the foot well, parcel above cortex shoes on the feet also very good, the contact portion has a buffer Genjiao wrapping material. To sum it up: This is the biggest feature is the comfortable shoes!</v>
      </c>
    </row>
    <row r="2328">
      <c r="A2328" s="1">
        <v>5.0</v>
      </c>
      <c r="B2328" s="1" t="s">
        <v>2324</v>
      </c>
      <c r="C2328" t="str">
        <f>IFERROR(__xludf.DUMMYFUNCTION("GOOGLETRANSLATE(B2328, ""zh"", ""en"")"),"160cm, 122 pounds, wearing 70 can be put on about 20 days after caesarean section, 160cm, 122 pounds, 99 hip, abdominal circumference can wear 85,70, le standing, seated dinner a little tight, uncomfortable. for reference.")</f>
        <v>160cm, 122 pounds, wearing 70 can be put on about 20 days after caesarean section, 160cm, 122 pounds, 99 hip, abdominal circumference can wear 85,70, le standing, seated dinner a little tight, uncomfortable. for reference.</v>
      </c>
    </row>
    <row r="2329">
      <c r="A2329" s="1">
        <v>5.0</v>
      </c>
      <c r="B2329" s="1" t="s">
        <v>2325</v>
      </c>
      <c r="C2329" t="str">
        <f>IFERROR(__xludf.DUMMYFUNCTION("GOOGLETRANSLATE(B2329, ""zh"", ""en"")"),"Size is very accurate, the version Ye Hao more comfortable to wear, good. bouncy")</f>
        <v>Size is very accurate, the version Ye Hao more comfortable to wear, good. bouncy</v>
      </c>
    </row>
    <row r="2330">
      <c r="A2330" s="1">
        <v>2.0</v>
      </c>
      <c r="B2330" s="1" t="s">
        <v>2326</v>
      </c>
      <c r="C2330" t="str">
        <f>IFERROR(__xludf.DUMMYFUNCTION("GOOGLETRANSLATE(B2330, ""zh"", ""en"")"),"Fade / larger than my super super thick coat L code are also big circle three times to soak fade")</f>
        <v>Fade / larger than my super super thick coat L code are also big circle three times to soak fade</v>
      </c>
    </row>
    <row r="2331">
      <c r="A2331" s="1">
        <v>3.0</v>
      </c>
      <c r="B2331" s="1" t="s">
        <v>2327</v>
      </c>
      <c r="C2331" t="str">
        <f>IFERROR(__xludf.DUMMYFUNCTION("GOOGLETRANSLATE(B2331, ""zh"", ""en"")"),"Small size does not describe so big, too small, the quality is actually pretty good, fabric is also lightweight textured.")</f>
        <v>Small size does not describe so big, too small, the quality is actually pretty good, fabric is also lightweight textured.</v>
      </c>
    </row>
    <row r="2332">
      <c r="A2332" s="1">
        <v>3.0</v>
      </c>
      <c r="B2332" s="1" t="s">
        <v>2328</v>
      </c>
      <c r="C2332" t="str">
        <f>IFERROR(__xludf.DUMMYFUNCTION("GOOGLETRANSLATE(B2332, ""zh"", ""en"")"),"Paint water ripples, not perfect. Jianlou packaging, paint pens have a close look at the water ripples. Control online and false identification, they are in line. Just assume that it is a quality control problem. EF tip for writing Chinese characters, bet"&amp;"ter control the amount of water. Good-looking black pen.")</f>
        <v>Paint water ripples, not perfect. Jianlou packaging, paint pens have a close look at the water ripples. Control online and false identification, they are in line. Just assume that it is a quality control problem. EF tip for writing Chinese characters, better control the amount of water. Good-looking black pen.</v>
      </c>
    </row>
    <row r="2333">
      <c r="A2333" s="1">
        <v>1.0</v>
      </c>
      <c r="B2333" s="1" t="s">
        <v>2329</v>
      </c>
      <c r="C2333" t="str">
        <f>IFERROR(__xludf.DUMMYFUNCTION("GOOGLETRANSLATE(B2333, ""zh"", ""en"")"),"In less than six months on the bad, customer service say no warranty, also particularly poor attitude, she was looking for him to ignore the charging case charging problem, always charge for a stop, one week before the charge did not actually full. In les"&amp;"s than six months on the bad. Customer service said no warranty, particularly poor attitude also, to find her he would ignore, and Amazon has no complaints function really is terms of the King, nauseous and a half stars do not want to")</f>
        <v>In less than six months on the bad, customer service say no warranty, also particularly poor attitude, she was looking for him to ignore the charging case charging problem, always charge for a stop, one week before the charge did not actually full. In less than six months on the bad. Customer service said no warranty, particularly poor attitude also, to find her he would ignore, and Amazon has no complaints function really is terms of the King, nauseous and a half stars do not want to</v>
      </c>
    </row>
    <row r="2334">
      <c r="A2334" s="1">
        <v>1.0</v>
      </c>
      <c r="B2334" s="1" t="s">
        <v>2330</v>
      </c>
      <c r="C2334" t="str">
        <f>IFERROR(__xludf.DUMMYFUNCTION("GOOGLETRANSLATE(B2334, ""zh"", ""en"")"),"Amazon disappointing overseas purchase this self-port design SHOES serious crimes against humanity, according to the size usually wear 41 yards to buy, after the arrival try, shoe size is too small mouth fast feet did not put on a bend, taking into accoun"&amp;"t barely then either broken shoes, or feet broken, customer service calls return. The results of customer service told me that the United States return overseas to buy their own. . . After a few last communication I return to refund more than 200 pieces! "&amp;"Original shoes also more than 400, a total of 600 things, to explain how Amazon")</f>
        <v>Amazon disappointing overseas purchase this self-port design SHOES serious crimes against humanity, according to the size usually wear 41 yards to buy, after the arrival try, shoe size is too small mouth fast feet did not put on a bend, taking into account barely then either broken shoes, or feet broken, customer service calls return. The results of customer service told me that the United States return overseas to buy their own. . . After a few last communication I return to refund more than 200 pieces! Original shoes also more than 400, a total of 600 things, to explain how Amazon</v>
      </c>
    </row>
    <row r="2335">
      <c r="A2335" s="1">
        <v>1.0</v>
      </c>
      <c r="B2335" s="1" t="s">
        <v>2331</v>
      </c>
      <c r="C2335" t="str">
        <f>IFERROR(__xludf.DUMMYFUNCTION("GOOGLETRANSLATE(B2335, ""zh"", ""en"")"),"Insulation is not broken? ? ? Buy bad? ? ? No insulation! ! ! ! !")</f>
        <v>Insulation is not broken? ? ? Buy bad? ? ? No insulation! ! ! ! !</v>
      </c>
    </row>
    <row r="2336">
      <c r="A2336" s="1">
        <v>4.0</v>
      </c>
      <c r="B2336" s="1" t="s">
        <v>2332</v>
      </c>
      <c r="C2336" t="str">
        <f>IFERROR(__xludf.DUMMYFUNCTION("GOOGLETRANSLATE(B2336, ""zh"", ""en"")"),"Insulation effect is not very good insulation effect is not very good, very fond of the little guy")</f>
        <v>Insulation effect is not very good insulation effect is not very good, very fond of the little guy</v>
      </c>
    </row>
    <row r="2337">
      <c r="A2337" s="1">
        <v>4.0</v>
      </c>
      <c r="B2337" s="1" t="s">
        <v>2333</v>
      </c>
      <c r="C2337" t="str">
        <f>IFERROR(__xludf.DUMMYFUNCTION("GOOGLETRANSLATE(B2337, ""zh"", ""en"")"),"There is also good type")</f>
        <v>There is also good type</v>
      </c>
    </row>
    <row r="2338">
      <c r="A2338" s="1">
        <v>4.0</v>
      </c>
      <c r="B2338" s="1" t="s">
        <v>2334</v>
      </c>
      <c r="C2338" t="str">
        <f>IFERROR(__xludf.DUMMYFUNCTION("GOOGLETRANSLATE(B2338, ""zh"", ""en"")"),"Overall feeling good overall feel good, bought more than 34 of imagined wide, do not know what leather, printed leather belt on words, but a little hard, double-sided use of very high-end.")</f>
        <v>Overall feeling good overall feel good, bought more than 34 of imagined wide, do not know what leather, printed leather belt on words, but a little hard, double-sided use of very high-end.</v>
      </c>
    </row>
    <row r="2339">
      <c r="A2339" s="1">
        <v>4.0</v>
      </c>
      <c r="B2339" s="1" t="s">
        <v>2335</v>
      </c>
      <c r="C2339" t="str">
        <f>IFERROR(__xludf.DUMMYFUNCTION("GOOGLETRANSLATE(B2339, ""zh"", ""en"")"),"Comfortable to wear Mom said very comfortable to wear, it is a bit small.")</f>
        <v>Comfortable to wear Mom said very comfortable to wear, it is a bit small.</v>
      </c>
    </row>
    <row r="2340">
      <c r="A2340" s="1">
        <v>4.0</v>
      </c>
      <c r="B2340" s="1" t="s">
        <v>2336</v>
      </c>
      <c r="C2340" t="str">
        <f>IFERROR(__xludf.DUMMYFUNCTION("GOOGLETRANSLATE(B2340, ""zh"", ""en"")"),"Weekender very good, it is to go up sound big, handsome styling")</f>
        <v>Weekender very good, it is to go up sound big, handsome styling</v>
      </c>
    </row>
    <row r="2341">
      <c r="A2341" s="1">
        <v>5.0</v>
      </c>
      <c r="B2341" s="1" t="s">
        <v>2337</v>
      </c>
      <c r="C2341" t="str">
        <f>IFERROR(__xludf.DUMMYFUNCTION("GOOGLETRANSLATE(B2341, ""zh"", ""en"")"),"That is, trousers pants, basic models, $ 100 worth it.")</f>
        <v>That is, trousers pants, basic models, $ 100 worth it.</v>
      </c>
    </row>
    <row r="2342">
      <c r="A2342" s="1">
        <v>5.0</v>
      </c>
      <c r="B2342" s="1" t="s">
        <v>2338</v>
      </c>
      <c r="C2342" t="str">
        <f>IFERROR(__xludf.DUMMYFUNCTION("GOOGLETRANSLATE(B2342, ""zh"", ""en"")"),"its not bad, right! Quality is no problem, very good, packaging is relatively simple! !")</f>
        <v>its not bad, right! Quality is no problem, very good, packaging is relatively simple! !</v>
      </c>
    </row>
    <row r="2343">
      <c r="A2343" s="1">
        <v>5.0</v>
      </c>
      <c r="B2343" s="1" t="s">
        <v>2339</v>
      </c>
      <c r="C2343" t="str">
        <f>IFERROR(__xludf.DUMMYFUNCTION("GOOGLETRANSLATE(B2343, ""zh"", ""en"")"),"Good very practical sucker bowl, often with")</f>
        <v>Good very practical sucker bowl, often with</v>
      </c>
    </row>
    <row r="2344">
      <c r="A2344" s="1">
        <v>5.0</v>
      </c>
      <c r="B2344" s="1" t="s">
        <v>2340</v>
      </c>
      <c r="C2344" t="str">
        <f>IFERROR(__xludf.DUMMYFUNCTION("GOOGLETRANSLATE(B2344, ""zh"", ""en"")"),"A nice baby baby good use, is the need for a converter to use with super-easy baby, there is no juice tool, coupled with hopes for even more perfect")</f>
        <v>A nice baby baby good use, is the need for a converter to use with super-easy baby, there is no juice tool, coupled with hopes for even more perfect</v>
      </c>
    </row>
    <row r="2345">
      <c r="A2345" s="1">
        <v>5.0</v>
      </c>
      <c r="B2345" s="1" t="s">
        <v>2341</v>
      </c>
      <c r="C2345" t="str">
        <f>IFERROR(__xludf.DUMMYFUNCTION("GOOGLETRANSLATE(B2345, ""zh"", ""en"")"),"Affordable work well")</f>
        <v>Affordable work well</v>
      </c>
    </row>
    <row r="2346">
      <c r="A2346" s="1">
        <v>5.0</v>
      </c>
      <c r="B2346" s="1" t="s">
        <v>2342</v>
      </c>
      <c r="C2346" t="str">
        <f>IFERROR(__xludf.DUMMYFUNCTION("GOOGLETRANSLATE(B2346, ""zh"", ""en"")"),"Very good, cost-effective cost-effective, very fond of")</f>
        <v>Very good, cost-effective cost-effective, very fond of</v>
      </c>
    </row>
    <row r="2347">
      <c r="A2347" s="1">
        <v>5.0</v>
      </c>
      <c r="B2347" s="1" t="s">
        <v>2343</v>
      </c>
      <c r="C2347" t="str">
        <f>IFERROR(__xludf.DUMMYFUNCTION("GOOGLETRANSLATE(B2347, ""zh"", ""en"")"),"Slim should be said that good quality shoes! Shoe size just too small, slim.")</f>
        <v>Slim should be said that good quality shoes! Shoe size just too small, slim.</v>
      </c>
    </row>
    <row r="2348">
      <c r="A2348" s="1">
        <v>5.0</v>
      </c>
      <c r="B2348" s="1" t="s">
        <v>2344</v>
      </c>
      <c r="C2348" t="str">
        <f>IFERROR(__xludf.DUMMYFUNCTION("GOOGLETRANSLATE(B2348, ""zh"", ""en"")"),"It burly shoulders before in the United States Aviation Museum saw, not numbers, and come home and find Amazon has bought, this dress is too large, very burly shoulders")</f>
        <v>It burly shoulders before in the United States Aviation Museum saw, not numbers, and come home and find Amazon has bought, this dress is too large, very burly shoulders</v>
      </c>
    </row>
    <row r="2349">
      <c r="A2349" s="1">
        <v>5.0</v>
      </c>
      <c r="B2349" s="1" t="s">
        <v>2345</v>
      </c>
      <c r="C2349" t="str">
        <f>IFERROR(__xludf.DUMMYFUNCTION("GOOGLETRANSLATE(B2349, ""zh"", ""en"")"),"Too fat fit, but a little bit short too fat, fit, but a little bit short")</f>
        <v>Too fat fit, but a little bit short too fat, fit, but a little bit short</v>
      </c>
    </row>
    <row r="2350">
      <c r="A2350" s="1">
        <v>5.0</v>
      </c>
      <c r="B2350" s="1" t="s">
        <v>2346</v>
      </c>
      <c r="C2350" t="str">
        <f>IFERROR(__xludf.DUMMYFUNCTION("GOOGLETRANSLATE(B2350, ""zh"", ""en"")"),"Very nice large 爱汉斯格雅 rainfall shower, good workmanship exquisite quality. Amazon's price is very affordable, logistics speed quickly, with the Stiebel Eltron water heater is appropriate. But decorating the house put something yourself.")</f>
        <v>Very nice large 爱汉斯格雅 rainfall shower, good workmanship exquisite quality. Amazon's price is very affordable, logistics speed quickly, with the Stiebel Eltron water heater is appropriate. But decorating the house put something yourself.</v>
      </c>
    </row>
    <row r="2351">
      <c r="A2351" s="1">
        <v>5.0</v>
      </c>
      <c r="B2351" s="1" t="s">
        <v>2347</v>
      </c>
      <c r="C2351" t="str">
        <f>IFERROR(__xludf.DUMMYFUNCTION("GOOGLETRANSLATE(B2351, ""zh"", ""en"")"),"Good sleeping bag! Good sleeping bag! Breathable good use! Cottage than domestic soft!")</f>
        <v>Good sleeping bag! Good sleeping bag! Breathable good use! Cottage than domestic soft!</v>
      </c>
    </row>
    <row r="2352">
      <c r="A2352" s="1">
        <v>5.0</v>
      </c>
      <c r="B2352" s="1" t="s">
        <v>2348</v>
      </c>
      <c r="C2352" t="str">
        <f>IFERROR(__xludf.DUMMYFUNCTION("GOOGLETRANSLATE(B2352, ""zh"", ""en"")"),"Full of good headphones 🎧 open sound field, deep bass dive, IF vigorous. Velvet comfortable to wear, the fit is good. Cost-effective. recommend!")</f>
        <v>Full of good headphones 🎧 open sound field, deep bass dive, IF vigorous. Velvet comfortable to wear, the fit is good. Cost-effective. recommend!</v>
      </c>
    </row>
    <row r="2353">
      <c r="A2353" s="1">
        <v>5.0</v>
      </c>
      <c r="B2353" s="1" t="s">
        <v>2349</v>
      </c>
      <c r="C2353" t="str">
        <f>IFERROR(__xludf.DUMMYFUNCTION("GOOGLETRANSLATE(B2353, ""zh"", ""en"")"),"Quality is very good quality is very good, like the atmosphere, very good time shopping experience")</f>
        <v>Quality is very good quality is very good, like the atmosphere, very good time shopping experience</v>
      </c>
    </row>
    <row r="2354">
      <c r="A2354" s="1">
        <v>5.0</v>
      </c>
      <c r="B2354" s="1" t="s">
        <v>2350</v>
      </c>
      <c r="C2354" t="str">
        <f>IFERROR(__xludf.DUMMYFUNCTION("GOOGLETRANSLATE(B2354, ""zh"", ""en"")"),"Good value for the impedance of the mobile terminal, a balanced three frequencies, the substantial materials.")</f>
        <v>Good value for the impedance of the mobile terminal, a balanced three frequencies, the substantial materials.</v>
      </c>
    </row>
    <row r="2355">
      <c r="A2355" s="1">
        <v>5.0</v>
      </c>
      <c r="B2355" s="1" t="s">
        <v>2351</v>
      </c>
      <c r="C2355" t="str">
        <f>IFERROR(__xludf.DUMMYFUNCTION("GOOGLETRANSLATE(B2355, ""zh"", ""en"")"),"Big K something very sophisticated, cost-effective, although more than a pot and there is no comparison program guide, but it does not affect use. The first day, it is very familiar with. In addition and face very commendable, very satisfied")</f>
        <v>Big K something very sophisticated, cost-effective, although more than a pot and there is no comparison program guide, but it does not affect use. The first day, it is very familiar with. In addition and face very commendable, very satisfied</v>
      </c>
    </row>
    <row r="2356">
      <c r="A2356" s="1">
        <v>5.0</v>
      </c>
      <c r="B2356" s="1" t="s">
        <v>2352</v>
      </c>
      <c r="C2356" t="str">
        <f>IFERROR(__xludf.DUMMYFUNCTION("GOOGLETRANSLATE(B2356, ""zh"", ""en"")"),"Cup cup insulation effect good insulation effect, and black paint easy grin after the bump, slightly larger.")</f>
        <v>Cup cup insulation effect good insulation effect, and black paint easy grin after the bump, slightly larger.</v>
      </c>
    </row>
    <row r="2357">
      <c r="A2357" s="1">
        <v>5.0</v>
      </c>
      <c r="B2357" s="1" t="s">
        <v>2353</v>
      </c>
      <c r="C2357" t="str">
        <f>IFERROR(__xludf.DUMMYFUNCTION("GOOGLETRANSLATE(B2357, ""zh"", ""en"")"),"Recommend purchase! Appropriate, good quality, affordable!")</f>
        <v>Recommend purchase! Appropriate, good quality, affordable!</v>
      </c>
    </row>
    <row r="2358">
      <c r="A2358" s="1">
        <v>5.0</v>
      </c>
      <c r="B2358" s="1" t="s">
        <v>2354</v>
      </c>
      <c r="C2358" t="str">
        <f>IFERROR(__xludf.DUMMYFUNCTION("GOOGLETRANSLATE(B2358, ""zh"", ""en"")"),"Transmission speed very quickly! The product is good, the appearance is not so good")</f>
        <v>Transmission speed very quickly! The product is good, the appearance is not so good</v>
      </c>
    </row>
    <row r="2359">
      <c r="A2359" s="1">
        <v>5.0</v>
      </c>
      <c r="B2359" s="1" t="s">
        <v>2355</v>
      </c>
      <c r="C2359" t="str">
        <f>IFERROR(__xludf.DUMMYFUNCTION("GOOGLETRANSLATE(B2359, ""zh"", ""en"")"),"Underwear This underwear is very comfortable size is also just the right. Color is also beautiful, is authentic. Express also to the force. . . . .")</f>
        <v>Underwear This underwear is very comfortable size is also just the right. Color is also beautiful, is authentic. Express also to the force. . . . .</v>
      </c>
    </row>
    <row r="2360">
      <c r="A2360" s="1">
        <v>5.0</v>
      </c>
      <c r="B2360" s="1" t="s">
        <v>2356</v>
      </c>
      <c r="C2360" t="str">
        <f>IFERROR(__xludf.DUMMYFUNCTION("GOOGLETRANSLATE(B2360, ""zh"", ""en"")"),"Very good logistics soon about a week can go to, and packaging intact. And the store selling the same on foot very comfortable. Perfect time shopping.")</f>
        <v>Very good logistics soon about a week can go to, and packaging intact. And the store selling the same on foot very comfortable. Perfect time shopping.</v>
      </c>
    </row>
    <row r="2361">
      <c r="A2361" s="1">
        <v>5.0</v>
      </c>
      <c r="B2361" s="1" t="s">
        <v>2357</v>
      </c>
      <c r="C2361" t="str">
        <f>IFERROR(__xludf.DUMMYFUNCTION("GOOGLETRANSLATE(B2361, ""zh"", ""en"")"),"Pretty authentic, appropriate and comfortable.")</f>
        <v>Pretty authentic, appropriate and comfortable.</v>
      </c>
    </row>
    <row r="2362">
      <c r="A2362" s="1">
        <v>2.0</v>
      </c>
      <c r="B2362" s="1" t="s">
        <v>2358</v>
      </c>
      <c r="C2362" t="str">
        <f>IFERROR(__xludf.DUMMYFUNCTION("GOOGLETRANSLATE(B2362, ""zh"", ""en"")"),"Pants good shape. Wearing a little a little bit big. Pants good shape.")</f>
        <v>Pants good shape. Wearing a little a little bit big. Pants good shape.</v>
      </c>
    </row>
    <row r="2363">
      <c r="A2363" s="1">
        <v>3.0</v>
      </c>
      <c r="B2363" s="1" t="s">
        <v>2359</v>
      </c>
      <c r="C2363" t="str">
        <f>IFERROR(__xludf.DUMMYFUNCTION("GOOGLETRANSLATE(B2363, ""zh"", ""en"")"),"This is not a sweater instead of sweaters, long-sleeved compassionate.")</f>
        <v>This is not a sweater instead of sweaters, long-sleeved compassionate.</v>
      </c>
    </row>
    <row r="2364">
      <c r="A2364" s="1">
        <v>3.0</v>
      </c>
      <c r="B2364" s="1" t="s">
        <v>2360</v>
      </c>
      <c r="C2364" t="str">
        <f>IFERROR(__xludf.DUMMYFUNCTION("GOOGLETRANSLATE(B2364, ""zh"", ""en"")"),"Do not recommend buying the first time to wear pants so hard, it Chuosi people, especially poor comfort! We do not recommend buying")</f>
        <v>Do not recommend buying the first time to wear pants so hard, it Chuosi people, especially poor comfort! We do not recommend buying</v>
      </c>
    </row>
    <row r="2365">
      <c r="A2365" s="1">
        <v>3.0</v>
      </c>
      <c r="B2365" s="1" t="s">
        <v>2361</v>
      </c>
      <c r="C2365" t="str">
        <f>IFERROR(__xludf.DUMMYFUNCTION("GOOGLETRANSLATE(B2365, ""zh"", ""en"")"),"Shoes material generally to the price of a star a star a star to the comfort of the speed of trial membership Neither shoe leather material is not the same as a relatively normal only sent when there is another wrinkle to wear shoes two days have wrinkled"&amp;" unlike the way I can only say that this price must be a reason the price of thin legs do not like to buy the right size too large one yard")</f>
        <v>Shoes material generally to the price of a star a star a star to the comfort of the speed of trial membership Neither shoe leather material is not the same as a relatively normal only sent when there is another wrinkle to wear shoes two days have wrinkled unlike the way I can only say that this price must be a reason the price of thin legs do not like to buy the right size too large one yard</v>
      </c>
    </row>
    <row r="2366">
      <c r="A2366" s="1">
        <v>1.0</v>
      </c>
      <c r="B2366" s="1" t="s">
        <v>2362</v>
      </c>
      <c r="C2366" t="str">
        <f>IFERROR(__xludf.DUMMYFUNCTION("GOOGLETRANSLATE(B2366, ""zh"", ""en"")"),"Worst of the worst in the history of experiencing the worst service shop service, refunds heard from more than a month, when the display is always in line sale, scrap when new hair, get the goods can not be used, then plug in the computer alarm, suffering"&amp;" the first overseas purchase this gas ah, who bought who knows, who bought who regret it, easy to play money, hard road to rights, to continue to report complaints to report complaints ...... ......")</f>
        <v>Worst of the worst in the history of experiencing the worst service shop service, refunds heard from more than a month, when the display is always in line sale, scrap when new hair, get the goods can not be used, then plug in the computer alarm, suffering the first overseas purchase this gas ah, who bought who knows, who bought who regret it, easy to play money, hard road to rights, to continue to report complaints to report complaints ...... ......</v>
      </c>
    </row>
    <row r="2367">
      <c r="A2367" s="1">
        <v>1.0</v>
      </c>
      <c r="B2367" s="1" t="s">
        <v>2363</v>
      </c>
      <c r="C2367" t="str">
        <f>IFERROR(__xludf.DUMMYFUNCTION("GOOGLETRANSLATE(B2367, ""zh"", ""en"")"),"Poor quality workmanship pants quality workmanship and problems, trouser materials and sewing poor, naked on the broken several times. Too disappointed 😞, worth the price")</f>
        <v>Poor quality workmanship pants quality workmanship and problems, trouser materials and sewing poor, naked on the broken several times. Too disappointed 😞, worth the price</v>
      </c>
    </row>
    <row r="2368">
      <c r="A2368" s="1">
        <v>1.0</v>
      </c>
      <c r="B2368" s="1" t="s">
        <v>2364</v>
      </c>
      <c r="C2368" t="str">
        <f>IFERROR(__xludf.DUMMYFUNCTION("GOOGLETRANSLATE(B2368, ""zh"", ""en"")"),"Do not buy suede shoes are not recommended to buy Amoy sea, after the shoes worn open at least three, and in the most obvious location, mulberry heart")</f>
        <v>Do not buy suede shoes are not recommended to buy Amoy sea, after the shoes worn open at least three, and in the most obvious location, mulberry heart</v>
      </c>
    </row>
    <row r="2369">
      <c r="A2369" s="1">
        <v>4.0</v>
      </c>
      <c r="B2369" s="1" t="s">
        <v>2365</v>
      </c>
      <c r="C2369" t="str">
        <f>IFERROR(__xludf.DUMMYFUNCTION("GOOGLETRANSLATE(B2369, ""zh"", ""en"")"),"Yes! It is quite satisfactory! Good value for money. Now wear every morning. The color is like!")</f>
        <v>Yes! It is quite satisfactory! Good value for money. Now wear every morning. The color is like!</v>
      </c>
    </row>
    <row r="2370">
      <c r="A2370" s="1">
        <v>4.0</v>
      </c>
      <c r="B2370" s="1" t="s">
        <v>2366</v>
      </c>
      <c r="C2370" t="str">
        <f>IFERROR(__xludf.DUMMYFUNCTION("GOOGLETRANSLATE(B2370, ""zh"", ""en"")"),"Champion 160,55kg, wear very appropriate. Inside the velvet is also added. Overall good.")</f>
        <v>Champion 160,55kg, wear very appropriate. Inside the velvet is also added. Overall good.</v>
      </c>
    </row>
    <row r="2371">
      <c r="A2371" s="1">
        <v>4.0</v>
      </c>
      <c r="B2371" s="1" t="s">
        <v>2367</v>
      </c>
      <c r="C2371" t="str">
        <f>IFERROR(__xludf.DUMMYFUNCTION("GOOGLETRANSLATE(B2371, ""zh"", ""en"")"),"A little too large pants a little too large, to not a lot of big, just think fit, then you lack so little meaning. 178cm / 75kg")</f>
        <v>A little too large pants a little too large, to not a lot of big, just think fit, then you lack so little meaning. 178cm / 75kg</v>
      </c>
    </row>
    <row r="2372">
      <c r="A2372" s="1">
        <v>4.0</v>
      </c>
      <c r="B2372" s="1" t="s">
        <v>2368</v>
      </c>
      <c r="C2372" t="str">
        <f>IFERROR(__xludf.DUMMYFUNCTION("GOOGLETRANSLATE(B2372, ""zh"", ""en"")"),"Genuine fast delivery from Japan")</f>
        <v>Genuine fast delivery from Japan</v>
      </c>
    </row>
    <row r="2373">
      <c r="A2373" s="1">
        <v>5.0</v>
      </c>
      <c r="B2373" s="1" t="s">
        <v>2369</v>
      </c>
      <c r="C2373" t="str">
        <f>IFERROR(__xludf.DUMMYFUNCTION("GOOGLETRANSLATE(B2373, ""zh"", ""en"")"),"Good functional design, the Amazon services is constant over the people, and can be changed. Amazon is trustworthy good business")</f>
        <v>Good functional design, the Amazon services is constant over the people, and can be changed. Amazon is trustworthy good business</v>
      </c>
    </row>
    <row r="2374">
      <c r="A2374" s="1">
        <v>5.0</v>
      </c>
      <c r="B2374" s="1" t="s">
        <v>2370</v>
      </c>
      <c r="C2374" t="str">
        <f>IFERROR(__xludf.DUMMYFUNCTION("GOOGLETRANSLATE(B2374, ""zh"", ""en"")"),"The proposed increase in customer service belt should be really good quality. Last bought a 36, ​​too short, this time to buy 42, but also too long. Hit four eyes. Amazon can recommend to increase customer service, one-time customers to give good advice a"&amp;"t customers, it's better.")</f>
        <v>The proposed increase in customer service belt should be really good quality. Last bought a 36, ​​too short, this time to buy 42, but also too long. Hit four eyes. Amazon can recommend to increase customer service, one-time customers to give good advice at customers, it's better.</v>
      </c>
    </row>
    <row r="2375">
      <c r="A2375" s="1">
        <v>5.0</v>
      </c>
      <c r="B2375" s="1" t="s">
        <v>2371</v>
      </c>
      <c r="C2375" t="str">
        <f>IFERROR(__xludf.DUMMYFUNCTION("GOOGLETRANSLATE(B2375, ""zh"", ""en"")"),"Well worth buying 167/58 this code appropriate, give you a reference. The price is the quality of it")</f>
        <v>Well worth buying 167/58 this code appropriate, give you a reference. The price is the quality of it</v>
      </c>
    </row>
    <row r="2376">
      <c r="A2376" s="1">
        <v>5.0</v>
      </c>
      <c r="B2376" s="1" t="s">
        <v>2372</v>
      </c>
      <c r="C2376" t="str">
        <f>IFERROR(__xludf.DUMMYFUNCTION("GOOGLETRANSLATE(B2376, ""zh"", ""en"")"),"Good quality comfortable, flexible, and durable!")</f>
        <v>Good quality comfortable, flexible, and durable!</v>
      </c>
    </row>
    <row r="2377">
      <c r="A2377" s="1">
        <v>5.0</v>
      </c>
      <c r="B2377" s="1" t="s">
        <v>2373</v>
      </c>
      <c r="C2377" t="str">
        <f>IFERROR(__xludf.DUMMYFUNCTION("GOOGLETRANSLATE(B2377, ""zh"", ""en"")"),"Very attractive way of squeezing toothpaste child toothpaste packaging design of this very interesting, caused a great interest in children. Brush your teeth can be a lot of fun.")</f>
        <v>Very attractive way of squeezing toothpaste child toothpaste packaging design of this very interesting, caused a great interest in children. Brush your teeth can be a lot of fun.</v>
      </c>
    </row>
    <row r="2378">
      <c r="A2378" s="1">
        <v>5.0</v>
      </c>
      <c r="B2378" s="1" t="s">
        <v>2374</v>
      </c>
      <c r="C2378" t="str">
        <f>IFERROR(__xludf.DUMMYFUNCTION("GOOGLETRANSLATE(B2378, ""zh"", ""en"")"),"Pretty pen pen color is very beautiful, but there is no blotter, only disposable refills, did not see a little disappointed")</f>
        <v>Pretty pen pen color is very beautiful, but there is no blotter, only disposable refills, did not see a little disappointed</v>
      </c>
    </row>
    <row r="2379">
      <c r="A2379" s="1">
        <v>5.0</v>
      </c>
      <c r="B2379" s="1" t="s">
        <v>2375</v>
      </c>
      <c r="C2379" t="str">
        <f>IFERROR(__xludf.DUMMYFUNCTION("GOOGLETRANSLATE(B2379, ""zh"", ""en"")"),"Suitable size, quality also, the right size is a little high, the quality can be, little expensive")</f>
        <v>Suitable size, quality also, the right size is a little high, the quality can be, little expensive</v>
      </c>
    </row>
    <row r="2380">
      <c r="A2380" s="1">
        <v>5.0</v>
      </c>
      <c r="B2380" s="1" t="s">
        <v>2376</v>
      </c>
      <c r="C2380" t="str">
        <f>IFERROR(__xludf.DUMMYFUNCTION("GOOGLETRANSLATE(B2380, ""zh"", ""en"")"),"Quality and first-rate quality and first-rate, is not supporting my body with")</f>
        <v>Quality and first-rate quality and first-rate, is not supporting my body with</v>
      </c>
    </row>
    <row r="2381">
      <c r="A2381" s="1">
        <v>5.0</v>
      </c>
      <c r="B2381" s="1" t="s">
        <v>2377</v>
      </c>
      <c r="C2381" t="str">
        <f>IFERROR(__xludf.DUMMYFUNCTION("GOOGLETRANSLATE(B2381, ""zh"", ""en"")"),"99 yuan cheaper to buy, the size of the layout is good. But after a month trousers exposed holes.")</f>
        <v>99 yuan cheaper to buy, the size of the layout is good. But after a month trousers exposed holes.</v>
      </c>
    </row>
    <row r="2382">
      <c r="A2382" s="1">
        <v>5.0</v>
      </c>
      <c r="B2382" s="1" t="s">
        <v>2378</v>
      </c>
      <c r="C2382" t="str">
        <f>IFERROR(__xludf.DUMMYFUNCTION("GOOGLETRANSLATE(B2382, ""zh"", ""en"")"),"Look beautiful, clean and simple imported rice cookers, self-made transformer. At present three ways to cook. Power, cooking delicious. Feel less cooked than before domestic rice cooker.")</f>
        <v>Look beautiful, clean and simple imported rice cookers, self-made transformer. At present three ways to cook. Power, cooking delicious. Feel less cooked than before domestic rice cooker.</v>
      </c>
    </row>
    <row r="2383">
      <c r="A2383" s="1">
        <v>5.0</v>
      </c>
      <c r="B2383" s="1" t="s">
        <v>2379</v>
      </c>
      <c r="C2383" t="str">
        <f>IFERROR(__xludf.DUMMYFUNCTION("GOOGLETRANSLATE(B2383, ""zh"", ""en"")"),"Very good very like, work well.")</f>
        <v>Very good very like, work well.</v>
      </c>
    </row>
    <row r="2384">
      <c r="A2384" s="1">
        <v>5.0</v>
      </c>
      <c r="B2384" s="1" t="s">
        <v>2380</v>
      </c>
      <c r="C2384" t="str">
        <f>IFERROR(__xludf.DUMMYFUNCTION("GOOGLETRANSLATE(B2384, ""zh"", ""en"")"),"Satisfied with a grade fabrics, fine workmanship, size standard.")</f>
        <v>Satisfied with a grade fabrics, fine workmanship, size standard.</v>
      </c>
    </row>
    <row r="2385">
      <c r="A2385" s="1">
        <v>5.0</v>
      </c>
      <c r="B2385" s="1" t="s">
        <v>2381</v>
      </c>
      <c r="C2385" t="str">
        <f>IFERROR(__xludf.DUMMYFUNCTION("GOOGLETRANSLATE(B2385, ""zh"", ""en"")"),"Cost-effective low voice barely noticeable. Order from Wisconsin delivery time to about a week. usb2.0 interfaces the read and write speed of more than 20 MB / s")</f>
        <v>Cost-effective low voice barely noticeable. Order from Wisconsin delivery time to about a week. usb2.0 interfaces the read and write speed of more than 20 MB / s</v>
      </c>
    </row>
    <row r="2386">
      <c r="A2386" s="1">
        <v>5.0</v>
      </c>
      <c r="B2386" s="1" t="s">
        <v>2382</v>
      </c>
      <c r="C2386" t="str">
        <f>IFERROR(__xludf.DUMMYFUNCTION("GOOGLETRANSLATE(B2386, ""zh"", ""en"")"),"Inexpensive shoes very good, very comfortable, Amazon service is worth the other domestic electricity providers to learn a lot cheaper than the store,, I bought several pairs of Ecco shoes, well, except for the high price, nothing shortcomings, I Asics , "&amp;"nike ad wear shoes 8D (us), you can refer to size")</f>
        <v>Inexpensive shoes very good, very comfortable, Amazon service is worth the other domestic electricity providers to learn a lot cheaper than the store,, I bought several pairs of Ecco shoes, well, except for the high price, nothing shortcomings, I Asics , nike ad wear shoes 8D (us), you can refer to size</v>
      </c>
    </row>
    <row r="2387">
      <c r="A2387" s="1">
        <v>5.0</v>
      </c>
      <c r="B2387" s="1" t="s">
        <v>2383</v>
      </c>
      <c r="C2387" t="str">
        <f>IFERROR(__xludf.DUMMYFUNCTION("GOOGLETRANSLATE(B2387, ""zh"", ""en"")"),"Citizen 26E is very good, and I imagine, like children, direct mail and soon five days arrived, rapidly ah")</f>
        <v>Citizen 26E is very good, and I imagine, like children, direct mail and soon five days arrived, rapidly ah</v>
      </c>
    </row>
    <row r="2388">
      <c r="A2388" s="1">
        <v>5.0</v>
      </c>
      <c r="B2388" s="1" t="s">
        <v>2384</v>
      </c>
      <c r="C2388" t="str">
        <f>IFERROR(__xludf.DUMMYFUNCTION("GOOGLETRANSLATE(B2388, ""zh"", ""en"")"),"Jeans pants are very good, model appropriate!")</f>
        <v>Jeans pants are very good, model appropriate!</v>
      </c>
    </row>
    <row r="2389">
      <c r="A2389" s="1">
        <v>5.0</v>
      </c>
      <c r="B2389" s="1" t="s">
        <v>2385</v>
      </c>
      <c r="C2389" t="str">
        <f>IFERROR(__xludf.DUMMYFUNCTION("GOOGLETRANSLATE(B2389, ""zh"", ""en"")"),"And finally to the subway station 290 feet long, usually wear nike45 yards, this time bought 12 yards, just good, do not squeeze the foot, for reference only")</f>
        <v>And finally to the subway station 290 feet long, usually wear nike45 yards, this time bought 12 yards, just good, do not squeeze the foot, for reference only</v>
      </c>
    </row>
    <row r="2390">
      <c r="A2390" s="1">
        <v>5.0</v>
      </c>
      <c r="B2390" s="1" t="s">
        <v>2386</v>
      </c>
      <c r="C2390" t="str">
        <f>IFERROR(__xludf.DUMMYFUNCTION("GOOGLETRANSLATE(B2390, ""zh"", ""en"")"),"ECCO comfort, no one ECCO shoes to wear more comfortable, this is not often in the Amazon stock, to buy this pair Ma Ma, very comfortable to wear, the price is more cost-effective than the domestic counter.")</f>
        <v>ECCO comfort, no one ECCO shoes to wear more comfortable, this is not often in the Amazon stock, to buy this pair Ma Ma, very comfortable to wear, the price is more cost-effective than the domestic counter.</v>
      </c>
    </row>
    <row r="2391">
      <c r="A2391" s="1">
        <v>5.0</v>
      </c>
      <c r="B2391" s="1" t="s">
        <v>2387</v>
      </c>
      <c r="C2391" t="str">
        <f>IFERROR(__xludf.DUMMYFUNCTION("GOOGLETRANSLATE(B2391, ""zh"", ""en"")"),"Something good is very light, the price is right")</f>
        <v>Something good is very light, the price is right</v>
      </c>
    </row>
    <row r="2392">
      <c r="A2392" s="1">
        <v>5.0</v>
      </c>
      <c r="B2392" s="1" t="s">
        <v>2388</v>
      </c>
      <c r="C2392" t="str">
        <f>IFERROR(__xludf.DUMMYFUNCTION("GOOGLETRANSLATE(B2392, ""zh"", ""en"")"),"Fast, good soon, do not know how to effect. Before eating that vioprex feeling GNC effect is not obvious, this time for this try, playing a total knee pain")</f>
        <v>Fast, good soon, do not know how to effect. Before eating that vioprex feeling GNC effect is not obvious, this time for this try, playing a total knee pain</v>
      </c>
    </row>
    <row r="2393">
      <c r="A2393" s="1">
        <v>5.0</v>
      </c>
      <c r="B2393" s="1" t="s">
        <v>2389</v>
      </c>
      <c r="C2393" t="str">
        <f>IFERROR(__xludf.DUMMYFUNCTION("GOOGLETRANSLATE(B2393, ""zh"", ""en"")"),"Very Latin style is very satisfied, very spiritual, who also appears burly, very warm to wear, okay size, low waist. Arm seems too thick, not out his photo. I am 175cm, 70kg, M number for your reference. Prior number has been between S and M, undecided, i"&amp;"t seems M number is also very appropriate, if you want a little self might consider S number.")</f>
        <v>Very Latin style is very satisfied, very spiritual, who also appears burly, very warm to wear, okay size, low waist. Arm seems too thick, not out his photo. I am 175cm, 70kg, M number for your reference. Prior number has been between S and M, undecided, it seems M number is also very appropriate, if you want a little self might consider S number.</v>
      </c>
    </row>
    <row r="2394">
      <c r="A2394" s="1">
        <v>5.0</v>
      </c>
      <c r="B2394" s="1" t="s">
        <v>2390</v>
      </c>
      <c r="C2394" t="str">
        <f>IFERROR(__xludf.DUMMYFUNCTION("GOOGLETRANSLATE(B2394, ""zh"", ""en"")"),"In addition to a long time to boil a little, the other good addition to a long time to boil a little, the other good")</f>
        <v>In addition to a long time to boil a little, the other good addition to a long time to boil a little, the other good</v>
      </c>
    </row>
    <row r="2395">
      <c r="A2395" s="1">
        <v>2.0</v>
      </c>
      <c r="B2395" s="1" t="s">
        <v>2391</v>
      </c>
      <c r="C2395" t="str">
        <f>IFERROR(__xludf.DUMMYFUNCTION("GOOGLETRANSLATE(B2395, ""zh"", ""en"")"),"Not recommended Not recommended, is the kind of oxford cloth texture, body itch after wearing, thrown aside the")</f>
        <v>Not recommended Not recommended, is the kind of oxford cloth texture, body itch after wearing, thrown aside the</v>
      </c>
    </row>
    <row r="2396">
      <c r="A2396" s="1">
        <v>3.0</v>
      </c>
      <c r="B2396" s="1" t="s">
        <v>2392</v>
      </c>
      <c r="C2396" t="str">
        <f>IFERROR(__xludf.DUMMYFUNCTION("GOOGLETRANSLATE(B2396, ""zh"", ""en"")"),". . . Express really quite fast. Is something wrong with the shoes, the shoes there are a lot of thread, just getting a little dirty box (should fade). Europe's feet narrower than we do.")</f>
        <v>. . . Express really quite fast. Is something wrong with the shoes, the shoes there are a lot of thread, just getting a little dirty box (should fade). Europe's feet narrower than we do.</v>
      </c>
    </row>
    <row r="2397">
      <c r="A2397" s="1">
        <v>3.0</v>
      </c>
      <c r="B2397" s="1" t="s">
        <v>2393</v>
      </c>
      <c r="C2397" t="str">
        <f>IFERROR(__xludf.DUMMYFUNCTION("GOOGLETRANSLATE(B2397, ""zh"", ""en"")"),"Lunch box lid cover is actually a lid is not strong is not strong, it will bounce")</f>
        <v>Lunch box lid cover is actually a lid is not strong is not strong, it will bounce</v>
      </c>
    </row>
    <row r="2398">
      <c r="A2398" s="1">
        <v>3.0</v>
      </c>
      <c r="B2398" s="1" t="s">
        <v>998</v>
      </c>
      <c r="C2398" t="str">
        <f>IFERROR(__xludf.DUMMYFUNCTION("GOOGLETRANSLATE(B2398, ""zh"", ""en"")"),"q neckline a little big, obvious fat")</f>
        <v>q neckline a little big, obvious fat</v>
      </c>
    </row>
    <row r="2399">
      <c r="A2399" s="1">
        <v>1.0</v>
      </c>
      <c r="B2399" s="1" t="s">
        <v>2394</v>
      </c>
      <c r="C2399" t="str">
        <f>IFERROR(__xludf.DUMMYFUNCTION("GOOGLETRANSLATE(B2399, ""zh"", ""en"")"),"Pen too thick too thick")</f>
        <v>Pen too thick too thick</v>
      </c>
    </row>
    <row r="2400">
      <c r="A2400" s="1">
        <v>1.0</v>
      </c>
      <c r="B2400" s="1" t="s">
        <v>2395</v>
      </c>
      <c r="C2400" t="str">
        <f>IFERROR(__xludf.DUMMYFUNCTION("GOOGLETRANSLATE(B2400, ""zh"", ""en"")"),"A star simply do not want to! too big! Simply can not wear ah! Postage costs actually more expensive than the pants themselves! What the hell ah! ! ! ! ! ! Which God can tell me how big Amazon complaints overseas purchase it?")</f>
        <v>A star simply do not want to! too big! Simply can not wear ah! Postage costs actually more expensive than the pants themselves! What the hell ah! ! ! ! ! ! Which God can tell me how big Amazon complaints overseas purchase it?</v>
      </c>
    </row>
    <row r="2401">
      <c r="A2401" s="1">
        <v>4.0</v>
      </c>
      <c r="B2401" s="1" t="s">
        <v>2396</v>
      </c>
      <c r="C2401" t="str">
        <f>IFERROR(__xludf.DUMMYFUNCTION("GOOGLETRANSLATE(B2401, ""zh"", ""en"")"),"Good color off-white, kind of not very bright. Bust 88 yards just to buy l.")</f>
        <v>Good color off-white, kind of not very bright. Bust 88 yards just to buy l.</v>
      </c>
    </row>
    <row r="2402">
      <c r="A2402" s="1">
        <v>4.0</v>
      </c>
      <c r="B2402" s="1" t="s">
        <v>2397</v>
      </c>
      <c r="C2402" t="str">
        <f>IFERROR(__xludf.DUMMYFUNCTION("GOOGLETRANSLATE(B2402, ""zh"", ""en"")"),"well! History cheap, a good deal! Which lasted two weeks Deya hand, historical low. This should be a low version of the cleaning system, the process is without a display that version. The packaging is very simple, all fall to the box when deflated, but fo"&amp;"rtunately things inside should be no problem. The machine was filled with bags, and packaging is not the same as before, open for a long time to find a machine where ...... unprotected head cover, only to send a cleaner, domestic version seems to be sendi"&amp;"ng three cleaners? Update the look, carefully check the machine at night, and discovered that there is actually a liquid crystal panel fingerprints? ? ? ? ? ? ? ? ? EXCUSE ME? ? ? ? ? ? ? Dutch manufacturing such a slag? ? ? Call customer service, returns"&amp;" too much trouble, well so be it")</f>
        <v>well! History cheap, a good deal! Which lasted two weeks Deya hand, historical low. This should be a low version of the cleaning system, the process is without a display that version. The packaging is very simple, all fall to the box when deflated, but fortunately things inside should be no problem. The machine was filled with bags, and packaging is not the same as before, open for a long time to find a machine where ...... unprotected head cover, only to send a cleaner, domestic version seems to be sending three cleaners? Update the look, carefully check the machine at night, and discovered that there is actually a liquid crystal panel fingerprints? ? ? ? ? ? ? ? ? EXCUSE ME? ? ? ? ? ? ? Dutch manufacturing such a slag? ? ? Call customer service, returns too much trouble, well so be it</v>
      </c>
    </row>
    <row r="2403">
      <c r="A2403" s="1">
        <v>4.0</v>
      </c>
      <c r="B2403" s="1" t="s">
        <v>2398</v>
      </c>
      <c r="C2403" t="str">
        <f>IFERROR(__xludf.DUMMYFUNCTION("GOOGLETRANSLATE(B2403, ""zh"", ""en"")"),"I am a little wear 42 yards, this pair of shoes to wear foot a little forced, a little uncomfortable when walking, is a bit narrow shoes, originally intended to retire, but the trouble even, it should be comfortable to wear point, so wear, the price It is"&amp;" inexpensive, but transportation costs expensive. It not expected so nice not to tip toe is not flat. Nothing special. Very satisfied with the quality of the cortical good 👍")</f>
        <v>I am a little wear 42 yards, this pair of shoes to wear foot a little forced, a little uncomfortable when walking, is a bit narrow shoes, originally intended to retire, but the trouble even, it should be comfortable to wear point, so wear, the price It is inexpensive, but transportation costs expensive. It not expected so nice not to tip toe is not flat. Nothing special. Very satisfied with the quality of the cortical good 👍</v>
      </c>
    </row>
    <row r="2404">
      <c r="A2404" s="1">
        <v>4.0</v>
      </c>
      <c r="B2404" s="1" t="s">
        <v>345</v>
      </c>
      <c r="C2404" t="str">
        <f>IFERROR(__xludf.DUMMYFUNCTION("GOOGLETRANSLATE(B2404, ""zh"", ""en"")"),"Very comfortable very comfortable")</f>
        <v>Very comfortable very comfortable</v>
      </c>
    </row>
    <row r="2405">
      <c r="A2405" s="1">
        <v>4.0</v>
      </c>
      <c r="B2405" s="1" t="s">
        <v>2399</v>
      </c>
      <c r="C2405" t="str">
        <f>IFERROR(__xludf.DUMMYFUNCTION("GOOGLETRANSLATE(B2405, ""zh"", ""en"")"),"You can also right can also taste, should be genuine. How much or little spicy tongue")</f>
        <v>You can also right can also taste, should be genuine. How much or little spicy tongue</v>
      </c>
    </row>
    <row r="2406">
      <c r="A2406" s="1">
        <v>5.0</v>
      </c>
      <c r="B2406" s="1" t="s">
        <v>2400</v>
      </c>
      <c r="C2406" t="str">
        <f>IFERROR(__xludf.DUMMYFUNCTION("GOOGLETRANSLATE(B2406, ""zh"", ""en"")"),"Worth buying worth buying! Just the right size!")</f>
        <v>Worth buying worth buying! Just the right size!</v>
      </c>
    </row>
    <row r="2407">
      <c r="A2407" s="1">
        <v>5.0</v>
      </c>
      <c r="B2407" s="1" t="s">
        <v>2401</v>
      </c>
      <c r="C2407" t="str">
        <f>IFERROR(__xludf.DUMMYFUNCTION("GOOGLETRANSLATE(B2407, ""zh"", ""en"")"),"Good quality height 175cm, weight 73kg, buy 33 * 32, the US version of the dress is rather long and fat, smaller size will fit.")</f>
        <v>Good quality height 175cm, weight 73kg, buy 33 * 32, the US version of the dress is rather long and fat, smaller size will fit.</v>
      </c>
    </row>
    <row r="2408">
      <c r="A2408" s="1">
        <v>5.0</v>
      </c>
      <c r="B2408" s="1" t="s">
        <v>2402</v>
      </c>
      <c r="C2408" t="str">
        <f>IFERROR(__xludf.DUMMYFUNCTION("GOOGLETRANSLATE(B2408, ""zh"", ""en"")"),"Brush Affordable said he was very satisfied with the benefits of very clean brush")</f>
        <v>Brush Affordable said he was very satisfied with the benefits of very clean brush</v>
      </c>
    </row>
    <row r="2409">
      <c r="A2409" s="1">
        <v>5.0</v>
      </c>
      <c r="B2409" s="1" t="s">
        <v>2403</v>
      </c>
      <c r="C2409" t="str">
        <f>IFERROR(__xludf.DUMMYFUNCTION("GOOGLETRANSLATE(B2409, ""zh"", ""en"")"),"Receive satisfaction than expected delivery time of 8 days in advance, things are still, just feeling thin packaging point. Overall very satisfied, very reliable Amazon!")</f>
        <v>Receive satisfaction than expected delivery time of 8 days in advance, things are still, just feeling thin packaging point. Overall very satisfied, very reliable Amazon!</v>
      </c>
    </row>
    <row r="2410">
      <c r="A2410" s="1">
        <v>5.0</v>
      </c>
      <c r="B2410" s="1" t="s">
        <v>2404</v>
      </c>
      <c r="C2410" t="str">
        <f>IFERROR(__xludf.DUMMYFUNCTION("GOOGLETRANSLATE(B2410, ""zh"", ""en"")"),"Very easy to open the package feel very fine, indeed better than the other brands, very comfortable with them. Large no major OB, but usually with enough.")</f>
        <v>Very easy to open the package feel very fine, indeed better than the other brands, very comfortable with them. Large no major OB, but usually with enough.</v>
      </c>
    </row>
    <row r="2411">
      <c r="A2411" s="1">
        <v>5.0</v>
      </c>
      <c r="B2411" s="1" t="s">
        <v>2405</v>
      </c>
      <c r="C2411" t="str">
        <f>IFERROR(__xludf.DUMMYFUNCTION("GOOGLETRANSLATE(B2411, ""zh"", ""en"")"),"Almost hope outsole wear just very hard on the feet for the first time in the Amazon very pleasant shopping shoes and imagine")</f>
        <v>Almost hope outsole wear just very hard on the feet for the first time in the Amazon very pleasant shopping shoes and imagine</v>
      </c>
    </row>
    <row r="2412">
      <c r="A2412" s="1">
        <v>5.0</v>
      </c>
      <c r="B2412" s="1" t="s">
        <v>2406</v>
      </c>
      <c r="C2412" t="str">
        <f>IFERROR(__xludf.DUMMYFUNCTION("GOOGLETRANSLATE(B2412, ""zh"", ""en"")"),"Dr. Martin was okay, the shoes at this price quite good")</f>
        <v>Dr. Martin was okay, the shoes at this price quite good</v>
      </c>
    </row>
    <row r="2413">
      <c r="A2413" s="1">
        <v>5.0</v>
      </c>
      <c r="B2413" s="1" t="s">
        <v>2407</v>
      </c>
      <c r="C2413" t="str">
        <f>IFERROR(__xludf.DUMMYFUNCTION("GOOGLETRANSLATE(B2413, ""zh"", ""en"")"),"Second purchase easy to use, easy to use, not spend")</f>
        <v>Second purchase easy to use, easy to use, not spend</v>
      </c>
    </row>
    <row r="2414">
      <c r="A2414" s="1">
        <v>5.0</v>
      </c>
      <c r="B2414" s="1" t="s">
        <v>2408</v>
      </c>
      <c r="C2414" t="str">
        <f>IFERROR(__xludf.DUMMYFUNCTION("GOOGLETRANSLATE(B2414, ""zh"", ""en"")"),"After listening to a lot of very good value moving iron earplugs, earplugs moving coil, first heard of the brand, to have such quality at this price, it is a great value, better than earplugs thousand dollars difference.")</f>
        <v>After listening to a lot of very good value moving iron earplugs, earplugs moving coil, first heard of the brand, to have such quality at this price, it is a great value, better than earplugs thousand dollars difference.</v>
      </c>
    </row>
    <row r="2415">
      <c r="A2415" s="1">
        <v>5.0</v>
      </c>
      <c r="B2415" s="1" t="s">
        <v>2409</v>
      </c>
      <c r="C2415" t="str">
        <f>IFERROR(__xludf.DUMMYFUNCTION("GOOGLETRANSLATE(B2415, ""zh"", ""en"")"),"High price insulation pot, let me buy a child a good thermos, high cost is under orders to receipt is a long process. Well, not from the previous evaluation, I do not know how many wasted points, points can change money now know, they should look carefull"&amp;"y evaluated, then I put these words to copy to go, both to earn points, but also save trouble, where one copy where, most importantly, do not seriously review, do not think how much worse word, sent directly to it, recommend it to everyone! !")</f>
        <v>High price insulation pot, let me buy a child a good thermos, high cost is under orders to receipt is a long process. Well, not from the previous evaluation, I do not know how many wasted points, points can change money now know, they should look carefully evaluated, then I put these words to copy to go, both to earn points, but also save trouble, where one copy where, most importantly, do not seriously review, do not think how much worse word, sent directly to it, recommend it to everyone! !</v>
      </c>
    </row>
    <row r="2416">
      <c r="A2416" s="1">
        <v>5.0</v>
      </c>
      <c r="B2416" s="1" t="s">
        <v>2410</v>
      </c>
      <c r="C2416" t="str">
        <f>IFERROR(__xludf.DUMMYFUNCTION("GOOGLETRANSLATE(B2416, ""zh"", ""en"")"),"HUB a very good hard drive is still very convenient, power adapter than I imagined a lot of big, like me on the bed may be less convenient, the advantage is speed can be, good heat dissipation basic sequential writes nearly 1TB file no fever, noise is har"&amp;"d to read when there is a little, and then it did not, on the whole very quiet ( '· ω · `), the shortcomings of it is not good band, power is not available, there are shell material with improved feel plastic feeling too strong, also recommended adding a "&amp;"switch. A small light at work nice. Overall, the appearance can be improved shell material, the performance is very good value for money (. · Ω ·.) Techno")</f>
        <v>HUB a very good hard drive is still very convenient, power adapter than I imagined a lot of big, like me on the bed may be less convenient, the advantage is speed can be, good heat dissipation basic sequential writes nearly 1TB file no fever, noise is hard to read when there is a little, and then it did not, on the whole very quiet ( '· ω · `), the shortcomings of it is not good band, power is not available, there are shell material with improved feel plastic feeling too strong, also recommended adding a switch. A small light at work nice. Overall, the appearance can be improved shell material, the performance is very good value for money (. · Ω ·.) Techno</v>
      </c>
    </row>
    <row r="2417">
      <c r="A2417" s="1">
        <v>5.0</v>
      </c>
      <c r="B2417" s="1" t="s">
        <v>2411</v>
      </c>
      <c r="C2417" t="str">
        <f>IFERROR(__xludf.DUMMYFUNCTION("GOOGLETRANSLATE(B2417, ""zh"", ""en"")"),"Before kettle well used bought in a store, the children spent three years, throw beat fight is still very strong, this time in the hopes to use longer (o ^^ o)")</f>
        <v>Before kettle well used bought in a store, the children spent three years, throw beat fight is still very strong, this time in the hopes to use longer (o ^^ o)</v>
      </c>
    </row>
    <row r="2418">
      <c r="A2418" s="1">
        <v>5.0</v>
      </c>
      <c r="B2418" s="1" t="s">
        <v>2412</v>
      </c>
      <c r="C2418" t="str">
        <f>IFERROR(__xludf.DUMMYFUNCTION("GOOGLETRANSLATE(B2418, ""zh"", ""en"")"),"Sea Amoy Made in China can also be right, did not expect or made in China")</f>
        <v>Sea Amoy Made in China can also be right, did not expect or made in China</v>
      </c>
    </row>
    <row r="2419">
      <c r="A2419" s="1">
        <v>5.0</v>
      </c>
      <c r="B2419" s="1" t="s">
        <v>2413</v>
      </c>
      <c r="C2419" t="str">
        <f>IFERROR(__xludf.DUMMYFUNCTION("GOOGLETRANSLATE(B2419, ""zh"", ""en"")"),"I received a cost-effective, speed so fast, something genuine, nothing wrong")</f>
        <v>I received a cost-effective, speed so fast, something genuine, nothing wrong</v>
      </c>
    </row>
    <row r="2420">
      <c r="A2420" s="1">
        <v>5.0</v>
      </c>
      <c r="B2420" s="1" t="s">
        <v>2414</v>
      </c>
      <c r="C2420" t="str">
        <f>IFERROR(__xludf.DUMMYFUNCTION("GOOGLETRANSLATE(B2420, ""zh"", ""en"")"),"Cheaper than domestic prices around 30 thought it was purchased abroad can buy imported, did not expect to get the goods are made in china")</f>
        <v>Cheaper than domestic prices around 30 thought it was purchased abroad can buy imported, did not expect to get the goods are made in china</v>
      </c>
    </row>
    <row r="2421">
      <c r="A2421" s="1">
        <v>5.0</v>
      </c>
      <c r="B2421" s="1" t="s">
        <v>2415</v>
      </c>
      <c r="C2421" t="str">
        <f>IFERROR(__xludf.DUMMYFUNCTION("GOOGLETRANSLATE(B2421, ""zh"", ""en"")"),"Look at the reviews elected by all the perfect size I 184,68kg, no stomach. Look at the reviews selected by the medium M, the perfect size, just right shoulder, body relaxed. This partial bit thick material belonging to quick-drying material, good texture"&amp;". perfect")</f>
        <v>Look at the reviews elected by all the perfect size I 184,68kg, no stomach. Look at the reviews selected by the medium M, the perfect size, just right shoulder, body relaxed. This partial bit thick material belonging to quick-drying material, good texture. perfect</v>
      </c>
    </row>
    <row r="2422">
      <c r="A2422" s="1">
        <v>5.0</v>
      </c>
      <c r="B2422" s="1" t="s">
        <v>2416</v>
      </c>
      <c r="C2422" t="str">
        <f>IFERROR(__xludf.DUMMYFUNCTION("GOOGLETRANSLATE(B2422, ""zh"", ""en"")"),"Light breathable breathable light, comfortable to wear. Convenience washed.")</f>
        <v>Light breathable breathable light, comfortable to wear. Convenience washed.</v>
      </c>
    </row>
    <row r="2423">
      <c r="A2423" s="1">
        <v>5.0</v>
      </c>
      <c r="B2423" s="1" t="s">
        <v>2417</v>
      </c>
      <c r="C2423" t="str">
        <f>IFERROR(__xludf.DUMMYFUNCTION("GOOGLETRANSLATE(B2423, ""zh"", ""en"")"),"Very good compression garment great compression garment for the first time to buy, for the first time to wear, far more than expected. Especially good air permeability without feeling stuffy Khan.")</f>
        <v>Very good compression garment great compression garment for the first time to buy, for the first time to wear, far more than expected. Especially good air permeability without feeling stuffy Khan.</v>
      </c>
    </row>
    <row r="2424">
      <c r="A2424" s="1">
        <v>5.0</v>
      </c>
      <c r="B2424" s="1" t="s">
        <v>2418</v>
      </c>
      <c r="C2424" t="str">
        <f>IFERROR(__xludf.DUMMYFUNCTION("GOOGLETRANSLATE(B2424, ""zh"", ""en"")"),"Change the NTFS format! ! ! Very important! ! ! exFat will abnormal sound, and easy to roll! ! ! Prior to get our hands on to forget format, the file is written in keyboarding, and the temperature soared to 60 +, the Eph")</f>
        <v>Change the NTFS format! ! ! Very important! ! ! exFat will abnormal sound, and easy to roll! ! ! Prior to get our hands on to forget format, the file is written in keyboarding, and the temperature soared to 60 +, the Eph</v>
      </c>
    </row>
    <row r="2425">
      <c r="A2425" s="1">
        <v>5.0</v>
      </c>
      <c r="B2425" s="1" t="s">
        <v>2419</v>
      </c>
      <c r="C2425" t="str">
        <f>IFERROR(__xludf.DUMMYFUNCTION("GOOGLETRANSLATE(B2425, ""zh"", ""en"")"),"Cotton, feel very comfortable waist a little fat, the next buy buy lean 1st, long pants fit, I 173 cm, 72 kg, waist circumference 85 cm")</f>
        <v>Cotton, feel very comfortable waist a little fat, the next buy buy lean 1st, long pants fit, I 173 cm, 72 kg, waist circumference 85 cm</v>
      </c>
    </row>
    <row r="2426">
      <c r="A2426" s="1">
        <v>5.0</v>
      </c>
      <c r="B2426" s="1" t="s">
        <v>2420</v>
      </c>
      <c r="C2426" t="str">
        <f>IFERROR(__xludf.DUMMYFUNCTION("GOOGLETRANSLATE(B2426, ""zh"", ""en"")"),"Comfortable to wear very comfortable and very handsome ~ ~ ~ ~ ~ ~ ~ super cheap price")</f>
        <v>Comfortable to wear very comfortable and very handsome ~ ~ ~ ~ ~ ~ ~ super cheap price</v>
      </c>
    </row>
    <row r="2427">
      <c r="A2427" s="1">
        <v>5.0</v>
      </c>
      <c r="B2427" s="1" t="s">
        <v>2421</v>
      </c>
      <c r="C2427" t="str">
        <f>IFERROR(__xludf.DUMMYFUNCTION("GOOGLETRANSLATE(B2427, ""zh"", ""en"")"),"Good quality relatively thin, suitable for winter wear down jacket inside")</f>
        <v>Good quality relatively thin, suitable for winter wear down jacket inside</v>
      </c>
    </row>
    <row r="2428">
      <c r="A2428" s="1">
        <v>2.0</v>
      </c>
      <c r="B2428" s="1" t="s">
        <v>2422</v>
      </c>
      <c r="C2428" t="str">
        <f>IFERROR(__xludf.DUMMYFUNCTION("GOOGLETRANSLATE(B2428, ""zh"", ""en"")"),"Can not boot, bad received in return, can not boot (charged), returns in")</f>
        <v>Can not boot, bad received in return, can not boot (charged), returns in</v>
      </c>
    </row>
    <row r="2429">
      <c r="A2429" s="1">
        <v>3.0</v>
      </c>
      <c r="B2429" s="1" t="s">
        <v>2423</v>
      </c>
      <c r="C2429" t="str">
        <f>IFERROR(__xludf.DUMMYFUNCTION("GOOGLETRANSLATE(B2429, ""zh"", ""en"")"),"Fabrics can work slightly worse fabrics okay, very thick, but work really hard to describe, not as good as the level of ordinary domestic brands, trousers sewn twist, the other is not Slim models")</f>
        <v>Fabrics can work slightly worse fabrics okay, very thick, but work really hard to describe, not as good as the level of ordinary domestic brands, trousers sewn twist, the other is not Slim models</v>
      </c>
    </row>
    <row r="2430">
      <c r="A2430" s="1">
        <v>3.0</v>
      </c>
      <c r="B2430" s="1" t="s">
        <v>2424</v>
      </c>
      <c r="C2430" t="str">
        <f>IFERROR(__xludf.DUMMYFUNCTION("GOOGLETRANSLATE(B2430, ""zh"", ""en"")"),"Open upper suture lines wearing 3 days, toe, toe joint is bent, the upper suture lines open, scared.")</f>
        <v>Open upper suture lines wearing 3 days, toe, toe joint is bent, the upper suture lines open, scared.</v>
      </c>
    </row>
    <row r="2431">
      <c r="A2431" s="1">
        <v>1.0</v>
      </c>
      <c r="B2431" s="1" t="s">
        <v>2425</v>
      </c>
      <c r="C2431" t="str">
        <f>IFERROR(__xludf.DUMMYFUNCTION("GOOGLETRANSLATE(B2431, ""zh"", ""en"")"),"Amazon also has fake it just received the goods, which cover the top of the pot button serious wear and tear, is not new. Looks like a long time.")</f>
        <v>Amazon also has fake it just received the goods, which cover the top of the pot button serious wear and tear, is not new. Looks like a long time.</v>
      </c>
    </row>
    <row r="2432">
      <c r="A2432" s="1">
        <v>1.0</v>
      </c>
      <c r="B2432" s="1" t="s">
        <v>2426</v>
      </c>
      <c r="C2432" t="str">
        <f>IFERROR(__xludf.DUMMYFUNCTION("GOOGLETRANSLATE(B2432, ""zh"", ""en"")"),"This estimate is a little small children, my little man 103 pounds can not actually wear, fabrics and thick rough, but for returned shipping is too expensive, really powerless Tucao, Amazon to buy things really luck")</f>
        <v>This estimate is a little small children, my little man 103 pounds can not actually wear, fabrics and thick rough, but for returned shipping is too expensive, really powerless Tucao, Amazon to buy things really luck</v>
      </c>
    </row>
    <row r="2433">
      <c r="A2433" s="1">
        <v>4.0</v>
      </c>
      <c r="B2433" s="1" t="s">
        <v>2427</v>
      </c>
      <c r="C2433" t="str">
        <f>IFERROR(__xludf.DUMMYFUNCTION("GOOGLETRANSLATE(B2433, ""zh"", ""en"")"),"I will not buy back a little effect of it, but after all, not drugs. Buy two, buy-back will not be back.")</f>
        <v>I will not buy back a little effect of it, but after all, not drugs. Buy two, buy-back will not be back.</v>
      </c>
    </row>
    <row r="2434">
      <c r="A2434" s="1">
        <v>4.0</v>
      </c>
      <c r="B2434" s="1" t="s">
        <v>2428</v>
      </c>
      <c r="C2434" t="str">
        <f>IFERROR(__xludf.DUMMYFUNCTION("GOOGLETRANSLATE(B2434, ""zh"", ""en"")"),"Fit, can also be height 180,75 kg, m number of years scouring the sea. Clothes can be, it is a little James Gray, at home when the home service is also good, is not not wear out.")</f>
        <v>Fit, can also be height 180,75 kg, m number of years scouring the sea. Clothes can be, it is a little James Gray, at home when the home service is also good, is not not wear out.</v>
      </c>
    </row>
    <row r="2435">
      <c r="A2435" s="1">
        <v>4.0</v>
      </c>
      <c r="B2435" s="1" t="s">
        <v>2429</v>
      </c>
      <c r="C2435" t="str">
        <f>IFERROR(__xludf.DUMMYFUNCTION("GOOGLETRANSLATE(B2435, ""zh"", ""en"")"),"173/77 Select 33/30 To be honest, buy pants in the Amazon, can be difficult to meet the right! The counted once relatively satisfactory. Height 173, weight 77, 33/30 suitable base, fabrics and models are also in line with expectations, by reference.")</f>
        <v>173/77 Select 33/30 To be honest, buy pants in the Amazon, can be difficult to meet the right! The counted once relatively satisfactory. Height 173, weight 77, 33/30 suitable base, fabrics and models are also in line with expectations, by reference.</v>
      </c>
    </row>
    <row r="2436">
      <c r="A2436" s="1">
        <v>4.0</v>
      </c>
      <c r="B2436" s="1" t="s">
        <v>2430</v>
      </c>
      <c r="C2436" t="str">
        <f>IFERROR(__xludf.DUMMYFUNCTION("GOOGLETRANSLATE(B2436, ""zh"", ""en"")"),"Before bought for his wife purchased a black, often with my wife mug, had to buy one, ha ha. . .")</f>
        <v>Before bought for his wife purchased a black, often with my wife mug, had to buy one, ha ha. . .</v>
      </c>
    </row>
    <row r="2437">
      <c r="A2437" s="1">
        <v>4.0</v>
      </c>
      <c r="B2437" s="1" t="s">
        <v>2431</v>
      </c>
      <c r="C2437" t="str">
        <f>IFERROR(__xludf.DUMMYFUNCTION("GOOGLETRANSLATE(B2437, ""zh"", ""en"")"),"Ultra thick small pot lucky, pot arrived safely, the only imperfection is at hand enamel cracks. very satisfied!")</f>
        <v>Ultra thick small pot lucky, pot arrived safely, the only imperfection is at hand enamel cracks. very satisfied!</v>
      </c>
    </row>
    <row r="2438">
      <c r="A2438" s="1">
        <v>5.0</v>
      </c>
      <c r="B2438" s="1" t="s">
        <v>2432</v>
      </c>
      <c r="C2438" t="str">
        <f>IFERROR(__xludf.DUMMYFUNCTION("GOOGLETRANSLATE(B2438, ""zh"", ""en"")"),"Very very suitable material is thick, when winter wear, my height 187cm, weight 100 kg, wear 42/34's okay, waist a little fat points, pants too long, if it is 42/32, I fear that they will short. If it is 40/34, I am afraid will be thin legs, I like to wea"&amp;"r a little loose-fitting clothing.")</f>
        <v>Very very suitable material is thick, when winter wear, my height 187cm, weight 100 kg, wear 42/34's okay, waist a little fat points, pants too long, if it is 42/32, I fear that they will short. If it is 40/34, I am afraid will be thin legs, I like to wear a little loose-fitting clothing.</v>
      </c>
    </row>
    <row r="2439">
      <c r="A2439" s="1">
        <v>5.0</v>
      </c>
      <c r="B2439" s="1" t="s">
        <v>2433</v>
      </c>
      <c r="C2439" t="str">
        <f>IFERROR(__xludf.DUMMYFUNCTION("GOOGLETRANSLATE(B2439, ""zh"", ""en"")"),"Good things very fine, high cost, recommend ~")</f>
        <v>Good things very fine, high cost, recommend ~</v>
      </c>
    </row>
    <row r="2440">
      <c r="A2440" s="1">
        <v>5.0</v>
      </c>
      <c r="B2440" s="1" t="s">
        <v>2434</v>
      </c>
      <c r="C2440" t="str">
        <f>IFERROR(__xludf.DUMMYFUNCTION("GOOGLETRANSLATE(B2440, ""zh"", ""en"")"),"Shoes a little big shoes a little big, buy this number before the big")</f>
        <v>Shoes a little big shoes a little big, buy this number before the big</v>
      </c>
    </row>
    <row r="2441">
      <c r="A2441" s="1">
        <v>5.0</v>
      </c>
      <c r="B2441" s="1" t="s">
        <v>2435</v>
      </c>
      <c r="C2441" t="str">
        <f>IFERROR(__xludf.DUMMYFUNCTION("GOOGLETRANSLATE(B2441, ""zh"", ""en"")"),"Baton! Super appropriate version Awesome!")</f>
        <v>Baton! Super appropriate version Awesome!</v>
      </c>
    </row>
    <row r="2442">
      <c r="A2442" s="1">
        <v>5.0</v>
      </c>
      <c r="B2442" s="1" t="s">
        <v>2436</v>
      </c>
      <c r="C2442" t="str">
        <f>IFERROR(__xludf.DUMMYFUNCTION("GOOGLETRANSLATE(B2442, ""zh"", ""en"")"),"The so-called perfect perfect is already the lowest price to buy favorite products, and were not disappointed when in use, value for money")</f>
        <v>The so-called perfect perfect is already the lowest price to buy favorite products, and were not disappointed when in use, value for money</v>
      </c>
    </row>
    <row r="2443">
      <c r="A2443" s="1">
        <v>5.0</v>
      </c>
      <c r="B2443" s="1" t="s">
        <v>2437</v>
      </c>
      <c r="C2443" t="str">
        <f>IFERROR(__xludf.DUMMYFUNCTION("GOOGLETRANSLATE(B2443, ""zh"", ""en"")"),"Great great, and domestic stainless steel completely different, the price is value for money!")</f>
        <v>Great great, and domestic stainless steel completely different, the price is value for money!</v>
      </c>
    </row>
    <row r="2444">
      <c r="A2444" s="1">
        <v>5.0</v>
      </c>
      <c r="B2444" s="1" t="s">
        <v>2438</v>
      </c>
      <c r="C2444" t="str">
        <f>IFERROR(__xludf.DUMMYFUNCTION("GOOGLETRANSLATE(B2444, ""zh"", ""en"")"),"A satisfying shopping very fit, very comfortable, the price is very good!")</f>
        <v>A satisfying shopping very fit, very comfortable, the price is very good!</v>
      </c>
    </row>
    <row r="2445">
      <c r="A2445" s="1">
        <v>5.0</v>
      </c>
      <c r="B2445" s="1" t="s">
        <v>2439</v>
      </c>
      <c r="C2445" t="str">
        <f>IFERROR(__xludf.DUMMYFUNCTION("GOOGLETRANSLATE(B2445, ""zh"", ""en"")"),"Thick light, hope the snow does not slip soles. Suitable for winter wear, shoe size accurately.")</f>
        <v>Thick light, hope the snow does not slip soles. Suitable for winter wear, shoe size accurately.</v>
      </c>
    </row>
    <row r="2446">
      <c r="A2446" s="1">
        <v>5.0</v>
      </c>
      <c r="B2446" s="1" t="s">
        <v>2440</v>
      </c>
      <c r="C2446" t="str">
        <f>IFERROR(__xludf.DUMMYFUNCTION("GOOGLETRANSLATE(B2446, ""zh"", ""en"")"),"Baby loves to eat good food, good taste")</f>
        <v>Baby loves to eat good food, good taste</v>
      </c>
    </row>
    <row r="2447">
      <c r="A2447" s="1">
        <v>5.0</v>
      </c>
      <c r="B2447" s="1" t="s">
        <v>2441</v>
      </c>
      <c r="C2447" t="str">
        <f>IFERROR(__xludf.DUMMYFUNCTION("GOOGLETRANSLATE(B2447, ""zh"", ""en"")"),"Pot is good pot packaging is not good, the soup arrived on the deformation point, passing not affect the use of the Amazon to the compensation of 20%, much more convenient than return!")</f>
        <v>Pot is good pot packaging is not good, the soup arrived on the deformation point, passing not affect the use of the Amazon to the compensation of 20%, much more convenient than return!</v>
      </c>
    </row>
    <row r="2448">
      <c r="A2448" s="1">
        <v>5.0</v>
      </c>
      <c r="B2448" s="1" t="s">
        <v>2442</v>
      </c>
      <c r="C2448" t="str">
        <f>IFERROR(__xludf.DUMMYFUNCTION("GOOGLETRANSLATE(B2448, ""zh"", ""en"")"),"Practical good-looking, simple and elegant")</f>
        <v>Practical good-looking, simple and elegant</v>
      </c>
    </row>
    <row r="2449">
      <c r="A2449" s="1">
        <v>5.0</v>
      </c>
      <c r="B2449" s="1" t="s">
        <v>2443</v>
      </c>
      <c r="C2449" t="str">
        <f>IFERROR(__xludf.DUMMYFUNCTION("GOOGLETRANSLATE(B2449, ""zh"", ""en"")"),"Amazon already eat three bottles of useful, we will insist eat, urinary Fan aspects of time to change, thanks to this platform provided by Amazon")</f>
        <v>Amazon already eat three bottles of useful, we will insist eat, urinary Fan aspects of time to change, thanks to this platform provided by Amazon</v>
      </c>
    </row>
    <row r="2450">
      <c r="A2450" s="1">
        <v>5.0</v>
      </c>
      <c r="B2450" s="1" t="s">
        <v>2444</v>
      </c>
      <c r="C2450" t="str">
        <f>IFERROR(__xludf.DUMMYFUNCTION("GOOGLETRANSLATE(B2450, ""zh"", ""en"")"),"Good sound quality easily push the overall balance of texture strong bass response without procrastination-ear sound insulation very satisfied with good value for money")</f>
        <v>Good sound quality easily push the overall balance of texture strong bass response without procrastination-ear sound insulation very satisfied with good value for money</v>
      </c>
    </row>
    <row r="2451">
      <c r="A2451" s="1">
        <v>5.0</v>
      </c>
      <c r="B2451" s="1" t="s">
        <v>2445</v>
      </c>
      <c r="C2451" t="str">
        <f>IFERROR(__xludf.DUMMYFUNCTION("GOOGLETRANSLATE(B2451, ""zh"", ""en"")"),"Recommended to buy a few good baby like to eat")</f>
        <v>Recommended to buy a few good baby like to eat</v>
      </c>
    </row>
    <row r="2452">
      <c r="A2452" s="1">
        <v>5.0</v>
      </c>
      <c r="B2452" s="1" t="s">
        <v>2446</v>
      </c>
      <c r="C2452" t="str">
        <f>IFERROR(__xludf.DUMMYFUNCTION("GOOGLETRANSLATE(B2452, ""zh"", ""en"")"),"Comfortable underwear is very comfortable and the price is fair")</f>
        <v>Comfortable underwear is very comfortable and the price is fair</v>
      </c>
    </row>
    <row r="2453">
      <c r="A2453" s="1">
        <v>5.0</v>
      </c>
      <c r="B2453" s="1" t="s">
        <v>2447</v>
      </c>
      <c r="C2453" t="str">
        <f>IFERROR(__xludf.DUMMYFUNCTION("GOOGLETRANSLATE(B2453, ""zh"", ""en"")"),"The first big buy foreign shoe size. No. tried to go to the store to buy. Jiaogan feel no difference. Shoes, too. Amazon first good shopping")</f>
        <v>The first big buy foreign shoe size. No. tried to go to the store to buy. Jiaogan feel no difference. Shoes, too. Amazon first good shopping</v>
      </c>
    </row>
    <row r="2454">
      <c r="A2454" s="1">
        <v>5.0</v>
      </c>
      <c r="B2454" s="1" t="s">
        <v>2448</v>
      </c>
      <c r="C2454" t="str">
        <f>IFERROR(__xludf.DUMMYFUNCTION("GOOGLETRANSLATE(B2454, ""zh"", ""en"")"),"Okay okay, wearing a flat chest becomes a trained, trained, trained, I feel sports underwear difficult to take off, take off three times before noon today off, sooner or later feel torn loose underwear down around whining")</f>
        <v>Okay okay, wearing a flat chest becomes a trained, trained, trained, I feel sports underwear difficult to take off, take off three times before noon today off, sooner or later feel torn loose underwear down around whining</v>
      </c>
    </row>
    <row r="2455">
      <c r="A2455" s="1">
        <v>5.0</v>
      </c>
      <c r="B2455" s="1" t="s">
        <v>2449</v>
      </c>
      <c r="C2455" t="str">
        <f>IFERROR(__xludf.DUMMYFUNCTION("GOOGLETRANSLATE(B2455, ""zh"", ""en"")"),"Good everyday casual cap hat put the bag a little thin for the price a little expensive spare")</f>
        <v>Good everyday casual cap hat put the bag a little thin for the price a little expensive spare</v>
      </c>
    </row>
    <row r="2456">
      <c r="A2456" s="1">
        <v>5.0</v>
      </c>
      <c r="B2456" s="1" t="s">
        <v>2450</v>
      </c>
      <c r="C2456" t="str">
        <f>IFERROR(__xludf.DUMMYFUNCTION("GOOGLETRANSLATE(B2456, ""zh"", ""en"")"),"Like a time of nine days earlier than expected to get the goods, and very good, just try a little, what size is very appropriate. It should be genuine.")</f>
        <v>Like a time of nine days earlier than expected to get the goods, and very good, just try a little, what size is very appropriate. It should be genuine.</v>
      </c>
    </row>
    <row r="2457">
      <c r="A2457" s="1">
        <v>5.0</v>
      </c>
      <c r="B2457" s="1" t="s">
        <v>2451</v>
      </c>
      <c r="C2457" t="str">
        <f>IFERROR(__xludf.DUMMYFUNCTION("GOOGLETRANSLATE(B2457, ""zh"", ""en"")"),"Very nice pants style I prefer, on the whole it is also more comfortable to wear. Is feeling trousers and flexible, this like it or not depends on personal preference. And four years ago I bought pants US imperialism is essentially the same, the price is "&amp;"about the same. My wife said after I put on my looks thin, the overall look and feel better after a few days added: wear a little hot in the summer, before the end of October, Guangzhou wear feel the heat.")</f>
        <v>Very nice pants style I prefer, on the whole it is also more comfortable to wear. Is feeling trousers and flexible, this like it or not depends on personal preference. And four years ago I bought pants US imperialism is essentially the same, the price is about the same. My wife said after I put on my looks thin, the overall look and feel better after a few days added: wear a little hot in the summer, before the end of October, Guangzhou wear feel the heat.</v>
      </c>
    </row>
    <row r="2458">
      <c r="A2458" s="1">
        <v>5.0</v>
      </c>
      <c r="B2458" s="1" t="s">
        <v>2452</v>
      </c>
      <c r="C2458" t="str">
        <f>IFERROR(__xludf.DUMMYFUNCTION("GOOGLETRANSLATE(B2458, ""zh"", ""en"")"),"Definitely worth buying again good to wear good-looking, simple models, quality is super good")</f>
        <v>Definitely worth buying again good to wear good-looking, simple models, quality is super good</v>
      </c>
    </row>
    <row r="2459">
      <c r="A2459" s="1">
        <v>5.0</v>
      </c>
      <c r="B2459" s="1" t="s">
        <v>2453</v>
      </c>
      <c r="C2459" t="str">
        <f>IFERROR(__xludf.DUMMYFUNCTION("GOOGLETRANSLATE(B2459, ""zh"", ""en"")"),"This is a good thing I have been repurchased, basically buy in the United States and Asia, this super cheap, multi-Meyer + transport is cheaper than the")</f>
        <v>This is a good thing I have been repurchased, basically buy in the United States and Asia, this super cheap, multi-Meyer + transport is cheaper than the</v>
      </c>
    </row>
    <row r="2460">
      <c r="A2460" s="1">
        <v>2.0</v>
      </c>
      <c r="B2460" s="1" t="s">
        <v>2454</v>
      </c>
      <c r="C2460" t="str">
        <f>IFERROR(__xludf.DUMMYFUNCTION("GOOGLETRANSLATE(B2460, ""zh"", ""en"")"),"2018.05.30. 18,219,137,896 want to buy 1000 dollars can sell the package sent to the headphones, the headphones sound 32 in Europe are relatively small, other computer headphones are put loudest thorn ears, but this is not very loud, genuine should be gen"&amp;"uine, UK shipments, Foshan 8 days. I used to use the innovation live2, listen to contrast this move once played times as good as innovative headphones, the balance can also be right. Estimate small voice, the voice always felt distant, like moving times h"&amp;"it the times I was not very satisfied")</f>
        <v>2018.05.30. 18,219,137,896 want to buy 1000 dollars can sell the package sent to the headphones, the headphones sound 32 in Europe are relatively small, other computer headphones are put loudest thorn ears, but this is not very loud, genuine should be genuine, UK shipments, Foshan 8 days. I used to use the innovation live2, listen to contrast this move once played times as good as innovative headphones, the balance can also be right. Estimate small voice, the voice always felt distant, like moving times hit the times I was not very satisfied</v>
      </c>
    </row>
    <row r="2461">
      <c r="A2461" s="1">
        <v>3.0</v>
      </c>
      <c r="B2461" s="1" t="s">
        <v>2455</v>
      </c>
      <c r="C2461" t="str">
        <f>IFERROR(__xludf.DUMMYFUNCTION("GOOGLETRANSLATE(B2461, ""zh"", ""en"")"),"Wide Shoulder Sleeve suitable type, waist too large for pregnant people wear, fabrics too hard. I 174,78 Shoulder 47 Bust 110, the election of M")</f>
        <v>Wide Shoulder Sleeve suitable type, waist too large for pregnant people wear, fabrics too hard. I 174,78 Shoulder 47 Bust 110, the election of M</v>
      </c>
    </row>
    <row r="2462">
      <c r="A2462" s="1">
        <v>3.0</v>
      </c>
      <c r="B2462" s="1" t="s">
        <v>2456</v>
      </c>
      <c r="C2462" t="str">
        <f>IFERROR(__xludf.DUMMYFUNCTION("GOOGLETRANSLATE(B2462, ""zh"", ""en"")"),"This generally is not white was white, very general.")</f>
        <v>This generally is not white was white, very general.</v>
      </c>
    </row>
    <row r="2463">
      <c r="A2463" s="1">
        <v>1.0</v>
      </c>
      <c r="B2463" s="1" t="s">
        <v>2457</v>
      </c>
      <c r="C2463" t="str">
        <f>IFERROR(__xludf.DUMMYFUNCTION("GOOGLETRANSLATE(B2463, ""zh"", ""en"")"),"Check the label to be extremely short back no watermark is not genuine")</f>
        <v>Check the label to be extremely short back no watermark is not genuine</v>
      </c>
    </row>
    <row r="2464">
      <c r="A2464" s="1">
        <v>1.0</v>
      </c>
      <c r="B2464" s="1" t="s">
        <v>2458</v>
      </c>
      <c r="C2464" t="str">
        <f>IFERROR(__xludf.DUMMYFUNCTION("GOOGLETRANSLATE(B2464, ""zh"", ""en"")"),"Poor Poor Poor very friendly shopping experience, December 8 Kusakabe single, actually to January 25 delivered. Amazon stocking your ability bad. And the purchase of goods did not express no need to wait. too poor! But the quality of the goods itself is v"&amp;"ery good, the right size.")</f>
        <v>Poor Poor Poor very friendly shopping experience, December 8 Kusakabe single, actually to January 25 delivered. Amazon stocking your ability bad. And the purchase of goods did not express no need to wait. too poor! But the quality of the goods itself is very good, the right size.</v>
      </c>
    </row>
    <row r="2465">
      <c r="A2465" s="1">
        <v>1.0</v>
      </c>
      <c r="B2465" s="1" t="s">
        <v>2459</v>
      </c>
      <c r="C2465" t="str">
        <f>IFERROR(__xludf.DUMMYFUNCTION("GOOGLETRANSLATE(B2465, ""zh"", ""en"")"),"It is not recommended to buy the hospital opened, we began to eat half a month from birth, physical examination d-dimensional content is far below the standard 42 days, the doctor said that this part of health care products, content drops capsule itself i"&amp;"s not as accurate open, combined after opening, the gradual oxidation, the content will be more low")</f>
        <v>It is not recommended to buy the hospital opened, we began to eat half a month from birth, physical examination d-dimensional content is far below the standard 42 days, the doctor said that this part of health care products, content drops capsule itself is not as accurate open, combined after opening, the gradual oxidation, the content will be more low</v>
      </c>
    </row>
    <row r="2466">
      <c r="A2466" s="1">
        <v>4.0</v>
      </c>
      <c r="B2466" s="1" t="s">
        <v>2460</v>
      </c>
      <c r="C2466" t="str">
        <f>IFERROR(__xludf.DUMMYFUNCTION("GOOGLETRANSLATE(B2466, ""zh"", ""en"")"),"Pantyhose, leggings are not pantyhose, packaging very carefully; still play ball, stick hair,")</f>
        <v>Pantyhose, leggings are not pantyhose, packaging very carefully; still play ball, stick hair,</v>
      </c>
    </row>
    <row r="2467">
      <c r="A2467" s="1">
        <v>4.0</v>
      </c>
      <c r="B2467" s="1" t="s">
        <v>2461</v>
      </c>
      <c r="C2467" t="str">
        <f>IFERROR(__xludf.DUMMYFUNCTION("GOOGLETRANSLATE(B2467, ""zh"", ""en"")"),"I have obsessive-compulsive disorder it? And online standard Beijing time after time, almost a day for a second slower, but always feel the minute slow, come to the stage position. It feels good bad mood ==!")</f>
        <v>I have obsessive-compulsive disorder it? And online standard Beijing time after time, almost a day for a second slower, but always feel the minute slow, come to the stage position. It feels good bad mood ==!</v>
      </c>
    </row>
    <row r="2468">
      <c r="A2468" s="1">
        <v>4.0</v>
      </c>
      <c r="B2468" s="1" t="s">
        <v>2462</v>
      </c>
      <c r="C2468" t="str">
        <f>IFERROR(__xludf.DUMMYFUNCTION("GOOGLETRANSLATE(B2468, ""zh"", ""en"")"),"Shoes may be too small number, buy a freshman code")</f>
        <v>Shoes may be too small number, buy a freshman code</v>
      </c>
    </row>
    <row r="2469">
      <c r="A2469" s="1">
        <v>4.0</v>
      </c>
      <c r="B2469" s="1" t="s">
        <v>2463</v>
      </c>
      <c r="C2469" t="str">
        <f>IFERROR(__xludf.DUMMYFUNCTION("GOOGLETRANSLATE(B2469, ""zh"", ""en"")"),"This difference between the waist and too far away and poor guidance, this bad service")</f>
        <v>This difference between the waist and too far away and poor guidance, this bad service</v>
      </c>
    </row>
    <row r="2470">
      <c r="A2470" s="1">
        <v>4.0</v>
      </c>
      <c r="B2470" s="1" t="s">
        <v>2464</v>
      </c>
      <c r="C2470" t="str">
        <f>IFERROR(__xludf.DUMMYFUNCTION("GOOGLETRANSLATE(B2470, ""zh"", ""en"")"),"And thin pants worn personally feel a little bit more, should be the style of this series")</f>
        <v>And thin pants worn personally feel a little bit more, should be the style of this series</v>
      </c>
    </row>
    <row r="2471">
      <c r="A2471" s="1">
        <v>5.0</v>
      </c>
      <c r="B2471" s="1" t="s">
        <v>2465</v>
      </c>
      <c r="C2471" t="str">
        <f>IFERROR(__xludf.DUMMYFUNCTION("GOOGLETRANSLATE(B2471, ""zh"", ""en"")"),"Jackets very affordable price is very high. Color is also comfortable.")</f>
        <v>Jackets very affordable price is very high. Color is also comfortable.</v>
      </c>
    </row>
    <row r="2472">
      <c r="A2472" s="1">
        <v>5.0</v>
      </c>
      <c r="B2472" s="1" t="s">
        <v>1863</v>
      </c>
      <c r="C2472" t="str">
        <f>IFERROR(__xludf.DUMMYFUNCTION("GOOGLETRANSLATE(B2472, ""zh"", ""en"")"),"It feels good soft, lightweight and comfortable warm clothing")</f>
        <v>It feels good soft, lightweight and comfortable warm clothing</v>
      </c>
    </row>
    <row r="2473">
      <c r="A2473" s="1">
        <v>5.0</v>
      </c>
      <c r="B2473" s="1" t="s">
        <v>2466</v>
      </c>
      <c r="C2473" t="str">
        <f>IFERROR(__xludf.DUMMYFUNCTION("GOOGLETRANSLATE(B2473, ""zh"", ""en"")"),"D-dimensional early than expected, that is a big box filled with pieces of exquisite heart ^ _ ^")</f>
        <v>D-dimensional early than expected, that is a big box filled with pieces of exquisite heart ^ _ ^</v>
      </c>
    </row>
    <row r="2474">
      <c r="A2474" s="1">
        <v>5.0</v>
      </c>
      <c r="B2474" s="1" t="s">
        <v>2467</v>
      </c>
      <c r="C2474" t="str">
        <f>IFERROR(__xludf.DUMMYFUNCTION("GOOGLETRANSLATE(B2474, ""zh"", ""en"")"),"Great nostalgic, wings unfold, not suitable keychain.")</f>
        <v>Great nostalgic, wings unfold, not suitable keychain.</v>
      </c>
    </row>
    <row r="2475">
      <c r="A2475" s="1">
        <v>5.0</v>
      </c>
      <c r="B2475" s="1" t="s">
        <v>2468</v>
      </c>
      <c r="C2475" t="str">
        <f>IFERROR(__xludf.DUMMYFUNCTION("GOOGLETRANSLATE(B2475, ""zh"", ""en"")"),"Baby love! How can it solve the bottle does not love the history of exclusive breastfeeding for the baby feeding bottles, baby bottles with this aspiration can still practice, very good!")</f>
        <v>Baby love! How can it solve the bottle does not love the history of exclusive breastfeeding for the baby feeding bottles, baby bottles with this aspiration can still practice, very good!</v>
      </c>
    </row>
    <row r="2476">
      <c r="A2476" s="1">
        <v>5.0</v>
      </c>
      <c r="B2476" s="1" t="s">
        <v>2469</v>
      </c>
      <c r="C2476" t="str">
        <f>IFERROR(__xludf.DUMMYFUNCTION("GOOGLETRANSLATE(B2476, ""zh"", ""en"")"),"Lightweight, heat is not bad. Lightweight, heat is not bad.")</f>
        <v>Lightweight, heat is not bad. Lightweight, heat is not bad.</v>
      </c>
    </row>
    <row r="2477">
      <c r="A2477" s="1">
        <v>5.0</v>
      </c>
      <c r="B2477" s="1" t="s">
        <v>2470</v>
      </c>
      <c r="C2477" t="str">
        <f>IFERROR(__xludf.DUMMYFUNCTION("GOOGLETRANSLATE(B2477, ""zh"", ""en"")"),"Out of cups he used, very good, bought to send students to the")</f>
        <v>Out of cups he used, very good, bought to send students to the</v>
      </c>
    </row>
    <row r="2478">
      <c r="A2478" s="1">
        <v>5.0</v>
      </c>
      <c r="B2478" s="1" t="s">
        <v>2471</v>
      </c>
      <c r="C2478" t="str">
        <f>IFERROR(__xludf.DUMMYFUNCTION("GOOGLETRANSLATE(B2478, ""zh"", ""en"")"),"Like, comfortable fabrics, soft skin-friendly than those made in China bottoming tights big lot better, put personal care bags put the washing machine no problem, no deformation from the ball.")</f>
        <v>Like, comfortable fabrics, soft skin-friendly than those made in China bottoming tights big lot better, put personal care bags put the washing machine no problem, no deformation from the ball.</v>
      </c>
    </row>
    <row r="2479">
      <c r="A2479" s="1">
        <v>5.0</v>
      </c>
      <c r="B2479" s="1" t="s">
        <v>2472</v>
      </c>
      <c r="C2479" t="str">
        <f>IFERROR(__xludf.DUMMYFUNCTION("GOOGLETRANSLATE(B2479, ""zh"", ""en"")"),"Color is particularly noticeable old, washed effect Slim style, fabric is very thick, very appropriate size, color wash effect is remarkable.")</f>
        <v>Color is particularly noticeable old, washed effect Slim style, fabric is very thick, very appropriate size, color wash effect is remarkable.</v>
      </c>
    </row>
    <row r="2480">
      <c r="A2480" s="1">
        <v>5.0</v>
      </c>
      <c r="B2480" s="1" t="s">
        <v>2473</v>
      </c>
      <c r="C2480" t="str">
        <f>IFERROR(__xludf.DUMMYFUNCTION("GOOGLETRANSLATE(B2480, ""zh"", ""en"")"),"not bad, very good!")</f>
        <v>not bad, very good!</v>
      </c>
    </row>
    <row r="2481">
      <c r="A2481" s="1">
        <v>5.0</v>
      </c>
      <c r="B2481" s="1" t="s">
        <v>2474</v>
      </c>
      <c r="C2481" t="str">
        <f>IFERROR(__xludf.DUMMYFUNCTION("GOOGLETRANSLATE(B2481, ""zh"", ""en"")"),"Calcium has begun to look forward to eating effect.")</f>
        <v>Calcium has begun to look forward to eating effect.</v>
      </c>
    </row>
    <row r="2482">
      <c r="A2482" s="1">
        <v>5.0</v>
      </c>
      <c r="B2482" s="1" t="s">
        <v>2475</v>
      </c>
      <c r="C2482" t="str">
        <f>IFERROR(__xludf.DUMMYFUNCTION("GOOGLETRANSLATE(B2482, ""zh"", ""en"")"),"Very nice headphones sound very good Panasonic brand really not the same unlike some headphones sound leakage Yen value this fully meet the quality requirements and give you like to")</f>
        <v>Very nice headphones sound very good Panasonic brand really not the same unlike some headphones sound leakage Yen value this fully meet the quality requirements and give you like to</v>
      </c>
    </row>
    <row r="2483">
      <c r="A2483" s="1">
        <v>5.0</v>
      </c>
      <c r="B2483" s="1" t="s">
        <v>2476</v>
      </c>
      <c r="C2483" t="str">
        <f>IFERROR(__xludf.DUMMYFUNCTION("GOOGLETRANSLATE(B2483, ""zh"", ""en"")"),"Easy to use to buy his father's home, before with other results to hurt the mouth, changed this relatively easy to use.")</f>
        <v>Easy to use to buy his father's home, before with other results to hurt the mouth, changed this relatively easy to use.</v>
      </c>
    </row>
    <row r="2484">
      <c r="A2484" s="1">
        <v>5.0</v>
      </c>
      <c r="B2484" s="1" t="s">
        <v>2477</v>
      </c>
      <c r="C2484" t="str">
        <f>IFERROR(__xludf.DUMMYFUNCTION("GOOGLETRANSLATE(B2484, ""zh"", ""en"")"),"Not bad")</f>
        <v>Not bad</v>
      </c>
    </row>
    <row r="2485">
      <c r="A2485" s="1">
        <v>5.0</v>
      </c>
      <c r="B2485" s="1" t="s">
        <v>2478</v>
      </c>
      <c r="C2485" t="str">
        <f>IFERROR(__xludf.DUMMYFUNCTION("GOOGLETRANSLATE(B2485, ""zh"", ""en"")"),"Personally feel is worth buying cheap, worth recommending.")</f>
        <v>Personally feel is worth buying cheap, worth recommending.</v>
      </c>
    </row>
    <row r="2486">
      <c r="A2486" s="1">
        <v>5.0</v>
      </c>
      <c r="B2486" s="1" t="s">
        <v>2479</v>
      </c>
      <c r="C2486" t="str">
        <f>IFERROR(__xludf.DUMMYFUNCTION("GOOGLETRANSLATE(B2486, ""zh"", ""en"")"),"Yes toothbrush head toothbrush head very cost-effective, easy to use this")</f>
        <v>Yes toothbrush head toothbrush head very cost-effective, easy to use this</v>
      </c>
    </row>
    <row r="2487">
      <c r="A2487" s="1">
        <v>5.0</v>
      </c>
      <c r="B2487" s="1" t="s">
        <v>2480</v>
      </c>
      <c r="C2487" t="str">
        <f>IFERROR(__xludf.DUMMYFUNCTION("GOOGLETRANSLATE(B2487, ""zh"", ""en"")"),"Very practical to go out very easy to use, practical")</f>
        <v>Very practical to go out very easy to use, practical</v>
      </c>
    </row>
    <row r="2488">
      <c r="A2488" s="1">
        <v>5.0</v>
      </c>
      <c r="B2488" s="1" t="s">
        <v>2481</v>
      </c>
      <c r="C2488" t="str">
        <f>IFERROR(__xludf.DUMMYFUNCTION("GOOGLETRANSLATE(B2488, ""zh"", ""en"")"),"Both the appearance really recommended read and write speeds, are very like; belonging appearance is very mature, domineering side leakage. In the read and write speed is also good, really recommend")</f>
        <v>Both the appearance really recommended read and write speeds, are very like; belonging appearance is very mature, domineering side leakage. In the read and write speed is also good, really recommend</v>
      </c>
    </row>
    <row r="2489">
      <c r="A2489" s="1">
        <v>5.0</v>
      </c>
      <c r="B2489" s="1" t="s">
        <v>2482</v>
      </c>
      <c r="C2489" t="str">
        <f>IFERROR(__xludf.DUMMYFUNCTION("GOOGLETRANSLATE(B2489, ""zh"", ""en"")"),"Comfortable to wear lighter than the previous dt440 a lot, very comfortable, with no long chuck, 3 noodle, Germany.")</f>
        <v>Comfortable to wear lighter than the previous dt440 a lot, very comfortable, with no long chuck, 3 noodle, Germany.</v>
      </c>
    </row>
    <row r="2490">
      <c r="A2490" s="1">
        <v>5.0</v>
      </c>
      <c r="B2490" s="1" t="s">
        <v>2483</v>
      </c>
      <c r="C2490" t="str">
        <f>IFERROR(__xludf.DUMMYFUNCTION("GOOGLETRANSLATE(B2490, ""zh"", ""en"")"),"very light! Super comfortable! Super comfortable, my son loved!")</f>
        <v>very light! Super comfortable! Super comfortable, my son loved!</v>
      </c>
    </row>
    <row r="2491">
      <c r="A2491" s="1">
        <v>5.0</v>
      </c>
      <c r="B2491" s="1" t="s">
        <v>2484</v>
      </c>
      <c r="C2491" t="str">
        <f>IFERROR(__xludf.DUMMYFUNCTION("GOOGLETRANSLATE(B2491, ""zh"", ""en"")"),"Great value, has been the appearance of self-reliance Amazon is very good, still burn in")</f>
        <v>Great value, has been the appearance of self-reliance Amazon is very good, still burn in</v>
      </c>
    </row>
    <row r="2492">
      <c r="A2492" s="1">
        <v>5.0</v>
      </c>
      <c r="B2492" s="1" t="s">
        <v>2485</v>
      </c>
      <c r="C2492" t="str">
        <f>IFERROR(__xludf.DUMMYFUNCTION("GOOGLETRANSLATE(B2492, ""zh"", ""en"")"),"Large capacity not know the reason is because 8T, but this series are like this, which is much slower than backup plus 5T, but wins in the cheap, used for data disk is very good.")</f>
        <v>Large capacity not know the reason is because 8T, but this series are like this, which is much slower than backup plus 5T, but wins in the cheap, used for data disk is very good.</v>
      </c>
    </row>
    <row r="2493">
      <c r="A2493" s="1">
        <v>2.0</v>
      </c>
      <c r="B2493" s="1" t="s">
        <v>2486</v>
      </c>
      <c r="C2493" t="str">
        <f>IFERROR(__xludf.DUMMYFUNCTION("GOOGLETRANSLATE(B2493, ""zh"", ""en"")"),"Not ideal difficult to use, it does not take less than a month")</f>
        <v>Not ideal difficult to use, it does not take less than a month</v>
      </c>
    </row>
    <row r="2494">
      <c r="A2494" s="1">
        <v>3.0</v>
      </c>
      <c r="B2494" s="1" t="s">
        <v>2487</v>
      </c>
      <c r="C2494" t="str">
        <f>IFERROR(__xludf.DUMMYFUNCTION("GOOGLETRANSLATE(B2494, ""zh"", ""en"")"),"Origin said that the Japanese original? Think that Japanese production is made in China ..")</f>
        <v>Origin said that the Japanese original? Think that Japanese production is made in China ..</v>
      </c>
    </row>
    <row r="2495">
      <c r="A2495" s="1">
        <v>3.0</v>
      </c>
      <c r="B2495" s="1" t="s">
        <v>2488</v>
      </c>
      <c r="C2495" t="str">
        <f>IFERROR(__xludf.DUMMYFUNCTION("GOOGLETRANSLATE(B2495, ""zh"", ""en"")"),"Size Size Chart bad bad. Due to the size marked incorrect cause received shoes go very hard, foot pain was packed, and finally had to give to others. However, the quality of shoes is not bad.")</f>
        <v>Size Size Chart bad bad. Due to the size marked incorrect cause received shoes go very hard, foot pain was packed, and finally had to give to others. However, the quality of shoes is not bad.</v>
      </c>
    </row>
    <row r="2496">
      <c r="A2496" s="1">
        <v>1.0</v>
      </c>
      <c r="B2496" s="1" t="s">
        <v>2489</v>
      </c>
      <c r="C2496" t="str">
        <f>IFERROR(__xludf.DUMMYFUNCTION("GOOGLETRANSLATE(B2496, ""zh"", ""en"")"),"Return shipping is too expensive too big, especially fat. 200 pounds wearing a good fertilizer. 125 return shipping is too expensive, pants on freight 137 125 which is too expensive, can not accept.")</f>
        <v>Return shipping is too expensive too big, especially fat. 200 pounds wearing a good fertilizer. 125 return shipping is too expensive, pants on freight 137 125 which is too expensive, can not accept.</v>
      </c>
    </row>
    <row r="2497">
      <c r="A2497" s="1">
        <v>1.0</v>
      </c>
      <c r="B2497" s="1" t="s">
        <v>2490</v>
      </c>
      <c r="C2497" t="str">
        <f>IFERROR(__xludf.DUMMYFUNCTION("GOOGLETRANSLATE(B2497, ""zh"", ""en"")"),"Melting into a large do not know what to say! 190 said yes, when the results received is a piece that I like a long time did not understand how it was. Considering the return too much trouble, direct throw away")</f>
        <v>Melting into a large do not know what to say! 190 said yes, when the results received is a piece that I like a long time did not understand how it was. Considering the return too much trouble, direct throw away</v>
      </c>
    </row>
    <row r="2498">
      <c r="A2498" s="1">
        <v>1.0</v>
      </c>
      <c r="B2498" s="1" t="s">
        <v>2491</v>
      </c>
      <c r="C2498" t="str">
        <f>IFERROR(__xludf.DUMMYFUNCTION("GOOGLETRANSLATE(B2498, ""zh"", ""en"")"),"Oh the kind with pictures of goods not as good? English words are black")</f>
        <v>Oh the kind with pictures of goods not as good? English words are black</v>
      </c>
    </row>
    <row r="2499">
      <c r="A2499" s="1">
        <v>4.0</v>
      </c>
      <c r="B2499" s="1" t="s">
        <v>2492</v>
      </c>
      <c r="C2499" t="str">
        <f>IFERROR(__xludf.DUMMYFUNCTION("GOOGLETRANSLATE(B2499, ""zh"", ""en"")"),"Very good feel good, the right size, 171cm, 72kg")</f>
        <v>Very good feel good, the right size, 171cm, 72kg</v>
      </c>
    </row>
    <row r="2500">
      <c r="A2500" s="1">
        <v>4.0</v>
      </c>
      <c r="B2500" s="1" t="s">
        <v>2493</v>
      </c>
      <c r="C2500" t="str">
        <f>IFERROR(__xludf.DUMMYFUNCTION("GOOGLETRANSLATE(B2500, ""zh"", ""en"")"),"After running smoothly, easily, hope to long-term use. In addition to the identification and obviously the others are good, just started a little awkward, a little light ink, then after a period of running more smoothly; F sharp easier than you think care"&amp;"fully, very satisfied. The main purpose of it is to buy quality and reliable classmate recommended, would like to spend a long time some of it. Thirty-four days without water can sum, but comes with the bag feel lighter in color ink, the ink still buy the"&amp;"ir own use.")</f>
        <v>After running smoothly, easily, hope to long-term use. In addition to the identification and obviously the others are good, just started a little awkward, a little light ink, then after a period of running more smoothly; F sharp easier than you think carefully, very satisfied. The main purpose of it is to buy quality and reliable classmate recommended, would like to spend a long time some of it. Thirty-four days without water can sum, but comes with the bag feel lighter in color ink, the ink still buy their own use.</v>
      </c>
    </row>
    <row r="2501">
      <c r="A2501" s="1">
        <v>4.0</v>
      </c>
      <c r="B2501" s="1" t="s">
        <v>2494</v>
      </c>
      <c r="C2501" t="str">
        <f>IFERROR(__xludf.DUMMYFUNCTION("GOOGLETRANSLATE(B2501, ""zh"", ""en"")"),"No 6 Trial Pack ah received the goods, the box did not seal, I do not know whom six are taken away, this is definitely a problem ah")</f>
        <v>No 6 Trial Pack ah received the goods, the box did not seal, I do not know whom six are taken away, this is definitely a problem ah</v>
      </c>
    </row>
    <row r="2502">
      <c r="A2502" s="1">
        <v>4.0</v>
      </c>
      <c r="B2502" s="1" t="s">
        <v>2495</v>
      </c>
      <c r="C2502" t="str">
        <f>IFERROR(__xludf.DUMMYFUNCTION("GOOGLETRANSLATE(B2502, ""zh"", ""en"")"),"Quality can be quality can be, I do not know why you want to install two, in fact, it is enough to use a")</f>
        <v>Quality can be quality can be, I do not know why you want to install two, in fact, it is enough to use a</v>
      </c>
    </row>
    <row r="2503">
      <c r="A2503" s="1">
        <v>4.0</v>
      </c>
      <c r="B2503" s="1" t="s">
        <v>2496</v>
      </c>
      <c r="C2503" t="str">
        <f>IFERROR(__xludf.DUMMYFUNCTION("GOOGLETRANSLATE(B2503, ""zh"", ""en"")"),"Like love, comfortable and breathable. After continuing to patronize.")</f>
        <v>Like love, comfortable and breathable. After continuing to patronize.</v>
      </c>
    </row>
    <row r="2504">
      <c r="A2504" s="1">
        <v>5.0</v>
      </c>
      <c r="B2504" s="1" t="s">
        <v>2497</v>
      </c>
      <c r="C2504" t="str">
        <f>IFERROR(__xludf.DUMMYFUNCTION("GOOGLETRANSLATE(B2504, ""zh"", ""en"")"),"Consider how to use the quality of the heart and then to pursue evaluation of good quality, very much.")</f>
        <v>Consider how to use the quality of the heart and then to pursue evaluation of good quality, very much.</v>
      </c>
    </row>
    <row r="2505">
      <c r="A2505" s="1">
        <v>5.0</v>
      </c>
      <c r="B2505" s="1" t="s">
        <v>2498</v>
      </c>
      <c r="C2505" t="str">
        <f>IFERROR(__xludf.DUMMYFUNCTION("GOOGLETRANSLATE(B2505, ""zh"", ""en"")"),"Easy to use, cost-effective very good, fast, cost-effective")</f>
        <v>Easy to use, cost-effective very good, fast, cost-effective</v>
      </c>
    </row>
    <row r="2506">
      <c r="A2506" s="1">
        <v>5.0</v>
      </c>
      <c r="B2506" s="1" t="s">
        <v>2499</v>
      </c>
      <c r="C2506" t="str">
        <f>IFERROR(__xludf.DUMMYFUNCTION("GOOGLETRANSLATE(B2506, ""zh"", ""en"")"),"Dial larger nice, it is a little big.")</f>
        <v>Dial larger nice, it is a little big.</v>
      </c>
    </row>
    <row r="2507">
      <c r="A2507" s="1">
        <v>5.0</v>
      </c>
      <c r="B2507" s="1" t="s">
        <v>2500</v>
      </c>
      <c r="C2507" t="str">
        <f>IFERROR(__xludf.DUMMYFUNCTION("GOOGLETRANSLATE(B2507, ""zh"", ""en"")"),"Pretty good system in a given time frame is received, and eat the")</f>
        <v>Pretty good system in a given time frame is received, and eat the</v>
      </c>
    </row>
    <row r="2508">
      <c r="A2508" s="1">
        <v>5.0</v>
      </c>
      <c r="B2508" s="1" t="s">
        <v>2501</v>
      </c>
      <c r="C2508" t="str">
        <f>IFERROR(__xludf.DUMMYFUNCTION("GOOGLETRANSLATE(B2508, ""zh"", ""en"")"),"Cost-effective prefer, just SHORT length.")</f>
        <v>Cost-effective prefer, just SHORT length.</v>
      </c>
    </row>
    <row r="2509">
      <c r="A2509" s="1">
        <v>5.0</v>
      </c>
      <c r="B2509" s="1" t="s">
        <v>2502</v>
      </c>
      <c r="C2509" t="str">
        <f>IFERROR(__xludf.DUMMYFUNCTION("GOOGLETRANSLATE(B2509, ""zh"", ""en"")"),"Code is very positive, very, very suitable for 39, usually 39 yards, before the tangle for a long time, watching the various comments, and finally bought the rhubarb is very fit, not cold Beijing winter wear.")</f>
        <v>Code is very positive, very, very suitable for 39, usually 39 yards, before the tangle for a long time, watching the various comments, and finally bought the rhubarb is very fit, not cold Beijing winter wear.</v>
      </c>
    </row>
    <row r="2510">
      <c r="A2510" s="1">
        <v>5.0</v>
      </c>
      <c r="B2510" s="1" t="s">
        <v>2503</v>
      </c>
      <c r="C2510" t="str">
        <f>IFERROR(__xludf.DUMMYFUNCTION("GOOGLETRANSLATE(B2510, ""zh"", ""en"")"),"Wonderful laces can also be very good, lace is not easy to use! The master of giving birth to the age, ZHANG, LIU Wen, Huang Kan, Fu, Zhou Zuoren, Liang Shih-chiu Hu, Qian Xuan Tong ... though not Zhixin yearning!")</f>
        <v>Wonderful laces can also be very good, lace is not easy to use! The master of giving birth to the age, ZHANG, LIU Wen, Huang Kan, Fu, Zhou Zuoren, Liang Shih-chiu Hu, Qian Xuan Tong ... though not Zhixin yearning!</v>
      </c>
    </row>
    <row r="2511">
      <c r="A2511" s="1">
        <v>5.0</v>
      </c>
      <c r="B2511" s="1" t="s">
        <v>2504</v>
      </c>
      <c r="C2511" t="str">
        <f>IFERROR(__xludf.DUMMYFUNCTION("GOOGLETRANSLATE(B2511, ""zh"", ""en"")"),"Amazon Price beautiful multi-angle brush the price of the most beautiful places, buy a tube for two years, electric toothbrush body is estimated to be barely holding on.")</f>
        <v>Amazon Price beautiful multi-angle brush the price of the most beautiful places, buy a tube for two years, electric toothbrush body is estimated to be barely holding on.</v>
      </c>
    </row>
    <row r="2512">
      <c r="A2512" s="1">
        <v>5.0</v>
      </c>
      <c r="B2512" s="1" t="s">
        <v>2505</v>
      </c>
      <c r="C2512" t="str">
        <f>IFERROR(__xludf.DUMMYFUNCTION("GOOGLETRANSLATE(B2512, ""zh"", ""en"")"),"Cute cute deer tableware tableware, fork it is suitable for your baby to eat fruit")</f>
        <v>Cute cute deer tableware tableware, fork it is suitable for your baby to eat fruit</v>
      </c>
    </row>
    <row r="2513">
      <c r="A2513" s="1">
        <v>5.0</v>
      </c>
      <c r="B2513" s="1" t="s">
        <v>2506</v>
      </c>
      <c r="C2513" t="str">
        <f>IFERROR(__xludf.DUMMYFUNCTION("GOOGLETRANSLATE(B2513, ""zh"", ""en"")"),"Good quality, worth buying! Good quality, worth buying! Wearing two years without deformation")</f>
        <v>Good quality, worth buying! Good quality, worth buying! Wearing two years without deformation</v>
      </c>
    </row>
    <row r="2514">
      <c r="A2514" s="1">
        <v>5.0</v>
      </c>
      <c r="B2514" s="1" t="s">
        <v>2507</v>
      </c>
      <c r="C2514" t="str">
        <f>IFERROR(__xludf.DUMMYFUNCTION("GOOGLETRANSLATE(B2514, ""zh"", ""en"")"),"Quality 👌 Express ultra-fast, and the bowl was the color and texture are very good, the children liked, you can use it to practice after dinner.")</f>
        <v>Quality 👌 Express ultra-fast, and the bowl was the color and texture are very good, the children liked, you can use it to practice after dinner.</v>
      </c>
    </row>
    <row r="2515">
      <c r="A2515" s="1">
        <v>5.0</v>
      </c>
      <c r="B2515" s="1" t="s">
        <v>2508</v>
      </c>
      <c r="C2515" t="str">
        <f>IFERROR(__xludf.DUMMYFUNCTION("GOOGLETRANSLATE(B2515, ""zh"", ""en"")"),"Very good movement, cup too large, bought a small one yard")</f>
        <v>Very good movement, cup too large, bought a small one yard</v>
      </c>
    </row>
    <row r="2516">
      <c r="A2516" s="1">
        <v>5.0</v>
      </c>
      <c r="B2516" s="1" t="s">
        <v>2509</v>
      </c>
      <c r="C2516" t="str">
        <f>IFERROR(__xludf.DUMMYFUNCTION("GOOGLETRANSLATE(B2516, ""zh"", ""en"")"),"Can also, pants 30, just this 80CM")</f>
        <v>Can also, pants 30, just this 80CM</v>
      </c>
    </row>
    <row r="2517">
      <c r="A2517" s="1">
        <v>5.0</v>
      </c>
      <c r="B2517" s="1" t="s">
        <v>2510</v>
      </c>
      <c r="C2517" t="str">
        <f>IFERROR(__xludf.DUMMYFUNCTION("GOOGLETRANSLATE(B2517, ""zh"", ""en"")"),"Comfortable and soft, and the comforts expected")</f>
        <v>Comfortable and soft, and the comforts expected</v>
      </c>
    </row>
    <row r="2518">
      <c r="A2518" s="1">
        <v>5.0</v>
      </c>
      <c r="B2518" s="1" t="s">
        <v>2511</v>
      </c>
      <c r="C2518" t="str">
        <f>IFERROR(__xludf.DUMMYFUNCTION("GOOGLETRANSLATE(B2518, ""zh"", ""en"")"),"Very good to protect the heart, concentrating convenience")</f>
        <v>Very good to protect the heart, concentrating convenience</v>
      </c>
    </row>
    <row r="2519">
      <c r="A2519" s="1">
        <v>5.0</v>
      </c>
      <c r="B2519" s="1" t="s">
        <v>2512</v>
      </c>
      <c r="C2519" t="str">
        <f>IFERROR(__xludf.DUMMYFUNCTION("GOOGLETRANSLATE(B2519, ""zh"", ""en"")"),"Japan has not licensed use, store goods in. Maternal and child domestic store Pigeon bottle, the bottom of the display is also made in Japan")</f>
        <v>Japan has not licensed use, store goods in. Maternal and child domestic store Pigeon bottle, the bottom of the display is also made in Japan</v>
      </c>
    </row>
    <row r="2520">
      <c r="A2520" s="1">
        <v>5.0</v>
      </c>
      <c r="B2520" s="1" t="s">
        <v>2513</v>
      </c>
      <c r="C2520" t="str">
        <f>IFERROR(__xludf.DUMMYFUNCTION("GOOGLETRANSLATE(B2520, ""zh"", ""en"")"),"SGW100 very nice, fancy compass function, color is also very nice.")</f>
        <v>SGW100 very nice, fancy compass function, color is also very nice.</v>
      </c>
    </row>
    <row r="2521">
      <c r="A2521" s="1">
        <v>5.0</v>
      </c>
      <c r="B2521" s="1" t="s">
        <v>2514</v>
      </c>
      <c r="C2521" t="str">
        <f>IFERROR(__xludf.DUMMYFUNCTION("GOOGLETRANSLATE(B2521, ""zh"", ""en"")"),"Pubic pain began to ease in the third trimester, well, a little ease pubic pain, or else walking is difficult, and persist in using should be good, given birth to continue to use, good quality ...............")</f>
        <v>Pubic pain began to ease in the third trimester, well, a little ease pubic pain, or else walking is difficult, and persist in using should be good, given birth to continue to use, good quality ...............</v>
      </c>
    </row>
    <row r="2522">
      <c r="A2522" s="1">
        <v>5.0</v>
      </c>
      <c r="B2522" s="1" t="s">
        <v>2515</v>
      </c>
      <c r="C2522" t="str">
        <f>IFERROR(__xludf.DUMMYFUNCTION("GOOGLETRANSLATE(B2522, ""zh"", ""en"")"),"Favorite brand very comfortable to wear ......")</f>
        <v>Favorite brand very comfortable to wear ......</v>
      </c>
    </row>
    <row r="2523">
      <c r="A2523" s="1">
        <v>5.0</v>
      </c>
      <c r="B2523" s="1" t="s">
        <v>2516</v>
      </c>
      <c r="C2523" t="str">
        <f>IFERROR(__xludf.DUMMYFUNCTION("GOOGLETRANSLATE(B2523, ""zh"", ""en"")"),"Cheap though a little big, but cheap ah")</f>
        <v>Cheap though a little big, but cheap ah</v>
      </c>
    </row>
    <row r="2524">
      <c r="A2524" s="1">
        <v>5.0</v>
      </c>
      <c r="B2524" s="1" t="s">
        <v>2517</v>
      </c>
      <c r="C2524" t="str">
        <f>IFERROR(__xludf.DUMMYFUNCTION("GOOGLETRANSLATE(B2524, ""zh"", ""en"")"),"Easy to Gorgon barley red bean stew to warm water for a few hours ~ ~ ~ ~ ~ ~ good ~ ~ first")</f>
        <v>Easy to Gorgon barley red bean stew to warm water for a few hours ~ ~ ~ ~ ~ ~ good ~ ~ first</v>
      </c>
    </row>
    <row r="2525">
      <c r="A2525" s="1">
        <v>2.0</v>
      </c>
      <c r="B2525" s="1" t="s">
        <v>2518</v>
      </c>
      <c r="C2525" t="str">
        <f>IFERROR(__xludf.DUMMYFUNCTION("GOOGLETRANSLATE(B2525, ""zh"", ""en"")"),"Pants pants bad is not good, not good upper body")</f>
        <v>Pants pants bad is not good, not good upper body</v>
      </c>
    </row>
    <row r="2526">
      <c r="A2526" s="1">
        <v>3.0</v>
      </c>
      <c r="B2526" s="1" t="s">
        <v>2519</v>
      </c>
      <c r="C2526" t="str">
        <f>IFERROR(__xludf.DUMMYFUNCTION("GOOGLETRANSLATE(B2526, ""zh"", ""en"")"),"No bright spots, there is no special law-abiding trough point, there is no bright spots, mainly due to the time to buy big bread is a front end is iphone, Direct Push headphones can not several, once hesitant to burn IE800, but he will not feel and spend "&amp;"more money on the front end of the amp, buy cheap chose to listen to the big bread 2")</f>
        <v>No bright spots, there is no special law-abiding trough point, there is no bright spots, mainly due to the time to buy big bread is a front end is iphone, Direct Push headphones can not several, once hesitant to burn IE800, but he will not feel and spend more money on the front end of the amp, buy cheap chose to listen to the big bread 2</v>
      </c>
    </row>
    <row r="2527">
      <c r="A2527" s="1">
        <v>3.0</v>
      </c>
      <c r="B2527" s="1" t="s">
        <v>2520</v>
      </c>
      <c r="C2527" t="str">
        <f>IFERROR(__xludf.DUMMYFUNCTION("GOOGLETRANSLATE(B2527, ""zh"", ""en"")"),"Size small size too small, can not wear, give as gifts")</f>
        <v>Size small size too small, can not wear, give as gifts</v>
      </c>
    </row>
    <row r="2528">
      <c r="A2528" s="1">
        <v>3.0</v>
      </c>
      <c r="B2528" s="1" t="s">
        <v>2521</v>
      </c>
      <c r="C2528" t="str">
        <f>IFERROR(__xludf.DUMMYFUNCTION("GOOGLETRANSLATE(B2528, ""zh"", ""en"")"),"This should be a waterproof cloth so hard to do and not feel like cotton canvas tarps do this should be so hard to feel like a canvas rather than cotton")</f>
        <v>This should be a waterproof cloth so hard to do and not feel like cotton canvas tarps do this should be so hard to feel like a canvas rather than cotton</v>
      </c>
    </row>
    <row r="2529">
      <c r="A2529" s="1">
        <v>1.0</v>
      </c>
      <c r="B2529" s="1" t="s">
        <v>2522</v>
      </c>
      <c r="C2529" t="str">
        <f>IFERROR(__xludf.DUMMYFUNCTION("GOOGLETRANSLATE(B2529, ""zh"", ""en"")"),"Six months on the bad use of less than six months to file damage was also told to call customers overseas shopping can not repair poor user experience since I will not use the purchased overseas do not have any guarantee.")</f>
        <v>Six months on the bad use of less than six months to file damage was also told to call customers overseas shopping can not repair poor user experience since I will not use the purchased overseas do not have any guarantee.</v>
      </c>
    </row>
    <row r="2530">
      <c r="A2530" s="1">
        <v>1.0</v>
      </c>
      <c r="B2530" s="1" t="s">
        <v>2523</v>
      </c>
      <c r="C2530" t="str">
        <f>IFERROR(__xludf.DUMMYFUNCTION("GOOGLETRANSLATE(B2530, ""zh"", ""en"")"),"Roadside goods, poor texture quality is poor, do not buy")</f>
        <v>Roadside goods, poor texture quality is poor, do not buy</v>
      </c>
    </row>
    <row r="2531">
      <c r="A2531" s="1">
        <v>4.0</v>
      </c>
      <c r="B2531" s="1" t="s">
        <v>2524</v>
      </c>
      <c r="C2531" t="str">
        <f>IFERROR(__xludf.DUMMYFUNCTION("GOOGLETRANSLATE(B2531, ""zh"", ""en"")"),"Bad clothes a little longer, to cover almost the middle of the thigh, general comfort, a sense of color a little old")</f>
        <v>Bad clothes a little longer, to cover almost the middle of the thigh, general comfort, a sense of color a little old</v>
      </c>
    </row>
    <row r="2532">
      <c r="A2532" s="1">
        <v>4.0</v>
      </c>
      <c r="B2532" s="1" t="s">
        <v>2525</v>
      </c>
      <c r="C2532" t="str">
        <f>IFERROR(__xludf.DUMMYFUNCTION("GOOGLETRANSLATE(B2532, ""zh"", ""en"")"),"BEEWAX color, larger than even ORIGINALS sent a box are not, ask customer service also dropped. . ORIGINALS larger than the bottom harder, not insoles. . Relatively affordable.")</f>
        <v>BEEWAX color, larger than even ORIGINALS sent a box are not, ask customer service also dropped. . ORIGINALS larger than the bottom harder, not insoles. . Relatively affordable.</v>
      </c>
    </row>
    <row r="2533">
      <c r="A2533" s="1">
        <v>4.0</v>
      </c>
      <c r="B2533" s="1" t="s">
        <v>2526</v>
      </c>
      <c r="C2533" t="str">
        <f>IFERROR(__xludf.DUMMYFUNCTION("GOOGLETRANSLATE(B2533, ""zh"", ""en"")"),"The sound quality can be, but not with the quality of a speaker playing an abnormal year and a half, people sound very small amount, now do not know where to repair, on Amazon's Web site could not find the customer service link, strange")</f>
        <v>The sound quality can be, but not with the quality of a speaker playing an abnormal year and a half, people sound very small amount, now do not know where to repair, on Amazon's Web site could not find the customer service link, strange</v>
      </c>
    </row>
    <row r="2534">
      <c r="A2534" s="1">
        <v>4.0</v>
      </c>
      <c r="B2534" s="1" t="s">
        <v>2527</v>
      </c>
      <c r="C2534" t="str">
        <f>IFERROR(__xludf.DUMMYFUNCTION("GOOGLETRANSLATE(B2534, ""zh"", ""en"")"),"Also did not buy before good Lai Sikang independent power supply switch switch will change the sonic boom would like this a lot better but like castration 4pre some features Amazon did not release the price is not bad mouth lightning")</f>
        <v>Also did not buy before good Lai Sikang independent power supply switch switch will change the sonic boom would like this a lot better but like castration 4pre some features Amazon did not release the price is not bad mouth lightning</v>
      </c>
    </row>
    <row r="2535">
      <c r="A2535" s="1">
        <v>5.0</v>
      </c>
      <c r="B2535" s="1" t="s">
        <v>2528</v>
      </c>
      <c r="C2535" t="str">
        <f>IFERROR(__xludf.DUMMYFUNCTION("GOOGLETRANSLATE(B2535, ""zh"", ""en"")"),"Shoes appropriate, color is color is very positive, usually buy domestic shoe size 40, this time to buy 8.5 yards, very appropriate, parcels received well, continue to buy shoes in the Amazon, it is suitable for us this Bigfoot.")</f>
        <v>Shoes appropriate, color is color is very positive, usually buy domestic shoe size 40, this time to buy 8.5 yards, very appropriate, parcels received well, continue to buy shoes in the Amazon, it is suitable for us this Bigfoot.</v>
      </c>
    </row>
    <row r="2536">
      <c r="A2536" s="1">
        <v>5.0</v>
      </c>
      <c r="B2536" s="1" t="s">
        <v>2529</v>
      </c>
      <c r="C2536" t="str">
        <f>IFERROR(__xludf.DUMMYFUNCTION("GOOGLETRANSLATE(B2536, ""zh"", ""en"")"),"Really good quality have been wearing CK underwear no sense of restraint")</f>
        <v>Really good quality have been wearing CK underwear no sense of restraint</v>
      </c>
    </row>
    <row r="2537">
      <c r="A2537" s="1">
        <v>5.0</v>
      </c>
      <c r="B2537" s="1" t="s">
        <v>2530</v>
      </c>
      <c r="C2537" t="str">
        <f>IFERROR(__xludf.DUMMYFUNCTION("GOOGLETRANSLATE(B2537, ""zh"", ""en"")"),"Sound quality than expected after some time spent is a qualitative change, high school bass and everything was balanced. Far more than I expected.")</f>
        <v>Sound quality than expected after some time spent is a qualitative change, high school bass and everything was balanced. Far more than I expected.</v>
      </c>
    </row>
    <row r="2538">
      <c r="A2538" s="1">
        <v>5.0</v>
      </c>
      <c r="B2538" s="1" t="s">
        <v>2531</v>
      </c>
      <c r="C2538" t="str">
        <f>IFERROR(__xludf.DUMMYFUNCTION("GOOGLETRANSLATE(B2538, ""zh"", ""en"")"),"Needless to say nice warm waterproof. Super-praise, at least inside waterproof shoes best shoes relatively heavy, leather is very hard, internal sutures have done waterproofing measures soles soft, there will come a stone on the ground concavity, however,"&amp;" precisely because of this practice, this sports shoes very convenient and comfortable foot hard, run off a variety of squatting is not a problem. Packaging is also very atmospheric. The last 5 minutes.")</f>
        <v>Needless to say nice warm waterproof. Super-praise, at least inside waterproof shoes best shoes relatively heavy, leather is very hard, internal sutures have done waterproofing measures soles soft, there will come a stone on the ground concavity, however, precisely because of this practice, this sports shoes very convenient and comfortable foot hard, run off a variety of squatting is not a problem. Packaging is also very atmospheric. The last 5 minutes.</v>
      </c>
    </row>
    <row r="2539">
      <c r="A2539" s="1">
        <v>5.0</v>
      </c>
      <c r="B2539" s="1" t="s">
        <v>2532</v>
      </c>
      <c r="C2539" t="str">
        <f>IFERROR(__xludf.DUMMYFUNCTION("GOOGLETRANSLATE(B2539, ""zh"", ""en"")"),"The same size, not thin shoes, very good! Ecco shoes and the same size, do not buy a bigger size. Very satisfied")</f>
        <v>The same size, not thin shoes, very good! Ecco shoes and the same size, do not buy a bigger size. Very satisfied</v>
      </c>
    </row>
    <row r="2540">
      <c r="A2540" s="1">
        <v>5.0</v>
      </c>
      <c r="B2540" s="1" t="s">
        <v>2533</v>
      </c>
      <c r="C2540" t="str">
        <f>IFERROR(__xludf.DUMMYFUNCTION("GOOGLETRANSLATE(B2540, ""zh"", ""en"")"),"Good merchant shipping soon, under a single afternoon to the next morning, good packaging, the product is genuine.")</f>
        <v>Good merchant shipping soon, under a single afternoon to the next morning, good packaging, the product is genuine.</v>
      </c>
    </row>
    <row r="2541">
      <c r="A2541" s="1">
        <v>5.0</v>
      </c>
      <c r="B2541" s="1" t="s">
        <v>2534</v>
      </c>
      <c r="C2541" t="str">
        <f>IFERROR(__xludf.DUMMYFUNCTION("GOOGLETRANSLATE(B2541, ""zh"", ""en"")"),"The full range of various colors for various types of pens.")</f>
        <v>The full range of various colors for various types of pens.</v>
      </c>
    </row>
    <row r="2542">
      <c r="A2542" s="1">
        <v>5.0</v>
      </c>
      <c r="B2542" s="1" t="s">
        <v>2535</v>
      </c>
      <c r="C2542" t="str">
        <f>IFERROR(__xludf.DUMMYFUNCTION("GOOGLETRANSLATE(B2542, ""zh"", ""en"")"),"Pretty good watch good, that is a bit small, my wrist thick.")</f>
        <v>Pretty good watch good, that is a bit small, my wrist thick.</v>
      </c>
    </row>
    <row r="2543">
      <c r="A2543" s="1">
        <v>5.0</v>
      </c>
      <c r="B2543" s="1" t="s">
        <v>2536</v>
      </c>
      <c r="C2543" t="str">
        <f>IFERROR(__xludf.DUMMYFUNCTION("GOOGLETRANSLATE(B2543, ""zh"", ""en"")"),"Comfortable, good thermal performance, size fit. Comfortable, good thermal performance, size fit.")</f>
        <v>Comfortable, good thermal performance, size fit. Comfortable, good thermal performance, size fit.</v>
      </c>
    </row>
    <row r="2544">
      <c r="A2544" s="1">
        <v>5.0</v>
      </c>
      <c r="B2544" s="1" t="s">
        <v>2537</v>
      </c>
      <c r="C2544" t="str">
        <f>IFERROR(__xludf.DUMMYFUNCTION("GOOGLETRANSLATE(B2544, ""zh"", ""en"")"),"Goods worth having received it, I liked it, very comfortable with them, scraping clean, worth buying!")</f>
        <v>Goods worth having received it, I liked it, very comfortable with them, scraping clean, worth buying!</v>
      </c>
    </row>
    <row r="2545">
      <c r="A2545" s="1">
        <v>5.0</v>
      </c>
      <c r="B2545" s="1" t="s">
        <v>2538</v>
      </c>
      <c r="C2545" t="str">
        <f>IFERROR(__xludf.DUMMYFUNCTION("GOOGLETRANSLATE(B2545, ""zh"", ""en"")"),"Bang Bang g of the very good, good quality.")</f>
        <v>Bang Bang g of the very good, good quality.</v>
      </c>
    </row>
    <row r="2546">
      <c r="A2546" s="1">
        <v>5.0</v>
      </c>
      <c r="B2546" s="1" t="s">
        <v>2539</v>
      </c>
      <c r="C2546" t="str">
        <f>IFERROR(__xludf.DUMMYFUNCTION("GOOGLETRANSLATE(B2546, ""zh"", ""en"")"),"Great !! excellent very good! ! Little noise! acceptable!")</f>
        <v>Great !! excellent very good! ! Little noise! acceptable!</v>
      </c>
    </row>
    <row r="2547">
      <c r="A2547" s="1">
        <v>5.0</v>
      </c>
      <c r="B2547" s="1" t="s">
        <v>2540</v>
      </c>
      <c r="C2547" t="str">
        <f>IFERROR(__xludf.DUMMYFUNCTION("GOOGLETRANSLATE(B2547, ""zh"", ""en"")"),"Affordable prices perfect start in the mall optimistic about it is over 1400, going to look at, then black five in the Amazon had been looking after a total of only spend one-under 800. Very good quality, now I feel pretty good, worth recommending.")</f>
        <v>Affordable prices perfect start in the mall optimistic about it is over 1400, going to look at, then black five in the Amazon had been looking after a total of only spend one-under 800. Very good quality, now I feel pretty good, worth recommending.</v>
      </c>
    </row>
    <row r="2548">
      <c r="A2548" s="1">
        <v>5.0</v>
      </c>
      <c r="B2548" s="1" t="s">
        <v>2541</v>
      </c>
      <c r="C2548" t="str">
        <f>IFERROR(__xludf.DUMMYFUNCTION("GOOGLETRANSLATE(B2548, ""zh"", ""en"")"),"Thick jeans awesome, Mexico production, thick, winter coat Bibei, cotton is not very good, fabrics hard! Worth the price!")</f>
        <v>Thick jeans awesome, Mexico production, thick, winter coat Bibei, cotton is not very good, fabrics hard! Worth the price!</v>
      </c>
    </row>
    <row r="2549">
      <c r="A2549" s="1">
        <v>5.0</v>
      </c>
      <c r="B2549" s="1" t="s">
        <v>2542</v>
      </c>
      <c r="C2549" t="str">
        <f>IFERROR(__xludf.DUMMYFUNCTION("GOOGLETRANSLATE(B2549, ""zh"", ""en"")"),"Happy for the first time to buy things on Amazon, not sure, I did not expect pretty good, beautiful prices")</f>
        <v>Happy for the first time to buy things on Amazon, not sure, I did not expect pretty good, beautiful prices</v>
      </c>
    </row>
    <row r="2550">
      <c r="A2550" s="1">
        <v>5.0</v>
      </c>
      <c r="B2550" s="1" t="s">
        <v>2543</v>
      </c>
      <c r="C2550" t="str">
        <f>IFERROR(__xludf.DUMMYFUNCTION("GOOGLETRANSLATE(B2550, ""zh"", ""en"")"),"Cole haan just about this brand, clothes very well.")</f>
        <v>Cole haan just about this brand, clothes very well.</v>
      </c>
    </row>
    <row r="2551">
      <c r="A2551" s="1">
        <v>5.0</v>
      </c>
      <c r="B2551" s="1" t="s">
        <v>2544</v>
      </c>
      <c r="C2551" t="str">
        <f>IFERROR(__xludf.DUMMYFUNCTION("GOOGLETRANSLATE(B2551, ""zh"", ""en"")"),"Good merchandise to buy to the mother to eat, very good day, a bargain price")</f>
        <v>Good merchandise to buy to the mother to eat, very good day, a bargain price</v>
      </c>
    </row>
    <row r="2552">
      <c r="A2552" s="1">
        <v>5.0</v>
      </c>
      <c r="B2552" s="1" t="s">
        <v>2545</v>
      </c>
      <c r="C2552" t="str">
        <f>IFERROR(__xludf.DUMMYFUNCTION("GOOGLETRANSLATE(B2552, ""zh"", ""en"")"),"Good quality very appropriate, work is rough, there are personality")</f>
        <v>Good quality very appropriate, work is rough, there are personality</v>
      </c>
    </row>
    <row r="2553">
      <c r="A2553" s="1">
        <v>5.0</v>
      </c>
      <c r="B2553" s="1" t="s">
        <v>2546</v>
      </c>
      <c r="C2553" t="str">
        <f>IFERROR(__xludf.DUMMYFUNCTION("GOOGLETRANSLATE(B2553, ""zh"", ""en"")"),"Can quasi numbers, but the pressure foot, the best shot freshman code")</f>
        <v>Can quasi numbers, but the pressure foot, the best shot freshman code</v>
      </c>
    </row>
    <row r="2554">
      <c r="A2554" s="1">
        <v>5.0</v>
      </c>
      <c r="B2554" s="1" t="s">
        <v>2547</v>
      </c>
      <c r="C2554" t="str">
        <f>IFERROR(__xludf.DUMMYFUNCTION("GOOGLETRANSLATE(B2554, ""zh"", ""en"")"),"Packaging intact packaging method is very clever, intact, given away, pregnant mother liked 😍")</f>
        <v>Packaging intact packaging method is very clever, intact, given away, pregnant mother liked 😍</v>
      </c>
    </row>
    <row r="2555">
      <c r="A2555" s="1">
        <v>5.0</v>
      </c>
      <c r="B2555" s="1" t="s">
        <v>2548</v>
      </c>
      <c r="C2555" t="str">
        <f>IFERROR(__xludf.DUMMYFUNCTION("GOOGLETRANSLATE(B2555, ""zh"", ""en"")"),"Good merchandise goods without any problems. Amazon machine translation of text presentation is open to question. ""Domestic manufacturers 2 year warranty"" refers to Japan ......")</f>
        <v>Good merchandise goods without any problems. Amazon machine translation of text presentation is open to question. "Domestic manufacturers 2 year warranty" refers to Japan ......</v>
      </c>
    </row>
    <row r="2556">
      <c r="A2556" s="1">
        <v>5.0</v>
      </c>
      <c r="B2556" s="1" t="s">
        <v>2549</v>
      </c>
      <c r="C2556" t="str">
        <f>IFERROR(__xludf.DUMMYFUNCTION("GOOGLETRANSLATE(B2556, ""zh"", ""en"")"),"No good super good super good to wear color well")</f>
        <v>No good super good super good to wear color well</v>
      </c>
    </row>
    <row r="2557">
      <c r="A2557" s="1">
        <v>2.0</v>
      </c>
      <c r="B2557" s="1" t="s">
        <v>2550</v>
      </c>
      <c r="C2557" t="str">
        <f>IFERROR(__xludf.DUMMYFUNCTION("GOOGLETRANSLATE(B2557, ""zh"", ""en"")"),"Shoe size is a little smaller! Really served this great God is inside you comment, usually 42 to wear Nike, see there commented that the shoe is too large, bought No. 8, on sale now simply can not wear, the top foot!")</f>
        <v>Shoe size is a little smaller! Really served this great God is inside you comment, usually 42 to wear Nike, see there commented that the shoe is too large, bought No. 8, on sale now simply can not wear, the top foot!</v>
      </c>
    </row>
    <row r="2558">
      <c r="A2558" s="1">
        <v>3.0</v>
      </c>
      <c r="B2558" s="1" t="s">
        <v>2551</v>
      </c>
      <c r="C2558" t="str">
        <f>IFERROR(__xludf.DUMMYFUNCTION("GOOGLETRANSLATE(B2558, ""zh"", ""en"")"),"Number small number is too small")</f>
        <v>Number small number is too small</v>
      </c>
    </row>
    <row r="2559">
      <c r="A2559" s="1">
        <v>3.0</v>
      </c>
      <c r="B2559" s="1" t="s">
        <v>2552</v>
      </c>
      <c r="C2559" t="str">
        <f>IFERROR(__xludf.DUMMYFUNCTION("GOOGLETRANSLATE(B2559, ""zh"", ""en"")"),"Feeling airtight general, look pretty, but do not know why I feel very airtight.")</f>
        <v>Feeling airtight general, look pretty, but do not know why I feel very airtight.</v>
      </c>
    </row>
    <row r="2560">
      <c r="A2560" s="1">
        <v>1.0</v>
      </c>
      <c r="B2560" s="1" t="s">
        <v>2553</v>
      </c>
      <c r="C2560" t="str">
        <f>IFERROR(__xludf.DUMMYFUNCTION("GOOGLETRANSLATE(B2560, ""zh"", ""en"")"),"Super hard not wear pants to buy back open and found, pants too hard, certainly not comfortable to wear. To request a return, then a bunch of English, very inconvenient not humane, the failure of shopping experience")</f>
        <v>Super hard not wear pants to buy back open and found, pants too hard, certainly not comfortable to wear. To request a return, then a bunch of English, very inconvenient not humane, the failure of shopping experience</v>
      </c>
    </row>
    <row r="2561">
      <c r="A2561" s="1">
        <v>1.0</v>
      </c>
      <c r="B2561" s="1" t="s">
        <v>2554</v>
      </c>
      <c r="C2561" t="str">
        <f>IFERROR(__xludf.DUMMYFUNCTION("GOOGLETRANSLATE(B2561, ""zh"", ""en"")"),"Poor quality with less than three months, the pointer will take off.")</f>
        <v>Poor quality with less than three months, the pointer will take off.</v>
      </c>
    </row>
    <row r="2562">
      <c r="A2562" s="1">
        <v>1.0</v>
      </c>
      <c r="B2562" s="1" t="s">
        <v>2555</v>
      </c>
      <c r="C2562" t="str">
        <f>IFERROR(__xludf.DUMMYFUNCTION("GOOGLETRANSLATE(B2562, ""zh"", ""en"")"),"Buy new shoes old shoes as you receive a new pair of shoes was obviously worn, dirty, badly worn, no new shoes production nameplate, very poor experience")</f>
        <v>Buy new shoes old shoes as you receive a new pair of shoes was obviously worn, dirty, badly worn, no new shoes production nameplate, very poor experience</v>
      </c>
    </row>
    <row r="2563">
      <c r="A2563" s="1">
        <v>4.0</v>
      </c>
      <c r="B2563" s="1" t="s">
        <v>2556</v>
      </c>
      <c r="C2563" t="str">
        <f>IFERROR(__xludf.DUMMYFUNCTION("GOOGLETRANSLATE(B2563, ""zh"", ""en"")"),"Okay for everyday wear domestic section of 36 × 32 Lee just, proper lumbar section of the United States, but slightly wider legs, to be a reference. In addition Tucao Amazon introduced sucks, it should indicate what the series, such as 724,743")</f>
        <v>Okay for everyday wear domestic section of 36 × 32 Lee just, proper lumbar section of the United States, but slightly wider legs, to be a reference. In addition Tucao Amazon introduced sucks, it should indicate what the series, such as 724,743</v>
      </c>
    </row>
    <row r="2564">
      <c r="A2564" s="1">
        <v>4.0</v>
      </c>
      <c r="B2564" s="1" t="s">
        <v>2557</v>
      </c>
      <c r="C2564" t="str">
        <f>IFERROR(__xludf.DUMMYFUNCTION("GOOGLETRANSLATE(B2564, ""zh"", ""en"")"),"Good good shoes, Indonesia production, a little too large Code 39")</f>
        <v>Good good shoes, Indonesia production, a little too large Code 39</v>
      </c>
    </row>
    <row r="2565">
      <c r="A2565" s="1">
        <v>4.0</v>
      </c>
      <c r="B2565" s="1" t="s">
        <v>2558</v>
      </c>
      <c r="C2565" t="str">
        <f>IFERROR(__xludf.DUMMYFUNCTION("GOOGLETRANSLATE(B2565, ""zh"", ""en"")"),"Strap bad. Whole can, strap too bad. A little sad 😭")</f>
        <v>Strap bad. Whole can, strap too bad. A little sad 😭</v>
      </c>
    </row>
    <row r="2566">
      <c r="A2566" s="1">
        <v>4.0</v>
      </c>
      <c r="B2566" s="1" t="s">
        <v>2559</v>
      </c>
      <c r="C2566" t="str">
        <f>IFERROR(__xludf.DUMMYFUNCTION("GOOGLETRANSLATE(B2566, ""zh"", ""en"")"),"In the country to buy cost-effective than the cheaper, high 160, nearly 120, the sleeves a little longer suitable base")</f>
        <v>In the country to buy cost-effective than the cheaper, high 160, nearly 120, the sleeves a little longer suitable base</v>
      </c>
    </row>
    <row r="2567">
      <c r="A2567" s="1">
        <v>4.0</v>
      </c>
      <c r="B2567" s="1" t="s">
        <v>2560</v>
      </c>
      <c r="C2567" t="str">
        <f>IFERROR(__xludf.DUMMYFUNCTION("GOOGLETRANSLATE(B2567, ""zh"", ""en"")"),"Recommended by the sports shoe size, buy a widened version. 25cm foot length. 40 shoes, sports shoes 41, 7.5W buy very appropriate, as recommended by sports shoe size, buy widened Edition. real. . . Well, Tucao quality, get our hands on look at the shoe t"&amp;"ongue, from the Philippines, my heart pull pull cool cool. Immediately check the circle, two shoes at a total of 3 small unglued. I had wanted to retire, leaving his last deal. Two months later added: This is in addition to shoes unglued, the other are pr"&amp;"etty good. January climb a total of more than 100 km on foot. In the snow and ice wearing crampons on more than 50 kilometers down the mountain, without any leaks and damage, keep warm. Feet more comfortable. This winter outdoors or full leather wear some"&amp;" good.")</f>
        <v>Recommended by the sports shoe size, buy a widened version. 25cm foot length. 40 shoes, sports shoes 41, 7.5W buy very appropriate, as recommended by sports shoe size, buy widened Edition. real. . . Well, Tucao quality, get our hands on look at the shoe tongue, from the Philippines, my heart pull pull cool cool. Immediately check the circle, two shoes at a total of 3 small unglued. I had wanted to retire, leaving his last deal. Two months later added: This is in addition to shoes unglued, the other are pretty good. January climb a total of more than 100 km on foot. In the snow and ice wearing crampons on more than 50 kilometers down the mountain, without any leaks and damage, keep warm. Feet more comfortable. This winter outdoors or full leather wear some good.</v>
      </c>
    </row>
    <row r="2568">
      <c r="A2568" s="1">
        <v>5.0</v>
      </c>
      <c r="B2568" s="1" t="s">
        <v>2561</v>
      </c>
      <c r="C2568" t="str">
        <f>IFERROR(__xludf.DUMMYFUNCTION("GOOGLETRANSLATE(B2568, ""zh"", ""en"")"),"First, very good pants long pants legs just to pay attention. Short changed since tearing knee with anti-squat feature substandard. Anti-pull water capacity, but rain still flooding. Elastic big, suitable for outdoor hiking mountaineering. Sunscreen sunsc"&amp;"reen does not clear. A little more than two hundred, a lot cheaper than domestic! value!")</f>
        <v>First, very good pants long pants legs just to pay attention. Short changed since tearing knee with anti-squat feature substandard. Anti-pull water capacity, but rain still flooding. Elastic big, suitable for outdoor hiking mountaineering. Sunscreen sunscreen does not clear. A little more than two hundred, a lot cheaper than domestic! value!</v>
      </c>
    </row>
    <row r="2569">
      <c r="A2569" s="1">
        <v>5.0</v>
      </c>
      <c r="B2569" s="1" t="s">
        <v>2562</v>
      </c>
      <c r="C2569" t="str">
        <f>IFERROR(__xludf.DUMMYFUNCTION("GOOGLETRANSLATE(B2569, ""zh"", ""en"")"),"Others are okay, and went, the faster will be used more than 10 days, 3 seconds faster now")</f>
        <v>Others are okay, and went, the faster will be used more than 10 days, 3 seconds faster now</v>
      </c>
    </row>
    <row r="2570">
      <c r="A2570" s="1">
        <v>5.0</v>
      </c>
      <c r="B2570" s="1" t="s">
        <v>2563</v>
      </c>
      <c r="C2570" t="str">
        <f>IFERROR(__xludf.DUMMYFUNCTION("GOOGLETRANSLATE(B2570, ""zh"", ""en"")"),"Comfortable material is very comfortable, very warm, ready to help his mother buy a.")</f>
        <v>Comfortable material is very comfortable, very warm, ready to help his mother buy a.</v>
      </c>
    </row>
    <row r="2571">
      <c r="A2571" s="1">
        <v>5.0</v>
      </c>
      <c r="B2571" s="1" t="s">
        <v>2564</v>
      </c>
      <c r="C2571" t="str">
        <f>IFERROR(__xludf.DUMMYFUNCTION("GOOGLETRANSLATE(B2571, ""zh"", ""en"")"),"Freshen breath for a long time been using this mouthwash, very good, but packaged with me on a treasure purchasing slightly different packaging, but the effect looks as good as")</f>
        <v>Freshen breath for a long time been using this mouthwash, very good, but packaged with me on a treasure purchasing slightly different packaging, but the effect looks as good as</v>
      </c>
    </row>
    <row r="2572">
      <c r="A2572" s="1">
        <v>5.0</v>
      </c>
      <c r="B2572" s="1" t="s">
        <v>2565</v>
      </c>
      <c r="C2572" t="str">
        <f>IFERROR(__xludf.DUMMYFUNCTION("GOOGLETRANSLATE(B2572, ""zh"", ""en"")"),"Stainless steel cutlery set of cutlery can be good, bought several sets, the casing can be removed for easy cleaning.")</f>
        <v>Stainless steel cutlery set of cutlery can be good, bought several sets, the casing can be removed for easy cleaning.</v>
      </c>
    </row>
    <row r="2573">
      <c r="A2573" s="1">
        <v>5.0</v>
      </c>
      <c r="B2573" s="1" t="s">
        <v>2566</v>
      </c>
      <c r="C2573" t="str">
        <f>IFERROR(__xludf.DUMMYFUNCTION("GOOGLETRANSLATE(B2573, ""zh"", ""en"")"),"Fit height 172, weight 146, M number, longer sleeves. Something very good!")</f>
        <v>Fit height 172, weight 146, M number, longer sleeves. Something very good!</v>
      </c>
    </row>
    <row r="2574">
      <c r="A2574" s="1">
        <v>5.0</v>
      </c>
      <c r="B2574" s="1" t="s">
        <v>2567</v>
      </c>
      <c r="C2574" t="str">
        <f>IFERROR(__xludf.DUMMYFUNCTION("GOOGLETRANSLATE(B2574, ""zh"", ""en"")"),"Instructions Manual is no Chinese version")</f>
        <v>Instructions Manual is no Chinese version</v>
      </c>
    </row>
    <row r="2575">
      <c r="A2575" s="1">
        <v>5.0</v>
      </c>
      <c r="B2575" s="1" t="s">
        <v>2568</v>
      </c>
      <c r="C2575" t="str">
        <f>IFERROR(__xludf.DUMMYFUNCTION("GOOGLETRANSLATE(B2575, ""zh"", ""en"")"),"Good quality of good quality but a big yard to buy ha ha ha")</f>
        <v>Good quality of good quality but a big yard to buy ha ha ha</v>
      </c>
    </row>
    <row r="2576">
      <c r="A2576" s="1">
        <v>5.0</v>
      </c>
      <c r="B2576" s="1" t="s">
        <v>2569</v>
      </c>
      <c r="C2576" t="str">
        <f>IFERROR(__xludf.DUMMYFUNCTION("GOOGLETRANSLATE(B2576, ""zh"", ""en"")"),"Baby like a beautiful, high color value. Get new cutlery, baby to play for a long time, small spoon fork put it down!")</f>
        <v>Baby like a beautiful, high color value. Get new cutlery, baby to play for a long time, small spoon fork put it down!</v>
      </c>
    </row>
    <row r="2577">
      <c r="A2577" s="1">
        <v>5.0</v>
      </c>
      <c r="B2577" s="1" t="s">
        <v>2570</v>
      </c>
      <c r="C2577" t="str">
        <f>IFERROR(__xludf.DUMMYFUNCTION("GOOGLETRANSLATE(B2577, ""zh"", ""en"")"),"Affordable good to wear with the shoes as good imagination")</f>
        <v>Affordable good to wear with the shoes as good imagination</v>
      </c>
    </row>
    <row r="2578">
      <c r="A2578" s="1">
        <v>5.0</v>
      </c>
      <c r="B2578" s="1" t="s">
        <v>2571</v>
      </c>
      <c r="C2578" t="str">
        <f>IFERROR(__xludf.DUMMYFUNCTION("GOOGLETRANSLATE(B2578, ""zh"", ""en"")"),"Hornet, Shuai usually wear 37 yards 5 or slightly larger code M a little, but is bought winter wear, perfectly acceptable.")</f>
        <v>Hornet, Shuai usually wear 37 yards 5 or slightly larger code M a little, but is bought winter wear, perfectly acceptable.</v>
      </c>
    </row>
    <row r="2579">
      <c r="A2579" s="1">
        <v>5.0</v>
      </c>
      <c r="B2579" s="1" t="s">
        <v>2572</v>
      </c>
      <c r="C2579" t="str">
        <f>IFERROR(__xludf.DUMMYFUNCTION("GOOGLETRANSLATE(B2579, ""zh"", ""en"")"),"Clothes to buy small, turn received clothes, clothes no problem in itself, but I bought a small, in need can find me, I'm not through.")</f>
        <v>Clothes to buy small, turn received clothes, clothes no problem in itself, but I bought a small, in need can find me, I'm not through.</v>
      </c>
    </row>
    <row r="2580">
      <c r="A2580" s="1">
        <v>5.0</v>
      </c>
      <c r="B2580" s="1" t="s">
        <v>2573</v>
      </c>
      <c r="C2580" t="str">
        <f>IFERROR(__xludf.DUMMYFUNCTION("GOOGLETRANSLATE(B2580, ""zh"", ""en"")"),"Very comfortable, but not tight body sculpting abdomen effect is very good, is not tight")</f>
        <v>Very comfortable, but not tight body sculpting abdomen effect is very good, is not tight</v>
      </c>
    </row>
    <row r="2581">
      <c r="A2581" s="1">
        <v>5.0</v>
      </c>
      <c r="B2581" s="1" t="s">
        <v>2574</v>
      </c>
      <c r="C2581" t="str">
        <f>IFERROR(__xludf.DUMMYFUNCTION("GOOGLETRANSLATE(B2581, ""zh"", ""en"")"),"The right size, comfortable fabrics girlfriend really like, say very comfortable")</f>
        <v>The right size, comfortable fabrics girlfriend really like, say very comfortable</v>
      </c>
    </row>
    <row r="2582">
      <c r="A2582" s="1">
        <v>5.0</v>
      </c>
      <c r="B2582" s="1" t="s">
        <v>2575</v>
      </c>
      <c r="C2582" t="str">
        <f>IFERROR(__xludf.DUMMYFUNCTION("GOOGLETRANSLATE(B2582, ""zh"", ""en"")"),"Good things have been using, trust Pitt Zander.")</f>
        <v>Good things have been using, trust Pitt Zander.</v>
      </c>
    </row>
    <row r="2583">
      <c r="A2583" s="1">
        <v>5.0</v>
      </c>
      <c r="B2583" s="1" t="s">
        <v>2576</v>
      </c>
      <c r="C2583" t="str">
        <f>IFERROR(__xludf.DUMMYFUNCTION("GOOGLETRANSLATE(B2583, ""zh"", ""en"")"),"It should be pretty good pretty good")</f>
        <v>It should be pretty good pretty good</v>
      </c>
    </row>
    <row r="2584">
      <c r="A2584" s="1">
        <v>5.0</v>
      </c>
      <c r="B2584" s="1" t="s">
        <v>2577</v>
      </c>
      <c r="C2584" t="str">
        <f>IFERROR(__xludf.DUMMYFUNCTION("GOOGLETRANSLATE(B2584, ""zh"", ""en"")"),"Accounting about 19 one, two box store, but it is not the lowest, now is not much good price. Figure is not the sun, on the map Amazon is really all that we've used shopping sites in the most stupid, not one.")</f>
        <v>Accounting about 19 one, two box store, but it is not the lowest, now is not much good price. Figure is not the sun, on the map Amazon is really all that we've used shopping sites in the most stupid, not one.</v>
      </c>
    </row>
    <row r="2585">
      <c r="A2585" s="1">
        <v>5.0</v>
      </c>
      <c r="B2585" s="1" t="s">
        <v>2578</v>
      </c>
      <c r="C2585" t="str">
        <f>IFERROR(__xludf.DUMMYFUNCTION("GOOGLETRANSLATE(B2585, ""zh"", ""en"")"),"Cute super cute ah, good insulation effect")</f>
        <v>Cute super cute ah, good insulation effect</v>
      </c>
    </row>
    <row r="2586">
      <c r="A2586" s="1">
        <v>5.0</v>
      </c>
      <c r="B2586" s="1" t="s">
        <v>2579</v>
      </c>
      <c r="C2586" t="str">
        <f>IFERROR(__xludf.DUMMYFUNCTION("GOOGLETRANSLATE(B2586, ""zh"", ""en"")"),"Large overseas purchase cheap price advantage, hand packaging intact, built emaz helium disk, test no bad sectors.")</f>
        <v>Large overseas purchase cheap price advantage, hand packaging intact, built emaz helium disk, test no bad sectors.</v>
      </c>
    </row>
    <row r="2587">
      <c r="A2587" s="1">
        <v>5.0</v>
      </c>
      <c r="B2587" s="1" t="s">
        <v>2580</v>
      </c>
      <c r="C2587" t="str">
        <f>IFERROR(__xludf.DUMMYFUNCTION("GOOGLETRANSLATE(B2587, ""zh"", ""en"")"),"Recommended very good, very like, code number is right.")</f>
        <v>Recommended very good, very like, code number is right.</v>
      </c>
    </row>
    <row r="2588">
      <c r="A2588" s="1">
        <v>5.0</v>
      </c>
      <c r="B2588" s="1" t="s">
        <v>2581</v>
      </c>
      <c r="C2588" t="str">
        <f>IFERROR(__xludf.DUMMYFUNCTION("GOOGLETRANSLATE(B2588, ""zh"", ""en"")"),"Very good right size, color is also very positive")</f>
        <v>Very good right size, color is also very positive</v>
      </c>
    </row>
    <row r="2589">
      <c r="A2589" s="1">
        <v>5.0</v>
      </c>
      <c r="B2589" s="1" t="s">
        <v>2582</v>
      </c>
      <c r="C2589" t="str">
        <f>IFERROR(__xludf.DUMMYFUNCTION("GOOGLETRANSLATE(B2589, ""zh"", ""en"")"),"Clean clear water floss very good a product, a good shopping experience. More user-friendly products, both to clean the mouth, and massage the gums ...... wife is in love with this product")</f>
        <v>Clean clear water floss very good a product, a good shopping experience. More user-friendly products, both to clean the mouth, and massage the gums ...... wife is in love with this product</v>
      </c>
    </row>
    <row r="2590">
      <c r="A2590" s="1">
        <v>2.0</v>
      </c>
      <c r="B2590" s="1" t="s">
        <v>2583</v>
      </c>
      <c r="C2590" t="str">
        <f>IFERROR(__xludf.DUMMYFUNCTION("GOOGLETRANSLATE(B2590, ""zh"", ""en"")"),"Pictures with the kind of difference is too big picture shows a partial khaki, but the shoes are dark brown. . . And shoes ,,, heavy heavy heavy ,,,, ,,,, important things to say three times. . . Wear very easily tired. I finally know why the shoe so much"&amp;" a bad review. . I am one of the victims.")</f>
        <v>Pictures with the kind of difference is too big picture shows a partial khaki, but the shoes are dark brown. . . And shoes ,,, heavy heavy heavy ,,,, ,,,, important things to say three times. . . Wear very easily tired. I finally know why the shoe so much a bad review. . I am one of the victims.</v>
      </c>
    </row>
    <row r="2591">
      <c r="A2591" s="1">
        <v>3.0</v>
      </c>
      <c r="B2591" s="1" t="s">
        <v>2584</v>
      </c>
      <c r="C2591" t="str">
        <f>IFERROR(__xludf.DUMMYFUNCTION("GOOGLETRANSLATE(B2591, ""zh"", ""en"")"),"Material nice clothes too large Height 183 74KG L number turned out to be too hip, What the hell? I was short and not good enough for your little L No. Why?")</f>
        <v>Material nice clothes too large Height 183 74KG L number turned out to be too hip, What the hell? I was short and not good enough for your little L No. Why?</v>
      </c>
    </row>
    <row r="2592">
      <c r="A2592" s="1">
        <v>3.0</v>
      </c>
      <c r="B2592" s="1" t="s">
        <v>2585</v>
      </c>
      <c r="C2592" t="str">
        <f>IFERROR(__xludf.DUMMYFUNCTION("GOOGLETRANSLATE(B2592, ""zh"", ""en"")"),"Han soft ground such as bananas can also wear soft can be. A little hard to die.")</f>
        <v>Han soft ground such as bananas can also wear soft can be. A little hard to die.</v>
      </c>
    </row>
    <row r="2593">
      <c r="A2593" s="1">
        <v>3.0</v>
      </c>
      <c r="B2593" s="1" t="s">
        <v>2586</v>
      </c>
      <c r="C2593" t="str">
        <f>IFERROR(__xludf.DUMMYFUNCTION("GOOGLETRANSLATE(B2593, ""zh"", ""en"")"),"Spoons to spoon out this fall Phi Phi Yeah, actually I faint expensive dish out to Phi Phi, can not account for what's hot, can not give the baby with, are afraid to dish with hot water, and do not know will not be out")</f>
        <v>Spoons to spoon out this fall Phi Phi Yeah, actually I faint expensive dish out to Phi Phi, can not account for what's hot, can not give the baby with, are afraid to dish with hot water, and do not know will not be out</v>
      </c>
    </row>
    <row r="2594">
      <c r="A2594" s="1">
        <v>1.0</v>
      </c>
      <c r="B2594" s="1" t="s">
        <v>2587</v>
      </c>
      <c r="C2594" t="str">
        <f>IFERROR(__xludf.DUMMYFUNCTION("GOOGLETRANSLATE(B2594, ""zh"", ""en"")"),"Be careful to buy, I bought two have had a problem. Discounts and customer service that's inconsistent with the actual refund. Bought two, thinking this might buy a Japanese version of a little better, the results beat his face, and the dust cup place coc"&amp;"ked to cover uneven. Communicate with customer service, said two ways to solve, it is to buy back what information or even fill a discount. Thinking watertight, easy to map, I chose a discount, but not Bluff Oh, discounts and inconsistent to say the final"&amp;" refund. This is not a question of a little money, I also had to give this credibility. I may still not be suitable for Amazon.")</f>
        <v>Be careful to buy, I bought two have had a problem. Discounts and customer service that's inconsistent with the actual refund. Bought two, thinking this might buy a Japanese version of a little better, the results beat his face, and the dust cup place cocked to cover uneven. Communicate with customer service, said two ways to solve, it is to buy back what information or even fill a discount. Thinking watertight, easy to map, I chose a discount, but not Bluff Oh, discounts and inconsistent to say the final refund. This is not a question of a little money, I also had to give this credibility. I may still not be suitable for Amazon.</v>
      </c>
    </row>
    <row r="2595">
      <c r="A2595" s="1">
        <v>1.0</v>
      </c>
      <c r="B2595" s="1" t="s">
        <v>2588</v>
      </c>
      <c r="C2595" t="str">
        <f>IFERROR(__xludf.DUMMYFUNCTION("GOOGLETRANSLATE(B2595, ""zh"", ""en"")"),"Why eat pulled and stomach pain but I like 17 years old, an eat for two days, every day I say give her a laxative? 4 times more than one day pull a stomach still hurt, we do have such symptoms")</f>
        <v>Why eat pulled and stomach pain but I like 17 years old, an eat for two days, every day I say give her a laxative? 4 times more than one day pull a stomach still hurt, we do have such symptoms</v>
      </c>
    </row>
    <row r="2596">
      <c r="A2596" s="1">
        <v>4.0</v>
      </c>
      <c r="B2596" s="1" t="s">
        <v>2589</v>
      </c>
      <c r="C2596" t="str">
        <f>IFERROR(__xludf.DUMMYFUNCTION("GOOGLETRANSLATE(B2596, ""zh"", ""en"")"),"Basically satisfied with a high degree of color saturation, the version is very good, elastic big enough. The only drawback is the next hot water (sterilization) would fade, and stained my white underpants CK was blue. . . Than the domestic price to buy c"&amp;"ost-effective.")</f>
        <v>Basically satisfied with a high degree of color saturation, the version is very good, elastic big enough. The only drawback is the next hot water (sterilization) would fade, and stained my white underpants CK was blue. . . Than the domestic price to buy cost-effective.</v>
      </c>
    </row>
    <row r="2597">
      <c r="A2597" s="1">
        <v>4.0</v>
      </c>
      <c r="B2597" s="1" t="s">
        <v>2590</v>
      </c>
      <c r="C2597" t="str">
        <f>IFERROR(__xludf.DUMMYFUNCTION("GOOGLETRANSLATE(B2597, ""zh"", ""en"")"),"Some like long sleeves loose points, not thick, suitable for spring wear")</f>
        <v>Some like long sleeves loose points, not thick, suitable for spring wear</v>
      </c>
    </row>
    <row r="2598">
      <c r="A2598" s="1">
        <v>4.0</v>
      </c>
      <c r="B2598" s="1" t="s">
        <v>2591</v>
      </c>
      <c r="C2598" t="str">
        <f>IFERROR(__xludf.DUMMYFUNCTION("GOOGLETRANSLATE(B2598, ""zh"", ""en"")"),"Good fit just set foot on the small white-collar professional positions")</f>
        <v>Good fit just set foot on the small white-collar professional positions</v>
      </c>
    </row>
    <row r="2599">
      <c r="A2599" s="1">
        <v>4.0</v>
      </c>
      <c r="B2599" s="1" t="s">
        <v>2592</v>
      </c>
      <c r="C2599" t="str">
        <f>IFERROR(__xludf.DUMMYFUNCTION("GOOGLETRANSLATE(B2599, ""zh"", ""en"")"),"Long sleeves good material, some long sleeves, need to change")</f>
        <v>Long sleeves good material, some long sleeves, need to change</v>
      </c>
    </row>
    <row r="2600">
      <c r="A2600" s="1">
        <v>4.0</v>
      </c>
      <c r="B2600" s="1" t="s">
        <v>2593</v>
      </c>
      <c r="C2600" t="str">
        <f>IFERROR(__xludf.DUMMYFUNCTION("GOOGLETRANSLATE(B2600, ""zh"", ""en"")"),"High cost small size one yard, usually wear 33. This waist-one yards")</f>
        <v>High cost small size one yard, usually wear 33. This waist-one yards</v>
      </c>
    </row>
    <row r="2601">
      <c r="A2601" s="1">
        <v>5.0</v>
      </c>
      <c r="B2601" s="1" t="s">
        <v>2594</v>
      </c>
      <c r="C2601" t="str">
        <f>IFERROR(__xludf.DUMMYFUNCTION("GOOGLETRANSLATE(B2601, ""zh"", ""en"")"),"Good to buy things on Amazon overseas, shoes must try to store a good number dare to buy, relatively cheap and very comfortable.")</f>
        <v>Good to buy things on Amazon overseas, shoes must try to store a good number dare to buy, relatively cheap and very comfortable.</v>
      </c>
    </row>
    <row r="2602">
      <c r="A2602" s="1">
        <v>5.0</v>
      </c>
      <c r="B2602" s="1" t="s">
        <v>2595</v>
      </c>
      <c r="C2602" t="str">
        <f>IFERROR(__xludf.DUMMYFUNCTION("GOOGLETRANSLATE(B2602, ""zh"", ""en"")"),"More than the domestic prices of conscience as shown in color, is what I want")</f>
        <v>More than the domestic prices of conscience as shown in color, is what I want</v>
      </c>
    </row>
    <row r="2603">
      <c r="A2603" s="1">
        <v>5.0</v>
      </c>
      <c r="B2603" s="1" t="s">
        <v>2596</v>
      </c>
      <c r="C2603" t="str">
        <f>IFERROR(__xludf.DUMMYFUNCTION("GOOGLETRANSLATE(B2603, ""zh"", ""en"")"),"Cotton size, size appropriate, 165,65 kg, M code appropriate, packaging is also very good, good! ! ! And about the same size Japanese version")</f>
        <v>Cotton size, size appropriate, 165,65 kg, M code appropriate, packaging is also very good, good! ! ! And about the same size Japanese version</v>
      </c>
    </row>
    <row r="2604">
      <c r="A2604" s="1">
        <v>5.0</v>
      </c>
      <c r="B2604" s="1" t="s">
        <v>2597</v>
      </c>
      <c r="C2604" t="str">
        <f>IFERROR(__xludf.DUMMYFUNCTION("GOOGLETRANSLATE(B2604, ""zh"", ""en"")"),"It's lightweight and compact like most simple, if there is a filter to perfect")</f>
        <v>It's lightweight and compact like most simple, if there is a filter to perfect</v>
      </c>
    </row>
    <row r="2605">
      <c r="A2605" s="1">
        <v>5.0</v>
      </c>
      <c r="B2605" s="1" t="s">
        <v>2598</v>
      </c>
      <c r="C2605" t="str">
        <f>IFERROR(__xludf.DUMMYFUNCTION("GOOGLETRANSLATE(B2605, ""zh"", ""en"")"),"Good taste very good, very fond of children")</f>
        <v>Good taste very good, very fond of children</v>
      </c>
    </row>
    <row r="2606">
      <c r="A2606" s="1">
        <v>5.0</v>
      </c>
      <c r="B2606" s="1" t="s">
        <v>2599</v>
      </c>
      <c r="C2606" t="str">
        <f>IFERROR(__xludf.DUMMYFUNCTION("GOOGLETRANSLATE(B2606, ""zh"", ""en"")"),"Good good, very good! Yes Yes Yes Yes")</f>
        <v>Good good, very good! Yes Yes Yes Yes</v>
      </c>
    </row>
    <row r="2607">
      <c r="A2607" s="1">
        <v>5.0</v>
      </c>
      <c r="B2607" s="1" t="s">
        <v>2600</v>
      </c>
      <c r="C2607" t="str">
        <f>IFERROR(__xludf.DUMMYFUNCTION("GOOGLETRANSLATE(B2607, ""zh"", ""en"")"),"Very good length sweater is appropriate. If the chest is relatively large, it is estimated will be a little tight.")</f>
        <v>Very good length sweater is appropriate. If the chest is relatively large, it is estimated will be a little tight.</v>
      </c>
    </row>
    <row r="2608">
      <c r="A2608" s="1">
        <v>5.0</v>
      </c>
      <c r="B2608" s="1" t="s">
        <v>2601</v>
      </c>
      <c r="C2608" t="str">
        <f>IFERROR(__xludf.DUMMYFUNCTION("GOOGLETRANSLATE(B2608, ""zh"", ""en"")"),"This shoe is great buying experience is very good, good quality shoes. Next time will continue to buy.")</f>
        <v>This shoe is great buying experience is very good, good quality shoes. Next time will continue to buy.</v>
      </c>
    </row>
    <row r="2609">
      <c r="A2609" s="1">
        <v>5.0</v>
      </c>
      <c r="B2609" s="1" t="s">
        <v>2602</v>
      </c>
      <c r="C2609" t="str">
        <f>IFERROR(__xludf.DUMMYFUNCTION("GOOGLETRANSLATE(B2609, ""zh"", ""en"")"),"Wearing very comfortable to enjoy a good movie music, subwoofer. Suitable for spring and autumn and winter wear, summer wear will be hot, wearing a time not too long. Sound insulation OK")</f>
        <v>Wearing very comfortable to enjoy a good movie music, subwoofer. Suitable for spring and autumn and winter wear, summer wear will be hot, wearing a time not too long. Sound insulation OK</v>
      </c>
    </row>
    <row r="2610">
      <c r="A2610" s="1">
        <v>5.0</v>
      </c>
      <c r="B2610" s="1" t="s">
        <v>2603</v>
      </c>
      <c r="C2610" t="str">
        <f>IFERROR(__xludf.DUMMYFUNCTION("GOOGLETRANSLATE(B2610, ""zh"", ""en"")"),"A nice white shoes and work shoes are a nice white shoes, insoles is too high, the shoes look more crowded feet, there is a little more rigid.")</f>
        <v>A nice white shoes and work shoes are a nice white shoes, insoles is too high, the shoes look more crowded feet, there is a little more rigid.</v>
      </c>
    </row>
    <row r="2611">
      <c r="A2611" s="1">
        <v>5.0</v>
      </c>
      <c r="B2611" s="1" t="s">
        <v>2604</v>
      </c>
      <c r="C2611" t="str">
        <f>IFERROR(__xludf.DUMMYFUNCTION("GOOGLETRANSLATE(B2611, ""zh"", ""en"")"),"Suitable did not feel particularly fade, 88 kg, 178 height, bought 36/32, slightly larger, autumn and winter wear just.")</f>
        <v>Suitable did not feel particularly fade, 88 kg, 178 height, bought 36/32, slightly larger, autumn and winter wear just.</v>
      </c>
    </row>
    <row r="2612">
      <c r="A2612" s="1">
        <v>5.0</v>
      </c>
      <c r="B2612" s="1" t="s">
        <v>2605</v>
      </c>
      <c r="C2612" t="str">
        <f>IFERROR(__xludf.DUMMYFUNCTION("GOOGLETRANSLATE(B2612, ""zh"", ""en"")"),"Good effect on dry hair effect, negative ion is really useful, after blowing the hair docile, not matted. It sounds a bit big, weight is not light, suitable for home use. Original British plugs big and heavy, with a converter, then use them is not easy. I"&amp;"n the practical, convenient principle, direct their own hands cut off, and replaced with two-pin plug, perfect. Cut plug, I noticed a problem, although the original three-core plug, but did not find the ground wire.")</f>
        <v>Good effect on dry hair effect, negative ion is really useful, after blowing the hair docile, not matted. It sounds a bit big, weight is not light, suitable for home use. Original British plugs big and heavy, with a converter, then use them is not easy. In the practical, convenient principle, direct their own hands cut off, and replaced with two-pin plug, perfect. Cut plug, I noticed a problem, although the original three-core plug, but did not find the ground wire.</v>
      </c>
    </row>
    <row r="2613">
      <c r="A2613" s="1">
        <v>5.0</v>
      </c>
      <c r="B2613" s="1" t="s">
        <v>2606</v>
      </c>
      <c r="C2613" t="str">
        <f>IFERROR(__xludf.DUMMYFUNCTION("GOOGLETRANSLATE(B2613, ""zh"", ""en"")"),"Genuine there is no appropriate code number can only buy female models. But good very comfortable.")</f>
        <v>Genuine there is no appropriate code number can only buy female models. But good very comfortable.</v>
      </c>
    </row>
    <row r="2614">
      <c r="A2614" s="1">
        <v>5.0</v>
      </c>
      <c r="B2614" s="1" t="s">
        <v>2607</v>
      </c>
      <c r="C2614" t="str">
        <f>IFERROR(__xludf.DUMMYFUNCTION("GOOGLETRANSLATE(B2614, ""zh"", ""en"")"),"Satisfied with everything. That is, read the instructions. We need to Baidu.")</f>
        <v>Satisfied with everything. That is, read the instructions. We need to Baidu.</v>
      </c>
    </row>
    <row r="2615">
      <c r="A2615" s="1">
        <v>5.0</v>
      </c>
      <c r="B2615" s="1" t="s">
        <v>2608</v>
      </c>
      <c r="C2615" t="str">
        <f>IFERROR(__xludf.DUMMYFUNCTION("GOOGLETRANSLATE(B2615, ""zh"", ""en"")"),"Nice gift simple, generous, very good looking, give it away pretty good")</f>
        <v>Nice gift simple, generous, very good looking, give it away pretty good</v>
      </c>
    </row>
    <row r="2616">
      <c r="A2616" s="1">
        <v>5.0</v>
      </c>
      <c r="B2616" s="1" t="s">
        <v>2609</v>
      </c>
      <c r="C2616" t="str">
        <f>IFERROR(__xludf.DUMMYFUNCTION("GOOGLETRANSLATE(B2616, ""zh"", ""en"")"),"Very comfortable fit, cuff where there is some small, should be so designed, like roll up its sleeves a bit awkward when the fabric is very comfortable")</f>
        <v>Very comfortable fit, cuff where there is some small, should be so designed, like roll up its sleeves a bit awkward when the fabric is very comfortable</v>
      </c>
    </row>
    <row r="2617">
      <c r="A2617" s="1">
        <v>5.0</v>
      </c>
      <c r="B2617" s="1" t="s">
        <v>2610</v>
      </c>
      <c r="C2617" t="str">
        <f>IFERROR(__xludf.DUMMYFUNCTION("GOOGLETRANSLATE(B2617, ""zh"", ""en"")"),"Like a good choice, the insulation effect is particularly good, very light, bright colors. It has been noticed, but there are still Canoeing cup body traces of hope that together can be made better.")</f>
        <v>Like a good choice, the insulation effect is particularly good, very light, bright colors. It has been noticed, but there are still Canoeing cup body traces of hope that together can be made better.</v>
      </c>
    </row>
    <row r="2618">
      <c r="A2618" s="1">
        <v>5.0</v>
      </c>
      <c r="B2618" s="1" t="s">
        <v>2611</v>
      </c>
      <c r="C2618" t="str">
        <f>IFERROR(__xludf.DUMMYFUNCTION("GOOGLETRANSLATE(B2618, ""zh"", ""en"")"),"Fit, logistics slow points right size, size standard, 170cm, 68 kg, 30 * 30 just, and domestic basically the same size.")</f>
        <v>Fit, logistics slow points right size, size standard, 170cm, 68 kg, 30 * 30 just, and domestic basically the same size.</v>
      </c>
    </row>
    <row r="2619">
      <c r="A2619" s="1">
        <v>5.0</v>
      </c>
      <c r="B2619" s="1" t="s">
        <v>2612</v>
      </c>
      <c r="C2619" t="str">
        <f>IFERROR(__xludf.DUMMYFUNCTION("GOOGLETRANSLATE(B2619, ""zh"", ""en"")"),"Clothes fit, like")</f>
        <v>Clothes fit, like</v>
      </c>
    </row>
    <row r="2620">
      <c r="A2620" s="1">
        <v>5.0</v>
      </c>
      <c r="B2620" s="1" t="s">
        <v>2613</v>
      </c>
      <c r="C2620" t="str">
        <f>IFERROR(__xludf.DUMMYFUNCTION("GOOGLETRANSLATE(B2620, ""zh"", ""en"")"),"Very very warm and some thin, but very warm. Which has a special coating designed to cold, around zero I wore a Qiuyi Columbia Fleece plus one this is very comfortable.")</f>
        <v>Very very warm and some thin, but very warm. Which has a special coating designed to cold, around zero I wore a Qiuyi Columbia Fleece plus one this is very comfortable.</v>
      </c>
    </row>
    <row r="2621">
      <c r="A2621" s="1">
        <v>5.0</v>
      </c>
      <c r="B2621" s="1" t="s">
        <v>2614</v>
      </c>
      <c r="C2621" t="str">
        <f>IFERROR(__xludf.DUMMYFUNCTION("GOOGLETRANSLATE(B2621, ""zh"", ""en"")"),"Warm and good. Height 171, weight 65kg, S code big afraid to tell the truth, the results really big, sleeves and length are slightly longer, but more self-cultivation, I used to tighten the sleeve, it is not ugly. Clothes thin, but windproof, warm and wel"&amp;"l, more suitable for the fall of the southern area.")</f>
        <v>Warm and good. Height 171, weight 65kg, S code big afraid to tell the truth, the results really big, sleeves and length are slightly longer, but more self-cultivation, I used to tighten the sleeve, it is not ugly. Clothes thin, but windproof, warm and well, more suitable for the fall of the southern area.</v>
      </c>
    </row>
    <row r="2622">
      <c r="A2622" s="1">
        <v>5.0</v>
      </c>
      <c r="B2622" s="1" t="s">
        <v>2615</v>
      </c>
      <c r="C2622" t="str">
        <f>IFERROR(__xludf.DUMMYFUNCTION("GOOGLETRANSLATE(B2622, ""zh"", ""en"")"),"Satisfied with the relatively thick, suitable also very good, style liberal bias")</f>
        <v>Satisfied with the relatively thick, suitable also very good, style liberal bias</v>
      </c>
    </row>
    <row r="2623">
      <c r="A2623" s="1">
        <v>2.0</v>
      </c>
      <c r="B2623" s="1" t="s">
        <v>2616</v>
      </c>
      <c r="C2623" t="str">
        <f>IFERROR(__xludf.DUMMYFUNCTION("GOOGLETRANSLATE(B2623, ""zh"", ""en"")"),"Too large not a little bit")</f>
        <v>Too large not a little bit</v>
      </c>
    </row>
    <row r="2624">
      <c r="A2624" s="1">
        <v>3.0</v>
      </c>
      <c r="B2624" s="1" t="s">
        <v>2617</v>
      </c>
      <c r="C2624" t="str">
        <f>IFERROR(__xludf.DUMMYFUNCTION("GOOGLETRANSLATE(B2624, ""zh"", ""en"")"),"Just start to feel good just start to feel good, but then I was wearing like a child, I put the table to give his brother a ~")</f>
        <v>Just start to feel good just start to feel good, but then I was wearing like a child, I put the table to give his brother a ~</v>
      </c>
    </row>
    <row r="2625">
      <c r="A2625" s="1">
        <v>3.0</v>
      </c>
      <c r="B2625" s="1" t="s">
        <v>2618</v>
      </c>
      <c r="C2625" t="str">
        <f>IFERROR(__xludf.DUMMYFUNCTION("GOOGLETRANSLATE(B2625, ""zh"", ""en"")"),"Hard shoes, hard impermeable instep, slightly walking feet, 38 yards to buy 5uk suitable.")</f>
        <v>Hard shoes, hard impermeable instep, slightly walking feet, 38 yards to buy 5uk suitable.</v>
      </c>
    </row>
    <row r="2626">
      <c r="A2626" s="1">
        <v>1.0</v>
      </c>
      <c r="B2626" s="1" t="s">
        <v>2619</v>
      </c>
      <c r="C2626" t="str">
        <f>IFERROR(__xludf.DUMMYFUNCTION("GOOGLETRANSLATE(B2626, ""zh"", ""en"")"),"2019 can not be charged 1.7 Ri bought this water floss, 5. 28 found can not be charged, can not be used")</f>
        <v>2019 can not be charged 1.7 Ri bought this water floss, 5. 28 found can not be charged, can not be used</v>
      </c>
    </row>
    <row r="2627">
      <c r="A2627" s="1">
        <v>1.0</v>
      </c>
      <c r="B2627" s="1" t="s">
        <v>2620</v>
      </c>
      <c r="C2627" t="str">
        <f>IFERROR(__xludf.DUMMYFUNCTION("GOOGLETRANSLATE(B2627, ""zh"", ""en"")"),"No I just received the goods, the price on more than one hundred, the shoes look really ugly. The pictures fool. Small flaws too much. There is a place has a very serious scratches, really luck shopping. On foot comfort okay.")</f>
        <v>No I just received the goods, the price on more than one hundred, the shoes look really ugly. The pictures fool. Small flaws too much. There is a place has a very serious scratches, really luck shopping. On foot comfort okay.</v>
      </c>
    </row>
    <row r="2628">
      <c r="A2628" s="1">
        <v>1.0</v>
      </c>
      <c r="B2628" s="1" t="s">
        <v>2621</v>
      </c>
      <c r="C2628" t="str">
        <f>IFERROR(__xludf.DUMMYFUNCTION("GOOGLETRANSLATE(B2628, ""zh"", ""en"")"),"When fully charged songs heard ten hours of no electricity when fully charged songs heard ten hours no electricity which is scouring the sea are defective products it arrived scratches on hand ear I do not care What on earth is this not listen to calculat"&amp;"e how long")</f>
        <v>When fully charged songs heard ten hours of no electricity when fully charged songs heard ten hours no electricity which is scouring the sea are defective products it arrived scratches on hand ear I do not care What on earth is this not listen to calculate how long</v>
      </c>
    </row>
    <row r="2629">
      <c r="A2629" s="1">
        <v>4.0</v>
      </c>
      <c r="B2629" s="1" t="s">
        <v>2622</v>
      </c>
      <c r="C2629" t="str">
        <f>IFERROR(__xludf.DUMMYFUNCTION("GOOGLETRANSLATE(B2629, ""zh"", ""en"")"),"Shoes usually wear long United States Code 8.5, because before buy clarks shoes feel is narrow, that it bought 6.5 yards 9 code corresponding to the United States, particularly long shoes, a little bit big, winter wear thick socks")</f>
        <v>Shoes usually wear long United States Code 8.5, because before buy clarks shoes feel is narrow, that it bought 6.5 yards 9 code corresponding to the United States, particularly long shoes, a little bit big, winter wear thick socks</v>
      </c>
    </row>
    <row r="2630">
      <c r="A2630" s="1">
        <v>4.0</v>
      </c>
      <c r="B2630" s="1" t="s">
        <v>2623</v>
      </c>
      <c r="C2630" t="str">
        <f>IFERROR(__xludf.DUMMYFUNCTION("GOOGLETRANSLATE(B2630, ""zh"", ""en"")"),"Line 176 is also high, weight 170, L number similar. Material comfort is also good, that is a little thin point.")</f>
        <v>Line 176 is also high, weight 170, L number similar. Material comfort is also good, that is a little thin point.</v>
      </c>
    </row>
    <row r="2631">
      <c r="A2631" s="1">
        <v>4.0</v>
      </c>
      <c r="B2631" s="1" t="s">
        <v>2624</v>
      </c>
      <c r="C2631" t="str">
        <f>IFERROR(__xludf.DUMMYFUNCTION("GOOGLETRANSLATE(B2631, ""zh"", ""en"")"),"Feel heavy in his hand is heavy not used to start writing was quite smooth, her husband is actually very appreciated, said the hand felt good to write, perhaps the big man strength")</f>
        <v>Feel heavy in his hand is heavy not used to start writing was quite smooth, her husband is actually very appreciated, said the hand felt good to write, perhaps the big man strength</v>
      </c>
    </row>
    <row r="2632">
      <c r="A2632" s="1">
        <v>4.0</v>
      </c>
      <c r="B2632" s="1" t="s">
        <v>2625</v>
      </c>
      <c r="C2632" t="str">
        <f>IFERROR(__xludf.DUMMYFUNCTION("GOOGLETRANSLATE(B2632, ""zh"", ""en"")"),"There are three baby bug's watering artifact learned through a straw! This cup is great! It is always leaking biggest drawback is there is not tight but look at the cover three times sake let the baby learn to call or watering artifact it ~")</f>
        <v>There are three baby bug's watering artifact learned through a straw! This cup is great! It is always leaking biggest drawback is there is not tight but look at the cover three times sake let the baby learn to call or watering artifact it ~</v>
      </c>
    </row>
    <row r="2633">
      <c r="A2633" s="1">
        <v>4.0</v>
      </c>
      <c r="B2633" s="1" t="s">
        <v>2626</v>
      </c>
      <c r="C2633" t="str">
        <f>IFERROR(__xludf.DUMMYFUNCTION("GOOGLETRANSLATE(B2633, ""zh"", ""en"")"),"Thin, decent degree of warmth. You can base, as thin as shown in FIG some degree of warmth in general. You can base, as in FIG.")</f>
        <v>Thin, decent degree of warmth. You can base, as thin as shown in FIG some degree of warmth in general. You can base, as in FIG.</v>
      </c>
    </row>
    <row r="2634">
      <c r="A2634" s="1">
        <v>5.0</v>
      </c>
      <c r="B2634" s="1" t="s">
        <v>2627</v>
      </c>
      <c r="C2634" t="str">
        <f>IFERROR(__xludf.DUMMYFUNCTION("GOOGLETRANSLATE(B2634, ""zh"", ""en"")"),"Large capacity, read fast, cost-effective. Grate used to store image data of the document, just in time for activities, cost-effective, and quickly into one. First stood aside. The actual results to be experience, I believe that Amazon and Western Digital"&amp;". UK direct mail over, satisfaction.")</f>
        <v>Large capacity, read fast, cost-effective. Grate used to store image data of the document, just in time for activities, cost-effective, and quickly into one. First stood aside. The actual results to be experience, I believe that Amazon and Western Digital. UK direct mail over, satisfaction.</v>
      </c>
    </row>
    <row r="2635">
      <c r="A2635" s="1">
        <v>5.0</v>
      </c>
      <c r="B2635" s="1" t="s">
        <v>2628</v>
      </c>
      <c r="C2635" t="str">
        <f>IFERROR(__xludf.DUMMYFUNCTION("GOOGLETRANSLATE(B2635, ""zh"", ""en"")"),"Good quality headphone afraid the price is only in the Amazon to buy, plus a state line, mobile phone push, good")</f>
        <v>Good quality headphone afraid the price is only in the Amazon to buy, plus a state line, mobile phone push, good</v>
      </c>
    </row>
    <row r="2636">
      <c r="A2636" s="1">
        <v>5.0</v>
      </c>
      <c r="B2636" s="1" t="s">
        <v>2629</v>
      </c>
      <c r="C2636" t="str">
        <f>IFERROR(__xludf.DUMMYFUNCTION("GOOGLETRANSLATE(B2636, ""zh"", ""en"")"),"Oh, I like")</f>
        <v>Oh, I like</v>
      </c>
    </row>
    <row r="2637">
      <c r="A2637" s="1">
        <v>5.0</v>
      </c>
      <c r="B2637" s="1" t="s">
        <v>2630</v>
      </c>
      <c r="C2637" t="str">
        <f>IFERROR(__xludf.DUMMYFUNCTION("GOOGLETRANSLATE(B2637, ""zh"", ""en"")"),"Feeling good shoes are very good, just start to feel right front foot wear some shoes at the seams, loose laces look like. Feel good, recommended purchase.")</f>
        <v>Feeling good shoes are very good, just start to feel right front foot wear some shoes at the seams, loose laces look like. Feel good, recommended purchase.</v>
      </c>
    </row>
    <row r="2638">
      <c r="A2638" s="1">
        <v>5.0</v>
      </c>
      <c r="B2638" s="1" t="s">
        <v>2631</v>
      </c>
      <c r="C2638" t="str">
        <f>IFERROR(__xludf.DUMMYFUNCTION("GOOGLETRANSLATE(B2638, ""zh"", ""en"")"),"Read pants pants than the domestic fashion, quality can be, not so thin. Look cleanings in order to determine whether durable.")</f>
        <v>Read pants pants than the domestic fashion, quality can be, not so thin. Look cleanings in order to determine whether durable.</v>
      </c>
    </row>
    <row r="2639">
      <c r="A2639" s="1">
        <v>5.0</v>
      </c>
      <c r="B2639" s="1" t="s">
        <v>2632</v>
      </c>
      <c r="C2639" t="str">
        <f>IFERROR(__xludf.DUMMYFUNCTION("GOOGLETRANSLATE(B2639, ""zh"", ""en"")"),"not bad. Things received, ah well!")</f>
        <v>not bad. Things received, ah well!</v>
      </c>
    </row>
    <row r="2640">
      <c r="A2640" s="1">
        <v>5.0</v>
      </c>
      <c r="B2640" s="1" t="s">
        <v>2633</v>
      </c>
      <c r="C2640" t="str">
        <f>IFERROR(__xludf.DUMMYFUNCTION("GOOGLETRANSLATE(B2640, ""zh"", ""en"")"),"Ergonomic classic style. N times wearing shoes. so comfy!")</f>
        <v>Ergonomic classic style. N times wearing shoes. so comfy!</v>
      </c>
    </row>
    <row r="2641">
      <c r="A2641" s="1">
        <v>5.0</v>
      </c>
      <c r="B2641" s="1" t="s">
        <v>2634</v>
      </c>
      <c r="C2641" t="str">
        <f>IFERROR(__xludf.DUMMYFUNCTION("GOOGLETRANSLATE(B2641, ""zh"", ""en"")"),"The practical import of machine to buy a 6700 yuan, break out of the milk is very delicate, at least 20 days a month will do morning nutrition gooey. This is for my mother to buy, purchasing, just from the bottom to the receipt probably less than a month,"&amp;" the other with a transformer, the price is cheaper than 2,000. It is the same two machines with the same, so do not hurry, a lot of benefits to purchasing. The only flaw is the need for purchasing with a large transformer.")</f>
        <v>The practical import of machine to buy a 6700 yuan, break out of the milk is very delicate, at least 20 days a month will do morning nutrition gooey. This is for my mother to buy, purchasing, just from the bottom to the receipt probably less than a month, the other with a transformer, the price is cheaper than 2,000. It is the same two machines with the same, so do not hurry, a lot of benefits to purchasing. The only flaw is the need for purchasing with a large transformer.</v>
      </c>
    </row>
    <row r="2642">
      <c r="A2642" s="1">
        <v>5.0</v>
      </c>
      <c r="B2642" s="1" t="s">
        <v>2635</v>
      </c>
      <c r="C2642" t="str">
        <f>IFERROR(__xludf.DUMMYFUNCTION("GOOGLETRANSLATE(B2642, ""zh"", ""en"")"),"172,70 worth having to buy the S code, just right, simply custom-made, good quality clothes, worthy of the price")</f>
        <v>172,70 worth having to buy the S code, just right, simply custom-made, good quality clothes, worthy of the price</v>
      </c>
    </row>
    <row r="2643">
      <c r="A2643" s="1">
        <v>5.0</v>
      </c>
      <c r="B2643" s="1" t="s">
        <v>2636</v>
      </c>
      <c r="C2643" t="str">
        <f>IFERROR(__xludf.DUMMYFUNCTION("GOOGLETRANSLATE(B2643, ""zh"", ""en"")"),"Very good product a product that I am very satisfied.")</f>
        <v>Very good product a product that I am very satisfied.</v>
      </c>
    </row>
    <row r="2644">
      <c r="A2644" s="1">
        <v>5.0</v>
      </c>
      <c r="B2644" s="1" t="s">
        <v>2637</v>
      </c>
      <c r="C2644" t="str">
        <f>IFERROR(__xludf.DUMMYFUNCTION("GOOGLETRANSLATE(B2644, ""zh"", ""en"")"),"Did a good buy used once, dough pretty fast, easily the glove film, like bread is very suitable!")</f>
        <v>Did a good buy used once, dough pretty fast, easily the glove film, like bread is very suitable!</v>
      </c>
    </row>
    <row r="2645">
      <c r="A2645" s="1">
        <v>5.0</v>
      </c>
      <c r="B2645" s="1" t="s">
        <v>2638</v>
      </c>
      <c r="C2645" t="str">
        <f>IFERROR(__xludf.DUMMYFUNCTION("GOOGLETRANSLATE(B2645, ""zh"", ""en"")"),"Much better good. 172/72 / S suitable")</f>
        <v>Much better good. 172/72 / S suitable</v>
      </c>
    </row>
    <row r="2646">
      <c r="A2646" s="1">
        <v>5.0</v>
      </c>
      <c r="B2646" s="1" t="s">
        <v>2639</v>
      </c>
      <c r="C2646" t="str">
        <f>IFERROR(__xludf.DUMMYFUNCTION("GOOGLETRANSLATE(B2646, ""zh"", ""en"")"),"Good very good")</f>
        <v>Good very good</v>
      </c>
    </row>
    <row r="2647">
      <c r="A2647" s="1">
        <v>5.0</v>
      </c>
      <c r="B2647" s="1" t="s">
        <v>2640</v>
      </c>
      <c r="C2647" t="str">
        <f>IFERROR(__xludf.DUMMYFUNCTION("GOOGLETRANSLATE(B2647, ""zh"", ""en"")"),"Easy to use! Very easy to use, the capacity is also large enough, cooked white fungus soup stew one night will be very thick or very hot, just eat in the morning. very satisfied.")</f>
        <v>Easy to use! Very easy to use, the capacity is also large enough, cooked white fungus soup stew one night will be very thick or very hot, just eat in the morning. very satisfied.</v>
      </c>
    </row>
    <row r="2648">
      <c r="A2648" s="1">
        <v>5.0</v>
      </c>
      <c r="B2648" s="1" t="s">
        <v>2641</v>
      </c>
      <c r="C2648" t="str">
        <f>IFERROR(__xludf.DUMMYFUNCTION("GOOGLETRANSLATE(B2648, ""zh"", ""en"")"),"Like Ecco shoes like Ecco shoes, the soles are comfortable, how to wear feet are not tired, do not wear high heels, I can")</f>
        <v>Like Ecco shoes like Ecco shoes, the soles are comfortable, how to wear feet are not tired, do not wear high heels, I can</v>
      </c>
    </row>
    <row r="2649">
      <c r="A2649" s="1">
        <v>5.0</v>
      </c>
      <c r="B2649" s="1" t="s">
        <v>2642</v>
      </c>
      <c r="C2649" t="str">
        <f>IFERROR(__xludf.DUMMYFUNCTION("GOOGLETRANSLATE(B2649, ""zh"", ""en"")"),"Superfine pressure water hole very comfortable. Sometimes the old house water pressure does not work, you can always take a bath supercharging great effect.")</f>
        <v>Superfine pressure water hole very comfortable. Sometimes the old house water pressure does not work, you can always take a bath supercharging great effect.</v>
      </c>
    </row>
    <row r="2650">
      <c r="A2650" s="1">
        <v>5.0</v>
      </c>
      <c r="B2650" s="1" t="s">
        <v>2643</v>
      </c>
      <c r="C2650" t="str">
        <f>IFERROR(__xludf.DUMMYFUNCTION("GOOGLETRANSLATE(B2650, ""zh"", ""en"")"),"Really good good good good good good good won the championship won the championship really good")</f>
        <v>Really good good good good good good good won the championship won the championship really good</v>
      </c>
    </row>
    <row r="2651">
      <c r="A2651" s="1">
        <v>5.0</v>
      </c>
      <c r="B2651" s="1" t="s">
        <v>2644</v>
      </c>
      <c r="C2651" t="str">
        <f>IFERROR(__xludf.DUMMYFUNCTION("GOOGLETRANSLATE(B2651, ""zh"", ""en"")"),"The right size, good quality, read a lot of reviews before buying handsome, most worried about size issues, has done so much homework, finally received the goods very satisfied, it seems useful to do homework or sports shoes 42 yards, I shot 7.5 feet feel"&amp;" so relatively wide shot of 7.5 w, a week to Chongqing, really handsome on foot, the first overseas purchase very pleased to see some minor problems some buyers received, this may or look luck!")</f>
        <v>The right size, good quality, read a lot of reviews before buying handsome, most worried about size issues, has done so much homework, finally received the goods very satisfied, it seems useful to do homework or sports shoes 42 yards, I shot 7.5 feet feel so relatively wide shot of 7.5 w, a week to Chongqing, really handsome on foot, the first overseas purchase very pleased to see some minor problems some buyers received, this may or look luck!</v>
      </c>
    </row>
    <row r="2652">
      <c r="A2652" s="1">
        <v>5.0</v>
      </c>
      <c r="B2652" s="1" t="s">
        <v>2645</v>
      </c>
      <c r="C2652" t="str">
        <f>IFERROR(__xludf.DUMMYFUNCTION("GOOGLETRANSLATE(B2652, ""zh"", ""en"")"),"Good health care, good products, has been patronizing the brand. Good health care, good products, has been patronizing the brand.")</f>
        <v>Good health care, good products, has been patronizing the brand. Good health care, good products, has been patronizing the brand.</v>
      </c>
    </row>
    <row r="2653">
      <c r="A2653" s="1">
        <v>5.0</v>
      </c>
      <c r="B2653" s="1" t="s">
        <v>2646</v>
      </c>
      <c r="C2653" t="str">
        <f>IFERROR(__xludf.DUMMYFUNCTION("GOOGLETRANSLATE(B2653, ""zh"", ""en"")"),"Very good, high cost, capsule coffee at home")</f>
        <v>Very good, high cost, capsule coffee at home</v>
      </c>
    </row>
    <row r="2654">
      <c r="A2654" s="1">
        <v>5.0</v>
      </c>
      <c r="B2654" s="1" t="s">
        <v>2647</v>
      </c>
      <c r="C2654" t="str">
        <f>IFERROR(__xludf.DUMMYFUNCTION("GOOGLETRANSLATE(B2654, ""zh"", ""en"")"),"Note Note that the shape is elliptical, not round.")</f>
        <v>Note Note that the shape is elliptical, not round.</v>
      </c>
    </row>
    <row r="2655">
      <c r="A2655" s="1">
        <v>5.0</v>
      </c>
      <c r="B2655" s="1" t="s">
        <v>2648</v>
      </c>
      <c r="C2655" t="str">
        <f>IFERROR(__xludf.DUMMYFUNCTION("GOOGLETRANSLATE(B2655, ""zh"", ""en"")"),"Something good, very affordable, I 170CM, 80KG, belongs to fat people, large belly, size fit. Quality is no problem, these three color is also very good.")</f>
        <v>Something good, very affordable, I 170CM, 80KG, belongs to fat people, large belly, size fit. Quality is no problem, these three color is also very good.</v>
      </c>
    </row>
    <row r="2656">
      <c r="A2656" s="1">
        <v>2.0</v>
      </c>
      <c r="B2656" s="1" t="s">
        <v>2649</v>
      </c>
      <c r="C2656" t="str">
        <f>IFERROR(__xludf.DUMMYFUNCTION("GOOGLETRANSLATE(B2656, ""zh"", ""en"")"),"How to write the title. After receiving the kind, I am a little disappointed. This package again slightly larger fine.")</f>
        <v>How to write the title. After receiving the kind, I am a little disappointed. This package again slightly larger fine.</v>
      </c>
    </row>
    <row r="2657">
      <c r="A2657" s="1">
        <v>3.0</v>
      </c>
      <c r="B2657" s="1" t="s">
        <v>2650</v>
      </c>
      <c r="C2657" t="str">
        <f>IFERROR(__xludf.DUMMYFUNCTION("GOOGLETRANSLATE(B2657, ""zh"", ""en"")"),"Pilling easy to buy her daughter, wearing a not long ass from the ball, do not wear, saying it was not good.")</f>
        <v>Pilling easy to buy her daughter, wearing a not long ass from the ball, do not wear, saying it was not good.</v>
      </c>
    </row>
    <row r="2658">
      <c r="A2658" s="1">
        <v>3.0</v>
      </c>
      <c r="B2658" s="1" t="s">
        <v>2651</v>
      </c>
      <c r="C2658" t="str">
        <f>IFERROR(__xludf.DUMMYFUNCTION("GOOGLETRANSLATE(B2658, ""zh"", ""en"")"),"Return to have little toe suede are uniform cross-")</f>
        <v>Return to have little toe suede are uniform cross-</v>
      </c>
    </row>
    <row r="2659">
      <c r="A2659" s="1">
        <v>3.0</v>
      </c>
      <c r="B2659" s="1" t="s">
        <v>2652</v>
      </c>
      <c r="C2659" t="str">
        <f>IFERROR(__xludf.DUMMYFUNCTION("GOOGLETRANSLATE(B2659, ""zh"", ""en"")"),"Large size table inaccurate, misleading consumers")</f>
        <v>Large size table inaccurate, misleading consumers</v>
      </c>
    </row>
    <row r="2660">
      <c r="A2660" s="1">
        <v>1.0</v>
      </c>
      <c r="B2660" s="1" t="s">
        <v>2653</v>
      </c>
      <c r="C2660" t="str">
        <f>IFERROR(__xludf.DUMMYFUNCTION("GOOGLETRANSLATE(B2660, ""zh"", ""en"")"),"Poor cloth fabric is very hard, I feel like sandpaper")</f>
        <v>Poor cloth fabric is very hard, I feel like sandpaper</v>
      </c>
    </row>
    <row r="2661">
      <c r="A2661" s="1">
        <v>1.0</v>
      </c>
      <c r="B2661" s="1" t="s">
        <v>2654</v>
      </c>
      <c r="C2661" t="str">
        <f>IFERROR(__xludf.DUMMYFUNCTION("GOOGLETRANSLATE(B2661, ""zh"", ""en"")"),"ck men's underwear, thread a lot Yeah, Kenya manufacture feels good quality in general, looks very thin translucent fabric also feels a long time will not wear the same piercing, to be honest a little disappointed! No domestic underwear dozens of pieces o"&amp;"f good!")</f>
        <v>ck men's underwear, thread a lot Yeah, Kenya manufacture feels good quality in general, looks very thin translucent fabric also feels a long time will not wear the same piercing, to be honest a little disappointed! No domestic underwear dozens of pieces of good!</v>
      </c>
    </row>
    <row r="2662">
      <c r="A2662" s="1">
        <v>1.0</v>
      </c>
      <c r="B2662" s="1" t="s">
        <v>2655</v>
      </c>
      <c r="C2662" t="str">
        <f>IFERROR(__xludf.DUMMYFUNCTION("GOOGLETRANSLATE(B2662, ""zh"", ""en"")"),"Bad, very bad! Taste great, like defective! Anta's much better than it is, conscience! Amazon after insulation with me, decisive unload!")</f>
        <v>Bad, very bad! Taste great, like defective! Anta's much better than it is, conscience! Amazon after insulation with me, decisive unload!</v>
      </c>
    </row>
    <row r="2663">
      <c r="A2663" s="1">
        <v>4.0</v>
      </c>
      <c r="B2663" s="1" t="s">
        <v>2656</v>
      </c>
      <c r="C2663" t="str">
        <f>IFERROR(__xludf.DUMMYFUNCTION("GOOGLETRANSLATE(B2663, ""zh"", ""en"")"),"It can also 300mb / sec, low-speed disk, the price is cheap.")</f>
        <v>It can also 300mb / sec, low-speed disk, the price is cheap.</v>
      </c>
    </row>
    <row r="2664">
      <c r="A2664" s="1">
        <v>4.0</v>
      </c>
      <c r="B2664" s="1" t="s">
        <v>2657</v>
      </c>
      <c r="C2664" t="str">
        <f>IFERROR(__xludf.DUMMYFUNCTION("GOOGLETRANSLATE(B2664, ""zh"", ""en"")"),"Also can listen to the last customer to buy a pair of 41 back top 7.5 feet do not bother to back, just the number 8. Overall good, is feeling good thin canvas, do not know there is no Danner durable. Delivery is fast")</f>
        <v>Also can listen to the last customer to buy a pair of 41 back top 7.5 feet do not bother to back, just the number 8. Overall good, is feeling good thin canvas, do not know there is no Danner durable. Delivery is fast</v>
      </c>
    </row>
    <row r="2665">
      <c r="A2665" s="1">
        <v>4.0</v>
      </c>
      <c r="B2665" s="1" t="s">
        <v>2658</v>
      </c>
      <c r="C2665" t="str">
        <f>IFERROR(__xludf.DUMMYFUNCTION("GOOGLETRANSLATE(B2665, ""zh"", ""en"")"),"Belfast City time quartz watch is accurate, is easy to scratch the surface, I bought less than a month to use scratched!")</f>
        <v>Belfast City time quartz watch is accurate, is easy to scratch the surface, I bought less than a month to use scratched!</v>
      </c>
    </row>
    <row r="2666">
      <c r="A2666" s="1">
        <v>4.0</v>
      </c>
      <c r="B2666" s="1" t="s">
        <v>2659</v>
      </c>
      <c r="C2666" t="str">
        <f>IFERROR(__xludf.DUMMYFUNCTION("GOOGLETRANSLATE(B2666, ""zh"", ""en"")"),"Good quality material workmanship are good, medium thickness, suitable for spring and autumn wear.")</f>
        <v>Good quality material workmanship are good, medium thickness, suitable for spring and autumn wear.</v>
      </c>
    </row>
    <row r="2667">
      <c r="A2667" s="1">
        <v>4.0</v>
      </c>
      <c r="B2667" s="1" t="s">
        <v>2660</v>
      </c>
      <c r="C2667" t="str">
        <f>IFERROR(__xludf.DUMMYFUNCTION("GOOGLETRANSLATE(B2667, ""zh"", ""en"")"),"Dark colors fade gall fade, the rest are okay, thread ran the line")</f>
        <v>Dark colors fade gall fade, the rest are okay, thread ran the line</v>
      </c>
    </row>
    <row r="2668">
      <c r="A2668" s="1">
        <v>5.0</v>
      </c>
      <c r="B2668" s="1" t="s">
        <v>2661</v>
      </c>
      <c r="C2668" t="str">
        <f>IFERROR(__xludf.DUMMYFUNCTION("GOOGLETRANSLATE(B2668, ""zh"", ""en"")"),"Praise acridine. Ultra-fast. feel good.")</f>
        <v>Praise acridine. Ultra-fast. feel good.</v>
      </c>
    </row>
    <row r="2669">
      <c r="A2669" s="1">
        <v>5.0</v>
      </c>
      <c r="B2669" s="1" t="s">
        <v>2662</v>
      </c>
      <c r="C2669" t="str">
        <f>IFERROR(__xludf.DUMMYFUNCTION("GOOGLETRANSLATE(B2669, ""zh"", ""en"")"),"Satisfied with his meniscus hurt, previously eaten this brand of red bottle, this time for the green bottle, eat for two days feeling good, affordable, convenient Amazon China's overseas purchase also fast ~")</f>
        <v>Satisfied with his meniscus hurt, previously eaten this brand of red bottle, this time for the green bottle, eat for two days feeling good, affordable, convenient Amazon China's overseas purchase also fast ~</v>
      </c>
    </row>
    <row r="2670">
      <c r="A2670" s="1">
        <v>5.0</v>
      </c>
      <c r="B2670" s="1" t="s">
        <v>2663</v>
      </c>
      <c r="C2670" t="str">
        <f>IFERROR(__xludf.DUMMYFUNCTION("GOOGLETRANSLATE(B2670, ""zh"", ""en"")"),"Something good logistics super power, hard drive speed is okay, do not know tolerance is not easily broken, after all, new technologies")</f>
        <v>Something good logistics super power, hard drive speed is okay, do not know tolerance is not easily broken, after all, new technologies</v>
      </c>
    </row>
    <row r="2671">
      <c r="A2671" s="1">
        <v>5.0</v>
      </c>
      <c r="B2671" s="1" t="s">
        <v>2664</v>
      </c>
      <c r="C2671" t="str">
        <f>IFERROR(__xludf.DUMMYFUNCTION("GOOGLETRANSLATE(B2671, ""zh"", ""en"")"),"Enamel pot well, a few times, very good, the pot is also no blemishes, try not to use gas, preferably with cooker.")</f>
        <v>Enamel pot well, a few times, very good, the pot is also no blemishes, try not to use gas, preferably with cooker.</v>
      </c>
    </row>
    <row r="2672">
      <c r="A2672" s="1">
        <v>5.0</v>
      </c>
      <c r="B2672" s="1" t="s">
        <v>2665</v>
      </c>
      <c r="C2672" t="str">
        <f>IFERROR(__xludf.DUMMYFUNCTION("GOOGLETRANSLATE(B2672, ""zh"", ""en"")"),"Yes, very comfortable. Worth buying ..... 160 feet long, to buy 8.5, compare and feet. Good quality shoes, very comfortable to wear for the first time to buy expensive shoes, or online shopping, scouring the sea. Actually the first in line to buy shoes, d"&amp;"ress pants, after all, not even a little discomfort will be, shoes, will not this thing ah! Prior to the arrival or some small worry, though, feel very comfortable to wear, shoes quality is also good.")</f>
        <v>Yes, very comfortable. Worth buying ..... 160 feet long, to buy 8.5, compare and feet. Good quality shoes, very comfortable to wear for the first time to buy expensive shoes, or online shopping, scouring the sea. Actually the first in line to buy shoes, dress pants, after all, not even a little discomfort will be, shoes, will not this thing ah! Prior to the arrival or some small worry, though, feel very comfortable to wear, shoes quality is also good.</v>
      </c>
    </row>
    <row r="2673">
      <c r="A2673" s="1">
        <v>5.0</v>
      </c>
      <c r="B2673" s="1" t="s">
        <v>2666</v>
      </c>
      <c r="C2673" t="str">
        <f>IFERROR(__xludf.DUMMYFUNCTION("GOOGLETRANSLATE(B2673, ""zh"", ""en"")"),"This really is very good, with the quality of workmanship is very good, looks great, is the manual is in English, can not see")</f>
        <v>This really is very good, with the quality of workmanship is very good, looks great, is the manual is in English, can not see</v>
      </c>
    </row>
    <row r="2674">
      <c r="A2674" s="1">
        <v>5.0</v>
      </c>
      <c r="B2674" s="1" t="s">
        <v>2667</v>
      </c>
      <c r="C2674" t="str">
        <f>IFERROR(__xludf.DUMMYFUNCTION("GOOGLETRANSLATE(B2674, ""zh"", ""en"")"),"More appropriate, cost-effective, a little big, not very serious than expected little freshman, Portugal production, work can be, the lack of some details. Wearing a very comfortable, rugged than the picture to appear. The key is cost-effective, domestic "&amp;"2300")</f>
        <v>More appropriate, cost-effective, a little big, not very serious than expected little freshman, Portugal production, work can be, the lack of some details. Wearing a very comfortable, rugged than the picture to appear. The key is cost-effective, domestic 2300</v>
      </c>
    </row>
    <row r="2675">
      <c r="A2675" s="1">
        <v>5.0</v>
      </c>
      <c r="B2675" s="1" t="s">
        <v>2668</v>
      </c>
      <c r="C2675" t="str">
        <f>IFERROR(__xludf.DUMMYFUNCTION("GOOGLETRANSLATE(B2675, ""zh"", ""en"")"),"Praise pants type version is very good, good quality 👍. Seasons, soft and comfortable.")</f>
        <v>Praise pants type version is very good, good quality 👍. Seasons, soft and comfortable.</v>
      </c>
    </row>
    <row r="2676">
      <c r="A2676" s="1">
        <v>5.0</v>
      </c>
      <c r="B2676" s="1" t="s">
        <v>2669</v>
      </c>
      <c r="C2676" t="str">
        <f>IFERROR(__xludf.DUMMYFUNCTION("GOOGLETRANSLATE(B2676, ""zh"", ""en"")"),"Bang Bang bought years ago, about ten days to go. Shoes is none, perfect in all aspects.")</f>
        <v>Bang Bang bought years ago, about ten days to go. Shoes is none, perfect in all aspects.</v>
      </c>
    </row>
    <row r="2677">
      <c r="A2677" s="1">
        <v>5.0</v>
      </c>
      <c r="B2677" s="1" t="s">
        <v>2670</v>
      </c>
      <c r="C2677" t="str">
        <f>IFERROR(__xludf.DUMMYFUNCTION("GOOGLETRANSLATE(B2677, ""zh"", ""en"")"),"The most important is not fake good, inexpensive.")</f>
        <v>The most important is not fake good, inexpensive.</v>
      </c>
    </row>
    <row r="2678">
      <c r="A2678" s="1">
        <v>5.0</v>
      </c>
      <c r="B2678" s="1" t="s">
        <v>2671</v>
      </c>
      <c r="C2678" t="str">
        <f>IFERROR(__xludf.DUMMYFUNCTION("GOOGLETRANSLATE(B2678, ""zh"", ""en"")"),"Yes! High 165, 140 pounds, wearing a small yard just!")</f>
        <v>Yes! High 165, 140 pounds, wearing a small yard just!</v>
      </c>
    </row>
    <row r="2679">
      <c r="A2679" s="1">
        <v>5.0</v>
      </c>
      <c r="B2679" s="1" t="s">
        <v>2672</v>
      </c>
      <c r="C2679" t="str">
        <f>IFERROR(__xludf.DUMMYFUNCTION("GOOGLETRANSLATE(B2679, ""zh"", ""en"")"),"Something good, you can continue to buy something good, we will continue to buy")</f>
        <v>Something good, you can continue to buy something good, we will continue to buy</v>
      </c>
    </row>
    <row r="2680">
      <c r="A2680" s="1">
        <v>5.0</v>
      </c>
      <c r="B2680" s="1" t="s">
        <v>2673</v>
      </c>
      <c r="C2680" t="str">
        <f>IFERROR(__xludf.DUMMYFUNCTION("GOOGLETRANSLATE(B2680, ""zh"", ""en"")"),"Satisfied satisfied very suitable for the whole five minutes, very good store service, timely delivery, quality is really super good.")</f>
        <v>Satisfied satisfied very suitable for the whole five minutes, very good store service, timely delivery, quality is really super good.</v>
      </c>
    </row>
    <row r="2681">
      <c r="A2681" s="1">
        <v>5.0</v>
      </c>
      <c r="B2681" s="1" t="s">
        <v>2674</v>
      </c>
      <c r="C2681" t="str">
        <f>IFERROR(__xludf.DUMMYFUNCTION("GOOGLETRANSLATE(B2681, ""zh"", ""en"")"),"Sound good microphone microphone 🎙️")</f>
        <v>Sound good microphone microphone 🎙️</v>
      </c>
    </row>
    <row r="2682">
      <c r="A2682" s="1">
        <v>5.0</v>
      </c>
      <c r="B2682" s="1" t="s">
        <v>2675</v>
      </c>
      <c r="C2682" t="str">
        <f>IFERROR(__xludf.DUMMYFUNCTION("GOOGLETRANSLATE(B2682, ""zh"", ""en"")"),"Shower so small! Something great weight, small shower, manual clearly see, it is really neon nation, very powerful comic skills.")</f>
        <v>Shower so small! Something great weight, small shower, manual clearly see, it is really neon nation, very powerful comic skills.</v>
      </c>
    </row>
    <row r="2683">
      <c r="A2683" s="1">
        <v>5.0</v>
      </c>
      <c r="B2683" s="1" t="s">
        <v>2676</v>
      </c>
      <c r="C2683" t="str">
        <f>IFERROR(__xludf.DUMMYFUNCTION("GOOGLETRANSLATE(B2683, ""zh"", ""en"")"),"First time to buy, buy the wrong version bought the wrong, should buy the B version, bought the W version, very wide, very good quality boots.")</f>
        <v>First time to buy, buy the wrong version bought the wrong, should buy the B version, bought the W version, very wide, very good quality boots.</v>
      </c>
    </row>
    <row r="2684">
      <c r="A2684" s="1">
        <v>5.0</v>
      </c>
      <c r="B2684" s="1" t="s">
        <v>2677</v>
      </c>
      <c r="C2684" t="str">
        <f>IFERROR(__xludf.DUMMYFUNCTION("GOOGLETRANSLATE(B2684, ""zh"", ""en"")"),"Lee Men's Performance Series Slim trousers quality can be extremely comfortable, a little long, a little big size, I just pre-small one yard. Fight tax and shipping a bit expensive.")</f>
        <v>Lee Men's Performance Series Slim trousers quality can be extremely comfortable, a little long, a little big size, I just pre-small one yard. Fight tax and shipping a bit expensive.</v>
      </c>
    </row>
    <row r="2685">
      <c r="A2685" s="1">
        <v>5.0</v>
      </c>
      <c r="B2685" s="1" t="s">
        <v>2678</v>
      </c>
      <c r="C2685" t="str">
        <f>IFERROR(__xludf.DUMMYFUNCTION("GOOGLETRANSLATE(B2685, ""zh"", ""en"")"),"Yes affordable, good quality pants")</f>
        <v>Yes affordable, good quality pants</v>
      </c>
    </row>
    <row r="2686">
      <c r="A2686" s="1">
        <v>5.0</v>
      </c>
      <c r="B2686" s="1" t="s">
        <v>2679</v>
      </c>
      <c r="C2686" t="str">
        <f>IFERROR(__xludf.DUMMYFUNCTION("GOOGLETRANSLATE(B2686, ""zh"", ""en"")"),"Even newborns are particularly good, we recommended to buy large, the baby every day, wearing sleep particularly well. Expensive, can be worn all year round, high usage rate")</f>
        <v>Even newborns are particularly good, we recommended to buy large, the baby every day, wearing sleep particularly well. Expensive, can be worn all year round, high usage rate</v>
      </c>
    </row>
    <row r="2687">
      <c r="A2687" s="1">
        <v>5.0</v>
      </c>
      <c r="B2687" s="1" t="s">
        <v>2680</v>
      </c>
      <c r="C2687" t="str">
        <f>IFERROR(__xludf.DUMMYFUNCTION("GOOGLETRANSLATE(B2687, ""zh"", ""en"")"),"Very good shopping just the right size, good quality")</f>
        <v>Very good shopping just the right size, good quality</v>
      </c>
    </row>
    <row r="2688">
      <c r="A2688" s="1">
        <v>5.0</v>
      </c>
      <c r="B2688" s="1" t="s">
        <v>2681</v>
      </c>
      <c r="C2688" t="str">
        <f>IFERROR(__xludf.DUMMYFUNCTION("GOOGLETRANSLATE(B2688, ""zh"", ""en"")"),"Amazon should really buy a second time, not to open bottles. Are bought on a previous East, Amazon feels more real, you know; look at packaging bottles are almost flat against the stick was not standard, alas ...... self Amazon should not have fake it!")</f>
        <v>Amazon should really buy a second time, not to open bottles. Are bought on a previous East, Amazon feels more real, you know; look at packaging bottles are almost flat against the stick was not standard, alas ...... self Amazon should not have fake it!</v>
      </c>
    </row>
    <row r="2689">
      <c r="A2689" s="1">
        <v>2.0</v>
      </c>
      <c r="B2689" s="1" t="s">
        <v>2682</v>
      </c>
      <c r="C2689" t="str">
        <f>IFERROR(__xludf.DUMMYFUNCTION("GOOGLETRANSLATE(B2689, ""zh"", ""en"")"),"Why not the same with the packaging I used to buy the packaging is not the same")</f>
        <v>Why not the same with the packaging I used to buy the packaging is not the same</v>
      </c>
    </row>
    <row r="2690">
      <c r="A2690" s="1">
        <v>3.0</v>
      </c>
      <c r="B2690" s="1" t="s">
        <v>2683</v>
      </c>
      <c r="C2690" t="str">
        <f>IFERROR(__xludf.DUMMYFUNCTION("GOOGLETRANSLATE(B2690, ""zh"", ""en"")"),"Color is good, code number is too large, leather shoes and general workmanship is good, a little hard leather, soles very comfortable even thin insoles, shoe size is too large number recommended by the foot usually buy a small one yard, but a month is not"&amp;" enough to wear a tongue skin surface to come forward burst, which is the main reason for three stars, not overseas purchase I thought I Maidaojiahuo")</f>
        <v>Color is good, code number is too large, leather shoes and general workmanship is good, a little hard leather, soles very comfortable even thin insoles, shoe size is too large number recommended by the foot usually buy a small one yard, but a month is not enough to wear a tongue skin surface to come forward burst, which is the main reason for three stars, not overseas purchase I thought I Maidaojiahuo</v>
      </c>
    </row>
    <row r="2691">
      <c r="A2691" s="1">
        <v>3.0</v>
      </c>
      <c r="B2691" s="1" t="s">
        <v>2684</v>
      </c>
      <c r="C2691" t="str">
        <f>IFERROR(__xludf.DUMMYFUNCTION("GOOGLETRANSLATE(B2691, ""zh"", ""en"")"),"With this cup, baby drink pretty easy to fall in love, the children take the cup light enough, you could be opening the lid to drink")</f>
        <v>With this cup, baby drink pretty easy to fall in love, the children take the cup light enough, you could be opening the lid to drink</v>
      </c>
    </row>
    <row r="2692">
      <c r="A2692" s="1">
        <v>3.0</v>
      </c>
      <c r="B2692" s="1" t="s">
        <v>2685</v>
      </c>
      <c r="C2692" t="str">
        <f>IFERROR(__xludf.DUMMYFUNCTION("GOOGLETRANSLATE(B2692, ""zh"", ""en"")"),"Suitable dimensions 32 × 30, but the bottom end of the legs some fat. Not Slim models pants waist size is appropriate. However, partial fat legs, if it is not thin wear.")</f>
        <v>Suitable dimensions 32 × 30, but the bottom end of the legs some fat. Not Slim models pants waist size is appropriate. However, partial fat legs, if it is not thin wear.</v>
      </c>
    </row>
    <row r="2693">
      <c r="A2693" s="1">
        <v>1.0</v>
      </c>
      <c r="B2693" s="1" t="s">
        <v>2686</v>
      </c>
      <c r="C2693" t="str">
        <f>IFERROR(__xludf.DUMMYFUNCTION("GOOGLETRANSLATE(B2693, ""zh"", ""en"")"),"Clothes too big, just like ordinary shirt feeling is completely incompatible with the picture, the picture looks like a textured jacket, middle shipments to write two hundred four dozen grams. The actual increase is a version of the shirt, and white for s"&amp;"o many days, too disappointed")</f>
        <v>Clothes too big, just like ordinary shirt feeling is completely incompatible with the picture, the picture looks like a textured jacket, middle shipments to write two hundred four dozen grams. The actual increase is a version of the shirt, and white for so many days, too disappointed</v>
      </c>
    </row>
    <row r="2694">
      <c r="A2694" s="1">
        <v>1.0</v>
      </c>
      <c r="B2694" s="1" t="s">
        <v>2687</v>
      </c>
      <c r="C2694" t="str">
        <f>IFERROR(__xludf.DUMMYFUNCTION("GOOGLETRANSLATE(B2694, ""zh"", ""en"")"),"No use, eat and do not eat all the same to no avail, to eat and not eat all the same")</f>
        <v>No use, eat and do not eat all the same to no avail, to eat and not eat all the same</v>
      </c>
    </row>
    <row r="2695">
      <c r="A2695" s="1">
        <v>4.0</v>
      </c>
      <c r="B2695" s="1" t="s">
        <v>2688</v>
      </c>
      <c r="C2695" t="str">
        <f>IFERROR(__xludf.DUMMYFUNCTION("GOOGLETRANSLATE(B2695, ""zh"", ""en"")"),"Wear simple, easy to adjust the tension a little expensive ah, today to the goods, has been wearing a corrective, adhere to adhere")</f>
        <v>Wear simple, easy to adjust the tension a little expensive ah, today to the goods, has been wearing a corrective, adhere to adhere</v>
      </c>
    </row>
    <row r="2696">
      <c r="A2696" s="1">
        <v>4.0</v>
      </c>
      <c r="B2696" s="1" t="s">
        <v>2689</v>
      </c>
      <c r="C2696" t="str">
        <f>IFERROR(__xludf.DUMMYFUNCTION("GOOGLETRANSLATE(B2696, ""zh"", ""en"")"),"Small hey, better than expected small, good quality")</f>
        <v>Small hey, better than expected small, good quality</v>
      </c>
    </row>
    <row r="2697">
      <c r="A2697" s="1">
        <v>4.0</v>
      </c>
      <c r="B2697" s="1" t="s">
        <v>2690</v>
      </c>
      <c r="C2697" t="str">
        <f>IFERROR(__xludf.DUMMYFUNCTION("GOOGLETRANSLATE(B2697, ""zh"", ""en"")"),"Thick light-colored trousers type trousers are feeling, loose pants, thick material. Intention to buy thin. But the introduction of goods without relevant content, there is no waiter consult.")</f>
        <v>Thick light-colored trousers type trousers are feeling, loose pants, thick material. Intention to buy thin. But the introduction of goods without relevant content, there is no waiter consult.</v>
      </c>
    </row>
    <row r="2698">
      <c r="A2698" s="1">
        <v>4.0</v>
      </c>
      <c r="B2698" s="1" t="s">
        <v>2691</v>
      </c>
      <c r="C2698" t="str">
        <f>IFERROR(__xludf.DUMMYFUNCTION("GOOGLETRANSLATE(B2698, ""zh"", ""en"")"),"Just put the sheets down to spend less than seven months of children missing his feet, could not stop the children kicking quilt.")</f>
        <v>Just put the sheets down to spend less than seven months of children missing his feet, could not stop the children kicking quilt.</v>
      </c>
    </row>
    <row r="2699">
      <c r="A2699" s="1">
        <v>5.0</v>
      </c>
      <c r="B2699" s="1" t="s">
        <v>2692</v>
      </c>
      <c r="C2699" t="str">
        <f>IFERROR(__xludf.DUMMYFUNCTION("GOOGLETRANSLATE(B2699, ""zh"", ""en"")"),"The effect is obvious, very good delivery speed effect, drink a spoonful kick the ball, the next day basically not sour, chocolate taste is not bad. Logistics quickly issued ups")</f>
        <v>The effect is obvious, very good delivery speed effect, drink a spoonful kick the ball, the next day basically not sour, chocolate taste is not bad. Logistics quickly issued ups</v>
      </c>
    </row>
    <row r="2700">
      <c r="A2700" s="1">
        <v>5.0</v>
      </c>
      <c r="B2700" s="1" t="s">
        <v>2693</v>
      </c>
      <c r="C2700" t="str">
        <f>IFERROR(__xludf.DUMMYFUNCTION("GOOGLETRANSLATE(B2700, ""zh"", ""en"")"),"Fit the description and price match, normal quality")</f>
        <v>Fit the description and price match, normal quality</v>
      </c>
    </row>
    <row r="2701">
      <c r="A2701" s="1">
        <v>5.0</v>
      </c>
      <c r="B2701" s="1" t="s">
        <v>2694</v>
      </c>
      <c r="C2701" t="str">
        <f>IFERROR(__xludf.DUMMYFUNCTION("GOOGLETRANSLATE(B2701, ""zh"", ""en"")"),"Very good 2 feet 4 waist husband, buy pants are usually 31w of this section with elastic waist, you can see other people evaluate small one yard, bought a 30w, put on just a bit thick material, suitable to wear in spring and autumn.")</f>
        <v>Very good 2 feet 4 waist husband, buy pants are usually 31w of this section with elastic waist, you can see other people evaluate small one yard, bought a 30w, put on just a bit thick material, suitable to wear in spring and autumn.</v>
      </c>
    </row>
    <row r="2702">
      <c r="A2702" s="1">
        <v>5.0</v>
      </c>
      <c r="B2702" s="1" t="s">
        <v>2695</v>
      </c>
      <c r="C2702" t="str">
        <f>IFERROR(__xludf.DUMMYFUNCTION("GOOGLETRANSLATE(B2702, ""zh"", ""en"")"),"Good headphones, collar is small and easy to use, sound quality is also good, life is also long, collar is a little small.")</f>
        <v>Good headphones, collar is small and easy to use, sound quality is also good, life is also long, collar is a little small.</v>
      </c>
    </row>
    <row r="2703">
      <c r="A2703" s="1">
        <v>5.0</v>
      </c>
      <c r="B2703" s="1" t="s">
        <v>2696</v>
      </c>
      <c r="C2703" t="str">
        <f>IFERROR(__xludf.DUMMYFUNCTION("GOOGLETRANSLATE(B2703, ""zh"", ""en"")"),"Good quality cost-effective. Very comfortable to wear. Code number is too large a bit. When the underwear to wear a smaller size is better")</f>
        <v>Good quality cost-effective. Very comfortable to wear. Code number is too large a bit. When the underwear to wear a smaller size is better</v>
      </c>
    </row>
    <row r="2704">
      <c r="A2704" s="1">
        <v>5.0</v>
      </c>
      <c r="B2704" s="1" t="s">
        <v>2697</v>
      </c>
      <c r="C2704" t="str">
        <f>IFERROR(__xludf.DUMMYFUNCTION("GOOGLETRANSLATE(B2704, ""zh"", ""en"")"),"Good good, that is girl with a big point! Manual parameters did not see water")</f>
        <v>Good good, that is girl with a big point! Manual parameters did not see water</v>
      </c>
    </row>
    <row r="2705">
      <c r="A2705" s="1">
        <v>5.0</v>
      </c>
      <c r="B2705" s="1" t="s">
        <v>2698</v>
      </c>
      <c r="C2705" t="str">
        <f>IFERROR(__xludf.DUMMYFUNCTION("GOOGLETRANSLATE(B2705, ""zh"", ""en"")"),"Shoes handsome ah than normal sneakers around a little more than half yards. Shoes handsome, very much.")</f>
        <v>Shoes handsome ah than normal sneakers around a little more than half yards. Shoes handsome, very much.</v>
      </c>
    </row>
    <row r="2706">
      <c r="A2706" s="1">
        <v>5.0</v>
      </c>
      <c r="B2706" s="1" t="s">
        <v>2699</v>
      </c>
      <c r="C2706" t="str">
        <f>IFERROR(__xludf.DUMMYFUNCTION("GOOGLETRANSLATE(B2706, ""zh"", ""en"")"),"Size is too large, thin size is too large to wear S 170 big enough for a little bit, European and American version of the cheapest to more than 90 extra one. But hurry to buy a 200 member free postage is also good. Thin clothes, warm wind can")</f>
        <v>Size is too large, thin size is too large to wear S 170 big enough for a little bit, European and American version of the cheapest to more than 90 extra one. But hurry to buy a 200 member free postage is also good. Thin clothes, warm wind can</v>
      </c>
    </row>
    <row r="2707">
      <c r="A2707" s="1">
        <v>5.0</v>
      </c>
      <c r="B2707" s="1" t="s">
        <v>2700</v>
      </c>
      <c r="C2707" t="str">
        <f>IFERROR(__xludf.DUMMYFUNCTION("GOOGLETRANSLATE(B2707, ""zh"", ""en"")"),"Good pants leg around a little bit big, good fabric, excellent value for money.")</f>
        <v>Good pants leg around a little bit big, good fabric, excellent value for money.</v>
      </c>
    </row>
    <row r="2708">
      <c r="A2708" s="1">
        <v>5.0</v>
      </c>
      <c r="B2708" s="1" t="s">
        <v>2701</v>
      </c>
      <c r="C2708" t="str">
        <f>IFERROR(__xludf.DUMMYFUNCTION("GOOGLETRANSLATE(B2708, ""zh"", ""en"")"),"Especially small and very fond of the most critical aspect is very small, like 2T capacity of only 2 mm thick appearance")</f>
        <v>Especially small and very fond of the most critical aspect is very small, like 2T capacity of only 2 mm thick appearance</v>
      </c>
    </row>
    <row r="2709">
      <c r="A2709" s="1">
        <v>5.0</v>
      </c>
      <c r="B2709" s="1" t="s">
        <v>2702</v>
      </c>
      <c r="C2709" t="str">
        <f>IFERROR(__xludf.DUMMYFUNCTION("GOOGLETRANSLATE(B2709, ""zh"", ""en"")"),"Good Watch praised imported goods, much faster than expected arrival. Travel time is very accurate, very small errors in two months in use, does not affect the use of (probably about 1s) look great - girlfriend to buy, very satisfied")</f>
        <v>Good Watch praised imported goods, much faster than expected arrival. Travel time is very accurate, very small errors in two months in use, does not affect the use of (probably about 1s) look great - girlfriend to buy, very satisfied</v>
      </c>
    </row>
    <row r="2710">
      <c r="A2710" s="1">
        <v>5.0</v>
      </c>
      <c r="B2710" s="1" t="s">
        <v>2703</v>
      </c>
      <c r="C2710" t="str">
        <f>IFERROR(__xludf.DUMMYFUNCTION("GOOGLETRANSLATE(B2710, ""zh"", ""en"")"),"Cheap, worth buying the table is the atmosphere, the price is very real, it is worth buying.")</f>
        <v>Cheap, worth buying the table is the atmosphere, the price is very real, it is worth buying.</v>
      </c>
    </row>
    <row r="2711">
      <c r="A2711" s="1">
        <v>5.0</v>
      </c>
      <c r="B2711" s="1" t="s">
        <v>2704</v>
      </c>
      <c r="C2711" t="str">
        <f>IFERROR(__xludf.DUMMYFUNCTION("GOOGLETRANSLATE(B2711, ""zh"", ""en"")"),"Satisfaction soon received, packaging intact, very light, easy to carry.")</f>
        <v>Satisfaction soon received, packaging intact, very light, easy to carry.</v>
      </c>
    </row>
    <row r="2712">
      <c r="A2712" s="1">
        <v>5.0</v>
      </c>
      <c r="B2712" s="1" t="s">
        <v>2705</v>
      </c>
      <c r="C2712" t="str">
        <f>IFERROR(__xludf.DUMMYFUNCTION("GOOGLETRANSLATE(B2712, ""zh"", ""en"")"),"Sound quite satisfactory sound dull listening style does not have dental 7506 but overall do not sound does not sound like anyway")</f>
        <v>Sound quite satisfactory sound dull listening style does not have dental 7506 but overall do not sound does not sound like anyway</v>
      </c>
    </row>
    <row r="2713">
      <c r="A2713" s="1">
        <v>5.0</v>
      </c>
      <c r="B2713" s="1" t="s">
        <v>2706</v>
      </c>
      <c r="C2713" t="str">
        <f>IFERROR(__xludf.DUMMYFUNCTION("GOOGLETRANSLATE(B2713, ""zh"", ""en"")"),"Amazon believes the selection of merchandise can be quite jeans, give you a reference, I 178, weight 135 pounds, to buy the 32W * 30L, very fit, I hope you choose the right size of yourself, because once wrong, returns trouble")</f>
        <v>Amazon believes the selection of merchandise can be quite jeans, give you a reference, I 178, weight 135 pounds, to buy the 32W * 30L, very fit, I hope you choose the right size of yourself, because once wrong, returns trouble</v>
      </c>
    </row>
    <row r="2714">
      <c r="A2714" s="1">
        <v>5.0</v>
      </c>
      <c r="B2714" s="1" t="s">
        <v>2707</v>
      </c>
      <c r="C2714" t="str">
        <f>IFERROR(__xludf.DUMMYFUNCTION("GOOGLETRANSLATE(B2714, ""zh"", ""en"")"),"Amazon to buy something somewhat similar to buy stocks, buy a few months, the price difference can be several hundred dollars big shoes more relaxed, with half palm insoles not used to, with a single make up too large a problem")</f>
        <v>Amazon to buy something somewhat similar to buy stocks, buy a few months, the price difference can be several hundred dollars big shoes more relaxed, with half palm insoles not used to, with a single make up too large a problem</v>
      </c>
    </row>
    <row r="2715">
      <c r="A2715" s="1">
        <v>5.0</v>
      </c>
      <c r="B2715" s="1" t="s">
        <v>2708</v>
      </c>
      <c r="C2715" t="str">
        <f>IFERROR(__xludf.DUMMYFUNCTION("GOOGLETRANSLATE(B2715, ""zh"", ""en"")"),"I can buy 166cm, weight 104 pounds, wearing s yards just right.")</f>
        <v>I can buy 166cm, weight 104 pounds, wearing s yards just right.</v>
      </c>
    </row>
    <row r="2716">
      <c r="A2716" s="1">
        <v>5.0</v>
      </c>
      <c r="B2716" s="1" t="s">
        <v>2709</v>
      </c>
      <c r="C2716" t="str">
        <f>IFERROR(__xludf.DUMMYFUNCTION("GOOGLETRANSLATE(B2716, ""zh"", ""en"")"),"Dishwasher available like, very good use. dish wash safe. Dishwasher available, made in China")</f>
        <v>Dishwasher available like, very good use. dish wash safe. Dishwasher available, made in China</v>
      </c>
    </row>
    <row r="2717">
      <c r="A2717" s="1">
        <v>5.0</v>
      </c>
      <c r="B2717" s="1" t="s">
        <v>2710</v>
      </c>
      <c r="C2717" t="str">
        <f>IFERROR(__xludf.DUMMYFUNCTION("GOOGLETRANSLATE(B2717, ""zh"", ""en"")"),"good! Very good with a very good feeling pretty good speed faster than the previous U disk")</f>
        <v>good! Very good with a very good feeling pretty good speed faster than the previous U disk</v>
      </c>
    </row>
    <row r="2718">
      <c r="A2718" s="1">
        <v>5.0</v>
      </c>
      <c r="B2718" s="1" t="s">
        <v>2711</v>
      </c>
      <c r="C2718" t="str">
        <f>IFERROR(__xludf.DUMMYFUNCTION("GOOGLETRANSLATE(B2718, ""zh"", ""en"")"),"Proper good, soft")</f>
        <v>Proper good, soft</v>
      </c>
    </row>
    <row r="2719">
      <c r="A2719" s="1">
        <v>5.0</v>
      </c>
      <c r="B2719" s="1" t="s">
        <v>2712</v>
      </c>
      <c r="C2719" t="str">
        <f>IFERROR(__xludf.DUMMYFUNCTION("GOOGLETRANSLATE(B2719, ""zh"", ""en"")"),"Light and comfortable light and comfortable 3 installed price is good, can be worn alone or primer. I heard that comment I do not know whether it is true there are bonus points, ha ha ahead and try it. I heard that comment I do not know whether it is true"&amp;" there are bonus points, ha ha ahead and try it. I heard that comment I do not know whether it is true there are bonus points, ha ha ahead and try it.")</f>
        <v>Light and comfortable light and comfortable 3 installed price is good, can be worn alone or primer. I heard that comment I do not know whether it is true there are bonus points, ha ha ahead and try it. I heard that comment I do not know whether it is true there are bonus points, ha ha ahead and try it. I heard that comment I do not know whether it is true there are bonus points, ha ha ahead and try it.</v>
      </c>
    </row>
    <row r="2720">
      <c r="A2720" s="1">
        <v>5.0</v>
      </c>
      <c r="B2720" s="1" t="s">
        <v>2713</v>
      </c>
      <c r="C2720" t="str">
        <f>IFERROR(__xludf.DUMMYFUNCTION("GOOGLETRANSLATE(B2720, ""zh"", ""en"")"),"Good price cheap, yak leather, not waterproof")</f>
        <v>Good price cheap, yak leather, not waterproof</v>
      </c>
    </row>
    <row r="2721">
      <c r="A2721" s="1">
        <v>2.0</v>
      </c>
      <c r="B2721" s="1" t="s">
        <v>2714</v>
      </c>
      <c r="C2721" t="str">
        <f>IFERROR(__xludf.DUMMYFUNCTION("GOOGLETRANSLATE(B2721, ""zh"", ""en"")"),"The domestic price is not worth buying this cheap, packaging in general.")</f>
        <v>The domestic price is not worth buying this cheap, packaging in general.</v>
      </c>
    </row>
    <row r="2722">
      <c r="A2722" s="1">
        <v>3.0</v>
      </c>
      <c r="B2722" s="1" t="s">
        <v>2715</v>
      </c>
      <c r="C2722" t="str">
        <f>IFERROR(__xludf.DUMMYFUNCTION("GOOGLETRANSLATE(B2722, ""zh"", ""en"")"),"Thin terry velvet is not thick terry, terry not, translation is not correct misleading people and money is thin, not winter wear")</f>
        <v>Thin terry velvet is not thick terry, terry not, translation is not correct misleading people and money is thin, not winter wear</v>
      </c>
    </row>
    <row r="2723">
      <c r="A2723" s="1">
        <v>1.0</v>
      </c>
      <c r="B2723" s="1" t="s">
        <v>2716</v>
      </c>
      <c r="C2723" t="str">
        <f>IFERROR(__xludf.DUMMYFUNCTION("GOOGLETRANSLATE(B2723, ""zh"", ""en"")"),"Reference size quite inaccurate reference size S bust is 109cm, measured only 100cm! Also enter height and weight bust suggested that 83% of the selected s code, is entirely misleading. This product itself is fine, because the system size of the error led"&amp;" to inappropriate suck too")</f>
        <v>Reference size quite inaccurate reference size S bust is 109cm, measured only 100cm! Also enter height and weight bust suggested that 83% of the selected s code, is entirely misleading. This product itself is fine, because the system size of the error led to inappropriate suck too</v>
      </c>
    </row>
    <row r="2724">
      <c r="A2724" s="1">
        <v>1.0</v>
      </c>
      <c r="B2724" s="1" t="s">
        <v>2717</v>
      </c>
      <c r="C2724" t="str">
        <f>IFERROR(__xludf.DUMMYFUNCTION("GOOGLETRANSLATE(B2724, ""zh"", ""en"")"),"The worst shopping experience, you can not buy goods on Amazon. Expensive headphones, the quality really sorry this price. 1, the left ear cup of the material results in partial contact with the face abnormal sound creak, the impact of music, thought the "&amp;"new need to run, but still can not use more than a month to resolve. 2, the first beam contact surface has begun to fall off in less than a month's time, plug back useless. Because in the Amazon purchase overseas, so you can not enjoy State Bank warranty,"&amp;" because just over one month, Amazon is not responsible for warranty service, and no business to leave contact information, nothing with. 3, in order to save shipping costs, purchase PRIME members, the results Aug. 28 to buy an annual membership, October "&amp;"14 renewals requirements, has been disabled. Summary, the worst shopping experience, you can not buy goods on Amazon.")</f>
        <v>The worst shopping experience, you can not buy goods on Amazon. Expensive headphones, the quality really sorry this price. 1, the left ear cup of the material results in partial contact with the face abnormal sound creak, the impact of music, thought the new need to run, but still can not use more than a month to resolve. 2, the first beam contact surface has begun to fall off in less than a month's time, plug back useless. Because in the Amazon purchase overseas, so you can not enjoy State Bank warranty, because just over one month, Amazon is not responsible for warranty service, and no business to leave contact information, nothing with. 3, in order to save shipping costs, purchase PRIME members, the results Aug. 28 to buy an annual membership, October 14 renewals requirements, has been disabled. Summary, the worst shopping experience, you can not buy goods on Amazon.</v>
      </c>
    </row>
    <row r="2725">
      <c r="A2725" s="1">
        <v>4.0</v>
      </c>
      <c r="B2725" s="1" t="s">
        <v>2718</v>
      </c>
      <c r="C2725" t="str">
        <f>IFERROR(__xludf.DUMMYFUNCTION("GOOGLETRANSLATE(B2725, ""zh"", ""en"")"),"Shoe size is too large one yard to say that the quality of shoes to wear good shoes, 40 pairs of shoes this should be 41 250 255 fishes shoe size is too large one yards argument is the length of time of purchase to see the attention to the domestic produc"&amp;"tion of shoes You can not go wrong")</f>
        <v>Shoe size is too large one yard to say that the quality of shoes to wear good shoes, 40 pairs of shoes this should be 41 250 255 fishes shoe size is too large one yards argument is the length of time of purchase to see the attention to the domestic production of shoes You can not go wrong</v>
      </c>
    </row>
    <row r="2726">
      <c r="A2726" s="1">
        <v>4.0</v>
      </c>
      <c r="B2726" s="1" t="s">
        <v>2719</v>
      </c>
      <c r="C2726" t="str">
        <f>IFERROR(__xludf.DUMMYFUNCTION("GOOGLETRANSLATE(B2726, ""zh"", ""en"")"),"Cortex hard, hard cortical odor, smell, but the effect can still use")</f>
        <v>Cortex hard, hard cortical odor, smell, but the effect can still use</v>
      </c>
    </row>
    <row r="2727">
      <c r="A2727" s="1">
        <v>4.0</v>
      </c>
      <c r="B2727" s="1" t="s">
        <v>2720</v>
      </c>
      <c r="C2727" t="str">
        <f>IFERROR(__xludf.DUMMYFUNCTION("GOOGLETRANSLATE(B2727, ""zh"", ""en"")"),"Must pay attention to size when buying this code number is very large rear waist section view received big yards are more than two!")</f>
        <v>Must pay attention to size when buying this code number is very large rear waist section view received big yards are more than two!</v>
      </c>
    </row>
    <row r="2728">
      <c r="A2728" s="1">
        <v>4.0</v>
      </c>
      <c r="B2728" s="1" t="s">
        <v>2721</v>
      </c>
      <c r="C2728" t="str">
        <f>IFERROR(__xludf.DUMMYFUNCTION("GOOGLETRANSLATE(B2728, ""zh"", ""en"")"),"So-so than it does to buy domestic work somewhat less simple packaging but not so unbearable")</f>
        <v>So-so than it does to buy domestic work somewhat less simple packaging but not so unbearable</v>
      </c>
    </row>
    <row r="2729">
      <c r="A2729" s="1">
        <v>4.0</v>
      </c>
      <c r="B2729" s="1" t="s">
        <v>2722</v>
      </c>
      <c r="C2729" t="str">
        <f>IFERROR(__xludf.DUMMYFUNCTION("GOOGLETRANSLATE(B2729, ""zh"", ""en"")"),"Super teeth get surprised, oval, long diameter which is just like a coin. . . . . . . . .")</f>
        <v>Super teeth get surprised, oval, long diameter which is just like a coin. . . . . . . . .</v>
      </c>
    </row>
    <row r="2730">
      <c r="A2730" s="1">
        <v>5.0</v>
      </c>
      <c r="B2730" s="1" t="s">
        <v>2723</v>
      </c>
      <c r="C2730" t="str">
        <f>IFERROR(__xludf.DUMMYFUNCTION("GOOGLETRANSLATE(B2730, ""zh"", ""en"")"),"British-affordable cheap prices should not be too beautiful ah! I bought duty-free postage ...... also wondered why only this special offer other did not brush this price? I have been using this brush are tired ......")</f>
        <v>British-affordable cheap prices should not be too beautiful ah! I bought duty-free postage ...... also wondered why only this special offer other did not brush this price? I have been using this brush are tired ......</v>
      </c>
    </row>
    <row r="2731">
      <c r="A2731" s="1">
        <v>5.0</v>
      </c>
      <c r="B2731" s="1" t="s">
        <v>2724</v>
      </c>
      <c r="C2731" t="str">
        <f>IFERROR(__xludf.DUMMYFUNCTION("GOOGLETRANSLATE(B2731, ""zh"", ""en"")"),"160 buy something good, bought two, one week to the packaging intact.")</f>
        <v>160 buy something good, bought two, one week to the packaging intact.</v>
      </c>
    </row>
    <row r="2732">
      <c r="A2732" s="1">
        <v>5.0</v>
      </c>
      <c r="B2732" s="1" t="s">
        <v>2725</v>
      </c>
      <c r="C2732" t="str">
        <f>IFERROR(__xludf.DUMMYFUNCTION("GOOGLETRANSLATE(B2732, ""zh"", ""en"")"),"Like the dinner plate and adorable and practical. But my son was very persistent to turn it over ha ha! Again to buy big.")</f>
        <v>Like the dinner plate and adorable and practical. But my son was very persistent to turn it over ha ha! Again to buy big.</v>
      </c>
    </row>
    <row r="2733">
      <c r="A2733" s="1">
        <v>5.0</v>
      </c>
      <c r="B2733" s="1" t="s">
        <v>2726</v>
      </c>
      <c r="C2733" t="str">
        <f>IFERROR(__xludf.DUMMYFUNCTION("GOOGLETRANSLATE(B2733, ""zh"", ""en"")"),"173 weighing 140 good size just is a little low-waist 'warm pretty well worn no problem now Inner Mongolia")</f>
        <v>173 weighing 140 good size just is a little low-waist 'warm pretty well worn no problem now Inner Mongolia</v>
      </c>
    </row>
    <row r="2734">
      <c r="A2734" s="1">
        <v>5.0</v>
      </c>
      <c r="B2734" s="1" t="s">
        <v>2727</v>
      </c>
      <c r="C2734" t="str">
        <f>IFERROR(__xludf.DUMMYFUNCTION("GOOGLETRANSLATE(B2734, ""zh"", ""en"")"),"Seiko watches watches good, not good-looking picture.")</f>
        <v>Seiko watches watches good, not good-looking picture.</v>
      </c>
    </row>
    <row r="2735">
      <c r="A2735" s="1">
        <v>5.0</v>
      </c>
      <c r="B2735" s="1" t="s">
        <v>2728</v>
      </c>
      <c r="C2735" t="str">
        <f>IFERROR(__xludf.DUMMYFUNCTION("GOOGLETRANSLATE(B2735, ""zh"", ""en"")"),"Warm, comfortable very good, very comfortable, warm, bought two")</f>
        <v>Warm, comfortable very good, very comfortable, warm, bought two</v>
      </c>
    </row>
    <row r="2736">
      <c r="A2736" s="1">
        <v>5.0</v>
      </c>
      <c r="B2736" s="1" t="s">
        <v>2729</v>
      </c>
      <c r="C2736" t="str">
        <f>IFERROR(__xludf.DUMMYFUNCTION("GOOGLETRANSLATE(B2736, ""zh"", ""en"")"),"Sound great 20 years ago, the product is still useful, not against")</f>
        <v>Sound great 20 years ago, the product is still useful, not against</v>
      </c>
    </row>
    <row r="2737">
      <c r="A2737" s="1">
        <v>5.0</v>
      </c>
      <c r="B2737" s="1" t="s">
        <v>2730</v>
      </c>
      <c r="C2737" t="str">
        <f>IFERROR(__xludf.DUMMYFUNCTION("GOOGLETRANSLATE(B2737, ""zh"", ""en"")"),"Comfortable and imagine, are particularly good, authentic guaranteed key Amazon now self-employed, like a treasure, too many fakes")</f>
        <v>Comfortable and imagine, are particularly good, authentic guaranteed key Amazon now self-employed, like a treasure, too many fakes</v>
      </c>
    </row>
    <row r="2738">
      <c r="A2738" s="1">
        <v>5.0</v>
      </c>
      <c r="B2738" s="1" t="s">
        <v>2731</v>
      </c>
      <c r="C2738" t="str">
        <f>IFERROR(__xludf.DUMMYFUNCTION("GOOGLETRANSLATE(B2738, ""zh"", ""en"")"),"Product Series victory LAMY hunters start with logistics, because of the rain, but it is slow, buy back Jingdong timely and efficient logistics, Amazon is total defeat, almost a return. Besides price volatility, although not much lower prices, but there i"&amp;"s no price protection, Jingdong shopping experience than almost not the slightest, but the price is cheaper than Jingdong. Finally talk about the product itself, the product is fully impress, compared with the price of hunters series LAMY easy go, LAMY ac"&amp;"tual price taller, either grip or smooth writing sense, experience is better than the hunters, This section is highly recommended.")</f>
        <v>Product Series victory LAMY hunters start with logistics, because of the rain, but it is slow, buy back Jingdong timely and efficient logistics, Amazon is total defeat, almost a return. Besides price volatility, although not much lower prices, but there is no price protection, Jingdong shopping experience than almost not the slightest, but the price is cheaper than Jingdong. Finally talk about the product itself, the product is fully impress, compared with the price of hunters series LAMY easy go, LAMY actual price taller, either grip or smooth writing sense, experience is better than the hunters, This section is highly recommended.</v>
      </c>
    </row>
    <row r="2739">
      <c r="A2739" s="1">
        <v>5.0</v>
      </c>
      <c r="B2739" s="1" t="s">
        <v>2732</v>
      </c>
      <c r="C2739" t="str">
        <f>IFERROR(__xludf.DUMMYFUNCTION("GOOGLETRANSLATE(B2739, ""zh"", ""en"")"),"Very very fit, quality assurance in Germany")</f>
        <v>Very very fit, quality assurance in Germany</v>
      </c>
    </row>
    <row r="2740">
      <c r="A2740" s="1">
        <v>5.0</v>
      </c>
      <c r="B2740" s="1" t="s">
        <v>2733</v>
      </c>
      <c r="C2740" t="str">
        <f>IFERROR(__xludf.DUMMYFUNCTION("GOOGLETRANSLATE(B2740, ""zh"", ""en"")"),"Yen value burst table, it is recommended, perfect Yen value burst table, burr-free, smooth, good texture, pudgy very suitable for baby's little hands, color is very fresh, Swiss, plates not light the bottom of the slip, super cute, it is worth starting. 1"&amp;"59 sets of spike")</f>
        <v>Yen value burst table, it is recommended, perfect Yen value burst table, burr-free, smooth, good texture, pudgy very suitable for baby's little hands, color is very fresh, Swiss, plates not light the bottom of the slip, super cute, it is worth starting. 159 sets of spike</v>
      </c>
    </row>
    <row r="2741">
      <c r="A2741" s="1">
        <v>5.0</v>
      </c>
      <c r="B2741" s="1" t="s">
        <v>2734</v>
      </c>
      <c r="C2741" t="str">
        <f>IFERROR(__xludf.DUMMYFUNCTION("GOOGLETRANSLATE(B2741, ""zh"", ""en"")"),"Sound good sound quality is good, it is worth buying, three-inch speaker should be the best, just a little worried in case bad after-sales warranty does not know how to do, the instructions are in English, can not read")</f>
        <v>Sound good sound quality is good, it is worth buying, three-inch speaker should be the best, just a little worried in case bad after-sales warranty does not know how to do, the instructions are in English, can not read</v>
      </c>
    </row>
    <row r="2742">
      <c r="A2742" s="1">
        <v>5.0</v>
      </c>
      <c r="B2742" s="1" t="s">
        <v>2735</v>
      </c>
      <c r="C2742" t="str">
        <f>IFERROR(__xludf.DUMMYFUNCTION("GOOGLETRANSLATE(B2742, ""zh"", ""en"")"),"Well enjoy comfortable to wear, no oppression Link ear. Bluetooth paired with the phone faster, and audio pairing Bluetooth Repeater slightly slower. While the headset button two, but the whole headset design and functionality is very user-friendly. The m"&amp;"ore prominent bass Sennheiser headphones, accordingly Sennheiser clear treble is not enough, then the noise reduction function is also very ridiculous, very good on the road or on the road commuting. Technology is the application of leisure life expressio"&amp;"n.")</f>
        <v>Well enjoy comfortable to wear, no oppression Link ear. Bluetooth paired with the phone faster, and audio pairing Bluetooth Repeater slightly slower. While the headset button two, but the whole headset design and functionality is very user-friendly. The more prominent bass Sennheiser headphones, accordingly Sennheiser clear treble is not enough, then the noise reduction function is also very ridiculous, very good on the road or on the road commuting. Technology is the application of leisure life expression.</v>
      </c>
    </row>
    <row r="2743">
      <c r="A2743" s="1">
        <v>5.0</v>
      </c>
      <c r="B2743" s="1" t="s">
        <v>2736</v>
      </c>
      <c r="C2743" t="str">
        <f>IFERROR(__xludf.DUMMYFUNCTION("GOOGLETRANSLATE(B2743, ""zh"", ""en"")"),"Worth buying is very good, winter outdoor running a shirt ➕ this warm enough, and I 181cm.81 kg, L number is appropriate")</f>
        <v>Worth buying is very good, winter outdoor running a shirt ➕ this warm enough, and I 181cm.81 kg, L number is appropriate</v>
      </c>
    </row>
    <row r="2744">
      <c r="A2744" s="1">
        <v>5.0</v>
      </c>
      <c r="B2744" s="1" t="s">
        <v>2737</v>
      </c>
      <c r="C2744" t="str">
        <f>IFERROR(__xludf.DUMMYFUNCTION("GOOGLETRANSLATE(B2744, ""zh"", ""en"")"),"Hua Dai ink well respected, indeed honorable. Suitable for the elegant human use")</f>
        <v>Hua Dai ink well respected, indeed honorable. Suitable for the elegant human use</v>
      </c>
    </row>
    <row r="2745">
      <c r="A2745" s="1">
        <v>5.0</v>
      </c>
      <c r="B2745" s="1" t="s">
        <v>2738</v>
      </c>
      <c r="C2745" t="str">
        <f>IFERROR(__xludf.DUMMYFUNCTION("GOOGLETRANSLATE(B2745, ""zh"", ""en"")"),"Good quality good, price is also OK")</f>
        <v>Good quality good, price is also OK</v>
      </c>
    </row>
    <row r="2746">
      <c r="A2746" s="1">
        <v>5.0</v>
      </c>
      <c r="B2746" s="1" t="s">
        <v>2739</v>
      </c>
      <c r="C2746" t="str">
        <f>IFERROR(__xludf.DUMMYFUNCTION("GOOGLETRANSLATE(B2746, ""zh"", ""en"")"),"Good good!")</f>
        <v>Good good!</v>
      </c>
    </row>
    <row r="2747">
      <c r="A2747" s="1">
        <v>5.0</v>
      </c>
      <c r="B2747" s="1" t="s">
        <v>2740</v>
      </c>
      <c r="C2747" t="str">
        <f>IFERROR(__xludf.DUMMYFUNCTION("GOOGLETRANSLATE(B2747, ""zh"", ""en"")"),"The proposed purchase version good! not bad! Quality stuff! The proposed purchase")</f>
        <v>The proposed purchase version good! not bad! Quality stuff! The proposed purchase</v>
      </c>
    </row>
    <row r="2748">
      <c r="A2748" s="1">
        <v>5.0</v>
      </c>
      <c r="B2748" s="1" t="s">
        <v>2741</v>
      </c>
      <c r="C2748" t="str">
        <f>IFERROR(__xludf.DUMMYFUNCTION("GOOGLETRANSLATE(B2748, ""zh"", ""en"")"),"Overall good yardage is worth to buy a slightly larger domestic shoes to wear 40 yards 39.5 yards more appropriate choice, leather looks very good, very thick soles to wear very comfortable on the feet")</f>
        <v>Overall good yardage is worth to buy a slightly larger domestic shoes to wear 40 yards 39.5 yards more appropriate choice, leather looks very good, very thick soles to wear very comfortable on the feet</v>
      </c>
    </row>
    <row r="2749">
      <c r="A2749" s="1">
        <v>5.0</v>
      </c>
      <c r="B2749" s="1" t="s">
        <v>2742</v>
      </c>
      <c r="C2749" t="str">
        <f>IFERROR(__xludf.DUMMYFUNCTION("GOOGLETRANSLATE(B2749, ""zh"", ""en"")"),"Really good friend introduced, said with feeling, then first I bought a try. Really good!")</f>
        <v>Really good friend introduced, said with feeling, then first I bought a try. Really good!</v>
      </c>
    </row>
    <row r="2750">
      <c r="A2750" s="1">
        <v>5.0</v>
      </c>
      <c r="B2750" s="1" t="s">
        <v>2743</v>
      </c>
      <c r="C2750" t="str">
        <f>IFERROR(__xludf.DUMMYFUNCTION("GOOGLETRANSLATE(B2750, ""zh"", ""en"")"),"Very suitable to wear very comfortable, I hope to have effect oh")</f>
        <v>Very suitable to wear very comfortable, I hope to have effect oh</v>
      </c>
    </row>
    <row r="2751">
      <c r="A2751" s="1">
        <v>5.0</v>
      </c>
      <c r="B2751" s="1" t="s">
        <v>2744</v>
      </c>
      <c r="C2751" t="str">
        <f>IFERROR(__xludf.DUMMYFUNCTION("GOOGLETRANSLATE(B2751, ""zh"", ""en"")"),"Very comfortable very comfortable to wear without any oppressive")</f>
        <v>Very comfortable very comfortable to wear without any oppressive</v>
      </c>
    </row>
    <row r="2752">
      <c r="A2752" s="1">
        <v>2.0</v>
      </c>
      <c r="B2752" s="1" t="s">
        <v>2745</v>
      </c>
      <c r="C2752" t="str">
        <f>IFERROR(__xludf.DUMMYFUNCTION("GOOGLETRANSLATE(B2752, ""zh"", ""en"")"),"Bad bad cloth fabric")</f>
        <v>Bad bad cloth fabric</v>
      </c>
    </row>
    <row r="2753">
      <c r="A2753" s="1">
        <v>3.0</v>
      </c>
      <c r="B2753" s="1" t="s">
        <v>2746</v>
      </c>
      <c r="C2753" t="str">
        <f>IFERROR(__xludf.DUMMYFUNCTION("GOOGLETRANSLATE(B2753, ""zh"", ""en"")"),"Care agent to buy that? Packing too shabby, wrapped in plastic bags on the floor, he received a shoebox crushed whole rotten, but fortunately some slight indentation shoes, put up with.")</f>
        <v>Care agent to buy that? Packing too shabby, wrapped in plastic bags on the floor, he received a shoebox crushed whole rotten, but fortunately some slight indentation shoes, put up with.</v>
      </c>
    </row>
    <row r="2754">
      <c r="A2754" s="1">
        <v>3.0</v>
      </c>
      <c r="B2754" s="1" t="s">
        <v>2747</v>
      </c>
      <c r="C2754" t="str">
        <f>IFERROR(__xludf.DUMMYFUNCTION("GOOGLETRANSLATE(B2754, ""zh"", ""en"")"),"Chronograph second hand does not return to zero chronograph seconds hand is to receive 12 errors, did not wear a month, directly to that position in 58 minutes, and travel time is very accurate, obsessive-compulsive disorder, no way, can only retreat")</f>
        <v>Chronograph second hand does not return to zero chronograph seconds hand is to receive 12 errors, did not wear a month, directly to that position in 58 minutes, and travel time is very accurate, obsessive-compulsive disorder, no way, can only retreat</v>
      </c>
    </row>
    <row r="2755">
      <c r="A2755" s="1">
        <v>1.0</v>
      </c>
      <c r="B2755" s="1" t="s">
        <v>2748</v>
      </c>
      <c r="C2755" t="str">
        <f>IFERROR(__xludf.DUMMYFUNCTION("GOOGLETRANSLATE(B2755, ""zh"", ""en"")"),"Poor courier delivering, courier packaging is bad, watch box is bad, watches lying on the side of the box, very bad shopping experience, guess watches should be no problem, but if it is valuable things will happen? Want to buy a friend Jin remember, this "&amp;"is going to Bo luck.")</f>
        <v>Poor courier delivering, courier packaging is bad, watch box is bad, watches lying on the side of the box, very bad shopping experience, guess watches should be no problem, but if it is valuable things will happen? Want to buy a friend Jin remember, this is going to Bo luck.</v>
      </c>
    </row>
    <row r="2756">
      <c r="A2756" s="1">
        <v>1.0</v>
      </c>
      <c r="B2756" s="1" t="s">
        <v>2749</v>
      </c>
      <c r="C2756" t="str">
        <f>IFERROR(__xludf.DUMMYFUNCTION("GOOGLETRANSLATE(B2756, ""zh"", ""en"")"),"Publicity does not match the actual product size, too big, misleading consumer information does not match the size of the actual product, is too large to mislead consumers")</f>
        <v>Publicity does not match the actual product size, too big, misleading consumer information does not match the size of the actual product, is too large to mislead consumers</v>
      </c>
    </row>
    <row r="2757">
      <c r="A2757" s="1">
        <v>1.0</v>
      </c>
      <c r="B2757" s="1" t="s">
        <v>2750</v>
      </c>
      <c r="C2757" t="str">
        <f>IFERROR(__xludf.DUMMYFUNCTION("GOOGLETRANSLATE(B2757, ""zh"", ""en"")"),"Bad service, no sale of the decoration store, etc. Bahrain found the lack of a washer, there will be a joint seepage, installation receipt already more than a month, Amazon said no sale. All the furnishings and appliances should not be something in the Ad"&amp;"riatic by outsourcing purchasing, unless bought immediately loaded, Otherwise they would be no after-sales, customer service that we have this policy, we do not look for orders of more than a month. Amazon known as Invincible service does not exist in Chi"&amp;"na")</f>
        <v>Bad service, no sale of the decoration store, etc. Bahrain found the lack of a washer, there will be a joint seepage, installation receipt already more than a month, Amazon said no sale. All the furnishings and appliances should not be something in the Adriatic by outsourcing purchasing, unless bought immediately loaded, Otherwise they would be no after-sales, customer service that we have this policy, we do not look for orders of more than a month. Amazon known as Invincible service does not exist in China</v>
      </c>
    </row>
    <row r="2758">
      <c r="A2758" s="1">
        <v>4.0</v>
      </c>
      <c r="B2758" s="1" t="s">
        <v>2751</v>
      </c>
      <c r="C2758" t="str">
        <f>IFERROR(__xludf.DUMMYFUNCTION("GOOGLETRANSLATE(B2758, ""zh"", ""en"")"),"No test is not Austrian domestic production")</f>
        <v>No test is not Austrian domestic production</v>
      </c>
    </row>
    <row r="2759">
      <c r="A2759" s="1">
        <v>4.0</v>
      </c>
      <c r="B2759" s="1" t="s">
        <v>2752</v>
      </c>
      <c r="C2759" t="str">
        <f>IFERROR(__xludf.DUMMYFUNCTION("GOOGLETRANSLATE(B2759, ""zh"", ""en"")"),"Is not genuine purchasing ha ha should be genuine it did not experience the feeling of good texture")</f>
        <v>Is not genuine purchasing ha ha should be genuine it did not experience the feeling of good texture</v>
      </c>
    </row>
    <row r="2760">
      <c r="A2760" s="1">
        <v>4.0</v>
      </c>
      <c r="B2760" s="1" t="s">
        <v>2753</v>
      </c>
      <c r="C2760" t="str">
        <f>IFERROR(__xludf.DUMMYFUNCTION("GOOGLETRANSLATE(B2760, ""zh"", ""en"")"),"Comfortable but very comfortable just love sticky hair sticky hair size is too large or domestic m l s code this appropriate")</f>
        <v>Comfortable but very comfortable just love sticky hair sticky hair size is too large or domestic m l s code this appropriate</v>
      </c>
    </row>
    <row r="2761">
      <c r="A2761" s="1">
        <v>4.0</v>
      </c>
      <c r="B2761" s="1" t="s">
        <v>2754</v>
      </c>
      <c r="C2761" t="str">
        <f>IFERROR(__xludf.DUMMYFUNCTION("GOOGLETRANSLATE(B2761, ""zh"", ""en"")"),"General packaging is not very take heart. But still can.")</f>
        <v>General packaging is not very take heart. But still can.</v>
      </c>
    </row>
    <row r="2762">
      <c r="A2762" s="1">
        <v>4.0</v>
      </c>
      <c r="B2762" s="1" t="s">
        <v>2755</v>
      </c>
      <c r="C2762" t="str">
        <f>IFERROR(__xludf.DUMMYFUNCTION("GOOGLETRANSLATE(B2762, ""zh"", ""en"")"),"Long long tape tape")</f>
        <v>Long long tape tape</v>
      </c>
    </row>
    <row r="2763">
      <c r="A2763" s="1">
        <v>5.0</v>
      </c>
      <c r="B2763" s="1" t="s">
        <v>2756</v>
      </c>
      <c r="C2763" t="str">
        <f>IFERROR(__xludf.DUMMYFUNCTION("GOOGLETRANSLATE(B2763, ""zh"", ""en"")"),"After listening to a few days feeling there heaven and earth is not worse than my Sony Dafa is good homely heard within a few days to feel good in the universe there is nothing to boast about not worse than my Sony Dafa")</f>
        <v>After listening to a few days feeling there heaven and earth is not worse than my Sony Dafa is good homely heard within a few days to feel good in the universe there is nothing to boast about not worse than my Sony Dafa</v>
      </c>
    </row>
    <row r="2764">
      <c r="A2764" s="1">
        <v>5.0</v>
      </c>
      <c r="B2764" s="1" t="s">
        <v>2757</v>
      </c>
      <c r="C2764" t="str">
        <f>IFERROR(__xludf.DUMMYFUNCTION("GOOGLETRANSLATE(B2764, ""zh"", ""en"")"),"Like good-looking! There are features! If there is a tea strainers the better!")</f>
        <v>Like good-looking! There are features! If there is a tea strainers the better!</v>
      </c>
    </row>
    <row r="2765">
      <c r="A2765" s="1">
        <v>5.0</v>
      </c>
      <c r="B2765" s="1" t="s">
        <v>2758</v>
      </c>
      <c r="C2765" t="str">
        <f>IFERROR(__xludf.DUMMYFUNCTION("GOOGLETRANSLATE(B2765, ""zh"", ""en"")"),"This ballpoint pen with a good make you love the feeling of learning.")</f>
        <v>This ballpoint pen with a good make you love the feeling of learning.</v>
      </c>
    </row>
    <row r="2766">
      <c r="A2766" s="1">
        <v>5.0</v>
      </c>
      <c r="B2766" s="1" t="s">
        <v>2759</v>
      </c>
      <c r="C2766" t="str">
        <f>IFERROR(__xludf.DUMMYFUNCTION("GOOGLETRANSLATE(B2766, ""zh"", ""en"")"),"Puma bow good-looking, good-looking, can be used with little skirt, the price is reasonable.")</f>
        <v>Puma bow good-looking, good-looking, can be used with little skirt, the price is reasonable.</v>
      </c>
    </row>
    <row r="2767">
      <c r="A2767" s="1">
        <v>5.0</v>
      </c>
      <c r="B2767" s="1" t="s">
        <v>2760</v>
      </c>
      <c r="C2767" t="str">
        <f>IFERROR(__xludf.DUMMYFUNCTION("GOOGLETRANSLATE(B2767, ""zh"", ""en"")"),"Price advantage obvious advantages, now also with the normal ...")</f>
        <v>Price advantage obvious advantages, now also with the normal ...</v>
      </c>
    </row>
    <row r="2768">
      <c r="A2768" s="1">
        <v>5.0</v>
      </c>
      <c r="B2768" s="1" t="s">
        <v>2761</v>
      </c>
      <c r="C2768" t="str">
        <f>IFERROR(__xludf.DUMMYFUNCTION("GOOGLETRANSLATE(B2768, ""zh"", ""en"")"),"Vietnamese suitable, appropriate than the counter")</f>
        <v>Vietnamese suitable, appropriate than the counter</v>
      </c>
    </row>
    <row r="2769">
      <c r="A2769" s="1">
        <v>5.0</v>
      </c>
      <c r="B2769" s="1" t="s">
        <v>2762</v>
      </c>
      <c r="C2769" t="str">
        <f>IFERROR(__xludf.DUMMYFUNCTION("GOOGLETRANSLATE(B2769, ""zh"", ""en"")"),"Very light very comfortable, on the northern foot support is also very good, do not think of these shoes to wear to go outdoors on foot, and certainly freeze to death. Southern winter minus a second time, payable twelve hours on foot is no problem.")</f>
        <v>Very light very comfortable, on the northern foot support is also very good, do not think of these shoes to wear to go outdoors on foot, and certainly freeze to death. Southern winter minus a second time, payable twelve hours on foot is no problem.</v>
      </c>
    </row>
    <row r="2770">
      <c r="A2770" s="1">
        <v>5.0</v>
      </c>
      <c r="B2770" s="1" t="s">
        <v>2763</v>
      </c>
      <c r="C2770" t="str">
        <f>IFERROR(__xludf.DUMMYFUNCTION("GOOGLETRANSLATE(B2770, ""zh"", ""en"")"),"Good to see there are not many reviews say so exaggerated is not difficult to wear did not press the foot particularly painful to the point of patent leather super cool brisk 39 this also usually happens 39")</f>
        <v>Good to see there are not many reviews say so exaggerated is not difficult to wear did not press the foot particularly painful to the point of patent leather super cool brisk 39 this also usually happens 39</v>
      </c>
    </row>
    <row r="2771">
      <c r="A2771" s="1">
        <v>5.0</v>
      </c>
      <c r="B2771" s="1" t="s">
        <v>2764</v>
      </c>
      <c r="C2771" t="str">
        <f>IFERROR(__xludf.DUMMYFUNCTION("GOOGLETRANSLATE(B2771, ""zh"", ""en"")"),"Inexpensive very good, the price is really earned, and today has just arrived to put on, was originally expected to be delivered in early December, did not think ahead, not the final estimate came abroad, may be called domestic goods")</f>
        <v>Inexpensive very good, the price is really earned, and today has just arrived to put on, was originally expected to be delivered in early December, did not think ahead, not the final estimate came abroad, may be called domestic goods</v>
      </c>
    </row>
    <row r="2772">
      <c r="A2772" s="1">
        <v>5.0</v>
      </c>
      <c r="B2772" s="1" t="s">
        <v>2765</v>
      </c>
      <c r="C2772" t="str">
        <f>IFERROR(__xludf.DUMMYFUNCTION("GOOGLETRANSLATE(B2772, ""zh"", ""en"")"),"Very nice large bathroom products 爱汉斯格雅 products, superior workmanship good quality, packed in home bathrooms are beautiful. Amazon's price is still very favorable, the key is not afraid to buy a fake.")</f>
        <v>Very nice large bathroom products 爱汉斯格雅 products, superior workmanship good quality, packed in home bathrooms are beautiful. Amazon's price is still very favorable, the key is not afraid to buy a fake.</v>
      </c>
    </row>
    <row r="2773">
      <c r="A2773" s="1">
        <v>5.0</v>
      </c>
      <c r="B2773" s="1" t="s">
        <v>2766</v>
      </c>
      <c r="C2773" t="str">
        <f>IFERROR(__xludf.DUMMYFUNCTION("GOOGLETRANSLATE(B2773, ""zh"", ""en"")"),"Very good surface simple atmosphere, the quality is no problem. Very good ~")</f>
        <v>Very good surface simple atmosphere, the quality is no problem. Very good ~</v>
      </c>
    </row>
    <row r="2774">
      <c r="A2774" s="1">
        <v>5.0</v>
      </c>
      <c r="B2774" s="1" t="s">
        <v>2767</v>
      </c>
      <c r="C2774" t="str">
        <f>IFERROR(__xludf.DUMMYFUNCTION("GOOGLETRANSLATE(B2774, ""zh"", ""en"")"),". Bottle received. So cute. Packaged well, no damage. Love this bottle")</f>
        <v>. Bottle received. So cute. Packaged well, no damage. Love this bottle</v>
      </c>
    </row>
    <row r="2775">
      <c r="A2775" s="1">
        <v>5.0</v>
      </c>
      <c r="B2775" s="1" t="s">
        <v>2768</v>
      </c>
      <c r="C2775" t="str">
        <f>IFERROR(__xludf.DUMMYFUNCTION("GOOGLETRANSLATE(B2775, ""zh"", ""en"")"),"Wipe it very clean with a good eraser, and wipe very clean")</f>
        <v>Wipe it very clean with a good eraser, and wipe very clean</v>
      </c>
    </row>
    <row r="2776">
      <c r="A2776" s="1">
        <v>5.0</v>
      </c>
      <c r="B2776" s="1" t="s">
        <v>2769</v>
      </c>
      <c r="C2776" t="str">
        <f>IFERROR(__xludf.DUMMYFUNCTION("GOOGLETRANSLATE(B2776, ""zh"", ""en"")"),"Water floss worth having cost is too high, black is buying, the price than a cat back to force double eleven!")</f>
        <v>Water floss worth having cost is too high, black is buying, the price than a cat back to force double eleven!</v>
      </c>
    </row>
    <row r="2777">
      <c r="A2777" s="1">
        <v>5.0</v>
      </c>
      <c r="B2777" s="1" t="s">
        <v>2770</v>
      </c>
      <c r="C2777" t="str">
        <f>IFERROR(__xludf.DUMMYFUNCTION("GOOGLETRANSLATE(B2777, ""zh"", ""en"")"),"Cost pricey, but that is what you pay Oh, I want to have good sound quality still have to burn. Getting started can be bought play experience to experience, I am an amateur recording with play, rest as entertainment, but also the basic boxes are good enou"&amp;"gh. Official express speed, very good service attitude, praise.")</f>
        <v>Cost pricey, but that is what you pay Oh, I want to have good sound quality still have to burn. Getting started can be bought play experience to experience, I am an amateur recording with play, rest as entertainment, but also the basic boxes are good enough. Official express speed, very good service attitude, praise.</v>
      </c>
    </row>
    <row r="2778">
      <c r="A2778" s="1">
        <v>5.0</v>
      </c>
      <c r="B2778" s="1" t="s">
        <v>2771</v>
      </c>
      <c r="C2778" t="str">
        <f>IFERROR(__xludf.DUMMYFUNCTION("GOOGLETRANSLATE(B2778, ""zh"", ""en"")"),"Overseas Amoy light waves concerned at Amazon Casio watch for some time, found that price is actually higher than Taobao, Jingdong, Amazon is just too low-key, low price but a lot of people feel, compare to other online shop will know British Amazon to bu"&amp;"y, I Harbin, from order to receipt 11 days, very fast, and the quality is very good, only half of the domestic price, I did not expect so easy to wave Harbin, just toward the southeast (Fukushima) or South on it, LT2-LT3 volatility, 12:45 noon time, a wav"&amp;"e is 1:30 am connected successfully, but the need in the windows, the room does not work. Charging outdoor light on the full 10 minutes, very satisfied.")</f>
        <v>Overseas Amoy light waves concerned at Amazon Casio watch for some time, found that price is actually higher than Taobao, Jingdong, Amazon is just too low-key, low price but a lot of people feel, compare to other online shop will know British Amazon to buy, I Harbin, from order to receipt 11 days, very fast, and the quality is very good, only half of the domestic price, I did not expect so easy to wave Harbin, just toward the southeast (Fukushima) or South on it, LT2-LT3 volatility, 12:45 noon time, a wave is 1:30 am connected successfully, but the need in the windows, the room does not work. Charging outdoor light on the full 10 minutes, very satisfied.</v>
      </c>
    </row>
    <row r="2779">
      <c r="A2779" s="1">
        <v>5.0</v>
      </c>
      <c r="B2779" s="1" t="s">
        <v>2772</v>
      </c>
      <c r="C2779" t="str">
        <f>IFERROR(__xludf.DUMMYFUNCTION("GOOGLETRANSLATE(B2779, ""zh"", ""en"")"),"Color spoon works well than I thought it would be great, feel good, color is also good, I personally prefer, they can hope baby good eating and drinking, ha ha, do not know the color will not frighten her too!")</f>
        <v>Color spoon works well than I thought it would be great, feel good, color is also good, I personally prefer, they can hope baby good eating and drinking, ha ha, do not know the color will not frighten her too!</v>
      </c>
    </row>
    <row r="2780">
      <c r="A2780" s="1">
        <v>5.0</v>
      </c>
      <c r="B2780" s="1" t="s">
        <v>2773</v>
      </c>
      <c r="C2780" t="str">
        <f>IFERROR(__xludf.DUMMYFUNCTION("GOOGLETRANSLATE(B2780, ""zh"", ""en"")"),"Strong recommend it to you ~ I bought machine in this Nov. Now it is one of my favourate kitchen machines. I made noodles, Chinese bread with it. Now I can enjoy health food in my kitchen everyday. Love it, and recommend it this to you ~")</f>
        <v>Strong recommend it to you ~ I bought machine in this Nov. Now it is one of my favourate kitchen machines. I made noodles, Chinese bread with it. Now I can enjoy health food in my kitchen everyday. Love it, and recommend it this to you ~</v>
      </c>
    </row>
    <row r="2781">
      <c r="A2781" s="1">
        <v>5.0</v>
      </c>
      <c r="B2781" s="1" t="s">
        <v>2774</v>
      </c>
      <c r="C2781" t="str">
        <f>IFERROR(__xludf.DUMMYFUNCTION("GOOGLETRANSLATE(B2781, ""zh"", ""en"")"),"Fit nice color! My husband dressed just right, cool!")</f>
        <v>Fit nice color! My husband dressed just right, cool!</v>
      </c>
    </row>
    <row r="2782">
      <c r="A2782" s="1">
        <v>5.0</v>
      </c>
      <c r="B2782" s="1" t="s">
        <v>2775</v>
      </c>
      <c r="C2782" t="str">
        <f>IFERROR(__xludf.DUMMYFUNCTION("GOOGLETRANSLATE(B2782, ""zh"", ""en"")"),"Great texture size suitable for commuting, very convenient!")</f>
        <v>Great texture size suitable for commuting, very convenient!</v>
      </c>
    </row>
    <row r="2783">
      <c r="A2783" s="1">
        <v>5.0</v>
      </c>
      <c r="B2783" s="1" t="s">
        <v>2776</v>
      </c>
      <c r="C2783" t="str">
        <f>IFERROR(__xludf.DUMMYFUNCTION("GOOGLETRANSLATE(B2783, ""zh"", ""en"")"),"Very pleased to put the office use, very convenient, the volume is small, very satisfied.")</f>
        <v>Very pleased to put the office use, very convenient, the volume is small, very satisfied.</v>
      </c>
    </row>
    <row r="2784">
      <c r="A2784" s="1">
        <v>5.0</v>
      </c>
      <c r="B2784" s="1" t="s">
        <v>2777</v>
      </c>
      <c r="C2784" t="str">
        <f>IFERROR(__xludf.DUMMYFUNCTION("GOOGLETRANSLATE(B2784, ""zh"", ""en"")"),"Pie is indeed very good clothes like American goods")</f>
        <v>Pie is indeed very good clothes like American goods</v>
      </c>
    </row>
    <row r="2785">
      <c r="A2785" s="1">
        <v>2.0</v>
      </c>
      <c r="B2785" s="1" t="s">
        <v>2778</v>
      </c>
      <c r="C2785" t="str">
        <f>IFERROR(__xludf.DUMMYFUNCTION("GOOGLETRANSLATE(B2785, ""zh"", ""en"")"),"Disappointed packaging is very simple, only a few small transparent plastic bags and cartons. He did not specifically say how to clean, precautions. The product is the outer layer of plastic, the inner layer is stainless steel, all kind of thin. I do not "&amp;"know this to be false or abroad to buy such quality is, anyway, I'm very disappointed")</f>
        <v>Disappointed packaging is very simple, only a few small transparent plastic bags and cartons. He did not specifically say how to clean, precautions. The product is the outer layer of plastic, the inner layer is stainless steel, all kind of thin. I do not know this to be false or abroad to buy such quality is, anyway, I'm very disappointed</v>
      </c>
    </row>
    <row r="2786">
      <c r="A2786" s="1">
        <v>3.0</v>
      </c>
      <c r="B2786" s="1" t="s">
        <v>2779</v>
      </c>
      <c r="C2786" t="str">
        <f>IFERROR(__xludf.DUMMYFUNCTION("GOOGLETRANSLATE(B2786, ""zh"", ""en"")"),"Legs rather long legs rather long, the rest are fit, color can also be")</f>
        <v>Legs rather long legs rather long, the rest are fit, color can also be</v>
      </c>
    </row>
    <row r="2787">
      <c r="A2787" s="1">
        <v>3.0</v>
      </c>
      <c r="B2787" s="1" t="s">
        <v>2780</v>
      </c>
      <c r="C2787" t="str">
        <f>IFERROR(__xludf.DUMMYFUNCTION("GOOGLETRANSLATE(B2787, ""zh"", ""en"")"),"Little fade usually wear pants 34, this intermediate to a buckle 36 just five buttons, there are black marks on the belt infected white label, it is estimated that the tape will fade.")</f>
        <v>Little fade usually wear pants 34, this intermediate to a buckle 36 just five buttons, there are black marks on the belt infected white label, it is estimated that the tape will fade.</v>
      </c>
    </row>
    <row r="2788">
      <c r="A2788" s="1">
        <v>3.0</v>
      </c>
      <c r="B2788" s="1" t="s">
        <v>2781</v>
      </c>
      <c r="C2788" t="str">
        <f>IFERROR(__xludf.DUMMYFUNCTION("GOOGLETRANSLATE(B2788, ""zh"", ""en"")"),"There also taste the flavor of the year, not many use")</f>
        <v>There also taste the flavor of the year, not many use</v>
      </c>
    </row>
    <row r="2789">
      <c r="A2789" s="1">
        <v>1.0</v>
      </c>
      <c r="B2789" s="1" t="s">
        <v>2782</v>
      </c>
      <c r="C2789" t="str">
        <f>IFERROR(__xludf.DUMMYFUNCTION("GOOGLETRANSLATE(B2789, ""zh"", ""en"")"),"This is not good with a very easy to use, breast pads always shifting, uncomfortable! ! !")</f>
        <v>This is not good with a very easy to use, breast pads always shifting, uncomfortable! ! !</v>
      </c>
    </row>
    <row r="2790">
      <c r="A2790" s="1">
        <v>1.0</v>
      </c>
      <c r="B2790" s="1" t="s">
        <v>2783</v>
      </c>
      <c r="C2790" t="str">
        <f>IFERROR(__xludf.DUMMYFUNCTION("GOOGLETRANSLATE(B2790, ""zh"", ""en"")"),"Color is too large and the size of the country that much difference, color and pictures that much difference,")</f>
        <v>Color is too large and the size of the country that much difference, color and pictures that much difference,</v>
      </c>
    </row>
    <row r="2791">
      <c r="A2791" s="1">
        <v>1.0</v>
      </c>
      <c r="B2791" s="1" t="s">
        <v>2784</v>
      </c>
      <c r="C2791" t="str">
        <f>IFERROR(__xludf.DUMMYFUNCTION("GOOGLETRANSLATE(B2791, ""zh"", ""en"")"),"Discolored why I like this color!")</f>
        <v>Discolored why I like this color!</v>
      </c>
    </row>
    <row r="2792">
      <c r="A2792" s="1">
        <v>4.0</v>
      </c>
      <c r="B2792" s="1" t="s">
        <v>2785</v>
      </c>
      <c r="C2792" t="str">
        <f>IFERROR(__xludf.DUMMYFUNCTION("GOOGLETRANSLATE(B2792, ""zh"", ""en"")"),"Not very durable more than a month, on the broken line")</f>
        <v>Not very durable more than a month, on the broken line</v>
      </c>
    </row>
    <row r="2793">
      <c r="A2793" s="1">
        <v>4.0</v>
      </c>
      <c r="B2793" s="1" t="s">
        <v>2786</v>
      </c>
      <c r="C2793" t="str">
        <f>IFERROR(__xludf.DUMMYFUNCTION("GOOGLETRANSLATE(B2793, ""zh"", ""en"")"),"Good quality and good quality, light soles")</f>
        <v>Good quality and good quality, light soles</v>
      </c>
    </row>
    <row r="2794">
      <c r="A2794" s="1">
        <v>4.0</v>
      </c>
      <c r="B2794" s="1" t="s">
        <v>2787</v>
      </c>
      <c r="C2794" t="str">
        <f>IFERROR(__xludf.DUMMYFUNCTION("GOOGLETRANSLATE(B2794, ""zh"", ""en"")"),"Sizes I can only use my experience for the benefit of the next people to buy 186.70kg. Buy l. Too large to be m")</f>
        <v>Sizes I can only use my experience for the benefit of the next people to buy 186.70kg. Buy l. Too large to be m</v>
      </c>
    </row>
    <row r="2795">
      <c r="A2795" s="1">
        <v>4.0</v>
      </c>
      <c r="B2795" s="1" t="s">
        <v>2788</v>
      </c>
      <c r="C2795" t="str">
        <f>IFERROR(__xludf.DUMMYFUNCTION("GOOGLETRANSLATE(B2795, ""zh"", ""en"")"),"The wrong goods friends belts good quality, leather good, accurate holes, but actually the wrong goods friends, buy a brown, black hair the same paragraph, the Amazon is too sloppy it, but black is also okay too lazy to change you, a star deduction for Am"&amp;"azon's negligence.")</f>
        <v>The wrong goods friends belts good quality, leather good, accurate holes, but actually the wrong goods friends, buy a brown, black hair the same paragraph, the Amazon is too sloppy it, but black is also okay too lazy to change you, a star deduction for Amazon's negligence.</v>
      </c>
    </row>
    <row r="2796">
      <c r="A2796" s="1">
        <v>4.0</v>
      </c>
      <c r="B2796" s="1" t="s">
        <v>2789</v>
      </c>
      <c r="C2796" t="str">
        <f>IFERROR(__xludf.DUMMYFUNCTION("GOOGLETRANSLATE(B2796, ""zh"", ""en"")"),"Not bad not good original Diamond Head, but almost.")</f>
        <v>Not bad not good original Diamond Head, but almost.</v>
      </c>
    </row>
    <row r="2797">
      <c r="A2797" s="1">
        <v>5.0</v>
      </c>
      <c r="B2797" s="1" t="s">
        <v>2790</v>
      </c>
      <c r="C2797" t="str">
        <f>IFERROR(__xludf.DUMMYFUNCTION("GOOGLETRANSLATE(B2797, ""zh"", ""en"")"),"Comfortable fabrics belong to the spring and autumn wear sweater with velvet fabric is very comfortable, good size")</f>
        <v>Comfortable fabrics belong to the spring and autumn wear sweater with velvet fabric is very comfortable, good size</v>
      </c>
    </row>
    <row r="2798">
      <c r="A2798" s="1">
        <v>5.0</v>
      </c>
      <c r="B2798" s="1" t="s">
        <v>2791</v>
      </c>
      <c r="C2798" t="str">
        <f>IFERROR(__xludf.DUMMYFUNCTION("GOOGLETRANSLATE(B2798, ""zh"", ""en"")"),"How brush with affordable, ah can not seem to change the brush head")</f>
        <v>How brush with affordable, ah can not seem to change the brush head</v>
      </c>
    </row>
    <row r="2799">
      <c r="A2799" s="1">
        <v>5.0</v>
      </c>
      <c r="B2799" s="1" t="s">
        <v>2792</v>
      </c>
      <c r="C2799" t="str">
        <f>IFERROR(__xludf.DUMMYFUNCTION("GOOGLETRANSLATE(B2799, ""zh"", ""en"")"),"Inexpensive, practical things have been received, very small, not luxurious, a bit like plastic material (joking), with a day, the error is less than 1 minute, transparent bottom shell, luminous display, but also cheaper")</f>
        <v>Inexpensive, practical things have been received, very small, not luxurious, a bit like plastic material (joking), with a day, the error is less than 1 minute, transparent bottom shell, luminous display, but also cheaper</v>
      </c>
    </row>
    <row r="2800">
      <c r="A2800" s="1">
        <v>5.0</v>
      </c>
      <c r="B2800" s="1" t="s">
        <v>2793</v>
      </c>
      <c r="C2800" t="str">
        <f>IFERROR(__xludf.DUMMYFUNCTION("GOOGLETRANSLATE(B2800, ""zh"", ""en"")"),"Good, affordable, it does not smell very good, affordable, no smell, baby likes")</f>
        <v>Good, affordable, it does not smell very good, affordable, no smell, baby likes</v>
      </c>
    </row>
    <row r="2801">
      <c r="A2801" s="1">
        <v>5.0</v>
      </c>
      <c r="B2801" s="1" t="s">
        <v>2794</v>
      </c>
      <c r="C2801" t="str">
        <f>IFERROR(__xludf.DUMMYFUNCTION("GOOGLETRANSLATE(B2801, ""zh"", ""en"")"),"Inexpensive and good to wear very well! Affordable, comfortable to wear, just 3E I thought I would be this thin feet big, I did not expect fundamental 3E and usually no difference.")</f>
        <v>Inexpensive and good to wear very well! Affordable, comfortable to wear, just 3E I thought I would be this thin feet big, I did not expect fundamental 3E and usually no difference.</v>
      </c>
    </row>
    <row r="2802">
      <c r="A2802" s="1">
        <v>5.0</v>
      </c>
      <c r="B2802" s="1" t="s">
        <v>2795</v>
      </c>
      <c r="C2802" t="str">
        <f>IFERROR(__xludf.DUMMYFUNCTION("GOOGLETRANSLATE(B2802, ""zh"", ""en"")"),"Good things something good, very thick and strong, it should be genuine")</f>
        <v>Good things something good, very thick and strong, it should be genuine</v>
      </c>
    </row>
    <row r="2803">
      <c r="A2803" s="1">
        <v>5.0</v>
      </c>
      <c r="B2803" s="1" t="s">
        <v>2796</v>
      </c>
      <c r="C2803" t="str">
        <f>IFERROR(__xludf.DUMMYFUNCTION("GOOGLETRANSLATE(B2803, ""zh"", ""en"")"),"Super like carefully read the material upon receipt, mostly merino and 30% cashmere, the material is praise, washed and dried after washing machine wool file no problem, very good care. Warm light, it can be said of the 100 points.")</f>
        <v>Super like carefully read the material upon receipt, mostly merino and 30% cashmere, the material is praise, washed and dried after washing machine wool file no problem, very good care. Warm light, it can be said of the 100 points.</v>
      </c>
    </row>
    <row r="2804">
      <c r="A2804" s="1">
        <v>5.0</v>
      </c>
      <c r="B2804" s="1" t="s">
        <v>2797</v>
      </c>
      <c r="C2804" t="str">
        <f>IFERROR(__xludf.DUMMYFUNCTION("GOOGLETRANSLATE(B2804, ""zh"", ""en"")"),"A little heavy shoes, her husband said this is the electrician shoes, my goodness, I feel cool ah")</f>
        <v>A little heavy shoes, her husband said this is the electrician shoes, my goodness, I feel cool ah</v>
      </c>
    </row>
    <row r="2805">
      <c r="A2805" s="1">
        <v>5.0</v>
      </c>
      <c r="B2805" s="1" t="s">
        <v>2798</v>
      </c>
      <c r="C2805" t="str">
        <f>IFERROR(__xludf.DUMMYFUNCTION("GOOGLETRANSLATE(B2805, ""zh"", ""en"")"),"Very good right size, cotton, commented that before did not tie people to wear them feel good, low prices, overalls properly properly")</f>
        <v>Very good right size, cotton, commented that before did not tie people to wear them feel good, low prices, overalls properly properly</v>
      </c>
    </row>
    <row r="2806">
      <c r="A2806" s="1">
        <v>5.0</v>
      </c>
      <c r="B2806" s="1" t="s">
        <v>2799</v>
      </c>
      <c r="C2806" t="str">
        <f>IFERROR(__xludf.DUMMYFUNCTION("GOOGLETRANSLATE(B2806, ""zh"", ""en"")"),"Good quality! The right size! Version for! Workmanship is very good! Mexico produced!")</f>
        <v>Good quality! The right size! Version for! Workmanship is very good! Mexico produced!</v>
      </c>
    </row>
    <row r="2807">
      <c r="A2807" s="1">
        <v>5.0</v>
      </c>
      <c r="B2807" s="1" t="s">
        <v>2800</v>
      </c>
      <c r="C2807" t="str">
        <f>IFERROR(__xludf.DUMMYFUNCTION("GOOGLETRANSLATE(B2807, ""zh"", ""en"")"),"Pants good enough fat ah good very reasonable prices like next time come")</f>
        <v>Pants good enough fat ah good very reasonable prices like next time come</v>
      </c>
    </row>
    <row r="2808">
      <c r="A2808" s="1">
        <v>5.0</v>
      </c>
      <c r="B2808" s="1" t="s">
        <v>2801</v>
      </c>
      <c r="C2808" t="str">
        <f>IFERROR(__xludf.DUMMYFUNCTION("GOOGLETRANSLATE(B2808, ""zh"", ""en"")"),"Solar radio plus GS series with the price invincible British-orders, made in China five days wandering hand. Accurately collect wave, the system is the standard system when changing summer, night automatic admission waves, quite true. GS black tie look, w"&amp;"ild section. Get started on the first day wearing a swim. No automatic backlight, not seconds, sufficient fluorescence at night. Smaller than the king of clay has certain advantages.")</f>
        <v>Solar radio plus GS series with the price invincible British-orders, made in China five days wandering hand. Accurately collect wave, the system is the standard system when changing summer, night automatic admission waves, quite true. GS black tie look, wild section. Get started on the first day wearing a swim. No automatic backlight, not seconds, sufficient fluorescence at night. Smaller than the king of clay has certain advantages.</v>
      </c>
    </row>
    <row r="2809">
      <c r="A2809" s="1">
        <v>5.0</v>
      </c>
      <c r="B2809" s="1" t="s">
        <v>2802</v>
      </c>
      <c r="C2809" t="str">
        <f>IFERROR(__xludf.DUMMYFUNCTION("GOOGLETRANSLATE(B2809, ""zh"", ""en"")"),"Very easy to use this pen handy trim Yeah, f sharp thickness measured 0.5, for writing Chinese characters, but also the front, the price is also very suitable main thing is big on")</f>
        <v>Very easy to use this pen handy trim Yeah, f sharp thickness measured 0.5, for writing Chinese characters, but also the front, the price is also very suitable main thing is big on</v>
      </c>
    </row>
    <row r="2810">
      <c r="A2810" s="1">
        <v>5.0</v>
      </c>
      <c r="B2810" s="1" t="s">
        <v>2803</v>
      </c>
      <c r="C2810" t="str">
        <f>IFERROR(__xludf.DUMMYFUNCTION("GOOGLETRANSLATE(B2810, ""zh"", ""en"")"),"Big ah! I thought it was an electric toothbrush, turned out to be a rolling pin. I have eaten several times Avocado milkshake, just to eat this buy.")</f>
        <v>Big ah! I thought it was an electric toothbrush, turned out to be a rolling pin. I have eaten several times Avocado milkshake, just to eat this buy.</v>
      </c>
    </row>
    <row r="2811">
      <c r="A2811" s="1">
        <v>5.0</v>
      </c>
      <c r="B2811" s="1" t="s">
        <v>2804</v>
      </c>
      <c r="C2811" t="str">
        <f>IFERROR(__xludf.DUMMYFUNCTION("GOOGLETRANSLATE(B2811, ""zh"", ""en"")"),"Satisfaction 944 + 106 total 1050 yuan. Let me Mifune also quite five years.")</f>
        <v>Satisfaction 944 + 106 total 1050 yuan. Let me Mifune also quite five years.</v>
      </c>
    </row>
    <row r="2812">
      <c r="A2812" s="1">
        <v>5.0</v>
      </c>
      <c r="B2812" s="1" t="s">
        <v>2805</v>
      </c>
      <c r="C2812" t="str">
        <f>IFERROR(__xludf.DUMMYFUNCTION("GOOGLETRANSLATE(B2812, ""zh"", ""en"")"),"This does not feel like bondage wear feel very personal comfort! Like wearing the same!")</f>
        <v>This does not feel like bondage wear feel very personal comfort! Like wearing the same!</v>
      </c>
    </row>
    <row r="2813">
      <c r="A2813" s="1">
        <v>5.0</v>
      </c>
      <c r="B2813" s="1" t="s">
        <v>2806</v>
      </c>
      <c r="C2813" t="str">
        <f>IFERROR(__xludf.DUMMYFUNCTION("GOOGLETRANSLATE(B2813, ""zh"", ""en"")"),"Entry box sound quality is very good we all take JBL305 to compare ... a black one pair of five AIU 305 less than 1200 hand (VISA free postage CCB + 20% cash back can do). Second, the 305 bass is not suitable for small spaces near-field listening. 305 noi"&amp;"se floor much larger than E5, two have noise floor (there are cattle people can do to reduce background noise interference shielding, such as shielding ground, without wireless mouse with a USB Gigabyte motherboard that what the independent method, etc.) "&amp;". Three, E5 than 305 omnivorous, nice big vocal preparation is also good movie games can be taken into account, more suitable for computer cases, of course, at least we have a similar DAC or a separate sound card.")</f>
        <v>Entry box sound quality is very good we all take JBL305 to compare ... a black one pair of five AIU 305 less than 1200 hand (VISA free postage CCB + 20% cash back can do). Second, the 305 bass is not suitable for small spaces near-field listening. 305 noise floor much larger than E5, two have noise floor (there are cattle people can do to reduce background noise interference shielding, such as shielding ground, without wireless mouse with a USB Gigabyte motherboard that what the independent method, etc.) . Three, E5 than 305 omnivorous, nice big vocal preparation is also good movie games can be taken into account, more suitable for computer cases, of course, at least we have a similar DAC or a separate sound card.</v>
      </c>
    </row>
    <row r="2814">
      <c r="A2814" s="1">
        <v>5.0</v>
      </c>
      <c r="B2814" s="1" t="s">
        <v>2807</v>
      </c>
      <c r="C2814" t="str">
        <f>IFERROR(__xludf.DUMMYFUNCTION("GOOGLETRANSLATE(B2814, ""zh"", ""en"")"),"Very satisfied, there is a problem then contact follow-up, because you have not installed very satisfied, than I bought the domestic price Kohler, accessories do not know no less, good flash")</f>
        <v>Very satisfied, there is a problem then contact follow-up, because you have not installed very satisfied, than I bought the domestic price Kohler, accessories do not know no less, good flash</v>
      </c>
    </row>
    <row r="2815">
      <c r="A2815" s="1">
        <v>5.0</v>
      </c>
      <c r="B2815" s="1" t="s">
        <v>2808</v>
      </c>
      <c r="C2815" t="str">
        <f>IFERROR(__xludf.DUMMYFUNCTION("GOOGLETRANSLATE(B2815, ""zh"", ""en"")"),"Most comfortable ecco through one pair of good, gray often good, fat feet are also suitable")</f>
        <v>Most comfortable ecco through one pair of good, gray often good, fat feet are also suitable</v>
      </c>
    </row>
    <row r="2816">
      <c r="A2816" s="1">
        <v>5.0</v>
      </c>
      <c r="B2816" s="1" t="s">
        <v>2809</v>
      </c>
      <c r="C2816" t="str">
        <f>IFERROR(__xludf.DUMMYFUNCTION("GOOGLETRANSLATE(B2816, ""zh"", ""en"")"),"Save face and very easy to use, buy expensive it is, the highest single point. And surface easy ah")</f>
        <v>Save face and very easy to use, buy expensive it is, the highest single point. And surface easy ah</v>
      </c>
    </row>
    <row r="2817">
      <c r="A2817" s="1">
        <v>5.0</v>
      </c>
      <c r="B2817" s="1" t="s">
        <v>2810</v>
      </c>
      <c r="C2817" t="str">
        <f>IFERROR(__xludf.DUMMYFUNCTION("GOOGLETRANSLATE(B2817, ""zh"", ""en"")"),"Overseas purchase, I like it! The right size, in 26 yards, to buy uk8! Prices are more appropriate! High cost, after the foot feeling very comfortable! The second double their music shoes! Liked overseas purchase!")</f>
        <v>Overseas purchase, I like it! The right size, in 26 yards, to buy uk8! Prices are more appropriate! High cost, after the foot feeling very comfortable! The second double their music shoes! Liked overseas purchase!</v>
      </c>
    </row>
    <row r="2818">
      <c r="A2818" s="1">
        <v>5.0</v>
      </c>
      <c r="B2818" s="1" t="s">
        <v>2811</v>
      </c>
      <c r="C2818" t="str">
        <f>IFERROR(__xludf.DUMMYFUNCTION("GOOGLETRANSLATE(B2818, ""zh"", ""en"")"),"This is still relatively satisfied with the courier, too slow too slow, too slow, clothes a little big maximum number 186/180, I hope you pay attention, in fact, clothing material is not as ck")</f>
        <v>This is still relatively satisfied with the courier, too slow too slow, too slow, clothes a little big maximum number 186/180, I hope you pay attention, in fact, clothing material is not as ck</v>
      </c>
    </row>
    <row r="2819">
      <c r="A2819" s="1">
        <v>2.0</v>
      </c>
      <c r="B2819" s="1" t="s">
        <v>2812</v>
      </c>
      <c r="C2819" t="str">
        <f>IFERROR(__xludf.DUMMYFUNCTION("GOOGLETRANSLATE(B2819, ""zh"", ""en"")"),"Leading off leakage lax &lt;div id = ""video-block-R19NPJTW9YURXQ"" class = ""a-section a-spacing-small a-spacing-top-mini video-block""&gt; &lt;/ div&gt; &lt;input type = ""hidden"" name = """" value = ""https://images-cn.ssl-images-amazon.com/images/I/A1QA1GTZF9S.mp4"&amp;""" class = ""video-url""&gt; &lt;input type = ""hidden"" name = """" value = ""https://images-cn.ssl-images-amazon.com/images/I/71z0oh+KXOS.png"" class = ""video-slate-img-url""&gt; &amp; nbsp; buy two faucet, a well, a leak shut tight, win the lottery!")</f>
        <v>Leading off leakage lax &lt;div id = "video-block-R19NPJTW9YURXQ" class = "a-section a-spacing-small a-spacing-top-mini video-block"&gt; &lt;/ div&gt; &lt;input type = "hidden" name = "" value = "https://images-cn.ssl-images-amazon.com/images/I/A1QA1GTZF9S.mp4" class = "video-url"&gt; &lt;input type = "hidden" name = "" value = "https://images-cn.ssl-images-amazon.com/images/I/71z0oh+KXOS.png" class = "video-slate-img-url"&gt; &amp; nbsp; buy two faucet, a well, a leak shut tight, win the lottery!</v>
      </c>
    </row>
    <row r="2820">
      <c r="A2820" s="1">
        <v>3.0</v>
      </c>
      <c r="B2820" s="1" t="s">
        <v>2813</v>
      </c>
      <c r="C2820" t="str">
        <f>IFERROR(__xludf.DUMMYFUNCTION("GOOGLETRANSLATE(B2820, ""zh"", ""en"")"),"Old style, great code! Shall not apply to the general population of our country, better customer service suggested I buy a small 12S to 10S as a whole is still the number one inch big. Old style, to wear like Aunt. But the fabric is very comfortable, and "&amp;"there is no smell. Get back more than 50 overseas freight, worth, or give as gifts good.")</f>
        <v>Old style, great code! Shall not apply to the general population of our country, better customer service suggested I buy a small 12S to 10S as a whole is still the number one inch big. Old style, to wear like Aunt. But the fabric is very comfortable, and there is no smell. Get back more than 50 overseas freight, worth, or give as gifts good.</v>
      </c>
    </row>
    <row r="2821">
      <c r="A2821" s="1">
        <v>3.0</v>
      </c>
      <c r="B2821" s="1" t="s">
        <v>2814</v>
      </c>
      <c r="C2821" t="str">
        <f>IFERROR(__xludf.DUMMYFUNCTION("GOOGLETRANSLATE(B2821, ""zh"", ""en"")"),"Cheap price is very cheap, like clothes in general, expand washed after")</f>
        <v>Cheap price is very cheap, like clothes in general, expand washed after</v>
      </c>
    </row>
    <row r="2822">
      <c r="A2822" s="1">
        <v>3.0</v>
      </c>
      <c r="B2822" s="1" t="s">
        <v>2815</v>
      </c>
      <c r="C2822" t="str">
        <f>IFERROR(__xludf.DUMMYFUNCTION("GOOGLETRANSLATE(B2822, ""zh"", ""en"")"),"Validity is not clear enough really big bucket, the only downside is the production date a little fuzzy.")</f>
        <v>Validity is not clear enough really big bucket, the only downside is the production date a little fuzzy.</v>
      </c>
    </row>
    <row r="2823">
      <c r="A2823" s="1">
        <v>1.0</v>
      </c>
      <c r="B2823" s="1" t="s">
        <v>2816</v>
      </c>
      <c r="C2823" t="str">
        <f>IFERROR(__xludf.DUMMYFUNCTION("GOOGLETRANSLATE(B2823, ""zh"", ""en"")"),"Averypoorleatherbelt, thenormalwear willbescrapingflowersandpaintoff very poor a belt, scratches and normal wear will paint out. Averypoorleatherbelt, thenormalwear willbescrapingflowersandpaintoff")</f>
        <v>Averypoorleatherbelt, thenormalwear willbescrapingflowersandpaintoff very poor a belt, scratches and normal wear will paint out. Averypoorleatherbelt, thenormalwear willbescrapingflowersandpaintoff</v>
      </c>
    </row>
    <row r="2824">
      <c r="A2824" s="1">
        <v>1.0</v>
      </c>
      <c r="B2824" s="1" t="s">
        <v>2817</v>
      </c>
      <c r="C2824" t="str">
        <f>IFERROR(__xludf.DUMMYFUNCTION("GOOGLETRANSLATE(B2824, ""zh"", ""en"")"),"Size large, late delivery 7/24 did not receive the goods. Upon receipt already 7/28. The size is much larger than normal xxl. I guess Yao Ming wearing just right.")</f>
        <v>Size large, late delivery 7/24 did not receive the goods. Upon receipt already 7/28. The size is much larger than normal xxl. I guess Yao Ming wearing just right.</v>
      </c>
    </row>
    <row r="2825">
      <c r="A2825" s="1">
        <v>4.0</v>
      </c>
      <c r="B2825" s="1" t="s">
        <v>2818</v>
      </c>
      <c r="C2825" t="str">
        <f>IFERROR(__xludf.DUMMYFUNCTION("GOOGLETRANSLATE(B2825, ""zh"", ""en"")"),"Very satisfied with the packaging is very new, production date is also very new, unlike some comments that are old. Bottle is useful, like to hold the baby to drink, there is little taste.")</f>
        <v>Very satisfied with the packaging is very new, production date is also very new, unlike some comments that are old. Bottle is useful, like to hold the baby to drink, there is little taste.</v>
      </c>
    </row>
    <row r="2826">
      <c r="A2826" s="1">
        <v>4.0</v>
      </c>
      <c r="B2826" s="1" t="s">
        <v>2819</v>
      </c>
      <c r="C2826" t="str">
        <f>IFERROR(__xludf.DUMMYFUNCTION("GOOGLETRANSLATE(B2826, ""zh"", ""en"")"),"Calvin Klein Calvin Klein men's modal boxer briefs black S ... No. logistics faster than imagined, panties get our hands feel very small, just to wear, but have to say that the work is very general, there are two more than 3.4 inside thread , followed by "&amp;"irregular seams, it does not matter, I did not wash directly through the key, which are all wool cloth, get my legs with black spots all private parts, the ground also off the floor black spots. Too disgusting, no way, retire, etc. washed wear, overseas s"&amp;"hopping early experience is not good, not as good as a 30 to block the country's underpants, the quality of God, the horse can only rely on time to detect the")</f>
        <v>Calvin Klein Calvin Klein men's modal boxer briefs black S ... No. logistics faster than imagined, panties get our hands feel very small, just to wear, but have to say that the work is very general, there are two more than 3.4 inside thread , followed by irregular seams, it does not matter, I did not wash directly through the key, which are all wool cloth, get my legs with black spots all private parts, the ground also off the floor black spots. Too disgusting, no way, retire, etc. washed wear, overseas shopping early experience is not good, not as good as a 30 to block the country's underpants, the quality of God, the horse can only rely on time to detect the</v>
      </c>
    </row>
    <row r="2827">
      <c r="A2827" s="1">
        <v>4.0</v>
      </c>
      <c r="B2827" s="1" t="s">
        <v>2820</v>
      </c>
      <c r="C2827" t="str">
        <f>IFERROR(__xludf.DUMMYFUNCTION("GOOGLETRANSLATE(B2827, ""zh"", ""en"")"),"Overall okay than expected to loose some")</f>
        <v>Overall okay than expected to loose some</v>
      </c>
    </row>
    <row r="2828">
      <c r="A2828" s="1">
        <v>4.0</v>
      </c>
      <c r="B2828" s="1" t="s">
        <v>2821</v>
      </c>
      <c r="C2828" t="str">
        <f>IFERROR(__xludf.DUMMYFUNCTION("GOOGLETRANSLATE(B2828, ""zh"", ""en"")"),"Damage something looks good, packing too shabby, damaged when received, very timely deal with the problem")</f>
        <v>Damage something looks good, packing too shabby, damaged when received, very timely deal with the problem</v>
      </c>
    </row>
    <row r="2829">
      <c r="A2829" s="1">
        <v>5.0</v>
      </c>
      <c r="B2829" s="1" t="s">
        <v>2822</v>
      </c>
      <c r="C2829" t="str">
        <f>IFERROR(__xludf.DUMMYFUNCTION("GOOGLETRANSLATE(B2829, ""zh"", ""en"")"),"160/120 satisfaction like to wear very loose S, style is also good-looking, but also to force the price. worth to buy.")</f>
        <v>160/120 satisfaction like to wear very loose S, style is also good-looking, but also to force the price. worth to buy.</v>
      </c>
    </row>
    <row r="2830">
      <c r="A2830" s="1">
        <v>5.0</v>
      </c>
      <c r="B2830" s="1" t="s">
        <v>2823</v>
      </c>
      <c r="C2830" t="str">
        <f>IFERROR(__xludf.DUMMYFUNCTION("GOOGLETRANSLATE(B2830, ""zh"", ""en"")"),"well! This price can buy, it should be said very good value, and Amazon is so low that sometimes discount beyond alike, and no self-fakes.")</f>
        <v>well! This price can buy, it should be said very good value, and Amazon is so low that sometimes discount beyond alike, and no self-fakes.</v>
      </c>
    </row>
    <row r="2831">
      <c r="A2831" s="1">
        <v>5.0</v>
      </c>
      <c r="B2831" s="1" t="s">
        <v>2824</v>
      </c>
      <c r="C2831" t="str">
        <f>IFERROR(__xludf.DUMMYFUNCTION("GOOGLETRANSLATE(B2831, ""zh"", ""en"")"),"Very good once again confirmed that the Amazon shopping experience with customer communication before that I was fast delivery only 5-9 days, but the second I said it was common for customer service delivery to more than 12 days, the result was quickly ge"&amp;"t our hands thank you very much customer service first. If there are enough coupons - plus almost 750 of the Tariff")</f>
        <v>Very good once again confirmed that the Amazon shopping experience with customer communication before that I was fast delivery only 5-9 days, but the second I said it was common for customer service delivery to more than 12 days, the result was quickly get our hands thank you very much customer service first. If there are enough coupons - plus almost 750 of the Tariff</v>
      </c>
    </row>
    <row r="2832">
      <c r="A2832" s="1">
        <v>5.0</v>
      </c>
      <c r="B2832" s="1" t="s">
        <v>2825</v>
      </c>
      <c r="C2832" t="str">
        <f>IFERROR(__xludf.DUMMYFUNCTION("GOOGLETRANSLATE(B2832, ""zh"", ""en"")"),"Cost-effective and so close to the last delivery. Something good use. The price is very cost-effective")</f>
        <v>Cost-effective and so close to the last delivery. Something good use. The price is very cost-effective</v>
      </c>
    </row>
    <row r="2833">
      <c r="A2833" s="1">
        <v>5.0</v>
      </c>
      <c r="B2833" s="1" t="s">
        <v>2826</v>
      </c>
      <c r="C2833" t="str">
        <f>IFERROR(__xludf.DUMMYFUNCTION("GOOGLETRANSLATE(B2833, ""zh"", ""en"")"),"Easy to use thin, can also speed")</f>
        <v>Easy to use thin, can also speed</v>
      </c>
    </row>
    <row r="2834">
      <c r="A2834" s="1">
        <v>5.0</v>
      </c>
      <c r="B2834" s="1" t="s">
        <v>2827</v>
      </c>
      <c r="C2834" t="str">
        <f>IFERROR(__xludf.DUMMYFUNCTION("GOOGLETRANSLATE(B2834, ""zh"", ""en"")"),"The texture is great! Great, good texture! With a steak knife and fork together to buy, very satisfied!")</f>
        <v>The texture is great! Great, good texture! With a steak knife and fork together to buy, very satisfied!</v>
      </c>
    </row>
    <row r="2835">
      <c r="A2835" s="1">
        <v>5.0</v>
      </c>
      <c r="B2835" s="1" t="s">
        <v>2828</v>
      </c>
      <c r="C2835" t="str">
        <f>IFERROR(__xludf.DUMMYFUNCTION("GOOGLETRANSLATE(B2835, ""zh"", ""en"")"),"good looking! good looking! I am just getting a little pressure feet, but wear more like a few days")</f>
        <v>good looking! good looking! I am just getting a little pressure feet, but wear more like a few days</v>
      </c>
    </row>
    <row r="2836">
      <c r="A2836" s="1">
        <v>5.0</v>
      </c>
      <c r="B2836" s="1" t="s">
        <v>2829</v>
      </c>
      <c r="C2836" t="str">
        <f>IFERROR(__xludf.DUMMYFUNCTION("GOOGLETRANSLATE(B2836, ""zh"", ""en"")"),"For your baby out of the stew pot is very beautiful color, about 180 hand, is a little too large capacity, stew soup is very good")</f>
        <v>For your baby out of the stew pot is very beautiful color, about 180 hand, is a little too large capacity, stew soup is very good</v>
      </c>
    </row>
    <row r="2837">
      <c r="A2837" s="1">
        <v>5.0</v>
      </c>
      <c r="B2837" s="1" t="s">
        <v>2830</v>
      </c>
      <c r="C2837" t="str">
        <f>IFERROR(__xludf.DUMMYFUNCTION("GOOGLETRANSLATE(B2837, ""zh"", ""en"")"),"Very good should be genuine! Particularly good")</f>
        <v>Very good should be genuine! Particularly good</v>
      </c>
    </row>
    <row r="2838">
      <c r="A2838" s="1">
        <v>5.0</v>
      </c>
      <c r="B2838" s="1" t="s">
        <v>2831</v>
      </c>
      <c r="C2838" t="str">
        <f>IFERROR(__xludf.DUMMYFUNCTION("GOOGLETRANSLATE(B2838, ""zh"", ""en"")"),"Okay okay I did not set a new awareness of the bones of domestic Pigeon bottle ......")</f>
        <v>Okay okay I did not set a new awareness of the bones of domestic Pigeon bottle ......</v>
      </c>
    </row>
    <row r="2839">
      <c r="A2839" s="1">
        <v>5.0</v>
      </c>
      <c r="B2839" s="1" t="s">
        <v>2832</v>
      </c>
      <c r="C2839" t="str">
        <f>IFERROR(__xludf.DUMMYFUNCTION("GOOGLETRANSLATE(B2839, ""zh"", ""en"")"),"We do not buy cheap goods will not be my ankle u disk to buy for a long time, spent a long time, more than a dozen are one hundred seventy time to buy, then just have the global shopping event. Read speed is not written to run 80m 20-30m can accept those "&amp;"kinds of bad strange rp of their own cheap, do not blame others")</f>
        <v>We do not buy cheap goods will not be my ankle u disk to buy for a long time, spent a long time, more than a dozen are one hundred seventy time to buy, then just have the global shopping event. Read speed is not written to run 80m 20-30m can accept those kinds of bad strange rp of their own cheap, do not blame others</v>
      </c>
    </row>
    <row r="2840">
      <c r="A2840" s="1">
        <v>5.0</v>
      </c>
      <c r="B2840" s="1" t="s">
        <v>2833</v>
      </c>
      <c r="C2840" t="str">
        <f>IFERROR(__xludf.DUMMYFUNCTION("GOOGLETRANSLATE(B2840, ""zh"", ""en"")"),"Cost can be cheaper than Taobao. Corset pants really very comfortable to wear, no sense of restraint, nor the following leg curl, if not more, then stomach meat, the meat will not be pushed above. Postpartum 106 pounds, 163cm, 64 to buy, the feeling is es"&amp;"timated to wear a few days to buy a small yards. Wear thin circle, shaping waist than at the stomach feel better. A little depressed this morning wearing, made in China found written above ~")</f>
        <v>Cost can be cheaper than Taobao. Corset pants really very comfortable to wear, no sense of restraint, nor the following leg curl, if not more, then stomach meat, the meat will not be pushed above. Postpartum 106 pounds, 163cm, 64 to buy, the feeling is estimated to wear a few days to buy a small yards. Wear thin circle, shaping waist than at the stomach feel better. A little depressed this morning wearing, made in China found written above ~</v>
      </c>
    </row>
    <row r="2841">
      <c r="A2841" s="1">
        <v>5.0</v>
      </c>
      <c r="B2841" s="1" t="s">
        <v>2834</v>
      </c>
      <c r="C2841" t="str">
        <f>IFERROR(__xludf.DUMMYFUNCTION("GOOGLETRANSLATE(B2841, ""zh"", ""en"")"),"Read other buyers to buy a small number of decisive recommendations 2, exactly!")</f>
        <v>Read other buyers to buy a small number of decisive recommendations 2, exactly!</v>
      </c>
    </row>
    <row r="2842">
      <c r="A2842" s="1">
        <v>5.0</v>
      </c>
      <c r="B2842" s="1" t="s">
        <v>2835</v>
      </c>
      <c r="C2842" t="str">
        <f>IFERROR(__xludf.DUMMYFUNCTION("GOOGLETRANSLATE(B2842, ""zh"", ""en"")"),"Is leather, do not know resistance is not durable previously bought a few are not used for over a year, this time to buy overseas goods look good is not good Mimi")</f>
        <v>Is leather, do not know resistance is not durable previously bought a few are not used for over a year, this time to buy overseas goods look good is not good Mimi</v>
      </c>
    </row>
    <row r="2843">
      <c r="A2843" s="1">
        <v>5.0</v>
      </c>
      <c r="B2843" s="1" t="s">
        <v>2836</v>
      </c>
      <c r="C2843" t="str">
        <f>IFERROR(__xludf.DUMMYFUNCTION("GOOGLETRANSLATE(B2843, ""zh"", ""en"")"),"One big difference in size again when the Japanese code, small, usually to buy S No. M are small, the proposed purchase")</f>
        <v>One big difference in size again when the Japanese code, small, usually to buy S No. M are small, the proposed purchase</v>
      </c>
    </row>
    <row r="2844">
      <c r="A2844" s="1">
        <v>5.0</v>
      </c>
      <c r="B2844" s="1" t="s">
        <v>2837</v>
      </c>
      <c r="C2844" t="str">
        <f>IFERROR(__xludf.DUMMYFUNCTION("GOOGLETRANSLATE(B2844, ""zh"", ""en"")"),"Size is too large. I 170,80 kg, m code or loose a little. But tolerating freedom, a change too much trouble. Clothes itself is no problem.")</f>
        <v>Size is too large. I 170,80 kg, m code or loose a little. But tolerating freedom, a change too much trouble. Clothes itself is no problem.</v>
      </c>
    </row>
    <row r="2845">
      <c r="A2845" s="1">
        <v>5.0</v>
      </c>
      <c r="B2845" s="1" t="s">
        <v>2838</v>
      </c>
      <c r="C2845" t="str">
        <f>IFERROR(__xludf.DUMMYFUNCTION("GOOGLETRANSLATE(B2845, ""zh"", ""en"")"),"Tiger good cup day Yaping enough.")</f>
        <v>Tiger good cup day Yaping enough.</v>
      </c>
    </row>
    <row r="2846">
      <c r="A2846" s="1">
        <v>5.0</v>
      </c>
      <c r="B2846" s="1" t="s">
        <v>2839</v>
      </c>
      <c r="C2846" t="str">
        <f>IFERROR(__xludf.DUMMYFUNCTION("GOOGLETRANSLATE(B2846, ""zh"", ""en"")"),"Comfortable to wear very good, very comfortable, I height 180 weight 76 slim, wear m very appropriate.")</f>
        <v>Comfortable to wear very good, very comfortable, I height 180 weight 76 slim, wear m very appropriate.</v>
      </c>
    </row>
    <row r="2847">
      <c r="A2847" s="1">
        <v>5.0</v>
      </c>
      <c r="B2847" s="1" t="s">
        <v>2840</v>
      </c>
      <c r="C2847" t="str">
        <f>IFERROR(__xludf.DUMMYFUNCTION("GOOGLETRANSLATE(B2847, ""zh"", ""en"")"),"Very suitable for very pleasant shopping. Clothes, though not big, but the workmanship, material is very good. I bust 95 cm, recommended by the size of the table to buy the L number just ~!")</f>
        <v>Very suitable for very pleasant shopping. Clothes, though not big, but the workmanship, material is very good. I bust 95 cm, recommended by the size of the table to buy the L number just ~!</v>
      </c>
    </row>
    <row r="2848">
      <c r="A2848" s="1">
        <v>5.0</v>
      </c>
      <c r="B2848" s="1" t="s">
        <v>2841</v>
      </c>
      <c r="C2848" t="str">
        <f>IFERROR(__xludf.DUMMYFUNCTION("GOOGLETRANSLATE(B2848, ""zh"", ""en"")"),"This grass has long been worth buying, had wanted the British Asia and other activities when to buy, so do not need a transformer, and the results did not hold back AIU good price. About this machine is the major forum for the various posts I have read a "&amp;"lot, to be honest no one detailed. Some say the US version of the post after a transformer can not fully exert its effect, because the frequency can not be changed after the voltage converter. Many sun single post and does not describe a detailed descript"&amp;"ion on the nameplate of the machine, in fact, the frequency of this machine is written very clearly 50-60 Hz, which means that these two frequencies are applicable. King tournament transformer I bought the whole copper 2000w, and before the house Shun red"&amp;" with for three years, actually quite good, a few hours of continuous use will not heat. The King of the benefits of competition are three output voltage, so that the US and Japan have their own electrical socket. 2000w with mixer is no problem, but the f"&amp;"act still choose a 3000w to facilitate the purchase of high-power electrical appliances with behind. Let me say this cooking machine, high-speed voice of a ten speed comparable to decoration, and good basic juice refining what a minute is sufficient, woul"&amp;"d be acceptable. Frozen bananas can be directly labeled ice cream, delicate taste. A variety of beans cooked in soy milk labeled as very dense, taste Soymilk thrown a few blocks. Soymilk juice machine home cooking machine can be put away, there is a small"&amp;" v enough. Especially in the morning a minute or cold or hot drink fruit juice milk, just too convenient, and good cleaning. Finally Share peanut milk recipes: boiled peanuts a six or seven dates meat, milk and two-thirds of one third of the water, like t"&amp;"o drink cold milk and chilled water are used, like to drink hot. put into hot water by adding milk, a cup body temperature can, because the fight is warming up, and do not need sugar. How to drink? You try to know ^ _ ^")</f>
        <v>This grass has long been worth buying, had wanted the British Asia and other activities when to buy, so do not need a transformer, and the results did not hold back AIU good price. About this machine is the major forum for the various posts I have read a lot, to be honest no one detailed. Some say the US version of the post after a transformer can not fully exert its effect, because the frequency can not be changed after the voltage converter. Many sun single post and does not describe a detailed description on the nameplate of the machine, in fact, the frequency of this machine is written very clearly 50-60 Hz, which means that these two frequencies are applicable. King tournament transformer I bought the whole copper 2000w, and before the house Shun red with for three years, actually quite good, a few hours of continuous use will not heat. The King of the benefits of competition are three output voltage, so that the US and Japan have their own electrical socket. 2000w with mixer is no problem, but the fact still choose a 3000w to facilitate the purchase of high-power electrical appliances with behind. Let me say this cooking machine, high-speed voice of a ten speed comparable to decoration, and good basic juice refining what a minute is sufficient, would be acceptable. Frozen bananas can be directly labeled ice cream, delicate taste. A variety of beans cooked in soy milk labeled as very dense, taste Soymilk thrown a few blocks. Soymilk juice machine home cooking machine can be put away, there is a small v enough. Especially in the morning a minute or cold or hot drink fruit juice milk, just too convenient, and good cleaning. Finally Share peanut milk recipes: boiled peanuts a six or seven dates meat, milk and two-thirds of one third of the water, like to drink cold milk and chilled water are used, like to drink hot. put into hot water by adding milk, a cup body temperature can, because the fight is warming up, and do not need sugar. How to drink? You try to know ^ _ ^</v>
      </c>
    </row>
    <row r="2849">
      <c r="A2849" s="1">
        <v>5.0</v>
      </c>
      <c r="B2849" s="1" t="s">
        <v>2842</v>
      </c>
      <c r="C2849" t="str">
        <f>IFERROR(__xludf.DUMMYFUNCTION("GOOGLETRANSLATE(B2849, ""zh"", ""en"")"),"Too large very comfortable, flexible. It is too large. Large number two")</f>
        <v>Too large very comfortable, flexible. It is too large. Large number two</v>
      </c>
    </row>
    <row r="2850">
      <c r="A2850" s="1">
        <v>2.0</v>
      </c>
      <c r="B2850" s="1" t="s">
        <v>2843</v>
      </c>
      <c r="C2850" t="str">
        <f>IFERROR(__xludf.DUMMYFUNCTION("GOOGLETRANSLATE(B2850, ""zh"", ""en"")"),"Suitable for fat people very friendly size, but not suffocating the abdomen tight. 163,75,84 code")</f>
        <v>Suitable for fat people very friendly size, but not suffocating the abdomen tight. 163,75,84 code</v>
      </c>
    </row>
    <row r="2851">
      <c r="A2851" s="1">
        <v>3.0</v>
      </c>
      <c r="B2851" s="1" t="s">
        <v>2844</v>
      </c>
      <c r="C2851" t="str">
        <f>IFERROR(__xludf.DUMMYFUNCTION("GOOGLETRANSLATE(B2851, ""zh"", ""en"")"),"Good value for money also, inexpensive, because the relationship between the origin of the work is not particularly fine, a little thread.")</f>
        <v>Good value for money also, inexpensive, because the relationship between the origin of the work is not particularly fine, a little thread.</v>
      </c>
    </row>
    <row r="2852">
      <c r="A2852" s="1">
        <v>3.0</v>
      </c>
      <c r="B2852" s="1" t="s">
        <v>2845</v>
      </c>
      <c r="C2852" t="str">
        <f>IFERROR(__xludf.DUMMYFUNCTION("GOOGLETRANSLATE(B2852, ""zh"", ""en"")"),"Mailers or not to force it, or rotten. . . Read before you buy commented that there is no outsourcing tattered box to send over when the goods arrived, but inside the packaging no problem does not affect the use, hesitated again or buy. . . Send goods qui"&amp;"ckly, 5 days of receipt, and there carton outsourcing, however. . . . Probably because of the relatively large weight, after outsourcing has received rotten cardboard boxes, packed inside a large corner also squashed, after opening the two unfortunately c"&amp;"artridge packaging squeezed broken. . . . 3 stars all gave the customer a small brother, very pleasant to communicate, send photos in the past confirmed, then back part of the money, and the rest did not break reclaim it does not affect the use, I hope th"&amp;"e next longer pay attention to commodity products purchased abroad packaging, after all, come across the sea, nothing wrong with some extra cautious. . .")</f>
        <v>Mailers or not to force it, or rotten. . . Read before you buy commented that there is no outsourcing tattered box to send over when the goods arrived, but inside the packaging no problem does not affect the use, hesitated again or buy. . . Send goods quickly, 5 days of receipt, and there carton outsourcing, however. . . . Probably because of the relatively large weight, after outsourcing has received rotten cardboard boxes, packed inside a large corner also squashed, after opening the two unfortunately cartridge packaging squeezed broken. . . . 3 stars all gave the customer a small brother, very pleasant to communicate, send photos in the past confirmed, then back part of the money, and the rest did not break reclaim it does not affect the use, I hope the next longer pay attention to commodity products purchased abroad packaging, after all, come across the sea, nothing wrong with some extra cautious. . .</v>
      </c>
    </row>
    <row r="2853">
      <c r="A2853" s="1">
        <v>1.0</v>
      </c>
      <c r="B2853" s="1" t="s">
        <v>2846</v>
      </c>
      <c r="C2853" t="str">
        <f>IFERROR(__xludf.DUMMYFUNCTION("GOOGLETRANSLATE(B2853, ""zh"", ""en"")"),"Wearing uncomfortable worn on the hand discomfort, uncomfortable. The most angry is, the order is secretly changed, cloth know my PL will not be deleted, suggesting that we choose carefully, especially the HWG, my original order was 130RMB table, and afte"&amp;"r a few days to see progress, become another one table, ah, so no value 103,30. Fortunately, only 30, if I bought a more expensive not worth Kusi. . . Find customer service useless, he said that compensation can only give you $ 10 coupons, it has not. Do "&amp;"not say. Silence. There will be no waste of money and time.")</f>
        <v>Wearing uncomfortable worn on the hand discomfort, uncomfortable. The most angry is, the order is secretly changed, cloth know my PL will not be deleted, suggesting that we choose carefully, especially the HWG, my original order was 130RMB table, and after a few days to see progress, become another one table, ah, so no value 103,30. Fortunately, only 30, if I bought a more expensive not worth Kusi. . . Find customer service useless, he said that compensation can only give you $ 10 coupons, it has not. Do not say. Silence. There will be no waste of money and time.</v>
      </c>
    </row>
    <row r="2854">
      <c r="A2854" s="1">
        <v>1.0</v>
      </c>
      <c r="B2854" s="1" t="s">
        <v>2847</v>
      </c>
      <c r="C2854" t="str">
        <f>IFERROR(__xludf.DUMMYFUNCTION("GOOGLETRANSLATE(B2854, ""zh"", ""en"")"),"Random shipments, obviously buy gold, the price is much more expensive, made a black to me. Linen first overseas purchase, so do not fly. Random shipments, obviously buy gold, the price is much more expensive, made a black to me.")</f>
        <v>Random shipments, obviously buy gold, the price is much more expensive, made a black to me. Linen first overseas purchase, so do not fly. Random shipments, obviously buy gold, the price is much more expensive, made a black to me.</v>
      </c>
    </row>
    <row r="2855">
      <c r="A2855" s="1">
        <v>4.0</v>
      </c>
      <c r="B2855" s="1" t="s">
        <v>2848</v>
      </c>
      <c r="C2855" t="str">
        <f>IFERROR(__xludf.DUMMYFUNCTION("GOOGLETRANSLATE(B2855, ""zh"", ""en"")"),"Very light very soft 602 yuan hand, DHL delivered to their homes at night. The election of the trumpet, tangled a little while change orders XS number, get our hands very appropriate. 162CM choose XS")</f>
        <v>Very light very soft 602 yuan hand, DHL delivered to their homes at night. The election of the trumpet, tangled a little while change orders XS number, get our hands very appropriate. 162CM choose XS</v>
      </c>
    </row>
    <row r="2856">
      <c r="A2856" s="1">
        <v>4.0</v>
      </c>
      <c r="B2856" s="1" t="s">
        <v>2849</v>
      </c>
      <c r="C2856" t="str">
        <f>IFERROR(__xludf.DUMMYFUNCTION("GOOGLETRANSLATE(B2856, ""zh"", ""en"")"),"Ugly, really like behind the clothes as well as color mixing, back")</f>
        <v>Ugly, really like behind the clothes as well as color mixing, back</v>
      </c>
    </row>
    <row r="2857">
      <c r="A2857" s="1">
        <v>4.0</v>
      </c>
      <c r="B2857" s="1" t="s">
        <v>2850</v>
      </c>
      <c r="C2857" t="str">
        <f>IFERROR(__xludf.DUMMYFUNCTION("GOOGLETRANSLATE(B2857, ""zh"", ""en"")"),"Okay this is stronger than what vest style more, do not wear tight, and I was pregnant, according to the usual size to buy, cup slightly larger, if this is certainly usually buy big.")</f>
        <v>Okay this is stronger than what vest style more, do not wear tight, and I was pregnant, according to the usual size to buy, cup slightly larger, if this is certainly usually buy big.</v>
      </c>
    </row>
    <row r="2858">
      <c r="A2858" s="1">
        <v>4.0</v>
      </c>
      <c r="B2858" s="1" t="s">
        <v>2851</v>
      </c>
      <c r="C2858" t="str">
        <f>IFERROR(__xludf.DUMMYFUNCTION("GOOGLETRANSLATE(B2858, ""zh"", ""en"")"),"One buy beats by dimensioning, sleeves or grow 20 cm. Americans are the descendants of Gibbon? Can not wear, go to the tailor to see it someday.")</f>
        <v>One buy beats by dimensioning, sleeves or grow 20 cm. Americans are the descendants of Gibbon? Can not wear, go to the tailor to see it someday.</v>
      </c>
    </row>
    <row r="2859">
      <c r="A2859" s="1">
        <v>4.0</v>
      </c>
      <c r="B2859" s="1" t="s">
        <v>2852</v>
      </c>
      <c r="C2859" t="str">
        <f>IFERROR(__xludf.DUMMYFUNCTION("GOOGLETRANSLATE(B2859, ""zh"", ""en"")"),"Okay okay. Sleeves too long. And easy to play ball.")</f>
        <v>Okay okay. Sleeves too long. And easy to play ball.</v>
      </c>
    </row>
    <row r="2860">
      <c r="A2860" s="1">
        <v>5.0</v>
      </c>
      <c r="B2860" s="1" t="s">
        <v>2853</v>
      </c>
      <c r="C2860" t="str">
        <f>IFERROR(__xludf.DUMMYFUNCTION("GOOGLETRANSLATE(B2860, ""zh"", ""en"")"),"Evaluation of good quality, authentic, like this brand of stuff, the price is a little expensive, the arrival time is not long.")</f>
        <v>Evaluation of good quality, authentic, like this brand of stuff, the price is a little expensive, the arrival time is not long.</v>
      </c>
    </row>
    <row r="2861">
      <c r="A2861" s="1">
        <v>5.0</v>
      </c>
      <c r="B2861" s="1" t="s">
        <v>2854</v>
      </c>
      <c r="C2861" t="str">
        <f>IFERROR(__xludf.DUMMYFUNCTION("GOOGLETRANSLATE(B2861, ""zh"", ""en"")"),"good good")</f>
        <v>good good</v>
      </c>
    </row>
    <row r="2862">
      <c r="A2862" s="1">
        <v>5.0</v>
      </c>
      <c r="B2862" s="1" t="s">
        <v>2855</v>
      </c>
      <c r="C2862" t="str">
        <f>IFERROR(__xludf.DUMMYFUNCTION("GOOGLETRANSLATE(B2862, ""zh"", ""en"")"),"I am more relaxed height 165cm, weight 86kg, Bust 106, buy L No. somewhat wide.")</f>
        <v>I am more relaxed height 165cm, weight 86kg, Bust 106, buy L No. somewhat wide.</v>
      </c>
    </row>
    <row r="2863">
      <c r="A2863" s="1">
        <v>5.0</v>
      </c>
      <c r="B2863" s="1" t="s">
        <v>2856</v>
      </c>
      <c r="C2863" t="str">
        <f>IFERROR(__xludf.DUMMYFUNCTION("GOOGLETRANSLATE(B2863, ""zh"", ""en"")"),"Height 170cm, weight 60kg, Bust 120cm, wearing appropriate. Height 170cm, weight 60kg, Bust 120cm, wearing appropriate.")</f>
        <v>Height 170cm, weight 60kg, Bust 120cm, wearing appropriate. Height 170cm, weight 60kg, Bust 120cm, wearing appropriate.</v>
      </c>
    </row>
    <row r="2864">
      <c r="A2864" s="1">
        <v>5.0</v>
      </c>
      <c r="B2864" s="1" t="s">
        <v>2857</v>
      </c>
      <c r="C2864" t="str">
        <f>IFERROR(__xludf.DUMMYFUNCTION("GOOGLETRANSLATE(B2864, ""zh"", ""en"")"),"Ace Alex paragraph 26.5 good foot. Suitable. 320 bought two pairs, the hand rose to 700 a pair. More fun 😃")</f>
        <v>Ace Alex paragraph 26.5 good foot. Suitable. 320 bought two pairs, the hand rose to 700 a pair. More fun 😃</v>
      </c>
    </row>
    <row r="2865">
      <c r="A2865" s="1">
        <v>5.0</v>
      </c>
      <c r="B2865" s="1" t="s">
        <v>2858</v>
      </c>
      <c r="C2865" t="str">
        <f>IFERROR(__xludf.DUMMYFUNCTION("GOOGLETRANSLATE(B2865, ""zh"", ""en"")"),"Good quality shoes good quality, a large number to shoot, shoe size should be normal number of cross-border returned too much trouble, given away")</f>
        <v>Good quality shoes good quality, a large number to shoot, shoe size should be normal number of cross-border returned too much trouble, given away</v>
      </c>
    </row>
    <row r="2866">
      <c r="A2866" s="1">
        <v>5.0</v>
      </c>
      <c r="B2866" s="1" t="s">
        <v>2859</v>
      </c>
      <c r="C2866" t="str">
        <f>IFERROR(__xludf.DUMMYFUNCTION("GOOGLETRANSLATE(B2866, ""zh"", ""en"")"),"Recommended 174-70 very suitable, comfortable breathable fabric, it is recommended")</f>
        <v>Recommended 174-70 very suitable, comfortable breathable fabric, it is recommended</v>
      </c>
    </row>
    <row r="2867">
      <c r="A2867" s="1">
        <v>5.0</v>
      </c>
      <c r="B2867" s="1" t="s">
        <v>2860</v>
      </c>
      <c r="C2867" t="str">
        <f>IFERROR(__xludf.DUMMYFUNCTION("GOOGLETRANSLATE(B2867, ""zh"", ""en"")"),"Something very good, Sen remember things at home. Something very good, praise Sen remember things at home.")</f>
        <v>Something very good, Sen remember things at home. Something very good, praise Sen remember things at home.</v>
      </c>
    </row>
    <row r="2868">
      <c r="A2868" s="1">
        <v>5.0</v>
      </c>
      <c r="B2868" s="1" t="s">
        <v>2861</v>
      </c>
      <c r="C2868" t="str">
        <f>IFERROR(__xludf.DUMMYFUNCTION("GOOGLETRANSLATE(B2868, ""zh"", ""en"")"),"To the mother to buy, well, there are MSM to the mother to buy, well, there MSM")</f>
        <v>To the mother to buy, well, there are MSM to the mother to buy, well, there MSM</v>
      </c>
    </row>
    <row r="2869">
      <c r="A2869" s="1">
        <v>5.0</v>
      </c>
      <c r="B2869" s="1" t="s">
        <v>2862</v>
      </c>
      <c r="C2869" t="str">
        <f>IFERROR(__xludf.DUMMYFUNCTION("GOOGLETRANSLATE(B2869, ""zh"", ""en"")"),"Waterproof fabrics good results, is genuine. 175 height, normal is to buy M number, because it was set to warm clothes, so L appropriate.")</f>
        <v>Waterproof fabrics good results, is genuine. 175 height, normal is to buy M number, because it was set to warm clothes, so L appropriate.</v>
      </c>
    </row>
    <row r="2870">
      <c r="A2870" s="1">
        <v>5.0</v>
      </c>
      <c r="B2870" s="1" t="s">
        <v>2863</v>
      </c>
      <c r="C2870" t="str">
        <f>IFERROR(__xludf.DUMMYFUNCTION("GOOGLETRANSLATE(B2870, ""zh"", ""en"")"),"Great great clothes")</f>
        <v>Great great clothes</v>
      </c>
    </row>
    <row r="2871">
      <c r="A2871" s="1">
        <v>5.0</v>
      </c>
      <c r="B2871" s="1" t="s">
        <v>2864</v>
      </c>
      <c r="C2871" t="str">
        <f>IFERROR(__xludf.DUMMYFUNCTION("GOOGLETRANSLATE(B2871, ""zh"", ""en"")"),"Yes Overall good but I photographed the August 1 to 375 yuan cheaper now a little disappointed, plastic packaging, there is a refill broken, so you want to express something a little gentle little brother. Feel good good color.")</f>
        <v>Yes Overall good but I photographed the August 1 to 375 yuan cheaper now a little disappointed, plastic packaging, there is a refill broken, so you want to express something a little gentle little brother. Feel good good color.</v>
      </c>
    </row>
    <row r="2872">
      <c r="A2872" s="1">
        <v>5.0</v>
      </c>
      <c r="B2872" s="1" t="s">
        <v>2865</v>
      </c>
      <c r="C2872" t="str">
        <f>IFERROR(__xludf.DUMMYFUNCTION("GOOGLETRANSLATE(B2872, ""zh"", ""en"")"),"Very good very good, but I usually wear other shoes are bought 43 yards of the 9.5EE little big!")</f>
        <v>Very good very good, but I usually wear other shoes are bought 43 yards of the 9.5EE little big!</v>
      </c>
    </row>
    <row r="2873">
      <c r="A2873" s="1">
        <v>5.0</v>
      </c>
      <c r="B2873" s="1" t="s">
        <v>2866</v>
      </c>
      <c r="C2873" t="str">
        <f>IFERROR(__xludf.DUMMYFUNCTION("GOOGLETRANSLATE(B2873, ""zh"", ""en"")"),"Pretty good this estimate is the most common models CK, Mexico production, than buying LEE together almost point, non-wash, there will normally fade over the water, usually 32, the 31 also a big point, but acceptable, low waist straight, models like the c"&amp;"olor, compared to pit father's country store price, too value")</f>
        <v>Pretty good this estimate is the most common models CK, Mexico production, than buying LEE together almost point, non-wash, there will normally fade over the water, usually 32, the 31 also a big point, but acceptable, low waist straight, models like the color, compared to pit father's country store price, too value</v>
      </c>
    </row>
    <row r="2874">
      <c r="A2874" s="1">
        <v>5.0</v>
      </c>
      <c r="B2874" s="1" t="s">
        <v>2867</v>
      </c>
      <c r="C2874" t="str">
        <f>IFERROR(__xludf.DUMMYFUNCTION("GOOGLETRANSLATE(B2874, ""zh"", ""en"")"),"good looks is very small, there is actually 115g, the transmission speed to be tested")</f>
        <v>good looks is very small, there is actually 115g, the transmission speed to be tested</v>
      </c>
    </row>
    <row r="2875">
      <c r="A2875" s="1">
        <v>5.0</v>
      </c>
      <c r="B2875" s="1" t="s">
        <v>2868</v>
      </c>
      <c r="C2875" t="str">
        <f>IFERROR(__xludf.DUMMYFUNCTION("GOOGLETRANSLATE(B2875, ""zh"", ""en"")"),"waiting for too long time waiting for too long time")</f>
        <v>waiting for too long time waiting for too long time</v>
      </c>
    </row>
    <row r="2876">
      <c r="A2876" s="1">
        <v>5.0</v>
      </c>
      <c r="B2876" s="1" t="s">
        <v>2869</v>
      </c>
      <c r="C2876" t="str">
        <f>IFERROR(__xludf.DUMMYFUNCTION("GOOGLETRANSLATE(B2876, ""zh"", ""en"")"),"Very good quality is very good, value for money, worth buying, people trust Amazon.")</f>
        <v>Very good quality is very good, value for money, worth buying, people trust Amazon.</v>
      </c>
    </row>
    <row r="2877">
      <c r="A2877" s="1">
        <v>5.0</v>
      </c>
      <c r="B2877" s="1" t="s">
        <v>2870</v>
      </c>
      <c r="C2877" t="str">
        <f>IFERROR(__xludf.DUMMYFUNCTION("GOOGLETRANSLATE(B2877, ""zh"", ""en"")"),"Amazon shopping experience BRAUN Braun Series 3 300S men's electric shaver / rechargeable electric shaver, quality is very good, shaving interesting.")</f>
        <v>Amazon shopping experience BRAUN Braun Series 3 300S men's electric shaver / rechargeable electric shaver, quality is very good, shaving interesting.</v>
      </c>
    </row>
    <row r="2878">
      <c r="A2878" s="1">
        <v>5.0</v>
      </c>
      <c r="B2878" s="1" t="s">
        <v>2871</v>
      </c>
      <c r="C2878" t="str">
        <f>IFERROR(__xludf.DUMMYFUNCTION("GOOGLETRANSLATE(B2878, ""zh"", ""en"")"),"Shoe size is not very good noise immunity did not expect so soon receive the goods purchased overseas only drawback is not timely logistics information updates. Soft leather shoes are very comfortable to wear, but I was just unlucky to wear a few days to "&amp;"be broken door frame stamp")</f>
        <v>Shoe size is not very good noise immunity did not expect so soon receive the goods purchased overseas only drawback is not timely logistics information updates. Soft leather shoes are very comfortable to wear, but I was just unlucky to wear a few days to be broken door frame stamp</v>
      </c>
    </row>
    <row r="2879">
      <c r="A2879" s="1">
        <v>5.0</v>
      </c>
      <c r="B2879" s="1" t="s">
        <v>2872</v>
      </c>
      <c r="C2879" t="str">
        <f>IFERROR(__xludf.DUMMYFUNCTION("GOOGLETRANSLATE(B2879, ""zh"", ""en"")"),"Very practical stainless steel liner well, do not worry about the high temperature")</f>
        <v>Very practical stainless steel liner well, do not worry about the high temperature</v>
      </c>
    </row>
    <row r="2880">
      <c r="A2880" s="1">
        <v>5.0</v>
      </c>
      <c r="B2880" s="1" t="s">
        <v>2873</v>
      </c>
      <c r="C2880" t="str">
        <f>IFERROR(__xludf.DUMMYFUNCTION("GOOGLETRANSLATE(B2880, ""zh"", ""en"")"),"A pleasant good brand overseas purchase a good quality of the same type")</f>
        <v>A pleasant good brand overseas purchase a good quality of the same type</v>
      </c>
    </row>
    <row r="2881">
      <c r="A2881" s="1">
        <v>5.0</v>
      </c>
      <c r="B2881" s="1" t="s">
        <v>2874</v>
      </c>
      <c r="C2881" t="str">
        <f>IFERROR(__xludf.DUMMYFUNCTION("GOOGLETRANSLATE(B2881, ""zh"", ""en"")"),"This very thin good elasticity, flexibility, size must be considered a good buy because of the size of foreign generally too large two yards.")</f>
        <v>This very thin good elasticity, flexibility, size must be considered a good buy because of the size of foreign generally too large two yards.</v>
      </c>
    </row>
    <row r="2882">
      <c r="A2882" s="1">
        <v>2.0</v>
      </c>
      <c r="B2882" s="1" t="s">
        <v>2875</v>
      </c>
      <c r="C2882" t="str">
        <f>IFERROR(__xludf.DUMMYFUNCTION("GOOGLETRANSLATE(B2882, ""zh"", ""en"")"),"so so few serious comments to wear out more than one hour at the ankle worn on, thinking this is all so-called run-in period did not care. Later, about two shoes carefully compared and found shoe design itself is no problem but the work is really a proble"&amp;"m, the problem does not mean anything more than what the thread of those surface issues, but the key parts of the interior leather ankle seams serious irregularities. Think about it fixed a prominent position and constantly contradict hard leather ankle p"&amp;"rotruding parts can you not see the problem, not the problem left shoe, right shoe problem is serious, this part of the asymmetry on both shoes, which work on this avoided. Because leather is thick protruding parts and fixed dead, at least for now I want "&amp;"to think long-term wear, ""the soft leather wear"" pure nonsense, so if insisted on wearing chances bone can be exposed. In short thick skin looked strong and true, mad rough surface work is understandable, but at the core parts related to the quality of "&amp;"the dress so ""rough mad"" is really difficult to accept. Specifically see, the size distribution of origin: MADE IN DOMINICAN REPUBLIC Dominican spade Oh good")</f>
        <v>so so few serious comments to wear out more than one hour at the ankle worn on, thinking this is all so-called run-in period did not care. Later, about two shoes carefully compared and found shoe design itself is no problem but the work is really a problem, the problem does not mean anything more than what the thread of those surface issues, but the key parts of the interior leather ankle seams serious irregularities. Think about it fixed a prominent position and constantly contradict hard leather ankle protruding parts can you not see the problem, not the problem left shoe, right shoe problem is serious, this part of the asymmetry on both shoes, which work on this avoided. Because leather is thick protruding parts and fixed dead, at least for now I want to think long-term wear, "the soft leather wear" pure nonsense, so if insisted on wearing chances bone can be exposed. In short thick skin looked strong and true, mad rough surface work is understandable, but at the core parts related to the quality of the dress so "rough mad" is really difficult to accept. Specifically see, the size distribution of origin: MADE IN DOMINICAN REPUBLIC Dominican spade Oh good</v>
      </c>
    </row>
    <row r="2883">
      <c r="A2883" s="1">
        <v>3.0</v>
      </c>
      <c r="B2883" s="1" t="s">
        <v>2876</v>
      </c>
      <c r="C2883" t="str">
        <f>IFERROR(__xludf.DUMMYFUNCTION("GOOGLETRANSLATE(B2883, ""zh"", ""en"")"),"Too large, the quality was okay not to wear, the color can be produced in Mauritius. For me, the size is too big, too cumbersome return overseas, go postal asked, it is necessary more than 200 restocking fee, so do not retreat, do a detour. . .")</f>
        <v>Too large, the quality was okay not to wear, the color can be produced in Mauritius. For me, the size is too big, too cumbersome return overseas, go postal asked, it is necessary more than 200 restocking fee, so do not retreat, do a detour. . .</v>
      </c>
    </row>
    <row r="2884">
      <c r="A2884" s="1">
        <v>3.0</v>
      </c>
      <c r="B2884" s="1" t="s">
        <v>2877</v>
      </c>
      <c r="C2884" t="str">
        <f>IFERROR(__xludf.DUMMYFUNCTION("GOOGLETRANSLATE(B2884, ""zh"", ""en"")"),"Feet grinding work or very slightly larger than the solid fat foot wear for estimating a problem lace design reasons all based powerful tightening ankle ankle wrap grinding the lining will cause a thin layer of leather convex grinding surface at the conta"&amp;"ct do not wear ankle top buckle that can make do wear but do not always feel Genjiao")</f>
        <v>Feet grinding work or very slightly larger than the solid fat foot wear for estimating a problem lace design reasons all based powerful tightening ankle ankle wrap grinding the lining will cause a thin layer of leather convex grinding surface at the contact do not wear ankle top buckle that can make do wear but do not always feel Genjiao</v>
      </c>
    </row>
    <row r="2885">
      <c r="A2885" s="1">
        <v>1.0</v>
      </c>
      <c r="B2885" s="1" t="s">
        <v>2878</v>
      </c>
      <c r="C2885" t="str">
        <f>IFERROR(__xludf.DUMMYFUNCTION("GOOGLETRANSLATE(B2885, ""zh"", ""en"")"),"Too big, I wear 40 or 175 normal domestic L. But a large section L, an estimated domestic 44-yard")</f>
        <v>Too big, I wear 40 or 175 normal domestic L. But a large section L, an estimated domestic 44-yard</v>
      </c>
    </row>
    <row r="2886">
      <c r="A2886" s="1">
        <v>1.0</v>
      </c>
      <c r="B2886" s="1" t="s">
        <v>2879</v>
      </c>
      <c r="C2886" t="str">
        <f>IFERROR(__xludf.DUMMYFUNCTION("GOOGLETRANSLATE(B2886, ""zh"", ""en"")"),"bad appearance is possible. Rear shoes studded with iron, so the first time to wear when not ten minutes to go put the ankle ground bleeding. Heavy shoes. Imported goods are expensive return difficult, that we should not blindly buy this boots")</f>
        <v>bad appearance is possible. Rear shoes studded with iron, so the first time to wear when not ten minutes to go put the ankle ground bleeding. Heavy shoes. Imported goods are expensive return difficult, that we should not blindly buy this boots</v>
      </c>
    </row>
    <row r="2887">
      <c r="A2887" s="1">
        <v>1.0</v>
      </c>
      <c r="B2887" s="1" t="s">
        <v>2880</v>
      </c>
      <c r="C2887" t="str">
        <f>IFERROR(__xludf.DUMMYFUNCTION("GOOGLETRANSLATE(B2887, ""zh"", ""en"")"),"Ecco shoes foot card bought a lot of double, and this is the first card foot, heel was torn ~")</f>
        <v>Ecco shoes foot card bought a lot of double, and this is the first card foot, heel was torn ~</v>
      </c>
    </row>
    <row r="2888">
      <c r="A2888" s="1">
        <v>4.0</v>
      </c>
      <c r="B2888" s="1" t="s">
        <v>2881</v>
      </c>
      <c r="C2888" t="str">
        <f>IFERROR(__xludf.DUMMYFUNCTION("GOOGLETRANSLATE(B2888, ""zh"", ""en"")"),"Americans are so fat? Think is so thick jeans, waist circumference and 100 estimate not wearing pants 40, 39 is enough. I want to return to print your own labels, but they can not display images, freight to 125, think about all that trouble ah. It can onl"&amp;"y e-mail contact customer service, not good, after not coming.")</f>
        <v>Americans are so fat? Think is so thick jeans, waist circumference and 100 estimate not wearing pants 40, 39 is enough. I want to return to print your own labels, but they can not display images, freight to 125, think about all that trouble ah. It can only e-mail contact customer service, not good, after not coming.</v>
      </c>
    </row>
    <row r="2889">
      <c r="A2889" s="1">
        <v>4.0</v>
      </c>
      <c r="B2889" s="1" t="s">
        <v>2882</v>
      </c>
      <c r="C2889" t="str">
        <f>IFERROR(__xludf.DUMMYFUNCTION("GOOGLETRANSLATE(B2889, ""zh"", ""en"")"),"Good shoes look good, 39.5 yards, 245mm, length is just right, that is a little pressure instep, imported shoes so be it, I hope Chuan Chuan can loose points")</f>
        <v>Good shoes look good, 39.5 yards, 245mm, length is just right, that is a little pressure instep, imported shoes so be it, I hope Chuan Chuan can loose points</v>
      </c>
    </row>
    <row r="2890">
      <c r="A2890" s="1">
        <v>4.0</v>
      </c>
      <c r="B2890" s="1" t="s">
        <v>2883</v>
      </c>
      <c r="C2890" t="str">
        <f>IFERROR(__xludf.DUMMYFUNCTION("GOOGLETRANSLATE(B2890, ""zh"", ""en"")"),"No glass bottles at ease feeling! A little taste of their own ill-considered, to buy a trumpet of 150 ml, in fact, should directly buy 227 ml of! Small base ...")</f>
        <v>No glass bottles at ease feeling! A little taste of their own ill-considered, to buy a trumpet of 150 ml, in fact, should directly buy 227 ml of! Small base ...</v>
      </c>
    </row>
    <row r="2891">
      <c r="A2891" s="1">
        <v>4.0</v>
      </c>
      <c r="B2891" s="1" t="s">
        <v>2884</v>
      </c>
      <c r="C2891" t="str">
        <f>IFERROR(__xludf.DUMMYFUNCTION("GOOGLETRANSLATE(B2891, ""zh"", ""en"")"),"still alright. Logistics is too slow. Good quality, relatively warm, minus 7 degrees wear out tried it, you can. Code is selected smaller. 173cm, 75 kg, inside a warm shirt, a little small. There is overseas purchase, logistics too slow, 18 days arrival. "&amp;"After returned is not easy, pays return shipping, retreated more than 100 US postage, shopping think twice!")</f>
        <v>still alright. Logistics is too slow. Good quality, relatively warm, minus 7 degrees wear out tried it, you can. Code is selected smaller. 173cm, 75 kg, inside a warm shirt, a little small. There is overseas purchase, logistics too slow, 18 days arrival. After returned is not easy, pays return shipping, retreated more than 100 US postage, shopping think twice!</v>
      </c>
    </row>
    <row r="2892">
      <c r="A2892" s="1">
        <v>4.0</v>
      </c>
      <c r="B2892" s="1" t="s">
        <v>2885</v>
      </c>
      <c r="C2892" t="str">
        <f>IFERROR(__xludf.DUMMYFUNCTION("GOOGLETRANSLATE(B2892, ""zh"", ""en"")"),"Cheap and easy, cheapest, most basic models")</f>
        <v>Cheap and easy, cheapest, most basic models</v>
      </c>
    </row>
    <row r="2893">
      <c r="A2893" s="1">
        <v>5.0</v>
      </c>
      <c r="B2893" s="1" t="s">
        <v>2886</v>
      </c>
      <c r="C2893" t="str">
        <f>IFERROR(__xludf.DUMMYFUNCTION("GOOGLETRANSLATE(B2893, ""zh"", ""en"")"),"Good shoes, half a yard too large Thai production than domestic shoe size half a yard too large, if the foot lean, recommended to buy less than half yards, the shoes work well.")</f>
        <v>Good shoes, half a yard too large Thai production than domestic shoe size half a yard too large, if the foot lean, recommended to buy less than half yards, the shoes work well.</v>
      </c>
    </row>
    <row r="2894">
      <c r="A2894" s="1">
        <v>5.0</v>
      </c>
      <c r="B2894" s="1" t="s">
        <v>2887</v>
      </c>
      <c r="C2894" t="str">
        <f>IFERROR(__xludf.DUMMYFUNCTION("GOOGLETRANSLATE(B2894, ""zh"", ""en"")"),"Timberland Timberland Classic shoes very much, very high price, usually 37 to 37.5 yards wear this 5UK appropriate")</f>
        <v>Timberland Timberland Classic shoes very much, very high price, usually 37 to 37.5 yards wear this 5UK appropriate</v>
      </c>
    </row>
    <row r="2895">
      <c r="A2895" s="1">
        <v>5.0</v>
      </c>
      <c r="B2895" s="1" t="s">
        <v>2888</v>
      </c>
      <c r="C2895" t="str">
        <f>IFERROR(__xludf.DUMMYFUNCTION("GOOGLETRANSLATE(B2895, ""zh"", ""en"")"),"Something good something good logistics is also fast")</f>
        <v>Something good something good logistics is also fast</v>
      </c>
    </row>
    <row r="2896">
      <c r="A2896" s="1">
        <v>5.0</v>
      </c>
      <c r="B2896" s="1" t="s">
        <v>2889</v>
      </c>
      <c r="C2896" t="str">
        <f>IFERROR(__xludf.DUMMYFUNCTION("GOOGLETRANSLATE(B2896, ""zh"", ""en"")"),"Easy to use good, good, good, good quality, but also easy to use")</f>
        <v>Easy to use good, good, good, good quality, but also easy to use</v>
      </c>
    </row>
    <row r="2897">
      <c r="A2897" s="1">
        <v>5.0</v>
      </c>
      <c r="B2897" s="1" t="s">
        <v>2890</v>
      </c>
      <c r="C2897" t="str">
        <f>IFERROR(__xludf.DUMMYFUNCTION("GOOGLETRANSLATE(B2897, ""zh"", ""en"")"),"Very beautiful feeling tired a little number is too large, the quality did not say Bang Bang da, nice color")</f>
        <v>Very beautiful feeling tired a little number is too large, the quality did not say Bang Bang da, nice color</v>
      </c>
    </row>
    <row r="2898">
      <c r="A2898" s="1">
        <v>5.0</v>
      </c>
      <c r="B2898" s="1" t="s">
        <v>2891</v>
      </c>
      <c r="C2898" t="str">
        <f>IFERROR(__xludf.DUMMYFUNCTION("GOOGLETRANSLATE(B2898, ""zh"", ""en"")"),"Satisfying shopping quite good, feeling good value for money! Logistics soon!")</f>
        <v>Satisfying shopping quite good, feeling good value for money! Logistics soon!</v>
      </c>
    </row>
    <row r="2899">
      <c r="A2899" s="1">
        <v>5.0</v>
      </c>
      <c r="B2899" s="1" t="s">
        <v>2892</v>
      </c>
      <c r="C2899" t="str">
        <f>IFERROR(__xludf.DUMMYFUNCTION("GOOGLETRANSLATE(B2899, ""zh"", ""en"")"),"Nice woman, 37 yards, 235cm, 5.5 Ma just. Shoebox no invoice, shipping list, etc., without shoes shoe plug")</f>
        <v>Nice woman, 37 yards, 235cm, 5.5 Ma just. Shoebox no invoice, shipping list, etc., without shoes shoe plug</v>
      </c>
    </row>
    <row r="2900">
      <c r="A2900" s="1">
        <v>5.0</v>
      </c>
      <c r="B2900" s="1" t="s">
        <v>2893</v>
      </c>
      <c r="C2900" t="str">
        <f>IFERROR(__xludf.DUMMYFUNCTION("GOOGLETRANSLATE(B2900, ""zh"", ""en"")"),"Store goods at hand, yes, to prepare the baby")</f>
        <v>Store goods at hand, yes, to prepare the baby</v>
      </c>
    </row>
    <row r="2901">
      <c r="A2901" s="1">
        <v>5.0</v>
      </c>
      <c r="B2901" s="1" t="s">
        <v>2894</v>
      </c>
      <c r="C2901" t="str">
        <f>IFERROR(__xludf.DUMMYFUNCTION("GOOGLETRANSLATE(B2901, ""zh"", ""en"")"),"Standard size, light and comfortable. Physical and picture without color! Standard size, light and comfortable. Physical and picture without color! Quality and cheap! The first because after washing, fade serious, there is order spare again!")</f>
        <v>Standard size, light and comfortable. Physical and picture without color! Standard size, light and comfortable. Physical and picture without color! Quality and cheap! The first because after washing, fade serious, there is order spare again!</v>
      </c>
    </row>
    <row r="2902">
      <c r="A2902" s="1">
        <v>5.0</v>
      </c>
      <c r="B2902" s="1" t="s">
        <v>2895</v>
      </c>
      <c r="C2902" t="str">
        <f>IFERROR(__xludf.DUMMYFUNCTION("GOOGLETRANSLATE(B2902, ""zh"", ""en"")"),"HENBUCUO ~~ ~~ very cool color Zojirushi insulation super good ~ ~")</f>
        <v>HENBUCUO ~~ ~~ very cool color Zojirushi insulation super good ~ ~</v>
      </c>
    </row>
    <row r="2903">
      <c r="A2903" s="1">
        <v>5.0</v>
      </c>
      <c r="B2903" s="1" t="s">
        <v>2896</v>
      </c>
      <c r="C2903" t="str">
        <f>IFERROR(__xludf.DUMMYFUNCTION("GOOGLETRANSLATE(B2903, ""zh"", ""en"")"),"Good very comfortable, no sense of restraint")</f>
        <v>Good very comfortable, no sense of restraint</v>
      </c>
    </row>
    <row r="2904">
      <c r="A2904" s="1">
        <v>5.0</v>
      </c>
      <c r="B2904" s="1" t="s">
        <v>2897</v>
      </c>
      <c r="C2904" t="str">
        <f>IFERROR(__xludf.DUMMYFUNCTION("GOOGLETRANSLATE(B2904, ""zh"", ""en"")"),"Quality buy small, do not know who to send. Well, not from the previous evaluation, I do not know how many wasted points, points can change money now know, they should look carefully evaluated, then I put these words to copy to go, both to earn points, bu"&amp;"t also the easy way, where are copy where, most importantly, do not seriously review, do not think how much worse word, sent directly to it, recommend it to everyone! !")</f>
        <v>Quality buy small, do not know who to send. Well, not from the previous evaluation, I do not know how many wasted points, points can change money now know, they should look carefully evaluated, then I put these words to copy to go, both to earn points, but also the easy way, where are copy where, most importantly, do not seriously review, do not think how much worse word, sent directly to it, recommend it to everyone! !</v>
      </c>
    </row>
    <row r="2905">
      <c r="A2905" s="1">
        <v>5.0</v>
      </c>
      <c r="B2905" s="1" t="s">
        <v>2898</v>
      </c>
      <c r="C2905" t="str">
        <f>IFERROR(__xludf.DUMMYFUNCTION("GOOGLETRANSLATE(B2905, ""zh"", ""en"")"),"Super cute shoes! Just do not wash the dirt ...... basically every day is drunk ......")</f>
        <v>Super cute shoes! Just do not wash the dirt ...... basically every day is drunk ......</v>
      </c>
    </row>
    <row r="2906">
      <c r="A2906" s="1">
        <v>5.0</v>
      </c>
      <c r="B2906" s="1" t="s">
        <v>2899</v>
      </c>
      <c r="C2906" t="str">
        <f>IFERROR(__xludf.DUMMYFUNCTION("GOOGLETRANSLATE(B2906, ""zh"", ""en"")"),"Chinese production, foreign availability, price even cheaper than China. Sound good, made in China by overseas purchase even cheaper than Taobao Lynx really incredible, outside fixed sealing tape wrapped useless, looking after the seller for product safet"&amp;"y can be sealed in shipping.")</f>
        <v>Chinese production, foreign availability, price even cheaper than China. Sound good, made in China by overseas purchase even cheaper than Taobao Lynx really incredible, outside fixed sealing tape wrapped useless, looking after the seller for product safety can be sealed in shipping.</v>
      </c>
    </row>
    <row r="2907">
      <c r="A2907" s="1">
        <v>5.0</v>
      </c>
      <c r="B2907" s="1" t="s">
        <v>2900</v>
      </c>
      <c r="C2907" t="str">
        <f>IFERROR(__xludf.DUMMYFUNCTION("GOOGLETRANSLATE(B2907, ""zh"", ""en"")"),"Clothes clothes Shaopian big elastic, comfortable to wear, according to the usual dress code number to buy, feeling slightly larger than a little satisfaction.")</f>
        <v>Clothes clothes Shaopian big elastic, comfortable to wear, according to the usual dress code number to buy, feeling slightly larger than a little satisfaction.</v>
      </c>
    </row>
    <row r="2908">
      <c r="A2908" s="1">
        <v>5.0</v>
      </c>
      <c r="B2908" s="1" t="s">
        <v>2901</v>
      </c>
      <c r="C2908" t="str">
        <f>IFERROR(__xludf.DUMMYFUNCTION("GOOGLETRANSLATE(B2908, ""zh"", ""en"")"),"It is not like buying ear style, not like the feeling of a stethoscope, this just right, you can listen to for a long time. The first time you connect the phone takes a little time, like back")</f>
        <v>It is not like buying ear style, not like the feeling of a stethoscope, this just right, you can listen to for a long time. The first time you connect the phone takes a little time, like back</v>
      </c>
    </row>
    <row r="2909">
      <c r="A2909" s="1">
        <v>5.0</v>
      </c>
      <c r="B2909" s="1" t="s">
        <v>2902</v>
      </c>
      <c r="C2909" t="str">
        <f>IFERROR(__xludf.DUMMYFUNCTION("GOOGLETRANSLATE(B2909, ""zh"", ""en"")"),"Large benefits like to eat together Bulk two people")</f>
        <v>Large benefits like to eat together Bulk two people</v>
      </c>
    </row>
    <row r="2910">
      <c r="A2910" s="1">
        <v>5.0</v>
      </c>
      <c r="B2910" s="1" t="s">
        <v>2903</v>
      </c>
      <c r="C2910" t="str">
        <f>IFERROR(__xludf.DUMMYFUNCTION("GOOGLETRANSLATE(B2910, ""zh"", ""en"")"),"Thick fabric, fabric thickness Slim Edition, version cultivation, compared to normal T-shirt sleeves partial length")</f>
        <v>Thick fabric, fabric thickness Slim Edition, version cultivation, compared to normal T-shirt sleeves partial length</v>
      </c>
    </row>
    <row r="2911">
      <c r="A2911" s="1">
        <v>5.0</v>
      </c>
      <c r="B2911" s="1" t="s">
        <v>2904</v>
      </c>
      <c r="C2911" t="str">
        <f>IFERROR(__xludf.DUMMYFUNCTION("GOOGLETRANSLATE(B2911, ""zh"", ""en"")"),"Good things last bought five pounds of coffee taste, after exercise, eat this feeling well, but also increases the muscles get a little tight, and put on clothes more type, this time just to see price spike 299 package Post 333, really cheap, very fresh d"&amp;"ate, and so on the first bucket eating again replenishment")</f>
        <v>Good things last bought five pounds of coffee taste, after exercise, eat this feeling well, but also increases the muscles get a little tight, and put on clothes more type, this time just to see price spike 299 package Post 333, really cheap, very fresh date, and so on the first bucket eating again replenishment</v>
      </c>
    </row>
    <row r="2912">
      <c r="A2912" s="1">
        <v>5.0</v>
      </c>
      <c r="B2912" s="1" t="s">
        <v>2905</v>
      </c>
      <c r="C2912" t="str">
        <f>IFERROR(__xludf.DUMMYFUNCTION("GOOGLETRANSLATE(B2912, ""zh"", ""en"")"),"Sea Amoy, plus appropriate duty-paid price than the domestic price low 100 store promotions, size is appropriate, but also for those who wear the foot overweight")</f>
        <v>Sea Amoy, plus appropriate duty-paid price than the domestic price low 100 store promotions, size is appropriate, but also for those who wear the foot overweight</v>
      </c>
    </row>
    <row r="2913">
      <c r="A2913" s="1">
        <v>5.0</v>
      </c>
      <c r="B2913" s="1" t="s">
        <v>2906</v>
      </c>
      <c r="C2913" t="str">
        <f>IFERROR(__xludf.DUMMYFUNCTION("GOOGLETRANSLATE(B2913, ""zh"", ""en"")"),"21k two-tone gold nib tip you deserve to have soft shells, turbulent water")</f>
        <v>21k two-tone gold nib tip you deserve to have soft shells, turbulent water</v>
      </c>
    </row>
    <row r="2914">
      <c r="A2914" s="1">
        <v>5.0</v>
      </c>
      <c r="B2914" s="1" t="s">
        <v>2907</v>
      </c>
      <c r="C2914" t="str">
        <f>IFERROR(__xludf.DUMMYFUNCTION("GOOGLETRANSLATE(B2914, ""zh"", ""en"")"),"Pants are very comfortable when the time to buy, customer service said a little long with my long pants than the amount, but then get the hands, compared to a lower fat pants really a point, but then put on was very fit, really good, Bangladeshi origin, p"&amp;"ants are very suitable.")</f>
        <v>Pants are very comfortable when the time to buy, customer service said a little long with my long pants than the amount, but then get the hands, compared to a lower fat pants really a point, but then put on was very fit, really good, Bangladeshi origin, pants are very suitable.</v>
      </c>
    </row>
    <row r="2915">
      <c r="A2915" s="1">
        <v>2.0</v>
      </c>
      <c r="B2915" s="1" t="s">
        <v>2908</v>
      </c>
      <c r="C2915" t="str">
        <f>IFERROR(__xludf.DUMMYFUNCTION("GOOGLETRANSLATE(B2915, ""zh"", ""en"")"),"Usually do not fly shoes 44 shoes, the wear freshman code 9.5. The sole is really hard ah, Asan family property. Cutting edge missing, shoe friction, untidy. Forefoot that little fold. Simple packaging. In addition to a pair of shoes, Nothing. Two rows of"&amp;" lace holes a little less, followed by no rush times. Return too much trouble, and you wear it, but far through a period of time can become comfortable.")</f>
        <v>Usually do not fly shoes 44 shoes, the wear freshman code 9.5. The sole is really hard ah, Asan family property. Cutting edge missing, shoe friction, untidy. Forefoot that little fold. Simple packaging. In addition to a pair of shoes, Nothing. Two rows of lace holes a little less, followed by no rush times. Return too much trouble, and you wear it, but far through a period of time can become comfortable.</v>
      </c>
    </row>
    <row r="2916">
      <c r="A2916" s="1">
        <v>3.0</v>
      </c>
      <c r="B2916" s="1" t="s">
        <v>2909</v>
      </c>
      <c r="C2916" t="str">
        <f>IFERROR(__xludf.DUMMYFUNCTION("GOOGLETRANSLATE(B2916, ""zh"", ""en"")"),"The fabric is very soft feeling make do, in other words very easily deformed. After two wear, the hem has been distorted. After buying polo, chose relatively durable cotton pique.")</f>
        <v>The fabric is very soft feeling make do, in other words very easily deformed. After two wear, the hem has been distorted. After buying polo, chose relatively durable cotton pique.</v>
      </c>
    </row>
    <row r="2917">
      <c r="A2917" s="1">
        <v>3.0</v>
      </c>
      <c r="B2917" s="1" t="s">
        <v>2910</v>
      </c>
      <c r="C2917" t="str">
        <f>IFERROR(__xludf.DUMMYFUNCTION("GOOGLETRANSLATE(B2917, ""zh"", ""en"")"),"Do not like do not like this color, in-kind color red, so naked. Very thin, not to mention warm.")</f>
        <v>Do not like do not like this color, in-kind color red, so naked. Very thin, not to mention warm.</v>
      </c>
    </row>
    <row r="2918">
      <c r="A2918" s="1">
        <v>3.0</v>
      </c>
      <c r="B2918" s="1" t="s">
        <v>2911</v>
      </c>
      <c r="C2918" t="str">
        <f>IFERROR(__xludf.DUMMYFUNCTION("GOOGLETRANSLATE(B2918, ""zh"", ""en"")"),"It recommended to start the Japanese version. This dress does not recommend these clothes lint more serious .. I bought two are lint lint .. but .. go out velvet warm is not to say (I do not know will not be finished off cashmere will not warm up) I recom"&amp;"mend buying at the line of higher quality .. .. .. though it wants a higher price this dress code is a code number S code L code Japan's own attention ..")</f>
        <v>It recommended to start the Japanese version. This dress does not recommend these clothes lint more serious .. I bought two are lint lint .. but .. go out velvet warm is not to say (I do not know will not be finished off cashmere will not warm up) I recommend buying at the line of higher quality .. .. .. though it wants a higher price this dress code is a code number S code L code Japan's own attention ..</v>
      </c>
    </row>
    <row r="2919">
      <c r="A2919" s="1">
        <v>1.0</v>
      </c>
      <c r="B2919" s="1" t="s">
        <v>2912</v>
      </c>
      <c r="C2919" t="str">
        <f>IFERROR(__xludf.DUMMYFUNCTION("GOOGLETRANSLATE(B2919, ""zh"", ""en"")"),"Not Zeyang fabric is not ye, too hard, uncomfortable, not good shipping 9.9")</f>
        <v>Not Zeyang fabric is not ye, too hard, uncomfortable, not good shipping 9.9</v>
      </c>
    </row>
    <row r="2920">
      <c r="A2920" s="1">
        <v>1.0</v>
      </c>
      <c r="B2920" s="1" t="s">
        <v>2913</v>
      </c>
      <c r="C2920" t="str">
        <f>IFERROR(__xludf.DUMMYFUNCTION("GOOGLETRANSLATE(B2920, ""zh"", ""en"")"),"Very poor quality, do not recommend buying quality brush is very poor, had been able to crack. . . . The figure also do not pass up the first time you send a bad review")</f>
        <v>Very poor quality, do not recommend buying quality brush is very poor, had been able to crack. . . . The figure also do not pass up the first time you send a bad review</v>
      </c>
    </row>
    <row r="2921">
      <c r="A2921" s="1">
        <v>1.0</v>
      </c>
      <c r="B2921" s="1" t="s">
        <v>2914</v>
      </c>
      <c r="C2921" t="str">
        <f>IFERROR(__xludf.DUMMYFUNCTION("GOOGLETRANSLATE(B2921, ""zh"", ""en"")"),"Not recommended to buy quality looks very time, the version loose, no type")</f>
        <v>Not recommended to buy quality looks very time, the version loose, no type</v>
      </c>
    </row>
    <row r="2922">
      <c r="A2922" s="1">
        <v>4.0</v>
      </c>
      <c r="B2922" s="1" t="s">
        <v>2915</v>
      </c>
      <c r="C2922" t="str">
        <f>IFERROR(__xludf.DUMMYFUNCTION("GOOGLETRANSLATE(B2922, ""zh"", ""en"")"),"I want to know how to verify authenticity Man like this simple design style, the price to buy is still very real. Just do not know is not genuine, not sure ah!")</f>
        <v>I want to know how to verify authenticity Man like this simple design style, the price to buy is still very real. Just do not know is not genuine, not sure ah!</v>
      </c>
    </row>
    <row r="2923">
      <c r="A2923" s="1">
        <v>4.0</v>
      </c>
      <c r="B2923" s="1" t="s">
        <v>2916</v>
      </c>
      <c r="C2923" t="str">
        <f>IFERROR(__xludf.DUMMYFUNCTION("GOOGLETRANSLATE(B2923, ""zh"", ""en"")"),"Lightweight portable, recommended by the code buy shoes, I press code to buy NIKE shoes, feet slightly longer on estimates of about 0.5 cm")</f>
        <v>Lightweight portable, recommended by the code buy shoes, I press code to buy NIKE shoes, feet slightly longer on estimates of about 0.5 cm</v>
      </c>
    </row>
    <row r="2924">
      <c r="A2924" s="1">
        <v>4.0</v>
      </c>
      <c r="B2924" s="1" t="s">
        <v>2917</v>
      </c>
      <c r="C2924" t="str">
        <f>IFERROR(__xludf.DUMMYFUNCTION("GOOGLETRANSLATE(B2924, ""zh"", ""en"")"),"[[ASIN: B01D1XC4NI Clarks Women's Orinoco Club Chelsea Boots Brown (Dark Chocolate Leather) 6.5 UK]] for the first time to try this brand of shoes to see if appropriate. I am a student to participate in sports, so relatively thick legs, feet high, the cou"&amp;"ntry being 39 yards (24.5 yards) shoes a little tight, just 39.5 yards a positive, but House counters are expensive, and there was little of this code. The steering United States Code (nine Hee: 8.5 yards wear a few days after will be very loose) or yards"&amp;" (there are six yards pair of sandals, summer wear very tight, just try winter). Now older up, like loose, so buy 40 yards of the. Before looking at the instep commented that might be a little tight, so I bought a big yard, get our hands on a look, yards "&amp;"6.5, United States Code is nine yards (looking at nine yards, feeling he bought a big two yards). Slightly rugged wear in the feet. Jiaogan: very tight at the instep, the width of the front stay sufficiently long enough inner shoe, at the instep stuck, no"&amp;"t stretched forward, it is still empty front length, like a centimeter. Hope Chuan Chuan will loose a little. My first half of the several pairs of shoes two shoes do not look coordinated, inconsistent. For some reason, these shoes give me this feeling, t"&amp;"wo are not the same, obviously very close look, but I belong to the careless type, so it let it go. Personal feelings, for reference only")</f>
        <v>[[ASIN: B01D1XC4NI Clarks Women's Orinoco Club Chelsea Boots Brown (Dark Chocolate Leather) 6.5 UK]] for the first time to try this brand of shoes to see if appropriate. I am a student to participate in sports, so relatively thick legs, feet high, the country being 39 yards (24.5 yards) shoes a little tight, just 39.5 yards a positive, but House counters are expensive, and there was little of this code. The steering United States Code (nine Hee: 8.5 yards wear a few days after will be very loose) or yards (there are six yards pair of sandals, summer wear very tight, just try winter). Now older up, like loose, so buy 40 yards of the. Before looking at the instep commented that might be a little tight, so I bought a big yard, get our hands on a look, yards 6.5, United States Code is nine yards (looking at nine yards, feeling he bought a big two yards). Slightly rugged wear in the feet. Jiaogan: very tight at the instep, the width of the front stay sufficiently long enough inner shoe, at the instep stuck, not stretched forward, it is still empty front length, like a centimeter. Hope Chuan Chuan will loose a little. My first half of the several pairs of shoes two shoes do not look coordinated, inconsistent. For some reason, these shoes give me this feeling, two are not the same, obviously very close look, but I belong to the careless type, so it let it go. Personal feelings, for reference only</v>
      </c>
    </row>
    <row r="2925">
      <c r="A2925" s="1">
        <v>4.0</v>
      </c>
      <c r="B2925" s="1" t="s">
        <v>2918</v>
      </c>
      <c r="C2925" t="str">
        <f>IFERROR(__xludf.DUMMYFUNCTION("GOOGLETRANSLATE(B2925, ""zh"", ""en"")"),"Reviews good shoes, but the interface a bit Ge feet, slightly fade shoes ~")</f>
        <v>Reviews good shoes, but the interface a bit Ge feet, slightly fade shoes ~</v>
      </c>
    </row>
    <row r="2926">
      <c r="A2926" s="1">
        <v>4.0</v>
      </c>
      <c r="B2926" s="1" t="s">
        <v>2919</v>
      </c>
      <c r="C2926" t="str">
        <f>IFERROR(__xludf.DUMMYFUNCTION("GOOGLETRANSLATE(B2926, ""zh"", ""en"")"),"High waist not as good as expected, relatively loose, easy to play ball.")</f>
        <v>High waist not as good as expected, relatively loose, easy to play ball.</v>
      </c>
    </row>
    <row r="2927">
      <c r="A2927" s="1">
        <v>5.0</v>
      </c>
      <c r="B2927" s="1" t="s">
        <v>2920</v>
      </c>
      <c r="C2927" t="str">
        <f>IFERROR(__xludf.DUMMYFUNCTION("GOOGLETRANSLATE(B2927, ""zh"", ""en"")"),"Overseas purchase offer big, like, classic shoes, the color is also very positive preferential purchase of overseas big, like, classic shoes, the color is also very positive")</f>
        <v>Overseas purchase offer big, like, classic shoes, the color is also very positive preferential purchase of overseas big, like, classic shoes, the color is also very positive</v>
      </c>
    </row>
    <row r="2928">
      <c r="A2928" s="1">
        <v>5.0</v>
      </c>
      <c r="B2928" s="1" t="s">
        <v>2921</v>
      </c>
      <c r="C2928" t="str">
        <f>IFERROR(__xludf.DUMMYFUNCTION("GOOGLETRANSLATE(B2928, ""zh"", ""en"")"),"Recommended to buy very much! Color, style, size, they are in line with their requirements. 160/60, buy S, very loose, length is just overshadowed the ass. Running is just right, not too hot. Recommend purchase!")</f>
        <v>Recommended to buy very much! Color, style, size, they are in line with their requirements. 160/60, buy S, very loose, length is just overshadowed the ass. Running is just right, not too hot. Recommend purchase!</v>
      </c>
    </row>
    <row r="2929">
      <c r="A2929" s="1">
        <v>5.0</v>
      </c>
      <c r="B2929" s="1" t="s">
        <v>2922</v>
      </c>
      <c r="C2929" t="str">
        <f>IFERROR(__xludf.DUMMYFUNCTION("GOOGLETRANSLATE(B2929, ""zh"", ""en"")"),"Hey, did not look carefully, made domestically, the Netherlands produced this price is not enough")</f>
        <v>Hey, did not look carefully, made domestically, the Netherlands produced this price is not enough</v>
      </c>
    </row>
    <row r="2930">
      <c r="A2930" s="1">
        <v>5.0</v>
      </c>
      <c r="B2930" s="1" t="s">
        <v>2923</v>
      </c>
      <c r="C2930" t="str">
        <f>IFERROR(__xludf.DUMMYFUNCTION("GOOGLETRANSLATE(B2930, ""zh"", ""en"")"),"He bought the most satisfying piece of clothing quality is very good, work well, 173,68, shoulder 41, a little strong, the election of S, very fit. I like this version, when preferential 550 + 80 into the black, very good value. While filling material is "&amp;"polyester fiber, but really warm ah, hot day 10 degrees death of me would like to ask, how cell phone send pictures ah Amazon")</f>
        <v>He bought the most satisfying piece of clothing quality is very good, work well, 173,68, shoulder 41, a little strong, the election of S, very fit. I like this version, when preferential 550 + 80 into the black, very good value. While filling material is polyester fiber, but really warm ah, hot day 10 degrees death of me would like to ask, how cell phone send pictures ah Amazon</v>
      </c>
    </row>
    <row r="2931">
      <c r="A2931" s="1">
        <v>5.0</v>
      </c>
      <c r="B2931" s="1" t="s">
        <v>2924</v>
      </c>
      <c r="C2931" t="str">
        <f>IFERROR(__xludf.DUMMYFUNCTION("GOOGLETRANSLATE(B2931, ""zh"", ""en"")"),"Real good look at it like this color.")</f>
        <v>Real good look at it like this color.</v>
      </c>
    </row>
    <row r="2932">
      <c r="A2932" s="1">
        <v>5.0</v>
      </c>
      <c r="B2932" s="1" t="s">
        <v>2925</v>
      </c>
      <c r="C2932" t="str">
        <f>IFERROR(__xludf.DUMMYFUNCTION("GOOGLETRANSLATE(B2932, ""zh"", ""en"")"),"Fabric is very comfortable to see comments that tight version, buy a bigger size, just the upper body, really comfortable fabrics")</f>
        <v>Fabric is very comfortable to see comments that tight version, buy a bigger size, just the upper body, really comfortable fabrics</v>
      </c>
    </row>
    <row r="2933">
      <c r="A2933" s="1">
        <v>5.0</v>
      </c>
      <c r="B2933" s="1" t="s">
        <v>2926</v>
      </c>
      <c r="C2933" t="str">
        <f>IFERROR(__xludf.DUMMYFUNCTION("GOOGLETRANSLATE(B2933, ""zh"", ""en"")"),"Cost-effective soft leather, good type, my wife liked")</f>
        <v>Cost-effective soft leather, good type, my wife liked</v>
      </c>
    </row>
    <row r="2934">
      <c r="A2934" s="1">
        <v>5.0</v>
      </c>
      <c r="B2934" s="1" t="s">
        <v>2927</v>
      </c>
      <c r="C2934" t="str">
        <f>IFERROR(__xludf.DUMMYFUNCTION("GOOGLETRANSLATE(B2934, ""zh"", ""en"")"),"Like a very light, thermal insulation effect is good, slow delivery did not imagine, very good.")</f>
        <v>Like a very light, thermal insulation effect is good, slow delivery did not imagine, very good.</v>
      </c>
    </row>
    <row r="2935">
      <c r="A2935" s="1">
        <v>5.0</v>
      </c>
      <c r="B2935" s="1" t="s">
        <v>2928</v>
      </c>
      <c r="C2935" t="str">
        <f>IFERROR(__xludf.DUMMYFUNCTION("GOOGLETRANSLATE(B2935, ""zh"", ""en"")"),"High price is still more than a thousand before buying and domestic Colombia is not the same, feeling almost workmanship and on foot, but the price is also what the bike.")</f>
        <v>High price is still more than a thousand before buying and domestic Colombia is not the same, feeling almost workmanship and on foot, but the price is also what the bike.</v>
      </c>
    </row>
    <row r="2936">
      <c r="A2936" s="1">
        <v>5.0</v>
      </c>
      <c r="B2936" s="1" t="s">
        <v>2929</v>
      </c>
      <c r="C2936" t="str">
        <f>IFERROR(__xludf.DUMMYFUNCTION("GOOGLETRANSLATE(B2936, ""zh"", ""en"")"),"Very comfortable recommended repurchase of products, good quality, engage in activities co-author of more than 50 one, two packaging, large size fat people wear, very comfortable feeling very insecure all hugged, not thin, but does not cover the on, not i"&amp;"n low rise waist, anyway, that I feel very comfortable, recommended. Made in China")</f>
        <v>Very comfortable recommended repurchase of products, good quality, engage in activities co-author of more than 50 one, two packaging, large size fat people wear, very comfortable feeling very insecure all hugged, not thin, but does not cover the on, not in low rise waist, anyway, that I feel very comfortable, recommended. Made in China</v>
      </c>
    </row>
    <row r="2937">
      <c r="A2937" s="1">
        <v>5.0</v>
      </c>
      <c r="B2937" s="1" t="s">
        <v>2930</v>
      </c>
      <c r="C2937" t="str">
        <f>IFERROR(__xludf.DUMMYFUNCTION("GOOGLETRANSLATE(B2937, ""zh"", ""en"")"),"No. 2 is too small to buy before they can wear")</f>
        <v>No. 2 is too small to buy before they can wear</v>
      </c>
    </row>
    <row r="2938">
      <c r="A2938" s="1">
        <v>5.0</v>
      </c>
      <c r="B2938" s="1" t="s">
        <v>2931</v>
      </c>
      <c r="C2938" t="str">
        <f>IFERROR(__xludf.DUMMYFUNCTION("GOOGLETRANSLATE(B2938, ""zh"", ""en"")"),"Good quality, but the product description is not clear double-sided belts, air, looked good. Unfortunately, the lack of detail description of the goods, hand only to find width is 3.5cm wide, the length of the M number sense enough to have 110cm, 2-foot-5"&amp;", 6 back no problem, more like men belts. Just before the return of the three without a belt, this time do not want to toss.")</f>
        <v>Good quality, but the product description is not clear double-sided belts, air, looked good. Unfortunately, the lack of detail description of the goods, hand only to find width is 3.5cm wide, the length of the M number sense enough to have 110cm, 2-foot-5, 6 back no problem, more like men belts. Just before the return of the three without a belt, this time do not want to toss.</v>
      </c>
    </row>
    <row r="2939">
      <c r="A2939" s="1">
        <v>5.0</v>
      </c>
      <c r="B2939" s="1" t="s">
        <v>2932</v>
      </c>
      <c r="C2939" t="str">
        <f>IFERROR(__xludf.DUMMYFUNCTION("GOOGLETRANSLATE(B2939, ""zh"", ""en"")"),"Sea Amoy belt more reliable quality is very good, the price is very affordable.")</f>
        <v>Sea Amoy belt more reliable quality is very good, the price is very affordable.</v>
      </c>
    </row>
    <row r="2940">
      <c r="A2940" s="1">
        <v>5.0</v>
      </c>
      <c r="B2940" s="1" t="s">
        <v>2933</v>
      </c>
      <c r="C2940" t="str">
        <f>IFERROR(__xludf.DUMMYFUNCTION("GOOGLETRANSLATE(B2940, ""zh"", ""en"")"),"This product has enjoyed more than a month using this product, read and write speed quickly.")</f>
        <v>This product has enjoyed more than a month using this product, read and write speed quickly.</v>
      </c>
    </row>
    <row r="2941">
      <c r="A2941" s="1">
        <v>5.0</v>
      </c>
      <c r="B2941" s="1" t="s">
        <v>2934</v>
      </c>
      <c r="C2941" t="str">
        <f>IFERROR(__xludf.DUMMYFUNCTION("GOOGLETRANSLATE(B2941, ""zh"", ""en"")"),"Comfort, fit, cost-effective mass may be comfortable, slightly darker color point. But the overall satisfaction!")</f>
        <v>Comfort, fit, cost-effective mass may be comfortable, slightly darker color point. But the overall satisfaction!</v>
      </c>
    </row>
    <row r="2942">
      <c r="A2942" s="1">
        <v>5.0</v>
      </c>
      <c r="B2942" s="1" t="s">
        <v>2935</v>
      </c>
      <c r="C2942" t="str">
        <f>IFERROR(__xludf.DUMMYFUNCTION("GOOGLETRANSLATE(B2942, ""zh"", ""en"")"),"feels good! Something good, very comfortable to wear, but my height 170, size 36 slightly larger point, other logistics quickly, more satisfied!")</f>
        <v>feels good! Something good, very comfortable to wear, but my height 170, size 36 slightly larger point, other logistics quickly, more satisfied!</v>
      </c>
    </row>
    <row r="2943">
      <c r="A2943" s="1">
        <v>5.0</v>
      </c>
      <c r="B2943" s="1" t="s">
        <v>2936</v>
      </c>
      <c r="C2943" t="str">
        <f>IFERROR(__xludf.DUMMYFUNCTION("GOOGLETRANSLATE(B2943, ""zh"", ""en"")"),"Pants good praise, size is accurate, good pants")</f>
        <v>Pants good praise, size is accurate, good pants</v>
      </c>
    </row>
    <row r="2944">
      <c r="A2944" s="1">
        <v>5.0</v>
      </c>
      <c r="B2944" s="1" t="s">
        <v>2937</v>
      </c>
      <c r="C2944" t="str">
        <f>IFERROR(__xludf.DUMMYFUNCTION("GOOGLETRANSLATE(B2944, ""zh"", ""en"")"),"Very good ankle that wear off a little tight, shoes are not too thick, sub-zero cold may, of course, have different personal experiences, but after all, a good pair of shoes.")</f>
        <v>Very good ankle that wear off a little tight, shoes are not too thick, sub-zero cold may, of course, have different personal experiences, but after all, a good pair of shoes.</v>
      </c>
    </row>
    <row r="2945">
      <c r="A2945" s="1">
        <v>5.0</v>
      </c>
      <c r="B2945" s="1" t="s">
        <v>2938</v>
      </c>
      <c r="C2945" t="str">
        <f>IFERROR(__xludf.DUMMYFUNCTION("GOOGLETRANSLATE(B2945, ""zh"", ""en"")"),"170cm is recommended to buy the best clothes 170/72 s code m code is too small, do not know how to wear them down")</f>
        <v>170cm is recommended to buy the best clothes 170/72 s code m code is too small, do not know how to wear them down</v>
      </c>
    </row>
    <row r="2946">
      <c r="A2946" s="1">
        <v>5.0</v>
      </c>
      <c r="B2946" s="1" t="s">
        <v>2939</v>
      </c>
      <c r="C2946" t="str">
        <f>IFERROR(__xludf.DUMMYFUNCTION("GOOGLETRANSLATE(B2946, ""zh"", ""en"")"),"Gteat Awesome item")</f>
        <v>Gteat Awesome item</v>
      </c>
    </row>
    <row r="2947">
      <c r="A2947" s="1">
        <v>5.0</v>
      </c>
      <c r="B2947" s="1" t="s">
        <v>2940</v>
      </c>
      <c r="C2947" t="str">
        <f>IFERROR(__xludf.DUMMYFUNCTION("GOOGLETRANSLATE(B2947, ""zh"", ""en"")"),"The point is too large clothes we buy clothes to trust their own body, do not buy big")</f>
        <v>The point is too large clothes we buy clothes to trust their own body, do not buy big</v>
      </c>
    </row>
    <row r="2948">
      <c r="A2948" s="1">
        <v>5.0</v>
      </c>
      <c r="B2948" s="1" t="s">
        <v>2941</v>
      </c>
      <c r="C2948" t="str">
        <f>IFERROR(__xludf.DUMMYFUNCTION("GOOGLETRANSLATE(B2948, ""zh"", ""en"")"),"India production, quality is also good to take advantage of the former prime members expire buy a single, this model is Trunk NP2167O, and slightly longer than the low rise, place of origin is India, the color is blue three, although there is no AIU cheap"&amp;"er, but lower than the domestic platform to buy or offer too much.")</f>
        <v>India production, quality is also good to take advantage of the former prime members expire buy a single, this model is Trunk NP2167O, and slightly longer than the low rise, place of origin is India, the color is blue three, although there is no AIU cheaper, but lower than the domestic platform to buy or offer too much.</v>
      </c>
    </row>
    <row r="2949">
      <c r="A2949" s="1">
        <v>2.0</v>
      </c>
      <c r="B2949" s="1" t="s">
        <v>2942</v>
      </c>
      <c r="C2949" t="str">
        <f>IFERROR(__xludf.DUMMYFUNCTION("GOOGLETRANSLATE(B2949, ""zh"", ""en"")"),"No underwear areola area does not have a design problem, two raised, wearing T-shirts see two Dodo, what logic do not recommend buying")</f>
        <v>No underwear areola area does not have a design problem, two raised, wearing T-shirts see two Dodo, what logic do not recommend buying</v>
      </c>
    </row>
    <row r="2950">
      <c r="A2950" s="1">
        <v>3.0</v>
      </c>
      <c r="B2950" s="1" t="s">
        <v>2943</v>
      </c>
      <c r="C2950" t="str">
        <f>IFERROR(__xludf.DUMMYFUNCTION("GOOGLETRANSLATE(B2950, ""zh"", ""en"")"),"Size is too small because of cotton, so there is no flexibility, waist circumference 2 feet 2 chose this uncomfortable to wear, only stood up ......")</f>
        <v>Size is too small because of cotton, so there is no flexibility, waist circumference 2 feet 2 chose this uncomfortable to wear, only stood up ......</v>
      </c>
    </row>
    <row r="2951">
      <c r="A2951" s="1">
        <v>3.0</v>
      </c>
      <c r="B2951" s="1" t="s">
        <v>2944</v>
      </c>
      <c r="C2951" t="str">
        <f>IFERROR(__xludf.DUMMYFUNCTION("GOOGLETRANSLATE(B2951, ""zh"", ""en"")"),"After using the additional time to feel - each received only about a sticker, the packaging is no problem, inside a white plastic damaged. Stickers feeling a long time no firm paste is also possible, not always used, or to see how it kind of machine. But "&amp;"it was also the flagship store comments received second-hand goods with hair, I feel this subtle brand of quality control. Overseas purchase aftermarket is very troublesome, it is recommended that other budget brands. Customer service said, then refused t"&amp;"o worry about shipping reclaim taxes, has received second-hand with alcohol cotton to clean it. By three times, really effective ~")</f>
        <v>After using the additional time to feel - each received only about a sticker, the packaging is no problem, inside a white plastic damaged. Stickers feeling a long time no firm paste is also possible, not always used, or to see how it kind of machine. But it was also the flagship store comments received second-hand goods with hair, I feel this subtle brand of quality control. Overseas purchase aftermarket is very troublesome, it is recommended that other budget brands. Customer service said, then refused to worry about shipping reclaim taxes, has received second-hand with alcohol cotton to clean it. By three times, really effective ~</v>
      </c>
    </row>
    <row r="2952">
      <c r="A2952" s="1">
        <v>1.0</v>
      </c>
      <c r="B2952" s="1" t="s">
        <v>2945</v>
      </c>
      <c r="C2952" t="str">
        <f>IFERROR(__xludf.DUMMYFUNCTION("GOOGLETRANSLATE(B2952, ""zh"", ""en"")"),"Worthwhile, mostly crayons, the bottom layer is repeated two rows of crayons mostly drawer bottom two rows of the same color, cost is not high")</f>
        <v>Worthwhile, mostly crayons, the bottom layer is repeated two rows of crayons mostly drawer bottom two rows of the same color, cost is not high</v>
      </c>
    </row>
    <row r="2953">
      <c r="A2953" s="1">
        <v>1.0</v>
      </c>
      <c r="B2953" s="1" t="s">
        <v>2946</v>
      </c>
      <c r="C2953" t="str">
        <f>IFERROR(__xludf.DUMMYFUNCTION("GOOGLETRANSLATE(B2953, ""zh"", ""en"")"),"Quality problems have quality problems, the power plug and links to send special speaker, basically one will come off")</f>
        <v>Quality problems have quality problems, the power plug and links to send special speaker, basically one will come off</v>
      </c>
    </row>
    <row r="2954">
      <c r="A2954" s="1">
        <v>4.0</v>
      </c>
      <c r="B2954" s="1" t="s">
        <v>2947</v>
      </c>
      <c r="C2954" t="str">
        <f>IFERROR(__xludf.DUMMYFUNCTION("GOOGLETRANSLATE(B2954, ""zh"", ""en"")"),"Poor workmanship, thread and more. Pants work hard to describe, thread too much, and there are very many details Zaoxin, but for the price it was cheaper discount, this money can be spent not quite true value. Suitable touches abnormal size, pant loose tr"&amp;"ousers that is partial, and waist, but a single buckle if the buckle double very steady. Buy shoes take very ok. Hair SF, SF this feeling a bit slow.")</f>
        <v>Poor workmanship, thread and more. Pants work hard to describe, thread too much, and there are very many details Zaoxin, but for the price it was cheaper discount, this money can be spent not quite true value. Suitable touches abnormal size, pant loose trousers that is partial, and waist, but a single buckle if the buckle double very steady. Buy shoes take very ok. Hair SF, SF this feeling a bit slow.</v>
      </c>
    </row>
    <row r="2955">
      <c r="A2955" s="1">
        <v>4.0</v>
      </c>
      <c r="B2955" s="1" t="s">
        <v>2948</v>
      </c>
      <c r="C2955" t="str">
        <f>IFERROR(__xludf.DUMMYFUNCTION("GOOGLETRANSLATE(B2955, ""zh"", ""en"")"),"Also 8 years old baby with a more appropriate! Made in China!")</f>
        <v>Also 8 years old baby with a more appropriate! Made in China!</v>
      </c>
    </row>
    <row r="2956">
      <c r="A2956" s="1">
        <v>4.0</v>
      </c>
      <c r="B2956" s="1" t="s">
        <v>2949</v>
      </c>
      <c r="C2956" t="str">
        <f>IFERROR(__xludf.DUMMYFUNCTION("GOOGLETRANSLATE(B2956, ""zh"", ""en"")"),"Quality is slightly smaller number did not have to say, hin good. But this code Woguo feeling relatively small. Fortunately, you can wear. 165,59km, m code")</f>
        <v>Quality is slightly smaller number did not have to say, hin good. But this code Woguo feeling relatively small. Fortunately, you can wear. 165,59km, m code</v>
      </c>
    </row>
    <row r="2957">
      <c r="A2957" s="1">
        <v>4.0</v>
      </c>
      <c r="B2957" s="1" t="s">
        <v>2950</v>
      </c>
      <c r="C2957" t="str">
        <f>IFERROR(__xludf.DUMMYFUNCTION("GOOGLETRANSLATE(B2957, ""zh"", ""en"")"),"7 minutes usage also can use it later specialized milk")</f>
        <v>7 minutes usage also can use it later specialized milk</v>
      </c>
    </row>
    <row r="2958">
      <c r="A2958" s="1">
        <v>5.0</v>
      </c>
      <c r="B2958" s="1" t="s">
        <v>2951</v>
      </c>
      <c r="C2958" t="str">
        <f>IFERROR(__xludf.DUMMYFUNCTION("GOOGLETRANSLATE(B2958, ""zh"", ""en"")"),"Look forward to stockpile buy recommendation to buy, ha ha ha Wu Chun same paragraph, more than 60 two good benefits")</f>
        <v>Look forward to stockpile buy recommendation to buy, ha ha ha Wu Chun same paragraph, more than 60 two good benefits</v>
      </c>
    </row>
    <row r="2959">
      <c r="A2959" s="1">
        <v>5.0</v>
      </c>
      <c r="B2959" s="1" t="s">
        <v>2952</v>
      </c>
      <c r="C2959" t="str">
        <f>IFERROR(__xludf.DUMMYFUNCTION("GOOGLETRANSLATE(B2959, ""zh"", ""en"")"),"Used although it is bought for a long time, I had a meat cutter. Speed ​​dynamics are very good. Minced meat will soon be broken. But even if the dish will turn into vegetable juice. 😅")</f>
        <v>Used although it is bought for a long time, I had a meat cutter. Speed ​​dynamics are very good. Minced meat will soon be broken. But even if the dish will turn into vegetable juice. 😅</v>
      </c>
    </row>
    <row r="2960">
      <c r="A2960" s="1">
        <v>5.0</v>
      </c>
      <c r="B2960" s="1" t="s">
        <v>2953</v>
      </c>
      <c r="C2960" t="str">
        <f>IFERROR(__xludf.DUMMYFUNCTION("GOOGLETRANSLATE(B2960, ""zh"", ""en"")"),"Good quality version of the type well, that is a little bigger next time you buy a smaller size to buy big, but you can give it away not want to change, good quality, the version is also very good, the price is right")</f>
        <v>Good quality version of the type well, that is a little bigger next time you buy a smaller size to buy big, but you can give it away not want to change, good quality, the version is also very good, the price is right</v>
      </c>
    </row>
    <row r="2961">
      <c r="A2961" s="1">
        <v>5.0</v>
      </c>
      <c r="B2961" s="1" t="s">
        <v>2954</v>
      </c>
      <c r="C2961" t="str">
        <f>IFERROR(__xludf.DUMMYFUNCTION("GOOGLETRANSLATE(B2961, ""zh"", ""en"")"),"Very very powerful peacetime election 10M, 44, can be, just good, very comfortable to wear")</f>
        <v>Very very powerful peacetime election 10M, 44, can be, just good, very comfortable to wear</v>
      </c>
    </row>
    <row r="2962">
      <c r="A2962" s="1">
        <v>5.0</v>
      </c>
      <c r="B2962" s="1" t="s">
        <v>2955</v>
      </c>
      <c r="C2962" t="str">
        <f>IFERROR(__xludf.DUMMYFUNCTION("GOOGLETRANSLATE(B2962, ""zh"", ""en"")"),"After artifact warm winter wear to the office so hot, I can meet the requirements of thin and warm")</f>
        <v>After artifact warm winter wear to the office so hot, I can meet the requirements of thin and warm</v>
      </c>
    </row>
    <row r="2963">
      <c r="A2963" s="1">
        <v>5.0</v>
      </c>
      <c r="B2963" s="1" t="s">
        <v>2956</v>
      </c>
      <c r="C2963" t="str">
        <f>IFERROR(__xludf.DUMMYFUNCTION("GOOGLETRANSLATE(B2963, ""zh"", ""en"")"),"Socks good price beautiful Nichia perfect package, along with four pairs over one hundred price is right")</f>
        <v>Socks good price beautiful Nichia perfect package, along with four pairs over one hundred price is right</v>
      </c>
    </row>
    <row r="2964">
      <c r="A2964" s="1">
        <v>5.0</v>
      </c>
      <c r="B2964" s="1" t="s">
        <v>2957</v>
      </c>
      <c r="C2964" t="str">
        <f>IFERROR(__xludf.DUMMYFUNCTION("GOOGLETRANSLATE(B2964, ""zh"", ""en"")"),"Comfortable start some hard, soften it too comfortable, casual commuters are good, suitable for long wear. Thank you Amazon brings bargains")</f>
        <v>Comfortable start some hard, soften it too comfortable, casual commuters are good, suitable for long wear. Thank you Amazon brings bargains</v>
      </c>
    </row>
    <row r="2965">
      <c r="A2965" s="1">
        <v>5.0</v>
      </c>
      <c r="B2965" s="1" t="s">
        <v>2958</v>
      </c>
      <c r="C2965" t="str">
        <f>IFERROR(__xludf.DUMMYFUNCTION("GOOGLETRANSLATE(B2965, ""zh"", ""en"")"),"And as cheap in the store, but cheaper a lot of it. However, breastfed babies are less likely to bottle, with the hope that the baby can drink milk bar")</f>
        <v>And as cheap in the store, but cheaper a lot of it. However, breastfed babies are less likely to bottle, with the hope that the baby can drink milk bar</v>
      </c>
    </row>
    <row r="2966">
      <c r="A2966" s="1">
        <v>5.0</v>
      </c>
      <c r="B2966" s="1" t="s">
        <v>2959</v>
      </c>
      <c r="C2966" t="str">
        <f>IFERROR(__xludf.DUMMYFUNCTION("GOOGLETRANSLATE(B2966, ""zh"", ""en"")"),"Good good, cheap")</f>
        <v>Good good, cheap</v>
      </c>
    </row>
    <row r="2967">
      <c r="A2967" s="1">
        <v>5.0</v>
      </c>
      <c r="B2967" s="1" t="s">
        <v>2960</v>
      </c>
      <c r="C2967" t="str">
        <f>IFERROR(__xludf.DUMMYFUNCTION("GOOGLETRANSLATE(B2967, ""zh"", ""en"")"),"Received clothes is very good, but small half yards, make do with it.")</f>
        <v>Received clothes is very good, but small half yards, make do with it.</v>
      </c>
    </row>
    <row r="2968">
      <c r="A2968" s="1">
        <v>5.0</v>
      </c>
      <c r="B2968" s="1" t="s">
        <v>2961</v>
      </c>
      <c r="C2968" t="str">
        <f>IFERROR(__xludf.DUMMYFUNCTION("GOOGLETRANSLATE(B2968, ""zh"", ""en"")"),"Lodge Los pole manufacturing company Cast iron pan finally solve the problem of a grilled steak! Uniform heating.")</f>
        <v>Lodge Los pole manufacturing company Cast iron pan finally solve the problem of a grilled steak! Uniform heating.</v>
      </c>
    </row>
    <row r="2969">
      <c r="A2969" s="1">
        <v>5.0</v>
      </c>
      <c r="B2969" s="1" t="s">
        <v>2962</v>
      </c>
      <c r="C2969" t="str">
        <f>IFERROR(__xludf.DUMMYFUNCTION("GOOGLETRANSLATE(B2969, ""zh"", ""en"")"),"Quality very good ventilation, more transparent white")</f>
        <v>Quality very good ventilation, more transparent white</v>
      </c>
    </row>
    <row r="2970">
      <c r="A2970" s="1">
        <v>5.0</v>
      </c>
      <c r="B2970" s="1" t="s">
        <v>2963</v>
      </c>
      <c r="C2970" t="str">
        <f>IFERROR(__xludf.DUMMYFUNCTION("GOOGLETRANSLATE(B2970, ""zh"", ""en"")"),"Inexpensive, comfortable and generous inexpensive.")</f>
        <v>Inexpensive, comfortable and generous inexpensive.</v>
      </c>
    </row>
    <row r="2971">
      <c r="A2971" s="1">
        <v>5.0</v>
      </c>
      <c r="B2971" s="1" t="s">
        <v>2964</v>
      </c>
      <c r="C2971" t="str">
        <f>IFERROR(__xludf.DUMMYFUNCTION("GOOGLETRANSLATE(B2971, ""zh"", ""en"")"),"11 Such a price to pay lee quality is also OK, very satisfied!")</f>
        <v>11 Such a price to pay lee quality is also OK, very satisfied!</v>
      </c>
    </row>
    <row r="2972">
      <c r="A2972" s="1">
        <v>5.0</v>
      </c>
      <c r="B2972" s="1" t="s">
        <v>2965</v>
      </c>
      <c r="C2972" t="str">
        <f>IFERROR(__xludf.DUMMYFUNCTION("GOOGLETRANSLATE(B2972, ""zh"", ""en"")"),"Price beautiful, normal size normal size buy on line, the usual anti-Kee Di 37-37.5, 38 to buy this little big, but tied the laces or wear thick socks will do. No flaws, you can.")</f>
        <v>Price beautiful, normal size normal size buy on line, the usual anti-Kee Di 37-37.5, 38 to buy this little big, but tied the laces or wear thick socks will do. No flaws, you can.</v>
      </c>
    </row>
    <row r="2973">
      <c r="A2973" s="1">
        <v>5.0</v>
      </c>
      <c r="B2973" s="1" t="s">
        <v>2966</v>
      </c>
      <c r="C2973" t="str">
        <f>IFERROR(__xludf.DUMMYFUNCTION("GOOGLETRANSLATE(B2973, ""zh"", ""en"")"),"Awesome, and kosspp temporarily not sense much difference, after all, value for money, only 99 I really could not help but praise first, logistics ultra-fast, from Los Angeles to Changzhou, Zhenjiang, Jiangsu, only seven days ah, I received! I do not beli"&amp;"eve ah, this is comparable to the speed of delivery to the mainland Xinjiang ah, hoping to fire up the Amazon, do so carefully electricity supplier, worthy of our attention and encouragement! , The headset is very good, and it sounds almost koss pp, price"&amp;" only 99, many people feel does not look good shape, it is flawed, but I do not care! I was listening to the sound! Ha ha ha ha, happy!")</f>
        <v>Awesome, and kosspp temporarily not sense much difference, after all, value for money, only 99 I really could not help but praise first, logistics ultra-fast, from Los Angeles to Changzhou, Zhenjiang, Jiangsu, only seven days ah, I received! I do not believe ah, this is comparable to the speed of delivery to the mainland Xinjiang ah, hoping to fire up the Amazon, do so carefully electricity supplier, worthy of our attention and encouragement! , The headset is very good, and it sounds almost koss pp, price only 99, many people feel does not look good shape, it is flawed, but I do not care! I was listening to the sound! Ha ha ha ha, happy!</v>
      </c>
    </row>
    <row r="2974">
      <c r="A2974" s="1">
        <v>5.0</v>
      </c>
      <c r="B2974" s="1" t="s">
        <v>2967</v>
      </c>
      <c r="C2974" t="str">
        <f>IFERROR(__xludf.DUMMYFUNCTION("GOOGLETRANSLATE(B2974, ""zh"", ""en"")"),"Price or can we have pictures, I not on the map, the sound quality is better than the original Apple white, could tell a lot of details, but the feeling did not improve much with Direct Push mobile phones and computers, better sound insulation, never used"&amp;" other ear, anyway, this is not very comfortable, there is the line looks good cheap ah, I feel a withdrawal will be off, closing the office is very serious effect, it should be a common problem for all ear ear")</f>
        <v>Price or can we have pictures, I not on the map, the sound quality is better than the original Apple white, could tell a lot of details, but the feeling did not improve much with Direct Push mobile phones and computers, better sound insulation, never used other ear, anyway, this is not very comfortable, there is the line looks good cheap ah, I feel a withdrawal will be off, closing the office is very serious effect, it should be a common problem for all ear ear</v>
      </c>
    </row>
    <row r="2975">
      <c r="A2975" s="1">
        <v>5.0</v>
      </c>
      <c r="B2975" s="1" t="s">
        <v>2968</v>
      </c>
      <c r="C2975" t="str">
        <f>IFERROR(__xludf.DUMMYFUNCTION("GOOGLETRANSLATE(B2975, ""zh"", ""en"")"),"Very easy to use very satisfied")</f>
        <v>Very easy to use very satisfied</v>
      </c>
    </row>
    <row r="2976">
      <c r="A2976" s="1">
        <v>5.0</v>
      </c>
      <c r="B2976" s="1" t="s">
        <v>2969</v>
      </c>
      <c r="C2976" t="str">
        <f>IFERROR(__xludf.DUMMYFUNCTION("GOOGLETRANSLATE(B2976, ""zh"", ""en"")"),"Value for money fabric is soft and delicate, summer wear breathable comfort")</f>
        <v>Value for money fabric is soft and delicate, summer wear breathable comfort</v>
      </c>
    </row>
    <row r="2977">
      <c r="A2977" s="1">
        <v>5.0</v>
      </c>
      <c r="B2977" s="1" t="s">
        <v>2970</v>
      </c>
      <c r="C2977" t="str">
        <f>IFERROR(__xludf.DUMMYFUNCTION("GOOGLETRANSLATE(B2977, ""zh"", ""en"")"),"Clothes quite good, though not cotton, but the texture is soft and comfortable to wear, I am more fat, short stature, clothes Length, seems a little mast.")</f>
        <v>Clothes quite good, though not cotton, but the texture is soft and comfortable to wear, I am more fat, short stature, clothes Length, seems a little mast.</v>
      </c>
    </row>
    <row r="2978">
      <c r="A2978" s="1">
        <v>5.0</v>
      </c>
      <c r="B2978" s="1" t="s">
        <v>2971</v>
      </c>
      <c r="C2978" t="str">
        <f>IFERROR(__xludf.DUMMYFUNCTION("GOOGLETRANSLATE(B2978, ""zh"", ""en"")"),"Good walking very comfortable")</f>
        <v>Good walking very comfortable</v>
      </c>
    </row>
    <row r="2979">
      <c r="A2979" s="1">
        <v>5.0</v>
      </c>
      <c r="B2979" s="1" t="s">
        <v>2972</v>
      </c>
      <c r="C2979" t="str">
        <f>IFERROR(__xludf.DUMMYFUNCTION("GOOGLETRANSLATE(B2979, ""zh"", ""en"")"),"Although not 10061, is also a good section rhubarb boots, though not 10061, but also models good boots rhubarb")</f>
        <v>Although not 10061, is also a good section rhubarb boots, though not 10061, but also models good boots rhubarb</v>
      </c>
    </row>
    <row r="2980">
      <c r="A2980" s="1">
        <v>2.0</v>
      </c>
      <c r="B2980" s="1" t="s">
        <v>2973</v>
      </c>
      <c r="C2980" t="str">
        <f>IFERROR(__xludf.DUMMYFUNCTION("GOOGLETRANSLATE(B2980, ""zh"", ""en"")"),"Not recommended to buy the right size, just kind of relatively ugly")</f>
        <v>Not recommended to buy the right size, just kind of relatively ugly</v>
      </c>
    </row>
    <row r="2981">
      <c r="A2981" s="1">
        <v>3.0</v>
      </c>
      <c r="B2981" s="1" t="s">
        <v>2974</v>
      </c>
      <c r="C2981" t="str">
        <f>IFERROR(__xludf.DUMMYFUNCTION("GOOGLETRANSLATE(B2981, ""zh"", ""en"")"),"Omission less spoon and animal signs, another picture induce people, has two cups and bags there, next time be sure to look carefully, customer service and omission are still to discuss.")</f>
        <v>Omission less spoon and animal signs, another picture induce people, has two cups and bags there, next time be sure to look carefully, customer service and omission are still to discuss.</v>
      </c>
    </row>
    <row r="2982">
      <c r="A2982" s="1">
        <v>3.0</v>
      </c>
      <c r="B2982" s="1" t="s">
        <v>2975</v>
      </c>
      <c r="C2982" t="str">
        <f>IFERROR(__xludf.DUMMYFUNCTION("GOOGLETRANSLATE(B2982, ""zh"", ""en"")"),"General can also buy carefully, but not so much Chinese food with a wok is enough")</f>
        <v>General can also buy carefully, but not so much Chinese food with a wok is enough</v>
      </c>
    </row>
    <row r="2983">
      <c r="A2983" s="1">
        <v>1.0</v>
      </c>
      <c r="B2983" s="1" t="s">
        <v>2976</v>
      </c>
      <c r="C2983" t="str">
        <f>IFERROR(__xludf.DUMMYFUNCTION("GOOGLETRANSLATE(B2983, ""zh"", ""en"")"),"Fade packaging is very bad, with only a plastic bag wrapped. The most angry is fading. Wash several times still fade. I'd like to return. It was found that the process is very cumbersome.")</f>
        <v>Fade packaging is very bad, with only a plastic bag wrapped. The most angry is fading. Wash several times still fade. I'd like to return. It was found that the process is very cumbersome.</v>
      </c>
    </row>
    <row r="2984">
      <c r="A2984" s="1">
        <v>1.0</v>
      </c>
      <c r="B2984" s="1" t="s">
        <v>2977</v>
      </c>
      <c r="C2984" t="str">
        <f>IFERROR(__xludf.DUMMYFUNCTION("GOOGLETRANSLATE(B2984, ""zh"", ""en"")"),"Deer too obvious glitches, Ken Ken child cry, estimated tie mouth. Deer too obvious glitches, Ken Ken child began to cry.")</f>
        <v>Deer too obvious glitches, Ken Ken child cry, estimated tie mouth. Deer too obvious glitches, Ken Ken child began to cry.</v>
      </c>
    </row>
    <row r="2985">
      <c r="A2985" s="1">
        <v>4.0</v>
      </c>
      <c r="B2985" s="1" t="s">
        <v>2978</v>
      </c>
      <c r="C2985" t="str">
        <f>IFERROR(__xludf.DUMMYFUNCTION("GOOGLETRANSLATE(B2985, ""zh"", ""en"")"),"I like to wear very good 168cm, 57kg woman wants oversize sense to buy m-long sleeves super sloppy actually m s also possible to wear very little girl feels recommendation to buy or wear s my friend M 173,88kg m refer to the appropriate cable head a littl"&amp;"e hair loss but this very affordable price point of view within the inner tube down very skin-friendly")</f>
        <v>I like to wear very good 168cm, 57kg woman wants oversize sense to buy m-long sleeves super sloppy actually m s also possible to wear very little girl feels recommendation to buy or wear s my friend M 173,88kg m refer to the appropriate cable head a little hair loss but this very affordable price point of view within the inner tube down very skin-friendly</v>
      </c>
    </row>
    <row r="2986">
      <c r="A2986" s="1">
        <v>4.0</v>
      </c>
      <c r="B2986" s="1" t="s">
        <v>2979</v>
      </c>
      <c r="C2986" t="str">
        <f>IFERROR(__xludf.DUMMYFUNCTION("GOOGLETRANSLATE(B2986, ""zh"", ""en"")"),"Pants look good 31x30 Height 173cm 70kg suitable version is also good-looking")</f>
        <v>Pants look good 31x30 Height 173cm 70kg suitable version is also good-looking</v>
      </c>
    </row>
    <row r="2987">
      <c r="A2987" s="1">
        <v>4.0</v>
      </c>
      <c r="B2987" s="1" t="s">
        <v>2980</v>
      </c>
      <c r="C2987" t="str">
        <f>IFERROR(__xludf.DUMMYFUNCTION("GOOGLETRANSLATE(B2987, ""zh"", ""en"")"),"Can hang on for a long time after orders waiting four weeks before delivery, almost one month hand, the noise is okay, write speed is very general, just get to hear a hundred special to qi, unhappy")</f>
        <v>Can hang on for a long time after orders waiting four weeks before delivery, almost one month hand, the noise is okay, write speed is very general, just get to hear a hundred special to qi, unhappy</v>
      </c>
    </row>
    <row r="2988">
      <c r="A2988" s="1">
        <v>4.0</v>
      </c>
      <c r="B2988" s="1" t="s">
        <v>2981</v>
      </c>
      <c r="C2988" t="str">
        <f>IFERROR(__xludf.DUMMYFUNCTION("GOOGLETRANSLATE(B2988, ""zh"", ""en"")"),"Fade color models, the version fit, wash the fly in the ointment is the beginning of serious color, generally sub-blue water, perhaps in the future are afraid to put a washing machine.")</f>
        <v>Fade color models, the version fit, wash the fly in the ointment is the beginning of serious color, generally sub-blue water, perhaps in the future are afraid to put a washing machine.</v>
      </c>
    </row>
    <row r="2989">
      <c r="A2989" s="1">
        <v>4.0</v>
      </c>
      <c r="B2989" s="1" t="s">
        <v>2982</v>
      </c>
      <c r="C2989" t="str">
        <f>IFERROR(__xludf.DUMMYFUNCTION("GOOGLETRANSLATE(B2989, ""zh"", ""en"")"),"Affordable prices right size, the price is very affordable, I am feeling a little thin some")</f>
        <v>Affordable prices right size, the price is very affordable, I am feeling a little thin some</v>
      </c>
    </row>
    <row r="2990">
      <c r="A2990" s="1">
        <v>5.0</v>
      </c>
      <c r="B2990" s="1" t="s">
        <v>2983</v>
      </c>
      <c r="C2990" t="str">
        <f>IFERROR(__xludf.DUMMYFUNCTION("GOOGLETRANSLATE(B2990, ""zh"", ""en"")"),"The first purchase of CK style is very common but very comfortable to wear, satisfied.")</f>
        <v>The first purchase of CK style is very common but very comfortable to wear, satisfied.</v>
      </c>
    </row>
    <row r="2991">
      <c r="A2991" s="1">
        <v>5.0</v>
      </c>
      <c r="B2991" s="1" t="s">
        <v>2984</v>
      </c>
      <c r="C2991" t="str">
        <f>IFERROR(__xludf.DUMMYFUNCTION("GOOGLETRANSLATE(B2991, ""zh"", ""en"")"),"Good to wear good to wear before in the United States bought nearly style")</f>
        <v>Good to wear good to wear before in the United States bought nearly style</v>
      </c>
    </row>
    <row r="2992">
      <c r="A2992" s="1">
        <v>5.0</v>
      </c>
      <c r="B2992" s="1" t="s">
        <v>2985</v>
      </c>
      <c r="C2992" t="str">
        <f>IFERROR(__xludf.DUMMYFUNCTION("GOOGLETRANSLATE(B2992, ""zh"", ""en"")"),"Work can be a lot bigger")</f>
        <v>Work can be a lot bigger</v>
      </c>
    </row>
    <row r="2993">
      <c r="A2993" s="1">
        <v>5.0</v>
      </c>
      <c r="B2993" s="1" t="s">
        <v>2986</v>
      </c>
      <c r="C2993" t="str">
        <f>IFERROR(__xludf.DUMMYFUNCTION("GOOGLETRANSLATE(B2993, ""zh"", ""en"")"),"Good very good")</f>
        <v>Good very good</v>
      </c>
    </row>
    <row r="2994">
      <c r="A2994" s="1">
        <v>5.0</v>
      </c>
      <c r="B2994" s="1" t="s">
        <v>2987</v>
      </c>
      <c r="C2994" t="str">
        <f>IFERROR(__xludf.DUMMYFUNCTION("GOOGLETRANSLATE(B2994, ""zh"", ""en"")"),"The right size, good quality and I 182,80 kg, just buy M, mainly looked at the front of friends that number is too large, did not dare to buy large, this time just for a friend to buy later reference.")</f>
        <v>The right size, good quality and I 182,80 kg, just buy M, mainly looked at the front of friends that number is too large, did not dare to buy large, this time just for a friend to buy later reference.</v>
      </c>
    </row>
    <row r="2995">
      <c r="A2995" s="1">
        <v>5.0</v>
      </c>
      <c r="B2995" s="1" t="s">
        <v>2988</v>
      </c>
      <c r="C2995" t="str">
        <f>IFERROR(__xludf.DUMMYFUNCTION("GOOGLETRANSLATE(B2995, ""zh"", ""en"")"),"Good good good ah, very soft bottle. Well, not from the previous evaluation, I do not know how many wasted points, points can change money now know, they should look carefully evaluated, then I put these words to copy to go, both to earn points, but also "&amp;"the easy way, where are copy where, most importantly, do not seriously review, do not think how much worse word, sent directly to it, recommend it to everyone! !")</f>
        <v>Good good good ah, very soft bottle. Well, not from the previous evaluation, I do not know how many wasted points, points can change money now know, they should look carefully evaluated, then I put these words to copy to go, both to earn points, but also the easy way, where are copy where, most importantly, do not seriously review, do not think how much worse word, sent directly to it, recommend it to everyone! !</v>
      </c>
    </row>
    <row r="2996">
      <c r="A2996" s="1">
        <v>5.0</v>
      </c>
      <c r="B2996" s="1" t="s">
        <v>2989</v>
      </c>
      <c r="C2996" t="str">
        <f>IFERROR(__xludf.DUMMYFUNCTION("GOOGLETRANSLATE(B2996, ""zh"", ""en"")"),"What to wear when wearing sports or summer vacation at home or wear a very leisurely pace")</f>
        <v>What to wear when wearing sports or summer vacation at home or wear a very leisurely pace</v>
      </c>
    </row>
    <row r="2997">
      <c r="A2997" s="1">
        <v>5.0</v>
      </c>
      <c r="B2997" s="1" t="s">
        <v>2990</v>
      </c>
      <c r="C2997" t="str">
        <f>IFERROR(__xludf.DUMMYFUNCTION("GOOGLETRANSLATE(B2997, ""zh"", ""en"")"),"These trousers good elasticity good, very flexible feet jeans, 185,185 to buy a 34 × 32 size just right.")</f>
        <v>These trousers good elasticity good, very flexible feet jeans, 185,185 to buy a 34 × 32 size just right.</v>
      </c>
    </row>
    <row r="2998">
      <c r="A2998" s="1">
        <v>5.0</v>
      </c>
      <c r="B2998" s="1" t="s">
        <v>2991</v>
      </c>
      <c r="C2998" t="str">
        <f>IFERROR(__xludf.DUMMYFUNCTION("GOOGLETRANSLATE(B2998, ""zh"", ""en"")"),"Sound good headphones sound good! Price beautiful! Dongguan production")</f>
        <v>Sound good headphones sound good! Price beautiful! Dongguan production</v>
      </c>
    </row>
    <row r="2999">
      <c r="A2999" s="1">
        <v>5.0</v>
      </c>
      <c r="B2999" s="1" t="s">
        <v>2992</v>
      </c>
      <c r="C2999" t="str">
        <f>IFERROR(__xludf.DUMMYFUNCTION("GOOGLETRANSLATE(B2999, ""zh"", ""en"")"),"biom is comfortable comfortable, comfortable, comfortable. biom is comfortable")</f>
        <v>biom is comfortable comfortable, comfortable, comfortable. biom is comfortable</v>
      </c>
    </row>
    <row r="3000">
      <c r="A3000" s="1">
        <v>5.0</v>
      </c>
      <c r="B3000" s="1" t="s">
        <v>2993</v>
      </c>
      <c r="C3000" t="str">
        <f>IFERROR(__xludf.DUMMYFUNCTION("GOOGLETRANSLATE(B3000, ""zh"", ""en"")"),"Good very good, work well, the right thickness")</f>
        <v>Good very good, work well, the right thickness</v>
      </c>
    </row>
    <row r="3001">
      <c r="A3001" s="1">
        <v>5.0</v>
      </c>
      <c r="B3001" s="1" t="s">
        <v>2994</v>
      </c>
      <c r="C3001" t="str">
        <f>IFERROR(__xludf.DUMMYFUNCTION("GOOGLETRANSLATE(B3001, ""zh"", ""en"")"),"Wants to help match people who want to buy and expectations, the material feels good 170,75, s code fit")</f>
        <v>Wants to help match people who want to buy and expectations, the material feels good 170,75, s code fit</v>
      </c>
    </row>
    <row r="3002">
      <c r="A3002" s="1">
        <v>5.0</v>
      </c>
      <c r="B3002" s="1" t="s">
        <v>2995</v>
      </c>
      <c r="C3002" t="str">
        <f>IFERROR(__xludf.DUMMYFUNCTION("GOOGLETRANSLATE(B3002, ""zh"", ""en"")"),"Size is too large a bit big")</f>
        <v>Size is too large a bit big</v>
      </c>
    </row>
    <row r="3003">
      <c r="A3003" s="1">
        <v>5.0</v>
      </c>
      <c r="B3003" s="1" t="s">
        <v>2996</v>
      </c>
      <c r="C3003" t="str">
        <f>IFERROR(__xludf.DUMMYFUNCTION("GOOGLETRANSLATE(B3003, ""zh"", ""en"")"),"Very good 3637 feet to buy 6.5 widened, just winter wear thick socks, thin socks pines, and there do not take the shoelace tightening ankle will not card, the price is right, and tax increases like 560")</f>
        <v>Very good 3637 feet to buy 6.5 widened, just winter wear thick socks, thin socks pines, and there do not take the shoelace tightening ankle will not card, the price is right, and tax increases like 560</v>
      </c>
    </row>
    <row r="3004">
      <c r="A3004" s="1">
        <v>5.0</v>
      </c>
      <c r="B3004" s="1" t="s">
        <v>2997</v>
      </c>
      <c r="C3004" t="str">
        <f>IFERROR(__xludf.DUMMYFUNCTION("GOOGLETRANSLATE(B3004, ""zh"", ""en"")"),"Quality is very good quality is very good, every day is throwing children, did not damage the insulation effect is also very good.")</f>
        <v>Quality is very good quality is very good, every day is throwing children, did not damage the insulation effect is also very good.</v>
      </c>
    </row>
    <row r="3005">
      <c r="A3005" s="1">
        <v>5.0</v>
      </c>
      <c r="B3005" s="1" t="s">
        <v>2998</v>
      </c>
      <c r="C3005" t="str">
        <f>IFERROR(__xludf.DUMMYFUNCTION("GOOGLETRANSLATE(B3005, ""zh"", ""en"")"),"Well, work is also good shoes, good quality, old people like to give, warm winter wear that is also waterproof. Cost is also high.")</f>
        <v>Well, work is also good shoes, good quality, old people like to give, warm winter wear that is also waterproof. Cost is also high.</v>
      </c>
    </row>
    <row r="3006">
      <c r="A3006" s="1">
        <v>5.0</v>
      </c>
      <c r="B3006" s="1" t="s">
        <v>2999</v>
      </c>
      <c r="C3006" t="str">
        <f>IFERROR(__xludf.DUMMYFUNCTION("GOOGLETRANSLATE(B3006, ""zh"", ""en"")"),"Good sound quality, less demanding users should start normally on the quality requirements are not too high, but usually more conference calls, this headset very comfortable, the sound quality is also good.")</f>
        <v>Good sound quality, less demanding users should start normally on the quality requirements are not too high, but usually more conference calls, this headset very comfortable, the sound quality is also good.</v>
      </c>
    </row>
    <row r="3007">
      <c r="A3007" s="1">
        <v>5.0</v>
      </c>
      <c r="B3007" s="1" t="s">
        <v>3000</v>
      </c>
      <c r="C3007" t="str">
        <f>IFERROR(__xludf.DUMMYFUNCTION("GOOGLETRANSLATE(B3007, ""zh"", ""en"")"),"Very good collection of pants for some time, look at the number of pants, bought a number of 38x30 (1,76 m, 85kg, waist 100cm). Wearing just winter wear if not more so. Pants fabric than domestic buy soften. Logistics 10 days, overall very satisfied.")</f>
        <v>Very good collection of pants for some time, look at the number of pants, bought a number of 38x30 (1,76 m, 85kg, waist 100cm). Wearing just winter wear if not more so. Pants fabric than domestic buy soften. Logistics 10 days, overall very satisfied.</v>
      </c>
    </row>
    <row r="3008">
      <c r="A3008" s="1">
        <v>5.0</v>
      </c>
      <c r="B3008" s="1" t="s">
        <v>3001</v>
      </c>
      <c r="C3008" t="str">
        <f>IFERROR(__xludf.DUMMYFUNCTION("GOOGLETRANSLATE(B3008, ""zh"", ""en"")"),"Cheap hard disk storage March 11 Kusakabe single, on March 16 we received. For storing a video file, the transmission speed from 130-200 mb / sec. When a shock is relatively large, the standby time is very quiet. Open read, helium disk, hoping durable.")</f>
        <v>Cheap hard disk storage March 11 Kusakabe single, on March 16 we received. For storing a video file, the transmission speed from 130-200 mb / sec. When a shock is relatively large, the standby time is very quiet. Open read, helium disk, hoping durable.</v>
      </c>
    </row>
    <row r="3009">
      <c r="A3009" s="1">
        <v>5.0</v>
      </c>
      <c r="B3009" s="1" t="s">
        <v>3002</v>
      </c>
      <c r="C3009" t="str">
        <f>IFERROR(__xludf.DUMMYFUNCTION("GOOGLETRANSLATE(B3009, ""zh"", ""en"")"),"Body material generally similar short hand long shoulder belt hidden off heat sportswear material generally")</f>
        <v>Body material generally similar short hand long shoulder belt hidden off heat sportswear material generally</v>
      </c>
    </row>
    <row r="3010">
      <c r="A3010" s="1">
        <v>5.0</v>
      </c>
      <c r="B3010" s="1" t="s">
        <v>3003</v>
      </c>
      <c r="C3010" t="str">
        <f>IFERROR(__xludf.DUMMYFUNCTION("GOOGLETRANSLATE(B3010, ""zh"", ""en"")"),"Oh Oh, a little too big!")</f>
        <v>Oh Oh, a little too big!</v>
      </c>
    </row>
    <row r="3011">
      <c r="A3011" s="1">
        <v>2.0</v>
      </c>
      <c r="B3011" s="1" t="s">
        <v>3004</v>
      </c>
      <c r="C3011" t="str">
        <f>IFERROR(__xludf.DUMMYFUNCTION("GOOGLETRANSLATE(B3011, ""zh"", ""en"")"),"Amazon Amazon is not the self-employed are not self-employed, buy some time to look at! Before did not see, the seller does not give back, do not bother to toss")</f>
        <v>Amazon Amazon is not the self-employed are not self-employed, buy some time to look at! Before did not see, the seller does not give back, do not bother to toss</v>
      </c>
    </row>
    <row r="3012">
      <c r="A3012" s="1">
        <v>3.0</v>
      </c>
      <c r="B3012" s="1" t="s">
        <v>3005</v>
      </c>
      <c r="C3012" t="str">
        <f>IFERROR(__xludf.DUMMYFUNCTION("GOOGLETRANSLATE(B3012, ""zh"", ""en"")"),"Warm small yards, suitable to wear in my yard. 30% off start with, a good deal.")</f>
        <v>Warm small yards, suitable to wear in my yard. 30% off start with, a good deal.</v>
      </c>
    </row>
    <row r="3013">
      <c r="A3013" s="1">
        <v>3.0</v>
      </c>
      <c r="B3013" s="1" t="s">
        <v>3006</v>
      </c>
      <c r="C3013" t="str">
        <f>IFERROR(__xludf.DUMMYFUNCTION("GOOGLETRANSLATE(B3013, ""zh"", ""en"")"),"Slightly rough and domestic code size almost, although it is cotton, but feeling uncomfortable fabrics, elastic parts slightly rough, do not recommend purchase")</f>
        <v>Slightly rough and domestic code size almost, although it is cotton, but feeling uncomfortable fabrics, elastic parts slightly rough, do not recommend purchase</v>
      </c>
    </row>
    <row r="3014">
      <c r="A3014" s="1">
        <v>1.0</v>
      </c>
      <c r="B3014" s="1" t="s">
        <v>3007</v>
      </c>
      <c r="C3014" t="str">
        <f>IFERROR(__xludf.DUMMYFUNCTION("GOOGLETRANSLATE(B3014, ""zh"", ""en"")"),"Feeling damaged before shipment will be ruined, the lid did not fall, but get our hands on the side of the lid has come off the latch. . . Fortunately, with them, have not used other bad comparison, just think of a file will be a little hurt.")</f>
        <v>Feeling damaged before shipment will be ruined, the lid did not fall, but get our hands on the side of the lid has come off the latch. . . Fortunately, with them, have not used other bad comparison, just think of a file will be a little hurt.</v>
      </c>
    </row>
    <row r="3015">
      <c r="A3015" s="1">
        <v>1.0</v>
      </c>
      <c r="B3015" s="1" t="s">
        <v>3008</v>
      </c>
      <c r="C3015" t="str">
        <f>IFERROR(__xludf.DUMMYFUNCTION("GOOGLETRANSLATE(B3015, ""zh"", ""en"")"),"Not satisfied with the number 12 single, this morning arrived, so fast that normal? Makes me very angry is to buy more than a few days on the price, so no one really have any comment? Pen not useful, I do not know really easy to use, anyway, which was irr"&amp;"itating")</f>
        <v>Not satisfied with the number 12 single, this morning arrived, so fast that normal? Makes me very angry is to buy more than a few days on the price, so no one really have any comment? Pen not useful, I do not know really easy to use, anyway, which was irritating</v>
      </c>
    </row>
    <row r="3016">
      <c r="A3016" s="1">
        <v>1.0</v>
      </c>
      <c r="B3016" s="1" t="s">
        <v>3009</v>
      </c>
      <c r="C3016" t="str">
        <f>IFERROR(__xludf.DUMMYFUNCTION("GOOGLETRANSLATE(B3016, ""zh"", ""en"")"),"This version really not babble this version, ugly! Disappointed")</f>
        <v>This version really not babble this version, ugly! Disappointed</v>
      </c>
    </row>
    <row r="3017">
      <c r="A3017" s="1">
        <v>4.0</v>
      </c>
      <c r="B3017" s="1" t="s">
        <v>3010</v>
      </c>
      <c r="C3017" t="str">
        <f>IFERROR(__xludf.DUMMYFUNCTION("GOOGLETRANSLATE(B3017, ""zh"", ""en"")"),"Color pinkish pinkish color, good quality, if cheaper just fine")</f>
        <v>Color pinkish pinkish color, good quality, if cheaper just fine</v>
      </c>
    </row>
    <row r="3018">
      <c r="A3018" s="1">
        <v>4.0</v>
      </c>
      <c r="B3018" s="1" t="s">
        <v>3011</v>
      </c>
      <c r="C3018" t="str">
        <f>IFERROR(__xludf.DUMMYFUNCTION("GOOGLETRANSLATE(B3018, ""zh"", ""en"")"),"Good cup does not smell very cute assure the quality of the insulation effect is general but also to the children with it")</f>
        <v>Good cup does not smell very cute assure the quality of the insulation effect is general but also to the children with it</v>
      </c>
    </row>
    <row r="3019">
      <c r="A3019" s="1">
        <v>4.0</v>
      </c>
      <c r="B3019" s="1" t="s">
        <v>3012</v>
      </c>
      <c r="C3019" t="str">
        <f>IFERROR(__xludf.DUMMYFUNCTION("GOOGLETRANSLATE(B3019, ""zh"", ""en"")"),"It is not easy to follow the trend to buy, not easy to use.")</f>
        <v>It is not easy to follow the trend to buy, not easy to use.</v>
      </c>
    </row>
    <row r="3020">
      <c r="A3020" s="1">
        <v>4.0</v>
      </c>
      <c r="B3020" s="1" t="s">
        <v>3013</v>
      </c>
      <c r="C3020" t="str">
        <f>IFERROR(__xludf.DUMMYFUNCTION("GOOGLETRANSLATE(B3020, ""zh"", ""en"")"),"Suitable shoes prefer")</f>
        <v>Suitable shoes prefer</v>
      </c>
    </row>
    <row r="3021">
      <c r="A3021" s="1">
        <v>4.0</v>
      </c>
      <c r="B3021" s="1" t="s">
        <v>3014</v>
      </c>
      <c r="C3021" t="str">
        <f>IFERROR(__xludf.DUMMYFUNCTION("GOOGLETRANSLATE(B3021, ""zh"", ""en"")"),"Good, worth having. Yes, sports watches, outdoor worth having. Children as a birthday gift to send good. . . .")</f>
        <v>Good, worth having. Yes, sports watches, outdoor worth having. Children as a birthday gift to send good. . . .</v>
      </c>
    </row>
    <row r="3022">
      <c r="A3022" s="1">
        <v>5.0</v>
      </c>
      <c r="B3022" s="1" t="s">
        <v>3015</v>
      </c>
      <c r="C3022" t="str">
        <f>IFERROR(__xludf.DUMMYFUNCTION("GOOGLETRANSLATE(B3022, ""zh"", ""en"")"),"Refer a friend very much. Recommended")</f>
        <v>Refer a friend very much. Recommended</v>
      </c>
    </row>
    <row r="3023">
      <c r="A3023" s="1">
        <v>5.0</v>
      </c>
      <c r="B3023" s="1" t="s">
        <v>3016</v>
      </c>
      <c r="C3023" t="str">
        <f>IFERROR(__xludf.DUMMYFUNCTION("GOOGLETRANSLATE(B3023, ""zh"", ""en"")"),"Good quality and more brilliant color than the picture some very thick, the quality looks good")</f>
        <v>Good quality and more brilliant color than the picture some very thick, the quality looks good</v>
      </c>
    </row>
    <row r="3024">
      <c r="A3024" s="1">
        <v>5.0</v>
      </c>
      <c r="B3024" s="1" t="s">
        <v>2340</v>
      </c>
      <c r="C3024" t="str">
        <f>IFERROR(__xludf.DUMMYFUNCTION("GOOGLETRANSLATE(B3024, ""zh"", ""en"")"),"A nice baby baby good use, is the need for a converter to use with super-easy baby, there is no juice tool, coupled with hopes for even more perfect")</f>
        <v>A nice baby baby good use, is the need for a converter to use with super-easy baby, there is no juice tool, coupled with hopes for even more perfect</v>
      </c>
    </row>
    <row r="3025">
      <c r="A3025" s="1">
        <v>5.0</v>
      </c>
      <c r="B3025" s="1" t="s">
        <v>3017</v>
      </c>
      <c r="C3025" t="str">
        <f>IFERROR(__xludf.DUMMYFUNCTION("GOOGLETRANSLATE(B3025, ""zh"", ""en"")"),"Good good good affordable, very warm")</f>
        <v>Good good good affordable, very warm</v>
      </c>
    </row>
    <row r="3026">
      <c r="A3026" s="1">
        <v>5.0</v>
      </c>
      <c r="B3026" s="1" t="s">
        <v>3018</v>
      </c>
      <c r="C3026" t="str">
        <f>IFERROR(__xludf.DUMMYFUNCTION("GOOGLETRANSLATE(B3026, ""zh"", ""en"")"),"Dark color just received, good quality, wide sidewalks on foot this shoe a little bit thinner")</f>
        <v>Dark color just received, good quality, wide sidewalks on foot this shoe a little bit thinner</v>
      </c>
    </row>
    <row r="3027">
      <c r="A3027" s="1">
        <v>5.0</v>
      </c>
      <c r="B3027" s="1" t="s">
        <v>3019</v>
      </c>
      <c r="C3027" t="str">
        <f>IFERROR(__xludf.DUMMYFUNCTION("GOOGLETRANSLATE(B3027, ""zh"", ""en"")"),"Well, as always, well, the right size, cotton")</f>
        <v>Well, as always, well, the right size, cotton</v>
      </c>
    </row>
    <row r="3028">
      <c r="A3028" s="1">
        <v>5.0</v>
      </c>
      <c r="B3028" s="1" t="s">
        <v>2708</v>
      </c>
      <c r="C3028" t="str">
        <f>IFERROR(__xludf.DUMMYFUNCTION("GOOGLETRANSLATE(B3028, ""zh"", ""en"")"),"I can buy 166cm, weight 104 pounds, wearing s yards just right.")</f>
        <v>I can buy 166cm, weight 104 pounds, wearing s yards just right.</v>
      </c>
    </row>
    <row r="3029">
      <c r="A3029" s="1">
        <v>5.0</v>
      </c>
      <c r="B3029" s="1" t="s">
        <v>3020</v>
      </c>
      <c r="C3029" t="str">
        <f>IFERROR(__xludf.DUMMYFUNCTION("GOOGLETRANSLATE(B3029, ""zh"", ""en"")"),"Work can be cost-effective sweater, thickness moderate, prices are much cheaper than the Lynx")</f>
        <v>Work can be cost-effective sweater, thickness moderate, prices are much cheaper than the Lynx</v>
      </c>
    </row>
    <row r="3030">
      <c r="A3030" s="1">
        <v>5.0</v>
      </c>
      <c r="B3030" s="1" t="s">
        <v>3021</v>
      </c>
      <c r="C3030" t="str">
        <f>IFERROR(__xludf.DUMMYFUNCTION("GOOGLETRANSLATE(B3030, ""zh"", ""en"")"),"Like - well, cheaper than the domestic price ah, but also seem to support the IWS.")</f>
        <v>Like - well, cheaper than the domestic price ah, but also seem to support the IWS.</v>
      </c>
    </row>
    <row r="3031">
      <c r="A3031" s="1">
        <v>5.0</v>
      </c>
      <c r="B3031" s="1" t="s">
        <v>3022</v>
      </c>
      <c r="C3031" t="str">
        <f>IFERROR(__xludf.DUMMYFUNCTION("GOOGLETRANSLATE(B3031, ""zh"", ""en"")"),"Good texture fabric feel good workmanship. It is a little bit big. well")</f>
        <v>Good texture fabric feel good workmanship. It is a little bit big. well</v>
      </c>
    </row>
    <row r="3032">
      <c r="A3032" s="1">
        <v>5.0</v>
      </c>
      <c r="B3032" s="1" t="s">
        <v>3023</v>
      </c>
      <c r="C3032" t="str">
        <f>IFERROR(__xludf.DUMMYFUNCTION("GOOGLETRANSLATE(B3032, ""zh"", ""en"")"),"Good use is not sticky bubble gum flavor, color strip particularly attractive to children, I tried once before to use children as adults, micro taste cool, non-stick bubble delicate mouth, pump-type extrusion molding interesting children like to use it to"&amp;" brush your teeth -")</f>
        <v>Good use is not sticky bubble gum flavor, color strip particularly attractive to children, I tried once before to use children as adults, micro taste cool, non-stick bubble delicate mouth, pump-type extrusion molding interesting children like to use it to brush your teeth -</v>
      </c>
    </row>
    <row r="3033">
      <c r="A3033" s="1">
        <v>5.0</v>
      </c>
      <c r="B3033" s="1" t="s">
        <v>3024</v>
      </c>
      <c r="C3033" t="str">
        <f>IFERROR(__xludf.DUMMYFUNCTION("GOOGLETRANSLATE(B3033, ""zh"", ""en"")"),"Tight Bust 104, weight 76, around 38.5 does not exercise the arm, L No. upper body a little tight, maybe a bigger upper body is more relaxed. More delicate material, very comfortable wearing stickers, color positive, and the same picture shows (with the m"&amp;"oney to buy two, 1 blue 1 gray clothes in this paragraph did not take pictures, upload the picture is gray models, texture and size version exactly the same)")</f>
        <v>Tight Bust 104, weight 76, around 38.5 does not exercise the arm, L No. upper body a little tight, maybe a bigger upper body is more relaxed. More delicate material, very comfortable wearing stickers, color positive, and the same picture shows (with the money to buy two, 1 blue 1 gray clothes in this paragraph did not take pictures, upload the picture is gray models, texture and size version exactly the same)</v>
      </c>
    </row>
    <row r="3034">
      <c r="A3034" s="1">
        <v>5.0</v>
      </c>
      <c r="B3034" s="1" t="s">
        <v>3025</v>
      </c>
      <c r="C3034" t="str">
        <f>IFERROR(__xludf.DUMMYFUNCTION("GOOGLETRANSLATE(B3034, ""zh"", ""en"")"),"It looks good looks good, cold day, wearing")</f>
        <v>It looks good looks good, cold day, wearing</v>
      </c>
    </row>
    <row r="3035">
      <c r="A3035" s="1">
        <v>5.0</v>
      </c>
      <c r="B3035" s="1" t="s">
        <v>3026</v>
      </c>
      <c r="C3035" t="str">
        <f>IFERROR(__xludf.DUMMYFUNCTION("GOOGLETRANSLATE(B3035, ""zh"", ""en"")"),"DW5600E-1V previously used the Shuangshi automatic watch, but not waterproof shockproof, so they want to change a waterproof shockproof. In a package, a cat, an East looked for a long time, also in Central Asia for a long time, think it CASIO G-table only"&amp;" for me, but the price is high. This model has been added to the cart did not order. On the 20th of November AIU few or more than three, they are ready to give up, did not think to a big pro, just over one hundred and eighty, quickly orders. From a single"&amp;" number Nov. 27, at noon today to hand, a full two weeks! At noon today, the Central Asian courier phoned me and said goods to (the day before yesterday received the goods when another said to him, thanks to the local Central Asian deliveryman Wangxiang B"&amp;"ing Again, this is a very responsible person, he had several contacts with years). The watch with almost expected, is more rigid strap point. 3229, domestic, Malaysia printed specification no Chinese, generally there is no strap tag. Simple setup operatio"&amp;"n, according to more than two out on Baidu library on the familiar. Simple, elegant, durable and should be reflected in the core, it is a classic. Related evaluation, the Internet can find a lot, there is no need to do a repeat.")</f>
        <v>DW5600E-1V previously used the Shuangshi automatic watch, but not waterproof shockproof, so they want to change a waterproof shockproof. In a package, a cat, an East looked for a long time, also in Central Asia for a long time, think it CASIO G-table only for me, but the price is high. This model has been added to the cart did not order. On the 20th of November AIU few or more than three, they are ready to give up, did not think to a big pro, just over one hundred and eighty, quickly orders. From a single number Nov. 27, at noon today to hand, a full two weeks! At noon today, the Central Asian courier phoned me and said goods to (the day before yesterday received the goods when another said to him, thanks to the local Central Asian deliveryman Wangxiang Bing Again, this is a very responsible person, he had several contacts with years). The watch with almost expected, is more rigid strap point. 3229, domestic, Malaysia printed specification no Chinese, generally there is no strap tag. Simple setup operation, according to more than two out on Baidu library on the familiar. Simple, elegant, durable and should be reflected in the core, it is a classic. Related evaluation, the Internet can find a lot, there is no need to do a repeat.</v>
      </c>
    </row>
    <row r="3036">
      <c r="A3036" s="1">
        <v>5.0</v>
      </c>
      <c r="B3036" s="1" t="s">
        <v>3027</v>
      </c>
      <c r="C3036" t="str">
        <f>IFERROR(__xludf.DUMMYFUNCTION("GOOGLETRANSLATE(B3036, ""zh"", ""en"")"),"Very easy to use, children like to bite, biting several, and there with straw, very good, so do not buy a cup.")</f>
        <v>Very easy to use, children like to bite, biting several, and there with straw, very good, so do not buy a cup.</v>
      </c>
    </row>
    <row r="3037">
      <c r="A3037" s="1">
        <v>5.0</v>
      </c>
      <c r="B3037" s="1" t="s">
        <v>3028</v>
      </c>
      <c r="C3037" t="str">
        <f>IFERROR(__xludf.DUMMYFUNCTION("GOOGLETRANSLATE(B3037, ""zh"", ""en"")"),"Very good value three shoes, in line with expectations. Usually such anti-Kee Di wear shoes 41, which store Clarks specifically to double again found to be more appropriate to 40 yards, and domestic really sent over the same size, cheap price can be close"&amp;" to half, of considerable value. This disadvantage is the shoe sole is relatively hard, ground gas to walk too, is not suitable for long distances when wearing.")</f>
        <v>Very good value three shoes, in line with expectations. Usually such anti-Kee Di wear shoes 41, which store Clarks specifically to double again found to be more appropriate to 40 yards, and domestic really sent over the same size, cheap price can be close to half, of considerable value. This disadvantage is the shoe sole is relatively hard, ground gas to walk too, is not suitable for long distances when wearing.</v>
      </c>
    </row>
    <row r="3038">
      <c r="A3038" s="1">
        <v>5.0</v>
      </c>
      <c r="B3038" s="1" t="s">
        <v>3029</v>
      </c>
      <c r="C3038" t="str">
        <f>IFERROR(__xludf.DUMMYFUNCTION("GOOGLETRANSLATE(B3038, ""zh"", ""en"")"),"This cost-effective price, quality very good. Mailed soon. Off water can also, very good")</f>
        <v>This cost-effective price, quality very good. Mailed soon. Off water can also, very good</v>
      </c>
    </row>
    <row r="3039">
      <c r="A3039" s="1">
        <v>5.0</v>
      </c>
      <c r="B3039" s="1" t="s">
        <v>3030</v>
      </c>
      <c r="C3039" t="str">
        <f>IFERROR(__xludf.DUMMYFUNCTION("GOOGLETRANSLATE(B3039, ""zh"", ""en"")"),"Something good ~ Asian 180.75KG M number just fine")</f>
        <v>Something good ~ Asian 180.75KG M number just fine</v>
      </c>
    </row>
    <row r="3040">
      <c r="A3040" s="1">
        <v>5.0</v>
      </c>
      <c r="B3040" s="1" t="s">
        <v>3031</v>
      </c>
      <c r="C3040" t="str">
        <f>IFERROR(__xludf.DUMMYFUNCTION("GOOGLETRANSLATE(B3040, ""zh"", ""en"")"),"No longer have to worry about the hard drive is not enough hard drive never have to worry not enough")</f>
        <v>No longer have to worry about the hard drive is not enough hard drive never have to worry not enough</v>
      </c>
    </row>
    <row r="3041">
      <c r="A3041" s="1">
        <v>5.0</v>
      </c>
      <c r="B3041" s="1" t="s">
        <v>3032</v>
      </c>
      <c r="C3041" t="str">
        <f>IFERROR(__xludf.DUMMYFUNCTION("GOOGLETRANSLATE(B3041, ""zh"", ""en"")"),"The only drawback too much space to good use, but it is cumbersome to use its own power supply. Ruoguo can comes with WIFI wireless transmission of data is perfect.")</f>
        <v>The only drawback too much space to good use, but it is cumbersome to use its own power supply. Ruoguo can comes with WIFI wireless transmission of data is perfect.</v>
      </c>
    </row>
    <row r="3042">
      <c r="A3042" s="1">
        <v>5.0</v>
      </c>
      <c r="B3042" s="1" t="s">
        <v>3033</v>
      </c>
      <c r="C3042" t="str">
        <f>IFERROR(__xludf.DUMMYFUNCTION("GOOGLETRANSLATE(B3042, ""zh"", ""en"")"),"Yes inevitably freight, a little loss")</f>
        <v>Yes inevitably freight, a little loss</v>
      </c>
    </row>
    <row r="3043">
      <c r="A3043" s="1">
        <v>5.0</v>
      </c>
      <c r="B3043" s="1" t="s">
        <v>3034</v>
      </c>
      <c r="C3043" t="str">
        <f>IFERROR(__xludf.DUMMYFUNCTION("GOOGLETRANSLATE(B3043, ""zh"", ""en"")"),"Recommended to buy very comfortable to wear, do not wear the same feeling, soft! The only downside is that the rear end of sewing is not very sophisticated, Egypt production")</f>
        <v>Recommended to buy very comfortable to wear, do not wear the same feeling, soft! The only downside is that the rear end of sewing is not very sophisticated, Egypt production</v>
      </c>
    </row>
    <row r="3044">
      <c r="A3044" s="1">
        <v>2.0</v>
      </c>
      <c r="B3044" s="1" t="s">
        <v>3035</v>
      </c>
      <c r="C3044" t="str">
        <f>IFERROR(__xludf.DUMMYFUNCTION("GOOGLETRANSLATE(B3044, ""zh"", ""en"")"),"Why fade serious disappointment is bought expensive clothes fade? And hanging up towels also stained 😠 really fade very serious!")</f>
        <v>Why fade serious disappointment is bought expensive clothes fade? And hanging up towels also stained 😠 really fade very serious!</v>
      </c>
    </row>
    <row r="3045">
      <c r="A3045" s="1">
        <v>3.0</v>
      </c>
      <c r="B3045" s="1" t="s">
        <v>3036</v>
      </c>
      <c r="C3045" t="str">
        <f>IFERROR(__xludf.DUMMYFUNCTION("GOOGLETRANSLATE(B3045, ""zh"", ""en"")"),"Do not buy do not buy a good home, a sense of too much vibration")</f>
        <v>Do not buy do not buy a good home, a sense of too much vibration</v>
      </c>
    </row>
    <row r="3046">
      <c r="A3046" s="1">
        <v>3.0</v>
      </c>
      <c r="B3046" s="1" t="s">
        <v>3037</v>
      </c>
      <c r="C3046" t="str">
        <f>IFERROR(__xludf.DUMMYFUNCTION("GOOGLETRANSLATE(B3046, ""zh"", ""en"")"),"Poor fade lint, Biandema Mom")</f>
        <v>Poor fade lint, Biandema Mom</v>
      </c>
    </row>
    <row r="3047">
      <c r="A3047" s="1">
        <v>3.0</v>
      </c>
      <c r="B3047" s="1" t="s">
        <v>3038</v>
      </c>
      <c r="C3047" t="str">
        <f>IFERROR(__xludf.DUMMYFUNCTION("GOOGLETRANSLATE(B3047, ""zh"", ""en"")"),"Yan than practical value because a shoe store tried before, so shoes are still appropriate. The advantage is the appearance of good-looking, very literary, very soft leather, the shoe is very light; shortcomings are obvious, Great Northern dust, dirt very"&amp;" white, and that the cortex stained with dirt difficult to clean. The sole is thin, relatively hard, walking very uncomfortable, must matched with a relatively soft insole. Permeability is very good, not very hot day wearing a sweat, in short, can experie"&amp;"nce three shoes, you should not buy. Look at this structure, it is estimated not to wear long to scrap it.")</f>
        <v>Yan than practical value because a shoe store tried before, so shoes are still appropriate. The advantage is the appearance of good-looking, very literary, very soft leather, the shoe is very light; shortcomings are obvious, Great Northern dust, dirt very white, and that the cortex stained with dirt difficult to clean. The sole is thin, relatively hard, walking very uncomfortable, must matched with a relatively soft insole. Permeability is very good, not very hot day wearing a sweat, in short, can experience three shoes, you should not buy. Look at this structure, it is estimated not to wear long to scrap it.</v>
      </c>
    </row>
    <row r="3048">
      <c r="A3048" s="1">
        <v>1.0</v>
      </c>
      <c r="B3048" s="1" t="s">
        <v>3039</v>
      </c>
      <c r="C3048" t="str">
        <f>IFERROR(__xludf.DUMMYFUNCTION("GOOGLETRANSLATE(B3048, ""zh"", ""en"")"),"Poor, poor. Poor, poor. Poor, poor. Poor, poor. Poor, poor. Poor, poor. Poor, poor.")</f>
        <v>Poor, poor. Poor, poor. Poor, poor. Poor, poor. Poor, poor. Poor, poor. Poor, poor.</v>
      </c>
    </row>
    <row r="3049">
      <c r="A3049" s="1">
        <v>1.0</v>
      </c>
      <c r="B3049" s="1" t="s">
        <v>3040</v>
      </c>
      <c r="C3049" t="str">
        <f>IFERROR(__xludf.DUMMYFUNCTION("GOOGLETRANSLATE(B3049, ""zh"", ""en"")"),"Suspected to be fake second-hand goods are ykk zipper, and brass buttons also rust, as well as disinfectant taste, no x-ray on the logo. Fake, second-hand. Pay me.")</f>
        <v>Suspected to be fake second-hand goods are ykk zipper, and brass buttons also rust, as well as disinfectant taste, no x-ray on the logo. Fake, second-hand. Pay me.</v>
      </c>
    </row>
    <row r="3050">
      <c r="A3050" s="1">
        <v>1.0</v>
      </c>
      <c r="B3050" s="1" t="s">
        <v>3041</v>
      </c>
      <c r="C3050" t="str">
        <f>IFERROR(__xludf.DUMMYFUNCTION("GOOGLETRANSLATE(B3050, ""zh"", ""en"")"),"Packaging blanket big hole, but fortunately the pen is still negative feedback to the packaging, a thin blanket most of the mouth of the box, to be scary ah! Shoes are deformed zygote, zygote pen and stick together, but fortunately Modiu!")</f>
        <v>Packaging blanket big hole, but fortunately the pen is still negative feedback to the packaging, a thin blanket most of the mouth of the box, to be scary ah! Shoes are deformed zygote, zygote pen and stick together, but fortunately Modiu!</v>
      </c>
    </row>
    <row r="3051">
      <c r="A3051" s="1">
        <v>4.0</v>
      </c>
      <c r="B3051" s="1" t="s">
        <v>3042</v>
      </c>
      <c r="C3051" t="str">
        <f>IFERROR(__xludf.DUMMYFUNCTION("GOOGLETRANSLATE(B3051, ""zh"", ""en"")"),"Note the size of 172cm / 70kg, buy m, to wear a lot of big, long length sleeves. And Amazon UK only retreat does not change, and have to go to their own post office returned the Amazon.")</f>
        <v>Note the size of 172cm / 70kg, buy m, to wear a lot of big, long length sleeves. And Amazon UK only retreat does not change, and have to go to their own post office returned the Amazon.</v>
      </c>
    </row>
    <row r="3052">
      <c r="A3052" s="1">
        <v>4.0</v>
      </c>
      <c r="B3052" s="1" t="s">
        <v>3043</v>
      </c>
      <c r="C3052" t="str">
        <f>IFERROR(__xludf.DUMMYFUNCTION("GOOGLETRANSLATE(B3052, ""zh"", ""en"")"),"kvl8320s product fast delivery, but the opening of the box, the machine is new!")</f>
        <v>kvl8320s product fast delivery, but the opening of the box, the machine is new!</v>
      </c>
    </row>
    <row r="3053">
      <c r="A3053" s="1">
        <v>4.0</v>
      </c>
      <c r="B3053" s="1" t="s">
        <v>3044</v>
      </c>
      <c r="C3053" t="str">
        <f>IFERROR(__xludf.DUMMYFUNCTION("GOOGLETRANSLATE(B3053, ""zh"", ""en"")"),"Slightly larger, good quality and can be used as a cheap version of the Red Wings. I wear Asics, New Balance us8 No. 42, this time to buy a large number us8 somewhat, that does not affect. You can wear thick socks or cushion insole. Good quality, thick an"&amp;"d strong. Rough mad, Emotion")</f>
        <v>Slightly larger, good quality and can be used as a cheap version of the Red Wings. I wear Asics, New Balance us8 No. 42, this time to buy a large number us8 somewhat, that does not affect. You can wear thick socks or cushion insole. Good quality, thick and strong. Rough mad, Emotion</v>
      </c>
    </row>
    <row r="3054">
      <c r="A3054" s="1">
        <v>4.0</v>
      </c>
      <c r="B3054" s="1" t="s">
        <v>3045</v>
      </c>
      <c r="C3054" t="str">
        <f>IFERROR(__xludf.DUMMYFUNCTION("GOOGLETRANSLATE(B3054, ""zh"", ""en"")"),"182/70 kg too much, too much wear L, M almost, foreigner's size is large")</f>
        <v>182/70 kg too much, too much wear L, M almost, foreigner's size is large</v>
      </c>
    </row>
    <row r="3055">
      <c r="A3055" s="1">
        <v>4.0</v>
      </c>
      <c r="B3055" s="1" t="s">
        <v>3046</v>
      </c>
      <c r="C3055" t="str">
        <f>IFERROR(__xludf.DUMMYFUNCTION("GOOGLETRANSLATE(B3055, ""zh"", ""en"")"),"Dress shirt price is good, hem long, can only tie to wear pants")</f>
        <v>Dress shirt price is good, hem long, can only tie to wear pants</v>
      </c>
    </row>
    <row r="3056">
      <c r="A3056" s="1">
        <v>5.0</v>
      </c>
      <c r="B3056" s="1" t="s">
        <v>3047</v>
      </c>
      <c r="C3056" t="str">
        <f>IFERROR(__xludf.DUMMYFUNCTION("GOOGLETRANSLATE(B3056, ""zh"", ""en"")"),"Buy small overestimate yourself - try a little bit country 36 5.5 general election, but smaller. You should buy 6 / 6.5 or higher. The usual 36.5 feet - to be a reference")</f>
        <v>Buy small overestimate yourself - try a little bit country 36 5.5 general election, but smaller. You should buy 6 / 6.5 or higher. The usual 36.5 feet - to be a reference</v>
      </c>
    </row>
    <row r="3057">
      <c r="A3057" s="1">
        <v>5.0</v>
      </c>
      <c r="B3057" s="1" t="s">
        <v>3048</v>
      </c>
      <c r="C3057" t="str">
        <f>IFERROR(__xludf.DUMMYFUNCTION("GOOGLETRANSLATE(B3057, ""zh"", ""en"")"),"How 170,64kg, M just, very satisfied")</f>
        <v>How 170,64kg, M just, very satisfied</v>
      </c>
    </row>
    <row r="3058">
      <c r="A3058" s="1">
        <v>5.0</v>
      </c>
      <c r="B3058" s="1" t="s">
        <v>3049</v>
      </c>
      <c r="C3058" t="str">
        <f>IFERROR(__xludf.DUMMYFUNCTION("GOOGLETRANSLATE(B3058, ""zh"", ""en"")"),"Pick up a bottle with a bottle of this child, this is not bad!")</f>
        <v>Pick up a bottle with a bottle of this child, this is not bad!</v>
      </c>
    </row>
    <row r="3059">
      <c r="A3059" s="1">
        <v>5.0</v>
      </c>
      <c r="B3059" s="1" t="s">
        <v>3050</v>
      </c>
      <c r="C3059" t="str">
        <f>IFERROR(__xludf.DUMMYFUNCTION("GOOGLETRANSLATE(B3059, ""zh"", ""en"")"),"Nice experience, very good! Really surprising excellent experience, only music around you while background noise are cancelled.")</f>
        <v>Nice experience, very good! Really surprising excellent experience, only music around you while background noise are cancelled.</v>
      </c>
    </row>
    <row r="3060">
      <c r="A3060" s="1">
        <v>5.0</v>
      </c>
      <c r="B3060" s="1" t="s">
        <v>3051</v>
      </c>
      <c r="C3060" t="str">
        <f>IFERROR(__xludf.DUMMYFUNCTION("GOOGLETRANSLATE(B3060, ""zh"", ""en"")"),"Calvin Klein Men's Regular Fit Non Iron color, style and quality are good, worthy of CK brand.")</f>
        <v>Calvin Klein Men's Regular Fit Non Iron color, style and quality are good, worthy of CK brand.</v>
      </c>
    </row>
    <row r="3061">
      <c r="A3061" s="1">
        <v>5.0</v>
      </c>
      <c r="B3061" s="1" t="s">
        <v>3052</v>
      </c>
      <c r="C3061" t="str">
        <f>IFERROR(__xludf.DUMMYFUNCTION("GOOGLETRANSLATE(B3061, ""zh"", ""en"")"),"Insulation effect. Insulation effect, 24 hours after the water is generally still a little hot.")</f>
        <v>Insulation effect. Insulation effect, 24 hours after the water is generally still a little hot.</v>
      </c>
    </row>
    <row r="3062">
      <c r="A3062" s="1">
        <v>5.0</v>
      </c>
      <c r="B3062" s="1" t="s">
        <v>3053</v>
      </c>
      <c r="C3062" t="str">
        <f>IFERROR(__xludf.DUMMYFUNCTION("GOOGLETRANSLATE(B3062, ""zh"", ""en"")"),"I packed always liked to buy things on Amazon, very tricky. Packaging particularly good, not to use it, should be good!")</f>
        <v>I packed always liked to buy things on Amazon, very tricky. Packaging particularly good, not to use it, should be good!</v>
      </c>
    </row>
    <row r="3063">
      <c r="A3063" s="1">
        <v>5.0</v>
      </c>
      <c r="B3063" s="1" t="s">
        <v>3054</v>
      </c>
      <c r="C3063" t="str">
        <f>IFERROR(__xludf.DUMMYFUNCTION("GOOGLETRANSLATE(B3063, ""zh"", ""en"")"),"Choice of soft soles, usually wear very suitable for walking")</f>
        <v>Choice of soft soles, usually wear very suitable for walking</v>
      </c>
    </row>
    <row r="3064">
      <c r="A3064" s="1">
        <v>5.0</v>
      </c>
      <c r="B3064" s="1" t="s">
        <v>3055</v>
      </c>
      <c r="C3064" t="str">
        <f>IFERROR(__xludf.DUMMYFUNCTION("GOOGLETRANSLATE(B3064, ""zh"", ""en"")"),"This wave can logistics speed very quickly, watch feel good, that is a bit hard strap")</f>
        <v>This wave can logistics speed very quickly, watch feel good, that is a bit hard strap</v>
      </c>
    </row>
    <row r="3065">
      <c r="A3065" s="1">
        <v>5.0</v>
      </c>
      <c r="B3065" s="1" t="s">
        <v>3056</v>
      </c>
      <c r="C3065" t="str">
        <f>IFERROR(__xludf.DUMMYFUNCTION("GOOGLETRANSLATE(B3065, ""zh"", ""en"")"),"Fit is very comfortable fit for everyday wear this number is exactly 627 may be selected if it matters No. 4")</f>
        <v>Fit is very comfortable fit for everyday wear this number is exactly 627 may be selected if it matters No. 4</v>
      </c>
    </row>
    <row r="3066">
      <c r="A3066" s="1">
        <v>5.0</v>
      </c>
      <c r="B3066" s="1" t="s">
        <v>3057</v>
      </c>
      <c r="C3066" t="str">
        <f>IFERROR(__xludf.DUMMYFUNCTION("GOOGLETRANSLATE(B3066, ""zh"", ""en"")"),"Something good packaging intact! Things do not have any damage, perfect! Accurate travel time! Delivery time is long, November 6 Kusakabe single, only to receive a No. 19 November.")</f>
        <v>Something good packaging intact! Things do not have any damage, perfect! Accurate travel time! Delivery time is long, November 6 Kusakabe single, only to receive a No. 19 November.</v>
      </c>
    </row>
    <row r="3067">
      <c r="A3067" s="1">
        <v>5.0</v>
      </c>
      <c r="B3067" s="1" t="s">
        <v>3058</v>
      </c>
      <c r="C3067" t="str">
        <f>IFERROR(__xludf.DUMMYFUNCTION("GOOGLETRANSLATE(B3067, ""zh"", ""en"")"),"Good size slightly larger, relatively high cost.")</f>
        <v>Good size slightly larger, relatively high cost.</v>
      </c>
    </row>
    <row r="3068">
      <c r="A3068" s="1">
        <v>5.0</v>
      </c>
      <c r="B3068" s="1" t="s">
        <v>3059</v>
      </c>
      <c r="C3068" t="str">
        <f>IFERROR(__xludf.DUMMYFUNCTION("GOOGLETRANSLATE(B3068, ""zh"", ""en"")"),"Very comfortable and fashionable chic, sophisticated materials, very comfortable to wear")</f>
        <v>Very comfortable and fashionable chic, sophisticated materials, very comfortable to wear</v>
      </c>
    </row>
    <row r="3069">
      <c r="A3069" s="1">
        <v>5.0</v>
      </c>
      <c r="B3069" s="1" t="s">
        <v>1514</v>
      </c>
      <c r="C3069" t="str">
        <f>IFERROR(__xludf.DUMMYFUNCTION("GOOGLETRANSLATE(B3069, ""zh"", ""en"")"),"Good Good")</f>
        <v>Good Good</v>
      </c>
    </row>
    <row r="3070">
      <c r="A3070" s="1">
        <v>5.0</v>
      </c>
      <c r="B3070" s="1" t="s">
        <v>3060</v>
      </c>
      <c r="C3070" t="str">
        <f>IFERROR(__xludf.DUMMYFUNCTION("GOOGLETRANSLATE(B3070, ""zh"", ""en"")"),"Very satisfied with customer service, good attitude, positive solution to the problem, headphone received, the general feeling, it seems I was the wood ear")</f>
        <v>Very satisfied with customer service, good attitude, positive solution to the problem, headphone received, the general feeling, it seems I was the wood ear</v>
      </c>
    </row>
    <row r="3071">
      <c r="A3071" s="1">
        <v>5.0</v>
      </c>
      <c r="B3071" s="1" t="s">
        <v>3061</v>
      </c>
      <c r="C3071" t="str">
        <f>IFERROR(__xludf.DUMMYFUNCTION("GOOGLETRANSLATE(B3071, ""zh"", ""en"")"),"Good pen, f sharp extremely smooth great texture, great weight, is the packaging simple point, but nothing, good pen is a pen,")</f>
        <v>Good pen, f sharp extremely smooth great texture, great weight, is the packaging simple point, but nothing, good pen is a pen,</v>
      </c>
    </row>
    <row r="3072">
      <c r="A3072" s="1">
        <v>5.0</v>
      </c>
      <c r="B3072" s="1" t="s">
        <v>3062</v>
      </c>
      <c r="C3072" t="str">
        <f>IFERROR(__xludf.DUMMYFUNCTION("GOOGLETRANSLATE(B3072, ""zh"", ""en"")"),"Good things will come back to buy some good quality size is just right")</f>
        <v>Good things will come back to buy some good quality size is just right</v>
      </c>
    </row>
    <row r="3073">
      <c r="A3073" s="1">
        <v>5.0</v>
      </c>
      <c r="B3073" s="1" t="s">
        <v>3063</v>
      </c>
      <c r="C3073" t="str">
        <f>IFERROR(__xludf.DUMMYFUNCTION("GOOGLETRANSLATE(B3073, ""zh"", ""en"")"),"Equipment not yet begun with a straw, can not be installed straw, can only drink straight")</f>
        <v>Equipment not yet begun with a straw, can not be installed straw, can only drink straight</v>
      </c>
    </row>
    <row r="3074">
      <c r="A3074" s="1">
        <v>5.0</v>
      </c>
      <c r="B3074" s="1" t="s">
        <v>3064</v>
      </c>
      <c r="C3074" t="str">
        <f>IFERROR(__xludf.DUMMYFUNCTION("GOOGLETRANSLATE(B3074, ""zh"", ""en"")"),"Ah style looks good, it is a little big")</f>
        <v>Ah style looks good, it is a little big</v>
      </c>
    </row>
    <row r="3075">
      <c r="A3075" s="1">
        <v>5.0</v>
      </c>
      <c r="B3075" s="1" t="s">
        <v>3065</v>
      </c>
      <c r="C3075" t="str">
        <f>IFERROR(__xludf.DUMMYFUNCTION("GOOGLETRANSLATE(B3075, ""zh"", ""en"")"),"Praise good, really like Zai Zai, good workmanship")</f>
        <v>Praise good, really like Zai Zai, good workmanship</v>
      </c>
    </row>
    <row r="3076">
      <c r="A3076" s="1">
        <v>5.0</v>
      </c>
      <c r="B3076" s="1" t="s">
        <v>3066</v>
      </c>
      <c r="C3076" t="str">
        <f>IFERROR(__xludf.DUMMYFUNCTION("GOOGLETRANSLATE(B3076, ""zh"", ""en"")"),"Massive color of lead ah well, fine!")</f>
        <v>Massive color of lead ah well, fine!</v>
      </c>
    </row>
    <row r="3077">
      <c r="A3077" s="1">
        <v>5.0</v>
      </c>
      <c r="B3077" s="1" t="s">
        <v>3067</v>
      </c>
      <c r="C3077" t="str">
        <f>IFERROR(__xludf.DUMMYFUNCTION("GOOGLETRANSLATE(B3077, ""zh"", ""en"")"),"Value for money! I read a lot of comments on this type of monitor speakers, finally decided to order, because the price is too tempting. Shipping soon, the next day they received, in fact, no more than 24 hours. No packaging, no damage to the original pac"&amp;"kaging, also posted a seal. Speakers examined the moment, there is no trace of damage, medium size, of a dozen square meters of space is appropriate. Then try each connection port and sound quality, the interface is simple, just enough. After a little tur"&amp;"ned slightly mute the noise, close to the ear will hear, perfectly acceptable. It should be said that value for money, especially when playing lossless music formats, the effect is very good, more than expected, the price of this speaker, there is such a "&amp;"good sound performance, really very satisfied. Speakers praise for this point 👍")</f>
        <v>Value for money! I read a lot of comments on this type of monitor speakers, finally decided to order, because the price is too tempting. Shipping soon, the next day they received, in fact, no more than 24 hours. No packaging, no damage to the original packaging, also posted a seal. Speakers examined the moment, there is no trace of damage, medium size, of a dozen square meters of space is appropriate. Then try each connection port and sound quality, the interface is simple, just enough. After a little turned slightly mute the noise, close to the ear will hear, perfectly acceptable. It should be said that value for money, especially when playing lossless music formats, the effect is very good, more than expected, the price of this speaker, there is such a good sound performance, really very satisfied. Speakers praise for this point 👍</v>
      </c>
    </row>
    <row r="3078">
      <c r="A3078" s="1">
        <v>2.0</v>
      </c>
      <c r="B3078" s="1" t="s">
        <v>3068</v>
      </c>
      <c r="C3078" t="str">
        <f>IFERROR(__xludf.DUMMYFUNCTION("GOOGLETRANSLATE(B3078, ""zh"", ""en"")"),"Hair loss is very serious for many years I have never worn fade (out of black hair) such a serious black panties. Manual smile. A toilet, can not bear to look directly at the hair loss.")</f>
        <v>Hair loss is very serious for many years I have never worn fade (out of black hair) such a serious black panties. Manual smile. A toilet, can not bear to look directly at the hair loss.</v>
      </c>
    </row>
    <row r="3079">
      <c r="A3079" s="1">
        <v>3.0</v>
      </c>
      <c r="B3079" s="1" t="s">
        <v>3069</v>
      </c>
      <c r="C3079" t="str">
        <f>IFERROR(__xludf.DUMMYFUNCTION("GOOGLETRANSLATE(B3079, ""zh"", ""en"")"),"General-colored like generally like it, feel good material feels thin")</f>
        <v>General-colored like generally like it, feel good material feels thin</v>
      </c>
    </row>
    <row r="3080">
      <c r="A3080" s="1">
        <v>3.0</v>
      </c>
      <c r="B3080" s="1" t="s">
        <v>3070</v>
      </c>
      <c r="C3080" t="str">
        <f>IFERROR(__xludf.DUMMYFUNCTION("GOOGLETRANSLATE(B3080, ""zh"", ""en"")"),"Suggest that you buy the Japanese version, the US version is very general at this price this quality might as well buy domestic products, great ass aliens should not it? Height 175 Weight 58Kg buy S code feel tight hem, neck and shoulder but where exactly"&amp;", but rather long clothes, feeling very strange version. At the same time purchased a Japanese version is three times the price of many, but the quality is much better, according to the domestic Japanese version of normal size to buy, no longer afraid to "&amp;"buy the US version of a very general")</f>
        <v>Suggest that you buy the Japanese version, the US version is very general at this price this quality might as well buy domestic products, great ass aliens should not it? Height 175 Weight 58Kg buy S code feel tight hem, neck and shoulder but where exactly, but rather long clothes, feeling very strange version. At the same time purchased a Japanese version is three times the price of many, but the quality is much better, according to the domestic Japanese version of normal size to buy, no longer afraid to buy the US version of a very general</v>
      </c>
    </row>
    <row r="3081">
      <c r="A3081" s="1">
        <v>3.0</v>
      </c>
      <c r="B3081" s="1" t="s">
        <v>3071</v>
      </c>
      <c r="C3081" t="str">
        <f>IFERROR(__xludf.DUMMYFUNCTION("GOOGLETRANSLATE(B3081, ""zh"", ""en"")"),"Not worth the price compare with domestic stores there are still differences, clothes twice deformation")</f>
        <v>Not worth the price compare with domestic stores there are still differences, clothes twice deformation</v>
      </c>
    </row>
    <row r="3082">
      <c r="A3082" s="1">
        <v>1.0</v>
      </c>
      <c r="B3082" s="1" t="s">
        <v>3072</v>
      </c>
      <c r="C3082" t="str">
        <f>IFERROR(__xludf.DUMMYFUNCTION("GOOGLETRANSLATE(B3082, ""zh"", ""en"")"),"Do not fly the logistics shipped over the packaging has been opened, you can easily come up with, two bottles of package bags have been torn, is not to transfer package is not known, not very reliable.")</f>
        <v>Do not fly the logistics shipped over the packaging has been opened, you can easily come up with, two bottles of package bags have been torn, is not to transfer package is not known, not very reliable.</v>
      </c>
    </row>
    <row r="3083">
      <c r="A3083" s="1">
        <v>1.0</v>
      </c>
      <c r="B3083" s="1" t="s">
        <v>3073</v>
      </c>
      <c r="C3083" t="str">
        <f>IFERROR(__xludf.DUMMYFUNCTION("GOOGLETRANSLATE(B3083, ""zh"", ""en"")"),"Light clothes, integrity is more important! Always liked this brand of clothes, this dress style and color are good, but the size of the discrepancy in size and clothes, the most important is the receipt of the clothes still do not dare to wear, strong ch"&amp;"emical smell is very pungent, washed still does. Disappointing shopping experience hard to describe. Would like to see this comment supplier recall examination and treatment odor on clothes sold, such as the presence of hazardous substances will also allo"&amp;"w loyal customers from being hurt.")</f>
        <v>Light clothes, integrity is more important! Always liked this brand of clothes, this dress style and color are good, but the size of the discrepancy in size and clothes, the most important is the receipt of the clothes still do not dare to wear, strong chemical smell is very pungent, washed still does. Disappointing shopping experience hard to describe. Would like to see this comment supplier recall examination and treatment odor on clothes sold, such as the presence of hazardous substances will also allow loyal customers from being hurt.</v>
      </c>
    </row>
    <row r="3084">
      <c r="A3084" s="1">
        <v>4.0</v>
      </c>
      <c r="B3084" s="1" t="s">
        <v>3074</v>
      </c>
      <c r="C3084" t="str">
        <f>IFERROR(__xludf.DUMMYFUNCTION("GOOGLETRANSLATE(B3084, ""zh"", ""en"")"),"It looks genuine fake")</f>
        <v>It looks genuine fake</v>
      </c>
    </row>
    <row r="3085">
      <c r="A3085" s="1">
        <v>4.0</v>
      </c>
      <c r="B3085" s="1" t="s">
        <v>3075</v>
      </c>
      <c r="C3085" t="str">
        <f>IFERROR(__xludf.DUMMYFUNCTION("GOOGLETRANSLATE(B3085, ""zh"", ""en"")"),". A little big, it will be a bad")</f>
        <v>. A little big, it will be a bad</v>
      </c>
    </row>
    <row r="3086">
      <c r="A3086" s="1">
        <v>4.0</v>
      </c>
      <c r="B3086" s="1" t="s">
        <v>3076</v>
      </c>
      <c r="C3086" t="str">
        <f>IFERROR(__xludf.DUMMYFUNCTION("GOOGLETRANSLATE(B3086, ""zh"", ""en"")"),"A good pair of shoes, all are rather satisfied, very comfortable to wear a little big, but work a little rough spot, outside PRO standard slightly crooked, but overall good, the price is much cheaper than a monopoly, such as more than 10 days worth of int"&amp;"ernational express .")</f>
        <v>A good pair of shoes, all are rather satisfied, very comfortable to wear a little big, but work a little rough spot, outside PRO standard slightly crooked, but overall good, the price is much cheaper than a monopoly, such as more than 10 days worth of international express .</v>
      </c>
    </row>
    <row r="3087">
      <c r="A3087" s="1">
        <v>4.0</v>
      </c>
      <c r="B3087" s="1" t="s">
        <v>3077</v>
      </c>
      <c r="C3087" t="str">
        <f>IFERROR(__xludf.DUMMYFUNCTION("GOOGLETRANSLATE(B3087, ""zh"", ""en"")"),"CK brand new product casual jogging pants")</f>
        <v>CK brand new product casual jogging pants</v>
      </c>
    </row>
    <row r="3088">
      <c r="A3088" s="1">
        <v>4.0</v>
      </c>
      <c r="B3088" s="1" t="s">
        <v>3078</v>
      </c>
      <c r="C3088" t="str">
        <f>IFERROR(__xludf.DUMMYFUNCTION("GOOGLETRANSLATE(B3088, ""zh"", ""en"")"),"Vamp is narrow, there are 38 foot mark, buy 5UK, shoes just right, it is recommended to buy thin legs, a number of dark shoe marks on the surface, the feeling is defective, over four hundred shoes will not bother to retire the")</f>
        <v>Vamp is narrow, there are 38 foot mark, buy 5UK, shoes just right, it is recommended to buy thin legs, a number of dark shoe marks on the surface, the feeling is defective, over four hundred shoes will not bother to retire the</v>
      </c>
    </row>
    <row r="3089">
      <c r="A3089" s="1">
        <v>5.0</v>
      </c>
      <c r="B3089" s="1" t="s">
        <v>3079</v>
      </c>
      <c r="C3089" t="str">
        <f>IFERROR(__xludf.DUMMYFUNCTION("GOOGLETRANSLATE(B3089, ""zh"", ""en"")"),"It is recommended to buy another two seasons, just covered with a thin 4.5, 10.5 for 21 degrees in a heated room Heating no heating of the house, the dough warm quilt, no sound and drill hair, it is recommended, work is almost. Studied for a long time to "&amp;"buy the size, the size of the photo to everyone reference")</f>
        <v>It is recommended to buy another two seasons, just covered with a thin 4.5, 10.5 for 21 degrees in a heated room Heating no heating of the house, the dough warm quilt, no sound and drill hair, it is recommended, work is almost. Studied for a long time to buy the size, the size of the photo to everyone reference</v>
      </c>
    </row>
    <row r="3090">
      <c r="A3090" s="1">
        <v>5.0</v>
      </c>
      <c r="B3090" s="1" t="s">
        <v>3080</v>
      </c>
      <c r="C3090" t="str">
        <f>IFERROR(__xludf.DUMMYFUNCTION("GOOGLETRANSLATE(B3090, ""zh"", ""en"")"),"Put the cart perfect shoes for a long time, until finally drop dozens of black five blocks, and feeling finally cheap, and immediately orders, receipt try just felt perfect, really want to buy one pair ^ _ ^ ^ _ ^ good love good love")</f>
        <v>Put the cart perfect shoes for a long time, until finally drop dozens of black five blocks, and feeling finally cheap, and immediately orders, receipt try just felt perfect, really want to buy one pair ^ _ ^ ^ _ ^ good love good love</v>
      </c>
    </row>
    <row r="3091">
      <c r="A3091" s="1">
        <v>5.0</v>
      </c>
      <c r="B3091" s="1" t="s">
        <v>3081</v>
      </c>
      <c r="C3091" t="str">
        <f>IFERROR(__xludf.DUMMYFUNCTION("GOOGLETRANSLATE(B3091, ""zh"", ""en"")"),"Good, price is also OK, logistics is a bit long, after all, can understand direct mail from the United States, praise! Good, price is also OK, logistics is a bit long, after all, can understand direct mail from the United States, praise!")</f>
        <v>Good, price is also OK, logistics is a bit long, after all, can understand direct mail from the United States, praise! Good, price is also OK, logistics is a bit long, after all, can understand direct mail from the United States, praise!</v>
      </c>
    </row>
    <row r="3092">
      <c r="A3092" s="1">
        <v>5.0</v>
      </c>
      <c r="B3092" s="1" t="s">
        <v>3082</v>
      </c>
      <c r="C3092" t="str">
        <f>IFERROR(__xludf.DUMMYFUNCTION("GOOGLETRANSLATE(B3092, ""zh"", ""en"")"),"Omnivorous headphones to listen to any type of music song will do, omnivorous, very fierce low frequency")</f>
        <v>Omnivorous headphones to listen to any type of music song will do, omnivorous, very fierce low frequency</v>
      </c>
    </row>
    <row r="3093">
      <c r="A3093" s="1">
        <v>5.0</v>
      </c>
      <c r="B3093" s="1" t="s">
        <v>3083</v>
      </c>
      <c r="C3093" t="str">
        <f>IFERROR(__xludf.DUMMYFUNCTION("GOOGLETRANSLATE(B3093, ""zh"", ""en"")"),"k240s a headphone sound very positive, less coloration real human voice, still burning ~~")</f>
        <v>k240s a headphone sound very positive, less coloration real human voice, still burning ~~</v>
      </c>
    </row>
    <row r="3094">
      <c r="A3094" s="1">
        <v>5.0</v>
      </c>
      <c r="B3094" s="1" t="s">
        <v>3084</v>
      </c>
      <c r="C3094" t="str">
        <f>IFERROR(__xludf.DUMMYFUNCTION("GOOGLETRANSLATE(B3094, ""zh"", ""en"")"),"ecco soles very good soft, good shoes, slip resistant")</f>
        <v>ecco soles very good soft, good shoes, slip resistant</v>
      </c>
    </row>
    <row r="3095">
      <c r="A3095" s="1">
        <v>5.0</v>
      </c>
      <c r="B3095" s="1" t="s">
        <v>3085</v>
      </c>
      <c r="C3095" t="str">
        <f>IFERROR(__xludf.DUMMYFUNCTION("GOOGLETRANSLATE(B3095, ""zh"", ""en"")"),"159.48kg 159 48kg wear m code suitable. Suitable for the autumn and thin clothes. Overall liberal bias, but very narrow sleeves, my arm is considered the kind of thin, and that was very close to the sleeves. Textured fabrics are very good.")</f>
        <v>159.48kg 159 48kg wear m code suitable. Suitable for the autumn and thin clothes. Overall liberal bias, but very narrow sleeves, my arm is considered the kind of thin, and that was very close to the sleeves. Textured fabrics are very good.</v>
      </c>
    </row>
    <row r="3096">
      <c r="A3096" s="1">
        <v>5.0</v>
      </c>
      <c r="B3096" s="1" t="s">
        <v>3086</v>
      </c>
      <c r="C3096" t="str">
        <f>IFERROR(__xludf.DUMMYFUNCTION("GOOGLETRANSLATE(B3096, ""zh"", ""en"")"),"Well this is the star product, first-rate quality.")</f>
        <v>Well this is the star product, first-rate quality.</v>
      </c>
    </row>
    <row r="3097">
      <c r="A3097" s="1">
        <v>5.0</v>
      </c>
      <c r="B3097" s="1" t="s">
        <v>3087</v>
      </c>
      <c r="C3097" t="str">
        <f>IFERROR(__xludf.DUMMYFUNCTION("GOOGLETRANSLATE(B3097, ""zh"", ""en"")"),"Pelvic girdle very good very good, with the also very convenient")</f>
        <v>Pelvic girdle very good very good, with the also very convenient</v>
      </c>
    </row>
    <row r="3098">
      <c r="A3098" s="1">
        <v>5.0</v>
      </c>
      <c r="B3098" s="1" t="s">
        <v>3088</v>
      </c>
      <c r="C3098" t="str">
        <f>IFERROR(__xludf.DUMMYFUNCTION("GOOGLETRANSLATE(B3098, ""zh"", ""en"")"),"Very, very good, never went before the evaluation, I do not know how many wasted points, points can change money now know, they should look carefully evaluated, then I put these words to copy to go, both to earn points, but also the easy way to go where c"&amp;"opy where, most importantly, do not seriously review, do not think how much worse word, made directly on it")</f>
        <v>Very, very good, never went before the evaluation, I do not know how many wasted points, points can change money now know, they should look carefully evaluated, then I put these words to copy to go, both to earn points, but also the easy way to go where copy where, most importantly, do not seriously review, do not think how much worse word, made directly on it</v>
      </c>
    </row>
    <row r="3099">
      <c r="A3099" s="1">
        <v>5.0</v>
      </c>
      <c r="B3099" s="1" t="s">
        <v>3089</v>
      </c>
      <c r="C3099" t="str">
        <f>IFERROR(__xludf.DUMMYFUNCTION("GOOGLETRANSLATE(B3099, ""zh"", ""en"")"),"Good workmanship white look good, work is also possible, leading very heavy, good")</f>
        <v>Good workmanship white look good, work is also possible, leading very heavy, good</v>
      </c>
    </row>
    <row r="3100">
      <c r="A3100" s="1">
        <v>5.0</v>
      </c>
      <c r="B3100" s="1" t="s">
        <v>3090</v>
      </c>
      <c r="C3100" t="str">
        <f>IFERROR(__xludf.DUMMYFUNCTION("GOOGLETRANSLATE(B3100, ""zh"", ""en"")"),"Recommended to buy a large two yards comments we read is not very good, but still bought two. It is not cheap, but the style is good, and I think the day is not too bad quality of Mulan. Get the goods, packaging really simple, belts a little rough, but it"&amp;" is consistent with the style of outdoor ah. Belt is not very thick but very wide, anyway, I feel good. The price, I bought it re-election.")</f>
        <v>Recommended to buy a large two yards comments we read is not very good, but still bought two. It is not cheap, but the style is good, and I think the day is not too bad quality of Mulan. Get the goods, packaging really simple, belts a little rough, but it is consistent with the style of outdoor ah. Belt is not very thick but very wide, anyway, I feel good. The price, I bought it re-election.</v>
      </c>
    </row>
    <row r="3101">
      <c r="A3101" s="1">
        <v>5.0</v>
      </c>
      <c r="B3101" s="1" t="s">
        <v>3091</v>
      </c>
      <c r="C3101" t="str">
        <f>IFERROR(__xludf.DUMMYFUNCTION("GOOGLETRANSLATE(B3101, ""zh"", ""en"")"),"Inexpensive sound reduction true, tri-band are good, especially the bass elastic strong! Ear soft ~")</f>
        <v>Inexpensive sound reduction true, tri-band are good, especially the bass elastic strong! Ear soft ~</v>
      </c>
    </row>
    <row r="3102">
      <c r="A3102" s="1">
        <v>5.0</v>
      </c>
      <c r="B3102" s="1" t="s">
        <v>3092</v>
      </c>
      <c r="C3102" t="str">
        <f>IFERROR(__xludf.DUMMYFUNCTION("GOOGLETRANSLATE(B3102, ""zh"", ""en"")"),"Bang Bang da very good value for money and especially heavy")</f>
        <v>Bang Bang da very good value for money and especially heavy</v>
      </c>
    </row>
    <row r="3103">
      <c r="A3103" s="1">
        <v>5.0</v>
      </c>
      <c r="B3103" s="1" t="s">
        <v>3093</v>
      </c>
      <c r="C3103" t="str">
        <f>IFERROR(__xludf.DUMMYFUNCTION("GOOGLETRANSLATE(B3103, ""zh"", ""en"")"),"Dutch production, the price is a little expensive, this is a Dutch production can be determined")</f>
        <v>Dutch production, the price is a little expensive, this is a Dutch production can be determined</v>
      </c>
    </row>
    <row r="3104">
      <c r="A3104" s="1">
        <v>5.0</v>
      </c>
      <c r="B3104" s="1" t="s">
        <v>3094</v>
      </c>
      <c r="C3104" t="str">
        <f>IFERROR(__xludf.DUMMYFUNCTION("GOOGLETRANSLATE(B3104, ""zh"", ""en"")"),"Suitable quasi waist size 32, going to change a bit length of the trousers.")</f>
        <v>Suitable quasi waist size 32, going to change a bit length of the trousers.</v>
      </c>
    </row>
    <row r="3105">
      <c r="A3105" s="1">
        <v>5.0</v>
      </c>
      <c r="B3105" s="1" t="s">
        <v>3095</v>
      </c>
      <c r="C3105" t="str">
        <f>IFERROR(__xludf.DUMMYFUNCTION("GOOGLETRANSLATE(B3105, ""zh"", ""en"")"),"A little small, but fortunately I have a small head color punctuality, beautiful, love")</f>
        <v>A little small, but fortunately I have a small head color punctuality, beautiful, love</v>
      </c>
    </row>
    <row r="3106">
      <c r="A3106" s="1">
        <v>5.0</v>
      </c>
      <c r="B3106" s="1" t="s">
        <v>3096</v>
      </c>
      <c r="C3106" t="str">
        <f>IFERROR(__xludf.DUMMYFUNCTION("GOOGLETRANSLATE(B3106, ""zh"", ""en"")"),"181,80, wear L is not made in China fit, 181,80, L fit to wear. The same paragraph, made in China probably 500+ counters in the European fold.")</f>
        <v>181,80, wear L is not made in China fit, 181,80, L fit to wear. The same paragraph, made in China probably 500+ counters in the European fold.</v>
      </c>
    </row>
    <row r="3107">
      <c r="A3107" s="1">
        <v>5.0</v>
      </c>
      <c r="B3107" s="1" t="s">
        <v>3097</v>
      </c>
      <c r="C3107" t="str">
        <f>IFERROR(__xludf.DUMMYFUNCTION("GOOGLETRANSLATE(B3107, ""zh"", ""en"")"),"Really good hard drive, run also quiet ~ ~ ~ This is a really good hard, run too quiet ~ ~ ~ shipping and packaging are more satisfied with the package which is the other electric providers to learn the ~~~")</f>
        <v>Really good hard drive, run also quiet ~ ~ ~ This is a really good hard, run too quiet ~ ~ ~ shipping and packaging are more satisfied with the package which is the other electric providers to learn the ~~~</v>
      </c>
    </row>
    <row r="3108">
      <c r="A3108" s="1">
        <v>5.0</v>
      </c>
      <c r="B3108" s="1" t="s">
        <v>3098</v>
      </c>
      <c r="C3108" t="str">
        <f>IFERROR(__xludf.DUMMYFUNCTION("GOOGLETRANSLATE(B3108, ""zh"", ""en"")"),"This is a good like good, cheap right size, male vote 180,140 L Zhuang upper body just right")</f>
        <v>This is a good like good, cheap right size, male vote 180,140 L Zhuang upper body just right</v>
      </c>
    </row>
    <row r="3109">
      <c r="A3109" s="1">
        <v>5.0</v>
      </c>
      <c r="B3109" s="1" t="s">
        <v>3099</v>
      </c>
      <c r="C3109" t="str">
        <f>IFERROR(__xludf.DUMMYFUNCTION("GOOGLETRANSLATE(B3109, ""zh"", ""en"")"),"Like really like, do not care about the so-called assessment. Since it is loaded to force, saying it is not good that bad, 3W or less listen to a sound and so on. . . Better to follow the simplest sense, they like. .")</f>
        <v>Like really like, do not care about the so-called assessment. Since it is loaded to force, saying it is not good that bad, 3W or less listen to a sound and so on. . . Better to follow the simplest sense, they like. .</v>
      </c>
    </row>
    <row r="3110">
      <c r="A3110" s="1">
        <v>5.0</v>
      </c>
      <c r="B3110" s="1" t="s">
        <v>3100</v>
      </c>
      <c r="C3110" t="str">
        <f>IFERROR(__xludf.DUMMYFUNCTION("GOOGLETRANSLATE(B3110, ""zh"", ""en"")"),"Wear more comfortable shoes usually wear in the country of 41.5, buy the EU42, the right size, wear more comfortable")</f>
        <v>Wear more comfortable shoes usually wear in the country of 41.5, buy the EU42, the right size, wear more comfortable</v>
      </c>
    </row>
    <row r="3111">
      <c r="A3111" s="1">
        <v>2.0</v>
      </c>
      <c r="B3111" s="1" t="s">
        <v>3101</v>
      </c>
      <c r="C3111" t="str">
        <f>IFERROR(__xludf.DUMMYFUNCTION("GOOGLETRANSLATE(B3111, ""zh"", ""en"")"),"Measured white than black freshman code 172 / 75kg buy is the same s, fitness, like Slim models bottoming close, tight-fitting white good just to wear, black and white than the very small one yard like Le xs, I found also broke x black back. Recommended b"&amp;"ody like the loose buy m code.")</f>
        <v>Measured white than black freshman code 172 / 75kg buy is the same s, fitness, like Slim models bottoming close, tight-fitting white good just to wear, black and white than the very small one yard like Le xs, I found also broke x black back. Recommended body like the loose buy m code.</v>
      </c>
    </row>
    <row r="3112">
      <c r="A3112" s="1">
        <v>3.0</v>
      </c>
      <c r="B3112" s="1" t="s">
        <v>3102</v>
      </c>
      <c r="C3112" t="str">
        <f>IFERROR(__xludf.DUMMYFUNCTION("GOOGLETRANSLATE(B3112, ""zh"", ""en"")"),"Table strike, do not go with less than two weeks is not gone, do not know no electricity, bad luck.")</f>
        <v>Table strike, do not go with less than two weeks is not gone, do not know no electricity, bad luck.</v>
      </c>
    </row>
    <row r="3113">
      <c r="A3113" s="1">
        <v>3.0</v>
      </c>
      <c r="B3113" s="1" t="s">
        <v>3103</v>
      </c>
      <c r="C3113" t="str">
        <f>IFERROR(__xludf.DUMMYFUNCTION("GOOGLETRANSLATE(B3113, ""zh"", ""en"")"),"Overseas suspect not buy a little thick socks, the quality looks okay, but the delivery receipt with only three days, a little doubt whether it is overseas purchase slightly")</f>
        <v>Overseas suspect not buy a little thick socks, the quality looks okay, but the delivery receipt with only three days, a little doubt whether it is overseas purchase slightly</v>
      </c>
    </row>
    <row r="3114">
      <c r="A3114" s="1">
        <v>1.0</v>
      </c>
      <c r="B3114" s="1" t="s">
        <v>3104</v>
      </c>
      <c r="C3114" t="str">
        <f>IFERROR(__xludf.DUMMYFUNCTION("GOOGLETRANSLATE(B3114, ""zh"", ""en"")"),"No purchase sale overseas, buy something good or bad depends on luck. Receiving two whole months, not a few times using the electric charge can not, tried several nice line can not be charged, it is not, ask the customer service overseas goods purchased c"&amp;"an be returned within 30 days of receipt, over 30 days on the matter, there is no sale, read what they say is the case for return instructions to ensure product integrity does not affect the secondary sales can be returned within 30 days, if something is "&amp;"bad is not just bad luck? It seems Amazon is no after-sales overseas purchase, which is in line with the relevant rules?")</f>
        <v>No purchase sale overseas, buy something good or bad depends on luck. Receiving two whole months, not a few times using the electric charge can not, tried several nice line can not be charged, it is not, ask the customer service overseas goods purchased can be returned within 30 days of receipt, over 30 days on the matter, there is no sale, read what they say is the case for return instructions to ensure product integrity does not affect the secondary sales can be returned within 30 days, if something is bad is not just bad luck? It seems Amazon is no after-sales overseas purchase, which is in line with the relevant rules?</v>
      </c>
    </row>
    <row r="3115">
      <c r="A3115" s="1">
        <v>1.0</v>
      </c>
      <c r="B3115" s="1" t="s">
        <v>3105</v>
      </c>
      <c r="C3115" t="str">
        <f>IFERROR(__xludf.DUMMYFUNCTION("GOOGLETRANSLATE(B3115, ""zh"", ""en"")"),"Fake fake, country bars are painted black pen, bought four bottles, two bottles of eating only to find, weighs, can not eat, can not return")</f>
        <v>Fake fake, country bars are painted black pen, bought four bottles, two bottles of eating only to find, weighs, can not eat, can not return</v>
      </c>
    </row>
    <row r="3116">
      <c r="A3116" s="1">
        <v>1.0</v>
      </c>
      <c r="B3116" s="1" t="s">
        <v>3106</v>
      </c>
      <c r="C3116" t="str">
        <f>IFERROR(__xludf.DUMMYFUNCTION("GOOGLETRANSLATE(B3116, ""zh"", ""en"")"),"The general quality of the general quality, fade, wear it once and lost the thread, rubber band belts are broken")</f>
        <v>The general quality of the general quality, fade, wear it once and lost the thread, rubber band belts are broken</v>
      </c>
    </row>
    <row r="3117">
      <c r="A3117" s="1">
        <v>4.0</v>
      </c>
      <c r="B3117" s="1" t="s">
        <v>3107</v>
      </c>
      <c r="C3117" t="str">
        <f>IFERROR(__xludf.DUMMYFUNCTION("GOOGLETRANSLATE(B3117, ""zh"", ""en"")"),"After the collar washed 2 times larger gray water, the collar becomes abnormally large ah, absolutely not type, a bit embarrassed. Black looks okay. White has not washed, to be tested")</f>
        <v>After the collar washed 2 times larger gray water, the collar becomes abnormally large ah, absolutely not type, a bit embarrassed. Black looks okay. White has not washed, to be tested</v>
      </c>
    </row>
    <row r="3118">
      <c r="A3118" s="1">
        <v>4.0</v>
      </c>
      <c r="B3118" s="1" t="s">
        <v>3108</v>
      </c>
      <c r="C3118" t="str">
        <f>IFERROR(__xludf.DUMMYFUNCTION("GOOGLETRANSLATE(B3118, ""zh"", ""en"")"),"Very affordable very good goods oh! For market use. And on average, the price is even cheaper than in the domestic commonly used electronic business platform.")</f>
        <v>Very affordable very good goods oh! For market use. And on average, the price is even cheaper than in the domestic commonly used electronic business platform.</v>
      </c>
    </row>
    <row r="3119">
      <c r="A3119" s="1">
        <v>4.0</v>
      </c>
      <c r="B3119" s="1" t="s">
        <v>3109</v>
      </c>
      <c r="C3119" t="str">
        <f>IFERROR(__xludf.DUMMYFUNCTION("GOOGLETRANSLATE(B3119, ""zh"", ""en"")"),"Good buy big a yard, just right, good workmanship, worth the price.")</f>
        <v>Good buy big a yard, just right, good workmanship, worth the price.</v>
      </c>
    </row>
    <row r="3120">
      <c r="A3120" s="1">
        <v>4.0</v>
      </c>
      <c r="B3120" s="1" t="s">
        <v>3110</v>
      </c>
      <c r="C3120" t="str">
        <f>IFERROR(__xludf.DUMMYFUNCTION("GOOGLETRANSLATE(B3120, ""zh"", ""en"")"),"Satisfaction date code will be a bit small, but nice style, very satisfied")</f>
        <v>Satisfaction date code will be a bit small, but nice style, very satisfied</v>
      </c>
    </row>
    <row r="3121">
      <c r="A3121" s="1">
        <v>5.0</v>
      </c>
      <c r="B3121" s="1" t="s">
        <v>3111</v>
      </c>
      <c r="C3121" t="str">
        <f>IFERROR(__xludf.DUMMYFUNCTION("GOOGLETRANSLATE(B3121, ""zh"", ""en"")"),"Very satisfied with the shopping is very good, the right size, is genuine")</f>
        <v>Very satisfied with the shopping is very good, the right size, is genuine</v>
      </c>
    </row>
    <row r="3122">
      <c r="A3122" s="1">
        <v>5.0</v>
      </c>
      <c r="B3122" s="1" t="s">
        <v>3112</v>
      </c>
      <c r="C3122" t="str">
        <f>IFERROR(__xludf.DUMMYFUNCTION("GOOGLETRANSLATE(B3122, ""zh"", ""en"")"),"Very good product, very hard worry overseas purchase very easy to use, the transmission speed is maintained at 80m-110m, heat and noise are very low. Hard voice almost inaudible, plugged into the computer all day, only a little hot compact, less than two "&amp;"ordinary cigarette box size, red and black colors seem simple not play, but also very eye-catching, easy to find. This is the best I've ever used a hard drive.")</f>
        <v>Very good product, very hard worry overseas purchase very easy to use, the transmission speed is maintained at 80m-110m, heat and noise are very low. Hard voice almost inaudible, plugged into the computer all day, only a little hot compact, less than two ordinary cigarette box size, red and black colors seem simple not play, but also very eye-catching, easy to find. This is the best I've ever used a hard drive.</v>
      </c>
    </row>
    <row r="3123">
      <c r="A3123" s="1">
        <v>5.0</v>
      </c>
      <c r="B3123" s="1" t="s">
        <v>3113</v>
      </c>
      <c r="C3123" t="str">
        <f>IFERROR(__xludf.DUMMYFUNCTION("GOOGLETRANSLATE(B3123, ""zh"", ""en"")"),"Ease of use is very convenient. Drink a glass of pure taste of espresso within 3 minutes. Office of the artifact.")</f>
        <v>Ease of use is very convenient. Drink a glass of pure taste of espresso within 3 minutes. Office of the artifact.</v>
      </c>
    </row>
    <row r="3124">
      <c r="A3124" s="1">
        <v>5.0</v>
      </c>
      <c r="B3124" s="1" t="s">
        <v>3114</v>
      </c>
      <c r="C3124" t="str">
        <f>IFERROR(__xludf.DUMMYFUNCTION("GOOGLETRANSLATE(B3124, ""zh"", ""en"")"),"+ Milk with milk protein powder brewing, very tasty.")</f>
        <v>+ Milk with milk protein powder brewing, very tasty.</v>
      </c>
    </row>
    <row r="3125">
      <c r="A3125" s="1">
        <v>5.0</v>
      </c>
      <c r="B3125" s="1" t="s">
        <v>3115</v>
      </c>
      <c r="C3125" t="str">
        <f>IFERROR(__xludf.DUMMYFUNCTION("GOOGLETRANSLATE(B3125, ""zh"", ""en"")"),"Very good things good, oh, buy a third")</f>
        <v>Very good things good, oh, buy a third</v>
      </c>
    </row>
    <row r="3126">
      <c r="A3126" s="1">
        <v>5.0</v>
      </c>
      <c r="B3126" s="1" t="s">
        <v>3116</v>
      </c>
      <c r="C3126" t="str">
        <f>IFERROR(__xludf.DUMMYFUNCTION("GOOGLETRANSLATE(B3126, ""zh"", ""en"")"),"Nature Made Tianwei US high concentrations of coenzyme Q10 soft capsule 80 cardiac conservation very long shelf life, should be good American brand, Amazon should be genuine, it will continue to repurchase.")</f>
        <v>Nature Made Tianwei US high concentrations of coenzyme Q10 soft capsule 80 cardiac conservation very long shelf life, should be good American brand, Amazon should be genuine, it will continue to repurchase.</v>
      </c>
    </row>
    <row r="3127">
      <c r="A3127" s="1">
        <v>5.0</v>
      </c>
      <c r="B3127" s="1" t="s">
        <v>3117</v>
      </c>
      <c r="C3127" t="str">
        <f>IFERROR(__xludf.DUMMYFUNCTION("GOOGLETRANSLATE(B3127, ""zh"", ""en"")"),"Size suitable height 177 weight 145 to buy the L numbers just right size, color is positive!")</f>
        <v>Size suitable height 177 weight 145 to buy the L numbers just right size, color is positive!</v>
      </c>
    </row>
    <row r="3128">
      <c r="A3128" s="1">
        <v>5.0</v>
      </c>
      <c r="B3128" s="1" t="s">
        <v>3118</v>
      </c>
      <c r="C3128" t="str">
        <f>IFERROR(__xludf.DUMMYFUNCTION("GOOGLETRANSLATE(B3128, ""zh"", ""en"")"),"LEE T Xu good quality goods, inexpensive")</f>
        <v>LEE T Xu good quality goods, inexpensive</v>
      </c>
    </row>
    <row r="3129">
      <c r="A3129" s="1">
        <v>5.0</v>
      </c>
      <c r="B3129" s="1" t="s">
        <v>3119</v>
      </c>
      <c r="C3129" t="str">
        <f>IFERROR(__xludf.DUMMYFUNCTION("GOOGLETRANSLATE(B3129, ""zh"", ""en"")"),"M bought a good number. 183cm, 100kg wear just friends. . Then send him. Good quality, light and warm.")</f>
        <v>M bought a good number. 183cm, 100kg wear just friends. . Then send him. Good quality, light and warm.</v>
      </c>
    </row>
    <row r="3130">
      <c r="A3130" s="1">
        <v>5.0</v>
      </c>
      <c r="B3130" s="1" t="s">
        <v>3120</v>
      </c>
      <c r="C3130" t="str">
        <f>IFERROR(__xludf.DUMMYFUNCTION("GOOGLETRANSLATE(B3130, ""zh"", ""en"")"),"With very good use, with the first gear and second gear cold, room temperature is 24 degrees, it will not blow too dry, the head needs to be converted")</f>
        <v>With very good use, with the first gear and second gear cold, room temperature is 24 degrees, it will not blow too dry, the head needs to be converted</v>
      </c>
    </row>
    <row r="3131">
      <c r="A3131" s="1">
        <v>5.0</v>
      </c>
      <c r="B3131" s="1" t="s">
        <v>3121</v>
      </c>
      <c r="C3131" t="str">
        <f>IFERROR(__xludf.DUMMYFUNCTION("GOOGLETRANSLATE(B3131, ""zh"", ""en"")"),"The maximum purchase price is really temptation software reads hard disk speed of 5425 rpm, 8001GB, equivalent to 7.27TB. Recommend the purchase of multi-tracking for some time, and sometimes the price will be low. Scanning disc reading done, took 15 hour"&amp;"s and 12 minutes, the speed from 190MB to 80MB per second. I think the noise is normal, this is on the outside than the hard sound in the chassis feels to be bigger, after all, less noise chassis. Talk about the shortcomings, domestic warranty time is sho"&amp;"rt, only a month, that is one month from the expected arrival time, according to the actual experience will be received earlier, also more than a few days. These thin package. This compared to Seagate Backup Plus Drive power volume is smaller, the power s"&amp;"upply is one of the keys to ensure the life of the hard drive. To all buyers refer to the next.")</f>
        <v>The maximum purchase price is really temptation software reads hard disk speed of 5425 rpm, 8001GB, equivalent to 7.27TB. Recommend the purchase of multi-tracking for some time, and sometimes the price will be low. Scanning disc reading done, took 15 hours and 12 minutes, the speed from 190MB to 80MB per second. I think the noise is normal, this is on the outside than the hard sound in the chassis feels to be bigger, after all, less noise chassis. Talk about the shortcomings, domestic warranty time is short, only a month, that is one month from the expected arrival time, according to the actual experience will be received earlier, also more than a few days. These thin package. This compared to Seagate Backup Plus Drive power volume is smaller, the power supply is one of the keys to ensure the life of the hard drive. To all buyers refer to the next.</v>
      </c>
    </row>
    <row r="3132">
      <c r="A3132" s="1">
        <v>5.0</v>
      </c>
      <c r="B3132" s="1" t="s">
        <v>3122</v>
      </c>
      <c r="C3132" t="str">
        <f>IFERROR(__xludf.DUMMYFUNCTION("GOOGLETRANSLATE(B3132, ""zh"", ""en"")"),"Quality workmanship good work pretty good, 176cm, 80kg wear M feeling slightly smaller, no sleeves as long as other brands of the US version.")</f>
        <v>Quality workmanship good work pretty good, 176cm, 80kg wear M feeling slightly smaller, no sleeves as long as other brands of the US version.</v>
      </c>
    </row>
    <row r="3133">
      <c r="A3133" s="1">
        <v>5.0</v>
      </c>
      <c r="B3133" s="1" t="s">
        <v>3123</v>
      </c>
      <c r="C3133" t="str">
        <f>IFERROR(__xludf.DUMMYFUNCTION("GOOGLETRANSLATE(B3133, ""zh"", ""en"")"),"Good quality, fried meat artifact! recommend! Buy fried steak with. Naked into the pot one hundred forty, with a certain time must remember to wear gloves. Weight is enough very heavy, so basically do not hand hold the pot. No coating each use to swipe oi"&amp;"l or prone to rust. If the wok is insufficient, we will definitely stick! There must not be used to fry an egg (do not ask how I know). . In short, or value for money. Fried steak out very beautiful!")</f>
        <v>Good quality, fried meat artifact! recommend! Buy fried steak with. Naked into the pot one hundred forty, with a certain time must remember to wear gloves. Weight is enough very heavy, so basically do not hand hold the pot. No coating each use to swipe oil or prone to rust. If the wok is insufficient, we will definitely stick! There must not be used to fry an egg (do not ask how I know). . In short, or value for money. Fried steak out very beautiful!</v>
      </c>
    </row>
    <row r="3134">
      <c r="A3134" s="1">
        <v>5.0</v>
      </c>
      <c r="B3134" s="1" t="s">
        <v>3124</v>
      </c>
      <c r="C3134" t="str">
        <f>IFERROR(__xludf.DUMMYFUNCTION("GOOGLETRANSLATE(B3134, ""zh"", ""en"")"),"Security is very fast and efficient, from the United States of just five days to just heavenly! Packaging is very solid, Amazon did not experience the problem, the charge is the use of magnetic type, very surprised, and very safe! If you buy one, I would "&amp;"buy a large capacity DC.")</f>
        <v>Security is very fast and efficient, from the United States of just five days to just heavenly! Packaging is very solid, Amazon did not experience the problem, the charge is the use of magnetic type, very surprised, and very safe! If you buy one, I would buy a large capacity DC.</v>
      </c>
    </row>
    <row r="3135">
      <c r="A3135" s="1">
        <v>5.0</v>
      </c>
      <c r="B3135" s="1" t="s">
        <v>3125</v>
      </c>
      <c r="C3135" t="str">
        <f>IFERROR(__xludf.DUMMYFUNCTION("GOOGLETRANSLATE(B3135, ""zh"", ""en"")"),"Something good, ease of use Korean, and usually bought for the baby to eat with, no smell, stainless steel liner can be directly heated in a microwave, the most fancy security of the brand, will continue to support, very good")</f>
        <v>Something good, ease of use Korean, and usually bought for the baby to eat with, no smell, stainless steel liner can be directly heated in a microwave, the most fancy security of the brand, will continue to support, very good</v>
      </c>
    </row>
    <row r="3136">
      <c r="A3136" s="1">
        <v>5.0</v>
      </c>
      <c r="B3136" s="1" t="s">
        <v>3126</v>
      </c>
      <c r="C3136" t="str">
        <f>IFERROR(__xludf.DUMMYFUNCTION("GOOGLETRANSLATE(B3136, ""zh"", ""en"")"),"Next will come back to buy, great really awesome, though other courier are suffering every day, but UPS courier service is really good, ah, not so bad on Baidu said, less than a week arrived , really super beautiful shoes, really really really! !")</f>
        <v>Next will come back to buy, great really awesome, though other courier are suffering every day, but UPS courier service is really good, ah, not so bad on Baidu said, less than a week arrived , really super beautiful shoes, really really really! !</v>
      </c>
    </row>
    <row r="3137">
      <c r="A3137" s="1">
        <v>5.0</v>
      </c>
      <c r="B3137" s="1" t="s">
        <v>3127</v>
      </c>
      <c r="C3137" t="str">
        <f>IFERROR(__xludf.DUMMYFUNCTION("GOOGLETRANSLATE(B3137, ""zh"", ""en"")"),"Glucosamine Move Free-dimensional super triple function joint supplements containing type II collagen, hyaluronic acid and the Boron ... for the first time, the general feeling")</f>
        <v>Glucosamine Move Free-dimensional super triple function joint supplements containing type II collagen, hyaluronic acid and the Boron ... for the first time, the general feeling</v>
      </c>
    </row>
    <row r="3138">
      <c r="A3138" s="1">
        <v>5.0</v>
      </c>
      <c r="B3138" s="1" t="s">
        <v>3128</v>
      </c>
      <c r="C3138" t="str">
        <f>IFERROR(__xludf.DUMMYFUNCTION("GOOGLETRANSLATE(B3138, ""zh"", ""en"")"),"Dual pants, shorts removable to buy the next day to go outside and play, 37-degree day, the first time I felt comfortable pants, non-stick body sun protection, like this brand, ready to start again, height 176, weight 85KG , waist circumference 2.9, buy L"&amp;", fit")</f>
        <v>Dual pants, shorts removable to buy the next day to go outside and play, 37-degree day, the first time I felt comfortable pants, non-stick body sun protection, like this brand, ready to start again, height 176, weight 85KG , waist circumference 2.9, buy L, fit</v>
      </c>
    </row>
    <row r="3139">
      <c r="A3139" s="1">
        <v>5.0</v>
      </c>
      <c r="B3139" s="1" t="s">
        <v>3129</v>
      </c>
      <c r="C3139" t="str">
        <f>IFERROR(__xludf.DUMMYFUNCTION("GOOGLETRANSLATE(B3139, ""zh"", ""en"")"),"Praise affordable, authentic licensed, fast logistics, praise!")</f>
        <v>Praise affordable, authentic licensed, fast logistics, praise!</v>
      </c>
    </row>
    <row r="3140">
      <c r="A3140" s="1">
        <v>5.0</v>
      </c>
      <c r="B3140" s="1" t="s">
        <v>3130</v>
      </c>
      <c r="C3140" t="str">
        <f>IFERROR(__xludf.DUMMYFUNCTION("GOOGLETRANSLATE(B3140, ""zh"", ""en"")"),"Slightly larger than 162cm, 65kg, L code slightly greater, M may be more suitable.")</f>
        <v>Slightly larger than 162cm, 65kg, L code slightly greater, M may be more suitable.</v>
      </c>
    </row>
    <row r="3141">
      <c r="A3141" s="1">
        <v>5.0</v>
      </c>
      <c r="B3141" s="1" t="s">
        <v>3131</v>
      </c>
      <c r="C3141" t="str">
        <f>IFERROR(__xludf.DUMMYFUNCTION("GOOGLETRANSLATE(B3141, ""zh"", ""en"")"),"Optimistic pacifier model easy to use, is to use a long time before we know too optimistic pacifier models")</f>
        <v>Optimistic pacifier model easy to use, is to use a long time before we know too optimistic pacifier models</v>
      </c>
    </row>
    <row r="3142">
      <c r="A3142" s="1">
        <v>5.0</v>
      </c>
      <c r="B3142" s="1" t="s">
        <v>3132</v>
      </c>
      <c r="C3142" t="str">
        <f>IFERROR(__xludf.DUMMYFUNCTION("GOOGLETRANSLATE(B3142, ""zh"", ""en"")"),"Fitness preferred Max Tektronix new superior best. Affordable, Max Tektronix new superior best. Fitness choice. This product is a high content of whey protein, branched chain amino acids, glutamine, creatine and other nutrients complete. Buyback worth rep"&amp;"eating. Recommended to buy. Thanks to Amazon.谢麦斯泰克 sense. Thanks to the seller.")</f>
        <v>Fitness preferred Max Tektronix new superior best. Affordable, Max Tektronix new superior best. Fitness choice. This product is a high content of whey protein, branched chain amino acids, glutamine, creatine and other nutrients complete. Buyback worth repeating. Recommended to buy. Thanks to Amazon.谢麦斯泰克 sense. Thanks to the seller.</v>
      </c>
    </row>
    <row r="3143">
      <c r="A3143" s="1">
        <v>2.0</v>
      </c>
      <c r="B3143" s="1" t="s">
        <v>3133</v>
      </c>
      <c r="C3143" t="str">
        <f>IFERROR(__xludf.DUMMYFUNCTION("GOOGLETRANSLATE(B3143, ""zh"", ""en"")"),"Do not expect to drink boiled hot cup of porridge, the net infused rice into them, add boiling water, over again, immediately drained together with water, like porridge made out of rubbish, no flavor taste, eggs, add boiling water the next day it is boile"&amp;"d well, I do not know the problem or question cup, forget it. When the mug with it, and I think the insulation effect is not good with the brand mug.")</f>
        <v>Do not expect to drink boiled hot cup of porridge, the net infused rice into them, add boiling water, over again, immediately drained together with water, like porridge made out of rubbish, no flavor taste, eggs, add boiling water the next day it is boiled well, I do not know the problem or question cup, forget it. When the mug with it, and I think the insulation effect is not good with the brand mug.</v>
      </c>
    </row>
    <row r="3144">
      <c r="A3144" s="1">
        <v>3.0</v>
      </c>
      <c r="B3144" s="1" t="s">
        <v>3134</v>
      </c>
      <c r="C3144" t="str">
        <f>IFERROR(__xludf.DUMMYFUNCTION("GOOGLETRANSLATE(B3144, ""zh"", ""en"")"),"The most objective and true comment boasts the most objective truth ,,,, Tell me what you see it: First of all, I just took out the machine from the box, the right-hand ring finger was iron filings on the machine, or call just crumbs, to tie to, because I"&amp;" had to give this a star, or if in a foreign country is not able to apply amazon, or compensation for the manufacturers of it. I was tied up, and saw the ring finger on the iron bar into the flesh, to be exact about 2-3 mm long. After a lingering fear, I "&amp;"carefully inspected the machine ,,, very incredible, really the only one steel scrap, only one, why I'm so lucky yet. . . . . . . But there are at least 3-5, margin coarsely dry, rowers do not know why manufacturers for high-end products, the factory does"&amp;" not verify or polished look. These rough dry place, although not cut hand, but still have to be very careful to use. The sheet pasta machine not forming die, but is punched out of a steel sheet, therefore there is an edge of the rower. Mold into a large,"&amp;" please be good polish factory. Because this really want to give a star, prior to the five-star friends, do not tell me, you do not have this problem, in view of the general can also be right, for each Samsung. For your reference, bought abroad, I do not "&amp;"bother to toss, pulls estimate is the same. You have to wait a very long time. Oh, you need to add that it is important, is pressed out of the noodles is good, the future buyer to reference, objectively, be objective oh")</f>
        <v>The most objective and true comment boasts the most objective truth ,,,, Tell me what you see it: First of all, I just took out the machine from the box, the right-hand ring finger was iron filings on the machine, or call just crumbs, to tie to, because I had to give this a star, or if in a foreign country is not able to apply amazon, or compensation for the manufacturers of it. I was tied up, and saw the ring finger on the iron bar into the flesh, to be exact about 2-3 mm long. After a lingering fear, I carefully inspected the machine ,,, very incredible, really the only one steel scrap, only one, why I'm so lucky yet. . . . . . . But there are at least 3-5, margin coarsely dry, rowers do not know why manufacturers for high-end products, the factory does not verify or polished look. These rough dry place, although not cut hand, but still have to be very careful to use. The sheet pasta machine not forming die, but is punched out of a steel sheet, therefore there is an edge of the rower. Mold into a large, please be good polish factory. Because this really want to give a star, prior to the five-star friends, do not tell me, you do not have this problem, in view of the general can also be right, for each Samsung. For your reference, bought abroad, I do not bother to toss, pulls estimate is the same. You have to wait a very long time. Oh, you need to add that it is important, is pressed out of the noodles is good, the future buyer to reference, objectively, be objective oh</v>
      </c>
    </row>
    <row r="3145">
      <c r="A3145" s="1">
        <v>3.0</v>
      </c>
      <c r="B3145" s="1" t="s">
        <v>3135</v>
      </c>
      <c r="C3145" t="str">
        <f>IFERROR(__xludf.DUMMYFUNCTION("GOOGLETRANSLATE(B3145, ""zh"", ""en"")"),"Black, Dema tourism, wearing lightweight, strong sense of grip, shopping satisfaction")</f>
        <v>Black, Dema tourism, wearing lightweight, strong sense of grip, shopping satisfaction</v>
      </c>
    </row>
    <row r="3146">
      <c r="A3146" s="1">
        <v>3.0</v>
      </c>
      <c r="B3146" s="1" t="s">
        <v>3136</v>
      </c>
      <c r="C3146" t="str">
        <f>IFERROR(__xludf.DUMMYFUNCTION("GOOGLETRANSLATE(B3146, ""zh"", ""en"")"),"Soft velvet love for the first time to wear off when, in cashmere, cotton like love out, not as good as the quality of the country, generally like it, who bought who regret")</f>
        <v>Soft velvet love for the first time to wear off when, in cashmere, cotton like love out, not as good as the quality of the country, generally like it, who bought who regret</v>
      </c>
    </row>
    <row r="3147">
      <c r="A3147" s="1">
        <v>1.0</v>
      </c>
      <c r="B3147" s="1" t="s">
        <v>3137</v>
      </c>
      <c r="C3147" t="str">
        <f>IFERROR(__xludf.DUMMYFUNCTION("GOOGLETRANSLATE(B3147, ""zh"", ""en"")"),"Broken not very happy. One to wear. Nail give wear a hole")</f>
        <v>Broken not very happy. One to wear. Nail give wear a hole</v>
      </c>
    </row>
    <row r="3148">
      <c r="A3148" s="1">
        <v>1.0</v>
      </c>
      <c r="B3148" s="1" t="s">
        <v>3138</v>
      </c>
      <c r="C3148" t="str">
        <f>IFERROR(__xludf.DUMMYFUNCTION("GOOGLETRANSLATE(B3148, ""zh"", ""en"")"),"On the product feels like a little accessories")</f>
        <v>On the product feels like a little accessories</v>
      </c>
    </row>
    <row r="3149">
      <c r="A3149" s="1">
        <v>4.0</v>
      </c>
      <c r="B3149" s="1" t="s">
        <v>3139</v>
      </c>
      <c r="C3149" t="str">
        <f>IFERROR(__xludf.DUMMYFUNCTION("GOOGLETRANSLATE(B3149, ""zh"", ""en"")"),"South 15 degrees can not compare antifreeze, 15-degree day with no wind or comfortable to wear, the length 168 can wear, not suitable for fat")</f>
        <v>South 15 degrees can not compare antifreeze, 15-degree day with no wind or comfortable to wear, the length 168 can wear, not suitable for fat</v>
      </c>
    </row>
    <row r="3150">
      <c r="A3150" s="1">
        <v>4.0</v>
      </c>
      <c r="B3150" s="1" t="s">
        <v>3140</v>
      </c>
      <c r="C3150" t="str">
        <f>IFERROR(__xludf.DUMMYFUNCTION("GOOGLETRANSLATE(B3150, ""zh"", ""en"")"),"Received the body, Aberdeen taste Height 178 weight 75kg, just inside a T-shirt to wear a close body type, the thin cloth, wash a water color correction, origin Bangladesh, work in general, wood china made good, in the right side imports bag has a pull th"&amp;"inly place, what will pull broken, this is mainly to buy style, good upper body full of flavor Aberdeen")</f>
        <v>Received the body, Aberdeen taste Height 178 weight 75kg, just inside a T-shirt to wear a close body type, the thin cloth, wash a water color correction, origin Bangladesh, work in general, wood china made good, in the right side imports bag has a pull thinly place, what will pull broken, this is mainly to buy style, good upper body full of flavor Aberdeen</v>
      </c>
    </row>
    <row r="3151">
      <c r="A3151" s="1">
        <v>4.0</v>
      </c>
      <c r="B3151" s="1" t="s">
        <v>3141</v>
      </c>
      <c r="C3151" t="str">
        <f>IFERROR(__xludf.DUMMYFUNCTION("GOOGLETRANSLATE(B3151, ""zh"", ""en"")"),"It can also stuff height 178, weight 78 selected M code just right, but in front of some wrinkles, just exactly the publicity plan, a real person to wear these wrinkles there is still the same. But the fabric is very comfortable. . .")</f>
        <v>It can also stuff height 178, weight 78 selected M code just right, but in front of some wrinkles, just exactly the publicity plan, a real person to wear these wrinkles there is still the same. But the fabric is very comfortable. . .</v>
      </c>
    </row>
    <row r="3152">
      <c r="A3152" s="1">
        <v>4.0</v>
      </c>
      <c r="B3152" s="1" t="s">
        <v>3142</v>
      </c>
      <c r="C3152" t="str">
        <f>IFERROR(__xludf.DUMMYFUNCTION("GOOGLETRANSLATE(B3152, ""zh"", ""en"")"),"Hose and cord housing is the only sub-minus, the other very good amount of steam is very good, compared to the comments section recommended upon-Avon, Avon feeling harness and steam pipes can recover to a more convenient storage, but Braun style red dot A"&amp;"wards did not have to say, silver and black relatively tough. No instructions in Chinese, the water I did not know how to engage. Special also ran Dea Dea see the comments on a translator, Tefal buy Duobo Lang buy less but very Duote Fu said some models b"&amp;"ought a second-year quality about her. Finally bought a red dot design award, previously only ironed hanging ironing, it will not use, I feel better with the ironing board use")</f>
        <v>Hose and cord housing is the only sub-minus, the other very good amount of steam is very good, compared to the comments section recommended upon-Avon, Avon feeling harness and steam pipes can recover to a more convenient storage, but Braun style red dot Awards did not have to say, silver and black relatively tough. No instructions in Chinese, the water I did not know how to engage. Special also ran Dea Dea see the comments on a translator, Tefal buy Duobo Lang buy less but very Duote Fu said some models bought a second-year quality about her. Finally bought a red dot design award, previously only ironed hanging ironing, it will not use, I feel better with the ironing board use</v>
      </c>
    </row>
    <row r="3153">
      <c r="A3153" s="1">
        <v>4.0</v>
      </c>
      <c r="B3153" s="1" t="s">
        <v>3143</v>
      </c>
      <c r="C3153" t="str">
        <f>IFERROR(__xludf.DUMMYFUNCTION("GOOGLETRANSLATE(B3153, ""zh"", ""en"")"),"Size is too large, hard soles can pad insoles for added comfort to buy time to pay attention to size, this shoe is too large. The sole is relatively hard, buy a bigger cushion insoles can be more comfortable.")</f>
        <v>Size is too large, hard soles can pad insoles for added comfort to buy time to pay attention to size, this shoe is too large. The sole is relatively hard, buy a bigger cushion insoles can be more comfortable.</v>
      </c>
    </row>
    <row r="3154">
      <c r="A3154" s="1">
        <v>5.0</v>
      </c>
      <c r="B3154" s="1" t="s">
        <v>3144</v>
      </c>
      <c r="C3154" t="str">
        <f>IFERROR(__xludf.DUMMYFUNCTION("GOOGLETRANSLATE(B3154, ""zh"", ""en"")"),"Monroe appropriate money, the color is very good, the version is always, well, buy a shorter length just right, do not go to cut short the process, some of the soft fabrics than expected, very satisfied.")</f>
        <v>Monroe appropriate money, the color is very good, the version is always, well, buy a shorter length just right, do not go to cut short the process, some of the soft fabrics than expected, very satisfied.</v>
      </c>
    </row>
    <row r="3155">
      <c r="A3155" s="1">
        <v>5.0</v>
      </c>
      <c r="B3155" s="1" t="s">
        <v>3145</v>
      </c>
      <c r="C3155" t="str">
        <f>IFERROR(__xludf.DUMMYFUNCTION("GOOGLETRANSLATE(B3155, ""zh"", ""en"")"),"Good things, to recommend! A large full bottles, stored at room temperature, once a day, eat dinner, feel good! Open the cover of time to pull up a little bit!")</f>
        <v>Good things, to recommend! A large full bottles, stored at room temperature, once a day, eat dinner, feel good! Open the cover of time to pull up a little bit!</v>
      </c>
    </row>
    <row r="3156">
      <c r="A3156" s="1">
        <v>5.0</v>
      </c>
      <c r="B3156" s="1" t="s">
        <v>3146</v>
      </c>
      <c r="C3156" t="str">
        <f>IFERROR(__xludf.DUMMYFUNCTION("GOOGLETRANSLATE(B3156, ""zh"", ""en"")"),"GUNZE Gunze underwear Tuche INTIMATE wore skin-care products 8 points sleeve 100% cotton ... good quality and fine workmanship. It will buy the.")</f>
        <v>GUNZE Gunze underwear Tuche INTIMATE wore skin-care products 8 points sleeve 100% cotton ... good quality and fine workmanship. It will buy the.</v>
      </c>
    </row>
    <row r="3157">
      <c r="A3157" s="1">
        <v>5.0</v>
      </c>
      <c r="B3157" s="1" t="s">
        <v>3147</v>
      </c>
      <c r="C3157" t="str">
        <f>IFERROR(__xludf.DUMMYFUNCTION("GOOGLETRANSLATE(B3157, ""zh"", ""en"")"),"So fast so fast so fast so fast so fast so fast")</f>
        <v>So fast so fast so fast so fast so fast so fast</v>
      </c>
    </row>
    <row r="3158">
      <c r="A3158" s="1">
        <v>5.0</v>
      </c>
      <c r="B3158" s="1" t="s">
        <v>3148</v>
      </c>
      <c r="C3158" t="str">
        <f>IFERROR(__xludf.DUMMYFUNCTION("GOOGLETRANSLATE(B3158, ""zh"", ""en"")"),"Good 182 high-68KG, M suitable")</f>
        <v>Good 182 high-68KG, M suitable</v>
      </c>
    </row>
    <row r="3159">
      <c r="A3159" s="1">
        <v>5.0</v>
      </c>
      <c r="B3159" s="1" t="s">
        <v>3149</v>
      </c>
      <c r="C3159" t="str">
        <f>IFERROR(__xludf.DUMMYFUNCTION("GOOGLETRANSLATE(B3159, ""zh"", ""en"")"),"Lord listen to rock, then it must be 600CNY price! Transient really good ah! So exciting the people to follow straight up and down, rock artifact, feeling very, very worth the price, but I think it's 1300 domestic sales of the top. The street is cool, som"&amp;"etimes even contempt perverse beats😂 drawback is slightly smaller headphones, the bulk of the baby this time I can not be cool for a long time. Before buying the best player to see or not to support aptx, not to blame when the headset sound quality is po"&amp;"or 👎")</f>
        <v>Lord listen to rock, then it must be 600CNY price! Transient really good ah! So exciting the people to follow straight up and down, rock artifact, feeling very, very worth the price, but I think it's 1300 domestic sales of the top. The street is cool, sometimes even contempt perverse beats😂 drawback is slightly smaller headphones, the bulk of the baby this time I can not be cool for a long time. Before buying the best player to see or not to support aptx, not to blame when the headset sound quality is poor 👎</v>
      </c>
    </row>
    <row r="3160">
      <c r="A3160" s="1">
        <v>5.0</v>
      </c>
      <c r="B3160" s="1" t="s">
        <v>3150</v>
      </c>
      <c r="C3160" t="str">
        <f>IFERROR(__xludf.DUMMYFUNCTION("GOOGLETRANSLATE(B3160, ""zh"", ""en"")"),"Personal wild underwear skin wear underwear, very comfortable, size is just right. Very good.")</f>
        <v>Personal wild underwear skin wear underwear, very comfortable, size is just right. Very good.</v>
      </c>
    </row>
    <row r="3161">
      <c r="A3161" s="1">
        <v>5.0</v>
      </c>
      <c r="B3161" s="1" t="s">
        <v>3151</v>
      </c>
      <c r="C3161" t="str">
        <f>IFERROR(__xludf.DUMMYFUNCTION("GOOGLETRANSLATE(B3161, ""zh"", ""en"")"),"Bag bag temperament can be really very edge of the eye, hoping to get a good experience, thank you!")</f>
        <v>Bag bag temperament can be really very edge of the eye, hoping to get a good experience, thank you!</v>
      </c>
    </row>
    <row r="3162">
      <c r="A3162" s="1">
        <v>5.0</v>
      </c>
      <c r="B3162" s="1" t="s">
        <v>3152</v>
      </c>
      <c r="C3162" t="str">
        <f>IFERROR(__xludf.DUMMYFUNCTION("GOOGLETRANSLATE(B3162, ""zh"", ""en"")"),"Very good, high cost, very good, high cost")</f>
        <v>Very good, high cost, very good, high cost</v>
      </c>
    </row>
    <row r="3163">
      <c r="A3163" s="1">
        <v>5.0</v>
      </c>
      <c r="B3163" s="1" t="s">
        <v>3153</v>
      </c>
      <c r="C3163" t="str">
        <f>IFERROR(__xludf.DUMMYFUNCTION("GOOGLETRANSLATE(B3163, ""zh"", ""en"")"),"Very good, very convenient genuine, packaging essential food supplement!")</f>
        <v>Very good, very convenient genuine, packaging essential food supplement!</v>
      </c>
    </row>
    <row r="3164">
      <c r="A3164" s="1">
        <v>5.0</v>
      </c>
      <c r="B3164" s="1" t="s">
        <v>3154</v>
      </c>
      <c r="C3164" t="str">
        <f>IFERROR(__xludf.DUMMYFUNCTION("GOOGLETRANSLATE(B3164, ""zh"", ""en"")"),"Store something good conscience, the courier is to force a praise Zile, thank you store!")</f>
        <v>Store something good conscience, the courier is to force a praise Zile, thank you store!</v>
      </c>
    </row>
    <row r="3165">
      <c r="A3165" s="1">
        <v>5.0</v>
      </c>
      <c r="B3165" s="1" t="s">
        <v>3155</v>
      </c>
      <c r="C3165" t="str">
        <f>IFERROR(__xludf.DUMMYFUNCTION("GOOGLETRANSLATE(B3165, ""zh"", ""en"")"),"Tariffs not get to know for the first time in the Amazon sea Amoy, packaging is very simple, things intact. There are no taxes and no one informed me, this is a little strange.")</f>
        <v>Tariffs not get to know for the first time in the Amazon sea Amoy, packaging is very simple, things intact. There are no taxes and no one informed me, this is a little strange.</v>
      </c>
    </row>
    <row r="3166">
      <c r="A3166" s="1">
        <v>5.0</v>
      </c>
      <c r="B3166" s="1" t="s">
        <v>3156</v>
      </c>
      <c r="C3166" t="str">
        <f>IFERROR(__xludf.DUMMYFUNCTION("GOOGLETRANSLATE(B3166, ""zh"", ""en"")"),"it is good! it is good! it is good! awesome! Feel, sometimes very good.")</f>
        <v>it is good! it is good! it is good! awesome! Feel, sometimes very good.</v>
      </c>
    </row>
    <row r="3167">
      <c r="A3167" s="1">
        <v>5.0</v>
      </c>
      <c r="B3167" s="1" t="s">
        <v>3157</v>
      </c>
      <c r="C3167" t="str">
        <f>IFERROR(__xludf.DUMMYFUNCTION("GOOGLETRANSLATE(B3167, ""zh"", ""en"")"),"Quality is very easy to choose the size does not necessarily fit the height, I use the data strobe waist size is very fit, my waistline is 90CM, after the election 32W * 34L jeans very fit, good material, workmanship Ye Hao, logistics is also fast, a very"&amp;" pleasant shopping experience, Amazon do not want to narrow China's business")</f>
        <v>Quality is very easy to choose the size does not necessarily fit the height, I use the data strobe waist size is very fit, my waistline is 90CM, after the election 32W * 34L jeans very fit, good material, workmanship Ye Hao, logistics is also fast, a very pleasant shopping experience, Amazon do not want to narrow China's business</v>
      </c>
    </row>
    <row r="3168">
      <c r="A3168" s="1">
        <v>5.0</v>
      </c>
      <c r="B3168" s="1" t="s">
        <v>3158</v>
      </c>
      <c r="C3168" t="str">
        <f>IFERROR(__xludf.DUMMYFUNCTION("GOOGLETRANSLATE(B3168, ""zh"", ""en"")"),"Fast fast, direct mail in Germany. Just do not know the power plug can be used directly or need to buy a converter can be used.")</f>
        <v>Fast fast, direct mail in Germany. Just do not know the power plug can be used directly or need to buy a converter can be used.</v>
      </c>
    </row>
    <row r="3169">
      <c r="A3169" s="1">
        <v>5.0</v>
      </c>
      <c r="B3169" s="1" t="s">
        <v>3159</v>
      </c>
      <c r="C3169" t="str">
        <f>IFERROR(__xludf.DUMMYFUNCTION("GOOGLETRANSLATE(B3169, ""zh"", ""en"")"),"4.54TB the price is right, more compact packaging intact, 4.54TB available, not bad")</f>
        <v>4.54TB the price is right, more compact packaging intact, 4.54TB available, not bad</v>
      </c>
    </row>
    <row r="3170">
      <c r="A3170" s="1">
        <v>5.0</v>
      </c>
      <c r="B3170" s="1" t="s">
        <v>3160</v>
      </c>
      <c r="C3170" t="str">
        <f>IFERROR(__xludf.DUMMYFUNCTION("GOOGLETRANSLATE(B3170, ""zh"", ""en"")"),"I like very good, a good sound card you must")</f>
        <v>I like very good, a good sound card you must</v>
      </c>
    </row>
    <row r="3171">
      <c r="A3171" s="1">
        <v>5.0</v>
      </c>
      <c r="B3171" s="1" t="s">
        <v>3161</v>
      </c>
      <c r="C3171" t="str">
        <f>IFERROR(__xludf.DUMMYFUNCTION("GOOGLETRANSLATE(B3171, ""zh"", ""en"")"),"Experience wife supplies. Pay attention to safety and health. Wife like to use this brand, comfortable and at ease.")</f>
        <v>Experience wife supplies. Pay attention to safety and health. Wife like to use this brand, comfortable and at ease.</v>
      </c>
    </row>
    <row r="3172">
      <c r="A3172" s="1">
        <v>5.0</v>
      </c>
      <c r="B3172" s="1" t="s">
        <v>3162</v>
      </c>
      <c r="C3172" t="str">
        <f>IFERROR(__xludf.DUMMYFUNCTION("GOOGLETRANSLATE(B3172, ""zh"", ""en"")"),"Dema, as always, good soft close, very fit. Fitness equipment has been Dema")</f>
        <v>Dema, as always, good soft close, very fit. Fitness equipment has been Dema</v>
      </c>
    </row>
    <row r="3173">
      <c r="A3173" s="1">
        <v>5.0</v>
      </c>
      <c r="B3173" s="1" t="s">
        <v>3163</v>
      </c>
      <c r="C3173" t="str">
        <f>IFERROR(__xludf.DUMMYFUNCTION("GOOGLETRANSLATE(B3173, ""zh"", ""en"")"),"I enjoyed very good 👍")</f>
        <v>I enjoyed very good 👍</v>
      </c>
    </row>
    <row r="3174">
      <c r="A3174" s="1">
        <v>5.0</v>
      </c>
      <c r="B3174" s="1" t="s">
        <v>3164</v>
      </c>
      <c r="C3174" t="str">
        <f>IFERROR(__xludf.DUMMYFUNCTION("GOOGLETRANSLATE(B3174, ""zh"", ""en"")"),"Something good, that is, the United States shipped over a box, too much damage. Brush good, generous and practical, there is a hand-carry even more perfect. It is packaging product protection, urgent need to strengthen, so sorry this product up! ! ! ! ! !"&amp;" !")</f>
        <v>Something good, that is, the United States shipped over a box, too much damage. Brush good, generous and practical, there is a hand-carry even more perfect. It is packaging product protection, urgent need to strengthen, so sorry this product up! ! ! ! ! ! !</v>
      </c>
    </row>
    <row r="3175">
      <c r="A3175" s="1">
        <v>2.0</v>
      </c>
      <c r="B3175" s="1" t="s">
        <v>3165</v>
      </c>
      <c r="C3175" t="str">
        <f>IFERROR(__xludf.DUMMYFUNCTION("GOOGLETRANSLATE(B3175, ""zh"", ""en"")"),"Jeans this version might not really suitable for Chinese people across the loosely collapse")</f>
        <v>Jeans this version might not really suitable for Chinese people across the loosely collapse</v>
      </c>
    </row>
    <row r="3176">
      <c r="A3176" s="1">
        <v>3.0</v>
      </c>
      <c r="B3176" s="1" t="s">
        <v>3166</v>
      </c>
      <c r="C3176" t="str">
        <f>IFERROR(__xludf.DUMMYFUNCTION("GOOGLETRANSLATE(B3176, ""zh"", ""en"")"),"Headphones anterior thrust requirements are too high, the general feeling.")</f>
        <v>Headphones anterior thrust requirements are too high, the general feeling.</v>
      </c>
    </row>
    <row r="3177">
      <c r="A3177" s="1">
        <v>3.0</v>
      </c>
      <c r="B3177" s="1" t="s">
        <v>3167</v>
      </c>
      <c r="C3177" t="str">
        <f>IFERROR(__xludf.DUMMYFUNCTION("GOOGLETRANSLATE(B3177, ""zh"", ""en"")"),"Small 172 / 67kg, s code small, but rather long sleeves. Returns strenuous.")</f>
        <v>Small 172 / 67kg, s code small, but rather long sleeves. Returns strenuous.</v>
      </c>
    </row>
    <row r="3178">
      <c r="A3178" s="1">
        <v>1.0</v>
      </c>
      <c r="B3178" s="1" t="s">
        <v>3168</v>
      </c>
      <c r="C3178" t="str">
        <f>IFERROR(__xludf.DUMMYFUNCTION("GOOGLETRANSLATE(B3178, ""zh"", ""en"")"),"Foreign garbage this is obviously old clothes, garbage, even if there is no tag on the clothes there are obvious traces of oil, an Indian fox odor, returns.")</f>
        <v>Foreign garbage this is obviously old clothes, garbage, even if there is no tag on the clothes there are obvious traces of oil, an Indian fox odor, returns.</v>
      </c>
    </row>
    <row r="3179">
      <c r="A3179" s="1">
        <v>1.0</v>
      </c>
      <c r="B3179" s="1" t="s">
        <v>3169</v>
      </c>
      <c r="C3179" t="str">
        <f>IFERROR(__xludf.DUMMYFUNCTION("GOOGLETRANSLATE(B3179, ""zh"", ""en"")"),"Pilling serious, not recommended to buy poor quality, the surface of the ball from the serious, wearing a day or two to have a local pilling outer wear can not, affect the appearance of the point. Not recommended to buy.")</f>
        <v>Pilling serious, not recommended to buy poor quality, the surface of the ball from the serious, wearing a day or two to have a local pilling outer wear can not, affect the appearance of the point. Not recommended to buy.</v>
      </c>
    </row>
    <row r="3180">
      <c r="A3180" s="1">
        <v>1.0</v>
      </c>
      <c r="B3180" s="1" t="s">
        <v>3170</v>
      </c>
      <c r="C3180" t="str">
        <f>IFERROR(__xludf.DUMMYFUNCTION("GOOGLETRANSLATE(B3180, ""zh"", ""en"")"),"Defective products, can not contact the after-sale clothes injury, defective products")</f>
        <v>Defective products, can not contact the after-sale clothes injury, defective products</v>
      </c>
    </row>
    <row r="3181">
      <c r="A3181" s="1">
        <v>4.0</v>
      </c>
      <c r="B3181" s="1" t="s">
        <v>3171</v>
      </c>
      <c r="C3181" t="str">
        <f>IFERROR(__xludf.DUMMYFUNCTION("GOOGLETRANSLATE(B3181, ""zh"", ""en"")"),"Quality is very good buy smaller, but also blame she has gained weight, she does not blame bad clothes, good quality")</f>
        <v>Quality is very good buy smaller, but also blame she has gained weight, she does not blame bad clothes, good quality</v>
      </c>
    </row>
    <row r="3182">
      <c r="A3182" s="1">
        <v>4.0</v>
      </c>
      <c r="B3182" s="1" t="s">
        <v>3172</v>
      </c>
      <c r="C3182" t="str">
        <f>IFERROR(__xludf.DUMMYFUNCTION("GOOGLETRANSLATE(B3182, ""zh"", ""en"")"),"Clean and transparent sound quality. Good quality, the sound is very neutral, no rendering, sound values ​​of five stars. Just can not fold, convenient travel.")</f>
        <v>Clean and transparent sound quality. Good quality, the sound is very neutral, no rendering, sound values ​​of five stars. Just can not fold, convenient travel.</v>
      </c>
    </row>
    <row r="3183">
      <c r="A3183" s="1">
        <v>4.0</v>
      </c>
      <c r="B3183" s="1" t="s">
        <v>3173</v>
      </c>
      <c r="C3183" t="str">
        <f>IFERROR(__xludf.DUMMYFUNCTION("GOOGLETRANSLATE(B3183, ""zh"", ""en"")"),"Size is not the standard size too small")</f>
        <v>Size is not the standard size too small</v>
      </c>
    </row>
    <row r="3184">
      <c r="A3184" s="1">
        <v>4.0</v>
      </c>
      <c r="B3184" s="1" t="s">
        <v>3174</v>
      </c>
      <c r="C3184" t="str">
        <f>IFERROR(__xludf.DUMMYFUNCTION("GOOGLETRANSLATE(B3184, ""zh"", ""en"")"),"Good price and quality are good quality, great texture cortex, the right size, feel a little bit low heel shoes in the end, a kind of high to low feeling, I do not know whether this design.")</f>
        <v>Good price and quality are good quality, great texture cortex, the right size, feel a little bit low heel shoes in the end, a kind of high to low feeling, I do not know whether this design.</v>
      </c>
    </row>
    <row r="3185">
      <c r="A3185" s="1">
        <v>4.0</v>
      </c>
      <c r="B3185" s="1" t="s">
        <v>3175</v>
      </c>
      <c r="C3185" t="str">
        <f>IFERROR(__xludf.DUMMYFUNCTION("GOOGLETRANSLATE(B3185, ""zh"", ""en"")"),"This pen is purchased abroad, overseas do not pay attention to packaging ah, so filled with random, we are not afraid of losing ah, no gift box and pencil case, a little disappointed, packaging is also too casual, like a pencil cases are pressed into. Pen"&amp;" lighter. This is to give as gifts, somewhat embarrassed, like fake")</f>
        <v>This pen is purchased abroad, overseas do not pay attention to packaging ah, so filled with random, we are not afraid of losing ah, no gift box and pencil case, a little disappointed, packaging is also too casual, like a pencil cases are pressed into. Pen lighter. This is to give as gifts, somewhat embarrassed, like fake</v>
      </c>
    </row>
    <row r="3186">
      <c r="A3186" s="1">
        <v>5.0</v>
      </c>
      <c r="B3186" s="1" t="s">
        <v>3176</v>
      </c>
      <c r="C3186" t="str">
        <f>IFERROR(__xludf.DUMMYFUNCTION("GOOGLETRANSLATE(B3186, ""zh"", ""en"")"),"Coenzyme Q10, I believe Levin and Crafts United States. Buy eating again, you can feel! Logistics is more than half a month to a month before.")</f>
        <v>Coenzyme Q10, I believe Levin and Crafts United States. Buy eating again, you can feel! Logistics is more than half a month to a month before.</v>
      </c>
    </row>
    <row r="3187">
      <c r="A3187" s="1">
        <v>5.0</v>
      </c>
      <c r="B3187" s="1" t="s">
        <v>3177</v>
      </c>
      <c r="C3187" t="str">
        <f>IFERROR(__xludf.DUMMYFUNCTION("GOOGLETRANSLATE(B3187, ""zh"", ""en"")"),"Moisturizing, very good, no incense, very moist, give your baby with good results")</f>
        <v>Moisturizing, very good, no incense, very moist, give your baby with good results</v>
      </c>
    </row>
    <row r="3188">
      <c r="A3188" s="1">
        <v>5.0</v>
      </c>
      <c r="B3188" s="1" t="s">
        <v>3178</v>
      </c>
      <c r="C3188" t="str">
        <f>IFERROR(__xludf.DUMMYFUNCTION("GOOGLETRANSLATE(B3188, ""zh"", ""en"")"),"Give as gifts to give as gifts, I did not know good or bad, but look very good")</f>
        <v>Give as gifts to give as gifts, I did not know good or bad, but look very good</v>
      </c>
    </row>
    <row r="3189">
      <c r="A3189" s="1">
        <v>5.0</v>
      </c>
      <c r="B3189" s="1" t="s">
        <v>3179</v>
      </c>
      <c r="C3189" t="str">
        <f>IFERROR(__xludf.DUMMYFUNCTION("GOOGLETRANSLATE(B3189, ""zh"", ""en"")"),"Every year to buy, cheap and comfortable this every year to buy, cheap and comfortable")</f>
        <v>Every year to buy, cheap and comfortable this every year to buy, cheap and comfortable</v>
      </c>
    </row>
    <row r="3190">
      <c r="A3190" s="1">
        <v>5.0</v>
      </c>
      <c r="B3190" s="1" t="s">
        <v>3180</v>
      </c>
      <c r="C3190" t="str">
        <f>IFERROR(__xludf.DUMMYFUNCTION("GOOGLETRANSLATE(B3190, ""zh"", ""en"")"),"Recommended to buy a cup great texture, light and easy to carry, effective insulation, Nichia direct mail, praise, we recommended to buy.")</f>
        <v>Recommended to buy a cup great texture, light and easy to carry, effective insulation, Nichia direct mail, praise, we recommended to buy.</v>
      </c>
    </row>
    <row r="3191">
      <c r="A3191" s="1">
        <v>5.0</v>
      </c>
      <c r="B3191" s="1" t="s">
        <v>3181</v>
      </c>
      <c r="C3191" t="str">
        <f>IFERROR(__xludf.DUMMYFUNCTION("GOOGLETRANSLATE(B3191, ""zh"", ""en"")"),"Very satisfied with the quality of good, cheap, fast delivery. Products and services are very satisfied.")</f>
        <v>Very satisfied with the quality of good, cheap, fast delivery. Products and services are very satisfied.</v>
      </c>
    </row>
    <row r="3192">
      <c r="A3192" s="1">
        <v>5.0</v>
      </c>
      <c r="B3192" s="1" t="s">
        <v>3182</v>
      </c>
      <c r="C3192" t="str">
        <f>IFERROR(__xludf.DUMMYFUNCTION("GOOGLETRANSLATE(B3192, ""zh"", ""en"")"),"Good shoes to wear comfortable, looks very nice")</f>
        <v>Good shoes to wear comfortable, looks very nice</v>
      </c>
    </row>
    <row r="3193">
      <c r="A3193" s="1">
        <v>5.0</v>
      </c>
      <c r="B3193" s="1" t="s">
        <v>3183</v>
      </c>
      <c r="C3193" t="str">
        <f>IFERROR(__xludf.DUMMYFUNCTION("GOOGLETRANSLATE(B3193, ""zh"", ""en"")"),"Nice easy stuff super useful coffee machine, can easily and quickly soak a good cup of coffee, you do not need cleaning.")</f>
        <v>Nice easy stuff super useful coffee machine, can easily and quickly soak a good cup of coffee, you do not need cleaning.</v>
      </c>
    </row>
    <row r="3194">
      <c r="A3194" s="1">
        <v>5.0</v>
      </c>
      <c r="B3194" s="1" t="s">
        <v>3184</v>
      </c>
      <c r="C3194" t="str">
        <f>IFERROR(__xludf.DUMMYFUNCTION("GOOGLETRANSLATE(B3194, ""zh"", ""en"")"),"Very satisfied very much like satisfaction is overpaid, low price of some of those too impatient to start again")</f>
        <v>Very satisfied very much like satisfaction is overpaid, low price of some of those too impatient to start again</v>
      </c>
    </row>
    <row r="3195">
      <c r="A3195" s="1">
        <v>5.0</v>
      </c>
      <c r="B3195" s="1" t="s">
        <v>3185</v>
      </c>
      <c r="C3195" t="str">
        <f>IFERROR(__xludf.DUMMYFUNCTION("GOOGLETRANSLATE(B3195, ""zh"", ""en"")"),"Good to see the comments of others only see a sense of integration activities to honor a missed eleven one hundred million to buy too many comments but simply to replicate these words to good")</f>
        <v>Good to see the comments of others only see a sense of integration activities to honor a missed eleven one hundred million to buy too many comments but simply to replicate these words to good</v>
      </c>
    </row>
    <row r="3196">
      <c r="A3196" s="1">
        <v>5.0</v>
      </c>
      <c r="B3196" s="1" t="s">
        <v>3186</v>
      </c>
      <c r="C3196" t="str">
        <f>IFERROR(__xludf.DUMMYFUNCTION("GOOGLETRANSLATE(B3196, ""zh"", ""en"")"),"Maroon maroon nice to pick a good hhh, feel quite stick")</f>
        <v>Maroon maroon nice to pick a good hhh, feel quite stick</v>
      </c>
    </row>
    <row r="3197">
      <c r="A3197" s="1">
        <v>5.0</v>
      </c>
      <c r="B3197" s="1" t="s">
        <v>3187</v>
      </c>
      <c r="C3197" t="str">
        <f>IFERROR(__xludf.DUMMYFUNCTION("GOOGLETRANSLATE(B3197, ""zh"", ""en"")"),"Satisfaction and his wife to buy the same as before, good to wear, durable, wear this underwear I do not want to wear anything else")</f>
        <v>Satisfaction and his wife to buy the same as before, good to wear, durable, wear this underwear I do not want to wear anything else</v>
      </c>
    </row>
    <row r="3198">
      <c r="A3198" s="1">
        <v>5.0</v>
      </c>
      <c r="B3198" s="1" t="s">
        <v>3188</v>
      </c>
      <c r="C3198" t="str">
        <f>IFERROR(__xludf.DUMMYFUNCTION("GOOGLETRANSLATE(B3198, ""zh"", ""en"")"),"it is good! No. 20 order, received today! And really easy to use! Bristles are soft and thin, large area of ​​brush, brush feels very clean!")</f>
        <v>it is good! No. 20 order, received today! And really easy to use! Bristles are soft and thin, large area of ​​brush, brush feels very clean!</v>
      </c>
    </row>
    <row r="3199">
      <c r="A3199" s="1">
        <v>5.0</v>
      </c>
      <c r="B3199" s="1" t="s">
        <v>3189</v>
      </c>
      <c r="C3199" t="str">
        <f>IFERROR(__xludf.DUMMYFUNCTION("GOOGLETRANSLATE(B3199, ""zh"", ""en"")"),"Texture is also good, that is a little short")</f>
        <v>Texture is also good, that is a little short</v>
      </c>
    </row>
    <row r="3200">
      <c r="A3200" s="1">
        <v>5.0</v>
      </c>
      <c r="B3200" s="1" t="s">
        <v>3190</v>
      </c>
      <c r="C3200" t="str">
        <f>IFERROR(__xludf.DUMMYFUNCTION("GOOGLETRANSLATE(B3200, ""zh"", ""en"")"),"Superb addition to calcium tablets too outside, nothing bad, 250, day two, you can eat more than one hundred days")</f>
        <v>Superb addition to calcium tablets too outside, nothing bad, 250, day two, you can eat more than one hundred days</v>
      </c>
    </row>
    <row r="3201">
      <c r="A3201" s="1">
        <v>5.0</v>
      </c>
      <c r="B3201" s="1" t="s">
        <v>3191</v>
      </c>
      <c r="C3201" t="str">
        <f>IFERROR(__xludf.DUMMYFUNCTION("GOOGLETRANSLATE(B3201, ""zh"", ""en"")"),"Very suitable for very good time shopping, would have to worry about buying big, after receiving a surprise, especially the right, and not what is being said foot wear, perfect")</f>
        <v>Very suitable for very good time shopping, would have to worry about buying big, after receiving a surprise, especially the right, and not what is being said foot wear, perfect</v>
      </c>
    </row>
    <row r="3202">
      <c r="A3202" s="1">
        <v>5.0</v>
      </c>
      <c r="B3202" s="1" t="s">
        <v>3192</v>
      </c>
      <c r="C3202" t="str">
        <f>IFERROR(__xludf.DUMMYFUNCTION("GOOGLETRANSLATE(B3202, ""zh"", ""en"")"),"Trusted trusted")</f>
        <v>Trusted trusted</v>
      </c>
    </row>
    <row r="3203">
      <c r="A3203" s="1">
        <v>5.0</v>
      </c>
      <c r="B3203" s="1" t="s">
        <v>3193</v>
      </c>
      <c r="C3203" t="str">
        <f>IFERROR(__xludf.DUMMYFUNCTION("GOOGLETRANSLATE(B3203, ""zh"", ""en"")"),"Cost-effective cost-effective to buy a total of three bags, a package plan is a cut, but not even a bar")</f>
        <v>Cost-effective cost-effective to buy a total of three bags, a package plan is a cut, but not even a bar</v>
      </c>
    </row>
    <row r="3204">
      <c r="A3204" s="1">
        <v>5.0</v>
      </c>
      <c r="B3204" s="1" t="s">
        <v>3194</v>
      </c>
      <c r="C3204" t="str">
        <f>IFERROR(__xludf.DUMMYFUNCTION("GOOGLETRANSLATE(B3204, ""zh"", ""en"")"),"Something good something good, but the price is too expensive, but worth it.")</f>
        <v>Something good something good, but the price is too expensive, but worth it.</v>
      </c>
    </row>
    <row r="3205">
      <c r="A3205" s="1">
        <v>5.0</v>
      </c>
      <c r="B3205" s="1" t="s">
        <v>3195</v>
      </c>
      <c r="C3205" t="str">
        <f>IFERROR(__xludf.DUMMYFUNCTION("GOOGLETRANSLATE(B3205, ""zh"", ""en"")"),"I believe Pigeon Pigeon believe, something good")</f>
        <v>I believe Pigeon Pigeon believe, something good</v>
      </c>
    </row>
    <row r="3206">
      <c r="A3206" s="1">
        <v>5.0</v>
      </c>
      <c r="B3206" s="1" t="s">
        <v>3196</v>
      </c>
      <c r="C3206" t="str">
        <f>IFERROR(__xludf.DUMMYFUNCTION("GOOGLETRANSLATE(B3206, ""zh"", ""en"")"),"Suitable relatively fit")</f>
        <v>Suitable relatively fit</v>
      </c>
    </row>
    <row r="3207">
      <c r="A3207" s="1">
        <v>5.0</v>
      </c>
      <c r="B3207" s="1" t="s">
        <v>3197</v>
      </c>
      <c r="C3207" t="str">
        <f>IFERROR(__xludf.DUMMYFUNCTION("GOOGLETRANSLATE(B3207, ""zh"", ""en"")"),"White shoes good shoes are very light, leather can also be")</f>
        <v>White shoes good shoes are very light, leather can also be</v>
      </c>
    </row>
    <row r="3208">
      <c r="A3208" s="1">
        <v>2.0</v>
      </c>
      <c r="B3208" s="1" t="s">
        <v>3198</v>
      </c>
      <c r="C3208" t="str">
        <f>IFERROR(__xludf.DUMMYFUNCTION("GOOGLETRANSLATE(B3208, ""zh"", ""en"")"),"General tried it, a lot of great clothes inside out fluff off the fluff full of underwear, not elastic hem, baggy, and imagine the gap is not small, baggy.")</f>
        <v>General tried it, a lot of great clothes inside out fluff off the fluff full of underwear, not elastic hem, baggy, and imagine the gap is not small, baggy.</v>
      </c>
    </row>
    <row r="3209">
      <c r="A3209" s="1">
        <v>3.0</v>
      </c>
      <c r="B3209" s="1" t="s">
        <v>3199</v>
      </c>
      <c r="C3209" t="str">
        <f>IFERROR(__xludf.DUMMYFUNCTION("GOOGLETRANSLATE(B3209, ""zh"", ""en"")"),"Tickets can not be bought, 62.1, Yan high value of the three high-temperature sterilization activity, but not pasteurized and spoon with steam sterilizer once after lifting the edges of the pattern all ...... scratch apple soup are fed very good, the over"&amp;"all feel of what are great, so he continued tilted used. So after they used the baby will be replaced.")</f>
        <v>Tickets can not be bought, 62.1, Yan high value of the three high-temperature sterilization activity, but not pasteurized and spoon with steam sterilizer once after lifting the edges of the pattern all ...... scratch apple soup are fed very good, the overall feel of what are great, so he continued tilted used. So after they used the baby will be replaced.</v>
      </c>
    </row>
    <row r="3210">
      <c r="A3210" s="1">
        <v>3.0</v>
      </c>
      <c r="B3210" s="1" t="s">
        <v>3200</v>
      </c>
      <c r="C3210" t="str">
        <f>IFERROR(__xludf.DUMMYFUNCTION("GOOGLETRANSLATE(B3210, ""zh"", ""en"")"),"Size is too big quality can be, is a relatively soft fabric, size is larger than the domestic one yards, transfer people")</f>
        <v>Size is too big quality can be, is a relatively soft fabric, size is larger than the domestic one yards, transfer people</v>
      </c>
    </row>
    <row r="3211">
      <c r="A3211" s="1">
        <v>1.0</v>
      </c>
      <c r="B3211" s="1" t="s">
        <v>3201</v>
      </c>
      <c r="C3211" t="str">
        <f>IFERROR(__xludf.DUMMYFUNCTION("GOOGLETRANSLATE(B3211, ""zh"", ""en"")"),"Shoes code than the domestic small can not wear caused by less than half the size of times above code, can not wear too tight")</f>
        <v>Shoes code than the domestic small can not wear caused by less than half the size of times above code, can not wear too tight</v>
      </c>
    </row>
    <row r="3212">
      <c r="A3212" s="1">
        <v>1.0</v>
      </c>
      <c r="B3212" s="1" t="s">
        <v>3202</v>
      </c>
      <c r="C3212" t="str">
        <f>IFERROR(__xludf.DUMMYFUNCTION("GOOGLETRANSLATE(B3212, ""zh"", ""en"")"),"Toe shoes are glued to the left there is a 1cm or so unglued")</f>
        <v>Toe shoes are glued to the left there is a 1cm or so unglued</v>
      </c>
    </row>
    <row r="3213">
      <c r="A3213" s="1">
        <v>1.0</v>
      </c>
      <c r="B3213" s="1" t="s">
        <v>3203</v>
      </c>
      <c r="C3213" t="str">
        <f>IFERROR(__xludf.DUMMYFUNCTION("GOOGLETRANSLATE(B3213, ""zh"", ""en"")"),"This model is generally okay, relatively warm, but really annoying pilling")</f>
        <v>This model is generally okay, relatively warm, but really annoying pilling</v>
      </c>
    </row>
    <row r="3214">
      <c r="A3214" s="1">
        <v>4.0</v>
      </c>
      <c r="B3214" s="1" t="s">
        <v>3204</v>
      </c>
      <c r="C3214" t="str">
        <f>IFERROR(__xludf.DUMMYFUNCTION("GOOGLETRANSLATE(B3214, ""zh"", ""en"")"),"Cheap, but it is the European version, not very suitable for Asians cheap, but it is the European version, is not very suitable for Asians, especially skinny oriental woman")</f>
        <v>Cheap, but it is the European version, not very suitable for Asians cheap, but it is the European version, is not very suitable for Asians, especially skinny oriental woman</v>
      </c>
    </row>
    <row r="3215">
      <c r="A3215" s="1">
        <v>4.0</v>
      </c>
      <c r="B3215" s="1" t="s">
        <v>3205</v>
      </c>
      <c r="C3215" t="str">
        <f>IFERROR(__xludf.DUMMYFUNCTION("GOOGLETRANSLATE(B3215, ""zh"", ""en"")"),"IDX 200 delivery is too slow, under orders to 20 days. The sound field is wide enough to dive bass, treble part but more mixed. And quality control is not very good, I got this pair of hands, a little bad contacts.")</f>
        <v>IDX 200 delivery is too slow, under orders to 20 days. The sound field is wide enough to dive bass, treble part but more mixed. And quality control is not very good, I got this pair of hands, a little bad contacts.</v>
      </c>
    </row>
    <row r="3216">
      <c r="A3216" s="1">
        <v>4.0</v>
      </c>
      <c r="B3216" s="1" t="s">
        <v>3206</v>
      </c>
      <c r="C3216" t="str">
        <f>IFERROR(__xludf.DUMMYFUNCTION("GOOGLETRANSLATE(B3216, ""zh"", ""en"")"),"Praise insulation and other are satisfied, but the effect is slightly inferior stew a little, overall satisfaction!")</f>
        <v>Praise insulation and other are satisfied, but the effect is slightly inferior stew a little, overall satisfaction!</v>
      </c>
    </row>
    <row r="3217">
      <c r="A3217" s="1">
        <v>4.0</v>
      </c>
      <c r="B3217" s="1" t="s">
        <v>3207</v>
      </c>
      <c r="C3217" t="str">
        <f>IFERROR(__xludf.DUMMYFUNCTION("GOOGLETRANSLATE(B3217, ""zh"", ""en"")"),"Number is much larger, good quality fabric, more appropriate, there is color. First, do not refer to the Amazon to overseas purchase reference code, inappropriate. I 190cm 105kg longer legs fairly thick. I bought 42 × 34. Try to come back, bigger waist, l"&amp;"ong pants long straight is not the slightest bit, pants thigh fat is no edge, the pants leg when the thigh can be used. It recommended thinner waistline to buy a small number two, number two small long pants. Some fat waist to buy a smaller size, long pan"&amp;"ts to buy a smaller size. Second, the fabric is very good, very strong, relatively thick. Unlike the domestic fashion wear, like overalls child. Third, the color buy Newman, and pictures and descriptions a lot worse.")</f>
        <v>Number is much larger, good quality fabric, more appropriate, there is color. First, do not refer to the Amazon to overseas purchase reference code, inappropriate. I 190cm 105kg longer legs fairly thick. I bought 42 × 34. Try to come back, bigger waist, long pants long straight is not the slightest bit, pants thigh fat is no edge, the pants leg when the thigh can be used. It recommended thinner waistline to buy a small number two, number two small long pants. Some fat waist to buy a smaller size, long pants to buy a smaller size. Second, the fabric is very good, very strong, relatively thick. Unlike the domestic fashion wear, like overalls child. Third, the color buy Newman, and pictures and descriptions a lot worse.</v>
      </c>
    </row>
    <row r="3218">
      <c r="A3218" s="1">
        <v>4.0</v>
      </c>
      <c r="B3218" s="1" t="s">
        <v>3208</v>
      </c>
      <c r="C3218" t="str">
        <f>IFERROR(__xludf.DUMMYFUNCTION("GOOGLETRANSLATE(B3218, ""zh"", ""en"")"),"It can be cost-effective, less than 200 purchase, through domestic not.")</f>
        <v>It can be cost-effective, less than 200 purchase, through domestic not.</v>
      </c>
    </row>
    <row r="3219">
      <c r="A3219" s="1">
        <v>5.0</v>
      </c>
      <c r="B3219" s="1" t="s">
        <v>3209</v>
      </c>
      <c r="C3219" t="str">
        <f>IFERROR(__xludf.DUMMYFUNCTION("GOOGLETRANSLATE(B3219, ""zh"", ""en"")"),"Very good very good, just press on the master, very provincial water, and a heat-resistant plastic case, very fine workmanship")</f>
        <v>Very good very good, just press on the master, very provincial water, and a heat-resistant plastic case, very fine workmanship</v>
      </c>
    </row>
    <row r="3220">
      <c r="A3220" s="1">
        <v>5.0</v>
      </c>
      <c r="B3220" s="1" t="s">
        <v>3210</v>
      </c>
      <c r="C3220" t="str">
        <f>IFERROR(__xludf.DUMMYFUNCTION("GOOGLETRANSLATE(B3220, ""zh"", ""en"")"),"Affordable easy to use, not to say the price primeday missed the event, and to see this new global or universal voltage, the price is to force, it is decisive to start! After receiving also expectations by a large storage capacity, but also convenient. Ve"&amp;"ry porridge.")</f>
        <v>Affordable easy to use, not to say the price primeday missed the event, and to see this new global or universal voltage, the price is to force, it is decisive to start! After receiving also expectations by a large storage capacity, but also convenient. Very porridge.</v>
      </c>
    </row>
    <row r="3221">
      <c r="A3221" s="1">
        <v>5.0</v>
      </c>
      <c r="B3221" s="1" t="s">
        <v>3211</v>
      </c>
      <c r="C3221" t="str">
        <f>IFERROR(__xludf.DUMMYFUNCTION("GOOGLETRANSLATE(B3221, ""zh"", ""en"")"),"Elastic waist material is a very good surprise! Thick fabric, elastic waist is actually designed intimate, middle-aged man in the stomach for a surprise")</f>
        <v>Elastic waist material is a very good surprise! Thick fabric, elastic waist is actually designed intimate, middle-aged man in the stomach for a surprise</v>
      </c>
    </row>
    <row r="3222">
      <c r="A3222" s="1">
        <v>5.0</v>
      </c>
      <c r="B3222" s="1" t="s">
        <v>3212</v>
      </c>
      <c r="C3222" t="str">
        <f>IFERROR(__xludf.DUMMYFUNCTION("GOOGLETRANSLATE(B3222, ""zh"", ""en"")"),"China 38, United States Code 36, is too large domestic 38, United States Code 36 deliberately buy small, just fit, good quality, new pants hanging pulp bit hard, Pei-ling will be better")</f>
        <v>China 38, United States Code 36, is too large domestic 38, United States Code 36 deliberately buy small, just fit, good quality, new pants hanging pulp bit hard, Pei-ling will be better</v>
      </c>
    </row>
    <row r="3223">
      <c r="A3223" s="1">
        <v>5.0</v>
      </c>
      <c r="B3223" s="1" t="s">
        <v>3213</v>
      </c>
      <c r="C3223" t="str">
        <f>IFERROR(__xludf.DUMMYFUNCTION("GOOGLETRANSLATE(B3223, ""zh"", ""en"")"),"Also just a good fit, normal version!")</f>
        <v>Also just a good fit, normal version!</v>
      </c>
    </row>
    <row r="3224">
      <c r="A3224" s="1">
        <v>5.0</v>
      </c>
      <c r="B3224" s="1" t="s">
        <v>3214</v>
      </c>
      <c r="C3224" t="str">
        <f>IFERROR(__xludf.DUMMYFUNCTION("GOOGLETRANSLATE(B3224, ""zh"", ""en"")"),"Good shopping good quality clothes, her husband especially like to praise")</f>
        <v>Good shopping good quality clothes, her husband especially like to praise</v>
      </c>
    </row>
    <row r="3225">
      <c r="A3225" s="1">
        <v>5.0</v>
      </c>
      <c r="B3225" s="1" t="s">
        <v>3215</v>
      </c>
      <c r="C3225" t="str">
        <f>IFERROR(__xludf.DUMMYFUNCTION("GOOGLETRANSLATE(B3225, ""zh"", ""en"")"),"Easy to use supplementary food storage box with the best of, not one, really convenient")</f>
        <v>Easy to use supplementary food storage box with the best of, not one, really convenient</v>
      </c>
    </row>
    <row r="3226">
      <c r="A3226" s="1">
        <v>5.0</v>
      </c>
      <c r="B3226" s="1" t="s">
        <v>3216</v>
      </c>
      <c r="C3226" t="str">
        <f>IFERROR(__xludf.DUMMYFUNCTION("GOOGLETRANSLATE(B3226, ""zh"", ""en"")"),"Praise, suitable for summer wear is very good, very comfortable to wear in summer is not hot, good air permeability")</f>
        <v>Praise, suitable for summer wear is very good, very comfortable to wear in summer is not hot, good air permeability</v>
      </c>
    </row>
    <row r="3227">
      <c r="A3227" s="1">
        <v>5.0</v>
      </c>
      <c r="B3227" s="1" t="s">
        <v>3217</v>
      </c>
      <c r="C3227" t="str">
        <f>IFERROR(__xludf.DUMMYFUNCTION("GOOGLETRANSLATE(B3227, ""zh"", ""en"")"),"Zojirushi good thing, as always, good.")</f>
        <v>Zojirushi good thing, as always, good.</v>
      </c>
    </row>
    <row r="3228">
      <c r="A3228" s="1">
        <v>5.0</v>
      </c>
      <c r="B3228" s="1" t="s">
        <v>3218</v>
      </c>
      <c r="C3228" t="str">
        <f>IFERROR(__xludf.DUMMYFUNCTION("GOOGLETRANSLATE(B3228, ""zh"", ""en"")"),"Recommend appropriate size, I think big to wear good-looking, focused look bust, bust size clothes to basically accurate. I perennial s code, female, wear loose l m more range. Husband 172,130 wear l fit, in fact, does not look good fit, looks relaxed com"&amp;"fortable XL")</f>
        <v>Recommend appropriate size, I think big to wear good-looking, focused look bust, bust size clothes to basically accurate. I perennial s code, female, wear loose l m more range. Husband 172,130 wear l fit, in fact, does not look good fit, looks relaxed comfortable XL</v>
      </c>
    </row>
    <row r="3229">
      <c r="A3229" s="1">
        <v>5.0</v>
      </c>
      <c r="B3229" s="1" t="s">
        <v>3219</v>
      </c>
      <c r="C3229" t="str">
        <f>IFERROR(__xludf.DUMMYFUNCTION("GOOGLETRANSLATE(B3229, ""zh"", ""en"")"),"Yardage this brand is too messy ... some time ago bought a pair of Sorel snow boots with wool, usually wear shoes 37.5 or 38, thinking to step on the snow in winter will wear thick socks, the shoes of the interior space is due dissection should be relativ"&amp;"ely small, read reviews said that it was really less than half yards, I bought 38.5, after receiving just open the shoebox was scared, visual like a shoe 40, after wearing really, I think we can plug a fist in, due to the replacement of the Amazon can not"&amp;" return even if only to keep up, and then find the shoes well, so he bought a pair of 38's, has been opened today after receiving scared, visual only 36-37, to wear Sure enough .... then try barefoot on just right, no room for a little richer, and wearing"&amp;" socks on the feet, my heart is really tired. . .")</f>
        <v>Yardage this brand is too messy ... some time ago bought a pair of Sorel snow boots with wool, usually wear shoes 37.5 or 38, thinking to step on the snow in winter will wear thick socks, the shoes of the interior space is due dissection should be relatively small, read reviews said that it was really less than half yards, I bought 38.5, after receiving just open the shoebox was scared, visual like a shoe 40, after wearing really, I think we can plug a fist in, due to the replacement of the Amazon can not return even if only to keep up, and then find the shoes well, so he bought a pair of 38's, has been opened today after receiving scared, visual only 36-37, to wear Sure enough .... then try barefoot on just right, no room for a little richer, and wearing socks on the feet, my heart is really tired. . .</v>
      </c>
    </row>
    <row r="3230">
      <c r="A3230" s="1">
        <v>5.0</v>
      </c>
      <c r="B3230" s="1" t="s">
        <v>3220</v>
      </c>
      <c r="C3230" t="str">
        <f>IFERROR(__xludf.DUMMYFUNCTION("GOOGLETRANSLATE(B3230, ""zh"", ""en"")"),"Good solubility, taste good. Good solubility, taste good.")</f>
        <v>Good solubility, taste good. Good solubility, taste good.</v>
      </c>
    </row>
    <row r="3231">
      <c r="A3231" s="1">
        <v>5.0</v>
      </c>
      <c r="B3231" s="1" t="s">
        <v>3221</v>
      </c>
      <c r="C3231" t="str">
        <f>IFERROR(__xludf.DUMMYFUNCTION("GOOGLETRANSLATE(B3231, ""zh"", ""en"")"),"Quality is generally possible in a foreign country is the general tooling, expect too much, the heart will drop")</f>
        <v>Quality is generally possible in a foreign country is the general tooling, expect too much, the heart will drop</v>
      </c>
    </row>
    <row r="3232">
      <c r="A3232" s="1">
        <v>5.0</v>
      </c>
      <c r="B3232" s="1" t="s">
        <v>3222</v>
      </c>
      <c r="C3232" t="str">
        <f>IFERROR(__xludf.DUMMYFUNCTION("GOOGLETRANSLATE(B3232, ""zh"", ""en"")"),"Slightly larger, but it does not affect the wear 177,100 kilograms, slightly larger, feeling fit about 190 pounds of people. Slightly longer sleeves and clothes, does not affect the wear. Good quality, although some thin, more suitable for early autumn, t"&amp;"his season in the spring. On the whole we are satisfied.")</f>
        <v>Slightly larger, but it does not affect the wear 177,100 kilograms, slightly larger, feeling fit about 190 pounds of people. Slightly longer sleeves and clothes, does not affect the wear. Good quality, although some thin, more suitable for early autumn, this season in the spring. On the whole we are satisfied.</v>
      </c>
    </row>
    <row r="3233">
      <c r="A3233" s="1">
        <v>5.0</v>
      </c>
      <c r="B3233" s="1" t="s">
        <v>3223</v>
      </c>
      <c r="C3233" t="str">
        <f>IFERROR(__xludf.DUMMYFUNCTION("GOOGLETRANSLATE(B3233, ""zh"", ""en"")"),"Not generally like cotton, so the summer wearing a little smelly feet.")</f>
        <v>Not generally like cotton, so the summer wearing a little smelly feet.</v>
      </c>
    </row>
    <row r="3234">
      <c r="A3234" s="1">
        <v>5.0</v>
      </c>
      <c r="B3234" s="1" t="s">
        <v>3224</v>
      </c>
      <c r="C3234" t="str">
        <f>IFERROR(__xludf.DUMMYFUNCTION("GOOGLETRANSLATE(B3234, ""zh"", ""en"")"),"Wearing the same dress with good, fresh fabrics, soft and delicate, moisture permeability is not good, there is no fixed chest pad will move!")</f>
        <v>Wearing the same dress with good, fresh fabrics, soft and delicate, moisture permeability is not good, there is no fixed chest pad will move!</v>
      </c>
    </row>
    <row r="3235">
      <c r="A3235" s="1">
        <v>5.0</v>
      </c>
      <c r="B3235" s="1" t="s">
        <v>3225</v>
      </c>
      <c r="C3235" t="str">
        <f>IFERROR(__xludf.DUMMYFUNCTION("GOOGLETRANSLATE(B3235, ""zh"", ""en"")"),"Quality good quality shoes very good, very light, comfortable to wear")</f>
        <v>Quality good quality shoes very good, very light, comfortable to wear</v>
      </c>
    </row>
    <row r="3236">
      <c r="A3236" s="1">
        <v>5.0</v>
      </c>
      <c r="B3236" s="1" t="s">
        <v>3226</v>
      </c>
      <c r="C3236" t="str">
        <f>IFERROR(__xludf.DUMMYFUNCTION("GOOGLETRANSLATE(B3236, ""zh"", ""en"")"),"Very good mug mug is very good, the children go to school with, very warm. Nichia is very convenient.")</f>
        <v>Very good mug mug is very good, the children go to school with, very warm. Nichia is very convenient.</v>
      </c>
    </row>
    <row r="3237">
      <c r="A3237" s="1">
        <v>5.0</v>
      </c>
      <c r="B3237" s="1" t="s">
        <v>3227</v>
      </c>
      <c r="C3237" t="str">
        <f>IFERROR(__xludf.DUMMYFUNCTION("GOOGLETRANSLATE(B3237, ""zh"", ""en"")"),"Good quality very good, 172,75kg, L size appropriate. It seems a small Japanese figure is smaller than some of our")</f>
        <v>Good quality very good, 172,75kg, L size appropriate. It seems a small Japanese figure is smaller than some of our</v>
      </c>
    </row>
    <row r="3238">
      <c r="A3238" s="1">
        <v>5.0</v>
      </c>
      <c r="B3238" s="1" t="s">
        <v>3228</v>
      </c>
      <c r="C3238" t="str">
        <f>IFERROR(__xludf.DUMMYFUNCTION("GOOGLETRANSLATE(B3238, ""zh"", ""en"")"),"Well this finally bought the right size, quality did not have to say.")</f>
        <v>Well this finally bought the right size, quality did not have to say.</v>
      </c>
    </row>
    <row r="3239">
      <c r="A3239" s="1">
        <v>5.0</v>
      </c>
      <c r="B3239" s="1" t="s">
        <v>3229</v>
      </c>
      <c r="C3239" t="str">
        <f>IFERROR(__xludf.DUMMYFUNCTION("GOOGLETRANSLATE(B3239, ""zh"", ""en"")"),"perfect good watches, reasonable price more beautiful")</f>
        <v>perfect good watches, reasonable price more beautiful</v>
      </c>
    </row>
    <row r="3240">
      <c r="A3240" s="1">
        <v>5.0</v>
      </c>
      <c r="B3240" s="1" t="s">
        <v>3230</v>
      </c>
      <c r="C3240" t="str">
        <f>IFERROR(__xludf.DUMMYFUNCTION("GOOGLETRANSLATE(B3240, ""zh"", ""en"")"),"Stylish, a little empty space inside the shoe. The bottom is relatively flat and thin, very soft insole. Walk away you will feel more like a set of shoe covers the feet. I personally feel that for short-term wear.")</f>
        <v>Stylish, a little empty space inside the shoe. The bottom is relatively flat and thin, very soft insole. Walk away you will feel more like a set of shoe covers the feet. I personally feel that for short-term wear.</v>
      </c>
    </row>
    <row r="3241">
      <c r="A3241" s="1">
        <v>2.0</v>
      </c>
      <c r="B3241" s="1" t="s">
        <v>3231</v>
      </c>
      <c r="C3241" t="str">
        <f>IFERROR(__xludf.DUMMYFUNCTION("GOOGLETRANSLATE(B3241, ""zh"", ""en"")"),"Defective too large, mainly to do crooked collar.")</f>
        <v>Defective too large, mainly to do crooked collar.</v>
      </c>
    </row>
    <row r="3242">
      <c r="A3242" s="1">
        <v>3.0</v>
      </c>
      <c r="B3242" s="1" t="s">
        <v>3232</v>
      </c>
      <c r="C3242" t="str">
        <f>IFERROR(__xludf.DUMMYFUNCTION("GOOGLETRANSLATE(B3242, ""zh"", ""en"")"),"Through feel good too! Through comparison only, not suitable, which can wear the pants when wearing Qiuku.")</f>
        <v>Through feel good too! Through comparison only, not suitable, which can wear the pants when wearing Qiuku.</v>
      </c>
    </row>
    <row r="3243">
      <c r="A3243" s="1">
        <v>3.0</v>
      </c>
      <c r="B3243" s="1" t="s">
        <v>3233</v>
      </c>
      <c r="C3243" t="str">
        <f>IFERROR(__xludf.DUMMYFUNCTION("GOOGLETRANSLATE(B3243, ""zh"", ""en"")"),"Delicate wings too great friends, when the stamp key chain is very delicate hands, it is too big wings, when the stamp key chain is very hands")</f>
        <v>Delicate wings too great friends, when the stamp key chain is very delicate hands, it is too big wings, when the stamp key chain is very hands</v>
      </c>
    </row>
    <row r="3244">
      <c r="A3244" s="1">
        <v>3.0</v>
      </c>
      <c r="B3244" s="1" t="s">
        <v>3234</v>
      </c>
      <c r="C3244" t="str">
        <f>IFERROR(__xludf.DUMMYFUNCTION("GOOGLETRANSLATE(B3244, ""zh"", ""en"")"),"Packaging are rotten box are broken. Description The key there is no use now do not know how to modify the dates")</f>
        <v>Packaging are rotten box are broken. Description The key there is no use now do not know how to modify the dates</v>
      </c>
    </row>
    <row r="3245">
      <c r="A3245" s="1">
        <v>1.0</v>
      </c>
      <c r="B3245" s="1" t="s">
        <v>3235</v>
      </c>
      <c r="C3245" t="str">
        <f>IFERROR(__xludf.DUMMYFUNCTION("GOOGLETRANSLATE(B3245, ""zh"", ""en"")"),"Do not buy poor cotton material cotton shipping is even worse than the 9.9 Ma father not as high imitation of it is not worth more than a recommendation to buy Japanese Amazon")</f>
        <v>Do not buy poor cotton material cotton shipping is even worse than the 9.9 Ma father not as high imitation of it is not worth more than a recommendation to buy Japanese Amazon</v>
      </c>
    </row>
    <row r="3246">
      <c r="A3246" s="1">
        <v>1.0</v>
      </c>
      <c r="B3246" s="1" t="s">
        <v>3236</v>
      </c>
      <c r="C3246" t="str">
        <f>IFERROR(__xludf.DUMMYFUNCTION("GOOGLETRANSLATE(B3246, ""zh"", ""en"")"),"Wear a couple of days vamp cracks began to wear a couple of days vamp cracks")</f>
        <v>Wear a couple of days vamp cracks began to wear a couple of days vamp cracks</v>
      </c>
    </row>
    <row r="3247">
      <c r="A3247" s="1">
        <v>4.0</v>
      </c>
      <c r="B3247" s="1" t="s">
        <v>3237</v>
      </c>
      <c r="C3247" t="str">
        <f>IFERROR(__xludf.DUMMYFUNCTION("GOOGLETRANSLATE(B3247, ""zh"", ""en"")"),"Evaluation pants fabric is very good, just not enough breathable fabrics are too strong and do not sweat, may be the reason fabrics.")</f>
        <v>Evaluation pants fabric is very good, just not enough breathable fabrics are too strong and do not sweat, may be the reason fabrics.</v>
      </c>
    </row>
    <row r="3248">
      <c r="A3248" s="1">
        <v>4.0</v>
      </c>
      <c r="B3248" s="1" t="s">
        <v>3238</v>
      </c>
      <c r="C3248" t="str">
        <f>IFERROR(__xludf.DUMMYFUNCTION("GOOGLETRANSLATE(B3248, ""zh"", ""en"")"),"Quality not neat stitches, fabrics in general, not authentic")</f>
        <v>Quality not neat stitches, fabrics in general, not authentic</v>
      </c>
    </row>
    <row r="3249">
      <c r="A3249" s="1">
        <v>4.0</v>
      </c>
      <c r="B3249" s="1" t="s">
        <v>3239</v>
      </c>
      <c r="C3249" t="str">
        <f>IFERROR(__xludf.DUMMYFUNCTION("GOOGLETRANSLATE(B3249, ""zh"", ""en"")"),"Yes 👍👍 comfortable to wear, is genuine, it is recommended")</f>
        <v>Yes 👍👍 comfortable to wear, is genuine, it is recommended</v>
      </c>
    </row>
    <row r="3250">
      <c r="A3250" s="1">
        <v>4.0</v>
      </c>
      <c r="B3250" s="1" t="s">
        <v>3240</v>
      </c>
      <c r="C3250" t="str">
        <f>IFERROR(__xludf.DUMMYFUNCTION("GOOGLETRANSLATE(B3250, ""zh"", ""en"")"),"Nice shirt is looking forward to the appearance, size, color are good, praise")</f>
        <v>Nice shirt is looking forward to the appearance, size, color are good, praise</v>
      </c>
    </row>
    <row r="3251">
      <c r="A3251" s="1">
        <v>5.0</v>
      </c>
      <c r="B3251" s="1" t="s">
        <v>3241</v>
      </c>
      <c r="C3251" t="str">
        <f>IFERROR(__xludf.DUMMYFUNCTION("GOOGLETRANSLATE(B3251, ""zh"", ""en"")"),"Very good, very satisfied this is the second port lodge pot, the first bite very good, so they bought one, but this one has two new buy price of each sale, a is about 380, 260 gave me a silica gel insulated handles. But opening a new pot wall left and rig"&amp;"ht sides are not as thick, thin side pot along children outside edges, relatively sharp, inside the pot is flat, does not affect the cooking, so I do not really care. Here with you talk about, this may be cheaper lower quality. With a period of time to co"&amp;"me back, according to the standard after the boil, and indeed non-stick, ultra-like. Another correction point, the reason for cheap, because the self-employed overseas, which is in my breath and bought a few other models found.")</f>
        <v>Very good, very satisfied this is the second port lodge pot, the first bite very good, so they bought one, but this one has two new buy price of each sale, a is about 380, 260 gave me a silica gel insulated handles. But opening a new pot wall left and right sides are not as thick, thin side pot along children outside edges, relatively sharp, inside the pot is flat, does not affect the cooking, so I do not really care. Here with you talk about, this may be cheaper lower quality. With a period of time to come back, according to the standard after the boil, and indeed non-stick, ultra-like. Another correction point, the reason for cheap, because the self-employed overseas, which is in my breath and bought a few other models found.</v>
      </c>
    </row>
    <row r="3252">
      <c r="A3252" s="1">
        <v>5.0</v>
      </c>
      <c r="B3252" s="1" t="s">
        <v>3242</v>
      </c>
      <c r="C3252" t="str">
        <f>IFERROR(__xludf.DUMMYFUNCTION("GOOGLETRANSLATE(B3252, ""zh"", ""en"")"),"Colombia overseas purchase very good value. 173-72. No. very fit. Now try upper body feel hot, when I hope the coldest winters are mild.")</f>
        <v>Colombia overseas purchase very good value. 173-72. No. very fit. Now try upper body feel hot, when I hope the coldest winters are mild.</v>
      </c>
    </row>
    <row r="3253">
      <c r="A3253" s="1">
        <v>5.0</v>
      </c>
      <c r="B3253" s="1" t="s">
        <v>3243</v>
      </c>
      <c r="C3253" t="str">
        <f>IFERROR(__xludf.DUMMYFUNCTION("GOOGLETRANSLATE(B3253, ""zh"", ""en"")"),"Stockpile store goods, not yet unpacked started, smaller than the real picture looks cute")</f>
        <v>Stockpile store goods, not yet unpacked started, smaller than the real picture looks cute</v>
      </c>
    </row>
    <row r="3254">
      <c r="A3254" s="1">
        <v>5.0</v>
      </c>
      <c r="B3254" s="1" t="s">
        <v>3244</v>
      </c>
      <c r="C3254" t="str">
        <f>IFERROR(__xludf.DUMMYFUNCTION("GOOGLETRANSLATE(B3254, ""zh"", ""en"")"),"Warm absorbent material is absolutely solid, relatively thick, just north beginning of winter, wearing foot fever")</f>
        <v>Warm absorbent material is absolutely solid, relatively thick, just north beginning of winter, wearing foot fever</v>
      </c>
    </row>
    <row r="3255">
      <c r="A3255" s="1">
        <v>5.0</v>
      </c>
      <c r="B3255" s="1" t="s">
        <v>3245</v>
      </c>
      <c r="C3255" t="str">
        <f>IFERROR(__xludf.DUMMYFUNCTION("GOOGLETRANSLATE(B3255, ""zh"", ""en"")"),"Well super happy, fit, price is also cheap, love")</f>
        <v>Well super happy, fit, price is also cheap, love</v>
      </c>
    </row>
    <row r="3256">
      <c r="A3256" s="1">
        <v>5.0</v>
      </c>
      <c r="B3256" s="1" t="s">
        <v>3246</v>
      </c>
      <c r="C3256" t="str">
        <f>IFERROR(__xludf.DUMMYFUNCTION("GOOGLETRANSLATE(B3256, ""zh"", ""en"")"),"This shoe size rather long, wide leg is not recommended to buy a small one yards")</f>
        <v>This shoe size rather long, wide leg is not recommended to buy a small one yards</v>
      </c>
    </row>
    <row r="3257">
      <c r="A3257" s="1">
        <v>5.0</v>
      </c>
      <c r="B3257" s="1" t="s">
        <v>3247</v>
      </c>
      <c r="C3257" t="str">
        <f>IFERROR(__xludf.DUMMYFUNCTION("GOOGLETRANSLATE(B3257, ""zh"", ""en"")"),"Very good very suitable for summer v-shirt")</f>
        <v>Very good very suitable for summer v-shirt</v>
      </c>
    </row>
    <row r="3258">
      <c r="A3258" s="1">
        <v>5.0</v>
      </c>
      <c r="B3258" s="1" t="s">
        <v>3248</v>
      </c>
      <c r="C3258" t="str">
        <f>IFERROR(__xludf.DUMMYFUNCTION("GOOGLETRANSLATE(B3258, ""zh"", ""en"")"),"Affordable four loaded, very cost-effective, cheaper than Frozen, ha ha")</f>
        <v>Affordable four loaded, very cost-effective, cheaper than Frozen, ha ha</v>
      </c>
    </row>
    <row r="3259">
      <c r="A3259" s="1">
        <v>5.0</v>
      </c>
      <c r="B3259" s="1" t="s">
        <v>3249</v>
      </c>
      <c r="C3259" t="str">
        <f>IFERROR(__xludf.DUMMYFUNCTION("GOOGLETRANSLATE(B3259, ""zh"", ""en"")"),"No. 8 July did not taste orders, 19 good to. See shop say flavored. I received did not taste, do not understand the material, looking clean. Feeling comfortable. Pigeon nipple than soft.")</f>
        <v>No. 8 July did not taste orders, 19 good to. See shop say flavored. I received did not taste, do not understand the material, looking clean. Feeling comfortable. Pigeon nipple than soft.</v>
      </c>
    </row>
    <row r="3260">
      <c r="A3260" s="1">
        <v>5.0</v>
      </c>
      <c r="B3260" s="1" t="s">
        <v>3250</v>
      </c>
      <c r="C3260" t="str">
        <f>IFERROR(__xludf.DUMMYFUNCTION("GOOGLETRANSLATE(B3260, ""zh"", ""en"")"),"Satisfaction for the first time to buy this brand of underwear, read reviews to pick the code, very fit, very comfortable underwear, happy!")</f>
        <v>Satisfaction for the first time to buy this brand of underwear, read reviews to pick the code, very fit, very comfortable underwear, happy!</v>
      </c>
    </row>
    <row r="3261">
      <c r="A3261" s="1">
        <v>5.0</v>
      </c>
      <c r="B3261" s="1" t="s">
        <v>3251</v>
      </c>
      <c r="C3261" t="str">
        <f>IFERROR(__xludf.DUMMYFUNCTION("GOOGLETRANSLATE(B3261, ""zh"", ""en"")"),"Exterior work well, sound quality is remarkable. Acclaimed not without reason is like, still in the running. But was able to hear some of the style. Hifi is to start on a Sennheiser hd598, compared with this style is very different. m100 acclaimed industr"&amp;"y praise it is in its relative balance, maintain the high quality of workmanship and appearance tide faction at the same time, the sound quality is also commendable. Bass is great, and this point hd598 contrast is obvious; people are pleasantly surprised "&amp;"that his voice is also very good, I always thought before hand just for listening to electronic music, I did not expect very soothing genre can deal with very well. A word stick!")</f>
        <v>Exterior work well, sound quality is remarkable. Acclaimed not without reason is like, still in the running. But was able to hear some of the style. Hifi is to start on a Sennheiser hd598, compared with this style is very different. m100 acclaimed industry praise it is in its relative balance, maintain the high quality of workmanship and appearance tide faction at the same time, the sound quality is also commendable. Bass is great, and this point hd598 contrast is obvious; people are pleasantly surprised that his voice is also very good, I always thought before hand just for listening to electronic music, I did not expect very soothing genre can deal with very well. A word stick!</v>
      </c>
    </row>
    <row r="3262">
      <c r="A3262" s="1">
        <v>5.0</v>
      </c>
      <c r="B3262" s="1" t="s">
        <v>3252</v>
      </c>
      <c r="C3262" t="str">
        <f>IFERROR(__xludf.DUMMYFUNCTION("GOOGLETRANSLATE(B3262, ""zh"", ""en"")"),"Something good, it is recommended to change the shower, too simple things well, it is recommended to change the shower, too simple")</f>
        <v>Something good, it is recommended to change the shower, too simple things well, it is recommended to change the shower, too simple</v>
      </c>
    </row>
    <row r="3263">
      <c r="A3263" s="1">
        <v>5.0</v>
      </c>
      <c r="B3263" s="1" t="s">
        <v>3253</v>
      </c>
      <c r="C3263" t="str">
        <f>IFERROR(__xludf.DUMMYFUNCTION("GOOGLETRANSLATE(B3263, ""zh"", ""en"")"),"The right size to see comments that are large, buy small a yard ???? results slightly smaller ????")</f>
        <v>The right size to see comments that are large, buy small a yard ???? results slightly smaller ????</v>
      </c>
    </row>
    <row r="3264">
      <c r="A3264" s="1">
        <v>5.0</v>
      </c>
      <c r="B3264" s="1" t="s">
        <v>3254</v>
      </c>
      <c r="C3264" t="str">
        <f>IFERROR(__xludf.DUMMYFUNCTION("GOOGLETRANSLATE(B3264, ""zh"", ""en"")"),"Quality Quality Leverage Leverage is great yo!")</f>
        <v>Quality Quality Leverage Leverage is great yo!</v>
      </c>
    </row>
    <row r="3265">
      <c r="A3265" s="1">
        <v>5.0</v>
      </c>
      <c r="B3265" s="1" t="s">
        <v>3255</v>
      </c>
      <c r="C3265" t="str">
        <f>IFERROR(__xludf.DUMMYFUNCTION("GOOGLETRANSLATE(B3265, ""zh"", ""en"")"),"My comment height 176, weight 80 kg, 32W X 32L appropriate, Mauritius production")</f>
        <v>My comment height 176, weight 80 kg, 32W X 32L appropriate, Mauritius production</v>
      </c>
    </row>
    <row r="3266">
      <c r="A3266" s="1">
        <v>5.0</v>
      </c>
      <c r="B3266" s="1" t="s">
        <v>3256</v>
      </c>
      <c r="C3266" t="str">
        <f>IFERROR(__xludf.DUMMYFUNCTION("GOOGLETRANSLATE(B3266, ""zh"", ""en"")"),"A large number, not too appropriate a large number, not too appropriate")</f>
        <v>A large number, not too appropriate a large number, not too appropriate</v>
      </c>
    </row>
    <row r="3267">
      <c r="A3267" s="1">
        <v>5.0</v>
      </c>
      <c r="B3267" s="1" t="s">
        <v>3257</v>
      </c>
      <c r="C3267" t="str">
        <f>IFERROR(__xludf.DUMMYFUNCTION("GOOGLETRANSLATE(B3267, ""zh"", ""en"")"),"Cheap only about $ 200, but surprisingly good texture. European version, large, used to be careful to buy Asian version.")</f>
        <v>Cheap only about $ 200, but surprisingly good texture. European version, large, used to be careful to buy Asian version.</v>
      </c>
    </row>
    <row r="3268">
      <c r="A3268" s="1">
        <v>5.0</v>
      </c>
      <c r="B3268" s="1" t="s">
        <v>3258</v>
      </c>
      <c r="C3268" t="str">
        <f>IFERROR(__xludf.DUMMYFUNCTION("GOOGLETRANSLATE(B3268, ""zh"", ""en"")"),"The first overseas purchase for the first time hold the mentality of try to make a purchase overseas, of course, is the time it takes to become more. But things get our hands is still very good. Before looking at the comments of others deliberately buy sm"&amp;"aller on the 1st. The final opinion is the right choice. Also quite comfortable to wear. It should be said that this was a good shopping experience. The future will try to do more to try. I believe authentic guaranteed Amazon.")</f>
        <v>The first overseas purchase for the first time hold the mentality of try to make a purchase overseas, of course, is the time it takes to become more. But things get our hands is still very good. Before looking at the comments of others deliberately buy smaller on the 1st. The final opinion is the right choice. Also quite comfortable to wear. It should be said that this was a good shopping experience. The future will try to do more to try. I believe authentic guaranteed Amazon.</v>
      </c>
    </row>
    <row r="3269">
      <c r="A3269" s="1">
        <v>5.0</v>
      </c>
      <c r="B3269" s="1" t="s">
        <v>3259</v>
      </c>
      <c r="C3269" t="str">
        <f>IFERROR(__xludf.DUMMYFUNCTION("GOOGLETRANSLATE(B3269, ""zh"", ""en"")"),"Yes something good, craft materials are textured, you pay for. worth buying.")</f>
        <v>Yes something good, craft materials are textured, you pay for. worth buying.</v>
      </c>
    </row>
    <row r="3270">
      <c r="A3270" s="1">
        <v>5.0</v>
      </c>
      <c r="B3270" s="1" t="s">
        <v>3260</v>
      </c>
      <c r="C3270" t="str">
        <f>IFERROR(__xludf.DUMMYFUNCTION("GOOGLETRANSLATE(B3270, ""zh"", ""en"")"),"Building buy big two yards today finally received the goods, belts 32 belts to buy a 36, ​​the quality is just a personal recommendation to buy sophomore yards, playing the most holes is better than just good enough long, too short not good-looking!")</f>
        <v>Building buy big two yards today finally received the goods, belts 32 belts to buy a 36, ​​the quality is just a personal recommendation to buy sophomore yards, playing the most holes is better than just good enough long, too short not good-looking!</v>
      </c>
    </row>
    <row r="3271">
      <c r="A3271" s="1">
        <v>5.0</v>
      </c>
      <c r="B3271" s="1" t="s">
        <v>3261</v>
      </c>
      <c r="C3271" t="str">
        <f>IFERROR(__xludf.DUMMYFUNCTION("GOOGLETRANSLATE(B3271, ""zh"", ""en"")"),"Quality feel that we can trust the Amazon! Always I want to sell the real thing, quality first! Conscience to do business!")</f>
        <v>Quality feel that we can trust the Amazon! Always I want to sell the real thing, quality first! Conscience to do business!</v>
      </c>
    </row>
    <row r="3272">
      <c r="A3272" s="1">
        <v>5.0</v>
      </c>
      <c r="B3272" s="1" t="s">
        <v>3262</v>
      </c>
      <c r="C3272" t="str">
        <f>IFERROR(__xludf.DUMMYFUNCTION("GOOGLETRANSLATE(B3272, ""zh"", ""en"")"),"Leverage the quality drops WMF WMF kettle kettle quality of Leverage drops, boil water quickly, no smell, the sound is a little big boil water")</f>
        <v>Leverage the quality drops WMF WMF kettle kettle quality of Leverage drops, boil water quickly, no smell, the sound is a little big boil water</v>
      </c>
    </row>
    <row r="3273">
      <c r="A3273" s="1">
        <v>2.0</v>
      </c>
      <c r="B3273" s="1" t="s">
        <v>3263</v>
      </c>
      <c r="C3273" t="str">
        <f>IFERROR(__xludf.DUMMYFUNCTION("GOOGLETRANSLATE(B3273, ""zh"", ""en"")"),"Few holes, no hole puncher before buying a pair of shoes due to return detained more than a hundred freight, so they give a star, comment moderation does not pass ~ ~. Well, you stood out the most. This belt leather smell is relatively large, hard, buy th"&amp;"is only four holes, and had to buy a puncher, poof")</f>
        <v>Few holes, no hole puncher before buying a pair of shoes due to return detained more than a hundred freight, so they give a star, comment moderation does not pass ~ ~. Well, you stood out the most. This belt leather smell is relatively large, hard, buy this only four holes, and had to buy a puncher, poof</v>
      </c>
    </row>
    <row r="3274">
      <c r="A3274" s="1">
        <v>3.0</v>
      </c>
      <c r="B3274" s="1" t="s">
        <v>3264</v>
      </c>
      <c r="C3274" t="str">
        <f>IFERROR(__xludf.DUMMYFUNCTION("GOOGLETRANSLATE(B3274, ""zh"", ""en"")"),"Not two months, open plastic, there are customer service it? Not two months, open plastic, there are customer service it?")</f>
        <v>Not two months, open plastic, there are customer service it? Not two months, open plastic, there are customer service it?</v>
      </c>
    </row>
    <row r="3275">
      <c r="A3275" s="1">
        <v>3.0</v>
      </c>
      <c r="B3275" s="1" t="s">
        <v>3265</v>
      </c>
      <c r="C3275" t="str">
        <f>IFERROR(__xludf.DUMMYFUNCTION("GOOGLETRANSLATE(B3275, ""zh"", ""en"")"),"Size Chart seriously inaccurate! ! ! Look to buy control size chart, size table is a lie, buy small, put on too slim, the bust was not enough, this is smaller than the actual size table clothes one yards, the version is no problem, buy a small m , l, stil"&amp;"l have to wear, usually wear 170/92 code, a reference to the back. I have to buy a big change and it did not? L code seek")</f>
        <v>Size Chart seriously inaccurate! ! ! Look to buy control size chart, size table is a lie, buy small, put on too slim, the bust was not enough, this is smaller than the actual size table clothes one yards, the version is no problem, buy a small m , l, still have to wear, usually wear 170/92 code, a reference to the back. I have to buy a big change and it did not? L code seek</v>
      </c>
    </row>
    <row r="3276">
      <c r="A3276" s="1">
        <v>1.0</v>
      </c>
      <c r="B3276" s="1" t="s">
        <v>3266</v>
      </c>
      <c r="C3276" t="str">
        <f>IFERROR(__xludf.DUMMYFUNCTION("GOOGLETRANSLATE(B3276, ""zh"", ""en"")"),"I order the wrong color color is not the color, sent to the wrong. You should be able to change?")</f>
        <v>I order the wrong color color is not the color, sent to the wrong. You should be able to change?</v>
      </c>
    </row>
    <row r="3277">
      <c r="A3277" s="1">
        <v>1.0</v>
      </c>
      <c r="B3277" s="1" t="s">
        <v>3267</v>
      </c>
      <c r="C3277" t="str">
        <f>IFERROR(__xludf.DUMMYFUNCTION("GOOGLETRANSLATE(B3277, ""zh"", ""en"")"),"Sea Amoy dream shattered for the first time scouring the sea bought the wrong code can not wear wear, and back trouble, forget ......")</f>
        <v>Sea Amoy dream shattered for the first time scouring the sea bought the wrong code can not wear wear, and back trouble, forget ......</v>
      </c>
    </row>
    <row r="3278">
      <c r="A3278" s="1">
        <v>4.0</v>
      </c>
      <c r="B3278" s="1" t="s">
        <v>3268</v>
      </c>
      <c r="C3278" t="str">
        <f>IFERROR(__xludf.DUMMYFUNCTION("GOOGLETRANSLATE(B3278, ""zh"", ""en"")"),"Look a bit old, the color may be good reasons for style")</f>
        <v>Look a bit old, the color may be good reasons for style</v>
      </c>
    </row>
    <row r="3279">
      <c r="A3279" s="1">
        <v>4.0</v>
      </c>
      <c r="B3279" s="1" t="s">
        <v>3269</v>
      </c>
      <c r="C3279" t="str">
        <f>IFERROR(__xludf.DUMMYFUNCTION("GOOGLETRANSLATE(B3279, ""zh"", ""en"")"),"My Armani plus Shanghai Amoy, this is the second purchase Armani T-shirt, put on a very fit, but the price is much higher than the domestic cost-effective to buy, it is recommended students like to wear T-shirts weeding")</f>
        <v>My Armani plus Shanghai Amoy, this is the second purchase Armani T-shirt, put on a very fit, but the price is much higher than the domestic cost-effective to buy, it is recommended students like to wear T-shirts weeding</v>
      </c>
    </row>
    <row r="3280">
      <c r="A3280" s="1">
        <v>4.0</v>
      </c>
      <c r="B3280" s="1" t="s">
        <v>3270</v>
      </c>
      <c r="C3280" t="str">
        <f>IFERROR(__xludf.DUMMYFUNCTION("GOOGLETRANSLATE(B3280, ""zh"", ""en"")"),"Brand quality, good design! With this brand, the workmanship extent even the best point, some rough and some details of the work, the reason is believed to be made after.")</f>
        <v>Brand quality, good design! With this brand, the workmanship extent even the best point, some rough and some details of the work, the reason is believed to be made after.</v>
      </c>
    </row>
    <row r="3281">
      <c r="A3281" s="1">
        <v>4.0</v>
      </c>
      <c r="B3281" s="1" t="s">
        <v>3271</v>
      </c>
      <c r="C3281" t="str">
        <f>IFERROR(__xludf.DUMMYFUNCTION("GOOGLETRANSLATE(B3281, ""zh"", ""en"")"),"Pleasant shopping process, but there are still flaws have received shoes, about a week time, the right size, style, and online photos match, unfortunately behind a piece of shoe leather Qi bad, I do not know what way to deal with, if ,Please advise.")</f>
        <v>Pleasant shopping process, but there are still flaws have received shoes, about a week time, the right size, style, and online photos match, unfortunately behind a piece of shoe leather Qi bad, I do not know what way to deal with, if ,Please advise.</v>
      </c>
    </row>
    <row r="3282">
      <c r="A3282" s="1">
        <v>4.0</v>
      </c>
      <c r="B3282" s="1" t="s">
        <v>3272</v>
      </c>
      <c r="C3282" t="str">
        <f>IFERROR(__xludf.DUMMYFUNCTION("GOOGLETRANSLATE(B3282, ""zh"", ""en"")"),"Black hand wash in cold water hand wash in cold water fade powerful black fade badly")</f>
        <v>Black hand wash in cold water hand wash in cold water fade powerful black fade badly</v>
      </c>
    </row>
    <row r="3283">
      <c r="A3283" s="1">
        <v>5.0</v>
      </c>
      <c r="B3283" s="1" t="s">
        <v>3273</v>
      </c>
      <c r="C3283" t="str">
        <f>IFERROR(__xludf.DUMMYFUNCTION("GOOGLETRANSLATE(B3283, ""zh"", ""en"")"),"A good pair of shoes to wear very comfortable.")</f>
        <v>A good pair of shoes to wear very comfortable.</v>
      </c>
    </row>
    <row r="3284">
      <c r="A3284" s="1">
        <v>5.0</v>
      </c>
      <c r="B3284" s="1" t="s">
        <v>3274</v>
      </c>
      <c r="C3284" t="str">
        <f>IFERROR(__xludf.DUMMYFUNCTION("GOOGLETRANSLATE(B3284, ""zh"", ""en"")"),"Very appropriate and very comfortable. like very much. Very appropriate and very comfortable. like very much.")</f>
        <v>Very appropriate and very comfortable. like very much. Very appropriate and very comfortable. like very much.</v>
      </c>
    </row>
    <row r="3285">
      <c r="A3285" s="1">
        <v>5.0</v>
      </c>
      <c r="B3285" s="1" t="s">
        <v>3275</v>
      </c>
      <c r="C3285" t="str">
        <f>IFERROR(__xludf.DUMMYFUNCTION("GOOGLETRANSLATE(B3285, ""zh"", ""en"")"),"Super comfortable super like his girlfriend. Although the package hip, but wear very sexy oh.")</f>
        <v>Super comfortable super like his girlfriend. Although the package hip, but wear very sexy oh.</v>
      </c>
    </row>
    <row r="3286">
      <c r="A3286" s="1">
        <v>5.0</v>
      </c>
      <c r="B3286" s="1" t="s">
        <v>3276</v>
      </c>
      <c r="C3286" t="str">
        <f>IFERROR(__xludf.DUMMYFUNCTION("GOOGLETRANSLATE(B3286, ""zh"", ""en"")"),"Yes! Comfortable, just get our hands wrinkled, need ironing")</f>
        <v>Yes! Comfortable, just get our hands wrinkled, need ironing</v>
      </c>
    </row>
    <row r="3287">
      <c r="A3287" s="1">
        <v>5.0</v>
      </c>
      <c r="B3287" s="1" t="s">
        <v>3277</v>
      </c>
      <c r="C3287" t="str">
        <f>IFERROR(__xludf.DUMMYFUNCTION("GOOGLETRANSLATE(B3287, ""zh"", ""en"")"),"Fury Like ✧❝ ཻ ͋≀ ̗❝ ཻ ͋˶ completely in line with my expectations of something very good")</f>
        <v>Fury Like ✧❝ ཻ ͋≀ ̗❝ ཻ ͋˶ completely in line with my expectations of something very good</v>
      </c>
    </row>
    <row r="3288">
      <c r="A3288" s="1">
        <v>5.0</v>
      </c>
      <c r="B3288" s="1" t="s">
        <v>3278</v>
      </c>
      <c r="C3288" t="str">
        <f>IFERROR(__xludf.DUMMYFUNCTION("GOOGLETRANSLATE(B3288, ""zh"", ""en"")"),"Like easy to use - like, something positive.")</f>
        <v>Like easy to use - like, something positive.</v>
      </c>
    </row>
    <row r="3289">
      <c r="A3289" s="1">
        <v>5.0</v>
      </c>
      <c r="B3289" s="1" t="s">
        <v>3279</v>
      </c>
      <c r="C3289" t="str">
        <f>IFERROR(__xludf.DUMMYFUNCTION("GOOGLETRANSLATE(B3289, ""zh"", ""en"")"),"Which thermal underwear thermal underwear good thermal properties")</f>
        <v>Which thermal underwear thermal underwear good thermal properties</v>
      </c>
    </row>
    <row r="3290">
      <c r="A3290" s="1">
        <v>5.0</v>
      </c>
      <c r="B3290" s="1" t="s">
        <v>3280</v>
      </c>
      <c r="C3290" t="str">
        <f>IFERROR(__xludf.DUMMYFUNCTION("GOOGLETRANSLATE(B3290, ""zh"", ""en"")"),"Good bowl bowl very nice and practical, I like, I give praise! Good!")</f>
        <v>Good bowl bowl very nice and practical, I like, I give praise! Good!</v>
      </c>
    </row>
    <row r="3291">
      <c r="A3291" s="1">
        <v>5.0</v>
      </c>
      <c r="B3291" s="1" t="s">
        <v>3281</v>
      </c>
      <c r="C3291" t="str">
        <f>IFERROR(__xludf.DUMMYFUNCTION("GOOGLETRANSLATE(B3291, ""zh"", ""en"")"),"Cheap! Reach expectations, cheap!")</f>
        <v>Cheap! Reach expectations, cheap!</v>
      </c>
    </row>
    <row r="3292">
      <c r="A3292" s="1">
        <v>5.0</v>
      </c>
      <c r="B3292" s="1" t="s">
        <v>3282</v>
      </c>
      <c r="C3292" t="str">
        <f>IFERROR(__xludf.DUMMYFUNCTION("GOOGLETRANSLATE(B3292, ""zh"", ""en"")"),"Value size is very accurate, good version of type, fabric feel comfortable, buy a")</f>
        <v>Value size is very accurate, good version of type, fabric feel comfortable, buy a</v>
      </c>
    </row>
    <row r="3293">
      <c r="A3293" s="1">
        <v>5.0</v>
      </c>
      <c r="B3293" s="1" t="s">
        <v>3283</v>
      </c>
      <c r="C3293" t="str">
        <f>IFERROR(__xludf.DUMMYFUNCTION("GOOGLETRANSLATE(B3293, ""zh"", ""en"")"),"Good good, very convenient filter cup, where to have clean water to drink it!")</f>
        <v>Good good, very convenient filter cup, where to have clean water to drink it!</v>
      </c>
    </row>
    <row r="3294">
      <c r="A3294" s="1">
        <v>5.0</v>
      </c>
      <c r="B3294" s="1" t="s">
        <v>3284</v>
      </c>
      <c r="C3294" t="str">
        <f>IFERROR(__xludf.DUMMYFUNCTION("GOOGLETRANSLATE(B3294, ""zh"", ""en"")"),"Comfortable, not falling soft and comfortable, will not fall off, the length is also very good, a little up to the calf.")</f>
        <v>Comfortable, not falling soft and comfortable, will not fall off, the length is also very good, a little up to the calf.</v>
      </c>
    </row>
    <row r="3295">
      <c r="A3295" s="1">
        <v>5.0</v>
      </c>
      <c r="B3295" s="1" t="s">
        <v>3285</v>
      </c>
      <c r="C3295" t="str">
        <f>IFERROR(__xludf.DUMMYFUNCTION("GOOGLETRANSLATE(B3295, ""zh"", ""en"")"),"Lion mild mint toothpaste 130g × 10 good results, has been using this toothpaste.")</f>
        <v>Lion mild mint toothpaste 130g × 10 good results, has been using this toothpaste.</v>
      </c>
    </row>
    <row r="3296">
      <c r="A3296" s="1">
        <v>5.0</v>
      </c>
      <c r="B3296" s="1" t="s">
        <v>3286</v>
      </c>
      <c r="C3296" t="str">
        <f>IFERROR(__xludf.DUMMYFUNCTION("GOOGLETRANSLATE(B3296, ""zh"", ""en"")"),"Very pleasant sea once purchased about half the time waiting for it! I wear just the right size of 41 yards, very light shoes very comfortable to wear. Shoes are very light and very comfortable")</f>
        <v>Very pleasant sea once purchased about half the time waiting for it! I wear just the right size of 41 yards, very light shoes very comfortable to wear. Shoes are very light and very comfortable</v>
      </c>
    </row>
    <row r="3297">
      <c r="A3297" s="1">
        <v>5.0</v>
      </c>
      <c r="B3297" s="1" t="s">
        <v>3287</v>
      </c>
      <c r="C3297" t="str">
        <f>IFERROR(__xludf.DUMMYFUNCTION("GOOGLETRANSLATE(B3297, ""zh"", ""en"")"),"Good quality, worth buying! Good quality, worth buying!")</f>
        <v>Good quality, worth buying! Good quality, worth buying!</v>
      </c>
    </row>
    <row r="3298">
      <c r="A3298" s="1">
        <v>5.0</v>
      </c>
      <c r="B3298" s="1" t="s">
        <v>3288</v>
      </c>
      <c r="C3298" t="str">
        <f>IFERROR(__xludf.DUMMYFUNCTION("GOOGLETRANSLATE(B3298, ""zh"", ""en"")"),"Like the right size, comfortable to wear the right size.")</f>
        <v>Like the right size, comfortable to wear the right size.</v>
      </c>
    </row>
    <row r="3299">
      <c r="A3299" s="1">
        <v>5.0</v>
      </c>
      <c r="B3299" s="1" t="s">
        <v>3289</v>
      </c>
      <c r="C3299" t="str">
        <f>IFERROR(__xludf.DUMMYFUNCTION("GOOGLETRANSLATE(B3299, ""zh"", ""en"")"),"Authentic voice without rhetoric and not tire of listening to a rare case of Z is really affordable decisive start listening Qinglie sound quality and real listening is really not greasy provide good quality thank you Amazon!")</f>
        <v>Authentic voice without rhetoric and not tire of listening to a rare case of Z is really affordable decisive start listening Qinglie sound quality and real listening is really not greasy provide good quality thank you Amazon!</v>
      </c>
    </row>
    <row r="3300">
      <c r="A3300" s="1">
        <v>5.0</v>
      </c>
      <c r="B3300" s="1" t="s">
        <v>3290</v>
      </c>
      <c r="C3300" t="str">
        <f>IFERROR(__xludf.DUMMYFUNCTION("GOOGLETRANSLATE(B3300, ""zh"", ""en"")"),"First purchase how Lee Lee and domestic differentiated, first met with elastic waistband pants identification of different")</f>
        <v>First purchase how Lee Lee and domestic differentiated, first met with elastic waistband pants identification of different</v>
      </c>
    </row>
    <row r="3301">
      <c r="A3301" s="1">
        <v>5.0</v>
      </c>
      <c r="B3301" s="1" t="s">
        <v>3291</v>
      </c>
      <c r="C3301" t="str">
        <f>IFERROR(__xludf.DUMMYFUNCTION("GOOGLETRANSLATE(B3301, ""zh"", ""en"")"),"Like the small clay pot super like a stew with rice together is not small ~ ~ do claypot are Terrific")</f>
        <v>Like the small clay pot super like a stew with rice together is not small ~ ~ do claypot are Terrific</v>
      </c>
    </row>
    <row r="3302">
      <c r="A3302" s="1">
        <v>5.0</v>
      </c>
      <c r="B3302" s="1" t="s">
        <v>3292</v>
      </c>
      <c r="C3302" t="str">
        <f>IFERROR(__xludf.DUMMYFUNCTION("GOOGLETRANSLATE(B3302, ""zh"", ""en"")"),"Skateboard shoes are genuine, quite good.")</f>
        <v>Skateboard shoes are genuine, quite good.</v>
      </c>
    </row>
    <row r="3303">
      <c r="A3303" s="1">
        <v>5.0</v>
      </c>
      <c r="B3303" s="1" t="s">
        <v>3293</v>
      </c>
      <c r="C3303" t="str">
        <f>IFERROR(__xludf.DUMMYFUNCTION("GOOGLETRANSLATE(B3303, ""zh"", ""en"")"),"The new filter, filtration speed, the less carbon residue")</f>
        <v>The new filter, filtration speed, the less carbon residue</v>
      </c>
    </row>
    <row r="3304">
      <c r="A3304" s="1">
        <v>5.0</v>
      </c>
      <c r="B3304" s="1" t="s">
        <v>3294</v>
      </c>
      <c r="C3304" t="str">
        <f>IFERROR(__xludf.DUMMYFUNCTION("GOOGLETRANSLATE(B3304, ""zh"", ""en"")"),"This bra is a woman's best friend wearing super comfortable, like wearing the same, and breast shape is also very good, and beautiful. My husband said this very style lace, love, and immediately repurchase stockpile.")</f>
        <v>This bra is a woman's best friend wearing super comfortable, like wearing the same, and breast shape is also very good, and beautiful. My husband said this very style lace, love, and immediately repurchase stockpile.</v>
      </c>
    </row>
    <row r="3305">
      <c r="A3305" s="1">
        <v>2.0</v>
      </c>
      <c r="B3305" s="1" t="s">
        <v>3295</v>
      </c>
      <c r="C3305" t="str">
        <f>IFERROR(__xludf.DUMMYFUNCTION("GOOGLETRANSLATE(B3305, ""zh"", ""en"")"),"Old a long line of wireless features which function in which the amount of wireless (⊙o⊙)? Old long a wire")</f>
        <v>Old a long line of wireless features which function in which the amount of wireless (⊙o⊙)? Old long a wire</v>
      </c>
    </row>
    <row r="3306">
      <c r="A3306" s="1">
        <v>3.0</v>
      </c>
      <c r="B3306" s="1" t="s">
        <v>3296</v>
      </c>
      <c r="C3306" t="str">
        <f>IFERROR(__xludf.DUMMYFUNCTION("GOOGLETRANSLATE(B3306, ""zh"", ""en"")"),"Disappointed sound too sharp, harsh, disappointed")</f>
        <v>Disappointed sound too sharp, harsh, disappointed</v>
      </c>
    </row>
    <row r="3307">
      <c r="A3307" s="1">
        <v>3.0</v>
      </c>
      <c r="B3307" s="1" t="s">
        <v>3297</v>
      </c>
      <c r="C3307" t="str">
        <f>IFERROR(__xludf.DUMMYFUNCTION("GOOGLETRANSLATE(B3307, ""zh"", ""en"")"),"Not confirm whether it is genuine and I asked my colleagues from the United States to buy taste, color, smoothies are not the same, not really suspect")</f>
        <v>Not confirm whether it is genuine and I asked my colleagues from the United States to buy taste, color, smoothies are not the same, not really suspect</v>
      </c>
    </row>
    <row r="3308">
      <c r="A3308" s="1">
        <v>1.0</v>
      </c>
      <c r="B3308" s="1" t="s">
        <v>3298</v>
      </c>
      <c r="C3308" t="str">
        <f>IFERROR(__xludf.DUMMYFUNCTION("GOOGLETRANSLATE(B3308, ""zh"", ""en"")"),"Wash big. . . Clothing material is good. However, after washing, at least a bigger number. . . What is the principle? Why are not all shrink. . .")</f>
        <v>Wash big. . . Clothing material is good. However, after washing, at least a bigger number. . . What is the principle? Why are not all shrink. . .</v>
      </c>
    </row>
    <row r="3309">
      <c r="A3309" s="1">
        <v>1.0</v>
      </c>
      <c r="B3309" s="1" t="s">
        <v>3299</v>
      </c>
      <c r="C3309" t="str">
        <f>IFERROR(__xludf.DUMMYFUNCTION("GOOGLETRANSLATE(B3309, ""zh"", ""en"")"),"Medela Yun Fei bilateral charging very bad rubbish, poor customer service attitude, November activities that have the right to store the goods, receipt tried the machine can be used, in February for the first time with children, only to find that the scre"&amp;"en is not charging display, direct customer service said that after more than one Yuefen aging is not responsible for the sale, make direct contact Medela's official website, themselves, never to Amazon to buy expensive appliances, and there is no guarant"&amp;"ee, three months to ignore the , is not such a big platform for their own set of sale!")</f>
        <v>Medela Yun Fei bilateral charging very bad rubbish, poor customer service attitude, November activities that have the right to store the goods, receipt tried the machine can be used, in February for the first time with children, only to find that the screen is not charging display, direct customer service said that after more than one Yuefen aging is not responsible for the sale, make direct contact Medela's official website, themselves, never to Amazon to buy expensive appliances, and there is no guarantee, three months to ignore the , is not such a big platform for their own set of sale!</v>
      </c>
    </row>
    <row r="3310">
      <c r="A3310" s="1">
        <v>1.0</v>
      </c>
      <c r="B3310" s="1" t="s">
        <v>3300</v>
      </c>
      <c r="C3310" t="str">
        <f>IFERROR(__xludf.DUMMYFUNCTION("GOOGLETRANSLATE(B3310, ""zh"", ""en"")"),"It too much anymore than 160 girls do not consider! ! ! Single I want to give my dad! ! !")</f>
        <v>It too much anymore than 160 girls do not consider! ! ! Single I want to give my dad! ! !</v>
      </c>
    </row>
    <row r="3311">
      <c r="A3311" s="1">
        <v>4.0</v>
      </c>
      <c r="B3311" s="1" t="s">
        <v>3301</v>
      </c>
      <c r="C3311" t="str">
        <f>IFERROR(__xludf.DUMMYFUNCTION("GOOGLETRANSLATE(B3311, ""zh"", ""en"")"),"Foreign yardage really could not believe, and a lot of domestic large shoes too large, bought the first day rub off a piece, very hard to accept")</f>
        <v>Foreign yardage really could not believe, and a lot of domestic large shoes too large, bought the first day rub off a piece, very hard to accept</v>
      </c>
    </row>
    <row r="3312">
      <c r="A3312" s="1">
        <v>4.0</v>
      </c>
      <c r="B3312" s="1" t="s">
        <v>3302</v>
      </c>
      <c r="C3312" t="str">
        <f>IFERROR(__xludf.DUMMYFUNCTION("GOOGLETRANSLATE(B3312, ""zh"", ""en"")"),"m first experience tnf tnf first time to buy warm and very good number of properly properly 181cm 72kg")</f>
        <v>m first experience tnf tnf first time to buy warm and very good number of properly properly 181cm 72kg</v>
      </c>
    </row>
    <row r="3313">
      <c r="A3313" s="1">
        <v>4.0</v>
      </c>
      <c r="B3313" s="1" t="s">
        <v>3303</v>
      </c>
      <c r="C3313" t="str">
        <f>IFERROR(__xludf.DUMMYFUNCTION("GOOGLETRANSLATE(B3313, ""zh"", ""en"")"),"Moderate good size, very soft leather, but the general style")</f>
        <v>Moderate good size, very soft leather, but the general style</v>
      </c>
    </row>
    <row r="3314">
      <c r="A3314" s="1">
        <v>4.0</v>
      </c>
      <c r="B3314" s="1" t="s">
        <v>3304</v>
      </c>
      <c r="C3314" t="str">
        <f>IFERROR(__xludf.DUMMYFUNCTION("GOOGLETRANSLATE(B3314, ""zh"", ""en"")"),"Okay I do not know why there is no paper to wipe the ink")</f>
        <v>Okay I do not know why there is no paper to wipe the ink</v>
      </c>
    </row>
    <row r="3315">
      <c r="A3315" s="1">
        <v>4.0</v>
      </c>
      <c r="B3315" s="1" t="s">
        <v>3305</v>
      </c>
      <c r="C3315" t="str">
        <f>IFERROR(__xludf.DUMMYFUNCTION("GOOGLETRANSLATE(B3315, ""zh"", ""en"")"),"Small capacity of the original card with the camera, another large, good quality")</f>
        <v>Small capacity of the original card with the camera, another large, good quality</v>
      </c>
    </row>
    <row r="3316">
      <c r="A3316" s="1">
        <v>5.0</v>
      </c>
      <c r="B3316" s="1" t="s">
        <v>3306</v>
      </c>
      <c r="C3316" t="str">
        <f>IFERROR(__xludf.DUMMYFUNCTION("GOOGLETRANSLATE(B3316, ""zh"", ""en"")"),"Momentum is not small, use a good husband to buy, momentum is not small, just fine.")</f>
        <v>Momentum is not small, use a good husband to buy, momentum is not small, just fine.</v>
      </c>
    </row>
    <row r="3317">
      <c r="A3317" s="1">
        <v>5.0</v>
      </c>
      <c r="B3317" s="1" t="s">
        <v>3307</v>
      </c>
      <c r="C3317" t="str">
        <f>IFERROR(__xludf.DUMMYFUNCTION("GOOGLETRANSLATE(B3317, ""zh"", ""en"")"),"Like express better than expected, with eight days from delivery to now, from order to use now for 14 days, packaging is very advanced, Indonesia produced, 37.5 yards wearing five yards particularly suitable, very satisfied very satisfied")</f>
        <v>Like express better than expected, with eight days from delivery to now, from order to use now for 14 days, packaging is very advanced, Indonesia produced, 37.5 yards wearing five yards particularly suitable, very satisfied very satisfied</v>
      </c>
    </row>
    <row r="3318">
      <c r="A3318" s="1">
        <v>5.0</v>
      </c>
      <c r="B3318" s="1" t="s">
        <v>3308</v>
      </c>
      <c r="C3318" t="str">
        <f>IFERROR(__xludf.DUMMYFUNCTION("GOOGLETRANSLATE(B3318, ""zh"", ""en"")"),"Size standard quality is good, I usually wear shoes 40 feet long 25.5mm, just choose ECCO UK7.5, display 41 yards shoes, size standards. Other ecco shoes, one pair is the same size, very appropriate. For reference.")</f>
        <v>Size standard quality is good, I usually wear shoes 40 feet long 25.5mm, just choose ECCO UK7.5, display 41 yards shoes, size standards. Other ecco shoes, one pair is the same size, very appropriate. For reference.</v>
      </c>
    </row>
    <row r="3319">
      <c r="A3319" s="1">
        <v>5.0</v>
      </c>
      <c r="B3319" s="1" t="s">
        <v>3309</v>
      </c>
      <c r="C3319" t="str">
        <f>IFERROR(__xludf.DUMMYFUNCTION("GOOGLETRANSLATE(B3319, ""zh"", ""en"")"),"Fortunately, size, good material")</f>
        <v>Fortunately, size, good material</v>
      </c>
    </row>
    <row r="3320">
      <c r="A3320" s="1">
        <v>5.0</v>
      </c>
      <c r="B3320" s="1" t="s">
        <v>3310</v>
      </c>
      <c r="C3320" t="str">
        <f>IFERROR(__xludf.DUMMYFUNCTION("GOOGLETRANSLATE(B3320, ""zh"", ""en"")"),"Thin and light, just do not know the future will not be deformed. Pants also, thin, color is also suitable for summer wear, I 178/75, M number just buy it, pedicure pants, a significant slender legs, good body. If you want to wear loose a little on the L "&amp;"number.")</f>
        <v>Thin and light, just do not know the future will not be deformed. Pants also, thin, color is also suitable for summer wear, I 178/75, M number just buy it, pedicure pants, a significant slender legs, good body. If you want to wear loose a little on the L number.</v>
      </c>
    </row>
    <row r="3321">
      <c r="A3321" s="1">
        <v>5.0</v>
      </c>
      <c r="B3321" s="1" t="s">
        <v>3311</v>
      </c>
      <c r="C3321" t="str">
        <f>IFERROR(__xludf.DUMMYFUNCTION("GOOGLETRANSLATE(B3321, ""zh"", ""en"")"),"Value !! color is what I want, pants style is suitable for our age. In short everything exceeded my expectations.")</f>
        <v>Value !! color is what I want, pants style is suitable for our age. In short everything exceeded my expectations.</v>
      </c>
    </row>
    <row r="3322">
      <c r="A3322" s="1">
        <v>5.0</v>
      </c>
      <c r="B3322" s="1" t="s">
        <v>3312</v>
      </c>
      <c r="C3322" t="str">
        <f>IFERROR(__xludf.DUMMYFUNCTION("GOOGLETRANSLATE(B3322, ""zh"", ""en"")"),"Practical internal partitions very practical, color is also good")</f>
        <v>Practical internal partitions very practical, color is also good</v>
      </c>
    </row>
    <row r="3323">
      <c r="A3323" s="1">
        <v>5.0</v>
      </c>
      <c r="B3323" s="1" t="s">
        <v>3313</v>
      </c>
      <c r="C3323" t="str">
        <f>IFERROR(__xludf.DUMMYFUNCTION("GOOGLETRANSLATE(B3323, ""zh"", ""en"")"),"Overall feeling good, absolutely authentic! Logistics is not slow, a week or so received. Number suitable, good quality shoes, feet first day feeling good, that is a little stiffer soles")</f>
        <v>Overall feeling good, absolutely authentic! Logistics is not slow, a week or so received. Number suitable, good quality shoes, feet first day feeling good, that is a little stiffer soles</v>
      </c>
    </row>
    <row r="3324">
      <c r="A3324" s="1">
        <v>5.0</v>
      </c>
      <c r="B3324" s="1" t="s">
        <v>3314</v>
      </c>
      <c r="C3324" t="str">
        <f>IFERROR(__xludf.DUMMYFUNCTION("GOOGLETRANSLATE(B3324, ""zh"", ""en"")"),"So comfortable 175,75kg, m very appropriate")</f>
        <v>So comfortable 175,75kg, m very appropriate</v>
      </c>
    </row>
    <row r="3325">
      <c r="A3325" s="1">
        <v>5.0</v>
      </c>
      <c r="B3325" s="1" t="s">
        <v>3315</v>
      </c>
      <c r="C3325" t="str">
        <f>IFERROR(__xludf.DUMMYFUNCTION("GOOGLETRANSLATE(B3325, ""zh"", ""en"")"),"Still very recognized brand products, hoping consumers do not live up to this have been used, but also close friends")</f>
        <v>Still very recognized brand products, hoping consumers do not live up to this have been used, but also close friends</v>
      </c>
    </row>
    <row r="3326">
      <c r="A3326" s="1">
        <v>5.0</v>
      </c>
      <c r="B3326" s="1" t="s">
        <v>3316</v>
      </c>
      <c r="C3326" t="str">
        <f>IFERROR(__xludf.DUMMYFUNCTION("GOOGLETRANSLATE(B3326, ""zh"", ""en"")"),"Shoes a little bit small, fleshy foot freshman code would buy good shoes, very light, very appropriate for girls to wear, but unfortunately that is a bit small. I am ready to continue to buy a pair")</f>
        <v>Shoes a little bit small, fleshy foot freshman code would buy good shoes, very light, very appropriate for girls to wear, but unfortunately that is a bit small. I am ready to continue to buy a pair</v>
      </c>
    </row>
    <row r="3327">
      <c r="A3327" s="1">
        <v>5.0</v>
      </c>
      <c r="B3327" s="1" t="s">
        <v>3317</v>
      </c>
      <c r="C3327" t="str">
        <f>IFERROR(__xludf.DUMMYFUNCTION("GOOGLETRANSLATE(B3327, ""zh"", ""en"")"),"There are valid for three months with effect")</f>
        <v>There are valid for three months with effect</v>
      </c>
    </row>
    <row r="3328">
      <c r="A3328" s="1">
        <v>5.0</v>
      </c>
      <c r="B3328" s="1" t="s">
        <v>3318</v>
      </c>
      <c r="C3328" t="str">
        <f>IFERROR(__xludf.DUMMYFUNCTION("GOOGLETRANSLATE(B3328, ""zh"", ""en"")"),"The real thing! Cost-effective! Membership trial period free shipping buy more than 250 hand, ultra-extreme cost-effective, although waited 10 days, the key is the real thing! A treasure afraid of fakes, not that cheaper than the one in Beijing two points"&amp;"!")</f>
        <v>The real thing! Cost-effective! Membership trial period free shipping buy more than 250 hand, ultra-extreme cost-effective, although waited 10 days, the key is the real thing! A treasure afraid of fakes, not that cheaper than the one in Beijing two points!</v>
      </c>
    </row>
    <row r="3329">
      <c r="A3329" s="1">
        <v>5.0</v>
      </c>
      <c r="B3329" s="1" t="s">
        <v>3319</v>
      </c>
      <c r="C3329" t="str">
        <f>IFERROR(__xludf.DUMMYFUNCTION("GOOGLETRANSLATE(B3329, ""zh"", ""en"")"),"Suitable size 175cm, 75kg, M code appropriate. Reference comments selected size. To mitigate the single cargo freight Minato, slightly old-fashioned, to the old man.")</f>
        <v>Suitable size 175cm, 75kg, M code appropriate. Reference comments selected size. To mitigate the single cargo freight Minato, slightly old-fashioned, to the old man.</v>
      </c>
    </row>
    <row r="3330">
      <c r="A3330" s="1">
        <v>5.0</v>
      </c>
      <c r="B3330" s="1" t="s">
        <v>3320</v>
      </c>
      <c r="C3330" t="str">
        <f>IFERROR(__xludf.DUMMYFUNCTION("GOOGLETRANSLATE(B3330, ""zh"", ""en"")"),"Value for money packaging intact flawless fit very comfortable to wear most important thing is cheaper than nearly half of the country should start with the money")</f>
        <v>Value for money packaging intact flawless fit very comfortable to wear most important thing is cheaper than nearly half of the country should start with the money</v>
      </c>
    </row>
    <row r="3331">
      <c r="A3331" s="1">
        <v>5.0</v>
      </c>
      <c r="B3331" s="1" t="s">
        <v>3321</v>
      </c>
      <c r="C3331" t="str">
        <f>IFERROR(__xludf.DUMMYFUNCTION("GOOGLETRANSLATE(B3331, ""zh"", ""en"")"),"Five Star too expensive! The basic cost is zero. But the explosion models, wife of fans not, it was enough.")</f>
        <v>Five Star too expensive! The basic cost is zero. But the explosion models, wife of fans not, it was enough.</v>
      </c>
    </row>
    <row r="3332">
      <c r="A3332" s="1">
        <v>5.0</v>
      </c>
      <c r="B3332" s="1" t="s">
        <v>3322</v>
      </c>
      <c r="C3332" t="str">
        <f>IFERROR(__xludf.DUMMYFUNCTION("GOOGLETRANSLATE(B3332, ""zh"", ""en"")"),"One little smaller size")</f>
        <v>One little smaller size</v>
      </c>
    </row>
    <row r="3333">
      <c r="A3333" s="1">
        <v>5.0</v>
      </c>
      <c r="B3333" s="1" t="s">
        <v>3323</v>
      </c>
      <c r="C3333" t="str">
        <f>IFERROR(__xludf.DUMMYFUNCTION("GOOGLETRANSLATE(B3333, ""zh"", ""en"")"),"Genuine good quality wear it over a half a month review, this shoe is genuine, good quality, much cheaper than the store. Overseas purchase return a lot of trouble, I recommend a good test in the store and then buy online. We tried to go to the store, som"&amp;"e styles do not fit, this is a very appropriate.")</f>
        <v>Genuine good quality wear it over a half a month review, this shoe is genuine, good quality, much cheaper than the store. Overseas purchase return a lot of trouble, I recommend a good test in the store and then buy online. We tried to go to the store, some styles do not fit, this is a very appropriate.</v>
      </c>
    </row>
    <row r="3334">
      <c r="A3334" s="1">
        <v>5.0</v>
      </c>
      <c r="B3334" s="1" t="s">
        <v>3324</v>
      </c>
      <c r="C3334" t="str">
        <f>IFERROR(__xludf.DUMMYFUNCTION("GOOGLETRANSLATE(B3334, ""zh"", ""en"")"),"Leather looks very, very good, very thick, it is wear-resistant leather. Within the inner tube hair, warm in winter. Wear the right size, feet wrapped in comfort!")</f>
        <v>Leather looks very, very good, very thick, it is wear-resistant leather. Within the inner tube hair, warm in winter. Wear the right size, feet wrapped in comfort!</v>
      </c>
    </row>
    <row r="3335">
      <c r="A3335" s="1">
        <v>5.0</v>
      </c>
      <c r="B3335" s="1" t="s">
        <v>3325</v>
      </c>
      <c r="C3335" t="str">
        <f>IFERROR(__xludf.DUMMYFUNCTION("GOOGLETRANSLATE(B3335, ""zh"", ""en"")"),"Recommended a little small, but the feeling is good, it is recommended.")</f>
        <v>Recommended a little small, but the feeling is good, it is recommended.</v>
      </c>
    </row>
    <row r="3336">
      <c r="A3336" s="1">
        <v>5.0</v>
      </c>
      <c r="B3336" s="1" t="s">
        <v>3326</v>
      </c>
      <c r="C3336" t="str">
        <f>IFERROR(__xludf.DUMMYFUNCTION("GOOGLETRANSLATE(B3336, ""zh"", ""en"")"),"Worth buying just received, various functions are tried, very good use. The price is much cheaper than the domestic counter. It is the lack of juicer and instructions in Chinese, Chinese recipes. But overall is still good, it is worth starting")</f>
        <v>Worth buying just received, various functions are tried, very good use. The price is much cheaper than the domestic counter. It is the lack of juicer and instructions in Chinese, Chinese recipes. But overall is still good, it is worth starting</v>
      </c>
    </row>
    <row r="3337">
      <c r="A3337" s="1">
        <v>5.0</v>
      </c>
      <c r="B3337" s="1" t="s">
        <v>3327</v>
      </c>
      <c r="C3337" t="str">
        <f>IFERROR(__xludf.DUMMYFUNCTION("GOOGLETRANSLATE(B3337, ""zh"", ""en"")"),"Good country with Japan, some really bad, at least the Japanese version of the open without any taste! But also MADE IN CHINA")</f>
        <v>Good country with Japan, some really bad, at least the Japanese version of the open without any taste! But also MADE IN CHINA</v>
      </c>
    </row>
    <row r="3338">
      <c r="A3338" s="1">
        <v>2.0</v>
      </c>
      <c r="B3338" s="1" t="s">
        <v>3328</v>
      </c>
      <c r="C3338" t="str">
        <f>IFERROR(__xludf.DUMMYFUNCTION("GOOGLETRANSLATE(B3338, ""zh"", ""en"")"),"The power consumption of too much power!")</f>
        <v>The power consumption of too much power!</v>
      </c>
    </row>
    <row r="3339">
      <c r="A3339" s="1">
        <v>3.0</v>
      </c>
      <c r="B3339" s="1" t="s">
        <v>3329</v>
      </c>
      <c r="C3339" t="str">
        <f>IFERROR(__xludf.DUMMYFUNCTION("GOOGLETRANSLATE(B3339, ""zh"", ""en"")"),"That is not a small straight Slim and photos look quite the same, the feeling is straight, not straight Slim.")</f>
        <v>That is not a small straight Slim and photos look quite the same, the feeling is straight, not straight Slim.</v>
      </c>
    </row>
    <row r="3340">
      <c r="A3340" s="1">
        <v>3.0</v>
      </c>
      <c r="B3340" s="1" t="s">
        <v>3330</v>
      </c>
      <c r="C3340" t="str">
        <f>IFERROR(__xludf.DUMMYFUNCTION("GOOGLETRANSLATE(B3340, ""zh"", ""en"")"),"Small so small, there is no spoon. Not from the previous evaluation, I do not know how many wasted points, points can change money now know, they should look carefully evaluated, then I put these words to copy to go, both to earn points, but also save tro"&amp;"uble, they go where copy the most important thing is, do not seriously review, do not think how much worse word, sent directly to it, recommend it to everyone!")</f>
        <v>Small so small, there is no spoon. Not from the previous evaluation, I do not know how many wasted points, points can change money now know, they should look carefully evaluated, then I put these words to copy to go, both to earn points, but also save trouble, they go where copy the most important thing is, do not seriously review, do not think how much worse word, sent directly to it, recommend it to everyone!</v>
      </c>
    </row>
    <row r="3341">
      <c r="A3341" s="1">
        <v>3.0</v>
      </c>
      <c r="B3341" s="1" t="s">
        <v>3331</v>
      </c>
      <c r="C3341" t="str">
        <f>IFERROR(__xludf.DUMMYFUNCTION("GOOGLETRANSLATE(B3341, ""zh"", ""en"")"),"Too much is too large, there is no way to wear")</f>
        <v>Too much is too large, there is no way to wear</v>
      </c>
    </row>
    <row r="3342">
      <c r="A3342" s="1">
        <v>1.0</v>
      </c>
      <c r="B3342" s="1" t="s">
        <v>3332</v>
      </c>
      <c r="C3342" t="str">
        <f>IFERROR(__xludf.DUMMYFUNCTION("GOOGLETRANSLATE(B3342, ""zh"", ""en"")"),"Work is too rough, size is too large belt technology is too rough, is not the real thing Oh, size and dimensions do not meet the mark.")</f>
        <v>Work is too rough, size is too large belt technology is too rough, is not the real thing Oh, size and dimensions do not meet the mark.</v>
      </c>
    </row>
    <row r="3343">
      <c r="A3343" s="1">
        <v>1.0</v>
      </c>
      <c r="B3343" s="1" t="s">
        <v>3333</v>
      </c>
      <c r="C3343" t="str">
        <f>IFERROR(__xludf.DUMMYFUNCTION("GOOGLETRANSLATE(B3343, ""zh"", ""en"")"),"What sense of shame or not there is water use is not ideal")</f>
        <v>What sense of shame or not there is water use is not ideal</v>
      </c>
    </row>
    <row r="3344">
      <c r="A3344" s="1">
        <v>1.0</v>
      </c>
      <c r="B3344" s="1" t="s">
        <v>3334</v>
      </c>
      <c r="C3344" t="str">
        <f>IFERROR(__xludf.DUMMYFUNCTION("GOOGLETRANSLATE(B3344, ""zh"", ""en"")"),"Sale insecurity, need to be cautious to buy! ! September 12 arrival, the situation is not the red power October 15 appeared, overseas shopping can not guarantee domestic, to Depot Repair, costs 220 once, too pit! !")</f>
        <v>Sale insecurity, need to be cautious to buy! ! September 12 arrival, the situation is not the red power October 15 appeared, overseas shopping can not guarantee domestic, to Depot Repair, costs 220 once, too pit! !</v>
      </c>
    </row>
    <row r="3345">
      <c r="A3345" s="1">
        <v>4.0</v>
      </c>
      <c r="B3345" s="1" t="s">
        <v>3335</v>
      </c>
      <c r="C3345" t="str">
        <f>IFERROR(__xludf.DUMMYFUNCTION("GOOGLETRANSLATE(B3345, ""zh"", ""en"")"),"Also from the Philippines, work in general, the sound quality is acceptable, listening to music 3 to 4 hours. There are two silicone earmuffs")</f>
        <v>Also from the Philippines, work in general, the sound quality is acceptable, listening to music 3 to 4 hours. There are two silicone earmuffs</v>
      </c>
    </row>
    <row r="3346">
      <c r="A3346" s="1">
        <v>4.0</v>
      </c>
      <c r="B3346" s="1" t="s">
        <v>3336</v>
      </c>
      <c r="C3346" t="str">
        <f>IFERROR(__xludf.DUMMYFUNCTION("GOOGLETRANSLATE(B3346, ""zh"", ""en"")"),"hansgrohe Hansgrohe PuraVida Single lever basin mixer 110 with a push overboard white / chrome faucet ... very good, that was the time to buy did not pay attention, just below the white ceramic surface stainless steel color, if it is all stainless steel A"&amp;"ll right.")</f>
        <v>hansgrohe Hansgrohe PuraVida Single lever basin mixer 110 with a push overboard white / chrome faucet ... very good, that was the time to buy did not pay attention, just below the white ceramic surface stainless steel color, if it is all stainless steel All right.</v>
      </c>
    </row>
    <row r="3347">
      <c r="A3347" s="1">
        <v>4.0</v>
      </c>
      <c r="B3347" s="1" t="s">
        <v>3337</v>
      </c>
      <c r="C3347" t="str">
        <f>IFERROR(__xludf.DUMMYFUNCTION("GOOGLETRANSLATE(B3347, ""zh"", ""en"")"),"The code will not, a little big. But good cheap")</f>
        <v>The code will not, a little big. But good cheap</v>
      </c>
    </row>
    <row r="3348">
      <c r="A3348" s="1">
        <v>4.0</v>
      </c>
      <c r="B3348" s="1" t="s">
        <v>3338</v>
      </c>
      <c r="C3348" t="str">
        <f>IFERROR(__xludf.DUMMYFUNCTION("GOOGLETRANSLATE(B3348, ""zh"", ""en"")"),"Which taste too good, it is to buy back the taste is too big, it is cheap feeling full")</f>
        <v>Which taste too good, it is to buy back the taste is too big, it is cheap feeling full</v>
      </c>
    </row>
    <row r="3349">
      <c r="A3349" s="1">
        <v>4.0</v>
      </c>
      <c r="B3349" s="1" t="s">
        <v>2270</v>
      </c>
      <c r="C3349" t="str">
        <f>IFERROR(__xludf.DUMMYFUNCTION("GOOGLETRANSLATE(B3349, ""zh"", ""en"")"),"No packaging, acceptable quality. Why not package it? It is genuine, bought, the same.")</f>
        <v>No packaging, acceptable quality. Why not package it? It is genuine, bought, the same.</v>
      </c>
    </row>
    <row r="3350">
      <c r="A3350" s="1">
        <v>5.0</v>
      </c>
      <c r="B3350" s="1" t="s">
        <v>3339</v>
      </c>
      <c r="C3350" t="str">
        <f>IFERROR(__xludf.DUMMYFUNCTION("GOOGLETRANSLATE(B3350, ""zh"", ""en"")"),"comotomo quality does not smell very good, very good quality. Two days is almost the price of a cat. Amazon also guarantees the quality of the US direct mail, endless love.")</f>
        <v>comotomo quality does not smell very good, very good quality. Two days is almost the price of a cat. Amazon also guarantees the quality of the US direct mail, endless love.</v>
      </c>
    </row>
    <row r="3351">
      <c r="A3351" s="1">
        <v>5.0</v>
      </c>
      <c r="B3351" s="1" t="s">
        <v>3340</v>
      </c>
      <c r="C3351" t="str">
        <f>IFERROR(__xludf.DUMMYFUNCTION("GOOGLETRANSLATE(B3351, ""zh"", ""en"")"),"This number is slightly longer slightly longer than 175,150 pounds")</f>
        <v>This number is slightly longer slightly longer than 175,150 pounds</v>
      </c>
    </row>
    <row r="3352">
      <c r="A3352" s="1">
        <v>5.0</v>
      </c>
      <c r="B3352" s="1" t="s">
        <v>3341</v>
      </c>
      <c r="C3352" t="str">
        <f>IFERROR(__xludf.DUMMYFUNCTION("GOOGLETRANSLATE(B3352, ""zh"", ""en"")"),"CK's worth buying this shirt very comfortable to wear, feel and that section AMANI similar, but the price Biamani that section of cheaper, well, I was repurchased. I love Amazon overseas purchase (broken sound!)")</f>
        <v>CK's worth buying this shirt very comfortable to wear, feel and that section AMANI similar, but the price Biamani that section of cheaper, well, I was repurchased. I love Amazon overseas purchase (broken sound!)</v>
      </c>
    </row>
    <row r="3353">
      <c r="A3353" s="1">
        <v>5.0</v>
      </c>
      <c r="B3353" s="1" t="s">
        <v>3342</v>
      </c>
      <c r="C3353" t="str">
        <f>IFERROR(__xludf.DUMMYFUNCTION("GOOGLETRANSLATE(B3353, ""zh"", ""en"")"),"The effect can not detect, taste good Winnie the sugar tastes good")</f>
        <v>The effect can not detect, taste good Winnie the sugar tastes good</v>
      </c>
    </row>
    <row r="3354">
      <c r="A3354" s="1">
        <v>5.0</v>
      </c>
      <c r="B3354" s="1" t="s">
        <v>3343</v>
      </c>
      <c r="C3354" t="str">
        <f>IFERROR(__xludf.DUMMYFUNCTION("GOOGLETRANSLATE(B3354, ""zh"", ""en"")"),"Good copy into the rate of about 120, the sound is not great.")</f>
        <v>Good copy into the rate of about 120, the sound is not great.</v>
      </c>
    </row>
    <row r="3355">
      <c r="A3355" s="1">
        <v>5.0</v>
      </c>
      <c r="B3355" s="1" t="s">
        <v>3344</v>
      </c>
      <c r="C3355" t="str">
        <f>IFERROR(__xludf.DUMMYFUNCTION("GOOGLETRANSLATE(B3355, ""zh"", ""en"")"),"Dr. Keith mouthwash a good mouthwash, effect good!")</f>
        <v>Dr. Keith mouthwash a good mouthwash, effect good!</v>
      </c>
    </row>
    <row r="3356">
      <c r="A3356" s="1">
        <v>5.0</v>
      </c>
      <c r="B3356" s="1" t="s">
        <v>3345</v>
      </c>
      <c r="C3356" t="str">
        <f>IFERROR(__xludf.DUMMYFUNCTION("GOOGLETRANSLATE(B3356, ""zh"", ""en"")"),"Beautiful, perfect look great, yes, the United States sent to China, and cheaper than domestic, it is to express slow, very nice watch. The proposed purchase.")</f>
        <v>Beautiful, perfect look great, yes, the United States sent to China, and cheaper than domestic, it is to express slow, very nice watch. The proposed purchase.</v>
      </c>
    </row>
    <row r="3357">
      <c r="A3357" s="1">
        <v>5.0</v>
      </c>
      <c r="B3357" s="1" t="s">
        <v>3346</v>
      </c>
      <c r="C3357" t="str">
        <f>IFERROR(__xludf.DUMMYFUNCTION("GOOGLETRANSLATE(B3357, ""zh"", ""en"")"),"Description is wrong is not loaded before replacing the empty box with storage box and sent a header no place to put, if determined to buy a storage box 100, the results sent to open stuffed with replacement equipment. . . My original brush still do not k"&amp;"now what to put, do not know is happy or sad. . .")</f>
        <v>Description is wrong is not loaded before replacing the empty box with storage box and sent a header no place to put, if determined to buy a storage box 100, the results sent to open stuffed with replacement equipment. . . My original brush still do not know what to put, do not know is happy or sad. . .</v>
      </c>
    </row>
    <row r="3358">
      <c r="A3358" s="1">
        <v>5.0</v>
      </c>
      <c r="B3358" s="1" t="s">
        <v>3347</v>
      </c>
      <c r="C3358" t="str">
        <f>IFERROR(__xludf.DUMMYFUNCTION("GOOGLETRANSLATE(B3358, ""zh"", ""en"")"),"38.5 yards, 5.5uk suitable. clarks been 5.5uk, my feet domestic 38.5 yards.")</f>
        <v>38.5 yards, 5.5uk suitable. clarks been 5.5uk, my feet domestic 38.5 yards.</v>
      </c>
    </row>
    <row r="3359">
      <c r="A3359" s="1">
        <v>5.0</v>
      </c>
      <c r="B3359" s="1" t="s">
        <v>3348</v>
      </c>
      <c r="C3359" t="str">
        <f>IFERROR(__xludf.DUMMYFUNCTION("GOOGLETRANSLATE(B3359, ""zh"", ""en"")"),"Quality line of clothes in general prices in general, no problems.")</f>
        <v>Quality line of clothes in general prices in general, no problems.</v>
      </c>
    </row>
    <row r="3360">
      <c r="A3360" s="1">
        <v>5.0</v>
      </c>
      <c r="B3360" s="1" t="s">
        <v>3349</v>
      </c>
      <c r="C3360" t="str">
        <f>IFERROR(__xludf.DUMMYFUNCTION("GOOGLETRANSLATE(B3360, ""zh"", ""en"")"),"Give their own point of praise said he likes to give his own said he likes thumbs up")</f>
        <v>Give their own point of praise said he likes to give his own said he likes thumbs up</v>
      </c>
    </row>
    <row r="3361">
      <c r="A3361" s="1">
        <v>5.0</v>
      </c>
      <c r="B3361" s="1" t="s">
        <v>3350</v>
      </c>
      <c r="C3361" t="str">
        <f>IFERROR(__xludf.DUMMYFUNCTION("GOOGLETRANSLATE(B3361, ""zh"", ""en"")"),"Very good very handsome, a watch, really like")</f>
        <v>Very good very handsome, a watch, really like</v>
      </c>
    </row>
    <row r="3362">
      <c r="A3362" s="1">
        <v>5.0</v>
      </c>
      <c r="B3362" s="1" t="s">
        <v>3351</v>
      </c>
      <c r="C3362" t="str">
        <f>IFERROR(__xludf.DUMMYFUNCTION("GOOGLETRANSLATE(B3362, ""zh"", ""en"")"),"Very good quality, size is too large 178 high, 95 kg weight, XXL clothes, almost big One, XL should be on the list.")</f>
        <v>Very good quality, size is too large 178 high, 95 kg weight, XXL clothes, almost big One, XL should be on the list.</v>
      </c>
    </row>
    <row r="3363">
      <c r="A3363" s="1">
        <v>5.0</v>
      </c>
      <c r="B3363" s="1" t="s">
        <v>3352</v>
      </c>
      <c r="C3363" t="str">
        <f>IFERROR(__xludf.DUMMYFUNCTION("GOOGLETRANSLATE(B3363, ""zh"", ""en"")"),"Satisfaction received come specially under evaluation, usually 39 to buy 41 very appropriate, I want to be a little freshman little bit of size, material should belong to the soft leather, but did not try in the mall female models soft leather so soft, th"&amp;"ere is no male and female the same paragraph crust so hard, in short, I feel moderate hardness, or the very type. I hope everyone has to help")</f>
        <v>Satisfaction received come specially under evaluation, usually 39 to buy 41 very appropriate, I want to be a little freshman little bit of size, material should belong to the soft leather, but did not try in the mall female models soft leather so soft, there is no male and female the same paragraph crust so hard, in short, I feel moderate hardness, or the very type. I hope everyone has to help</v>
      </c>
    </row>
    <row r="3364">
      <c r="A3364" s="1">
        <v>5.0</v>
      </c>
      <c r="B3364" s="1" t="s">
        <v>3353</v>
      </c>
      <c r="C3364" t="str">
        <f>IFERROR(__xludf.DUMMYFUNCTION("GOOGLETRANSLATE(B3364, ""zh"", ""en"")"),"This color is really being genuine good a! TB or DG afraid of fakes, fidelity here, and really good cheap ~")</f>
        <v>This color is really being genuine good a! TB or DG afraid of fakes, fidelity here, and really good cheap ~</v>
      </c>
    </row>
    <row r="3365">
      <c r="A3365" s="1">
        <v>5.0</v>
      </c>
      <c r="B3365" s="1" t="s">
        <v>3354</v>
      </c>
      <c r="C3365" t="str">
        <f>IFERROR(__xludf.DUMMYFUNCTION("GOOGLETRANSLATE(B3365, ""zh"", ""en"")"),"Worth having foot feeling great with jeans very beautiful, it is a little Wu feet, suitable for spring and autumn wear")</f>
        <v>Worth having foot feeling great with jeans very beautiful, it is a little Wu feet, suitable for spring and autumn wear</v>
      </c>
    </row>
    <row r="3366">
      <c r="A3366" s="1">
        <v>5.0</v>
      </c>
      <c r="B3366" s="1" t="s">
        <v>3355</v>
      </c>
      <c r="C3366" t="str">
        <f>IFERROR(__xludf.DUMMYFUNCTION("GOOGLETRANSLATE(B3366, ""zh"", ""en"")"),"Less than half than domestic shoe size code, be sure to buy plus half a yard less than half than the domestic shoe size code, be sure to buy plus half a yard, the other foot is tight, wide feet people is the best option 4E. The sole support good, running "&amp;"up a good shock absorption.")</f>
        <v>Less than half than domestic shoe size code, be sure to buy plus half a yard less than half than the domestic shoe size code, be sure to buy plus half a yard, the other foot is tight, wide feet people is the best option 4E. The sole support good, running up a good shock absorption.</v>
      </c>
    </row>
    <row r="3367">
      <c r="A3367" s="1">
        <v>5.0</v>
      </c>
      <c r="B3367" s="1" t="s">
        <v>3356</v>
      </c>
      <c r="C3367" t="str">
        <f>IFERROR(__xludf.DUMMYFUNCTION("GOOGLETRANSLATE(B3367, ""zh"", ""en"")"),"Good 👌 good results abdomen, hip effect is not very obvious, comfortable, breathable, slightly lower volume on the Circuit, in general, still very good, worth buying.")</f>
        <v>Good 👌 good results abdomen, hip effect is not very obvious, comfortable, breathable, slightly lower volume on the Circuit, in general, still very good, worth buying.</v>
      </c>
    </row>
    <row r="3368">
      <c r="A3368" s="1">
        <v>5.0</v>
      </c>
      <c r="B3368" s="1" t="s">
        <v>3357</v>
      </c>
      <c r="C3368" t="str">
        <f>IFERROR(__xludf.DUMMYFUNCTION("GOOGLETRANSLATE(B3368, ""zh"", ""en"")"),"Proper fit, Little Big")</f>
        <v>Proper fit, Little Big</v>
      </c>
    </row>
    <row r="3369">
      <c r="A3369" s="1">
        <v>5.0</v>
      </c>
      <c r="B3369" s="1" t="s">
        <v>3358</v>
      </c>
      <c r="C3369" t="str">
        <f>IFERROR(__xludf.DUMMYFUNCTION("GOOGLETRANSLATE(B3369, ""zh"", ""en"")"),"Good price is very appropriate, but with domestic needs Converter")</f>
        <v>Good price is very appropriate, but with domestic needs Converter</v>
      </c>
    </row>
    <row r="3370">
      <c r="A3370" s="1">
        <v>5.0</v>
      </c>
      <c r="B3370" s="1" t="s">
        <v>3359</v>
      </c>
      <c r="C3370" t="str">
        <f>IFERROR(__xludf.DUMMYFUNCTION("GOOGLETRANSLATE(B3370, ""zh"", ""en"")"),"Amazon nice pants for the first time shopping, but very satisfied. Pants and imagination about the same, that is, had mixed feelings crooked nuts are big legs, long pants a little long, the proposed height of 177 150 pounds to buy 32w31l of comrades")</f>
        <v>Amazon nice pants for the first time shopping, but very satisfied. Pants and imagination about the same, that is, had mixed feelings crooked nuts are big legs, long pants a little long, the proposed height of 177 150 pounds to buy 32w31l of comrades</v>
      </c>
    </row>
    <row r="3371">
      <c r="A3371" s="1">
        <v>2.0</v>
      </c>
      <c r="B3371" s="1" t="s">
        <v>3360</v>
      </c>
      <c r="C3371" t="str">
        <f>IFERROR(__xludf.DUMMYFUNCTION("GOOGLETRANSLATE(B3371, ""zh"", ""en"")"),"I spent two days this bad for the baby to buy, dedicated, so it is willing to spend the money. Use as follows: beginning to boil water, large plastic taste, burnt several times, the taste is light; started yesterday (January 29), it's broken now, up and d"&amp;"own the lid when boiling components is broken, cracked. Domestic Domestic not matter, most importantly, the quality is better. Objectively speaking, stainless steel bottle is good, but those plastic ah, assembly ah, might be a little problem.")</f>
        <v>I spent two days this bad for the baby to buy, dedicated, so it is willing to spend the money. Use as follows: beginning to boil water, large plastic taste, burnt several times, the taste is light; started yesterday (January 29), it's broken now, up and down the lid when boiling components is broken, cracked. Domestic Domestic not matter, most importantly, the quality is better. Objectively speaking, stainless steel bottle is good, but those plastic ah, assembly ah, might be a little problem.</v>
      </c>
    </row>
    <row r="3372">
      <c r="A3372" s="1">
        <v>3.0</v>
      </c>
      <c r="B3372" s="1" t="s">
        <v>3361</v>
      </c>
      <c r="C3372" t="str">
        <f>IFERROR(__xludf.DUMMYFUNCTION("GOOGLETRANSLATE(B3372, ""zh"", ""en"")"),"@@@@@@ similar size, I chose the wide version of the very intensity of wear on their feet just do not know the goods are not defective, damaged looking for customer service")</f>
        <v>@@@@@@ similar size, I chose the wide version of the very intensity of wear on their feet just do not know the goods are not defective, damaged looking for customer service</v>
      </c>
    </row>
    <row r="3373">
      <c r="A3373" s="1">
        <v>3.0</v>
      </c>
      <c r="B3373" s="1" t="s">
        <v>3362</v>
      </c>
      <c r="C3373" t="str">
        <f>IFERROR(__xludf.DUMMYFUNCTION("GOOGLETRANSLATE(B3373, ""zh"", ""en"")"),"Size small height 170, weight 65kg, m serious small code. Return 125 yuan fee, huh, huh.")</f>
        <v>Size small height 170, weight 65kg, m serious small code. Return 125 yuan fee, huh, huh.</v>
      </c>
    </row>
    <row r="3374">
      <c r="A3374" s="1">
        <v>3.0</v>
      </c>
      <c r="B3374" s="1" t="s">
        <v>3363</v>
      </c>
      <c r="C3374" t="str">
        <f>IFERROR(__xludf.DUMMYFUNCTION("GOOGLETRANSLATE(B3374, ""zh"", ""en"")"),"Okay very strong cast iron pot, heat more slowly (and more slowly than the non-stick), is the handle a little short point, easy to hold pouches when not focus on, and then move the grip point and worried burns.")</f>
        <v>Okay very strong cast iron pot, heat more slowly (and more slowly than the non-stick), is the handle a little short point, easy to hold pouches when not focus on, and then move the grip point and worried burns.</v>
      </c>
    </row>
    <row r="3375">
      <c r="A3375" s="1">
        <v>1.0</v>
      </c>
      <c r="B3375" s="1" t="s">
        <v>3364</v>
      </c>
      <c r="C3375" t="str">
        <f>IFERROR(__xludf.DUMMYFUNCTION("GOOGLETRANSLATE(B3375, ""zh"", ""en"")"),"Red teeth can not be used to purchase less than a year, is now not working, I do not know the problem or red teeth charging line")</f>
        <v>Red teeth can not be used to purchase less than a year, is now not working, I do not know the problem or red teeth charging line</v>
      </c>
    </row>
    <row r="3376">
      <c r="A3376" s="1">
        <v>1.0</v>
      </c>
      <c r="B3376" s="1" t="s">
        <v>3365</v>
      </c>
      <c r="C3376" t="str">
        <f>IFERROR(__xludf.DUMMYFUNCTION("GOOGLETRANSLATE(B3376, ""zh"", ""en"")"),"Hoping to solve the watch head hair is broken, water")</f>
        <v>Hoping to solve the watch head hair is broken, water</v>
      </c>
    </row>
    <row r="3377">
      <c r="A3377" s="1">
        <v>4.0</v>
      </c>
      <c r="B3377" s="1" t="s">
        <v>3366</v>
      </c>
      <c r="C3377" t="str">
        <f>IFERROR(__xludf.DUMMYFUNCTION("GOOGLETRANSLATE(B3377, ""zh"", ""en"")"),"Installation is no problem comes with what some small accessories rubber pad, there are also manual installation method for various types of faucets. Installation should be no problem, but the filtering effect is unknown.")</f>
        <v>Installation is no problem comes with what some small accessories rubber pad, there are also manual installation method for various types of faucets. Installation should be no problem, but the filtering effect is unknown.</v>
      </c>
    </row>
    <row r="3378">
      <c r="A3378" s="1">
        <v>4.0</v>
      </c>
      <c r="B3378" s="1" t="s">
        <v>3367</v>
      </c>
      <c r="C3378" t="str">
        <f>IFERROR(__xludf.DUMMYFUNCTION("GOOGLETRANSLATE(B3378, ""zh"", ""en"")"),"Also, the price of rubber in the country is also very easy to use! 😄 with it is also okay! The greatest feeling is expensive 😂, more expensive than Mouwang!")</f>
        <v>Also, the price of rubber in the country is also very easy to use! 😄 with it is also okay! The greatest feeling is expensive 😂, more expensive than Mouwang!</v>
      </c>
    </row>
    <row r="3379">
      <c r="A3379" s="1">
        <v>4.0</v>
      </c>
      <c r="B3379" s="1" t="s">
        <v>3368</v>
      </c>
      <c r="C3379" t="str">
        <f>IFERROR(__xludf.DUMMYFUNCTION("GOOGLETRANSLATE(B3379, ""zh"", ""en"")"),"Yan high value, high quality stuff Yan BB ultra-high value. Is directed at the lovely shape to buy, with a little dish feel pretty good, it can be 4 stars, plates stable, the baby will not eat knocked over. The disadvantage is that no more than 90 degrees"&amp;" disinfection. We can put a dishwasher and microwave heating these two functions is not practical, after all, baby food is to do now is to eat, plate is washed separately")</f>
        <v>Yan high value, high quality stuff Yan BB ultra-high value. Is directed at the lovely shape to buy, with a little dish feel pretty good, it can be 4 stars, plates stable, the baby will not eat knocked over. The disadvantage is that no more than 90 degrees disinfection. We can put a dishwasher and microwave heating these two functions is not practical, after all, baby food is to do now is to eat, plate is washed separately</v>
      </c>
    </row>
    <row r="3380">
      <c r="A3380" s="1">
        <v>4.0</v>
      </c>
      <c r="B3380" s="1" t="s">
        <v>3369</v>
      </c>
      <c r="C3380" t="str">
        <f>IFERROR(__xludf.DUMMYFUNCTION("GOOGLETRANSLATE(B3380, ""zh"", ""en"")"),"Very good and I think you are a little but almost good")</f>
        <v>Very good and I think you are a little but almost good</v>
      </c>
    </row>
    <row r="3381">
      <c r="A3381" s="1">
        <v>5.0</v>
      </c>
      <c r="B3381" s="1" t="s">
        <v>3370</v>
      </c>
      <c r="C3381" t="str">
        <f>IFERROR(__xludf.DUMMYFUNCTION("GOOGLETRANSLATE(B3381, ""zh"", ""en"")"),"Warm okay thin thin section, relatively warm. Yes.")</f>
        <v>Warm okay thin thin section, relatively warm. Yes.</v>
      </c>
    </row>
    <row r="3382">
      <c r="A3382" s="1">
        <v>5.0</v>
      </c>
      <c r="B3382" s="1" t="s">
        <v>3371</v>
      </c>
      <c r="C3382" t="str">
        <f>IFERROR(__xludf.DUMMYFUNCTION("GOOGLETRANSLATE(B3382, ""zh"", ""en"")"),"value! Relatively warm days of autumn clothes within 8 --- 10 degrees ma1 take this coat is completely sufficient and do not zipping when 5 degrees below the same two pieces of clothing zipping fully spent. As people look around and I can not think back a"&amp;"nd enjoy the bulging But what then feel comfortable enough")</f>
        <v>value! Relatively warm days of autumn clothes within 8 --- 10 degrees ma1 take this coat is completely sufficient and do not zipping when 5 degrees below the same two pieces of clothing zipping fully spent. As people look around and I can not think back and enjoy the bulging But what then feel comfortable enough</v>
      </c>
    </row>
    <row r="3383">
      <c r="A3383" s="1">
        <v>5.0</v>
      </c>
      <c r="B3383" s="1" t="s">
        <v>3372</v>
      </c>
      <c r="C3383" t="str">
        <f>IFERROR(__xludf.DUMMYFUNCTION("GOOGLETRANSLATE(B3383, ""zh"", ""en"")"),"Accessories very much, and soon received the goods, not only lacking with accessories")</f>
        <v>Accessories very much, and soon received the goods, not only lacking with accessories</v>
      </c>
    </row>
    <row r="3384">
      <c r="A3384" s="1">
        <v>5.0</v>
      </c>
      <c r="B3384" s="1" t="s">
        <v>3373</v>
      </c>
      <c r="C3384" t="str">
        <f>IFERROR(__xludf.DUMMYFUNCTION("GOOGLETRANSLATE(B3384, ""zh"", ""en"")"),"A lot of people recommended Mike read a lot of entry-level video contrast, in the required funds can only buy 500 yuan, but do not want the quality is not good, looked on youtube and more video after N decided to buy it, take it home and be able to obviou"&amp;"sly felt points, the first is the directivity, the sound is amplified second Chengdu is satisfied")</f>
        <v>A lot of people recommended Mike read a lot of entry-level video contrast, in the required funds can only buy 500 yuan, but do not want the quality is not good, looked on youtube and more video after N decided to buy it, take it home and be able to obviously felt points, the first is the directivity, the sound is amplified second Chengdu is satisfied</v>
      </c>
    </row>
    <row r="3385">
      <c r="A3385" s="1">
        <v>5.0</v>
      </c>
      <c r="B3385" s="1" t="s">
        <v>3374</v>
      </c>
      <c r="C3385" t="str">
        <f>IFERROR(__xludf.DUMMYFUNCTION("GOOGLETRANSLATE(B3385, ""zh"", ""en"")"),"Baby super like design is very good, shark fins, shark tails, shark head baby can house ah mouth bite, size is also more appropriate")</f>
        <v>Baby super like design is very good, shark fins, shark tails, shark head baby can house ah mouth bite, size is also more appropriate</v>
      </c>
    </row>
    <row r="3386">
      <c r="A3386" s="1">
        <v>5.0</v>
      </c>
      <c r="B3386" s="1" t="s">
        <v>3375</v>
      </c>
      <c r="C3386" t="str">
        <f>IFERROR(__xludf.DUMMYFUNCTION("GOOGLETRANSLATE(B3386, ""zh"", ""en"")"),"A little heavy, recording good results. A little heavy, not able to put on the shelf, can only be put on the table, very sensitive, recording good results.")</f>
        <v>A little heavy, recording good results. A little heavy, not able to put on the shelf, can only be put on the table, very sensitive, recording good results.</v>
      </c>
    </row>
    <row r="3387">
      <c r="A3387" s="1">
        <v>5.0</v>
      </c>
      <c r="B3387" s="1" t="s">
        <v>3376</v>
      </c>
      <c r="C3387" t="str">
        <f>IFERROR(__xludf.DUMMYFUNCTION("GOOGLETRANSLATE(B3387, ""zh"", ""en"")"),"Good quality of good quality, is to buy smaller hey, it is recommended to buy a bigger, otherwise it will be uncomfortable 😢")</f>
        <v>Good quality of good quality, is to buy smaller hey, it is recommended to buy a bigger, otherwise it will be uncomfortable 😢</v>
      </c>
    </row>
    <row r="3388">
      <c r="A3388" s="1">
        <v>5.0</v>
      </c>
      <c r="B3388" s="1" t="s">
        <v>3377</v>
      </c>
      <c r="C3388" t="str">
        <f>IFERROR(__xludf.DUMMYFUNCTION("GOOGLETRANSLATE(B3388, ""zh"", ""en"")"),"Praise good to wear, heat, comfort.")</f>
        <v>Praise good to wear, heat, comfort.</v>
      </c>
    </row>
    <row r="3389">
      <c r="A3389" s="1">
        <v>5.0</v>
      </c>
      <c r="B3389" s="1" t="s">
        <v>3378</v>
      </c>
      <c r="C3389" t="str">
        <f>IFERROR(__xludf.DUMMYFUNCTION("GOOGLETRANSLATE(B3389, ""zh"", ""en"")"),"Very good belt can also do an overall comparison of old jeans lee buy 32w. A little loose belt 95")</f>
        <v>Very good belt can also do an overall comparison of old jeans lee buy 32w. A little loose belt 95</v>
      </c>
    </row>
    <row r="3390">
      <c r="A3390" s="1">
        <v>5.0</v>
      </c>
      <c r="B3390" s="1" t="s">
        <v>3379</v>
      </c>
      <c r="C3390" t="str">
        <f>IFERROR(__xludf.DUMMYFUNCTION("GOOGLETRANSLATE(B3390, ""zh"", ""en"")"),"Good workmanship is very appropriate, 1.77 / 80 32/32 buy, we hope to help friends.")</f>
        <v>Good workmanship is very appropriate, 1.77 / 80 32/32 buy, we hope to help friends.</v>
      </c>
    </row>
    <row r="3391">
      <c r="A3391" s="1">
        <v>5.0</v>
      </c>
      <c r="B3391" s="1" t="s">
        <v>3380</v>
      </c>
      <c r="C3391" t="str">
        <f>IFERROR(__xludf.DUMMYFUNCTION("GOOGLETRANSLATE(B3391, ""zh"", ""en"")"),"Although flawed, but the attitude of boots and treatment options very satisfied. Chelsea Martin boots, not to mention full of British Lunfan children. Sent me the right foot instep boots have a lot of wrinkles to Amazon sent a message to the phone call an"&amp;"d soon were processed, several options are satisfactory, international platform is not the same, with the give five-star.")</f>
        <v>Although flawed, but the attitude of boots and treatment options very satisfied. Chelsea Martin boots, not to mention full of British Lunfan children. Sent me the right foot instep boots have a lot of wrinkles to Amazon sent a message to the phone call and soon were processed, several options are satisfactory, international platform is not the same, with the give five-star.</v>
      </c>
    </row>
    <row r="3392">
      <c r="A3392" s="1">
        <v>5.0</v>
      </c>
      <c r="B3392" s="1" t="s">
        <v>3381</v>
      </c>
      <c r="C3392" t="str">
        <f>IFERROR(__xludf.DUMMYFUNCTION("GOOGLETRANSLATE(B3392, ""zh"", ""en"")"),"Well, good comfort, comfort.")</f>
        <v>Well, good comfort, comfort.</v>
      </c>
    </row>
    <row r="3393">
      <c r="A3393" s="1">
        <v>5.0</v>
      </c>
      <c r="B3393" s="1" t="s">
        <v>3382</v>
      </c>
      <c r="C3393" t="str">
        <f>IFERROR(__xludf.DUMMYFUNCTION("GOOGLETRANSLATE(B3393, ""zh"", ""en"")"),"Heard that sound good in 2016 Softbank, almost the same number, that Softbank is 250+")</f>
        <v>Heard that sound good in 2016 Softbank, almost the same number, that Softbank is 250+</v>
      </c>
    </row>
    <row r="3394">
      <c r="A3394" s="1">
        <v>5.0</v>
      </c>
      <c r="B3394" s="1" t="s">
        <v>3383</v>
      </c>
      <c r="C3394" t="str">
        <f>IFERROR(__xludf.DUMMYFUNCTION("GOOGLETRANSLATE(B3394, ""zh"", ""en"")"),"Very good right size, good quality, good")</f>
        <v>Very good right size, good quality, good</v>
      </c>
    </row>
    <row r="3395">
      <c r="A3395" s="1">
        <v>5.0</v>
      </c>
      <c r="B3395" s="1" t="s">
        <v>3384</v>
      </c>
      <c r="C3395" t="str">
        <f>IFERROR(__xludf.DUMMYFUNCTION("GOOGLETRANSLATE(B3395, ""zh"", ""en"")"),"Like some little flexible, very fit, very much")</f>
        <v>Like some little flexible, very fit, very much</v>
      </c>
    </row>
    <row r="3396">
      <c r="A3396" s="1">
        <v>5.0</v>
      </c>
      <c r="B3396" s="1" t="s">
        <v>3385</v>
      </c>
      <c r="C3396" t="str">
        <f>IFERROR(__xludf.DUMMYFUNCTION("GOOGLETRANSLATE(B3396, ""zh"", ""en"")"),"Good quality and good quality fabric comfortable, breathable, next time you need also to")</f>
        <v>Good quality and good quality fabric comfortable, breathable, next time you need also to</v>
      </c>
    </row>
    <row r="3397">
      <c r="A3397" s="1">
        <v>5.0</v>
      </c>
      <c r="B3397" s="1" t="s">
        <v>3386</v>
      </c>
      <c r="C3397" t="str">
        <f>IFERROR(__xludf.DUMMYFUNCTION("GOOGLETRANSLATE(B3397, ""zh"", ""en"")"),"Nice coat nice coat, good workmanship.")</f>
        <v>Nice coat nice coat, good workmanship.</v>
      </c>
    </row>
    <row r="3398">
      <c r="A3398" s="1">
        <v>5.0</v>
      </c>
      <c r="B3398" s="1" t="s">
        <v>3387</v>
      </c>
      <c r="C3398" t="str">
        <f>IFERROR(__xludf.DUMMYFUNCTION("GOOGLETRANSLATE(B3398, ""zh"", ""en"")"),"Cheap! practical! Pretty! Value! Just what I wanted spreadsheet! Cheap waterproof with luminous! Genuine! Instructions not Chinese! I have been in the Amazon to buy Casio watch, not a problem! And when quasi go! Amazon deficiency is that not enough detail"&amp;"ed description of goods, the harm I have to go to Taobao to see! We hope to improve!")</f>
        <v>Cheap! practical! Pretty! Value! Just what I wanted spreadsheet! Cheap waterproof with luminous! Genuine! Instructions not Chinese! I have been in the Amazon to buy Casio watch, not a problem! And when quasi go! Amazon deficiency is that not enough detailed description of goods, the harm I have to go to Taobao to see! We hope to improve!</v>
      </c>
    </row>
    <row r="3399">
      <c r="A3399" s="1">
        <v>5.0</v>
      </c>
      <c r="B3399" s="1" t="s">
        <v>3388</v>
      </c>
      <c r="C3399" t="str">
        <f>IFERROR(__xludf.DUMMYFUNCTION("GOOGLETRANSLATE(B3399, ""zh"", ""en"")"),"Satisfaction shopping 175cm, 72kg, L code exactly. Express speed is also very fast, German origin, quality satisfaction!")</f>
        <v>Satisfaction shopping 175cm, 72kg, L code exactly. Express speed is also very fast, German origin, quality satisfaction!</v>
      </c>
    </row>
    <row r="3400">
      <c r="A3400" s="1">
        <v>5.0</v>
      </c>
      <c r="B3400" s="1" t="s">
        <v>3389</v>
      </c>
      <c r="C3400" t="str">
        <f>IFERROR(__xludf.DUMMYFUNCTION("GOOGLETRANSLATE(B3400, ""zh"", ""en"")"),"For the brand, the price is very good. Quality is very good, feeling very fine workmanship.")</f>
        <v>For the brand, the price is very good. Quality is very good, feeling very fine workmanship.</v>
      </c>
    </row>
    <row r="3401">
      <c r="A3401" s="1">
        <v>5.0</v>
      </c>
      <c r="B3401" s="1" t="s">
        <v>3390</v>
      </c>
      <c r="C3401" t="str">
        <f>IFERROR(__xludf.DUMMYFUNCTION("GOOGLETRANSLATE(B3401, ""zh"", ""en"")"),"Size is the most confusing! Size is the most confusing! Read a lot of argument about the size, got to the final trumpet can still feel, but in the end found it a bit small trumpet!")</f>
        <v>Size is the most confusing! Size is the most confusing! Read a lot of argument about the size, got to the final trumpet can still feel, but in the end found it a bit small trumpet!</v>
      </c>
    </row>
    <row r="3402">
      <c r="A3402" s="1">
        <v>5.0</v>
      </c>
      <c r="B3402" s="1" t="s">
        <v>3391</v>
      </c>
      <c r="C3402" t="str">
        <f>IFERROR(__xludf.DUMMYFUNCTION("GOOGLETRANSLATE(B3402, ""zh"", ""en"")"),"Very, very good, buy and buy, but also introduce a friend to buy")</f>
        <v>Very, very good, buy and buy, but also introduce a friend to buy</v>
      </c>
    </row>
    <row r="3403">
      <c r="A3403" s="1">
        <v>2.0</v>
      </c>
      <c r="B3403" s="1" t="s">
        <v>3392</v>
      </c>
      <c r="C3403" t="str">
        <f>IFERROR(__xludf.DUMMYFUNCTION("GOOGLETRANSLATE(B3403, ""zh"", ""en"")"),"L code with the big number to two in Japan, I bought the store, do not understand the Japanese market are the same brand how can such a big gap. And poor network quality significantly better than single-store product quality L code with the larger number "&amp;"two in Japan, I bought the store, do not understand the Japanese market are the same brand how can such a big gap. And a single network obvious quality than the store's poor product quality")</f>
        <v>L code with the big number to two in Japan, I bought the store, do not understand the Japanese market are the same brand how can such a big gap. And poor network quality significantly better than single-store product quality L code with the larger number two in Japan, I bought the store, do not understand the Japanese market are the same brand how can such a big gap. And a single network obvious quality than the store's poor product quality</v>
      </c>
    </row>
    <row r="3404">
      <c r="A3404" s="1">
        <v>3.0</v>
      </c>
      <c r="B3404" s="1" t="s">
        <v>3393</v>
      </c>
      <c r="C3404" t="str">
        <f>IFERROR(__xludf.DUMMYFUNCTION("GOOGLETRANSLATE(B3404, ""zh"", ""en"")"),"These shoes look like models of different sizes are good, but I received this pair of shoes, left the right, the right foot is significantly less.")</f>
        <v>These shoes look like models of different sizes are good, but I received this pair of shoes, left the right, the right foot is significantly less.</v>
      </c>
    </row>
    <row r="3405">
      <c r="A3405" s="1">
        <v>3.0</v>
      </c>
      <c r="B3405" s="1" t="s">
        <v>3394</v>
      </c>
      <c r="C3405" t="str">
        <f>IFERROR(__xludf.DUMMYFUNCTION("GOOGLETRANSLATE(B3405, ""zh"", ""en"")"),"Long! Fabrics in general, very thin. Pants 165, m code is quite long. We need to be able to change it appropriate.")</f>
        <v>Long! Fabrics in general, very thin. Pants 165, m code is quite long. We need to be able to change it appropriate.</v>
      </c>
    </row>
    <row r="3406">
      <c r="A3406" s="1">
        <v>1.0</v>
      </c>
      <c r="B3406" s="1" t="s">
        <v>3395</v>
      </c>
      <c r="C3406" t="str">
        <f>IFERROR(__xludf.DUMMYFUNCTION("GOOGLETRANSLATE(B3406, ""zh"", ""en"")"),"Generally comfortable to wear, that is, the upper scratches and wrinkles!")</f>
        <v>Generally comfortable to wear, that is, the upper scratches and wrinkles!</v>
      </c>
    </row>
    <row r="3407">
      <c r="A3407" s="1">
        <v>1.0</v>
      </c>
      <c r="B3407" s="1" t="s">
        <v>3396</v>
      </c>
      <c r="C3407" t="str">
        <f>IFERROR(__xludf.DUMMYFUNCTION("GOOGLETRANSLATE(B3407, ""zh"", ""en"")"),"Pasteurized not take pot lid not buckle disinfection with a disinfectant and then the lid is not on a")</f>
        <v>Pasteurized not take pot lid not buckle disinfection with a disinfectant and then the lid is not on a</v>
      </c>
    </row>
    <row r="3408">
      <c r="A3408" s="1">
        <v>4.0</v>
      </c>
      <c r="B3408" s="1" t="s">
        <v>3397</v>
      </c>
      <c r="C3408" t="str">
        <f>IFERROR(__xludf.DUMMYFUNCTION("GOOGLETRANSLATE(B3408, ""zh"", ""en"")"),"Still appropriate size suitable base, legs slightly wider color point also, but one thing does not seem to mill before.")</f>
        <v>Still appropriate size suitable base, legs slightly wider color point also, but one thing does not seem to mill before.</v>
      </c>
    </row>
    <row r="3409">
      <c r="A3409" s="1">
        <v>4.0</v>
      </c>
      <c r="B3409" s="1" t="s">
        <v>3398</v>
      </c>
      <c r="C3409" t="str">
        <f>IFERROR(__xludf.DUMMYFUNCTION("GOOGLETRANSLATE(B3409, ""zh"", ""en"")"),"Well good, special buy, a good run.")</f>
        <v>Well good, special buy, a good run.</v>
      </c>
    </row>
    <row r="3410">
      <c r="A3410" s="1">
        <v>4.0</v>
      </c>
      <c r="B3410" s="1" t="s">
        <v>3399</v>
      </c>
      <c r="C3410" t="str">
        <f>IFERROR(__xludf.DUMMYFUNCTION("GOOGLETRANSLATE(B3410, ""zh"", ""en"")"),"Too large to buy a minimum code and found still a little big, playing two holes on the back on a perfect fit. Leather smell a bit heavy, set to be dry couple of days.")</f>
        <v>Too large to buy a minimum code and found still a little big, playing two holes on the back on a perfect fit. Leather smell a bit heavy, set to be dry couple of days.</v>
      </c>
    </row>
    <row r="3411">
      <c r="A3411" s="1">
        <v>4.0</v>
      </c>
      <c r="B3411" s="1" t="s">
        <v>3400</v>
      </c>
      <c r="C3411" t="str">
        <f>IFERROR(__xludf.DUMMYFUNCTION("GOOGLETRANSLATE(B3411, ""zh"", ""en"")"),"Light and comfortable fabric lining, size accurate. No other cortical belle good, not like the fabric lining, feeling a little time, if you like full leather lining")</f>
        <v>Light and comfortable fabric lining, size accurate. No other cortical belle good, not like the fabric lining, feeling a little time, if you like full leather lining</v>
      </c>
    </row>
    <row r="3412">
      <c r="A3412" s="1">
        <v>4.0</v>
      </c>
      <c r="B3412" s="1" t="s">
        <v>3401</v>
      </c>
      <c r="C3412" t="str">
        <f>IFERROR(__xludf.DUMMYFUNCTION("GOOGLETRANSLATE(B3412, ""zh"", ""en"")"),"No insoles, insoles no number is too large, the number is too large, daughter and now can not even wearing shoes taste")</f>
        <v>No insoles, insoles no number is too large, the number is too large, daughter and now can not even wearing shoes taste</v>
      </c>
    </row>
    <row r="3413">
      <c r="A3413" s="1">
        <v>5.0</v>
      </c>
      <c r="B3413" s="1" t="s">
        <v>3402</v>
      </c>
      <c r="C3413" t="str">
        <f>IFERROR(__xludf.DUMMYFUNCTION("GOOGLETRANSLATE(B3413, ""zh"", ""en"")"),"Good-looking, good quality, comfortable right size, long clothing is a little a little bit longer. Good quality, soft and comfortable")</f>
        <v>Good-looking, good quality, comfortable right size, long clothing is a little a little bit longer. Good quality, soft and comfortable</v>
      </c>
    </row>
    <row r="3414">
      <c r="A3414" s="1">
        <v>5.0</v>
      </c>
      <c r="B3414" s="1" t="s">
        <v>3403</v>
      </c>
      <c r="C3414" t="str">
        <f>IFERROR(__xludf.DUMMYFUNCTION("GOOGLETRANSLATE(B3414, ""zh"", ""en"")"),"Less than half yards or 1 yard on the perfect cloth thick, suitable for winter wear, is too big ----- very tangible Ouma's pants, super good quality turner.")</f>
        <v>Less than half yards or 1 yard on the perfect cloth thick, suitable for winter wear, is too big ----- very tangible Ouma's pants, super good quality turner.</v>
      </c>
    </row>
    <row r="3415">
      <c r="A3415" s="1">
        <v>5.0</v>
      </c>
      <c r="B3415" s="1" t="s">
        <v>3404</v>
      </c>
      <c r="C3415" t="str">
        <f>IFERROR(__xludf.DUMMYFUNCTION("GOOGLETRANSLATE(B3415, ""zh"", ""en"")"),"Nice. Is not open ah? I turn the lid did not open for 20 minutes. I was really drunk.")</f>
        <v>Nice. Is not open ah? I turn the lid did not open for 20 minutes. I was really drunk.</v>
      </c>
    </row>
    <row r="3416">
      <c r="A3416" s="1">
        <v>5.0</v>
      </c>
      <c r="B3416" s="1" t="s">
        <v>3405</v>
      </c>
      <c r="C3416" t="str">
        <f>IFERROR(__xludf.DUMMYFUNCTION("GOOGLETRANSLATE(B3416, ""zh"", ""en"")"),"No perfect")</f>
        <v>No perfect</v>
      </c>
    </row>
    <row r="3417">
      <c r="A3417" s="1">
        <v>5.0</v>
      </c>
      <c r="B3417" s="1" t="s">
        <v>3406</v>
      </c>
      <c r="C3417" t="str">
        <f>IFERROR(__xludf.DUMMYFUNCTION("GOOGLETRANSLATE(B3417, ""zh"", ""en"")"),"And then a little expensive. Bayer still buy calcium citrate. Fly. The effect of differences: the majority of the country such as eating calcium carbonate lime stone. Process difference: buccal particles melt inlet taste is very different.")</f>
        <v>And then a little expensive. Bayer still buy calcium citrate. Fly. The effect of differences: the majority of the country such as eating calcium carbonate lime stone. Process difference: buccal particles melt inlet taste is very different.</v>
      </c>
    </row>
    <row r="3418">
      <c r="A3418" s="1">
        <v>5.0</v>
      </c>
      <c r="B3418" s="1" t="s">
        <v>3407</v>
      </c>
      <c r="C3418" t="str">
        <f>IFERROR(__xludf.DUMMYFUNCTION("GOOGLETRANSLATE(B3418, ""zh"", ""en"")"),"Goods very good, overseas purchase a good and convenient. Commodity great, no doubt genuine, very fast! Amazon's service is really no words.")</f>
        <v>Goods very good, overseas purchase a good and convenient. Commodity great, no doubt genuine, very fast! Amazon's service is really no words.</v>
      </c>
    </row>
    <row r="3419">
      <c r="A3419" s="1">
        <v>5.0</v>
      </c>
      <c r="B3419" s="1" t="s">
        <v>3408</v>
      </c>
      <c r="C3419" t="str">
        <f>IFERROR(__xludf.DUMMYFUNCTION("GOOGLETRANSLATE(B3419, ""zh"", ""en"")"),"Evaluation great clothes, very appropriate, quality is also very good")</f>
        <v>Evaluation great clothes, very appropriate, quality is also very good</v>
      </c>
    </row>
    <row r="3420">
      <c r="A3420" s="1">
        <v>5.0</v>
      </c>
      <c r="B3420" s="1" t="s">
        <v>3409</v>
      </c>
      <c r="C3420" t="str">
        <f>IFERROR(__xludf.DUMMYFUNCTION("GOOGLETRANSLATE(B3420, ""zh"", ""en"")"),"Very good nutrition! Has bought a few bottles of good nutrition, mothers leg pain, to bear fruit to eat for two weeks a drag friend bought from the United States before - and now Amazon US shopping very convenient, fast!")</f>
        <v>Very good nutrition! Has bought a few bottles of good nutrition, mothers leg pain, to bear fruit to eat for two weeks a drag friend bought from the United States before - and now Amazon US shopping very convenient, fast!</v>
      </c>
    </row>
    <row r="3421">
      <c r="A3421" s="1">
        <v>5.0</v>
      </c>
      <c r="B3421" s="1" t="s">
        <v>3410</v>
      </c>
      <c r="C3421" t="str">
        <f>IFERROR(__xludf.DUMMYFUNCTION("GOOGLETRANSLATE(B3421, ""zh"", ""en"")"),"Ah okay, I took a little tight.")</f>
        <v>Ah okay, I took a little tight.</v>
      </c>
    </row>
    <row r="3422">
      <c r="A3422" s="1">
        <v>5.0</v>
      </c>
      <c r="B3422" s="1" t="s">
        <v>3411</v>
      </c>
      <c r="C3422" t="str">
        <f>IFERROR(__xludf.DUMMYFUNCTION("GOOGLETRANSLATE(B3422, ""zh"", ""en"")"),"Size 6.5 yards 37 yards feet appropriate, very comfortable to wear")</f>
        <v>Size 6.5 yards 37 yards feet appropriate, very comfortable to wear</v>
      </c>
    </row>
    <row r="3423">
      <c r="A3423" s="1">
        <v>5.0</v>
      </c>
      <c r="B3423" s="1" t="s">
        <v>3412</v>
      </c>
      <c r="C3423" t="str">
        <f>IFERROR(__xludf.DUMMYFUNCTION("GOOGLETRANSLATE(B3423, ""zh"", ""en"")"),"Product quality and performance very much. Own use or give as gifts are good")</f>
        <v>Product quality and performance very much. Own use or give as gifts are good</v>
      </c>
    </row>
    <row r="3424">
      <c r="A3424" s="1">
        <v>5.0</v>
      </c>
      <c r="B3424" s="1" t="s">
        <v>3413</v>
      </c>
      <c r="C3424" t="str">
        <f>IFERROR(__xludf.DUMMYFUNCTION("GOOGLETRANSLATE(B3424, ""zh"", ""en"")"),"Very good love ha ha")</f>
        <v>Very good love ha ha</v>
      </c>
    </row>
    <row r="3425">
      <c r="A3425" s="1">
        <v>5.0</v>
      </c>
      <c r="B3425" s="1" t="s">
        <v>3414</v>
      </c>
      <c r="C3425" t="str">
        <f>IFERROR(__xludf.DUMMYFUNCTION("GOOGLETRANSLATE(B3425, ""zh"", ""en"")"),"Code number is too large yardage Lee does not grasp. I bought this work in general, bought L actually great. I 1.83 weight 90kg")</f>
        <v>Code number is too large yardage Lee does not grasp. I bought this work in general, bought L actually great. I 1.83 weight 90kg</v>
      </c>
    </row>
    <row r="3426">
      <c r="A3426" s="1">
        <v>5.0</v>
      </c>
      <c r="B3426" s="1" t="s">
        <v>3415</v>
      </c>
      <c r="C3426" t="str">
        <f>IFERROR(__xludf.DUMMYFUNCTION("GOOGLETRANSLATE(B3426, ""zh"", ""en"")"),"It is what I want, but perhaps not seem like flaws on some big work, fairly fine, the skin surface feels more delicate touch. Then certainly can not be a fake, then think of a physical store prices arrogant, in short, get our hands on feel it is worth it."&amp;" October 30 under a single number, looks like No. 6 November went to, although what is displayed on the page number is expected to November 18, very fast, like this point. Then referring to the next size, online shopping will always face such problems, th"&amp;"e next usually wear sneakers all, Lotto or Li Ning, size 42 yards, 42 1/3 yards, 43 yards, 43 1/3 yards. 260mm less than a foot long, pro-test seems to 257mm. Wear a smaller size after there is little surplus space, but no problem walking running, the lar"&amp;"ger size of course there will be extra space in the front and rear tie shoelaces after walking treadmill is also very appropriate. The buy 8.5 2E, after the foot is actually fairly fit, toes gap after the top of the head heel is just barely a thumb on end"&amp;" (not flat) into them. But I guess it is because the scraps of thin overall comparison's sake, always felt slightly loose, not much. I tried several insoles, discovered after the addition of the insole toe stuck too, can not wear. So, I was thinking, mayb"&amp;"e this is indeed a little too big size, both before and after or around, or 8 2E 8.5D may be more appropriate. Then focus on the plan to buy a 8.5D or 8 2E but a little bit small (always think to buy less unlikely) friends please private letter I, whether"&amp;" steel-toe or soft-toe Both can, let us each take the required mutual benefit. . . Finally, compare this and I usually wear Li Ning shoes two, probably can be seen that the foot length and 43 1/3 Li Ning difference is not mostly, this is a little better t"&amp;"han Li Ning, the width is wider, of course, this is the tooling boots, running shoes Li Ning is the concept itself is not the same. 8.5 2E probably similar to lining 43 1/3 foot cloud II, and then may be slightly larger, in the instep as the ankle, for re"&amp;"ference. 1. The drawings are tanned paragraph; navy blue lining 42 is 1/3; blue-green lining 43 is the left is 2/3 2. The reference in this paragraph; intermediate lining 43 is 1/3; the rightmost is 421 // 3")</f>
        <v>It is what I want, but perhaps not seem like flaws on some big work, fairly fine, the skin surface feels more delicate touch. Then certainly can not be a fake, then think of a physical store prices arrogant, in short, get our hands on feel it is worth it. October 30 under a single number, looks like No. 6 November went to, although what is displayed on the page number is expected to November 18, very fast, like this point. Then referring to the next size, online shopping will always face such problems, the next usually wear sneakers all, Lotto or Li Ning, size 42 yards, 42 1/3 yards, 43 yards, 43 1/3 yards. 260mm less than a foot long, pro-test seems to 257mm. Wear a smaller size after there is little surplus space, but no problem walking running, the larger size of course there will be extra space in the front and rear tie shoelaces after walking treadmill is also very appropriate. The buy 8.5 2E, after the foot is actually fairly fit, toes gap after the top of the head heel is just barely a thumb on end (not flat) into them. But I guess it is because the scraps of thin overall comparison's sake, always felt slightly loose, not much. I tried several insoles, discovered after the addition of the insole toe stuck too, can not wear. So, I was thinking, maybe this is indeed a little too big size, both before and after or around, or 8 2E 8.5D may be more appropriate. Then focus on the plan to buy a 8.5D or 8 2E but a little bit small (always think to buy less unlikely) friends please private letter I, whether steel-toe or soft-toe Both can, let us each take the required mutual benefit. . . Finally, compare this and I usually wear Li Ning shoes two, probably can be seen that the foot length and 43 1/3 Li Ning difference is not mostly, this is a little better than Li Ning, the width is wider, of course, this is the tooling boots, running shoes Li Ning is the concept itself is not the same. 8.5 2E probably similar to lining 43 1/3 foot cloud II, and then may be slightly larger, in the instep as the ankle, for reference. 1. The drawings are tanned paragraph; navy blue lining 42 is 1/3; blue-green lining 43 is the left is 2/3 2. The reference in this paragraph; intermediate lining 43 is 1/3; the rightmost is 421 // 3</v>
      </c>
    </row>
    <row r="3427">
      <c r="A3427" s="1">
        <v>5.0</v>
      </c>
      <c r="B3427" s="1" t="s">
        <v>3416</v>
      </c>
      <c r="C3427" t="str">
        <f>IFERROR(__xludf.DUMMYFUNCTION("GOOGLETRANSLATE(B3427, ""zh"", ""en"")"),"Easy to use super easy to use, easy to use than great treasure of Pigeon grinding suit. Pigeon is easy to dye, there is no such easy cleaning. The kind of food supplement automatic cooking machine grinding one of the best, but the budget is not enough, th"&amp;"is is also very good friends with, after all, time is not too long")</f>
        <v>Easy to use super easy to use, easy to use than great treasure of Pigeon grinding suit. Pigeon is easy to dye, there is no such easy cleaning. The kind of food supplement automatic cooking machine grinding one of the best, but the budget is not enough, this is also very good friends with, after all, time is not too long</v>
      </c>
    </row>
    <row r="3428">
      <c r="A3428" s="1">
        <v>5.0</v>
      </c>
      <c r="B3428" s="1" t="s">
        <v>3417</v>
      </c>
      <c r="C3428" t="str">
        <f>IFERROR(__xludf.DUMMYFUNCTION("GOOGLETRANSLATE(B3428, ""zh"", ""en"")"),"Nice but too small ever since the first pair of Asics running shoes, fell in love, damping effect is very good, the knee pain has gradually disappeared. I bought 42.5 yards comparison chart is Nimbus19,43.5, feeling date code of shoes too small, can only "&amp;"wear thin socks.")</f>
        <v>Nice but too small ever since the first pair of Asics running shoes, fell in love, damping effect is very good, the knee pain has gradually disappeared. I bought 42.5 yards comparison chart is Nimbus19,43.5, feeling date code of shoes too small, can only wear thin socks.</v>
      </c>
    </row>
    <row r="3429">
      <c r="A3429" s="1">
        <v>5.0</v>
      </c>
      <c r="B3429" s="1" t="s">
        <v>3418</v>
      </c>
      <c r="C3429" t="str">
        <f>IFERROR(__xludf.DUMMYFUNCTION("GOOGLETRANSLATE(B3429, ""zh"", ""en"")"),"This price is the value of sending a lot of earmuffs, more transparent treble can be adjusted according to the sound, powerful low-frequency, horizontal and vertical sound field is very good")</f>
        <v>This price is the value of sending a lot of earmuffs, more transparent treble can be adjusted according to the sound, powerful low-frequency, horizontal and vertical sound field is very good</v>
      </c>
    </row>
    <row r="3430">
      <c r="A3430" s="1">
        <v>5.0</v>
      </c>
      <c r="B3430" s="1" t="s">
        <v>3419</v>
      </c>
      <c r="C3430" t="str">
        <f>IFERROR(__xludf.DUMMYFUNCTION("GOOGLETRANSLATE(B3430, ""zh"", ""en"")"),"Amazon trusted fantastic! Quality is very good! Amazon trusted! In the whole network lowest price! Quality and cheap!")</f>
        <v>Amazon trusted fantastic! Quality is very good! Amazon trusted! In the whole network lowest price! Quality and cheap!</v>
      </c>
    </row>
    <row r="3431">
      <c r="A3431" s="1">
        <v>5.0</v>
      </c>
      <c r="B3431" s="1" t="s">
        <v>3420</v>
      </c>
      <c r="C3431" t="str">
        <f>IFERROR(__xludf.DUMMYFUNCTION("GOOGLETRANSLATE(B3431, ""zh"", ""en"")"),"Favorite ECCO shoes more comfortable to wear, is indeed sent from the United Kingdom, since bought a pair of shoes, choose a large yard, give Britain returned the Amazon, worth buying, is the shoe size should be noted that, if the domestic shoes to wear 4"&amp;"2 the then select 7-7.5UK on OK")</f>
        <v>Favorite ECCO shoes more comfortable to wear, is indeed sent from the United Kingdom, since bought a pair of shoes, choose a large yard, give Britain returned the Amazon, worth buying, is the shoe size should be noted that, if the domestic shoes to wear 42 the then select 7-7.5UK on OK</v>
      </c>
    </row>
    <row r="3432">
      <c r="A3432" s="1">
        <v>5.0</v>
      </c>
      <c r="B3432" s="1" t="s">
        <v>3421</v>
      </c>
      <c r="C3432" t="str">
        <f>IFERROR(__xludf.DUMMYFUNCTION("GOOGLETRANSLATE(B3432, ""zh"", ""en"")"),"Shoe size, colors, first of all talk about personal feeling shoe size should be larger than the domestic number, I wear sneakers 7D 40.5 of this (M) US a little big, but wear a pair of thick socks add insoles should be no problem, good workmanship great c"&amp;"ortex, suggesting that look at this shoe and two color pictures to buy time to pay attention to, not a replacement overseas purchase, and is expected to fly in the ointment is that there are scratches on the shoes are not the same color, but Amazon gave m"&amp;"e a good solution.")</f>
        <v>Shoe size, colors, first of all talk about personal feeling shoe size should be larger than the domestic number, I wear sneakers 7D 40.5 of this (M) US a little big, but wear a pair of thick socks add insoles should be no problem, good workmanship great cortex, suggesting that look at this shoe and two color pictures to buy time to pay attention to, not a replacement overseas purchase, and is expected to fly in the ointment is that there are scratches on the shoes are not the same color, but Amazon gave me a good solution.</v>
      </c>
    </row>
    <row r="3433">
      <c r="A3433" s="1">
        <v>5.0</v>
      </c>
      <c r="B3433" s="1" t="s">
        <v>3422</v>
      </c>
      <c r="C3433" t="str">
        <f>IFERROR(__xludf.DUMMYFUNCTION("GOOGLETRANSLATE(B3433, ""zh"", ""en"")"),"Good Bang Bang da loose pants, suitable for fat Oh!")</f>
        <v>Good Bang Bang da loose pants, suitable for fat Oh!</v>
      </c>
    </row>
    <row r="3434">
      <c r="A3434" s="1">
        <v>5.0</v>
      </c>
      <c r="B3434" s="1" t="s">
        <v>3423</v>
      </c>
      <c r="C3434" t="str">
        <f>IFERROR(__xludf.DUMMYFUNCTION("GOOGLETRANSLATE(B3434, ""zh"", ""en"")"),"Can shape, Thailand, the price is very affordable form factor can, in Thailand, the price is very affordable")</f>
        <v>Can shape, Thailand, the price is very affordable form factor can, in Thailand, the price is very affordable</v>
      </c>
    </row>
    <row r="3435">
      <c r="A3435" s="1">
        <v>2.0</v>
      </c>
      <c r="B3435" s="1" t="s">
        <v>3424</v>
      </c>
      <c r="C3435" t="str">
        <f>IFERROR(__xludf.DUMMYFUNCTION("GOOGLETRANSLATE(B3435, ""zh"", ""en"")"),"Hard, large number of these pants is really super super super hard, it is recommended to buy with caution. In addition sloppy, I 172cm, 65 kg usually wear very thin 32, there will be a slight Le stomach feeling, but wearing the 32, very hypertrophy. There"&amp;" is a fault sticky hair 😭")</f>
        <v>Hard, large number of these pants is really super super super hard, it is recommended to buy with caution. In addition sloppy, I 172cm, 65 kg usually wear very thin 32, there will be a slight Le stomach feeling, but wearing the 32, very hypertrophy. There is a fault sticky hair 😭</v>
      </c>
    </row>
    <row r="3436">
      <c r="A3436" s="1">
        <v>3.0</v>
      </c>
      <c r="B3436" s="1" t="s">
        <v>3425</v>
      </c>
      <c r="C3436" t="str">
        <f>IFERROR(__xludf.DUMMYFUNCTION("GOOGLETRANSLATE(B3436, ""zh"", ""en"")"),"A good product from the material and design must complement each other! Otherwise, on the contrary! Fu Teng Bao kettle inside too much plastic! Even the best plastic is plastic eat it! Fu Teng Bao some also have thousands of prices! Perhaps expensive, mat"&amp;"erial is also good, why there can not cover stainless steel design is it? Why chosen to replace the plastic, plastic okay? Personally I think that the only good horse with a good saddle is really good! And Fu Teng Bao Hukou at the circle where the design "&amp;"is not clean, the feeling is layer upon layer! Therefore looked for a long time did not buy the Fu Teng Bao! Hopefully after Fu Teng Bao and then work out a new reconsider it! Ha ha")</f>
        <v>A good product from the material and design must complement each other! Otherwise, on the contrary! Fu Teng Bao kettle inside too much plastic! Even the best plastic is plastic eat it! Fu Teng Bao some also have thousands of prices! Perhaps expensive, material is also good, why there can not cover stainless steel design is it? Why chosen to replace the plastic, plastic okay? Personally I think that the only good horse with a good saddle is really good! And Fu Teng Bao Hukou at the circle where the design is not clean, the feeling is layer upon layer! Therefore looked for a long time did not buy the Fu Teng Bao! Hopefully after Fu Teng Bao and then work out a new reconsider it! Ha ha</v>
      </c>
    </row>
    <row r="3437">
      <c r="A3437" s="1">
        <v>1.0</v>
      </c>
      <c r="B3437" s="1" t="s">
        <v>3426</v>
      </c>
      <c r="C3437" t="str">
        <f>IFERROR(__xludf.DUMMYFUNCTION("GOOGLETRANSLATE(B3437, ""zh"", ""en"")"),"Uneconomical domestic Camel four hundred yuan. Look the same color of the brand is not the same. Work do not lose it!")</f>
        <v>Uneconomical domestic Camel four hundred yuan. Look the same color of the brand is not the same. Work do not lose it!</v>
      </c>
    </row>
    <row r="3438">
      <c r="A3438" s="1">
        <v>1.0</v>
      </c>
      <c r="B3438" s="1" t="s">
        <v>3427</v>
      </c>
      <c r="C3438" t="str">
        <f>IFERROR(__xludf.DUMMYFUNCTION("GOOGLETRANSLATE(B3438, ""zh"", ""en"")"),"There are serious odor, poor product appearance, smell, poor appearance. The future will no longer buy clothes on Amazon")</f>
        <v>There are serious odor, poor product appearance, smell, poor appearance. The future will no longer buy clothes on Amazon</v>
      </c>
    </row>
    <row r="3439">
      <c r="A3439" s="1">
        <v>1.0</v>
      </c>
      <c r="B3439" s="1" t="s">
        <v>3428</v>
      </c>
      <c r="C3439" t="str">
        <f>IFERROR(__xludf.DUMMYFUNCTION("GOOGLETRANSLATE(B3439, ""zh"", ""en"")"),"Carefully chosen just half a year, on the bad, all the information are gone, can not read the disk.")</f>
        <v>Carefully chosen just half a year, on the bad, all the information are gone, can not read the disk.</v>
      </c>
    </row>
    <row r="3440">
      <c r="A3440" s="1">
        <v>4.0</v>
      </c>
      <c r="B3440" s="1" t="s">
        <v>3429</v>
      </c>
      <c r="C3440" t="str">
        <f>IFERROR(__xludf.DUMMYFUNCTION("GOOGLETRANSLATE(B3440, ""zh"", ""en"")"),"Code number should buy a smaller size than sports shoes too large in addition to the other are good. Single shoe size to buy time or should be smaller than the sneakers one yard. 41 sneakers, shoes should buy almost 40. 40.5 is too large a. Express speed "&amp;"is very fast.")</f>
        <v>Code number should buy a smaller size than sports shoes too large in addition to the other are good. Single shoe size to buy time or should be smaller than the sneakers one yard. 41 sneakers, shoes should buy almost 40. 40.5 is too large a. Express speed is very fast.</v>
      </c>
    </row>
    <row r="3441">
      <c r="A3441" s="1">
        <v>4.0</v>
      </c>
      <c r="B3441" s="1" t="s">
        <v>3430</v>
      </c>
      <c r="C3441" t="str">
        <f>IFERROR(__xludf.DUMMYFUNCTION("GOOGLETRANSLATE(B3441, ""zh"", ""en"")"),"Comfortable next to the skin, soft, warm")</f>
        <v>Comfortable next to the skin, soft, warm</v>
      </c>
    </row>
    <row r="3442">
      <c r="A3442" s="1">
        <v>4.0</v>
      </c>
      <c r="B3442" s="1" t="s">
        <v>3431</v>
      </c>
      <c r="C3442" t="str">
        <f>IFERROR(__xludf.DUMMYFUNCTION("GOOGLETRANSLATE(B3442, ""zh"", ""en"")"),"Work in general, good sound quality is very good stuff, very satisfied with the product itself. A first feeding two days later, the second package is damaged, resulting in baby surface minor scratches. Think To have come ten days, this small no return, bu"&amp;"t my heart is somewhat uncomfortable.")</f>
        <v>Work in general, good sound quality is very good stuff, very satisfied with the product itself. A first feeding two days later, the second package is damaged, resulting in baby surface minor scratches. Think To have come ten days, this small no return, but my heart is somewhat uncomfortable.</v>
      </c>
    </row>
    <row r="3443">
      <c r="A3443" s="1">
        <v>4.0</v>
      </c>
      <c r="B3443" s="1" t="s">
        <v>3432</v>
      </c>
      <c r="C3443" t="str">
        <f>IFERROR(__xludf.DUMMYFUNCTION("GOOGLETRANSLATE(B3443, ""zh"", ""en"")"),"Use only suitable for walking feeling very good quality stuff, now is the prenatal, received by the time all of a sudden, just for walking, not able to sit down, so there is no longer usable, such as birth and then continue to use it.")</f>
        <v>Use only suitable for walking feeling very good quality stuff, now is the prenatal, received by the time all of a sudden, just for walking, not able to sit down, so there is no longer usable, such as birth and then continue to use it.</v>
      </c>
    </row>
    <row r="3444">
      <c r="A3444" s="1">
        <v>4.0</v>
      </c>
      <c r="B3444" s="1" t="s">
        <v>3433</v>
      </c>
      <c r="C3444" t="str">
        <f>IFERROR(__xludf.DUMMYFUNCTION("GOOGLETRANSLATE(B3444, ""zh"", ""en"")"),"When the child's nutritional supplements to snacks only wrong, it is to act as the child's snack, eat this better than eating junk food is good, the price is not beautiful.")</f>
        <v>When the child's nutritional supplements to snacks only wrong, it is to act as the child's snack, eat this better than eating junk food is good, the price is not beautiful.</v>
      </c>
    </row>
    <row r="3445">
      <c r="A3445" s="1">
        <v>5.0</v>
      </c>
      <c r="B3445" s="1" t="s">
        <v>3434</v>
      </c>
      <c r="C3445" t="str">
        <f>IFERROR(__xludf.DUMMYFUNCTION("GOOGLETRANSLATE(B3445, ""zh"", ""en"")"),"Good shopping experience Order No. May 2nd hand speed is slow. . . Such as stocking waited for about 10 days, is expected to arrive Children's Day, 😄 results today to, in fact, the logistics speed is very fast, things start feel good, is packing a little"&amp;" low")</f>
        <v>Good shopping experience Order No. May 2nd hand speed is slow. . . Such as stocking waited for about 10 days, is expected to arrive Children's Day, 😄 results today to, in fact, the logistics speed is very fast, things start feel good, is packing a little low</v>
      </c>
    </row>
    <row r="3446">
      <c r="A3446" s="1">
        <v>5.0</v>
      </c>
      <c r="B3446" s="1" t="s">
        <v>3435</v>
      </c>
      <c r="C3446" t="str">
        <f>IFERROR(__xludf.DUMMYFUNCTION("GOOGLETRANSLATE(B3446, ""zh"", ""en"")"),"Super nice! Plug is very light, the appearance looks good, sounds really good to listen to listen to female poison, cancel the low-frequency, high frequency extended")</f>
        <v>Super nice! Plug is very light, the appearance looks good, sounds really good to listen to listen to female poison, cancel the low-frequency, high frequency extended</v>
      </c>
    </row>
    <row r="3447">
      <c r="A3447" s="1">
        <v>5.0</v>
      </c>
      <c r="B3447" s="1" t="s">
        <v>3436</v>
      </c>
      <c r="C3447" t="str">
        <f>IFERROR(__xludf.DUMMYFUNCTION("GOOGLETRANSLATE(B3447, ""zh"", ""en"")"),"Return too much trouble 100kg174 opinion should buy the xl, xxl too")</f>
        <v>Return too much trouble 100kg174 opinion should buy the xl, xxl too</v>
      </c>
    </row>
    <row r="3448">
      <c r="A3448" s="1">
        <v>5.0</v>
      </c>
      <c r="B3448" s="1" t="s">
        <v>3437</v>
      </c>
      <c r="C3448" t="str">
        <f>IFERROR(__xludf.DUMMYFUNCTION("GOOGLETRANSLATE(B3448, ""zh"", ""en"")"),"Good texture, good texture, like!")</f>
        <v>Good texture, good texture, like!</v>
      </c>
    </row>
    <row r="3449">
      <c r="A3449" s="1">
        <v>5.0</v>
      </c>
      <c r="B3449" s="1" t="s">
        <v>3438</v>
      </c>
      <c r="C3449" t="str">
        <f>IFERROR(__xludf.DUMMYFUNCTION("GOOGLETRANSLATE(B3449, ""zh"", ""en"")"),"Sports socks thick foundation, comfortable colors. I wear 36 yards shoes, socks, size is very appropriate.")</f>
        <v>Sports socks thick foundation, comfortable colors. I wear 36 yards shoes, socks, size is very appropriate.</v>
      </c>
    </row>
    <row r="3450">
      <c r="A3450" s="1">
        <v>5.0</v>
      </c>
      <c r="B3450" s="1" t="s">
        <v>3439</v>
      </c>
      <c r="C3450" t="str">
        <f>IFERROR(__xludf.DUMMYFUNCTION("GOOGLETRANSLATE(B3450, ""zh"", ""en"")"),"boon very easy to use, just curvature")</f>
        <v>boon very easy to use, just curvature</v>
      </c>
    </row>
    <row r="3451">
      <c r="A3451" s="1">
        <v>5.0</v>
      </c>
      <c r="B3451" s="1" t="s">
        <v>3440</v>
      </c>
      <c r="C3451" t="str">
        <f>IFERROR(__xludf.DUMMYFUNCTION("GOOGLETRANSLATE(B3451, ""zh"", ""en"")"),"Children like good, quality can currently looking good")</f>
        <v>Children like good, quality can currently looking good</v>
      </c>
    </row>
    <row r="3452">
      <c r="A3452" s="1">
        <v>5.0</v>
      </c>
      <c r="B3452" s="1" t="s">
        <v>3441</v>
      </c>
      <c r="C3452" t="str">
        <f>IFERROR(__xludf.DUMMYFUNCTION("GOOGLETRANSLATE(B3452, ""zh"", ""en"")"),"With the latter sense orders to arrive just 20 days, the big brand quality not questioned, US imperialism is produced 😜 slightly rough point, since inflammation of the wrist can not do pasta can only buy a machine. To make bread buns Hanamaki knead 10 mi"&amp;"nutes is enough, I have not tried the bread. The only drawback is less a machine pad, stable, and want to look for something cushioned.")</f>
        <v>With the latter sense orders to arrive just 20 days, the big brand quality not questioned, US imperialism is produced 😜 slightly rough point, since inflammation of the wrist can not do pasta can only buy a machine. To make bread buns Hanamaki knead 10 minutes is enough, I have not tried the bread. The only drawback is less a machine pad, stable, and want to look for something cushioned.</v>
      </c>
    </row>
    <row r="3453">
      <c r="A3453" s="1">
        <v>5.0</v>
      </c>
      <c r="B3453" s="1" t="s">
        <v>3442</v>
      </c>
      <c r="C3453" t="str">
        <f>IFERROR(__xludf.DUMMYFUNCTION("GOOGLETRANSLATE(B3453, ""zh"", ""en"")"),"Not bad, Attached within a shoelace, I do not know or give a little to the")</f>
        <v>Not bad, Attached within a shoelace, I do not know or give a little to the</v>
      </c>
    </row>
    <row r="3454">
      <c r="A3454" s="1">
        <v>5.0</v>
      </c>
      <c r="B3454" s="1" t="s">
        <v>3443</v>
      </c>
      <c r="C3454" t="str">
        <f>IFERROR(__xludf.DUMMYFUNCTION("GOOGLETRANSLATE(B3454, ""zh"", ""en"")"),"Good, I will always buy already the second time to buy. Children with fluorine-free toothpaste baby, has no love before brushing your teeth, use this significantly more positive.")</f>
        <v>Good, I will always buy already the second time to buy. Children with fluorine-free toothpaste baby, has no love before brushing your teeth, use this significantly more positive.</v>
      </c>
    </row>
    <row r="3455">
      <c r="A3455" s="1">
        <v>5.0</v>
      </c>
      <c r="B3455" s="1" t="s">
        <v>3444</v>
      </c>
      <c r="C3455" t="str">
        <f>IFERROR(__xludf.DUMMYFUNCTION("GOOGLETRANSLATE(B3455, ""zh"", ""en"")"),"Good 130 pounds to wear No. 10 on the list. No. 12 a little loose.")</f>
        <v>Good 130 pounds to wear No. 10 on the list. No. 12 a little loose.</v>
      </c>
    </row>
    <row r="3456">
      <c r="A3456" s="1">
        <v>5.0</v>
      </c>
      <c r="B3456" s="1" t="s">
        <v>3445</v>
      </c>
      <c r="C3456" t="str">
        <f>IFERROR(__xludf.DUMMYFUNCTION("GOOGLETRANSLATE(B3456, ""zh"", ""en"")"),"Good good good good to wear very comfortable, full marks.")</f>
        <v>Good good good good to wear very comfortable, full marks.</v>
      </c>
    </row>
    <row r="3457">
      <c r="A3457" s="1">
        <v>5.0</v>
      </c>
      <c r="B3457" s="1" t="s">
        <v>3446</v>
      </c>
      <c r="C3457" t="str">
        <f>IFERROR(__xludf.DUMMYFUNCTION("GOOGLETRANSLATE(B3457, ""zh"", ""en"")"),"Domestic counter 750 from a single hand for four days. Domestic counter 750, and the first day we opened the mall champion pink on sold out of stock. Nichia 360 hand. Nichia package is really a sense of heaven and earth, clothes folded in a plastic box fi"&amp;"xed.")</f>
        <v>Domestic counter 750 from a single hand for four days. Domestic counter 750, and the first day we opened the mall champion pink on sold out of stock. Nichia 360 hand. Nichia package is really a sense of heaven and earth, clothes folded in a plastic box fixed.</v>
      </c>
    </row>
    <row r="3458">
      <c r="A3458" s="1">
        <v>5.0</v>
      </c>
      <c r="B3458" s="1" t="s">
        <v>3447</v>
      </c>
      <c r="C3458" t="str">
        <f>IFERROR(__xludf.DUMMYFUNCTION("GOOGLETRANSLATE(B3458, ""zh"", ""en"")"),"Nice jacket, brand goods, ha ha! According to comments that reduced one yard orders, it is suitable. 178,99kg, L code.")</f>
        <v>Nice jacket, brand goods, ha ha! According to comments that reduced one yard orders, it is suitable. 178,99kg, L code.</v>
      </c>
    </row>
    <row r="3459">
      <c r="A3459" s="1">
        <v>5.0</v>
      </c>
      <c r="B3459" s="1" t="s">
        <v>3448</v>
      </c>
      <c r="C3459" t="str">
        <f>IFERROR(__xludf.DUMMYFUNCTION("GOOGLETRANSLATE(B3459, ""zh"", ""en"")"),"Great activity price, 24-inch, the tax package shipping more than 850 points, considered to be very cheap, a little flaw, enamel pot should be difficult to avoid, not on the face, absolutely conscience. Really nice texture, color value that is just, ah, k"&amp;"itchen visibly moved. Lamb chops and burned several times, without adding water, after pre-fried in a wok seasoned with salt, into the enamel pot, the fire twelve hours minimum to get the wife and kids say burn more delicious than before.")</f>
        <v>Great activity price, 24-inch, the tax package shipping more than 850 points, considered to be very cheap, a little flaw, enamel pot should be difficult to avoid, not on the face, absolutely conscience. Really nice texture, color value that is just, ah, kitchen visibly moved. Lamb chops and burned several times, without adding water, after pre-fried in a wok seasoned with salt, into the enamel pot, the fire twelve hours minimum to get the wife and kids say burn more delicious than before.</v>
      </c>
    </row>
    <row r="3460">
      <c r="A3460" s="1">
        <v>5.0</v>
      </c>
      <c r="B3460" s="1" t="s">
        <v>3449</v>
      </c>
      <c r="C3460" t="str">
        <f>IFERROR(__xludf.DUMMYFUNCTION("GOOGLETRANSLATE(B3460, ""zh"", ""en"")"),"The same size, good quality and consistent size ecco shoes, good quality, affordable, like this one at Amazon")</f>
        <v>The same size, good quality and consistent size ecco shoes, good quality, affordable, like this one at Amazon</v>
      </c>
    </row>
    <row r="3461">
      <c r="A3461" s="1">
        <v>5.0</v>
      </c>
      <c r="B3461" s="1" t="s">
        <v>3450</v>
      </c>
      <c r="C3461" t="str">
        <f>IFERROR(__xludf.DUMMYFUNCTION("GOOGLETRANSLATE(B3461, ""zh"", ""en"")"),"The small of your little expensive, but you can also stuff")</f>
        <v>The small of your little expensive, but you can also stuff</v>
      </c>
    </row>
    <row r="3462">
      <c r="A3462" s="1">
        <v>5.0</v>
      </c>
      <c r="B3462" s="1" t="s">
        <v>3451</v>
      </c>
      <c r="C3462" t="str">
        <f>IFERROR(__xludf.DUMMYFUNCTION("GOOGLETRANSLATE(B3462, ""zh"", ""en"")"),"You can also okay, the measured temperature is not accurate, obviously the temperature of the baby can eat but still discolored")</f>
        <v>You can also okay, the measured temperature is not accurate, obviously the temperature of the baby can eat but still discolored</v>
      </c>
    </row>
    <row r="3463">
      <c r="A3463" s="1">
        <v>5.0</v>
      </c>
      <c r="B3463" s="1" t="s">
        <v>3452</v>
      </c>
      <c r="C3463" t="str">
        <f>IFERROR(__xludf.DUMMYFUNCTION("GOOGLETRANSLATE(B3463, ""zh"", ""en"")"),"Size is too large, but on the other comfortable before I personally quite like the United States and Asia transport back this ratio, N, repurchased.")</f>
        <v>Size is too large, but on the other comfortable before I personally quite like the United States and Asia transport back this ratio, N, repurchased.</v>
      </c>
    </row>
    <row r="3464">
      <c r="A3464" s="1">
        <v>5.0</v>
      </c>
      <c r="B3464" s="1" t="s">
        <v>3453</v>
      </c>
      <c r="C3464" t="str">
        <f>IFERROR(__xludf.DUMMYFUNCTION("GOOGLETRANSLATE(B3464, ""zh"", ""en"")"),"Something good very good, very much, for casual wear")</f>
        <v>Something good very good, very much, for casual wear</v>
      </c>
    </row>
    <row r="3465">
      <c r="A3465" s="1">
        <v>5.0</v>
      </c>
      <c r="B3465" s="1" t="s">
        <v>3454</v>
      </c>
      <c r="C3465" t="str">
        <f>IFERROR(__xludf.DUMMYFUNCTION("GOOGLETRANSLATE(B3465, ""zh"", ""en"")"),"Many commented that the shoes looked slightly too small, the result of a bite to buy half a yard big, big. . .")</f>
        <v>Many commented that the shoes looked slightly too small, the result of a bite to buy half a yard big, big. . .</v>
      </c>
    </row>
    <row r="3466">
      <c r="A3466" s="1">
        <v>5.0</v>
      </c>
      <c r="B3466" s="1" t="s">
        <v>3455</v>
      </c>
      <c r="C3466" t="str">
        <f>IFERROR(__xludf.DUMMYFUNCTION("GOOGLETRANSLATE(B3466, ""zh"", ""en"")"),"Young first pair of Timberland young first pair of Timberland, the main purpose is to buy these shoes riding a motorcycle, because of economic reasons, so plan to drop resistance armor-style clothes jeans knee match. Such need a pair of durable, waterproo"&amp;"f, anti-oil (clutch kick, this place would sometimes rub some oil), has some protective properties of the shoe, and chose this pair of Timberland Pro work boots, it was supposed to buy steel head boots, bought the wrong result, but the hand feels good sup"&amp;"port, it can be had. Hand shoes to wear all day, although regarded as Timberland home base support is better, but also well connected, go to the hospital, shopping feet down a bit of pain. 44 to 43 feet, specifically to the store to try explosion models 1"&amp;"0061,9.5w just do not squeeze the foot, there is a slight space, Genjiao aspects laces must be tied a little. In addition uppermost two fixed laces something really useful, easy to wear off. the above.")</f>
        <v>Young first pair of Timberland young first pair of Timberland, the main purpose is to buy these shoes riding a motorcycle, because of economic reasons, so plan to drop resistance armor-style clothes jeans knee match. Such need a pair of durable, waterproof, anti-oil (clutch kick, this place would sometimes rub some oil), has some protective properties of the shoe, and chose this pair of Timberland Pro work boots, it was supposed to buy steel head boots, bought the wrong result, but the hand feels good support, it can be had. Hand shoes to wear all day, although regarded as Timberland home base support is better, but also well connected, go to the hospital, shopping feet down a bit of pain. 44 to 43 feet, specifically to the store to try explosion models 10061,9.5w just do not squeeze the foot, there is a slight space, Genjiao aspects laces must be tied a little. In addition uppermost two fixed laces something really useful, easy to wear off. the above.</v>
      </c>
    </row>
    <row r="3467">
      <c r="A3467" s="1">
        <v>2.0</v>
      </c>
      <c r="B3467" s="1" t="s">
        <v>3456</v>
      </c>
      <c r="C3467" t="str">
        <f>IFERROR(__xludf.DUMMYFUNCTION("GOOGLETRANSLATE(B3467, ""zh"", ""en"")"),"Very thin, not warm very thin, not warm, wear shivering with cold weather in the south of 17 degrees, an average of 46 yuan each at all worthwhile!")</f>
        <v>Very thin, not warm very thin, not warm, wear shivering with cold weather in the south of 17 degrees, an average of 46 yuan each at all worthwhile!</v>
      </c>
    </row>
    <row r="3468">
      <c r="A3468" s="1">
        <v>3.0</v>
      </c>
      <c r="B3468" s="1" t="s">
        <v>3457</v>
      </c>
      <c r="C3468" t="str">
        <f>IFERROR(__xludf.DUMMYFUNCTION("GOOGLETRANSLATE(B3468, ""zh"", ""en"")"),"The so-called flannel, is a layer of cloth - was originally bought winter wear, so-called God Ma flannel, is a layer of cloth, not too thick -")</f>
        <v>The so-called flannel, is a layer of cloth - was originally bought winter wear, so-called God Ma flannel, is a layer of cloth, not too thick -</v>
      </c>
    </row>
    <row r="3469">
      <c r="A3469" s="1">
        <v>3.0</v>
      </c>
      <c r="B3469" s="1" t="s">
        <v>3458</v>
      </c>
      <c r="C3469" t="str">
        <f>IFERROR(__xludf.DUMMYFUNCTION("GOOGLETRANSLATE(B3469, ""zh"", ""en"")"),"Dimensions partial fat")</f>
        <v>Dimensions partial fat</v>
      </c>
    </row>
    <row r="3470">
      <c r="A3470" s="1">
        <v>3.0</v>
      </c>
      <c r="B3470" s="1" t="s">
        <v>3459</v>
      </c>
      <c r="C3470" t="str">
        <f>IFERROR(__xludf.DUMMYFUNCTION("GOOGLETRANSLATE(B3470, ""zh"", ""en"")"),"Number small number some deviation, than I bought the store in the United States is smaller.")</f>
        <v>Number small number some deviation, than I bought the store in the United States is smaller.</v>
      </c>
    </row>
    <row r="3471">
      <c r="A3471" s="1">
        <v>1.0</v>
      </c>
      <c r="B3471" s="1" t="s">
        <v>3460</v>
      </c>
      <c r="C3471" t="str">
        <f>IFERROR(__xludf.DUMMYFUNCTION("GOOGLETRANSLATE(B3471, ""zh"", ""en"")"),"Poor service very unhappy, and the order number of May 4, May 30 was sent to, customer service contact, did not take the initiative to inform the reasons for the delay, the box also damaged, bad review")</f>
        <v>Poor service very unhappy, and the order number of May 4, May 30 was sent to, customer service contact, did not take the initiative to inform the reasons for the delay, the box also damaged, bad review</v>
      </c>
    </row>
    <row r="3472">
      <c r="A3472" s="1">
        <v>1.0</v>
      </c>
      <c r="B3472" s="1" t="s">
        <v>3461</v>
      </c>
      <c r="C3472" t="str">
        <f>IFERROR(__xludf.DUMMYFUNCTION("GOOGLETRANSLATE(B3472, ""zh"", ""en"")"),"Good quality buy a lot of Atsugi socks, very good")</f>
        <v>Good quality buy a lot of Atsugi socks, very good</v>
      </c>
    </row>
    <row r="3473">
      <c r="A3473" s="1">
        <v>1.0</v>
      </c>
      <c r="B3473" s="1" t="s">
        <v>3462</v>
      </c>
      <c r="C3473" t="str">
        <f>IFERROR(__xludf.DUMMYFUNCTION("GOOGLETRANSLATE(B3473, ""zh"", ""en"")"),"Pot handles out! It is not ye drop! Pot handles the mail out, there is only a piece of paper wrapped, referred all the way, The United States of course be mailed to die! Too much time! Amassing Amazon will not buy things!")</f>
        <v>Pot handles out! It is not ye drop! Pot handles the mail out, there is only a piece of paper wrapped, referred all the way, The United States of course be mailed to die! Too much time! Amassing Amazon will not buy things!</v>
      </c>
    </row>
    <row r="3474">
      <c r="A3474" s="1">
        <v>4.0</v>
      </c>
      <c r="B3474" s="1" t="s">
        <v>3463</v>
      </c>
      <c r="C3474" t="str">
        <f>IFERROR(__xludf.DUMMYFUNCTION("GOOGLETRANSLATE(B3474, ""zh"", ""en"")"),"180,70KG, 32x32, material a bit hard, wear okay, that is a little big trousers! 180,70KG, 32x32, material a bit hard, wear okay, that is a little big trousers!")</f>
        <v>180,70KG, 32x32, material a bit hard, wear okay, that is a little big trousers! 180,70KG, 32x32, material a bit hard, wear okay, that is a little big trousers!</v>
      </c>
    </row>
    <row r="3475">
      <c r="A3475" s="1">
        <v>4.0</v>
      </c>
      <c r="B3475" s="1" t="s">
        <v>3464</v>
      </c>
      <c r="C3475" t="str">
        <f>IFERROR(__xludf.DUMMYFUNCTION("GOOGLETRANSLATE(B3475, ""zh"", ""en"")"),"Pen and hate and am looking forward to the beginning, after the hand felt like a general, try to write quite a bit smooth, sharp EF is still feeling rough, and write English and digital well, if not as good as Japanese kanji writing pen, because the large"&amp;" volume of water, the stroke is not easy, not easy to control, accidentally wrote a rough, note the calligraphy bought, bought in books also notes that thick, but feel good, comfortable to hold a pen , alas, and pen and hate ...")</f>
        <v>Pen and hate and am looking forward to the beginning, after the hand felt like a general, try to write quite a bit smooth, sharp EF is still feeling rough, and write English and digital well, if not as good as Japanese kanji writing pen, because the large volume of water, the stroke is not easy, not easy to control, accidentally wrote a rough, note the calligraphy bought, bought in books also notes that thick, but feel good, comfortable to hold a pen , alas, and pen and hate ...</v>
      </c>
    </row>
    <row r="3476">
      <c r="A3476" s="1">
        <v>4.0</v>
      </c>
      <c r="B3476" s="1" t="s">
        <v>3465</v>
      </c>
      <c r="C3476" t="str">
        <f>IFERROR(__xludf.DUMMYFUNCTION("GOOGLETRANSLATE(B3476, ""zh"", ""en"")"),"Can also be pretty good, the children dressed to travel, a lot of walking every day, did not say uncomfortable, it is to wear a few days of glue on the toe up a bit, forget about their own stick, alas")</f>
        <v>Can also be pretty good, the children dressed to travel, a lot of walking every day, did not say uncomfortable, it is to wear a few days of glue on the toe up a bit, forget about their own stick, alas</v>
      </c>
    </row>
    <row r="3477">
      <c r="A3477" s="1">
        <v>4.0</v>
      </c>
      <c r="B3477" s="1" t="s">
        <v>3466</v>
      </c>
      <c r="C3477" t="str">
        <f>IFERROR(__xludf.DUMMYFUNCTION("GOOGLETRANSLATE(B3477, ""zh"", ""en"")"),"The more you use the more coarse the pen nib more with the rough")</f>
        <v>The more you use the more coarse the pen nib more with the rough</v>
      </c>
    </row>
    <row r="3478">
      <c r="A3478" s="1">
        <v>4.0</v>
      </c>
      <c r="B3478" s="1" t="s">
        <v>3467</v>
      </c>
      <c r="C3478" t="str">
        <f>IFERROR(__xludf.DUMMYFUNCTION("GOOGLETRANSLATE(B3478, ""zh"", ""en"")"),"The basic fine is not satisfied with the workmanship, high heel Hao ah, put on increased 4-5 cm")</f>
        <v>The basic fine is not satisfied with the workmanship, high heel Hao ah, put on increased 4-5 cm</v>
      </c>
    </row>
    <row r="3479">
      <c r="A3479" s="1">
        <v>5.0</v>
      </c>
      <c r="B3479" s="1" t="s">
        <v>3468</v>
      </c>
      <c r="C3479" t="str">
        <f>IFERROR(__xludf.DUMMYFUNCTION("GOOGLETRANSLATE(B3479, ""zh"", ""en"")"),"Thin section cotton, thin, very comfortable!")</f>
        <v>Thin section cotton, thin, very comfortable!</v>
      </c>
    </row>
    <row r="3480">
      <c r="A3480" s="1">
        <v>5.0</v>
      </c>
      <c r="B3480" s="1" t="s">
        <v>3469</v>
      </c>
      <c r="C3480" t="str">
        <f>IFERROR(__xludf.DUMMYFUNCTION("GOOGLETRANSLATE(B3480, ""zh"", ""en"")"),"Very comfortable and very appropriate, there is no sense of violation and")</f>
        <v>Very comfortable and very appropriate, there is no sense of violation and</v>
      </c>
    </row>
    <row r="3481">
      <c r="A3481" s="1">
        <v>5.0</v>
      </c>
      <c r="B3481" s="1" t="s">
        <v>3470</v>
      </c>
      <c r="C3481" t="str">
        <f>IFERROR(__xludf.DUMMYFUNCTION("GOOGLETRANSLATE(B3481, ""zh"", ""en"")"),"Well ah cup cup well, larger than expected")</f>
        <v>Well ah cup cup well, larger than expected</v>
      </c>
    </row>
    <row r="3482">
      <c r="A3482" s="1">
        <v>5.0</v>
      </c>
      <c r="B3482" s="1" t="s">
        <v>3471</v>
      </c>
      <c r="C3482" t="str">
        <f>IFERROR(__xludf.DUMMYFUNCTION("GOOGLETRANSLATE(B3482, ""zh"", ""en"")"),"Affordable affordable, dishwasher consumables, stockpile")</f>
        <v>Affordable affordable, dishwasher consumables, stockpile</v>
      </c>
    </row>
    <row r="3483">
      <c r="A3483" s="1">
        <v>5.0</v>
      </c>
      <c r="B3483" s="1" t="s">
        <v>3472</v>
      </c>
      <c r="C3483" t="str">
        <f>IFERROR(__xludf.DUMMYFUNCTION("GOOGLETRANSLATE(B3483, ""zh"", ""en"")"),"Efficient, convenient and very good, worry, and effort.")</f>
        <v>Efficient, convenient and very good, worry, and effort.</v>
      </c>
    </row>
    <row r="3484">
      <c r="A3484" s="1">
        <v>5.0</v>
      </c>
      <c r="B3484" s="1" t="s">
        <v>3473</v>
      </c>
      <c r="C3484" t="str">
        <f>IFERROR(__xludf.DUMMYFUNCTION("GOOGLETRANSLATE(B3484, ""zh"", ""en"")"),"Handsome hiking shoes size standard is very good, exactly the same picture. I have seen comments that code number is too large, and here I solemnly talk about: completely normal size, according to its own code number will buy, buy small one yard before th"&amp;"e results are returned re-buy. Give newcomers reminder to suffer unnecessary trouble. Amazon shopping at ease comfortable, beautiful authentic commodity prices will continue.")</f>
        <v>Handsome hiking shoes size standard is very good, exactly the same picture. I have seen comments that code number is too large, and here I solemnly talk about: completely normal size, according to its own code number will buy, buy small one yard before the results are returned re-buy. Give newcomers reminder to suffer unnecessary trouble. Amazon shopping at ease comfortable, beautiful authentic commodity prices will continue.</v>
      </c>
    </row>
    <row r="3485">
      <c r="A3485" s="1">
        <v>5.0</v>
      </c>
      <c r="B3485" s="1" t="s">
        <v>3474</v>
      </c>
      <c r="C3485" t="str">
        <f>IFERROR(__xludf.DUMMYFUNCTION("GOOGLETRANSLATE(B3485, ""zh"", ""en"")"),"Also good enough for everyday use of the commodity 128G")</f>
        <v>Also good enough for everyday use of the commodity 128G</v>
      </c>
    </row>
    <row r="3486">
      <c r="A3486" s="1">
        <v>5.0</v>
      </c>
      <c r="B3486" s="1" t="s">
        <v>3475</v>
      </c>
      <c r="C3486" t="str">
        <f>IFERROR(__xludf.DUMMYFUNCTION("GOOGLETRANSLATE(B3486, ""zh"", ""en"")"),"Shoe size too small, it is recommended at least most of the code! Look at the reviews said the former single shoe size too small, I wear Adi Mayer, United States Code 11.5 suitable, this time to shoot 12 yards, after an order is not enough to worry about,"&amp;" now want to return, not back, had to agree, the arrival soon on the right foot, the right individual foot most of the code!")</f>
        <v>Shoe size too small, it is recommended at least most of the code! Look at the reviews said the former single shoe size too small, I wear Adi Mayer, United States Code 11.5 suitable, this time to shoot 12 yards, after an order is not enough to worry about, now want to return, not back, had to agree, the arrival soon on the right foot, the right individual foot most of the code!</v>
      </c>
    </row>
    <row r="3487">
      <c r="A3487" s="1">
        <v>5.0</v>
      </c>
      <c r="B3487" s="1" t="s">
        <v>3476</v>
      </c>
      <c r="C3487" t="str">
        <f>IFERROR(__xludf.DUMMYFUNCTION("GOOGLETRANSLATE(B3487, ""zh"", ""en"")"),"Lee men's pants and nice this modern series Slim tapered leg jeans, Brazen, somewhat similar to, or may be slightly washed version, darker color, also manufactured in Egypt. Although it is 30 × 30, but what matters more than the waist. Very slim, leg righ"&amp;"t size, neither tight nor dirty, just proportion. 176,70kg, 30 × 30 suitable.")</f>
        <v>Lee men's pants and nice this modern series Slim tapered leg jeans, Brazen, somewhat similar to, or may be slightly washed version, darker color, also manufactured in Egypt. Although it is 30 × 30, but what matters more than the waist. Very slim, leg right size, neither tight nor dirty, just proportion. 176,70kg, 30 × 30 suitable.</v>
      </c>
    </row>
    <row r="3488">
      <c r="A3488" s="1">
        <v>5.0</v>
      </c>
      <c r="B3488" s="1" t="s">
        <v>3477</v>
      </c>
      <c r="C3488" t="str">
        <f>IFERROR(__xludf.DUMMYFUNCTION("GOOGLETRANSLATE(B3488, ""zh"", ""en"")"),"A good headset, texture is good, life is really nb have to say that the Amazon product images are compressed too much does not look very eyes, get our hands texture is good, more convenient Bluetooth, sound is also good, life is really nb , continuous ful"&amp;"l power two days no problem")</f>
        <v>A good headset, texture is good, life is really nb have to say that the Amazon product images are compressed too much does not look very eyes, get our hands texture is good, more convenient Bluetooth, sound is also good, life is really nb , continuous full power two days no problem</v>
      </c>
    </row>
    <row r="3489">
      <c r="A3489" s="1">
        <v>5.0</v>
      </c>
      <c r="B3489" s="1" t="s">
        <v>3478</v>
      </c>
      <c r="C3489" t="str">
        <f>IFERROR(__xludf.DUMMYFUNCTION("GOOGLETRANSLATE(B3489, ""zh"", ""en"")"),"Xs code tailored, Chest 94, 66 long. For reference, corresponding to the country code s")</f>
        <v>Xs code tailored, Chest 94, 66 long. For reference, corresponding to the country code s</v>
      </c>
    </row>
    <row r="3490">
      <c r="A3490" s="1">
        <v>5.0</v>
      </c>
      <c r="B3490" s="1" t="s">
        <v>3479</v>
      </c>
      <c r="C3490" t="str">
        <f>IFERROR(__xludf.DUMMYFUNCTION("GOOGLETRANSLATE(B3490, ""zh"", ""en"")"),"Throw out all want to be comfortable underwear")</f>
        <v>Throw out all want to be comfortable underwear</v>
      </c>
    </row>
    <row r="3491">
      <c r="A3491" s="1">
        <v>5.0</v>
      </c>
      <c r="B3491" s="1" t="s">
        <v>3480</v>
      </c>
      <c r="C3491" t="str">
        <f>IFERROR(__xludf.DUMMYFUNCTION("GOOGLETRANSLATE(B3491, ""zh"", ""en"")"),"Spoon a good deal of heat will meet color, not the baby will be careful with soup, four loading is also very cost-effective.")</f>
        <v>Spoon a good deal of heat will meet color, not the baby will be careful with soup, four loading is also very cost-effective.</v>
      </c>
    </row>
    <row r="3492">
      <c r="A3492" s="1">
        <v>5.0</v>
      </c>
      <c r="B3492" s="1" t="s">
        <v>3481</v>
      </c>
      <c r="C3492" t="str">
        <f>IFERROR(__xludf.DUMMYFUNCTION("GOOGLETRANSLATE(B3492, ""zh"", ""en"")"),"Less than 600 hand value for money, goods to the spent four days, things no problem! Should not the lowest price, but less than a third counter price, great value! Shoe size may try to counter, but ECCO shoes to press # 1 sports shoe size small buy on lin"&amp;"e. Very pleasant shopping experience!")</f>
        <v>Less than 600 hand value for money, goods to the spent four days, things no problem! Should not the lowest price, but less than a third counter price, great value! Shoe size may try to counter, but ECCO shoes to press # 1 sports shoe size small buy on line. Very pleasant shopping experience!</v>
      </c>
    </row>
    <row r="3493">
      <c r="A3493" s="1">
        <v>5.0</v>
      </c>
      <c r="B3493" s="1" t="s">
        <v>3482</v>
      </c>
      <c r="C3493" t="str">
        <f>IFERROR(__xludf.DUMMYFUNCTION("GOOGLETRANSLATE(B3493, ""zh"", ""en"")"),"Very satisfied with the good. Packaging is a bit low. If not transport came in, I thought it was fake, ha ha ha ha.")</f>
        <v>Very satisfied with the good. Packaging is a bit low. If not transport came in, I thought it was fake, ha ha ha ha.</v>
      </c>
    </row>
    <row r="3494">
      <c r="A3494" s="1">
        <v>5.0</v>
      </c>
      <c r="B3494" s="1" t="s">
        <v>3483</v>
      </c>
      <c r="C3494" t="str">
        <f>IFERROR(__xludf.DUMMYFUNCTION("GOOGLETRANSLATE(B3494, ""zh"", ""en"")"),"Okay okay, the insulation effect in general")</f>
        <v>Okay okay, the insulation effect in general</v>
      </c>
    </row>
    <row r="3495">
      <c r="A3495" s="1">
        <v>5.0</v>
      </c>
      <c r="B3495" s="1" t="s">
        <v>3484</v>
      </c>
      <c r="C3495" t="str">
        <f>IFERROR(__xludf.DUMMYFUNCTION("GOOGLETRANSLATE(B3495, ""zh"", ""en"")"),"He responded well to help my colleagues to buy, very good reaction")</f>
        <v>He responded well to help my colleagues to buy, very good reaction</v>
      </c>
    </row>
    <row r="3496">
      <c r="A3496" s="1">
        <v>5.0</v>
      </c>
      <c r="B3496" s="1" t="s">
        <v>3485</v>
      </c>
      <c r="C3496" t="str">
        <f>IFERROR(__xludf.DUMMYFUNCTION("GOOGLETRANSLATE(B3496, ""zh"", ""en"")"),"Quality is good, too much height and weight 182. 200 kilos, wearing a big 4x.")</f>
        <v>Quality is good, too much height and weight 182. 200 kilos, wearing a big 4x.</v>
      </c>
    </row>
    <row r="3497">
      <c r="A3497" s="1">
        <v>5.0</v>
      </c>
      <c r="B3497" s="1" t="s">
        <v>3486</v>
      </c>
      <c r="C3497" t="str">
        <f>IFERROR(__xludf.DUMMYFUNCTION("GOOGLETRANSLATE(B3497, ""zh"", ""en"")"),"Grape seed extract tablets insist on eating for some time, color really changed for the better. We will continue to adhere to eat")</f>
        <v>Grape seed extract tablets insist on eating for some time, color really changed for the better. We will continue to adhere to eat</v>
      </c>
    </row>
    <row r="3498">
      <c r="A3498" s="1">
        <v>5.0</v>
      </c>
      <c r="B3498" s="1" t="s">
        <v>3487</v>
      </c>
      <c r="C3498" t="str">
        <f>IFERROR(__xludf.DUMMYFUNCTION("GOOGLETRANSLATE(B3498, ""zh"", ""en"")"),"Good black is beautiful, the cup is very light, which has a similar color paint colorful pearl very pretty. . Japan made to turn ems, about 1-2 weeks to go.")</f>
        <v>Good black is beautiful, the cup is very light, which has a similar color paint colorful pearl very pretty. . Japan made to turn ems, about 1-2 weeks to go.</v>
      </c>
    </row>
    <row r="3499">
      <c r="A3499" s="1">
        <v>5.0</v>
      </c>
      <c r="B3499" s="1" t="s">
        <v>3488</v>
      </c>
      <c r="C3499" t="str">
        <f>IFERROR(__xludf.DUMMYFUNCTION("GOOGLETRANSLATE(B3499, ""zh"", ""en"")"),"Why did not the ink? ? Very satisfied, very good pen, writing is very comfortable, really no wrong")</f>
        <v>Why did not the ink? ? Very satisfied, very good pen, writing is very comfortable, really no wrong</v>
      </c>
    </row>
    <row r="3500">
      <c r="A3500" s="1">
        <v>5.0</v>
      </c>
      <c r="B3500" s="1" t="s">
        <v>3489</v>
      </c>
      <c r="C3500" t="str">
        <f>IFERROR(__xludf.DUMMYFUNCTION("GOOGLETRANSLATE(B3500, ""zh"", ""en"")"),"Buying experience is good, although some twists and turns just received, only to evaluate the buying experience. The first purchase is November 3, after a delay because through customs (about 10 tips, but the exact cause is unknown), the occurrence of ref"&amp;"unds (about 3 days after the arrival refund clearance problems). For unknown reasons, the customer service is recommended to re-order. Second purchase November 13 Kusakabe single, estimated arrival time for the November 30, a week ahead of the actual, 23,"&amp;" received a product. Probably because the relationship between long-distance transport, packaging is damaged deformation, packaging intact, flawless products. In accordance with the instructions debugging (package no instructions in Chinese, made through "&amp;"the official website), responsive, and smooth commissioning started using (mainly set their district, automatically time). Dial inner diameter 33mm, outer diameter of about 50mm, is indeed large, coarse my wrist (wrist width of 55mm), consciously fairly f"&amp;"it. The initial charge display H (high), one hour after commissioning reduced to M (medium). Indoor operation, there is no sun to charge. As shown in FIG. Above, for reference to buy friends.")</f>
        <v>Buying experience is good, although some twists and turns just received, only to evaluate the buying experience. The first purchase is November 3, after a delay because through customs (about 10 tips, but the exact cause is unknown), the occurrence of refunds (about 3 days after the arrival refund clearance problems). For unknown reasons, the customer service is recommended to re-order. Second purchase November 13 Kusakabe single, estimated arrival time for the November 30, a week ahead of the actual, 23, received a product. Probably because the relationship between long-distance transport, packaging is damaged deformation, packaging intact, flawless products. In accordance with the instructions debugging (package no instructions in Chinese, made through the official website), responsive, and smooth commissioning started using (mainly set their district, automatically time). Dial inner diameter 33mm, outer diameter of about 50mm, is indeed large, coarse my wrist (wrist width of 55mm), consciously fairly fit. The initial charge display H (high), one hour after commissioning reduced to M (medium). Indoor operation, there is no sun to charge. As shown in FIG. Above, for reference to buy friends.</v>
      </c>
    </row>
    <row r="3501">
      <c r="A3501" s="1">
        <v>2.0</v>
      </c>
      <c r="B3501" s="1" t="s">
        <v>3490</v>
      </c>
      <c r="C3501" t="str">
        <f>IFERROR(__xludf.DUMMYFUNCTION("GOOGLETRANSLATE(B3501, ""zh"", ""en"")"),"Physical and picture there are gaps. Obvious flaws, the return. Physical and photos there are gaps, returns a lot of trouble, buy - to enthusiasts who need to be cautious reference.")</f>
        <v>Physical and picture there are gaps. Obvious flaws, the return. Physical and photos there are gaps, returns a lot of trouble, buy - to enthusiasts who need to be cautious reference.</v>
      </c>
    </row>
    <row r="3502">
      <c r="A3502" s="1">
        <v>3.0</v>
      </c>
      <c r="B3502" s="1" t="s">
        <v>3491</v>
      </c>
      <c r="C3502" t="str">
        <f>IFERROR(__xludf.DUMMYFUNCTION("GOOGLETRANSLATE(B3502, ""zh"", ""en"")"),"Pants Pants color is completely different.")</f>
        <v>Pants Pants color is completely different.</v>
      </c>
    </row>
    <row r="3503">
      <c r="A3503" s="1">
        <v>3.0</v>
      </c>
      <c r="B3503" s="1" t="s">
        <v>3492</v>
      </c>
      <c r="C3503" t="str">
        <f>IFERROR(__xludf.DUMMYFUNCTION("GOOGLETRANSLATE(B3503, ""zh"", ""en"")"),"Front knee bleached do not know if it is deliberately doing the old bleach or what's going on. He had good pure black, knee actually looks bleached with black pants, after passing through a while, the same fade. Or it can be understood as deliberately old"&amp;", bleached. So as to get black pants, feeling does not look good. Wear more thin.")</f>
        <v>Front knee bleached do not know if it is deliberately doing the old bleach or what's going on. He had good pure black, knee actually looks bleached with black pants, after passing through a while, the same fade. Or it can be understood as deliberately old, bleached. So as to get black pants, feeling does not look good. Wear more thin.</v>
      </c>
    </row>
    <row r="3504">
      <c r="A3504" s="1">
        <v>3.0</v>
      </c>
      <c r="B3504" s="1" t="s">
        <v>3493</v>
      </c>
      <c r="C3504" t="str">
        <f>IFERROR(__xludf.DUMMYFUNCTION("GOOGLETRANSLATE(B3504, ""zh"", ""en"")"),"Too! Quality is good, it is too big to buy, usually domestic XL is just right, height 180, weight 190, wear XL grow a large portion, it is recommended to buy a small one yard!")</f>
        <v>Too! Quality is good, it is too big to buy, usually domestic XL is just right, height 180, weight 190, wear XL grow a large portion, it is recommended to buy a small one yard!</v>
      </c>
    </row>
    <row r="3505">
      <c r="A3505" s="1">
        <v>1.0</v>
      </c>
      <c r="B3505" s="1" t="s">
        <v>3494</v>
      </c>
      <c r="C3505" t="str">
        <f>IFERROR(__xludf.DUMMYFUNCTION("GOOGLETRANSLATE(B3505, ""zh"", ""en"")"),"No domestic warranty! ! ! China can not guarantee, just over three months on the bad, do not know whether to retire Prime members.")</f>
        <v>No domestic warranty! ! ! China can not guarantee, just over three months on the bad, do not know whether to retire Prime members.</v>
      </c>
    </row>
    <row r="3506">
      <c r="A3506" s="1">
        <v>1.0</v>
      </c>
      <c r="B3506" s="1" t="s">
        <v>3495</v>
      </c>
      <c r="C3506" t="str">
        <f>IFERROR(__xludf.DUMMYFUNCTION("GOOGLETRANSLATE(B3506, ""zh"", ""en"")"),"Do not buy fake fake")</f>
        <v>Do not buy fake fake</v>
      </c>
    </row>
    <row r="3507">
      <c r="A3507" s="1">
        <v>4.0</v>
      </c>
      <c r="B3507" s="1" t="s">
        <v>3496</v>
      </c>
      <c r="C3507" t="str">
        <f>IFERROR(__xludf.DUMMYFUNCTION("GOOGLETRANSLATE(B3507, ""zh"", ""en"")"),"Slightly flawed. There fur on the turn left foot toe part of a little scratches, exquisite workmanship feel as before, then there are little old shoebox.")</f>
        <v>Slightly flawed. There fur on the turn left foot toe part of a little scratches, exquisite workmanship feel as before, then there are little old shoebox.</v>
      </c>
    </row>
    <row r="3508">
      <c r="A3508" s="1">
        <v>4.0</v>
      </c>
      <c r="B3508" s="1" t="s">
        <v>3497</v>
      </c>
      <c r="C3508" t="str">
        <f>IFERROR(__xludf.DUMMYFUNCTION("GOOGLETRANSLATE(B3508, ""zh"", ""en"")"),"Black Black fade to wash several times fade do not know whether because of m m my underwear with a special lotion")</f>
        <v>Black Black fade to wash several times fade do not know whether because of m m my underwear with a special lotion</v>
      </c>
    </row>
    <row r="3509">
      <c r="A3509" s="1">
        <v>4.0</v>
      </c>
      <c r="B3509" s="1" t="s">
        <v>3498</v>
      </c>
      <c r="C3509" t="str">
        <f>IFERROR(__xludf.DUMMYFUNCTION("GOOGLETRANSLATE(B3509, ""zh"", ""en"")"),"Slightly smaller size 168cm, 92 pounds, to buy 26, is fit tight against the leg, recommendations freshman code, wear comfortable loose points will be higher")</f>
        <v>Slightly smaller size 168cm, 92 pounds, to buy 26, is fit tight against the leg, recommendations freshman code, wear comfortable loose points will be higher</v>
      </c>
    </row>
    <row r="3510">
      <c r="A3510" s="1">
        <v>4.0</v>
      </c>
      <c r="B3510" s="1" t="s">
        <v>3499</v>
      </c>
      <c r="C3510" t="str">
        <f>IFERROR(__xludf.DUMMYFUNCTION("GOOGLETRANSLATE(B3510, ""zh"", ""en"")"),"Easy operation advantages and disadvantages, the sound quality is very good for me. Very clear. Disadvantages 1 general noise in the room air conditioning fan can filter a kind of noise. To filter the human voice is very general. 2 drawback is not tight e"&amp;"nough, wear only not moving. Or feel will be out, I might head 3 is relatively small drawback it sounds sometimes suddenly she had changed a little big. 4 disadvantage not open, whether wireless mode noise. Pause and play Qing Xiang will look inside the h"&amp;"eadset while watching the video.")</f>
        <v>Easy operation advantages and disadvantages, the sound quality is very good for me. Very clear. Disadvantages 1 general noise in the room air conditioning fan can filter a kind of noise. To filter the human voice is very general. 2 drawback is not tight enough, wear only not moving. Or feel will be out, I might head 3 is relatively small drawback it sounds sometimes suddenly she had changed a little big. 4 disadvantage not open, whether wireless mode noise. Pause and play Qing Xiang will look inside the headset while watching the video.</v>
      </c>
    </row>
    <row r="3511">
      <c r="A3511" s="1">
        <v>4.0</v>
      </c>
      <c r="B3511" s="1" t="s">
        <v>3500</v>
      </c>
      <c r="C3511" t="str">
        <f>IFERROR(__xludf.DUMMYFUNCTION("GOOGLETRANSLATE(B3511, ""zh"", ""en"")"),"Thin, since the ball pretty good, but a little thin, inside the velvet is very easy to play ball")</f>
        <v>Thin, since the ball pretty good, but a little thin, inside the velvet is very easy to play ball</v>
      </c>
    </row>
    <row r="3512">
      <c r="A3512" s="1">
        <v>5.0</v>
      </c>
      <c r="B3512" s="1" t="s">
        <v>3501</v>
      </c>
      <c r="C3512" t="str">
        <f>IFERROR(__xludf.DUMMYFUNCTION("GOOGLETRANSLATE(B3512, ""zh"", ""en"")"),"East 1/3 cheaper than dog was great. big enough. Home nas entire backup down.")</f>
        <v>East 1/3 cheaper than dog was great. big enough. Home nas entire backup down.</v>
      </c>
    </row>
    <row r="3513">
      <c r="A3513" s="1">
        <v>5.0</v>
      </c>
      <c r="B3513" s="1" t="s">
        <v>3502</v>
      </c>
      <c r="C3513" t="str">
        <f>IFERROR(__xludf.DUMMYFUNCTION("GOOGLETRANSLATE(B3513, ""zh"", ""en"")"),"Basic fit do not know if Amazon made the United States of goods, arrive soon anyway, completely beyond my imagination. Legs too long, too fat, okay.")</f>
        <v>Basic fit do not know if Amazon made the United States of goods, arrive soon anyway, completely beyond my imagination. Legs too long, too fat, okay.</v>
      </c>
    </row>
    <row r="3514">
      <c r="A3514" s="1">
        <v>5.0</v>
      </c>
      <c r="B3514" s="1" t="s">
        <v>3503</v>
      </c>
      <c r="C3514" t="str">
        <f>IFERROR(__xludf.DUMMYFUNCTION("GOOGLETRANSLATE(B3514, ""zh"", ""en"")"),"Recommended nice. This top is simple models, although that is m code, but the head of a small band of people still can! recommend!")</f>
        <v>Recommended nice. This top is simple models, although that is m code, but the head of a small band of people still can! recommend!</v>
      </c>
    </row>
    <row r="3515">
      <c r="A3515" s="1">
        <v>5.0</v>
      </c>
      <c r="B3515" s="1" t="s">
        <v>3504</v>
      </c>
      <c r="C3515" t="str">
        <f>IFERROR(__xludf.DUMMYFUNCTION("GOOGLETRANSLATE(B3515, ""zh"", ""en"")"),"It does not leak ink bleeds")</f>
        <v>It does not leak ink bleeds</v>
      </c>
    </row>
    <row r="3516">
      <c r="A3516" s="1">
        <v>5.0</v>
      </c>
      <c r="B3516" s="1" t="s">
        <v>3505</v>
      </c>
      <c r="C3516" t="str">
        <f>IFERROR(__xludf.DUMMYFUNCTION("GOOGLETRANSLATE(B3516, ""zh"", ""en"")"),"Approbation of good quality, clothes yards too, wanted to return, think, or received, he did not get to know the code number is, in his own responsibility, Amazon hopes to continue to maintain this quality management and service ......")</f>
        <v>Approbation of good quality, clothes yards too, wanted to return, think, or received, he did not get to know the code number is, in his own responsibility, Amazon hopes to continue to maintain this quality management and service ......</v>
      </c>
    </row>
    <row r="3517">
      <c r="A3517" s="1">
        <v>5.0</v>
      </c>
      <c r="B3517" s="1" t="s">
        <v>3506</v>
      </c>
      <c r="C3517" t="str">
        <f>IFERROR(__xludf.DUMMYFUNCTION("GOOGLETRANSLATE(B3517, ""zh"", ""en"")"),"Hitachi's enterprise disk bought two white standard disk, the disk is Hitachi's enterprise, 7200 64M cache, on nas use. Model is relatively old, it should be hard to change the use of corporate stock, 0 on power-up time. Read and write speed test bought t"&amp;"hree years than WD's red disk faster, of course, companies move up the disc sound more objective, but a few years ago almost all of 7200, within the normal range. In this price that is simply too much cabbage, basically less than half price, plus self-sea"&amp;" Amazon purchase, more at ease.")</f>
        <v>Hitachi's enterprise disk bought two white standard disk, the disk is Hitachi's enterprise, 7200 64M cache, on nas use. Model is relatively old, it should be hard to change the use of corporate stock, 0 on power-up time. Read and write speed test bought three years than WD's red disk faster, of course, companies move up the disc sound more objective, but a few years ago almost all of 7200, within the normal range. In this price that is simply too much cabbage, basically less than half price, plus self-sea Amazon purchase, more at ease.</v>
      </c>
    </row>
    <row r="3518">
      <c r="A3518" s="1">
        <v>5.0</v>
      </c>
      <c r="B3518" s="1" t="s">
        <v>3507</v>
      </c>
      <c r="C3518" t="str">
        <f>IFERROR(__xludf.DUMMYFUNCTION("GOOGLETRANSLATE(B3518, ""zh"", ""en"")"),"Work fine, classically designed glass fiber pens, lighter, that is, the entire ink pen reservoir, design more compact. The entire pen work fine, substantially no defects, comprising a rotating portion of the tail of the pen, and after tightening the rest "&amp;"almost integration, see the gap. The most distinctive is the center of gravity of the whole pen in parts of the tiger's mouth, coupled with the cap remains the same, when you write very comfortable.")</f>
        <v>Work fine, classically designed glass fiber pens, lighter, that is, the entire ink pen reservoir, design more compact. The entire pen work fine, substantially no defects, comprising a rotating portion of the tail of the pen, and after tightening the rest almost integration, see the gap. The most distinctive is the center of gravity of the whole pen in parts of the tiger's mouth, coupled with the cap remains the same, when you write very comfortable.</v>
      </c>
    </row>
    <row r="3519">
      <c r="A3519" s="1">
        <v>5.0</v>
      </c>
      <c r="B3519" s="1" t="s">
        <v>3508</v>
      </c>
      <c r="C3519" t="str">
        <f>IFERROR(__xludf.DUMMYFUNCTION("GOOGLETRANSLATE(B3519, ""zh"", ""en"")"),"This easy to use vibration frequency is indeed high, but not so stiff feeling Braun, accustomed to electric toothbrush for me was quite gentle, clean place")</f>
        <v>This easy to use vibration frequency is indeed high, but not so stiff feeling Braun, accustomed to electric toothbrush for me was quite gentle, clean place</v>
      </c>
    </row>
    <row r="3520">
      <c r="A3520" s="1">
        <v>5.0</v>
      </c>
      <c r="B3520" s="1" t="s">
        <v>3509</v>
      </c>
      <c r="C3520" t="str">
        <f>IFERROR(__xludf.DUMMYFUNCTION("GOOGLETRANSLATE(B3520, ""zh"", ""en"")"),"Size is too large, outstanding color a little bit big, but the color and texture is very good, right when oversize, very good.")</f>
        <v>Size is too large, outstanding color a little bit big, but the color and texture is very good, right when oversize, very good.</v>
      </c>
    </row>
    <row r="3521">
      <c r="A3521" s="1">
        <v>5.0</v>
      </c>
      <c r="B3521" s="1" t="s">
        <v>3510</v>
      </c>
      <c r="C3521" t="str">
        <f>IFERROR(__xludf.DUMMYFUNCTION("GOOGLETRANSLATE(B3521, ""zh"", ""en"")"),"This quality is particularly good recommendation to buy, buy two, the price is much cheaper than the Lynx, and long overdue to buy things on Amazon, later also Huichang Lai.")</f>
        <v>This quality is particularly good recommendation to buy, buy two, the price is much cheaper than the Lynx, and long overdue to buy things on Amazon, later also Huichang Lai.</v>
      </c>
    </row>
    <row r="3522">
      <c r="A3522" s="1">
        <v>5.0</v>
      </c>
      <c r="B3522" s="1" t="s">
        <v>3511</v>
      </c>
      <c r="C3522" t="str">
        <f>IFERROR(__xludf.DUMMYFUNCTION("GOOGLETRANSLATE(B3522, ""zh"", ""en"")"),"Suitable into a suitable size, I wide foot instep is high, usually wear 36 yards, selected 35 (36EU), it is appropriate, a finger spare toe, on both sides slightly squeeze a little, the brown paragraph had wanted, but there is only black No, the arrival o"&amp;"f what we can see is also very good, leather soft and comfortable to wear.")</f>
        <v>Suitable into a suitable size, I wide foot instep is high, usually wear 36 yards, selected 35 (36EU), it is appropriate, a finger spare toe, on both sides slightly squeeze a little, the brown paragraph had wanted, but there is only black No, the arrival of what we can see is also very good, leather soft and comfortable to wear.</v>
      </c>
    </row>
    <row r="3523">
      <c r="A3523" s="1">
        <v>5.0</v>
      </c>
      <c r="B3523" s="1" t="s">
        <v>3512</v>
      </c>
      <c r="C3523" t="str">
        <f>IFERROR(__xludf.DUMMYFUNCTION("GOOGLETRANSLATE(B3523, ""zh"", ""en"")"),"Worth starting five-star praise, it is worth starting, origin India, feel workmanship are good, upper body more comfortable, cost is very high. Size standard, 165-65 s code is fit.")</f>
        <v>Worth starting five-star praise, it is worth starting, origin India, feel workmanship are good, upper body more comfortable, cost is very high. Size standard, 165-65 s code is fit.</v>
      </c>
    </row>
    <row r="3524">
      <c r="A3524" s="1">
        <v>5.0</v>
      </c>
      <c r="B3524" s="1" t="s">
        <v>3513</v>
      </c>
      <c r="C3524" t="str">
        <f>IFERROR(__xludf.DUMMYFUNCTION("GOOGLETRANSLATE(B3524, ""zh"", ""en"")"),"Not from the previous evaluation, I do not know how many wasted points, points can change money now know, they should look carefully evaluated, then I put these words to copy to go, both to earn points, but also save trouble, they go where copy the most i"&amp;"mportant thing is, do not seriously review, do not think how much worse word, sent directly to it, recommend it to everyone! ! Not from the previous evaluation, I do not know how many wasted points, points can change money now know, they should look caref"&amp;"ully evaluated, then I put these words to copy to go, both to earn points, but also save trouble, they go where copy the most important thing is, do not seriously review, do not think how much worse word, sent directly to it, recommend it to everyone! !")</f>
        <v>Not from the previous evaluation, I do not know how many wasted points, points can change money now know, they should look carefully evaluated, then I put these words to copy to go, both to earn points, but also save trouble, they go where copy the most important thing is, do not seriously review, do not think how much worse word, sent directly to it, recommend it to everyone! ! Not from the previous evaluation, I do not know how many wasted points, points can change money now know, they should look carefully evaluated, then I put these words to copy to go, both to earn points, but also save trouble, they go where copy the most important thing is, do not seriously review, do not think how much worse word, sent directly to it, recommend it to everyone! !</v>
      </c>
    </row>
    <row r="3525">
      <c r="A3525" s="1">
        <v>5.0</v>
      </c>
      <c r="B3525" s="1" t="s">
        <v>3514</v>
      </c>
      <c r="C3525" t="str">
        <f>IFERROR(__xludf.DUMMYFUNCTION("GOOGLETRANSLATE(B3525, ""zh"", ""en"")"),"Material heavy, solid! perfectly worked! Good recipes made out of noodles is quite good! Material heavy, solid! perfectly worked! Good recipes made out of noodles is quite good!")</f>
        <v>Material heavy, solid! perfectly worked! Good recipes made out of noodles is quite good! Material heavy, solid! perfectly worked! Good recipes made out of noodles is quite good!</v>
      </c>
    </row>
    <row r="3526">
      <c r="A3526" s="1">
        <v>5.0</v>
      </c>
      <c r="B3526" s="1" t="s">
        <v>3515</v>
      </c>
      <c r="C3526" t="str">
        <f>IFERROR(__xludf.DUMMYFUNCTION("GOOGLETRANSLATE(B3526, ""zh"", ""en"")"),"They pay for things impress, a leader has weight, feel good, than expected big shower")</f>
        <v>They pay for things impress, a leader has weight, feel good, than expected big shower</v>
      </c>
    </row>
    <row r="3527">
      <c r="A3527" s="1">
        <v>5.0</v>
      </c>
      <c r="B3527" s="1" t="s">
        <v>3516</v>
      </c>
      <c r="C3527" t="str">
        <f>IFERROR(__xludf.DUMMYFUNCTION("GOOGLETRANSLATE(B3527, ""zh"", ""en"")"),"It is said that when the pencil can buy a whole box, not to use it, feeling must be very good.")</f>
        <v>It is said that when the pencil can buy a whole box, not to use it, feeling must be very good.</v>
      </c>
    </row>
    <row r="3528">
      <c r="A3528" s="1">
        <v>5.0</v>
      </c>
      <c r="B3528" s="1" t="s">
        <v>3517</v>
      </c>
      <c r="C3528" t="str">
        <f>IFERROR(__xludf.DUMMYFUNCTION("GOOGLETRANSLATE(B3528, ""zh"", ""en"")"),"No. 170/60 S S 170,60 kg to buy just the right number, quality and design are good, there are headphone threading hole in his pocket, details of the design is better, we buy things on Amazon each comment, clothes yardage is indeed overseas good grasp, I w"&amp;"ant to help")</f>
        <v>No. 170/60 S S 170,60 kg to buy just the right number, quality and design are good, there are headphone threading hole in his pocket, details of the design is better, we buy things on Amazon each comment, clothes yardage is indeed overseas good grasp, I want to help</v>
      </c>
    </row>
    <row r="3529">
      <c r="A3529" s="1">
        <v>5.0</v>
      </c>
      <c r="B3529" s="1" t="s">
        <v>3518</v>
      </c>
      <c r="C3529" t="str">
        <f>IFERROR(__xludf.DUMMYFUNCTION("GOOGLETRANSLATE(B3529, ""zh"", ""en"")"),"Record results were pretty good good results, is the general appearance of the paint, a little cheap")</f>
        <v>Record results were pretty good good results, is the general appearance of the paint, a little cheap</v>
      </c>
    </row>
    <row r="3530">
      <c r="A3530" s="1">
        <v>5.0</v>
      </c>
      <c r="B3530" s="1" t="s">
        <v>3519</v>
      </c>
      <c r="C3530" t="str">
        <f>IFERROR(__xludf.DUMMYFUNCTION("GOOGLETRANSLATE(B3530, ""zh"", ""en"")"),"As expected, the size just right, something very good")</f>
        <v>As expected, the size just right, something very good</v>
      </c>
    </row>
    <row r="3531">
      <c r="A3531" s="1">
        <v>5.0</v>
      </c>
      <c r="B3531" s="1" t="s">
        <v>3520</v>
      </c>
      <c r="C3531" t="str">
        <f>IFERROR(__xludf.DUMMYFUNCTION("GOOGLETRANSLATE(B3531, ""zh"", ""en"")"),"Strong function looks nothing surprising place, but after using, you know why it is ranked first in the kitchen scissors.")</f>
        <v>Strong function looks nothing surprising place, but after using, you know why it is ranked first in the kitchen scissors.</v>
      </c>
    </row>
    <row r="3532">
      <c r="A3532" s="1">
        <v>5.0</v>
      </c>
      <c r="B3532" s="1" t="s">
        <v>3521</v>
      </c>
      <c r="C3532" t="str">
        <f>IFERROR(__xludf.DUMMYFUNCTION("GOOGLETRANSLATE(B3532, ""zh"", ""en"")"),"nice high cost of good quality")</f>
        <v>nice high cost of good quality</v>
      </c>
    </row>
    <row r="3533">
      <c r="A3533" s="1">
        <v>2.0</v>
      </c>
      <c r="B3533" s="1" t="s">
        <v>3522</v>
      </c>
      <c r="C3533" t="str">
        <f>IFERROR(__xludf.DUMMYFUNCTION("GOOGLETRANSLATE(B3533, ""zh"", ""en"")"),"Oh well good, not from the previous evaluation, I do not know how many wasted points, points can change money now know, they should look carefully evaluated, then I put these words to copy to go, both to earn points, but also save time, copy where they go"&amp;", the most important thing is, do not seriously review, do not think how much worse word, made directly on it")</f>
        <v>Oh well good, not from the previous evaluation, I do not know how many wasted points, points can change money now know, they should look carefully evaluated, then I put these words to copy to go, both to earn points, but also save time, copy where they go, the most important thing is, do not seriously review, do not think how much worse word, made directly on it</v>
      </c>
    </row>
    <row r="3534">
      <c r="A3534" s="1">
        <v>3.0</v>
      </c>
      <c r="B3534" s="1" t="s">
        <v>3523</v>
      </c>
      <c r="C3534" t="str">
        <f>IFERROR(__xludf.DUMMYFUNCTION("GOOGLETRANSLATE(B3534, ""zh"", ""en"")"),"A little disappointed, not very satisfied. Let me talk about the advantages, looks good, symmetrical, fast response. There are many shortcomings, the biggest problem is the system beep big noisy, and not adjustable. For some of my big ears, ears hurt with"&amp;" three minutes later.")</f>
        <v>A little disappointed, not very satisfied. Let me talk about the advantages, looks good, symmetrical, fast response. There are many shortcomings, the biggest problem is the system beep big noisy, and not adjustable. For some of my big ears, ears hurt with three minutes later.</v>
      </c>
    </row>
    <row r="3535">
      <c r="A3535" s="1">
        <v>3.0</v>
      </c>
      <c r="B3535" s="1" t="s">
        <v>3524</v>
      </c>
      <c r="C3535" t="str">
        <f>IFERROR(__xludf.DUMMYFUNCTION("GOOGLETRANSLATE(B3535, ""zh"", ""en"")"),"Why the poor quality of the hem s code so small shoulders so wide? ! Then pocket really is crooked, thin cashmere hair loss, buy red, are the sticky clothes, but very warm, wash fade is not serious, that is, hair loss, 130 pounds wearing a small hem.")</f>
        <v>Why the poor quality of the hem s code so small shoulders so wide? ! Then pocket really is crooked, thin cashmere hair loss, buy red, are the sticky clothes, but very warm, wash fade is not serious, that is, hair loss, 130 pounds wearing a small hem.</v>
      </c>
    </row>
    <row r="3536">
      <c r="A3536" s="1">
        <v>1.0</v>
      </c>
      <c r="B3536" s="1" t="s">
        <v>3525</v>
      </c>
      <c r="C3536" t="str">
        <f>IFERROR(__xludf.DUMMYFUNCTION("GOOGLETRANSLATE(B3536, ""zh"", ""en"")"),"Counterfeit products counterfeit products")</f>
        <v>Counterfeit products counterfeit products</v>
      </c>
    </row>
    <row r="3537">
      <c r="A3537" s="1">
        <v>1.0</v>
      </c>
      <c r="B3537" s="1" t="s">
        <v>3526</v>
      </c>
      <c r="C3537" t="str">
        <f>IFERROR(__xludf.DUMMYFUNCTION("GOOGLETRANSLATE(B3537, ""zh"", ""en"")"),"It is new? &lt;Div id = ""video-block-R2V2G56EY7E4NE"" class = ""a-section a-spacing-small a-spacing-top-mini video-block""&gt; &lt;/ div&gt; &lt;input type = ""hidden"" name = """" value = ""https://images-cn.ssl-images-amazon.com/images/I/81FGJL+gBJS.mp4"" class = ""v"&amp;"ideo-url""&gt; &lt;input type = ""hidden"" name = """" value = "" https://images-cn.ssl-images-amazon.com/images/I/B1snUTXgntS.png ""class ="" video-slate-img-url ""&gt; &amp; nbsp; okay nothing to send even a small screwdriver Han have not had to go the whole time ga"&amp;"dgets as well as a table with a friction marks BAD with out color Yes")</f>
        <v>It is new? &lt;Div id = "video-block-R2V2G56EY7E4NE" class = "a-section a-spacing-small a-spacing-top-mini video-block"&gt; &lt;/ div&gt; &lt;input type = "hidden" name = "" value = "https://images-cn.ssl-images-amazon.com/images/I/81FGJL+gBJS.mp4" class = "video-url"&gt; &lt;input type = "hidden" name = "" value = " https://images-cn.ssl-images-amazon.com/images/I/B1snUTXgntS.png "class =" video-slate-img-url "&gt; &amp; nbsp; okay nothing to send even a small screwdriver Han have not had to go the whole time gadgets as well as a table with a friction marks BAD with out color Yes</v>
      </c>
    </row>
    <row r="3538">
      <c r="A3538" s="1">
        <v>1.0</v>
      </c>
      <c r="B3538" s="1" t="s">
        <v>3527</v>
      </c>
      <c r="C3538" t="str">
        <f>IFERROR(__xludf.DUMMYFUNCTION("GOOGLETRANSLATE(B3538, ""zh"", ""en"")"),"Why not ask reply 24 hours modulation system, can not point the top right button")</f>
        <v>Why not ask reply 24 hours modulation system, can not point the top right button</v>
      </c>
    </row>
    <row r="3539">
      <c r="A3539" s="1">
        <v>4.0</v>
      </c>
      <c r="B3539" s="1" t="s">
        <v>3528</v>
      </c>
      <c r="C3539" t="str">
        <f>IFERROR(__xludf.DUMMYFUNCTION("GOOGLETRANSLATE(B3539, ""zh"", ""en"")"),"Rather long and too large is pretty nice, but really rather long too large.")</f>
        <v>Rather long and too large is pretty nice, but really rather long too large.</v>
      </c>
    </row>
    <row r="3540">
      <c r="A3540" s="1">
        <v>4.0</v>
      </c>
      <c r="B3540" s="1" t="s">
        <v>3529</v>
      </c>
      <c r="C3540" t="str">
        <f>IFERROR(__xludf.DUMMYFUNCTION("GOOGLETRANSLATE(B3540, ""zh"", ""en"")"),"It can also be very good use. It can also be very good use.")</f>
        <v>It can also be very good use. It can also be very good use.</v>
      </c>
    </row>
    <row r="3541">
      <c r="A3541" s="1">
        <v>4.0</v>
      </c>
      <c r="B3541" s="1" t="s">
        <v>3530</v>
      </c>
      <c r="C3541" t="str">
        <f>IFERROR(__xludf.DUMMYFUNCTION("GOOGLETRANSLATE(B3541, ""zh"", ""en"")"),"Larger sizes larger than another before")</f>
        <v>Larger sizes larger than another before</v>
      </c>
    </row>
    <row r="3542">
      <c r="A3542" s="1">
        <v>4.0</v>
      </c>
      <c r="B3542" s="1" t="s">
        <v>3531</v>
      </c>
      <c r="C3542" t="str">
        <f>IFERROR(__xludf.DUMMYFUNCTION("GOOGLETRANSLATE(B3542, ""zh"", ""en"")"),"I was also drunk, how are the Amazon made a comment too much trouble, no wonder a lot of things did not comment, so you can not do, little comments, customer service can not find, let us how to buy things Yeah, hey, to everyone I try to write it in the co"&amp;"mments, normal wear 40, bought 6.5uk of this, a little bit big, but personally feel very good value for money, can wear, more than 200 buy, cheap, it is feeling the leather easy to wrinkle")</f>
        <v>I was also drunk, how are the Amazon made a comment too much trouble, no wonder a lot of things did not comment, so you can not do, little comments, customer service can not find, let us how to buy things Yeah, hey, to everyone I try to write it in the comments, normal wear 40, bought 6.5uk of this, a little bit big, but personally feel very good value for money, can wear, more than 200 buy, cheap, it is feeling the leather easy to wrinkle</v>
      </c>
    </row>
    <row r="3543">
      <c r="A3543" s="1">
        <v>5.0</v>
      </c>
      <c r="B3543" s="1" t="s">
        <v>3532</v>
      </c>
      <c r="C3543" t="str">
        <f>IFERROR(__xludf.DUMMYFUNCTION("GOOGLETRANSLATE(B3543, ""zh"", ""en"")"),"Winter boots good for mom, and he is a pair! Very suitable for winter wear!")</f>
        <v>Winter boots good for mom, and he is a pair! Very suitable for winter wear!</v>
      </c>
    </row>
    <row r="3544">
      <c r="A3544" s="1">
        <v>5.0</v>
      </c>
      <c r="B3544" s="1" t="s">
        <v>3533</v>
      </c>
      <c r="C3544" t="str">
        <f>IFERROR(__xludf.DUMMYFUNCTION("GOOGLETRANSLATE(B3544, ""zh"", ""en"")"),"Value for money soft water, paddle switch is large enough, a large amount of water again like a point")</f>
        <v>Value for money soft water, paddle switch is large enough, a large amount of water again like a point</v>
      </c>
    </row>
    <row r="3545">
      <c r="A3545" s="1">
        <v>5.0</v>
      </c>
      <c r="B3545" s="1" t="s">
        <v>3534</v>
      </c>
      <c r="C3545" t="str">
        <f>IFERROR(__xludf.DUMMYFUNCTION("GOOGLETRANSLATE(B3545, ""zh"", ""en"")"),"Ultra-lightweight waterproof material, baby wearing no burden, but also waterproof, good")</f>
        <v>Ultra-lightweight waterproof material, baby wearing no burden, but also waterproof, good</v>
      </c>
    </row>
    <row r="3546">
      <c r="A3546" s="1">
        <v>5.0</v>
      </c>
      <c r="B3546" s="1" t="s">
        <v>3535</v>
      </c>
      <c r="C3546" t="str">
        <f>IFERROR(__xludf.DUMMYFUNCTION("GOOGLETRANSLATE(B3546, ""zh"", ""en"")"),"Satisfaction is very beautiful, small. They are also easy to use")</f>
        <v>Satisfaction is very beautiful, small. They are also easy to use</v>
      </c>
    </row>
    <row r="3547">
      <c r="A3547" s="1">
        <v>5.0</v>
      </c>
      <c r="B3547" s="1" t="s">
        <v>3536</v>
      </c>
      <c r="C3547" t="str">
        <f>IFERROR(__xludf.DUMMYFUNCTION("GOOGLETRANSLATE(B3547, ""zh"", ""en"")"),"Like Ha ha ha, good socks, with the experience of the previous two, the size is ok, arrival time soon, is the Japanese definition of a strange color, not black, brown and dark gray is a little short color, or translation problem is difficult to describe i"&amp;"t, was not actually black")</f>
        <v>Like Ha ha ha, good socks, with the experience of the previous two, the size is ok, arrival time soon, is the Japanese definition of a strange color, not black, brown and dark gray is a little short color, or translation problem is difficult to describe it, was not actually black</v>
      </c>
    </row>
    <row r="3548">
      <c r="A3548" s="1">
        <v>5.0</v>
      </c>
      <c r="B3548" s="1" t="s">
        <v>3537</v>
      </c>
      <c r="C3548" t="str">
        <f>IFERROR(__xludf.DUMMYFUNCTION("GOOGLETRANSLATE(B3548, ""zh"", ""en"")"),"Very like to watch movies what good sound quality")</f>
        <v>Very like to watch movies what good sound quality</v>
      </c>
    </row>
    <row r="3549">
      <c r="A3549" s="1">
        <v>5.0</v>
      </c>
      <c r="B3549" s="1" t="s">
        <v>3538</v>
      </c>
      <c r="C3549" t="str">
        <f>IFERROR(__xludf.DUMMYFUNCTION("GOOGLETRANSLATE(B3549, ""zh"", ""en"")"),"Evaluation is very good, not from the previous evaluation, I do not know how many points wasted ah. Now we know that integrating such a large role, it is necessary to take written evaluation body milk taste very fragrant incense, and very moist, stick wit"&amp;"h it can have a significant whitening effect, look forward to.")</f>
        <v>Evaluation is very good, not from the previous evaluation, I do not know how many points wasted ah. Now we know that integrating such a large role, it is necessary to take written evaluation body milk taste very fragrant incense, and very moist, stick with it can have a significant whitening effect, look forward to.</v>
      </c>
    </row>
    <row r="3550">
      <c r="A3550" s="1">
        <v>5.0</v>
      </c>
      <c r="B3550" s="1" t="s">
        <v>3539</v>
      </c>
      <c r="C3550" t="str">
        <f>IFERROR(__xludf.DUMMYFUNCTION("GOOGLETRANSLATE(B3550, ""zh"", ""en"")"),"Comfortable very comfortable. Really like wearing the same, in addition to the price a little expensive disadvantages are advantages :)")</f>
        <v>Comfortable very comfortable. Really like wearing the same, in addition to the price a little expensive disadvantages are advantages :)</v>
      </c>
    </row>
    <row r="3551">
      <c r="A3551" s="1">
        <v>5.0</v>
      </c>
      <c r="B3551" s="1" t="s">
        <v>3540</v>
      </c>
      <c r="C3551" t="str">
        <f>IFERROR(__xludf.DUMMYFUNCTION("GOOGLETRANSLATE(B3551, ""zh"", ""en"")"),"Oh well baby likes this cutlery!")</f>
        <v>Oh well baby likes this cutlery!</v>
      </c>
    </row>
    <row r="3552">
      <c r="A3552" s="1">
        <v>5.0</v>
      </c>
      <c r="B3552" s="1" t="s">
        <v>3541</v>
      </c>
      <c r="C3552" t="str">
        <f>IFERROR(__xludf.DUMMYFUNCTION("GOOGLETRANSLATE(B3552, ""zh"", ""en"")"),"Cheap is the last word with respect to the domestic version, that is, some trademark fuzzy printing, the other almost! Also speed the arrival of overseas purchase, satisfaction!")</f>
        <v>Cheap is the last word with respect to the domestic version, that is, some trademark fuzzy printing, the other almost! Also speed the arrival of overseas purchase, satisfaction!</v>
      </c>
    </row>
    <row r="3553">
      <c r="A3553" s="1">
        <v>5.0</v>
      </c>
      <c r="B3553" s="1" t="s">
        <v>3542</v>
      </c>
      <c r="C3553" t="str">
        <f>IFERROR(__xludf.DUMMYFUNCTION("GOOGLETRANSLATE(B3553, ""zh"", ""en"")"),"Sennheiser 945 genuine second time in the Amazon to buy very satisfied")</f>
        <v>Sennheiser 945 genuine second time in the Amazon to buy very satisfied</v>
      </c>
    </row>
    <row r="3554">
      <c r="A3554" s="1">
        <v>5.0</v>
      </c>
      <c r="B3554" s="1" t="s">
        <v>3543</v>
      </c>
      <c r="C3554" t="str">
        <f>IFERROR(__xludf.DUMMYFUNCTION("GOOGLETRANSLATE(B3554, ""zh"", ""en"")"),"Very soft and comfortable slightly larger, but then a smaller size may be smaller, while swimming wear, do not bring slippers, really very, very comfortable, this brand-deserved reputation.")</f>
        <v>Very soft and comfortable slightly larger, but then a smaller size may be smaller, while swimming wear, do not bring slippers, really very, very comfortable, this brand-deserved reputation.</v>
      </c>
    </row>
    <row r="3555">
      <c r="A3555" s="1">
        <v>5.0</v>
      </c>
      <c r="B3555" s="1" t="s">
        <v>3544</v>
      </c>
      <c r="C3555" t="str">
        <f>IFERROR(__xludf.DUMMYFUNCTION("GOOGLETRANSLATE(B3555, ""zh"", ""en"")"),"Suitable delivery fast, quality pants okay, kind of thin, suitable for summer wear.")</f>
        <v>Suitable delivery fast, quality pants okay, kind of thin, suitable for summer wear.</v>
      </c>
    </row>
    <row r="3556">
      <c r="A3556" s="1">
        <v>5.0</v>
      </c>
      <c r="B3556" s="1" t="s">
        <v>3545</v>
      </c>
      <c r="C3556" t="str">
        <f>IFERROR(__xludf.DUMMYFUNCTION("GOOGLETRANSLATE(B3556, ""zh"", ""en"")"),"Comments very good use")</f>
        <v>Comments very good use</v>
      </c>
    </row>
    <row r="3557">
      <c r="A3557" s="1">
        <v>5.0</v>
      </c>
      <c r="B3557" s="1" t="s">
        <v>3546</v>
      </c>
      <c r="C3557" t="str">
        <f>IFERROR(__xludf.DUMMYFUNCTION("GOOGLETRANSLATE(B3557, ""zh"", ""en"")"),"I have been using WD hard disk, as this will total five days to receive it back up, fast. Hard disk is very beautiful, has a running time of giggle da da sound. Because it is only in formatted mac systems.")</f>
        <v>I have been using WD hard disk, as this will total five days to receive it back up, fast. Hard disk is very beautiful, has a running time of giggle da da sound. Because it is only in formatted mac systems.</v>
      </c>
    </row>
    <row r="3558">
      <c r="A3558" s="1">
        <v>5.0</v>
      </c>
      <c r="B3558" s="1" t="s">
        <v>3547</v>
      </c>
      <c r="C3558" t="str">
        <f>IFERROR(__xludf.DUMMYFUNCTION("GOOGLETRANSLATE(B3558, ""zh"", ""en"")"),"Table water is good, and the picture is no different entities 1, 3157 is the number of watches you can find instructions for this table with the men in the search 2, each watch features a world time world cities are GMT time zone is bjs 2 3 3 is displayed"&amp;" when the DST day, the day temperature for 5 minutes and seconds with a 4 second illuminating a compass 6 7 8 stopwatch alarm function; 3, no pressure gauge 4, waterproof performance with a hot bath no problem, ready to try to swim with ; waterproof 200 m"&amp;"; 5, the effect of the guide points can also be relatively thin; 6, waterproof experiment to almost 3 weeks,")</f>
        <v>Table water is good, and the picture is no different entities 1, 3157 is the number of watches you can find instructions for this table with the men in the search 2, each watch features a world time world cities are GMT time zone is bjs 2 3 3 is displayed when the DST day, the day temperature for 5 minutes and seconds with a 4 second illuminating a compass 6 7 8 stopwatch alarm function; 3, no pressure gauge 4, waterproof performance with a hot bath no problem, ready to try to swim with ; waterproof 200 m; 5, the effect of the guide points can also be relatively thin; 6, waterproof experiment to almost 3 weeks,</v>
      </c>
    </row>
    <row r="3559">
      <c r="A3559" s="1">
        <v>5.0</v>
      </c>
      <c r="B3559" s="1" t="s">
        <v>3548</v>
      </c>
      <c r="C3559" t="str">
        <f>IFERROR(__xludf.DUMMYFUNCTION("GOOGLETRANSLATE(B3559, ""zh"", ""en"")"),"Light, lighter insulation, thermal insulation effect is good for one day")</f>
        <v>Light, lighter insulation, thermal insulation effect is good for one day</v>
      </c>
    </row>
    <row r="3560">
      <c r="A3560" s="1">
        <v>5.0</v>
      </c>
      <c r="B3560" s="1" t="s">
        <v>3549</v>
      </c>
      <c r="C3560" t="str">
        <f>IFERROR(__xludf.DUMMYFUNCTION("GOOGLETRANSLATE(B3560, ""zh"", ""en"")"),"Things can also be, for the good core")</f>
        <v>Things can also be, for the good core</v>
      </c>
    </row>
    <row r="3561">
      <c r="A3561" s="1">
        <v>5.0</v>
      </c>
      <c r="B3561" s="1" t="s">
        <v>3550</v>
      </c>
      <c r="C3561" t="str">
        <f>IFERROR(__xludf.DUMMYFUNCTION("GOOGLETRANSLATE(B3561, ""zh"", ""en"")"),"Easy to use forceful enough, do not brush it touches the bleeding, and once the children brush hurt. Overall, good, clean than a manual brush")</f>
        <v>Easy to use forceful enough, do not brush it touches the bleeding, and once the children brush hurt. Overall, good, clean than a manual brush</v>
      </c>
    </row>
    <row r="3562">
      <c r="A3562" s="1">
        <v>5.0</v>
      </c>
      <c r="B3562" s="1" t="s">
        <v>3551</v>
      </c>
      <c r="C3562" t="str">
        <f>IFERROR(__xludf.DUMMYFUNCTION("GOOGLETRANSLATE(B3562, ""zh"", ""en"")"),"Very comfortable to wear pants all champion than some other brands are a bit long, or my legs are too short")</f>
        <v>Very comfortable to wear pants all champion than some other brands are a bit long, or my legs are too short</v>
      </c>
    </row>
    <row r="3563">
      <c r="A3563" s="1">
        <v>5.0</v>
      </c>
      <c r="B3563" s="1" t="s">
        <v>3552</v>
      </c>
      <c r="C3563" t="str">
        <f>IFERROR(__xludf.DUMMYFUNCTION("GOOGLETRANSLATE(B3563, ""zh"", ""en"")"),"The only good black five most expensive, there are many other things that are or up to several times, now is not the integrity of the Amazon, was disappointed to Asia")</f>
        <v>The only good black five most expensive, there are many other things that are or up to several times, now is not the integrity of the Amazon, was disappointed to Asia</v>
      </c>
    </row>
    <row r="3564">
      <c r="A3564" s="1">
        <v>5.0</v>
      </c>
      <c r="B3564" s="1" t="s">
        <v>3553</v>
      </c>
      <c r="C3564" t="str">
        <f>IFERROR(__xludf.DUMMYFUNCTION("GOOGLETRANSLATE(B3564, ""zh"", ""en"")"),"Good quality, that is, trousers a little big, very fond of good quality is a little big trousers, liked")</f>
        <v>Good quality, that is, trousers a little big, very fond of good quality is a little big trousers, liked</v>
      </c>
    </row>
    <row r="3565">
      <c r="A3565" s="1">
        <v>2.0</v>
      </c>
      <c r="B3565" s="1" t="s">
        <v>3554</v>
      </c>
      <c r="C3565" t="str">
        <f>IFERROR(__xludf.DUMMYFUNCTION("GOOGLETRANSLATE(B3565, ""zh"", ""en"")"),"Clothes too large, and the quality is not good. Some clothes too large, the quality is not very good, feels feel is not worth the price, not as good as about 100 LINING")</f>
        <v>Clothes too large, and the quality is not good. Some clothes too large, the quality is not very good, feels feel is not worth the price, not as good as about 100 LINING</v>
      </c>
    </row>
    <row r="3566">
      <c r="A3566" s="1">
        <v>3.0</v>
      </c>
      <c r="B3566" s="1" t="s">
        <v>3555</v>
      </c>
      <c r="C3566" t="str">
        <f>IFERROR(__xludf.DUMMYFUNCTION("GOOGLETRANSLATE(B3566, ""zh"", ""en"")"),"Size does not indicate the size of the code, I do not like this product. Taking into account the consumer pulls off very troublesome, so find someone to give someone else,")</f>
        <v>Size does not indicate the size of the code, I do not like this product. Taking into account the consumer pulls off very troublesome, so find someone to give someone else,</v>
      </c>
    </row>
    <row r="3567">
      <c r="A3567" s="1">
        <v>3.0</v>
      </c>
      <c r="B3567" s="1" t="s">
        <v>3556</v>
      </c>
      <c r="C3567" t="str">
        <f>IFERROR(__xludf.DUMMYFUNCTION("GOOGLETRANSLATE(B3567, ""zh"", ""en"")"),"Generally thicker spring sweater, rather hard.")</f>
        <v>Generally thicker spring sweater, rather hard.</v>
      </c>
    </row>
    <row r="3568">
      <c r="A3568" s="1">
        <v>3.0</v>
      </c>
      <c r="B3568" s="1" t="s">
        <v>3557</v>
      </c>
      <c r="C3568" t="str">
        <f>IFERROR(__xludf.DUMMYFUNCTION("GOOGLETRANSLATE(B3568, ""zh"", ""en"")"),"Okay, I did not feel good-looking photos! Where are wearing always felt wrong, he did not wear a few times.")</f>
        <v>Okay, I did not feel good-looking photos! Where are wearing always felt wrong, he did not wear a few times.</v>
      </c>
    </row>
    <row r="3569">
      <c r="A3569" s="1">
        <v>1.0</v>
      </c>
      <c r="B3569" s="1" t="s">
        <v>3558</v>
      </c>
      <c r="C3569" t="str">
        <f>IFERROR(__xludf.DUMMYFUNCTION("GOOGLETRANSLATE(B3569, ""zh"", ""en"")"),"low quality! Poor quality! ! There is a hole in the back of the pants, but also want to return to print bills, I do not have a printer, print out is troublesome, had to find their own stores up about the whole thing, nobody checked it before delivery? ? ?"&amp;" ? I was drunk")</f>
        <v>low quality! Poor quality! ! There is a hole in the back of the pants, but also want to return to print bills, I do not have a printer, print out is troublesome, had to find their own stores up about the whole thing, nobody checked it before delivery? ? ? ? I was drunk</v>
      </c>
    </row>
    <row r="3570">
      <c r="A3570" s="1">
        <v>1.0</v>
      </c>
      <c r="B3570" s="1" t="s">
        <v>3559</v>
      </c>
      <c r="C3570" t="str">
        <f>IFERROR(__xludf.DUMMYFUNCTION("GOOGLETRANSLATE(B3570, ""zh"", ""en"")"),"The product is defective, it is recommended Amazon shelves. While improving the quality of customer service really is rubbish! ! ! Spent three months the machine is broken, look for the Amazon, first let me find a customer service Bi Jie Chinese aftermark"&amp;"et, and said not a last resort do not say buy on overseas shopping. Chinese side said that commodity is written, WP-560, the actual commodity is 560C, 560C is not to say China maintenance repair parts models can not! Playing me ah! Rubbish! Find Amazon re"&amp;"gard, the second customer pulled a mess, not only let myself go to the official website of the United States Bi Jie after-sales contact, even when I asked tb have after-sales service, but also in turn asked why I want to buy on top of Central Asia. And to"&amp;"ld me that just because low commodity rate small part of people's opinions, I do not know how much product sales. Despite all the rhetoric that one: what we do is within the law and is legal. I Oh, this is my first time to buy things on Amazon, and last, "&amp;"really rubbish.")</f>
        <v>The product is defective, it is recommended Amazon shelves. While improving the quality of customer service really is rubbish! ! ! Spent three months the machine is broken, look for the Amazon, first let me find a customer service Bi Jie Chinese aftermarket, and said not a last resort do not say buy on overseas shopping. Chinese side said that commodity is written, WP-560, the actual commodity is 560C, 560C is not to say China maintenance repair parts models can not! Playing me ah! Rubbish! Find Amazon regard, the second customer pulled a mess, not only let myself go to the official website of the United States Bi Jie after-sales contact, even when I asked tb have after-sales service, but also in turn asked why I want to buy on top of Central Asia. And told me that just because low commodity rate small part of people's opinions, I do not know how much product sales. Despite all the rhetoric that one: what we do is within the law and is legal. I Oh, this is my first time to buy things on Amazon, and last, really rubbish.</v>
      </c>
    </row>
    <row r="3571">
      <c r="A3571" s="1">
        <v>4.0</v>
      </c>
      <c r="B3571" s="1" t="s">
        <v>3560</v>
      </c>
      <c r="C3571" t="str">
        <f>IFERROR(__xludf.DUMMYFUNCTION("GOOGLETRANSLATE(B3571, ""zh"", ""en"")"),"Dad kept a great effort to reflect the big thief")</f>
        <v>Dad kept a great effort to reflect the big thief</v>
      </c>
    </row>
    <row r="3572">
      <c r="A3572" s="1">
        <v>4.0</v>
      </c>
      <c r="B3572" s="1" t="s">
        <v>3561</v>
      </c>
      <c r="C3572" t="str">
        <f>IFERROR(__xludf.DUMMYFUNCTION("GOOGLETRANSLATE(B3572, ""zh"", ""en"")"),"Table good, good logistics and soon the table, logistics soon")</f>
        <v>Table good, good logistics and soon the table, logistics soon</v>
      </c>
    </row>
    <row r="3573">
      <c r="A3573" s="1">
        <v>4.0</v>
      </c>
      <c r="B3573" s="1" t="s">
        <v>3562</v>
      </c>
      <c r="C3573" t="str">
        <f>IFERROR(__xludf.DUMMYFUNCTION("GOOGLETRANSLATE(B3573, ""zh"", ""en"")"),"Quite satisfactory tooling shoe 255 feet long, just wear No. 7, also can work, toe protection sheet, it should be plastic, the stable heel stabilizer, and thin uppers, shoe soles thick, also wearing Yes, a little dissatisfied with the outside of his right"&amp;" foot at the ankle is a little wear ankle, the place feels like a logo of ...")</f>
        <v>Quite satisfactory tooling shoe 255 feet long, just wear No. 7, also can work, toe protection sheet, it should be plastic, the stable heel stabilizer, and thin uppers, shoe soles thick, also wearing Yes, a little dissatisfied with the outside of his right foot at the ankle is a little wear ankle, the place feels like a logo of ...</v>
      </c>
    </row>
    <row r="3574">
      <c r="A3574" s="1">
        <v>4.0</v>
      </c>
      <c r="B3574" s="1" t="s">
        <v>3563</v>
      </c>
      <c r="C3574" t="str">
        <f>IFERROR(__xludf.DUMMYFUNCTION("GOOGLETRANSLATE(B3574, ""zh"", ""en"")"),"Good clothes sleeves very fat, it is a reference to American and European body design, fabric in general. At first not pleasant to the eye, like a long time, different styles, even to buy a brand, the price of domestic difficult to buy.")</f>
        <v>Good clothes sleeves very fat, it is a reference to American and European body design, fabric in general. At first not pleasant to the eye, like a long time, different styles, even to buy a brand, the price of domestic difficult to buy.</v>
      </c>
    </row>
    <row r="3575">
      <c r="A3575" s="1">
        <v>4.0</v>
      </c>
      <c r="B3575" s="1" t="s">
        <v>3564</v>
      </c>
      <c r="C3575" t="str">
        <f>IFERROR(__xludf.DUMMYFUNCTION("GOOGLETRANSLATE(B3575, ""zh"", ""en"")"),"Not bad for Grandma, but she may be more serious joint problems, eat this no apparent effect.")</f>
        <v>Not bad for Grandma, but she may be more serious joint problems, eat this no apparent effect.</v>
      </c>
    </row>
    <row r="3576">
      <c r="A3576" s="1">
        <v>5.0</v>
      </c>
      <c r="B3576" s="1" t="s">
        <v>3565</v>
      </c>
      <c r="C3576" t="str">
        <f>IFERROR(__xludf.DUMMYFUNCTION("GOOGLETRANSLATE(B3576, ""zh"", ""en"")"),"Young and trendy to his brother to buy, buy more European and American brands, so familiar with the difference between US and Chinese code size, and selected number just good. Amazon can always surprise encounter American brand clothes and shoes of good p"&amp;"rice, buy buy buy! Excellent! A very jianling money, quality and style are too good to not have to say ~")</f>
        <v>Young and trendy to his brother to buy, buy more European and American brands, so familiar with the difference between US and Chinese code size, and selected number just good. Amazon can always surprise encounter American brand clothes and shoes of good price, buy buy buy! Excellent! A very jianling money, quality and style are too good to not have to say ~</v>
      </c>
    </row>
    <row r="3577">
      <c r="A3577" s="1">
        <v>5.0</v>
      </c>
      <c r="B3577" s="1" t="s">
        <v>3566</v>
      </c>
      <c r="C3577" t="str">
        <f>IFERROR(__xludf.DUMMYFUNCTION("GOOGLETRANSLATE(B3577, ""zh"", ""en"")"),"Oh well oh well, I liked it, very good, and finally bought")</f>
        <v>Oh well oh well, I liked it, very good, and finally bought</v>
      </c>
    </row>
    <row r="3578">
      <c r="A3578" s="1">
        <v>5.0</v>
      </c>
      <c r="B3578" s="1" t="s">
        <v>3567</v>
      </c>
      <c r="C3578" t="str">
        <f>IFERROR(__xludf.DUMMYFUNCTION("GOOGLETRANSLATE(B3578, ""zh"", ""en"")"),"Size size being positive, very comfortable very light, very satisfied")</f>
        <v>Size size being positive, very comfortable very light, very satisfied</v>
      </c>
    </row>
    <row r="3579">
      <c r="A3579" s="1">
        <v>5.0</v>
      </c>
      <c r="B3579" s="1" t="s">
        <v>3568</v>
      </c>
      <c r="C3579" t="str">
        <f>IFERROR(__xludf.DUMMYFUNCTION("GOOGLETRANSLATE(B3579, ""zh"", ""en"")"),"Good recommendation deliberately buy shoes freshman yards, snow boots bigger was comfortable. Yes!")</f>
        <v>Good recommendation deliberately buy shoes freshman yards, snow boots bigger was comfortable. Yes!</v>
      </c>
    </row>
    <row r="3580">
      <c r="A3580" s="1">
        <v>5.0</v>
      </c>
      <c r="B3580" s="1" t="s">
        <v>3569</v>
      </c>
      <c r="C3580" t="str">
        <f>IFERROR(__xludf.DUMMYFUNCTION("GOOGLETRANSLATE(B3580, ""zh"", ""en"")"),"No good taste good, no taste, color without color")</f>
        <v>No good taste good, no taste, color without color</v>
      </c>
    </row>
    <row r="3581">
      <c r="A3581" s="1">
        <v>5.0</v>
      </c>
      <c r="B3581" s="1" t="s">
        <v>3570</v>
      </c>
      <c r="C3581" t="str">
        <f>IFERROR(__xludf.DUMMYFUNCTION("GOOGLETRANSLATE(B3581, ""zh"", ""en"")"),"Retro look very pretty, roast them quickly, good food")</f>
        <v>Retro look very pretty, roast them quickly, good food</v>
      </c>
    </row>
    <row r="3582">
      <c r="A3582" s="1">
        <v>5.0</v>
      </c>
      <c r="B3582" s="1" t="s">
        <v>3571</v>
      </c>
      <c r="C3582" t="str">
        <f>IFERROR(__xludf.DUMMYFUNCTION("GOOGLETRANSLATE(B3582, ""zh"", ""en"")"),"Hope to have the effect of pelvic girdle torn down, there is no use, just given birth to the baby, but good quality")</f>
        <v>Hope to have the effect of pelvic girdle torn down, there is no use, just given birth to the baby, but good quality</v>
      </c>
    </row>
    <row r="3583">
      <c r="A3583" s="1">
        <v>5.0</v>
      </c>
      <c r="B3583" s="1" t="s">
        <v>3572</v>
      </c>
      <c r="C3583" t="str">
        <f>IFERROR(__xludf.DUMMYFUNCTION("GOOGLETRANSLATE(B3583, ""zh"", ""en"")"),"Into overseas shopping can not extricate themselves feel a little a little bit, everything else is good, beautiful prices")</f>
        <v>Into overseas shopping can not extricate themselves feel a little a little bit, everything else is good, beautiful prices</v>
      </c>
    </row>
    <row r="3584">
      <c r="A3584" s="1">
        <v>5.0</v>
      </c>
      <c r="B3584" s="1" t="s">
        <v>3573</v>
      </c>
      <c r="C3584" t="str">
        <f>IFERROR(__xludf.DUMMYFUNCTION("GOOGLETRANSLATE(B3584, ""zh"", ""en"")"),"Quality heart stopper pen is not too say, but carefully looked at, and buy a set of two 24-color set of 48 color portrait, I found that there are 15 pens are repeated, it was expensive! Heart stopper ...")</f>
        <v>Quality heart stopper pen is not too say, but carefully looked at, and buy a set of two 24-color set of 48 color portrait, I found that there are 15 pens are repeated, it was expensive! Heart stopper ...</v>
      </c>
    </row>
    <row r="3585">
      <c r="A3585" s="1">
        <v>5.0</v>
      </c>
      <c r="B3585" s="1" t="s">
        <v>3574</v>
      </c>
      <c r="C3585" t="str">
        <f>IFERROR(__xludf.DUMMYFUNCTION("GOOGLETRANSLATE(B3585, ""zh"", ""en"")"),"Very good, too fast decline in value is very good, comfortable, good-looking, that is the end of it too slippery. In addition, the price is down too fast")</f>
        <v>Very good, too fast decline in value is very good, comfortable, good-looking, that is the end of it too slippery. In addition, the price is down too fast</v>
      </c>
    </row>
    <row r="3586">
      <c r="A3586" s="1">
        <v>5.0</v>
      </c>
      <c r="B3586" s="1" t="s">
        <v>3575</v>
      </c>
      <c r="C3586" t="str">
        <f>IFERROR(__xludf.DUMMYFUNCTION("GOOGLETRANSLATE(B3586, ""zh"", ""en"")"),"Cost-effective, good sound and comfortable headphone hand is the 2011 version of the breeze, the headphones sound surprisingly good. Arrived in hand, headphones first sound boring very dry, people want to throw up; let it play for 48 hours, the headphones"&amp;" sound became open, the sound is very comfortable, I do not what that resolution analysis, a lot of Daniel have been written about a lot of things, and now with the headset is more comfortable, sound appealing and rendering power on the line. High cost, I"&amp;" suppose I bought on Amazon a very cost-effective headset.")</f>
        <v>Cost-effective, good sound and comfortable headphone hand is the 2011 version of the breeze, the headphones sound surprisingly good. Arrived in hand, headphones first sound boring very dry, people want to throw up; let it play for 48 hours, the headphones sound became open, the sound is very comfortable, I do not what that resolution analysis, a lot of Daniel have been written about a lot of things, and now with the headset is more comfortable, sound appealing and rendering power on the line. High cost, I suppose I bought on Amazon a very cost-effective headset.</v>
      </c>
    </row>
    <row r="3587">
      <c r="A3587" s="1">
        <v>5.0</v>
      </c>
      <c r="B3587" s="1" t="s">
        <v>3576</v>
      </c>
      <c r="C3587" t="str">
        <f>IFERROR(__xludf.DUMMYFUNCTION("GOOGLETRANSLATE(B3587, ""zh"", ""en"")"),"Too large one yard I 178cm, weight 93kg, buy the xl just right.")</f>
        <v>Too large one yard I 178cm, weight 93kg, buy the xl just right.</v>
      </c>
    </row>
    <row r="3588">
      <c r="A3588" s="1">
        <v>5.0</v>
      </c>
      <c r="B3588" s="1" t="s">
        <v>3577</v>
      </c>
      <c r="C3588" t="str">
        <f>IFERROR(__xludf.DUMMYFUNCTION("GOOGLETRANSLATE(B3588, ""zh"", ""en"")"),"Color and texture are good fly pretty fly, is the pressure instep. But these days to wear off no longer pressed, tears Yeah, it is with their feet to support large. Like, a preparation into the same color of Chelsea.")</f>
        <v>Color and texture are good fly pretty fly, is the pressure instep. But these days to wear off no longer pressed, tears Yeah, it is with their feet to support large. Like, a preparation into the same color of Chelsea.</v>
      </c>
    </row>
    <row r="3589">
      <c r="A3589" s="1">
        <v>5.0</v>
      </c>
      <c r="B3589" s="1" t="s">
        <v>3578</v>
      </c>
      <c r="C3589" t="str">
        <f>IFERROR(__xludf.DUMMYFUNCTION("GOOGLETRANSLATE(B3589, ""zh"", ""en"")"),"High-end atmosphere on the grade for the first time to buy an expensive razor, before it bought about 300, used two Philips head, I feel pretty good, do not know how this can be improved, I have not used, over email looking at the object are intact, the p"&amp;"ower base of the phone with the shaver general, firmly inserted into the herd.")</f>
        <v>High-end atmosphere on the grade for the first time to buy an expensive razor, before it bought about 300, used two Philips head, I feel pretty good, do not know how this can be improved, I have not used, over email looking at the object are intact, the power base of the phone with the shaver general, firmly inserted into the herd.</v>
      </c>
    </row>
    <row r="3590">
      <c r="A3590" s="1">
        <v>5.0</v>
      </c>
      <c r="B3590" s="1" t="s">
        <v>3579</v>
      </c>
      <c r="C3590" t="str">
        <f>IFERROR(__xludf.DUMMYFUNCTION("GOOGLETRANSLATE(B3590, ""zh"", ""en"")"),"Cost-effective likes to wear straight jeans, belts just, long trousers. One week of arrival. Height 180, weight 90")</f>
        <v>Cost-effective likes to wear straight jeans, belts just, long trousers. One week of arrival. Height 180, weight 90</v>
      </c>
    </row>
    <row r="3591">
      <c r="A3591" s="1">
        <v>5.0</v>
      </c>
      <c r="B3591" s="1" t="s">
        <v>3580</v>
      </c>
      <c r="C3591" t="str">
        <f>IFERROR(__xludf.DUMMYFUNCTION("GOOGLETRANSLATE(B3591, ""zh"", ""en"")"),"Size is very fond of, and, like conventional size, usually Clark12 code, this is 12 yards, No. 46")</f>
        <v>Size is very fond of, and, like conventional size, usually Clark12 code, this is 12 yards, No. 46</v>
      </c>
    </row>
    <row r="3592">
      <c r="A3592" s="1">
        <v>5.0</v>
      </c>
      <c r="B3592" s="1" t="s">
        <v>3581</v>
      </c>
      <c r="C3592" t="str">
        <f>IFERROR(__xludf.DUMMYFUNCTION("GOOGLETRANSLATE(B3592, ""zh"", ""en"")"),"Genuine direct mail to China is very convenient.")</f>
        <v>Genuine direct mail to China is very convenient.</v>
      </c>
    </row>
    <row r="3593">
      <c r="A3593" s="1">
        <v>5.0</v>
      </c>
      <c r="B3593" s="1" t="s">
        <v>3582</v>
      </c>
      <c r="C3593" t="str">
        <f>IFERROR(__xludf.DUMMYFUNCTION("GOOGLETRANSLATE(B3593, ""zh"", ""en"")"),"Suitable not use, but I heard a good, beautiful price when purchased.")</f>
        <v>Suitable not use, but I heard a good, beautiful price when purchased.</v>
      </c>
    </row>
    <row r="3594">
      <c r="A3594" s="1">
        <v>5.0</v>
      </c>
      <c r="B3594" s="1" t="s">
        <v>3583</v>
      </c>
      <c r="C3594" t="str">
        <f>IFERROR(__xludf.DUMMYFUNCTION("GOOGLETRANSLATE(B3594, ""zh"", ""en"")"),"Super satisfied. Cup quality is very good, lightweight, good texture material, Vietnam production.")</f>
        <v>Super satisfied. Cup quality is very good, lightweight, good texture material, Vietnam production.</v>
      </c>
    </row>
    <row r="3595">
      <c r="A3595" s="1">
        <v>5.0</v>
      </c>
      <c r="B3595" s="1" t="s">
        <v>3584</v>
      </c>
      <c r="C3595" t="str">
        <f>IFERROR(__xludf.DUMMYFUNCTION("GOOGLETRANSLATE(B3595, ""zh"", ""en"")"),"Champion the price is right, good quality.")</f>
        <v>Champion the price is right, good quality.</v>
      </c>
    </row>
    <row r="3596">
      <c r="A3596" s="1">
        <v>5.0</v>
      </c>
      <c r="B3596" s="1" t="s">
        <v>3585</v>
      </c>
      <c r="C3596" t="str">
        <f>IFERROR(__xludf.DUMMYFUNCTION("GOOGLETRANSLATE(B3596, ""zh"", ""en"")"),"Friends liked the first overseas Amazon purchase, I feel good.")</f>
        <v>Friends liked the first overseas Amazon purchase, I feel good.</v>
      </c>
    </row>
    <row r="3597">
      <c r="A3597" s="1">
        <v>5.0</v>
      </c>
      <c r="B3597" s="1" t="s">
        <v>3586</v>
      </c>
      <c r="C3597" t="str">
        <f>IFERROR(__xludf.DUMMYFUNCTION("GOOGLETRANSLATE(B3597, ""zh"", ""en"")"),"Value! Premium leather beautiful! The width of the body a little rough for boys.")</f>
        <v>Value! Premium leather beautiful! The width of the body a little rough for boys.</v>
      </c>
    </row>
    <row r="3598">
      <c r="A3598" s="1">
        <v>2.0</v>
      </c>
      <c r="B3598" s="1" t="s">
        <v>3587</v>
      </c>
      <c r="C3598" t="str">
        <f>IFERROR(__xludf.DUMMYFUNCTION("GOOGLETRANSLATE(B3598, ""zh"", ""en"")"),"(Gunze) Gunze CFA (Sifa [fresh] cotton long-sleeved pink underwear made in Japan M clothes too thin, not good, not cotton feel.")</f>
        <v>(Gunze) Gunze CFA (Sifa [fresh] cotton long-sleeved pink underwear made in Japan M clothes too thin, not good, not cotton feel.</v>
      </c>
    </row>
    <row r="3599">
      <c r="A3599" s="1">
        <v>3.0</v>
      </c>
      <c r="B3599" s="1" t="s">
        <v>3588</v>
      </c>
      <c r="C3599" t="str">
        <f>IFERROR(__xludf.DUMMYFUNCTION("GOOGLETRANSLATE(B3599, ""zh"", ""en"")"),"Thin, no significant fat, like the old Xiatian Gang for spring or heat, the color is very old.")</f>
        <v>Thin, no significant fat, like the old Xiatian Gang for spring or heat, the color is very old.</v>
      </c>
    </row>
    <row r="3600">
      <c r="A3600" s="1">
        <v>3.0</v>
      </c>
      <c r="B3600" s="1" t="s">
        <v>3589</v>
      </c>
      <c r="C3600" t="str">
        <f>IFERROR(__xludf.DUMMYFUNCTION("GOOGLETRANSLATE(B3600, ""zh"", ""en"")"),"The table can be fairly routine work in general, especially the strap do not feel very good, very loose. The overall look and feel it 7-8 hundred Yuan grade. General price")</f>
        <v>The table can be fairly routine work in general, especially the strap do not feel very good, very loose. The overall look and feel it 7-8 hundred Yuan grade. General price</v>
      </c>
    </row>
    <row r="3601">
      <c r="A3601" s="1">
        <v>1.0</v>
      </c>
      <c r="B3601" s="1" t="s">
        <v>3590</v>
      </c>
      <c r="C3601" t="str">
        <f>IFERROR(__xludf.DUMMYFUNCTION("GOOGLETRANSLATE(B3601, ""zh"", ""en"")"),"Not charging cup red cup red power-charging Why not power up? They can charge 12 hours once!")</f>
        <v>Not charging cup red cup red power-charging Why not power up? They can charge 12 hours once!</v>
      </c>
    </row>
    <row r="3602">
      <c r="A3602" s="1">
        <v>1.0</v>
      </c>
      <c r="B3602" s="1" t="s">
        <v>3591</v>
      </c>
      <c r="C3602" t="str">
        <f>IFERROR(__xludf.DUMMYFUNCTION("GOOGLETRANSLATE(B3602, ""zh"", ""en"")"),"Too much, too much style in general, to buy 37, I feel like 39, like wearing boots ...... refund is not easy, only Renzai")</f>
        <v>Too much, too much style in general, to buy 37, I feel like 39, like wearing boots ...... refund is not easy, only Renzai</v>
      </c>
    </row>
    <row r="3603">
      <c r="A3603" s="1">
        <v>1.0</v>
      </c>
      <c r="B3603" s="1" t="s">
        <v>3592</v>
      </c>
      <c r="C3603" t="str">
        <f>IFERROR(__xludf.DUMMYFUNCTION("GOOGLETRANSLATE(B3603, ""zh"", ""en"")"),"Item one is a 9917 color inconsistency is just another 9914, clear color, has applied for return.")</f>
        <v>Item one is a 9917 color inconsistency is just another 9914, clear color, has applied for return.</v>
      </c>
    </row>
    <row r="3604">
      <c r="A3604" s="1">
        <v>4.0</v>
      </c>
      <c r="B3604" s="1" t="s">
        <v>3593</v>
      </c>
      <c r="C3604" t="str">
        <f>IFERROR(__xludf.DUMMYFUNCTION("GOOGLETRANSLATE(B3604, ""zh"", ""en"")"),"A handle too short and tiny mini ~ operation handle is not suitable for short")</f>
        <v>A handle too short and tiny mini ~ operation handle is not suitable for short</v>
      </c>
    </row>
    <row r="3605">
      <c r="A3605" s="1">
        <v>4.0</v>
      </c>
      <c r="B3605" s="1" t="s">
        <v>3594</v>
      </c>
      <c r="C3605" t="str">
        <f>IFERROR(__xludf.DUMMYFUNCTION("GOOGLETRANSLATE(B3605, ""zh"", ""en"")"),"41 shoes the results of this wear usually slightly 7.5UK freshman code, returned trouble, make do")</f>
        <v>41 shoes the results of this wear usually slightly 7.5UK freshman code, returned trouble, make do</v>
      </c>
    </row>
    <row r="3606">
      <c r="A3606" s="1">
        <v>4.0</v>
      </c>
      <c r="B3606" s="1" t="s">
        <v>3595</v>
      </c>
      <c r="C3606" t="str">
        <f>IFERROR(__xludf.DUMMYFUNCTION("GOOGLETRANSLATE(B3606, ""zh"", ""en"")"),"And general wholesale market lacks distinction hundred dollars")</f>
        <v>And general wholesale market lacks distinction hundred dollars</v>
      </c>
    </row>
    <row r="3607">
      <c r="A3607" s="1">
        <v>4.0</v>
      </c>
      <c r="B3607" s="1" t="s">
        <v>3596</v>
      </c>
      <c r="C3607" t="str">
        <f>IFERROR(__xludf.DUMMYFUNCTION("GOOGLETRANSLATE(B3607, ""zh"", ""en"")"),"The right size is pretty good, a little oxford meaning.")</f>
        <v>The right size is pretty good, a little oxford meaning.</v>
      </c>
    </row>
    <row r="3608">
      <c r="A3608" s="1">
        <v>4.0</v>
      </c>
      <c r="B3608" s="1" t="s">
        <v>3597</v>
      </c>
      <c r="C3608" t="str">
        <f>IFERROR(__xludf.DUMMYFUNCTION("GOOGLETRANSLATE(B3608, ""zh"", ""en"")"),"Too large too large overall good feeling good")</f>
        <v>Too large too large overall good feeling good</v>
      </c>
    </row>
    <row r="3609">
      <c r="A3609" s="1">
        <v>5.0</v>
      </c>
      <c r="B3609" s="1" t="s">
        <v>3598</v>
      </c>
      <c r="C3609" t="str">
        <f>IFERROR(__xludf.DUMMYFUNCTION("GOOGLETRANSLATE(B3609, ""zh"", ""en"")"),"Panties and a good quality basic models of domestic counter the same, thin fabric strong, AIU price conscience, it is worth buying")</f>
        <v>Panties and a good quality basic models of domestic counter the same, thin fabric strong, AIU price conscience, it is worth buying</v>
      </c>
    </row>
    <row r="3610">
      <c r="A3610" s="1">
        <v>5.0</v>
      </c>
      <c r="B3610" s="1" t="s">
        <v>3599</v>
      </c>
      <c r="C3610" t="str">
        <f>IFERROR(__xludf.DUMMYFUNCTION("GOOGLETRANSLATE(B3610, ""zh"", ""en"")"),"Good very good use, go out with too convenient")</f>
        <v>Good very good use, go out with too convenient</v>
      </c>
    </row>
    <row r="3611">
      <c r="A3611" s="1">
        <v>5.0</v>
      </c>
      <c r="B3611" s="1" t="s">
        <v>3600</v>
      </c>
      <c r="C3611" t="str">
        <f>IFERROR(__xludf.DUMMYFUNCTION("GOOGLETRANSLATE(B3611, ""zh"", ""en"")"),"Good with no smell nice! No odor necessary food supplement")</f>
        <v>Good with no smell nice! No odor necessary food supplement</v>
      </c>
    </row>
    <row r="3612">
      <c r="A3612" s="1">
        <v>5.0</v>
      </c>
      <c r="B3612" s="1" t="s">
        <v>3601</v>
      </c>
      <c r="C3612" t="str">
        <f>IFERROR(__xludf.DUMMYFUNCTION("GOOGLETRANSLATE(B3612, ""zh"", ""en"")"),"Very comfortable and refined. Japanese underwear indeed unique. Very comfortable, no feeling.")</f>
        <v>Very comfortable and refined. Japanese underwear indeed unique. Very comfortable, no feeling.</v>
      </c>
    </row>
    <row r="3613">
      <c r="A3613" s="1">
        <v>5.0</v>
      </c>
      <c r="B3613" s="1" t="s">
        <v>3602</v>
      </c>
      <c r="C3613" t="str">
        <f>IFERROR(__xludf.DUMMYFUNCTION("GOOGLETRANSLATE(B3613, ""zh"", ""en"")"),"Kettle like, it is a little expensive")</f>
        <v>Kettle like, it is a little expensive</v>
      </c>
    </row>
    <row r="3614">
      <c r="A3614" s="1">
        <v>5.0</v>
      </c>
      <c r="B3614" s="1" t="s">
        <v>3603</v>
      </c>
      <c r="C3614" t="str">
        <f>IFERROR(__xludf.DUMMYFUNCTION("GOOGLETRANSLATE(B3614, ""zh"", ""en"")"),"Orthodox style jacket, it is suitable!")</f>
        <v>Orthodox style jacket, it is suitable!</v>
      </c>
    </row>
    <row r="3615">
      <c r="A3615" s="1">
        <v>5.0</v>
      </c>
      <c r="B3615" s="1" t="s">
        <v>3604</v>
      </c>
      <c r="C3615" t="str">
        <f>IFERROR(__xludf.DUMMYFUNCTION("GOOGLETRANSLATE(B3615, ""zh"", ""en"")"),"Amazon's customer experience is first-class for the first time in the Amazon Chinese overseas purchase, super good experience. First of all, the goods are genuine. My wife has a pair of female couple models domestic version of the counter to buy spent 210"&amp;"0 yuan. Contrast a bit, my twin is absolutely genuine, but the price is less than half. Comfortable shoes on the feet cry. Amazon import goods purchased overseas quality is no problem. Secondly, the quality of service Amazon always good. This pair of shoe"&amp;"s, because I wanted to receive the goods as soon as possible, choose the courier express service and expedited payment of the fee, but found a query courier delivery time schedule is not in accordance with the expedited process. Then call the customer ser"&amp;"vice, the customer may be their understanding of the situation indicate operational errors, then refund the full freight over one hundred yuan as compensation. Such customer experience is absolutely first class. I was reminded last year to buy some items "&amp;"in the East, because they do not like to return even after being received by 8 per courier. The return on the Amazon never charge any additional fees. That is why I always supported the cause of the Amazon.")</f>
        <v>Amazon's customer experience is first-class for the first time in the Amazon Chinese overseas purchase, super good experience. First of all, the goods are genuine. My wife has a pair of female couple models domestic version of the counter to buy spent 2100 yuan. Contrast a bit, my twin is absolutely genuine, but the price is less than half. Comfortable shoes on the feet cry. Amazon import goods purchased overseas quality is no problem. Secondly, the quality of service Amazon always good. This pair of shoes, because I wanted to receive the goods as soon as possible, choose the courier express service and expedited payment of the fee, but found a query courier delivery time schedule is not in accordance with the expedited process. Then call the customer service, the customer may be their understanding of the situation indicate operational errors, then refund the full freight over one hundred yuan as compensation. Such customer experience is absolutely first class. I was reminded last year to buy some items in the East, because they do not like to return even after being received by 8 per courier. The return on the Amazon never charge any additional fees. That is why I always supported the cause of the Amazon.</v>
      </c>
    </row>
    <row r="3616">
      <c r="A3616" s="1">
        <v>5.0</v>
      </c>
      <c r="B3616" s="1" t="s">
        <v>3605</v>
      </c>
      <c r="C3616" t="str">
        <f>IFERROR(__xludf.DUMMYFUNCTION("GOOGLETRANSLATE(B3616, ""zh"", ""en"")"),"Like very comfortable, plus a cold spring and autumn, the color is slightly different than the picture,")</f>
        <v>Like very comfortable, plus a cold spring and autumn, the color is slightly different than the picture,</v>
      </c>
    </row>
    <row r="3617">
      <c r="A3617" s="1">
        <v>5.0</v>
      </c>
      <c r="B3617" s="1" t="s">
        <v>3606</v>
      </c>
      <c r="C3617" t="str">
        <f>IFERROR(__xludf.DUMMYFUNCTION("GOOGLETRANSLATE(B3617, ""zh"", ""en"")"),"At my pants leg a little smaller but no serious problem")</f>
        <v>At my pants leg a little smaller but no serious problem</v>
      </c>
    </row>
    <row r="3618">
      <c r="A3618" s="1">
        <v>5.0</v>
      </c>
      <c r="B3618" s="1" t="s">
        <v>3607</v>
      </c>
      <c r="C3618" t="str">
        <f>IFERROR(__xludf.DUMMYFUNCTION("GOOGLETRANSLATE(B3618, ""zh"", ""en"")"),"Cheap leather strap, dark blue dial looks good, less one day to go before the United States to buy a needle than sound sleep at night next to put it acceptable, although usually with both hands ring, and occasionally there is a need or a good band")</f>
        <v>Cheap leather strap, dark blue dial looks good, less one day to go before the United States to buy a needle than sound sleep at night next to put it acceptable, although usually with both hands ring, and occasionally there is a need or a good band</v>
      </c>
    </row>
    <row r="3619">
      <c r="A3619" s="1">
        <v>5.0</v>
      </c>
      <c r="B3619" s="1" t="s">
        <v>3608</v>
      </c>
      <c r="C3619" t="str">
        <f>IFERROR(__xludf.DUMMYFUNCTION("GOOGLETRANSLATE(B3619, ""zh"", ""en"")"),"Well much faster than expected we received, good quality, boil it twice fried steak, non-stick pan, a single hand is not moving, very weighty. Cooker can also be used.")</f>
        <v>Well much faster than expected we received, good quality, boil it twice fried steak, non-stick pan, a single hand is not moving, very weighty. Cooker can also be used.</v>
      </c>
    </row>
    <row r="3620">
      <c r="A3620" s="1">
        <v>5.0</v>
      </c>
      <c r="B3620" s="1" t="s">
        <v>3609</v>
      </c>
      <c r="C3620" t="str">
        <f>IFERROR(__xludf.DUMMYFUNCTION("GOOGLETRANSLATE(B3620, ""zh"", ""en"")"),"Very good thermal insulation glass, insulation in more than 12 hours, has been very good.")</f>
        <v>Very good thermal insulation glass, insulation in more than 12 hours, has been very good.</v>
      </c>
    </row>
    <row r="3621">
      <c r="A3621" s="1">
        <v>5.0</v>
      </c>
      <c r="B3621" s="1" t="s">
        <v>3610</v>
      </c>
      <c r="C3621" t="str">
        <f>IFERROR(__xludf.DUMMYFUNCTION("GOOGLETRANSLATE(B3621, ""zh"", ""en"")"),"Fashionable large size, but the unexpected is very nice to wear 😘 want to feel like the first time authentic shopping pleasant transaction is no doubt in the Amazon")</f>
        <v>Fashionable large size, but the unexpected is very nice to wear 😘 want to feel like the first time authentic shopping pleasant transaction is no doubt in the Amazon</v>
      </c>
    </row>
    <row r="3622">
      <c r="A3622" s="1">
        <v>5.0</v>
      </c>
      <c r="B3622" s="1" t="s">
        <v>3611</v>
      </c>
      <c r="C3622" t="str">
        <f>IFERROR(__xludf.DUMMYFUNCTION("GOOGLETRANSLATE(B3622, ""zh"", ""en"")"),"Just received, genuine just received the goods, and other finished to see the effect of it")</f>
        <v>Just received, genuine just received the goods, and other finished to see the effect of it</v>
      </c>
    </row>
    <row r="3623">
      <c r="A3623" s="1">
        <v>5.0</v>
      </c>
      <c r="B3623" s="1" t="s">
        <v>3612</v>
      </c>
      <c r="C3623" t="str">
        <f>IFERROR(__xludf.DUMMYFUNCTION("GOOGLETRANSLATE(B3623, ""zh"", ""en"")"),"Things have not received, things have not received a refund, a refund ...... well, not from the previous evaluation, I do not know how many wasted points, points can change money now know, they should look carefully evaluated, then I put this then copy to"&amp;" go, both to earn points, but also the easy way, where are copying where, most importantly, do not seriously review, do not think how much worse word, made directly on it")</f>
        <v>Things have not received, things have not received a refund, a refund ...... well, not from the previous evaluation, I do not know how many wasted points, points can change money now know, they should look carefully evaluated, then I put this then copy to go, both to earn points, but also the easy way, where are copying where, most importantly, do not seriously review, do not think how much worse word, made directly on it</v>
      </c>
    </row>
    <row r="3624">
      <c r="A3624" s="1">
        <v>5.0</v>
      </c>
      <c r="B3624" s="1" t="s">
        <v>3613</v>
      </c>
      <c r="C3624" t="str">
        <f>IFERROR(__xludf.DUMMYFUNCTION("GOOGLETRANSLATE(B3624, ""zh"", ""en"")"),"Very good high color value, power is adequate, with two weeks also without charge, much stronger than oral B, in addition to this new version of")</f>
        <v>Very good high color value, power is adequate, with two weeks also without charge, much stronger than oral B, in addition to this new version of</v>
      </c>
    </row>
    <row r="3625">
      <c r="A3625" s="1">
        <v>5.0</v>
      </c>
      <c r="B3625" s="1" t="s">
        <v>3614</v>
      </c>
      <c r="C3625" t="str">
        <f>IFERROR(__xludf.DUMMYFUNCTION("GOOGLETRANSLATE(B3625, ""zh"", ""en"")"),"Look great with a minute of time to adjust and put the date and time, not just out walking, almost in contact while on the light source turned, walking time is still two seconds, see the previous comment, or because of lack of electricity, right, overall "&amp;"still enjoyed it, trained, trained, trained,")</f>
        <v>Look great with a minute of time to adjust and put the date and time, not just out walking, almost in contact while on the light source turned, walking time is still two seconds, see the previous comment, or because of lack of electricity, right, overall still enjoyed it, trained, trained, trained,</v>
      </c>
    </row>
    <row r="3626">
      <c r="A3626" s="1">
        <v>5.0</v>
      </c>
      <c r="B3626" s="1" t="s">
        <v>3615</v>
      </c>
      <c r="C3626" t="str">
        <f>IFERROR(__xludf.DUMMYFUNCTION("GOOGLETRANSLATE(B3626, ""zh"", ""en"")"),"It can also suction can also be a lot cheaper than the domestic price of a good bright colors")</f>
        <v>It can also suction can also be a lot cheaper than the domestic price of a good bright colors</v>
      </c>
    </row>
    <row r="3627">
      <c r="A3627" s="1">
        <v>5.0</v>
      </c>
      <c r="B3627" s="1" t="s">
        <v>3616</v>
      </c>
      <c r="C3627" t="str">
        <f>IFERROR(__xludf.DUMMYFUNCTION("GOOGLETRANSLATE(B3627, ""zh"", ""en"")"),"Size just the right size, look just fine. , The female adults enjoyed it")</f>
        <v>Size just the right size, look just fine. , The female adults enjoyed it</v>
      </c>
    </row>
    <row r="3628">
      <c r="A3628" s="1">
        <v>5.0</v>
      </c>
      <c r="B3628" s="1" t="s">
        <v>3617</v>
      </c>
      <c r="C3628" t="str">
        <f>IFERROR(__xludf.DUMMYFUNCTION("GOOGLETRANSLATE(B3628, ""zh"", ""en"")"),"Well that is a little uncomfortable when wearing white clothes through")</f>
        <v>Well that is a little uncomfortable when wearing white clothes through</v>
      </c>
    </row>
    <row r="3629">
      <c r="A3629" s="1">
        <v>5.0</v>
      </c>
      <c r="B3629" s="1" t="s">
        <v>3618</v>
      </c>
      <c r="C3629" t="str">
        <f>IFERROR(__xludf.DUMMYFUNCTION("GOOGLETRANSLATE(B3629, ""zh"", ""en"")"),"Shoe size recommendations usually wear Nike, Adidas are 255, 245 through the appropriate")</f>
        <v>Shoe size recommendations usually wear Nike, Adidas are 255, 245 through the appropriate</v>
      </c>
    </row>
    <row r="3630">
      <c r="A3630" s="1">
        <v>5.0</v>
      </c>
      <c r="B3630" s="1" t="s">
        <v>3619</v>
      </c>
      <c r="C3630" t="str">
        <f>IFERROR(__xludf.DUMMYFUNCTION("GOOGLETRANSLATE(B3630, ""zh"", ""en"")"),"M improvise wear shoes, sports shoes usually about 40.5 yards, 8W size suitable length, only slightly squeeze the forefoot, the size can also be worn for a long time. The logistics is also good, seventy-eight days went to Guangzhou, and then three days ha"&amp;"nd. Downside though is waterproof shoes, but rain wear easy to throw mud heel and calf, is really easy, which was a bit embarrassing. Wearing more than a month uppers feeling is not very Naicao, but did not argue any problems arise. Overall quite satisfac"&amp;"tory evaluation it is estimated that no cat Naicao.")</f>
        <v>M improvise wear shoes, sports shoes usually about 40.5 yards, 8W size suitable length, only slightly squeeze the forefoot, the size can also be worn for a long time. The logistics is also good, seventy-eight days went to Guangzhou, and then three days hand. Downside though is waterproof shoes, but rain wear easy to throw mud heel and calf, is really easy, which was a bit embarrassing. Wearing more than a month uppers feeling is not very Naicao, but did not argue any problems arise. Overall quite satisfactory evaluation it is estimated that no cat Naicao.</v>
      </c>
    </row>
    <row r="3631">
      <c r="A3631" s="1">
        <v>2.0</v>
      </c>
      <c r="B3631" s="1" t="s">
        <v>3620</v>
      </c>
      <c r="C3631" t="str">
        <f>IFERROR(__xludf.DUMMYFUNCTION("GOOGLETRANSLATE(B3631, ""zh"", ""en"")"),"Poor appearance not smooth, defect, simple packaging")</f>
        <v>Poor appearance not smooth, defect, simple packaging</v>
      </c>
    </row>
    <row r="3632">
      <c r="A3632" s="1">
        <v>3.0</v>
      </c>
      <c r="B3632" s="1" t="s">
        <v>3621</v>
      </c>
      <c r="C3632" t="str">
        <f>IFERROR(__xludf.DUMMYFUNCTION("GOOGLETRANSLATE(B3632, ""zh"", ""en"")"),"Size is not good grasp ah 175cm, 90kg, M number, small. L should be appropriate, it has retired. And the return is very troublesome, overseas purchase or forget it, I would not buy")</f>
        <v>Size is not good grasp ah 175cm, 90kg, M number, small. L should be appropriate, it has retired. And the return is very troublesome, overseas purchase or forget it, I would not buy</v>
      </c>
    </row>
    <row r="3633">
      <c r="A3633" s="1">
        <v>3.0</v>
      </c>
      <c r="B3633" s="1" t="s">
        <v>3622</v>
      </c>
      <c r="C3633" t="str">
        <f>IFERROR(__xludf.DUMMYFUNCTION("GOOGLETRANSLATE(B3633, ""zh"", ""en"")"),"Some upper foot wear. Shoe itself is relatively heavy, some at the upper foot wear. I do not know what the reason, these shoes did not even tag. Hot, wear quite cover their feet.")</f>
        <v>Some upper foot wear. Shoe itself is relatively heavy, some at the upper foot wear. I do not know what the reason, these shoes did not even tag. Hot, wear quite cover their feet.</v>
      </c>
    </row>
    <row r="3634">
      <c r="A3634" s="1">
        <v>3.0</v>
      </c>
      <c r="B3634" s="1" t="s">
        <v>3623</v>
      </c>
      <c r="C3634" t="str">
        <f>IFERROR(__xludf.DUMMYFUNCTION("GOOGLETRANSLATE(B3634, ""zh"", ""en"")"),"One size really big look before comments Some say big, I also bought one size larger than five, and feel as good as the work of five, but the material is still possible")</f>
        <v>One size really big look before comments Some say big, I also bought one size larger than five, and feel as good as the work of five, but the material is still possible</v>
      </c>
    </row>
    <row r="3635">
      <c r="A3635" s="1">
        <v>1.0</v>
      </c>
      <c r="B3635" s="1" t="s">
        <v>3624</v>
      </c>
      <c r="C3635" t="str">
        <f>IFERROR(__xludf.DUMMYFUNCTION("GOOGLETRANSLATE(B3635, ""zh"", ""en"")"),"Insulation watching so many bad comments insulation to buy, and spent a few days than I have hundreds of dollars short of insulation, water 12:00, and 4:00 is not hot")</f>
        <v>Insulation watching so many bad comments insulation to buy, and spent a few days than I have hundreds of dollars short of insulation, water 12:00, and 4:00 is not hot</v>
      </c>
    </row>
    <row r="3636">
      <c r="A3636" s="1">
        <v>1.0</v>
      </c>
      <c r="B3636" s="1" t="s">
        <v>3625</v>
      </c>
      <c r="C3636" t="str">
        <f>IFERROR(__xludf.DUMMYFUNCTION("GOOGLETRANSLATE(B3636, ""zh"", ""en"")"),"I do not know how to do cheated cheated spotted return")</f>
        <v>I do not know how to do cheated cheated spotted return</v>
      </c>
    </row>
    <row r="3637">
      <c r="A3637" s="1">
        <v>4.0</v>
      </c>
      <c r="B3637" s="1" t="s">
        <v>3626</v>
      </c>
      <c r="C3637" t="str">
        <f>IFERROR(__xludf.DUMMYFUNCTION("GOOGLETRANSLATE(B3637, ""zh"", ""en"")"),"Comfortable very comfortable, Ref 320, good bargain")</f>
        <v>Comfortable very comfortable, Ref 320, good bargain</v>
      </c>
    </row>
    <row r="3638">
      <c r="A3638" s="1">
        <v>4.0</v>
      </c>
      <c r="B3638" s="1" t="s">
        <v>3627</v>
      </c>
      <c r="C3638" t="str">
        <f>IFERROR(__xludf.DUMMYFUNCTION("GOOGLETRANSLATE(B3638, ""zh"", ""en"")"),"Simple simple portable decent, though a bit small, put A4 size documents properly properly.")</f>
        <v>Simple simple portable decent, though a bit small, put A4 size documents properly properly.</v>
      </c>
    </row>
    <row r="3639">
      <c r="A3639" s="1">
        <v>4.0</v>
      </c>
      <c r="B3639" s="1" t="s">
        <v>3628</v>
      </c>
      <c r="C3639" t="str">
        <f>IFERROR(__xludf.DUMMYFUNCTION("GOOGLETRANSLATE(B3639, ""zh"", ""en"")"),"Packaging did not seal it captured the No. 15, No. 20 is sent, rapidly. But express little brother called to say that Lynx Express, a bit ignorant ah. After get the goods easy to see that there was full of bills of lading, and Zhang Sesame waybill attache"&amp;"d to the top, Amazon shopping list before buying the goods did not. No seal packing seal, I do not know whether this itself. Open the product is generally looked at intact. Not use, I hope all is well, the black color is not bad. made in china")</f>
        <v>Packaging did not seal it captured the No. 15, No. 20 is sent, rapidly. But express little brother called to say that Lynx Express, a bit ignorant ah. After get the goods easy to see that there was full of bills of lading, and Zhang Sesame waybill attached to the top, Amazon shopping list before buying the goods did not. No seal packing seal, I do not know whether this itself. Open the product is generally looked at intact. Not use, I hope all is well, the black color is not bad. made in china</v>
      </c>
    </row>
    <row r="3640">
      <c r="A3640" s="1">
        <v>4.0</v>
      </c>
      <c r="B3640" s="1" t="s">
        <v>3629</v>
      </c>
      <c r="C3640" t="str">
        <f>IFERROR(__xludf.DUMMYFUNCTION("GOOGLETRANSLATE(B3640, ""zh"", ""en"")"),"Suitable This great, I 173, weight 140, large size suitable")</f>
        <v>Suitable This great, I 173, weight 140, large size suitable</v>
      </c>
    </row>
    <row r="3641">
      <c r="A3641" s="1">
        <v>4.0</v>
      </c>
      <c r="B3641" s="1" t="s">
        <v>3630</v>
      </c>
      <c r="C3641" t="str">
        <f>IFERROR(__xludf.DUMMYFUNCTION("GOOGLETRANSLATE(B3641, ""zh"", ""en"")"),"The right size, a little thin, height 168 weight 60kg S numbers just right to buy, but a little thin, not suitable for very cold when wearing the other clothes a little flaw, the front has a small hole, but too lazy to change, the price is quite satisfact"&amp;"ory.")</f>
        <v>The right size, a little thin, height 168 weight 60kg S numbers just right to buy, but a little thin, not suitable for very cold when wearing the other clothes a little flaw, the front has a small hole, but too lazy to change, the price is quite satisfactory.</v>
      </c>
    </row>
    <row r="3642">
      <c r="A3642" s="1">
        <v>5.0</v>
      </c>
      <c r="B3642" s="1" t="s">
        <v>3631</v>
      </c>
      <c r="C3642" t="str">
        <f>IFERROR(__xludf.DUMMYFUNCTION("GOOGLETRANSLATE(B3642, ""zh"", ""en"")"),"Suitable 172,72KG wear S code, suitable.")</f>
        <v>Suitable 172,72KG wear S code, suitable.</v>
      </c>
    </row>
    <row r="3643">
      <c r="A3643" s="1">
        <v>5.0</v>
      </c>
      <c r="B3643" s="1" t="s">
        <v>3632</v>
      </c>
      <c r="C3643" t="str">
        <f>IFERROR(__xludf.DUMMYFUNCTION("GOOGLETRANSLATE(B3643, ""zh"", ""en"")"),"This provides a convenient sticker monolayer zipper, adhesive labels may require the use of breast milk after storage class date easily recorded")</f>
        <v>This provides a convenient sticker monolayer zipper, adhesive labels may require the use of breast milk after storage class date easily recorded</v>
      </c>
    </row>
    <row r="3644">
      <c r="A3644" s="1">
        <v>5.0</v>
      </c>
      <c r="B3644" s="1" t="s">
        <v>3633</v>
      </c>
      <c r="C3644" t="str">
        <f>IFERROR(__xludf.DUMMYFUNCTION("GOOGLETRANSLATE(B3644, ""zh"", ""en"")"),"It can be cost-effective, cost-effective price")</f>
        <v>It can be cost-effective, cost-effective price</v>
      </c>
    </row>
    <row r="3645">
      <c r="A3645" s="1">
        <v>5.0</v>
      </c>
      <c r="B3645" s="1" t="s">
        <v>3634</v>
      </c>
      <c r="C3645" t="str">
        <f>IFERROR(__xludf.DUMMYFUNCTION("GOOGLETRANSLATE(B3645, ""zh"", ""en"")"),"Has been successfully transferred to the mainland product is very good quality, low noise, extended warranty and has applied for transfer to mainland China warranty. Also give a one and a half months warranty, good service!")</f>
        <v>Has been successfully transferred to the mainland product is very good quality, low noise, extended warranty and has applied for transfer to mainland China warranty. Also give a one and a half months warranty, good service!</v>
      </c>
    </row>
    <row r="3646">
      <c r="A3646" s="1">
        <v>5.0</v>
      </c>
      <c r="B3646" s="1" t="s">
        <v>3635</v>
      </c>
      <c r="C3646" t="str">
        <f>IFERROR(__xludf.DUMMYFUNCTION("GOOGLETRANSLATE(B3646, ""zh"", ""en"")"),"Wide head wide head, but did not feel particularly clean brush.")</f>
        <v>Wide head wide head, but did not feel particularly clean brush.</v>
      </c>
    </row>
    <row r="3647">
      <c r="A3647" s="1">
        <v>5.0</v>
      </c>
      <c r="B3647" s="1" t="s">
        <v>3636</v>
      </c>
      <c r="C3647" t="str">
        <f>IFERROR(__xludf.DUMMYFUNCTION("GOOGLETRANSLATE(B3647, ""zh"", ""en"")"),"Personally I feel that the bottle is genuine good use, feel good, with South Korea to buy the same!")</f>
        <v>Personally I feel that the bottle is genuine good use, feel good, with South Korea to buy the same!</v>
      </c>
    </row>
    <row r="3648">
      <c r="A3648" s="1">
        <v>5.0</v>
      </c>
      <c r="B3648" s="1" t="s">
        <v>3637</v>
      </c>
      <c r="C3648" t="str">
        <f>IFERROR(__xludf.DUMMYFUNCTION("GOOGLETRANSLATE(B3648, ""zh"", ""en"")"),"Very easy to use, very light. The insulation effect is also super good.")</f>
        <v>Very easy to use, very light. The insulation effect is also super good.</v>
      </c>
    </row>
    <row r="3649">
      <c r="A3649" s="1">
        <v>5.0</v>
      </c>
      <c r="B3649" s="1" t="s">
        <v>3638</v>
      </c>
      <c r="C3649" t="str">
        <f>IFERROR(__xludf.DUMMYFUNCTION("GOOGLETRANSLATE(B3649, ""zh"", ""en"")"),"A voice shaking cups bought two, green this time there will be shaking voice, that there is no red")</f>
        <v>A voice shaking cups bought two, green this time there will be shaking voice, that there is no red</v>
      </c>
    </row>
    <row r="3650">
      <c r="A3650" s="1">
        <v>5.0</v>
      </c>
      <c r="B3650" s="1" t="s">
        <v>3639</v>
      </c>
      <c r="C3650" t="str">
        <f>IFERROR(__xludf.DUMMYFUNCTION("GOOGLETRANSLATE(B3650, ""zh"", ""en"")"),"Good stuff looks good high color value. The problem is relatively thick, it is difficult to wear off")</f>
        <v>Good stuff looks good high color value. The problem is relatively thick, it is difficult to wear off</v>
      </c>
    </row>
    <row r="3651">
      <c r="A3651" s="1">
        <v>5.0</v>
      </c>
      <c r="B3651" s="1" t="s">
        <v>3640</v>
      </c>
      <c r="C3651" t="str">
        <f>IFERROR(__xludf.DUMMYFUNCTION("GOOGLETRANSLATE(B3651, ""zh"", ""en"")"),"Comfort is good, very comfortable to wear")</f>
        <v>Comfort is good, very comfortable to wear</v>
      </c>
    </row>
    <row r="3652">
      <c r="A3652" s="1">
        <v>5.0</v>
      </c>
      <c r="B3652" s="1" t="s">
        <v>3641</v>
      </c>
      <c r="C3652" t="str">
        <f>IFERROR(__xludf.DUMMYFUNCTION("GOOGLETRANSLATE(B3652, ""zh"", ""en"")"),"Bottle good bottle good, fast delivery, the seller service is also very good, it is strongly recommended to buy!")</f>
        <v>Bottle good bottle good, fast delivery, the seller service is also very good, it is strongly recommended to buy!</v>
      </c>
    </row>
    <row r="3653">
      <c r="A3653" s="1">
        <v>5.0</v>
      </c>
      <c r="B3653" s="1" t="s">
        <v>3642</v>
      </c>
      <c r="C3653" t="str">
        <f>IFERROR(__xludf.DUMMYFUNCTION("GOOGLETRANSLATE(B3653, ""zh"", ""en"")"),"Praise comfortable fabrics malleable, domestic version buy large size, full five-star praise!")</f>
        <v>Praise comfortable fabrics malleable, domestic version buy large size, full five-star praise!</v>
      </c>
    </row>
    <row r="3654">
      <c r="A3654" s="1">
        <v>5.0</v>
      </c>
      <c r="B3654" s="1" t="s">
        <v>1660</v>
      </c>
      <c r="C3654" t="str">
        <f>IFERROR(__xludf.DUMMYFUNCTION("GOOGLETRANSLATE(B3654, ""zh"", ""en"")"),"Little big a little big, but also more suitable as a low rise")</f>
        <v>Little big a little big, but also more suitable as a low rise</v>
      </c>
    </row>
    <row r="3655">
      <c r="A3655" s="1">
        <v>5.0</v>
      </c>
      <c r="B3655" s="1" t="s">
        <v>3643</v>
      </c>
      <c r="C3655" t="str">
        <f>IFERROR(__xludf.DUMMYFUNCTION("GOOGLETRANSLATE(B3655, ""zh"", ""en"")"),"perfect! ! ! Received the shoes, very good, fantastic, be described as perfect, not too much!")</f>
        <v>perfect! ! ! Received the shoes, very good, fantastic, be described as perfect, not too much!</v>
      </c>
    </row>
    <row r="3656">
      <c r="A3656" s="1">
        <v>5.0</v>
      </c>
      <c r="B3656" s="1" t="s">
        <v>3644</v>
      </c>
      <c r="C3656" t="str">
        <f>IFERROR(__xludf.DUMMYFUNCTION("GOOGLETRANSLATE(B3656, ""zh"", ""en"")"),"This looked good for a long time, this table will do business casual feel, designed to super-atmospheric. Great! ! !")</f>
        <v>This looked good for a long time, this table will do business casual feel, designed to super-atmospheric. Great! ! !</v>
      </c>
    </row>
    <row r="3657">
      <c r="A3657" s="1">
        <v>5.0</v>
      </c>
      <c r="B3657" s="1" t="s">
        <v>3645</v>
      </c>
      <c r="C3657" t="str">
        <f>IFERROR(__xludf.DUMMYFUNCTION("GOOGLETRANSLATE(B3657, ""zh"", ""en"")"),"Good quality made in China, turn around back there, huh, huh. But the quality is really good too, has been wearing for a while, and time is accurate, error is small.")</f>
        <v>Good quality made in China, turn around back there, huh, huh. But the quality is really good too, has been wearing for a while, and time is accurate, error is small.</v>
      </c>
    </row>
    <row r="3658">
      <c r="A3658" s="1">
        <v>5.0</v>
      </c>
      <c r="B3658" s="1" t="s">
        <v>3646</v>
      </c>
      <c r="C3658" t="str">
        <f>IFERROR(__xludf.DUMMYFUNCTION("GOOGLETRANSLATE(B3658, ""zh"", ""en"")"),"Good normal shoe size shoes a little wider than normal code looks very delicate but very comfortable wearing is a little foot wear look good lateral malleolus")</f>
        <v>Good normal shoe size shoes a little wider than normal code looks very delicate but very comfortable wearing is a little foot wear look good lateral malleolus</v>
      </c>
    </row>
    <row r="3659">
      <c r="A3659" s="1">
        <v>5.0</v>
      </c>
      <c r="B3659" s="1" t="s">
        <v>3647</v>
      </c>
      <c r="C3659" t="str">
        <f>IFERROR(__xludf.DUMMYFUNCTION("GOOGLETRANSLATE(B3659, ""zh"", ""en"")"),"Erbao good to buy, already have access. Than great treasure below to buy one more buttons, very soft and breathable, and if there is then a large number of nice. Japan something from delivery, arrived very fast, often shopping")</f>
        <v>Erbao good to buy, already have access. Than great treasure below to buy one more buttons, very soft and breathable, and if there is then a large number of nice. Japan something from delivery, arrived very fast, often shopping</v>
      </c>
    </row>
    <row r="3660">
      <c r="A3660" s="1">
        <v>5.0</v>
      </c>
      <c r="B3660" s="1" t="s">
        <v>3648</v>
      </c>
      <c r="C3660" t="str">
        <f>IFERROR(__xludf.DUMMYFUNCTION("GOOGLETRANSLATE(B3660, ""zh"", ""en"")"),"After DeLonghi coffee machine to use is really just fine so far, fully in line with my expectations, although there are not familiar with the individual features. Currently the most is making cappuccino, every day use, the biggest feeling is that since bo"&amp;"ught a coffee machine, a large amount of coffee beans a lot, although the espresso out a little bit, actually used to find many of the coffee beans. So unconsciously day, drink a few glasses anymore. The price of the machine in a big difference between se"&amp;"veral platforms, and even Amazon have a difference of nearly a million, and I Shanghai Amoy the Amazon, the price of the machine as long as four thousand, six thousand will not raise taxes, comparison with other inexpensive ten thousand it .")</f>
        <v>After DeLonghi coffee machine to use is really just fine so far, fully in line with my expectations, although there are not familiar with the individual features. Currently the most is making cappuccino, every day use, the biggest feeling is that since bought a coffee machine, a large amount of coffee beans a lot, although the espresso out a little bit, actually used to find many of the coffee beans. So unconsciously day, drink a few glasses anymore. The price of the machine in a big difference between several platforms, and even Amazon have a difference of nearly a million, and I Shanghai Amoy the Amazon, the price of the machine as long as four thousand, six thousand will not raise taxes, comparison with other inexpensive ten thousand it .</v>
      </c>
    </row>
    <row r="3661">
      <c r="A3661" s="1">
        <v>5.0</v>
      </c>
      <c r="B3661" s="1" t="s">
        <v>3649</v>
      </c>
      <c r="C3661" t="str">
        <f>IFERROR(__xludf.DUMMYFUNCTION("GOOGLETRANSLATE(B3661, ""zh"", ""en"")"),"Very comfortable material, very comfortable material right size, the right size")</f>
        <v>Very comfortable material, very comfortable material right size, the right size</v>
      </c>
    </row>
    <row r="3662">
      <c r="A3662" s="1">
        <v>5.0</v>
      </c>
      <c r="B3662" s="1" t="s">
        <v>3650</v>
      </c>
      <c r="C3662" t="str">
        <f>IFERROR(__xludf.DUMMYFUNCTION("GOOGLETRANSLATE(B3662, ""zh"", ""en"")"),"ecco shoes of this really good comfort is very good, I want to buy a pair of broken code")</f>
        <v>ecco shoes of this really good comfort is very good, I want to buy a pair of broken code</v>
      </c>
    </row>
    <row r="3663">
      <c r="A3663" s="1">
        <v>5.0</v>
      </c>
      <c r="B3663" s="1" t="s">
        <v>3651</v>
      </c>
      <c r="C3663" t="str">
        <f>IFERROR(__xludf.DUMMYFUNCTION("GOOGLETRANSLATE(B3663, ""zh"", ""en"")"),"Satisfaction version super good, comfortable fabrics.")</f>
        <v>Satisfaction version super good, comfortable fabrics.</v>
      </c>
    </row>
    <row r="3664">
      <c r="A3664" s="1">
        <v>2.0</v>
      </c>
      <c r="B3664" s="1" t="s">
        <v>3652</v>
      </c>
      <c r="C3664" t="str">
        <f>IFERROR(__xludf.DUMMYFUNCTION("GOOGLETRANSLATE(B3664, ""zh"", ""en"")"),"Bluetooth connection is not this machine can not communicate with the phone")</f>
        <v>Bluetooth connection is not this machine can not communicate with the phone</v>
      </c>
    </row>
    <row r="3665">
      <c r="A3665" s="1">
        <v>3.0</v>
      </c>
      <c r="B3665" s="1" t="s">
        <v>3653</v>
      </c>
      <c r="C3665" t="str">
        <f>IFERROR(__xludf.DUMMYFUNCTION("GOOGLETRANSLATE(B3665, ""zh"", ""en"")"),"To tell the truth do not recommend buying intention is for London Fog fame, plus the United States and Asia this high popularity, the country will also wear a lot of people. Disappointed after the actual start, compared with the previous into the Perry El"&amp;"lis Microfiber, regardless of style, cut, fabrics are a far cry, can barely say there is relatively thin, September days (20 degrees) can wear it. Under general known, in fact, hard to associate. Not recommended to buy.")</f>
        <v>To tell the truth do not recommend buying intention is for London Fog fame, plus the United States and Asia this high popularity, the country will also wear a lot of people. Disappointed after the actual start, compared with the previous into the Perry Ellis Microfiber, regardless of style, cut, fabrics are a far cry, can barely say there is relatively thin, September days (20 degrees) can wear it. Under general known, in fact, hard to associate. Not recommended to buy.</v>
      </c>
    </row>
    <row r="3666">
      <c r="A3666" s="1">
        <v>3.0</v>
      </c>
      <c r="B3666" s="1" t="s">
        <v>3654</v>
      </c>
      <c r="C3666" t="str">
        <f>IFERROR(__xludf.DUMMYFUNCTION("GOOGLETRANSLATE(B3666, ""zh"", ""en"")"),"I think the general feeling I the watch in general, not focusing on the scale when first seconds to go. But there is little scar on the mirror surface (plastic projection), a bit like return. But still forget. My classmates say is a parallel, worried.")</f>
        <v>I think the general feeling I the watch in general, not focusing on the scale when first seconds to go. But there is little scar on the mirror surface (plastic projection), a bit like return. But still forget. My classmates say is a parallel, worried.</v>
      </c>
    </row>
    <row r="3667">
      <c r="A3667" s="1">
        <v>1.0</v>
      </c>
      <c r="B3667" s="1" t="s">
        <v>3655</v>
      </c>
      <c r="C3667" t="str">
        <f>IFERROR(__xludf.DUMMYFUNCTION("GOOGLETRANSLATE(B3667, ""zh"", ""en"")"),"Suspected fake really easy to use is still unknown, but the packaging is very simple people dissatisfied with just a plastic bag, stuffed SF box came, I want to give as well, how this send? Serious doubts about non-genuine, before I bought Amazon at least"&amp;" eight Tiger Thermos cup, each supporting carton packaging.")</f>
        <v>Suspected fake really easy to use is still unknown, but the packaging is very simple people dissatisfied with just a plastic bag, stuffed SF box came, I want to give as well, how this send? Serious doubts about non-genuine, before I bought Amazon at least eight Tiger Thermos cup, each supporting carton packaging.</v>
      </c>
    </row>
    <row r="3668">
      <c r="A3668" s="1">
        <v>1.0</v>
      </c>
      <c r="B3668" s="1" t="s">
        <v>3656</v>
      </c>
      <c r="C3668" t="str">
        <f>IFERROR(__xludf.DUMMYFUNCTION("GOOGLETRANSLATE(B3668, ""zh"", ""en"")"),"Found a rotten hole. Found a rotten hole.")</f>
        <v>Found a rotten hole. Found a rotten hole.</v>
      </c>
    </row>
    <row r="3669">
      <c r="A3669" s="1">
        <v>1.0</v>
      </c>
      <c r="B3669" s="1" t="s">
        <v>3657</v>
      </c>
      <c r="C3669" t="str">
        <f>IFERROR(__xludf.DUMMYFUNCTION("GOOGLETRANSLATE(B3669, ""zh"", ""en"")"),"Three months with a bad three months, not a sudden electrical charge, for the charger and cable, also can not charge, seeing no power can not be switched. Not superstition foreign brands")</f>
        <v>Three months with a bad three months, not a sudden electrical charge, for the charger and cable, also can not charge, seeing no power can not be switched. Not superstition foreign brands</v>
      </c>
    </row>
    <row r="3670">
      <c r="A3670" s="1">
        <v>4.0</v>
      </c>
      <c r="B3670" s="1" t="s">
        <v>3658</v>
      </c>
      <c r="C3670" t="str">
        <f>IFERROR(__xludf.DUMMYFUNCTION("GOOGLETRANSLATE(B3670, ""zh"", ""en"")"),"We also can not let the weather in Hebei coal people exposure to cold air would not know good or not okay! Okay")</f>
        <v>We also can not let the weather in Hebei coal people exposure to cold air would not know good or not okay! Okay</v>
      </c>
    </row>
    <row r="3671">
      <c r="A3671" s="1">
        <v>4.0</v>
      </c>
      <c r="B3671" s="1" t="s">
        <v>3659</v>
      </c>
      <c r="C3671" t="str">
        <f>IFERROR(__xludf.DUMMYFUNCTION("GOOGLETRANSLATE(B3671, ""zh"", ""en"")"),"Number 34, a little more than expected or can work a little tight, the addition of Lycra fabric, microprojectiles. Law-abiding, pants, worth buying")</f>
        <v>Number 34, a little more than expected or can work a little tight, the addition of Lycra fabric, microprojectiles. Law-abiding, pants, worth buying</v>
      </c>
    </row>
    <row r="3672">
      <c r="A3672" s="1">
        <v>4.0</v>
      </c>
      <c r="B3672" s="1" t="s">
        <v>3660</v>
      </c>
      <c r="C3672" t="str">
        <f>IFERROR(__xludf.DUMMYFUNCTION("GOOGLETRANSLATE(B3672, ""zh"", ""en"")"),"Would recommend it to other friends handsome shoes, the price is higher than US Amoy. The only drawback, the international express delivery too slow")</f>
        <v>Would recommend it to other friends handsome shoes, the price is higher than US Amoy. The only drawback, the international express delivery too slow</v>
      </c>
    </row>
    <row r="3673">
      <c r="A3673" s="1">
        <v>4.0</v>
      </c>
      <c r="B3673" s="1" t="s">
        <v>3661</v>
      </c>
      <c r="C3673" t="str">
        <f>IFERROR(__xludf.DUMMYFUNCTION("GOOGLETRANSLATE(B3673, ""zh"", ""en"")"),"It looks beautiful, slightly small problem! Orders three days after delivery, from delivery to receive a week. Pretty loom, it is also important for two rubbing surfaces, the second speed film about 40 minutes. For the first time with a black powder throw"&amp;" throw, the second time with no. Sound big, but also to accept. Head shaking some time to work, for the first time with a pretty tight, but twice with a bit Akira, I do not know why.")</f>
        <v>It looks beautiful, slightly small problem! Orders three days after delivery, from delivery to receive a week. Pretty loom, it is also important for two rubbing surfaces, the second speed film about 40 minutes. For the first time with a black powder throw throw, the second time with no. Sound big, but also to accept. Head shaking some time to work, for the first time with a pretty tight, but twice with a bit Akira, I do not know why.</v>
      </c>
    </row>
    <row r="3674">
      <c r="A3674" s="1">
        <v>4.0</v>
      </c>
      <c r="B3674" s="1" t="s">
        <v>3662</v>
      </c>
      <c r="C3674" t="str">
        <f>IFERROR(__xludf.DUMMYFUNCTION("GOOGLETRANSLATE(B3674, ""zh"", ""en"")"),"Why trade name called glass? Capacity is really too big, not glass, it is the kettle ah! !")</f>
        <v>Why trade name called glass? Capacity is really too big, not glass, it is the kettle ah! !</v>
      </c>
    </row>
    <row r="3675">
      <c r="A3675" s="1">
        <v>5.0</v>
      </c>
      <c r="B3675" s="1" t="s">
        <v>3663</v>
      </c>
      <c r="C3675" t="str">
        <f>IFERROR(__xludf.DUMMYFUNCTION("GOOGLETRANSLATE(B3675, ""zh"", ""en"")"),"Size Fabric comfortable, a little thin")</f>
        <v>Size Fabric comfortable, a little thin</v>
      </c>
    </row>
    <row r="3676">
      <c r="A3676" s="1">
        <v>5.0</v>
      </c>
      <c r="B3676" s="1" t="s">
        <v>3664</v>
      </c>
      <c r="C3676" t="str">
        <f>IFERROR(__xludf.DUMMYFUNCTION("GOOGLETRANSLATE(B3676, ""zh"", ""en"")"),"Did not pay attention to quality can also buy big, he bought a big One")</f>
        <v>Did not pay attention to quality can also buy big, he bought a big One</v>
      </c>
    </row>
    <row r="3677">
      <c r="A3677" s="1">
        <v>5.0</v>
      </c>
      <c r="B3677" s="1" t="s">
        <v>3665</v>
      </c>
      <c r="C3677" t="str">
        <f>IFERROR(__xludf.DUMMYFUNCTION("GOOGLETRANSLATE(B3677, ""zh"", ""en"")"),"Good black five very cheap, 180cm, 89kg, clothes, pants are buy XL, wear more relaxed, never felt self-cultivation, feel should just buy a smaller size.")</f>
        <v>Good black five very cheap, 180cm, 89kg, clothes, pants are buy XL, wear more relaxed, never felt self-cultivation, feel should just buy a smaller size.</v>
      </c>
    </row>
    <row r="3678">
      <c r="A3678" s="1">
        <v>5.0</v>
      </c>
      <c r="B3678" s="1" t="s">
        <v>3666</v>
      </c>
      <c r="C3678" t="str">
        <f>IFERROR(__xludf.DUMMYFUNCTION("GOOGLETRANSLATE(B3678, ""zh"", ""en"")"),"Good only large domestic sector, can wash dishes, wash the cup almost")</f>
        <v>Good only large domestic sector, can wash dishes, wash the cup almost</v>
      </c>
    </row>
    <row r="3679">
      <c r="A3679" s="1">
        <v>5.0</v>
      </c>
      <c r="B3679" s="1" t="s">
        <v>3667</v>
      </c>
      <c r="C3679" t="str">
        <f>IFERROR(__xludf.DUMMYFUNCTION("GOOGLETRANSLATE(B3679, ""zh"", ""en"")"),"Clearance six days is too slow to Chinese customs clearance ten days twenty days hand. Height 153 weight 45 is slightly larger waistline.")</f>
        <v>Clearance six days is too slow to Chinese customs clearance ten days twenty days hand. Height 153 weight 45 is slightly larger waistline.</v>
      </c>
    </row>
    <row r="3680">
      <c r="A3680" s="1">
        <v>5.0</v>
      </c>
      <c r="B3680" s="1" t="s">
        <v>3668</v>
      </c>
      <c r="C3680" t="str">
        <f>IFERROR(__xludf.DUMMYFUNCTION("GOOGLETRANSLATE(B3680, ""zh"", ""en"")"),"Very satisfied with a good product, no problem")</f>
        <v>Very satisfied with a good product, no problem</v>
      </c>
    </row>
    <row r="3681">
      <c r="A3681" s="1">
        <v>5.0</v>
      </c>
      <c r="B3681" s="1" t="s">
        <v>3669</v>
      </c>
      <c r="C3681" t="str">
        <f>IFERROR(__xludf.DUMMYFUNCTION("GOOGLETRANSLATE(B3681, ""zh"", ""en"")"),"Shoes too large shoes too large, wanted to wear a pad to pad before buying. Results of the internal high enough cushion insole. Overall still comfortable, especially for someone like me feet wide. Easy to buy a small 0.5uk")</f>
        <v>Shoes too large shoes too large, wanted to wear a pad to pad before buying. Results of the internal high enough cushion insole. Overall still comfortable, especially for someone like me feet wide. Easy to buy a small 0.5uk</v>
      </c>
    </row>
    <row r="3682">
      <c r="A3682" s="1">
        <v>5.0</v>
      </c>
      <c r="B3682" s="1" t="s">
        <v>3670</v>
      </c>
      <c r="C3682" t="str">
        <f>IFERROR(__xludf.DUMMYFUNCTION("GOOGLETRANSLATE(B3682, ""zh"", ""en"")"),"Very much! Specialized teacher recommended, after using it can not do without it! A few years ago in Taobao bought a set, and now the whole country is basically gone, so Amazon to buy hey hey hey ~")</f>
        <v>Very much! Specialized teacher recommended, after using it can not do without it! A few years ago in Taobao bought a set, and now the whole country is basically gone, so Amazon to buy hey hey hey ~</v>
      </c>
    </row>
    <row r="3683">
      <c r="A3683" s="1">
        <v>5.0</v>
      </c>
      <c r="B3683" s="1" t="s">
        <v>3671</v>
      </c>
      <c r="C3683" t="str">
        <f>IFERROR(__xludf.DUMMYFUNCTION("GOOGLETRANSLATE(B3683, ""zh"", ""en"")"),"Calvin Klein pants usually wear 26 yards, this wear s yards just right, bikini models is not very low waist, waist look good wearing.")</f>
        <v>Calvin Klein pants usually wear 26 yards, this wear s yards just right, bikini models is not very low waist, waist look good wearing.</v>
      </c>
    </row>
    <row r="3684">
      <c r="A3684" s="1">
        <v>5.0</v>
      </c>
      <c r="B3684" s="1" t="s">
        <v>3672</v>
      </c>
      <c r="C3684" t="str">
        <f>IFERROR(__xludf.DUMMYFUNCTION("GOOGLETRANSLATE(B3684, ""zh"", ""en"")"),"Like wearing a feeling a little hard, a little heavy, but the price still is to force, like this one right.")</f>
        <v>Like wearing a feeling a little hard, a little heavy, but the price still is to force, like this one right.</v>
      </c>
    </row>
    <row r="3685">
      <c r="A3685" s="1">
        <v>5.0</v>
      </c>
      <c r="B3685" s="1" t="s">
        <v>3673</v>
      </c>
      <c r="C3685" t="str">
        <f>IFERROR(__xludf.DUMMYFUNCTION("GOOGLETRANSLATE(B3685, ""zh"", ""en"")"),"Size just satisfaction, the fabric soft and flexible, very comfortable.")</f>
        <v>Size just satisfaction, the fabric soft and flexible, very comfortable.</v>
      </c>
    </row>
    <row r="3686">
      <c r="A3686" s="1">
        <v>5.0</v>
      </c>
      <c r="B3686" s="1" t="s">
        <v>3674</v>
      </c>
      <c r="C3686" t="str">
        <f>IFERROR(__xludf.DUMMYFUNCTION("GOOGLETRANSLATE(B3686, ""zh"", ""en"")"),"Recommended fast, five went to Yan watches the value of good-looking than the picture.")</f>
        <v>Recommended fast, five went to Yan watches the value of good-looking than the picture.</v>
      </c>
    </row>
    <row r="3687">
      <c r="A3687" s="1">
        <v>5.0</v>
      </c>
      <c r="B3687" s="1" t="s">
        <v>3675</v>
      </c>
      <c r="C3687" t="str">
        <f>IFERROR(__xludf.DUMMYFUNCTION("GOOGLETRANSLATE(B3687, ""zh"", ""en"")"),"I liked it, first Tuen first fork above received scratches, applied for a replacement, the next day they received, like, first Tuen")</f>
        <v>I liked it, first Tuen first fork above received scratches, applied for a replacement, the next day they received, like, first Tuen</v>
      </c>
    </row>
    <row r="3688">
      <c r="A3688" s="1">
        <v>5.0</v>
      </c>
      <c r="B3688" s="1" t="s">
        <v>3676</v>
      </c>
      <c r="C3688" t="str">
        <f>IFERROR(__xludf.DUMMYFUNCTION("GOOGLETRANSLATE(B3688, ""zh"", ""en"")"),"Also can ah! The right size, clothing is also good. But the future may never buy ua things!")</f>
        <v>Also can ah! The right size, clothing is also good. But the future may never buy ua things!</v>
      </c>
    </row>
    <row r="3689">
      <c r="A3689" s="1">
        <v>5.0</v>
      </c>
      <c r="B3689" s="1" t="s">
        <v>3677</v>
      </c>
      <c r="C3689" t="str">
        <f>IFERROR(__xludf.DUMMYFUNCTION("GOOGLETRANSLATE(B3689, ""zh"", ""en"")"),"Value for money value for money, the price of such work, the same domestic brand certainly can not buy. Easy installation, temperature effect is also very good, worth buying!")</f>
        <v>Value for money value for money, the price of such work, the same domestic brand certainly can not buy. Easy installation, temperature effect is also very good, worth buying!</v>
      </c>
    </row>
    <row r="3690">
      <c r="A3690" s="1">
        <v>5.0</v>
      </c>
      <c r="B3690" s="1" t="s">
        <v>3678</v>
      </c>
      <c r="C3690" t="str">
        <f>IFERROR(__xludf.DUMMYFUNCTION("GOOGLETRANSLATE(B3690, ""zh"", ""en"")"),"Flagship is the flagship started unpacking when it felt like a very ugly old-fashioned now feeling better and better workmanship is very high indeed the instruments of German origin with high separation did not like the legendary so difficult to push the "&amp;"passion just plug in the headphones feel very good with my HD600 want more than a little ho are not less really is undervalued good headphones")</f>
        <v>Flagship is the flagship started unpacking when it felt like a very ugly old-fashioned now feeling better and better workmanship is very high indeed the instruments of German origin with high separation did not like the legendary so difficult to push the passion just plug in the headphones feel very good with my HD600 want more than a little ho are not less really is undervalued good headphones</v>
      </c>
    </row>
    <row r="3691">
      <c r="A3691" s="1">
        <v>5.0</v>
      </c>
      <c r="B3691" s="1" t="s">
        <v>3679</v>
      </c>
      <c r="C3691" t="str">
        <f>IFERROR(__xludf.DUMMYFUNCTION("GOOGLETRANSLATE(B3691, ""zh"", ""en"")"),"The fabric is very comfortable, size is accurate 174cm / 64kg wear S mom is very fit, fabric soft and thick, fine workmanship, very good upper body effect this color. All in all, buy the most satisfying piece of clothing")</f>
        <v>The fabric is very comfortable, size is accurate 174cm / 64kg wear S mom is very fit, fabric soft and thick, fine workmanship, very good upper body effect this color. All in all, buy the most satisfying piece of clothing</v>
      </c>
    </row>
    <row r="3692">
      <c r="A3692" s="1">
        <v>5.0</v>
      </c>
      <c r="B3692" s="1" t="s">
        <v>3680</v>
      </c>
      <c r="C3692" t="str">
        <f>IFERROR(__xludf.DUMMYFUNCTION("GOOGLETRANSLATE(B3692, ""zh"", ""en"")"),"Good phone headset treble great, but the key is not clip the ears! Sound good, the price is relatively long time to wear hot. Picture color is not the kind of high light effect")</f>
        <v>Good phone headset treble great, but the key is not clip the ears! Sound good, the price is relatively long time to wear hot. Picture color is not the kind of high light effect</v>
      </c>
    </row>
    <row r="3693">
      <c r="A3693" s="1">
        <v>5.0</v>
      </c>
      <c r="B3693" s="1" t="s">
        <v>3681</v>
      </c>
      <c r="C3693" t="str">
        <f>IFERROR(__xludf.DUMMYFUNCTION("GOOGLETRANSLATE(B3693, ""zh"", ""en"")"),"Good good, that is uncomfortable strap too hard.")</f>
        <v>Good good, that is uncomfortable strap too hard.</v>
      </c>
    </row>
    <row r="3694">
      <c r="A3694" s="1">
        <v>5.0</v>
      </c>
      <c r="B3694" s="1" t="s">
        <v>3682</v>
      </c>
      <c r="C3694" t="str">
        <f>IFERROR(__xludf.DUMMYFUNCTION("GOOGLETRANSLATE(B3694, ""zh"", ""en"")"),"Satisfying shopping cortex very good. It is people like.")</f>
        <v>Satisfying shopping cortex very good. It is people like.</v>
      </c>
    </row>
    <row r="3695">
      <c r="A3695" s="1">
        <v>5.0</v>
      </c>
      <c r="B3695" s="1" t="s">
        <v>3683</v>
      </c>
      <c r="C3695" t="str">
        <f>IFERROR(__xludf.DUMMYFUNCTION("GOOGLETRANSLATE(B3695, ""zh"", ""en"")"),"Good very comfortable, feel good material")</f>
        <v>Good very comfortable, feel good material</v>
      </c>
    </row>
    <row r="3696">
      <c r="A3696" s="1">
        <v>2.0</v>
      </c>
      <c r="B3696" s="1" t="s">
        <v>3684</v>
      </c>
      <c r="C3696" t="str">
        <f>IFERROR(__xludf.DUMMYFUNCTION("GOOGLETRANSLATE(B3696, ""zh"", ""en"")"),"The same size fan! Seventy-eight bought with the money at least, 29 to 31 also fat, the most fit one is 31, and then later buy 30 to buy 29 just luck! Only two considered more appropriate")</f>
        <v>The same size fan! Seventy-eight bought with the money at least, 29 to 31 also fat, the most fit one is 31, and then later buy 30 to buy 29 just luck! Only two considered more appropriate</v>
      </c>
    </row>
    <row r="3697">
      <c r="A3697" s="1">
        <v>3.0</v>
      </c>
      <c r="B3697" s="1" t="s">
        <v>3685</v>
      </c>
      <c r="C3697" t="str">
        <f>IFERROR(__xludf.DUMMYFUNCTION("GOOGLETRANSLATE(B3697, ""zh"", ""en"")"),"The fabric is too hard version good fabric is a perfect wash water is not too soft. Next time still want to buy cotton")</f>
        <v>The fabric is too hard version good fabric is a perfect wash water is not too soft. Next time still want to buy cotton</v>
      </c>
    </row>
    <row r="3698">
      <c r="A3698" s="1">
        <v>3.0</v>
      </c>
      <c r="B3698" s="1" t="s">
        <v>3686</v>
      </c>
      <c r="C3698" t="str">
        <f>IFERROR(__xludf.DUMMYFUNCTION("GOOGLETRANSLATE(B3698, ""zh"", ""en"")"),"Size Size is very serious irregularities are not allowed! Simply can not wear! Large sorts")</f>
        <v>Size Size is very serious irregularities are not allowed! Simply can not wear! Large sorts</v>
      </c>
    </row>
    <row r="3699">
      <c r="A3699" s="1">
        <v>1.0</v>
      </c>
      <c r="B3699" s="1" t="s">
        <v>3687</v>
      </c>
      <c r="C3699" t="str">
        <f>IFERROR(__xludf.DUMMYFUNCTION("GOOGLETRANSLATE(B3699, ""zh"", ""en"")"),"This is something very fake my worst time shopping on amazon, and two brush head is a package, packed in a plastic bag, a total of five bags, plastic bags is very kind of rough, open brush it is obviously not clear on typesetting, word genuine original us"&amp;"e is very clear, but also bristles with genuine completely different, the bristles have irregular and curved, only the protective cover of the brush head still looked like the real, but no wool. The brush head is a British mail, but the box is a protectiv"&amp;"e film of Hong Kong, Hong Kong repackaged it, really do not understand. This is a failure of shopping, there will be no next time.")</f>
        <v>This is something very fake my worst time shopping on amazon, and two brush head is a package, packed in a plastic bag, a total of five bags, plastic bags is very kind of rough, open brush it is obviously not clear on typesetting, word genuine original use is very clear, but also bristles with genuine completely different, the bristles have irregular and curved, only the protective cover of the brush head still looked like the real, but no wool. The brush head is a British mail, but the box is a protective film of Hong Kong, Hong Kong repackaged it, really do not understand. This is a failure of shopping, there will be no next time.</v>
      </c>
    </row>
    <row r="3700">
      <c r="A3700" s="1">
        <v>1.0</v>
      </c>
      <c r="B3700" s="1" t="s">
        <v>3688</v>
      </c>
      <c r="C3700" t="str">
        <f>IFERROR(__xludf.DUMMYFUNCTION("GOOGLETRANSLATE(B3700, ""zh"", ""en"")"),"Really rubbish, buy a few 8t really brought the garbage 4t, 8t sent to buy a few of 4t")</f>
        <v>Really rubbish, buy a few 8t really brought the garbage 4t, 8t sent to buy a few of 4t</v>
      </c>
    </row>
    <row r="3701">
      <c r="A3701" s="1">
        <v>1.0</v>
      </c>
      <c r="B3701" s="1" t="s">
        <v>3689</v>
      </c>
      <c r="C3701" t="str">
        <f>IFERROR(__xludf.DUMMYFUNCTION("GOOGLETRANSLATE(B3701, ""zh"", ""en"")"),"Color light skinned shoes did not fit the continent's national conditions, a rain to mud, anti-fur really good care can not afford injuries. Good raw rubber-soled, soft and non-slip. Closing price of RMB 400 yuan cheaper than the shoes Belle Group. Amazon"&amp;" species recommended shipping merchandise to introduce more point, the types of goods are now shipping too little. Purchase a membership of little value.")</f>
        <v>Color light skinned shoes did not fit the continent's national conditions, a rain to mud, anti-fur really good care can not afford injuries. Good raw rubber-soled, soft and non-slip. Closing price of RMB 400 yuan cheaper than the shoes Belle Group. Amazon species recommended shipping merchandise to introduce more point, the types of goods are now shipping too little. Purchase a membership of little value.</v>
      </c>
    </row>
    <row r="3702">
      <c r="A3702" s="1">
        <v>4.0</v>
      </c>
      <c r="B3702" s="1" t="s">
        <v>3690</v>
      </c>
      <c r="C3702" t="str">
        <f>IFERROR(__xludf.DUMMYFUNCTION("GOOGLETRANSLATE(B3702, ""zh"", ""en"")"),"Cost can be slightly smaller waist. You can wear. Version better. Colors are more special, blue, blue quite special. Thick material")</f>
        <v>Cost can be slightly smaller waist. You can wear. Version better. Colors are more special, blue, blue quite special. Thick material</v>
      </c>
    </row>
    <row r="3703">
      <c r="A3703" s="1">
        <v>4.0</v>
      </c>
      <c r="B3703" s="1" t="s">
        <v>3691</v>
      </c>
      <c r="C3703" t="str">
        <f>IFERROR(__xludf.DUMMYFUNCTION("GOOGLETRANSLATE(B3703, ""zh"", ""en"")"),"This pair of wide GT2000 long narrow and relatively wide GT2000 wear these long narrow compared to buy 42 yards 42 yards feeling a little big")</f>
        <v>This pair of wide GT2000 long narrow and relatively wide GT2000 wear these long narrow compared to buy 42 yards 42 yards feeling a little big</v>
      </c>
    </row>
    <row r="3704">
      <c r="A3704" s="1">
        <v>4.0</v>
      </c>
      <c r="B3704" s="1" t="s">
        <v>3692</v>
      </c>
      <c r="C3704" t="str">
        <f>IFERROR(__xludf.DUMMYFUNCTION("GOOGLETRANSLATE(B3704, ""zh"", ""en"")"),"Good pants height 173, weight 85 kg, bought 3 * 630 appropriate.")</f>
        <v>Good pants height 173, weight 85 kg, bought 3 * 630 appropriate.</v>
      </c>
    </row>
    <row r="3705">
      <c r="A3705" s="1">
        <v>4.0</v>
      </c>
      <c r="B3705" s="1" t="s">
        <v>3693</v>
      </c>
      <c r="C3705" t="str">
        <f>IFERROR(__xludf.DUMMYFUNCTION("GOOGLETRANSLATE(B3705, ""zh"", ""en"")"),"Fortunately, it will be spinning, the function is good, and so on for a long time")</f>
        <v>Fortunately, it will be spinning, the function is good, and so on for a long time</v>
      </c>
    </row>
    <row r="3706">
      <c r="A3706" s="1">
        <v>5.0</v>
      </c>
      <c r="B3706" s="1" t="s">
        <v>3694</v>
      </c>
      <c r="C3706" t="str">
        <f>IFERROR(__xludf.DUMMYFUNCTION("GOOGLETRANSLATE(B3706, ""zh"", ""en"")"),"Good, the atmosphere is quite satisfactory appearance, texture, quite like it. Back with a look at the quality of it")</f>
        <v>Good, the atmosphere is quite satisfactory appearance, texture, quite like it. Back with a look at the quality of it</v>
      </c>
    </row>
    <row r="3707">
      <c r="A3707" s="1">
        <v>5.0</v>
      </c>
      <c r="B3707" s="1" t="s">
        <v>3695</v>
      </c>
      <c r="C3707" t="str">
        <f>IFERROR(__xludf.DUMMYFUNCTION("GOOGLETRANSLATE(B3707, ""zh"", ""en"")"),"To help grass for a long time, around are using this key to write very smooth, but comes with the ink tube is blue, we should pay attention! My only regret is that forgot to buy the ink on the, ah ah ah I crack me up")</f>
        <v>To help grass for a long time, around are using this key to write very smooth, but comes with the ink tube is blue, we should pay attention! My only regret is that forgot to buy the ink on the, ah ah ah I crack me up</v>
      </c>
    </row>
    <row r="3708">
      <c r="A3708" s="1">
        <v>5.0</v>
      </c>
      <c r="B3708" s="1" t="s">
        <v>3696</v>
      </c>
      <c r="C3708" t="str">
        <f>IFERROR(__xludf.DUMMYFUNCTION("GOOGLETRANSLATE(B3708, ""zh"", ""en"")"),"Sexy comfortable my husband 178cm, 168 pounds, wearing LL just a little a little loose, not thick, very comfortable to wear. Fashion for young men. This put on quite sexy")</f>
        <v>Sexy comfortable my husband 178cm, 168 pounds, wearing LL just a little a little loose, not thick, very comfortable to wear. Fashion for young men. This put on quite sexy</v>
      </c>
    </row>
    <row r="3709">
      <c r="A3709" s="1">
        <v>5.0</v>
      </c>
      <c r="B3709" s="1" t="s">
        <v>3697</v>
      </c>
      <c r="C3709" t="str">
        <f>IFERROR(__xludf.DUMMYFUNCTION("GOOGLETRANSLATE(B3709, ""zh"", ""en"")"),"Said that under the first sea Amoy experience, and so a full two weeks before to the appearance of very low-key, display relatively simple. The only dislike is the strap a little hard, beginning with not very adapt")</f>
        <v>Said that under the first sea Amoy experience, and so a full two weeks before to the appearance of very low-key, display relatively simple. The only dislike is the strap a little hard, beginning with not very adapt</v>
      </c>
    </row>
    <row r="3710">
      <c r="A3710" s="1">
        <v>5.0</v>
      </c>
      <c r="B3710" s="1" t="s">
        <v>3698</v>
      </c>
      <c r="C3710" t="str">
        <f>IFERROR(__xludf.DUMMYFUNCTION("GOOGLETRANSLATE(B3710, ""zh"", ""en"")"),"Temperature sensing spoon in case something hot tongue suddenly turned white, a little bit cooler will change along with the color, something very good use, express delivery soon.")</f>
        <v>Temperature sensing spoon in case something hot tongue suddenly turned white, a little bit cooler will change along with the color, something very good use, express delivery soon.</v>
      </c>
    </row>
    <row r="3711">
      <c r="A3711" s="1">
        <v>5.0</v>
      </c>
      <c r="B3711" s="1" t="s">
        <v>3699</v>
      </c>
      <c r="C3711" t="str">
        <f>IFERROR(__xludf.DUMMYFUNCTION("GOOGLETRANSLATE(B3711, ""zh"", ""en"")"),"A little longer worry about the future no such pants to wear, very comfortable, that is a little longer, but easy to change")</f>
        <v>A little longer worry about the future no such pants to wear, very comfortable, that is a little longer, but easy to change</v>
      </c>
    </row>
    <row r="3712">
      <c r="A3712" s="1">
        <v>5.0</v>
      </c>
      <c r="B3712" s="1" t="s">
        <v>3700</v>
      </c>
      <c r="C3712" t="str">
        <f>IFERROR(__xludf.DUMMYFUNCTION("GOOGLETRANSLATE(B3712, ""zh"", ""en"")"),"Like good quality, not counter a lot cheaper, very comfortable to wear.")</f>
        <v>Like good quality, not counter a lot cheaper, very comfortable to wear.</v>
      </c>
    </row>
    <row r="3713">
      <c r="A3713" s="1">
        <v>5.0</v>
      </c>
      <c r="B3713" s="1" t="s">
        <v>3701</v>
      </c>
      <c r="C3713" t="str">
        <f>IFERROR(__xludf.DUMMYFUNCTION("GOOGLETRANSLATE(B3713, ""zh"", ""en"")"),"The right size, good quality. 1.75 meters tall and weighing 75 kg, m number is appropriate. Pants good quality, and now Amazon to change the delivery of SF than the original What a lot of friends through courier.")</f>
        <v>The right size, good quality. 1.75 meters tall and weighing 75 kg, m number is appropriate. Pants good quality, and now Amazon to change the delivery of SF than the original What a lot of friends through courier.</v>
      </c>
    </row>
    <row r="3714">
      <c r="A3714" s="1">
        <v>5.0</v>
      </c>
      <c r="B3714" s="1" t="s">
        <v>3702</v>
      </c>
      <c r="C3714" t="str">
        <f>IFERROR(__xludf.DUMMYFUNCTION("GOOGLETRANSLATE(B3714, ""zh"", ""en"")"),"Like 170cm120 pounds just right, like the male vote is really good")</f>
        <v>Like 170cm120 pounds just right, like the male vote is really good</v>
      </c>
    </row>
    <row r="3715">
      <c r="A3715" s="1">
        <v>5.0</v>
      </c>
      <c r="B3715" s="1" t="s">
        <v>3703</v>
      </c>
      <c r="C3715" t="str">
        <f>IFERROR(__xludf.DUMMYFUNCTION("GOOGLETRANSLATE(B3715, ""zh"", ""en"")"),"Worth buying Solid-state hard drives are so light that they almost think they have nothing in them, so they can read it out. It's just over 460G. Hope to use it for a long time.")</f>
        <v>Worth buying Solid-state hard drives are so light that they almost think they have nothing in them, so they can read it out. It's just over 460G. Hope to use it for a long time.</v>
      </c>
    </row>
    <row r="3716">
      <c r="A3716" s="1">
        <v>5.0</v>
      </c>
      <c r="B3716" s="1" t="s">
        <v>3704</v>
      </c>
      <c r="C3716" t="str">
        <f>IFERROR(__xludf.DUMMYFUNCTION("GOOGLETRANSLATE(B3716, ""zh"", ""en"")"),"Cleaning-saving porridge trouble for the first time to send over to buy pot, the pot fell two and a half years, and re-order one, has been with the LC and staub cast iron pot, clay pot is the first time to buy, feel porridge really quickly, soon be able t"&amp;"o make porridge thickens, the five co porridge, soup is just right, too small flutter easy pot. The disadvantage is not good cleaning, wok when not wash with cold water, such as a bad cold wash pot, especially in the middle of the lid. There have each fin"&amp;"ished dry trouble.")</f>
        <v>Cleaning-saving porridge trouble for the first time to send over to buy pot, the pot fell two and a half years, and re-order one, has been with the LC and staub cast iron pot, clay pot is the first time to buy, feel porridge really quickly, soon be able to make porridge thickens, the five co porridge, soup is just right, too small flutter easy pot. The disadvantage is not good cleaning, wok when not wash with cold water, such as a bad cold wash pot, especially in the middle of the lid. There have each finished dry trouble.</v>
      </c>
    </row>
    <row r="3717">
      <c r="A3717" s="1">
        <v>5.0</v>
      </c>
      <c r="B3717" s="1" t="s">
        <v>3705</v>
      </c>
      <c r="C3717" t="str">
        <f>IFERROR(__xludf.DUMMYFUNCTION("GOOGLETRANSLATE(B3717, ""zh"", ""en"")"),"Good quality looked good, feeling soft, store goods in the hope that the baby cry willing to eat.")</f>
        <v>Good quality looked good, feeling soft, store goods in the hope that the baby cry willing to eat.</v>
      </c>
    </row>
    <row r="3718">
      <c r="A3718" s="1">
        <v>5.0</v>
      </c>
      <c r="B3718" s="1" t="s">
        <v>3706</v>
      </c>
      <c r="C3718" t="str">
        <f>IFERROR(__xludf.DUMMYFUNCTION("GOOGLETRANSLATE(B3718, ""zh"", ""en"")"),"Large capacity large capacity, enough interfaces, high cost, perfect fit Mac os. As an aside, Amazon purchased abroad are insured and return policy is really in trouble, with other vendors than the obvious competitive enough ah.")</f>
        <v>Large capacity large capacity, enough interfaces, high cost, perfect fit Mac os. As an aside, Amazon purchased abroad are insured and return policy is really in trouble, with other vendors than the obvious competitive enough ah.</v>
      </c>
    </row>
    <row r="3719">
      <c r="A3719" s="1">
        <v>5.0</v>
      </c>
      <c r="B3719" s="1" t="s">
        <v>3707</v>
      </c>
      <c r="C3719" t="str">
        <f>IFERROR(__xludf.DUMMYFUNCTION("GOOGLETRANSLATE(B3719, ""zh"", ""en"")"),"Turnip cabbage, personal likes. Premium sound is what I want, very good, very good treble, not harsh and delicate. Bass a little thick. Fortunately, we can accept.")</f>
        <v>Turnip cabbage, personal likes. Premium sound is what I want, very good, very good treble, not harsh and delicate. Bass a little thick. Fortunately, we can accept.</v>
      </c>
    </row>
    <row r="3720">
      <c r="A3720" s="1">
        <v>5.0</v>
      </c>
      <c r="B3720" s="1" t="s">
        <v>3708</v>
      </c>
      <c r="C3720" t="str">
        <f>IFERROR(__xludf.DUMMYFUNCTION("GOOGLETRANSLATE(B3720, ""zh"", ""en"")"),"Household worth recommending good, high cost, use coffee is a bit cumbersome to use, water boxes, some small. But home very affordable!")</f>
        <v>Household worth recommending good, high cost, use coffee is a bit cumbersome to use, water boxes, some small. But home very affordable!</v>
      </c>
    </row>
    <row r="3721">
      <c r="A3721" s="1">
        <v>5.0</v>
      </c>
      <c r="B3721" s="1" t="s">
        <v>3709</v>
      </c>
      <c r="C3721" t="str">
        <f>IFERROR(__xludf.DUMMYFUNCTION("GOOGLETRANSLATE(B3721, ""zh"", ""en"")"),"Nice clothes and listening to customer recommendation with regard to the other brands of clothes, buy the S number a little smaller, 174cm, 74kg, M number should be right. Very good quality clothes")</f>
        <v>Nice clothes and listening to customer recommendation with regard to the other brands of clothes, buy the S number a little smaller, 174cm, 74kg, M number should be right. Very good quality clothes</v>
      </c>
    </row>
    <row r="3722">
      <c r="A3722" s="1">
        <v>5.0</v>
      </c>
      <c r="B3722" s="1" t="s">
        <v>3710</v>
      </c>
      <c r="C3722" t="str">
        <f>IFERROR(__xludf.DUMMYFUNCTION("GOOGLETRANSLATE(B3722, ""zh"", ""en"")"),"Comfortable, tight, lightweight shoe is not elaborate, personal feeling pretty simple atmosphere, low-key appearance. The foot feels comfortable, weekdays are wearing shoes 43, the normal code, just the right length, I am slightly higher instep, shoes and"&amp;" wrapped tight, close to the side of the leather particularly soft socks, shoes penetrate when feeling comfortable, in general, as relatively lightweight shoes, try to walk a few steps feel very light")</f>
        <v>Comfortable, tight, lightweight shoe is not elaborate, personal feeling pretty simple atmosphere, low-key appearance. The foot feels comfortable, weekdays are wearing shoes 43, the normal code, just the right length, I am slightly higher instep, shoes and wrapped tight, close to the side of the leather particularly soft socks, shoes penetrate when feeling comfortable, in general, as relatively lightweight shoes, try to walk a few steps feel very light</v>
      </c>
    </row>
    <row r="3723">
      <c r="A3723" s="1">
        <v>5.0</v>
      </c>
      <c r="B3723" s="1" t="s">
        <v>3711</v>
      </c>
      <c r="C3723" t="str">
        <f>IFERROR(__xludf.DUMMYFUNCTION("GOOGLETRANSLATE(B3723, ""zh"", ""en"")"),"Meng very good sporks, kids like it,")</f>
        <v>Meng very good sporks, kids like it,</v>
      </c>
    </row>
    <row r="3724">
      <c r="A3724" s="1">
        <v>5.0</v>
      </c>
      <c r="B3724" s="1" t="s">
        <v>3712</v>
      </c>
      <c r="C3724" t="str">
        <f>IFERROR(__xludf.DUMMYFUNCTION("GOOGLETRANSLATE(B3724, ""zh"", ""en"")"),"Pigeon bottle bottle of good, very soft nipple for babies sucking effortlessly, great")</f>
        <v>Pigeon bottle bottle of good, very soft nipple for babies sucking effortlessly, great</v>
      </c>
    </row>
    <row r="3725">
      <c r="A3725" s="1">
        <v>5.0</v>
      </c>
      <c r="B3725" s="1" t="s">
        <v>3713</v>
      </c>
      <c r="C3725" t="str">
        <f>IFERROR(__xludf.DUMMYFUNCTION("GOOGLETRANSLATE(B3725, ""zh"", ""en"")"),"Boss with this bowl, super practical, continue to buy up her second child with the boss of this bowl, super practical, continue to buy up the second child")</f>
        <v>Boss with this bowl, super practical, continue to buy up her second child with the boss of this bowl, super practical, continue to buy up the second child</v>
      </c>
    </row>
    <row r="3726">
      <c r="A3726" s="1">
        <v>5.0</v>
      </c>
      <c r="B3726" s="1" t="s">
        <v>3714</v>
      </c>
      <c r="C3726" t="str">
        <f>IFERROR(__xludf.DUMMYFUNCTION("GOOGLETRANSLATE(B3726, ""zh"", ""en"")"),"Buy leather buy leather shoe mouth is really small, hard to wear off thieves, this non-leather and leather material is better to look good, this does not look good after wearing pleated thief, I recommend to buy leather.")</f>
        <v>Buy leather buy leather shoe mouth is really small, hard to wear off thieves, this non-leather and leather material is better to look good, this does not look good after wearing pleated thief, I recommend to buy leather.</v>
      </c>
    </row>
    <row r="3727">
      <c r="A3727" s="1">
        <v>5.0</v>
      </c>
      <c r="B3727" s="1" t="s">
        <v>3715</v>
      </c>
      <c r="C3727" t="str">
        <f>IFERROR(__xludf.DUMMYFUNCTION("GOOGLETRANSLATE(B3727, ""zh"", ""en"")"),"Cost-effective, robust been wearing ecco shoes, this little foot pressure, is the reason the model wrong?")</f>
        <v>Cost-effective, robust been wearing ecco shoes, this little foot pressure, is the reason the model wrong?</v>
      </c>
    </row>
    <row r="3728">
      <c r="A3728" s="1">
        <v>2.0</v>
      </c>
      <c r="B3728" s="1" t="s">
        <v>3716</v>
      </c>
      <c r="C3728" t="str">
        <f>IFERROR(__xludf.DUMMYFUNCTION("GOOGLETRANSLATE(B3728, ""zh"", ""en"")"),"Evaluation of the right length, thigh lateral fat, can not wear, or give it fat")</f>
        <v>Evaluation of the right length, thigh lateral fat, can not wear, or give it fat</v>
      </c>
    </row>
    <row r="3729">
      <c r="A3729" s="1">
        <v>3.0</v>
      </c>
      <c r="B3729" s="1" t="s">
        <v>3717</v>
      </c>
      <c r="C3729" t="str">
        <f>IFERROR(__xludf.DUMMYFUNCTION("GOOGLETRANSLATE(B3729, ""zh"", ""en"")"),"Generally it a little short, fat degree can, colors and fabrics to be worse than the pictures show, the fabric is very thin, it is not the grade.")</f>
        <v>Generally it a little short, fat degree can, colors and fabrics to be worse than the pictures show, the fabric is very thin, it is not the grade.</v>
      </c>
    </row>
    <row r="3730">
      <c r="A3730" s="1">
        <v>3.0</v>
      </c>
      <c r="B3730" s="1" t="s">
        <v>3718</v>
      </c>
      <c r="C3730" t="str">
        <f>IFERROR(__xludf.DUMMYFUNCTION("GOOGLETRANSLATE(B3730, ""zh"", ""en"")"),"Good use of key watch this kind of thing for a long, long time to test out its quality, I bought have been very accurate time to go last year, but the mirror is usually little attention to the resin is not easily scratched. The watch this price, the value"&amp;"!")</f>
        <v>Good use of key watch this kind of thing for a long, long time to test out its quality, I bought have been very accurate time to go last year, but the mirror is usually little attention to the resin is not easily scratched. The watch this price, the value!</v>
      </c>
    </row>
    <row r="3731">
      <c r="A3731" s="1">
        <v>3.0</v>
      </c>
      <c r="B3731" s="1" t="s">
        <v>3719</v>
      </c>
      <c r="C3731" t="str">
        <f>IFERROR(__xludf.DUMMYFUNCTION("GOOGLETRANSLATE(B3731, ""zh"", ""en"")"),"The wind is not strong domestic use to convert the first, original design voltage is 250v, 220v only domestic wind is not strong enough.")</f>
        <v>The wind is not strong domestic use to convert the first, original design voltage is 250v, 220v only domestic wind is not strong enough.</v>
      </c>
    </row>
    <row r="3732">
      <c r="A3732" s="1">
        <v>1.0</v>
      </c>
      <c r="B3732" s="1" t="s">
        <v>3720</v>
      </c>
      <c r="C3732" t="str">
        <f>IFERROR(__xludf.DUMMYFUNCTION("GOOGLETRANSLATE(B3732, ""zh"", ""en"")"),"Good cheap affordable big pot, like eating candy QQ, like one day to eat two totally could not help ah. I do not know how to effect, to eat and see, eat 21 Jin before he kind of deposit.")</f>
        <v>Good cheap affordable big pot, like eating candy QQ, like one day to eat two totally could not help ah. I do not know how to effect, to eat and see, eat 21 Jin before he kind of deposit.</v>
      </c>
    </row>
    <row r="3733">
      <c r="A3733" s="1">
        <v>1.0</v>
      </c>
      <c r="B3733" s="1" t="s">
        <v>3721</v>
      </c>
      <c r="C3733" t="str">
        <f>IFERROR(__xludf.DUMMYFUNCTION("GOOGLETRANSLATE(B3733, ""zh"", ""en"")"),"Lee jeans poor quality, unlike the real. Regret the purchase.")</f>
        <v>Lee jeans poor quality, unlike the real. Regret the purchase.</v>
      </c>
    </row>
    <row r="3734">
      <c r="A3734" s="1">
        <v>4.0</v>
      </c>
      <c r="B3734" s="1" t="s">
        <v>3722</v>
      </c>
      <c r="C3734" t="str">
        <f>IFERROR(__xludf.DUMMYFUNCTION("GOOGLETRANSLATE(B3734, ""zh"", ""en"")"),"In addition to the dial can also be installed inside a little crooked, the other okay.")</f>
        <v>In addition to the dial can also be installed inside a little crooked, the other okay.</v>
      </c>
    </row>
    <row r="3735">
      <c r="A3735" s="1">
        <v>4.0</v>
      </c>
      <c r="B3735" s="1" t="s">
        <v>3723</v>
      </c>
      <c r="C3735" t="str">
        <f>IFERROR(__xludf.DUMMYFUNCTION("GOOGLETRANSLATE(B3735, ""zh"", ""en"")"),"No trial nice suggestion to try before you buy. Bring behind big and round. No trial nice suggestion to try before you buy. Bring behind big and round.")</f>
        <v>No trial nice suggestion to try before you buy. Bring behind big and round. No trial nice suggestion to try before you buy. Bring behind big and round.</v>
      </c>
    </row>
    <row r="3736">
      <c r="A3736" s="1">
        <v>4.0</v>
      </c>
      <c r="B3736" s="1" t="s">
        <v>3724</v>
      </c>
      <c r="C3736" t="str">
        <f>IFERROR(__xludf.DUMMYFUNCTION("GOOGLETRANSLATE(B3736, ""zh"", ""en"")"),"Sound great, but really wearing comfort. . . Keke see this package, sank a length; the headset on your head, the chuck ah, cold heart and a part of it! But, but, when the voice sounded the moment, simply intoxicated. Audition song of God with a song Jacky"&amp;", high resolution sound, not even out of breath hitting the teeth voices are very clear, a lot of three-dimensional sense Goethe SR80E also previously used (Okay, I admit grado be seconds)! Note Note that this is not just a pot of effort and look forward "&amp;"to the effect of the open burning!")</f>
        <v>Sound great, but really wearing comfort. . . Keke see this package, sank a length; the headset on your head, the chuck ah, cold heart and a part of it! But, but, when the voice sounded the moment, simply intoxicated. Audition song of God with a song Jacky, high resolution sound, not even out of breath hitting the teeth voices are very clear, a lot of three-dimensional sense Goethe SR80E also previously used (Okay, I admit grado be seconds)! Note Note that this is not just a pot of effort and look forward to the effect of the open burning!</v>
      </c>
    </row>
    <row r="3737">
      <c r="A3737" s="1">
        <v>4.0</v>
      </c>
      <c r="B3737" s="1" t="s">
        <v>3725</v>
      </c>
      <c r="C3737" t="str">
        <f>IFERROR(__xludf.DUMMYFUNCTION("GOOGLETRANSLATE(B3737, ""zh"", ""en"")"),"A bit like home pants home pants a little bit biased, but really wear pants when the home is also inappropriate.")</f>
        <v>A bit like home pants home pants a little bit biased, but really wear pants when the home is also inappropriate.</v>
      </c>
    </row>
    <row r="3738">
      <c r="A3738" s="1">
        <v>4.0</v>
      </c>
      <c r="B3738" s="1" t="s">
        <v>3726</v>
      </c>
      <c r="C3738" t="str">
        <f>IFERROR(__xludf.DUMMYFUNCTION("GOOGLETRANSLATE(B3738, ""zh"", ""en"")"),"Yes, that is code number is too large 175CM / 53KG, Bust 86cm, just wear XS, XXS also like tight, the fabric more comfortable, the price is very good, code number is too large, but also seldom XS code")</f>
        <v>Yes, that is code number is too large 175CM / 53KG, Bust 86cm, just wear XS, XXS also like tight, the fabric more comfortable, the price is very good, code number is too large, but also seldom XS code</v>
      </c>
    </row>
    <row r="3739">
      <c r="A3739" s="1">
        <v>5.0</v>
      </c>
      <c r="B3739" s="1" t="s">
        <v>3727</v>
      </c>
      <c r="C3739" t="str">
        <f>IFERROR(__xludf.DUMMYFUNCTION("GOOGLETRANSLATE(B3739, ""zh"", ""en"")"),"Good shopping experience very well, foot feeling good, ah do not have to scrape together words")</f>
        <v>Good shopping experience very well, foot feeling good, ah do not have to scrape together words</v>
      </c>
    </row>
    <row r="3740">
      <c r="A3740" s="1">
        <v>5.0</v>
      </c>
      <c r="B3740" s="1" t="s">
        <v>3728</v>
      </c>
      <c r="C3740" t="str">
        <f>IFERROR(__xludf.DUMMYFUNCTION("GOOGLETRANSLATE(B3740, ""zh"", ""en"")"),"Praise, who bought who knows. Around 1500 shoes, the price to buy really good deal. 6cd just right, she usually wear 37 shoes. Working-class, first-class leather. delicate. Not bloated. Yet rugged. Praise.")</f>
        <v>Praise, who bought who knows. Around 1500 shoes, the price to buy really good deal. 6cd just right, she usually wear 37 shoes. Working-class, first-class leather. delicate. Not bloated. Yet rugged. Praise.</v>
      </c>
    </row>
    <row r="3741">
      <c r="A3741" s="1">
        <v>5.0</v>
      </c>
      <c r="B3741" s="1" t="s">
        <v>3729</v>
      </c>
      <c r="C3741" t="str">
        <f>IFERROR(__xludf.DUMMYFUNCTION("GOOGLETRANSLATE(B3741, ""zh"", ""en"")"),"UPS expects satisfactory logistics drink before the time is very accurate product tastes good satisfaction is ON his home 24G vanilla cocoa flavor is very strong due to the cross-border transport box packaging has basically been broken to open")</f>
        <v>UPS expects satisfactory logistics drink before the time is very accurate product tastes good satisfaction is ON his home 24G vanilla cocoa flavor is very strong due to the cross-border transport box packaging has basically been broken to open</v>
      </c>
    </row>
    <row r="3742">
      <c r="A3742" s="1">
        <v>5.0</v>
      </c>
      <c r="B3742" s="1" t="s">
        <v>3730</v>
      </c>
      <c r="C3742" t="str">
        <f>IFERROR(__xludf.DUMMYFUNCTION("GOOGLETRANSLATE(B3742, ""zh"", ""en"")"),"Well worth version, Slim, worth starting.")</f>
        <v>Well worth version, Slim, worth starting.</v>
      </c>
    </row>
    <row r="3743">
      <c r="A3743" s="1">
        <v>5.0</v>
      </c>
      <c r="B3743" s="1" t="s">
        <v>3731</v>
      </c>
      <c r="C3743" t="str">
        <f>IFERROR(__xludf.DUMMYFUNCTION("GOOGLETRANSLATE(B3743, ""zh"", ""en"")"),"Logistics quickly, the coffee machine is very beautiful! Read online a few days, choose this model, leadership is mainly home use, logistics very fast, less than a week to the Post, open look, looks very pretty, and packaging is also very tight, that is, "&amp;"no instructions in Chinese, the other is Romania produced, not Italian origin, it makes me somewhat regret. In addition, we are waiting to enjoy fresh coffee.")</f>
        <v>Logistics quickly, the coffee machine is very beautiful! Read online a few days, choose this model, leadership is mainly home use, logistics very fast, less than a week to the Post, open look, looks very pretty, and packaging is also very tight, that is, no instructions in Chinese, the other is Romania produced, not Italian origin, it makes me somewhat regret. In addition, we are waiting to enjoy fresh coffee.</v>
      </c>
    </row>
    <row r="3744">
      <c r="A3744" s="1">
        <v>5.0</v>
      </c>
      <c r="B3744" s="1" t="s">
        <v>3732</v>
      </c>
      <c r="C3744" t="str">
        <f>IFERROR(__xludf.DUMMYFUNCTION("GOOGLETRANSLATE(B3744, ""zh"", ""en"")"),"Brushing good assistant adorable, easy to use than the battery charging money or money, it is important, to protect the teeth from childhood, is really important.")</f>
        <v>Brushing good assistant adorable, easy to use than the battery charging money or money, it is important, to protect the teeth from childhood, is really important.</v>
      </c>
    </row>
    <row r="3745">
      <c r="A3745" s="1">
        <v>5.0</v>
      </c>
      <c r="B3745" s="1" t="s">
        <v>3733</v>
      </c>
      <c r="C3745" t="str">
        <f>IFERROR(__xludf.DUMMYFUNCTION("GOOGLETRANSLATE(B3745, ""zh"", ""en"")"),"Feeling good stuff looked pretty good, sound quality is very good, much cheaper than Jingdong, specifically asked the customer service under domestic warranty, praise")</f>
        <v>Feeling good stuff looked pretty good, sound quality is very good, much cheaper than Jingdong, specifically asked the customer service under domestic warranty, praise</v>
      </c>
    </row>
    <row r="3746">
      <c r="A3746" s="1">
        <v>5.0</v>
      </c>
      <c r="B3746" s="1" t="s">
        <v>3734</v>
      </c>
      <c r="C3746" t="str">
        <f>IFERROR(__xludf.DUMMYFUNCTION("GOOGLETRANSLATE(B3746, ""zh"", ""en"")"),"This pair of comfortable very comfortable with the size puma shoes as usual")</f>
        <v>This pair of comfortable very comfortable with the size puma shoes as usual</v>
      </c>
    </row>
    <row r="3747">
      <c r="A3747" s="1">
        <v>5.0</v>
      </c>
      <c r="B3747" s="1" t="s">
        <v>3735</v>
      </c>
      <c r="C3747" t="str">
        <f>IFERROR(__xludf.DUMMYFUNCTION("GOOGLETRANSLATE(B3747, ""zh"", ""en"")"),"Authentic genuine doubt, very meticulous workmanship")</f>
        <v>Authentic genuine doubt, very meticulous workmanship</v>
      </c>
    </row>
    <row r="3748">
      <c r="A3748" s="1">
        <v>5.0</v>
      </c>
      <c r="B3748" s="1" t="s">
        <v>3736</v>
      </c>
      <c r="C3748" t="str">
        <f>IFERROR(__xludf.DUMMYFUNCTION("GOOGLETRANSLATE(B3748, ""zh"", ""en"")"),"Rinse the intensity of flushing water pressure right size, look beautiful, one charge can feel a week")</f>
        <v>Rinse the intensity of flushing water pressure right size, look beautiful, one charge can feel a week</v>
      </c>
    </row>
    <row r="3749">
      <c r="A3749" s="1">
        <v>5.0</v>
      </c>
      <c r="B3749" s="1" t="s">
        <v>3737</v>
      </c>
      <c r="C3749" t="str">
        <f>IFERROR(__xludf.DUMMYFUNCTION("GOOGLETRANSLATE(B3749, ""zh"", ""en"")"),"Like 💕, quality assurance pants good 👌, the code is a big point, but still very fond of, is worth having")</f>
        <v>Like 💕, quality assurance pants good 👌, the code is a big point, but still very fond of, is worth having</v>
      </c>
    </row>
    <row r="3750">
      <c r="A3750" s="1">
        <v>5.0</v>
      </c>
      <c r="B3750" s="1" t="s">
        <v>3738</v>
      </c>
      <c r="C3750" t="str">
        <f>IFERROR(__xludf.DUMMYFUNCTION("GOOGLETRANSLATE(B3750, ""zh"", ""en"")"),"Great too comfortable, like wearing the same")</f>
        <v>Great too comfortable, like wearing the same</v>
      </c>
    </row>
    <row r="3751">
      <c r="A3751" s="1">
        <v>5.0</v>
      </c>
      <c r="B3751" s="1" t="s">
        <v>3739</v>
      </c>
      <c r="C3751" t="str">
        <f>IFERROR(__xludf.DUMMYFUNCTION("GOOGLETRANSLATE(B3751, ""zh"", ""en"")"),"The actual merchandise than drawing a good picture of the true color is the color looks in general, but the start is quite engaging. And wear good results. Recommended to start.")</f>
        <v>The actual merchandise than drawing a good picture of the true color is the color looks in general, but the start is quite engaging. And wear good results. Recommended to start.</v>
      </c>
    </row>
    <row r="3752">
      <c r="A3752" s="1">
        <v>5.0</v>
      </c>
      <c r="B3752" s="1" t="s">
        <v>3740</v>
      </c>
      <c r="C3752" t="str">
        <f>IFERROR(__xludf.DUMMYFUNCTION("GOOGLETRANSLATE(B3752, ""zh"", ""en"")"),"Bluetooth is doing it does not know the Bluetooth function is doing")</f>
        <v>Bluetooth is doing it does not know the Bluetooth function is doing</v>
      </c>
    </row>
    <row r="3753">
      <c r="A3753" s="1">
        <v>5.0</v>
      </c>
      <c r="B3753" s="1" t="s">
        <v>3741</v>
      </c>
      <c r="C3753" t="str">
        <f>IFERROR(__xludf.DUMMYFUNCTION("GOOGLETRANSLATE(B3753, ""zh"", ""en"")"),"Good use is useful, roasted steaks to delicious than pan fried, juice and tender and more")</f>
        <v>Good use is useful, roasted steaks to delicious than pan fried, juice and tender and more</v>
      </c>
    </row>
    <row r="3754">
      <c r="A3754" s="1">
        <v>5.0</v>
      </c>
      <c r="B3754" s="1" t="s">
        <v>3742</v>
      </c>
      <c r="C3754" t="str">
        <f>IFERROR(__xludf.DUMMYFUNCTION("GOOGLETRANSLATE(B3754, ""zh"", ""en"")"),"This size is too large clothes size is too large at least two yards of it, can only be to someone else to wear.")</f>
        <v>This size is too large clothes size is too large at least two yards of it, can only be to someone else to wear.</v>
      </c>
    </row>
    <row r="3755">
      <c r="A3755" s="1">
        <v>5.0</v>
      </c>
      <c r="B3755" s="1" t="s">
        <v>3743</v>
      </c>
      <c r="C3755" t="str">
        <f>IFERROR(__xludf.DUMMYFUNCTION("GOOGLETRANSLATE(B3755, ""zh"", ""en"")"),"Ao very thick too warm, a little tight")</f>
        <v>Ao very thick too warm, a little tight</v>
      </c>
    </row>
    <row r="3756">
      <c r="A3756" s="1">
        <v>5.0</v>
      </c>
      <c r="B3756" s="1" t="s">
        <v>3744</v>
      </c>
      <c r="C3756" t="str">
        <f>IFERROR(__xludf.DUMMYFUNCTION("GOOGLETRANSLATE(B3756, ""zh"", ""en"")"),"Yes. Good quality, simple but not simple style, ultra-like.")</f>
        <v>Yes. Good quality, simple but not simple style, ultra-like.</v>
      </c>
    </row>
    <row r="3757">
      <c r="A3757" s="1">
        <v>5.0</v>
      </c>
      <c r="B3757" s="1" t="s">
        <v>3745</v>
      </c>
      <c r="C3757" t="str">
        <f>IFERROR(__xludf.DUMMYFUNCTION("GOOGLETRANSLATE(B3757, ""zh"", ""en"")"),"Very nice very nice")</f>
        <v>Very nice very nice</v>
      </c>
    </row>
    <row r="3758">
      <c r="A3758" s="1">
        <v>5.0</v>
      </c>
      <c r="B3758" s="1" t="s">
        <v>3746</v>
      </c>
      <c r="C3758" t="str">
        <f>IFERROR(__xludf.DUMMYFUNCTION("GOOGLETRANSLATE(B3758, ""zh"", ""en"")"),"Classic law-abiding classics in a pen, no fancy decoration. Nib carving as good as Ashkenazi Japanese, a little sorry it's worth. Hand is found written in blue ink, the uncertainty is the factory testing, or retreat to return the goods. Try down, no probl"&amp;"em.")</f>
        <v>Classic law-abiding classics in a pen, no fancy decoration. Nib carving as good as Ashkenazi Japanese, a little sorry it's worth. Hand is found written in blue ink, the uncertainty is the factory testing, or retreat to return the goods. Try down, no problem.</v>
      </c>
    </row>
    <row r="3759">
      <c r="A3759" s="1">
        <v>5.0</v>
      </c>
      <c r="B3759" s="1" t="s">
        <v>3747</v>
      </c>
      <c r="C3759" t="str">
        <f>IFERROR(__xludf.DUMMYFUNCTION("GOOGLETRANSLATE(B3759, ""zh"", ""en"")"),"Good quality line drawing Dutch manufacturing can expect good quality long-term point")</f>
        <v>Good quality line drawing Dutch manufacturing can expect good quality long-term point</v>
      </c>
    </row>
    <row r="3760">
      <c r="A3760" s="1">
        <v>5.0</v>
      </c>
      <c r="B3760" s="1" t="s">
        <v>3748</v>
      </c>
      <c r="C3760" t="str">
        <f>IFERROR(__xludf.DUMMYFUNCTION("GOOGLETRANSLATE(B3760, ""zh"", ""en"")"),"Very good feel very good, very smooth writing, of course, I still liked the old junior high school with a mechanical pencil, then have a few dollars, now Kenichi a whim bought this, I feel very satisfied, of course, I may be useless mechanical pencil too "&amp;"good reason. . .")</f>
        <v>Very good feel very good, very smooth writing, of course, I still liked the old junior high school with a mechanical pencil, then have a few dollars, now Kenichi a whim bought this, I feel very satisfied, of course, I may be useless mechanical pencil too good reason. . .</v>
      </c>
    </row>
    <row r="3761">
      <c r="A3761" s="1">
        <v>2.0</v>
      </c>
      <c r="B3761" s="1" t="s">
        <v>3749</v>
      </c>
      <c r="C3761" t="str">
        <f>IFERROR(__xludf.DUMMYFUNCTION("GOOGLETRANSLATE(B3761, ""zh"", ""en"")"),"Wrong color color and image color that much difference, picture display light blue, dark blue kind, express delivery time is approximately 20 days.")</f>
        <v>Wrong color color and image color that much difference, picture display light blue, dark blue kind, express delivery time is approximately 20 days.</v>
      </c>
    </row>
    <row r="3762">
      <c r="A3762" s="1">
        <v>3.0</v>
      </c>
      <c r="B3762" s="1" t="s">
        <v>3750</v>
      </c>
      <c r="C3762" t="str">
        <f>IFERROR(__xludf.DUMMYFUNCTION("GOOGLETRANSLATE(B3762, ""zh"", ""en"")"),"Serious sticky hair, can not wear ah! ! ! Serious sticky hair, can not wear ah! ! !")</f>
        <v>Serious sticky hair, can not wear ah! ! ! Serious sticky hair, can not wear ah! ! !</v>
      </c>
    </row>
    <row r="3763">
      <c r="A3763" s="1">
        <v>3.0</v>
      </c>
      <c r="B3763" s="1" t="s">
        <v>3751</v>
      </c>
      <c r="C3763" t="str">
        <f>IFERROR(__xludf.DUMMYFUNCTION("GOOGLETRANSLATE(B3763, ""zh"", ""en"")"),"Quality is generally too large one yard, it seems the general quality")</f>
        <v>Quality is generally too large one yard, it seems the general quality</v>
      </c>
    </row>
    <row r="3764">
      <c r="A3764" s="1">
        <v>1.0</v>
      </c>
      <c r="B3764" s="1" t="s">
        <v>3752</v>
      </c>
      <c r="C3764" t="str">
        <f>IFERROR(__xludf.DUMMYFUNCTION("GOOGLETRANSLATE(B3764, ""zh"", ""en"")"),"M sharp, rough, no ink absorber. Look at the reviews do not buy early, this brand superstition, look into the two, there is no ink absorber, has been ink sac, blotter where to buy? Ink sac where to buy? There is a sharp M, daily writing does not apply onl"&amp;"y to sign a signature word and thought, return shipping can not afford to retire. . . To buy things in the future we must look at the comment.")</f>
        <v>M sharp, rough, no ink absorber. Look at the reviews do not buy early, this brand superstition, look into the two, there is no ink absorber, has been ink sac, blotter where to buy? Ink sac where to buy? There is a sharp M, daily writing does not apply only to sign a signature word and thought, return shipping can not afford to retire. . . To buy things in the future we must look at the comment.</v>
      </c>
    </row>
    <row r="3765">
      <c r="A3765" s="1">
        <v>1.0</v>
      </c>
      <c r="B3765" s="1" t="s">
        <v>3753</v>
      </c>
      <c r="C3765" t="str">
        <f>IFERROR(__xludf.DUMMYFUNCTION("GOOGLETRANSLATE(B3765, ""zh"", ""en"")"),"Amazon first time shopping, the whole experience very poor product pages on two models map, they look very good, but to get his hand was disappointing, first of all clothes have a color, not a map in black, but dark blue , followed by the material feels v"&amp;"ery rough, messy clothes thread a lot, in short, do not recommend buying")</f>
        <v>Amazon first time shopping, the whole experience very poor product pages on two models map, they look very good, but to get his hand was disappointing, first of all clothes have a color, not a map in black, but dark blue , followed by the material feels very rough, messy clothes thread a lot, in short, do not recommend buying</v>
      </c>
    </row>
    <row r="3766">
      <c r="A3766" s="1">
        <v>1.0</v>
      </c>
      <c r="B3766" s="1" t="s">
        <v>3754</v>
      </c>
      <c r="C3766" t="str">
        <f>IFERROR(__xludf.DUMMYFUNCTION("GOOGLETRANSLATE(B3766, ""zh"", ""en"")"),"General word too thick, not worth the price. Also water and more.")</f>
        <v>General word too thick, not worth the price. Also water and more.</v>
      </c>
    </row>
    <row r="3767">
      <c r="A3767" s="1">
        <v>4.0</v>
      </c>
      <c r="B3767" s="1" t="s">
        <v>3755</v>
      </c>
      <c r="C3767" t="str">
        <f>IFERROR(__xludf.DUMMYFUNCTION("GOOGLETRANSLATE(B3767, ""zh"", ""en"")"),"Size and bought the wrong size too big too much")</f>
        <v>Size and bought the wrong size too big too much</v>
      </c>
    </row>
    <row r="3768">
      <c r="A3768" s="1">
        <v>4.0</v>
      </c>
      <c r="B3768" s="1" t="s">
        <v>3756</v>
      </c>
      <c r="C3768" t="str">
        <f>IFERROR(__xludf.DUMMYFUNCTION("GOOGLETRANSLATE(B3768, ""zh"", ""en"")"),"To wear a little bit small, the top of the foot, the foot was wrapped a little tight.")</f>
        <v>To wear a little bit small, the top of the foot, the foot was wrapped a little tight.</v>
      </c>
    </row>
    <row r="3769">
      <c r="A3769" s="1">
        <v>4.0</v>
      </c>
      <c r="B3769" s="1" t="s">
        <v>3757</v>
      </c>
      <c r="C3769" t="str">
        <f>IFERROR(__xludf.DUMMYFUNCTION("GOOGLETRANSLATE(B3769, ""zh"", ""en"")"),"Pilling serious pilling serious, can only wear season, warm and good")</f>
        <v>Pilling serious pilling serious, can only wear season, warm and good</v>
      </c>
    </row>
    <row r="3770">
      <c r="A3770" s="1">
        <v>4.0</v>
      </c>
      <c r="B3770" s="1" t="s">
        <v>3758</v>
      </c>
      <c r="C3770" t="str">
        <f>IFERROR(__xludf.DUMMYFUNCTION("GOOGLETRANSLATE(B3770, ""zh"", ""en"")"),"very satisfied! ! Good, very good quality, but also comfortable to wear.")</f>
        <v>very satisfied! ! Good, very good quality, but also comfortable to wear.</v>
      </c>
    </row>
    <row r="3771">
      <c r="A3771" s="1">
        <v>4.0</v>
      </c>
      <c r="B3771" s="1" t="s">
        <v>3759</v>
      </c>
      <c r="C3771" t="str">
        <f>IFERROR(__xludf.DUMMYFUNCTION("GOOGLETRANSLATE(B3771, ""zh"", ""en"")"),"Annoying clothes have to be pretty good, right title, is the English version a little larger than the Asian version, the fastener head on the right side, just use may not adapt")</f>
        <v>Annoying clothes have to be pretty good, right title, is the English version a little larger than the Asian version, the fastener head on the right side, just use may not adapt</v>
      </c>
    </row>
    <row r="3772">
      <c r="A3772" s="1">
        <v>5.0</v>
      </c>
      <c r="B3772" s="1" t="s">
        <v>3760</v>
      </c>
      <c r="C3772" t="str">
        <f>IFERROR(__xludf.DUMMYFUNCTION("GOOGLETRANSLATE(B3772, ""zh"", ""en"")"),"Quality can be, but also when the pockets. Feeling a little backpack. Touches men and women can use")</f>
        <v>Quality can be, but also when the pockets. Feeling a little backpack. Touches men and women can use</v>
      </c>
    </row>
    <row r="3773">
      <c r="A3773" s="1">
        <v>5.0</v>
      </c>
      <c r="B3773" s="1" t="s">
        <v>3761</v>
      </c>
      <c r="C3773" t="str">
        <f>IFERROR(__xludf.DUMMYFUNCTION("GOOGLETRANSLATE(B3773, ""zh"", ""en"")"),"Clothes clothes a little longer, but you can wear")</f>
        <v>Clothes clothes a little longer, but you can wear</v>
      </c>
    </row>
    <row r="3774">
      <c r="A3774" s="1">
        <v>5.0</v>
      </c>
      <c r="B3774" s="1" t="s">
        <v>3762</v>
      </c>
      <c r="C3774" t="str">
        <f>IFERROR(__xludf.DUMMYFUNCTION("GOOGLETRANSLATE(B3774, ""zh"", ""en"")"),"Small for a few days to comment, go out a little cup of water on the bag just right, the color is more like it.")</f>
        <v>Small for a few days to comment, go out a little cup of water on the bag just right, the color is more like it.</v>
      </c>
    </row>
    <row r="3775">
      <c r="A3775" s="1">
        <v>5.0</v>
      </c>
      <c r="B3775" s="1" t="s">
        <v>3763</v>
      </c>
      <c r="C3775" t="str">
        <f>IFERROR(__xludf.DUMMYFUNCTION("GOOGLETRANSLATE(B3775, ""zh"", ""en"")"),"Very worthwhile purchase to buy the lowest price 760.43, plus taxes, but 850 yuan, a lot cheaper than domestic (with a special voucher East also need 979 yuan), in fact seven days on receipt of the goods, there is no excessive packaging, simple original b"&amp;"ubble box packaging, produced in Malaysia, is slightly thicker than a 2T bit, but nothing issue into hard pack. Built-in hard disk management of various backup encryption software, sound is very small, about the transmission speed 60-80MB / S, the actual "&amp;"capacity of about 3.7T, different numbers and domestic sales, the United States still trust the quality management system, very satisfied, we recommend purchase.")</f>
        <v>Very worthwhile purchase to buy the lowest price 760.43, plus taxes, but 850 yuan, a lot cheaper than domestic (with a special voucher East also need 979 yuan), in fact seven days on receipt of the goods, there is no excessive packaging, simple original bubble box packaging, produced in Malaysia, is slightly thicker than a 2T bit, but nothing issue into hard pack. Built-in hard disk management of various backup encryption software, sound is very small, about the transmission speed 60-80MB / S, the actual capacity of about 3.7T, different numbers and domestic sales, the United States still trust the quality management system, very satisfied, we recommend purchase.</v>
      </c>
    </row>
    <row r="3776">
      <c r="A3776" s="1">
        <v>5.0</v>
      </c>
      <c r="B3776" s="1" t="s">
        <v>3764</v>
      </c>
      <c r="C3776" t="str">
        <f>IFERROR(__xludf.DUMMYFUNCTION("GOOGLETRANSLATE(B3776, ""zh"", ""en"")"),"Size shoes is very beautiful, a little tight at the instep out, the right size, usually domestic general size 39, US Code 7 loose")</f>
        <v>Size shoes is very beautiful, a little tight at the instep out, the right size, usually domestic general size 39, US Code 7 loose</v>
      </c>
    </row>
    <row r="3777">
      <c r="A3777" s="1">
        <v>5.0</v>
      </c>
      <c r="B3777" s="1" t="s">
        <v>3765</v>
      </c>
      <c r="C3777" t="str">
        <f>IFERROR(__xludf.DUMMYFUNCTION("GOOGLETRANSLATE(B3777, ""zh"", ""en"")"),"Satisfying shopping version of the type well, to wear for the summer or fall.")</f>
        <v>Satisfying shopping version of the type well, to wear for the summer or fall.</v>
      </c>
    </row>
    <row r="3778">
      <c r="A3778" s="1">
        <v>5.0</v>
      </c>
      <c r="B3778" s="1" t="s">
        <v>3766</v>
      </c>
      <c r="C3778" t="str">
        <f>IFERROR(__xludf.DUMMYFUNCTION("GOOGLETRANSLATE(B3778, ""zh"", ""en"")"),"High quality sound high quality headphones, but it must be on the amp. Direct Push does not work, empty sound, high-frequency two uncontrollable. After parsing put on a strong, open sound field, the human voice was okay, relatively omnivorous.")</f>
        <v>High quality sound high quality headphones, but it must be on the amp. Direct Push does not work, empty sound, high-frequency two uncontrollable. After parsing put on a strong, open sound field, the human voice was okay, relatively omnivorous.</v>
      </c>
    </row>
    <row r="3779">
      <c r="A3779" s="1">
        <v>5.0</v>
      </c>
      <c r="B3779" s="1" t="s">
        <v>3767</v>
      </c>
      <c r="C3779" t="str">
        <f>IFERROR(__xludf.DUMMYFUNCTION("GOOGLETRANSLATE(B3779, ""zh"", ""en"")"),"Snacks good to wear")</f>
        <v>Snacks good to wear</v>
      </c>
    </row>
    <row r="3780">
      <c r="A3780" s="1">
        <v>5.0</v>
      </c>
      <c r="B3780" s="1" t="s">
        <v>3768</v>
      </c>
      <c r="C3780" t="str">
        <f>IFERROR(__xludf.DUMMYFUNCTION("GOOGLETRANSLATE(B3780, ""zh"", ""en"")"),"Good shoes overseas purchase, the time of receipt is given than when orders are expected to be faster than a week, praise! Shoes is very beautiful, very good material, work is also very good, especially the soles of the material, work is also very good. T"&amp;"hen praise! Price: cost and freight tariffs on a total of 450 are less than the Shanghai store selling shoes a lot cheaper, but good style. Then praise! Express domestic segment is good luck, big name, delivery experience can be bad. No prior notice to ex"&amp;"plain directly to the abundance of goods put up nest boxes, unpacking to see shoes and seeking the cover of the carton cracked a big middle seam, good shoes, not including the affected intact, a false alarm. SF Express can only give such a bad review!")</f>
        <v>Good shoes overseas purchase, the time of receipt is given than when orders are expected to be faster than a week, praise! Shoes is very beautiful, very good material, work is also very good, especially the soles of the material, work is also very good. Then praise! Price: cost and freight tariffs on a total of 450 are less than the Shanghai store selling shoes a lot cheaper, but good style. Then praise! Express domestic segment is good luck, big name, delivery experience can be bad. No prior notice to explain directly to the abundance of goods put up nest boxes, unpacking to see shoes and seeking the cover of the carton cracked a big middle seam, good shoes, not including the affected intact, a false alarm. SF Express can only give such a bad review!</v>
      </c>
    </row>
    <row r="3781">
      <c r="A3781" s="1">
        <v>5.0</v>
      </c>
      <c r="B3781" s="1" t="s">
        <v>3769</v>
      </c>
      <c r="C3781" t="str">
        <f>IFERROR(__xludf.DUMMYFUNCTION("GOOGLETRANSLATE(B3781, ""zh"", ""en"")"),"Just relaxed. 173cm 77kg buy this pants just 33W * 30L.")</f>
        <v>Just relaxed. 173cm 77kg buy this pants just 33W * 30L.</v>
      </c>
    </row>
    <row r="3782">
      <c r="A3782" s="1">
        <v>5.0</v>
      </c>
      <c r="B3782" s="1" t="s">
        <v>3770</v>
      </c>
      <c r="C3782" t="str">
        <f>IFERROR(__xludf.DUMMYFUNCTION("GOOGLETRANSLATE(B3782, ""zh"", ""en"")"),"Okay good clothes is to buy small, I 173 64kg, should wear m")</f>
        <v>Okay good clothes is to buy small, I 173 64kg, should wear m</v>
      </c>
    </row>
    <row r="3783">
      <c r="A3783" s="1">
        <v>5.0</v>
      </c>
      <c r="B3783" s="1" t="s">
        <v>3771</v>
      </c>
      <c r="C3783" t="str">
        <f>IFERROR(__xludf.DUMMYFUNCTION("GOOGLETRANSLATE(B3783, ""zh"", ""en"")"),"Good right size, very good.")</f>
        <v>Good right size, very good.</v>
      </c>
    </row>
    <row r="3784">
      <c r="A3784" s="1">
        <v>5.0</v>
      </c>
      <c r="B3784" s="1" t="s">
        <v>3772</v>
      </c>
      <c r="C3784" t="str">
        <f>IFERROR(__xludf.DUMMYFUNCTION("GOOGLETRANSLATE(B3784, ""zh"", ""en"")"),"Pants good, flexible and elastic, very good, not fat, just right. My height 176 weight 86kg, sturdy body not fat.")</f>
        <v>Pants good, flexible and elastic, very good, not fat, just right. My height 176 weight 86kg, sturdy body not fat.</v>
      </c>
    </row>
    <row r="3785">
      <c r="A3785" s="1">
        <v>5.0</v>
      </c>
      <c r="B3785" s="1" t="s">
        <v>3773</v>
      </c>
      <c r="C3785" t="str">
        <f>IFERROR(__xludf.DUMMYFUNCTION("GOOGLETRANSLATE(B3785, ""zh"", ""en"")"),"Very nice, pleasant experience. To help his girlfriend to buy, appropriate code number, work better than expected, the logistics faster than expected, good expectations management, this is a pleasant shopping experience. I want to wear long no quality pro"&amp;"blems.")</f>
        <v>Very nice, pleasant experience. To help his girlfriend to buy, appropriate code number, work better than expected, the logistics faster than expected, good expectations management, this is a pleasant shopping experience. I want to wear long no quality problems.</v>
      </c>
    </row>
    <row r="3786">
      <c r="A3786" s="1">
        <v>5.0</v>
      </c>
      <c r="B3786" s="1" t="s">
        <v>3774</v>
      </c>
      <c r="C3786" t="str">
        <f>IFERROR(__xludf.DUMMYFUNCTION("GOOGLETRANSLATE(B3786, ""zh"", ""en"")"),"Lee is my love. Lee pants, material good, good type version, good quality, good-looking and comfortable to wear, very satisfied!")</f>
        <v>Lee is my love. Lee pants, material good, good type version, good quality, good-looking and comfortable to wear, very satisfied!</v>
      </c>
    </row>
    <row r="3787">
      <c r="A3787" s="1">
        <v>5.0</v>
      </c>
      <c r="B3787" s="1" t="s">
        <v>3775</v>
      </c>
      <c r="C3787" t="str">
        <f>IFERROR(__xludf.DUMMYFUNCTION("GOOGLETRANSLATE(B3787, ""zh"", ""en"")"),"Very soft very soft, much more than on a treasure flagship store to buy soft. Not from the previous evaluation, I do not know how many wasted points, points can change money now know, they should look carefully evaluated, then I put these words to copy to"&amp;" go, both to earn points, but also save trouble, they go where copy the most important thing is, do not seriously review, do not think how much worse word, sent directly to it, recommend it to everyone! !")</f>
        <v>Very soft very soft, much more than on a treasure flagship store to buy soft. Not from the previous evaluation, I do not know how many wasted points, points can change money now know, they should look carefully evaluated, then I put these words to copy to go, both to earn points, but also save trouble, they go where copy the most important thing is, do not seriously review, do not think how much worse word, sent directly to it, recommend it to everyone! !</v>
      </c>
    </row>
    <row r="3788">
      <c r="A3788" s="1">
        <v>5.0</v>
      </c>
      <c r="B3788" s="1" t="s">
        <v>3776</v>
      </c>
      <c r="C3788" t="str">
        <f>IFERROR(__xludf.DUMMYFUNCTION("GOOGLETRANSLATE(B3788, ""zh"", ""en"")"),"Good to hear the bass texture, closer to the human voice, high-frequency natural, good to hear. Although not HIFI headphones, listening to pop music but in respect of such a voice. Simple simple, do not wave appearance, sound value.")</f>
        <v>Good to hear the bass texture, closer to the human voice, high-frequency natural, good to hear. Although not HIFI headphones, listening to pop music but in respect of such a voice. Simple simple, do not wave appearance, sound value.</v>
      </c>
    </row>
    <row r="3789">
      <c r="A3789" s="1">
        <v>5.0</v>
      </c>
      <c r="B3789" s="1" t="s">
        <v>3777</v>
      </c>
      <c r="C3789" t="str">
        <f>IFERROR(__xludf.DUMMYFUNCTION("GOOGLETRANSLATE(B3789, ""zh"", ""en"")"),"174, 75KG, M number just right. Very good quality stuff, very comfortable. 174, 75KG, M number just right. Very good quality stuff, very comfortable.")</f>
        <v>174, 75KG, M number just right. Very good quality stuff, very comfortable. 174, 75KG, M number just right. Very good quality stuff, very comfortable.</v>
      </c>
    </row>
    <row r="3790">
      <c r="A3790" s="1">
        <v>5.0</v>
      </c>
      <c r="B3790" s="1" t="s">
        <v>3778</v>
      </c>
      <c r="C3790" t="str">
        <f>IFERROR(__xludf.DUMMYFUNCTION("GOOGLETRANSLATE(B3790, ""zh"", ""en"")"),"Price is also very looking forward to when you can buy, get our hands did not disappoint me 160,58kg buy the W29")</f>
        <v>Price is also very looking forward to when you can buy, get our hands did not disappoint me 160,58kg buy the W29</v>
      </c>
    </row>
    <row r="3791">
      <c r="A3791" s="1">
        <v>5.0</v>
      </c>
      <c r="B3791" s="1" t="s">
        <v>3779</v>
      </c>
      <c r="C3791" t="str">
        <f>IFERROR(__xludf.DUMMYFUNCTION("GOOGLETRANSLATE(B3791, ""zh"", ""en"")"),"Good easy to use, and replace the straw")</f>
        <v>Good easy to use, and replace the straw</v>
      </c>
    </row>
    <row r="3792">
      <c r="A3792" s="1">
        <v>5.0</v>
      </c>
      <c r="B3792" s="1" t="s">
        <v>3780</v>
      </c>
      <c r="C3792" t="str">
        <f>IFERROR(__xludf.DUMMYFUNCTION("GOOGLETRANSLATE(B3792, ""zh"", ""en"")"),"Tights good, I belly a little big 😓😓😓 ...... great age, and a little pot. 177/77. Buy the L number, wearing a very fit, the sleeves a little longer, there is the stomach where stretched tight, very noticeable belly 😓 ...... seems to do 200 sit-ups eve"&amp;"ry day ...... 😂")</f>
        <v>Tights good, I belly a little big 😓😓😓 ...... great age, and a little pot. 177/77. Buy the L number, wearing a very fit, the sleeves a little longer, there is the stomach where stretched tight, very noticeable belly 😓 ...... seems to do 200 sit-ups every day ...... 😂</v>
      </c>
    </row>
    <row r="3793">
      <c r="A3793" s="1">
        <v>5.0</v>
      </c>
      <c r="B3793" s="1" t="s">
        <v>3781</v>
      </c>
      <c r="C3793" t="str">
        <f>IFERROR(__xludf.DUMMYFUNCTION("GOOGLETRANSLATE(B3793, ""zh"", ""en"")"),"Backpack is also good, the right size, comfortable carrying")</f>
        <v>Backpack is also good, the right size, comfortable carrying</v>
      </c>
    </row>
    <row r="3794">
      <c r="A3794" s="1">
        <v>2.0</v>
      </c>
      <c r="B3794" s="1" t="s">
        <v>3782</v>
      </c>
      <c r="C3794" t="str">
        <f>IFERROR(__xludf.DUMMYFUNCTION("GOOGLETRANSLATE(B3794, ""zh"", ""en"")"),"Severe water directed at Yan value to buy, but to use them especially Zaoxin, due to a leak very serious! ! ! Discard ~")</f>
        <v>Severe water directed at Yan value to buy, but to use them especially Zaoxin, due to a leak very serious! ! ! Discard ~</v>
      </c>
    </row>
    <row r="3795">
      <c r="A3795" s="1">
        <v>3.0</v>
      </c>
      <c r="B3795" s="1" t="s">
        <v>3783</v>
      </c>
      <c r="C3795" t="str">
        <f>IFERROR(__xludf.DUMMYFUNCTION("GOOGLETRANSLATE(B3795, ""zh"", ""en"")"),"Okay a little big color too blue, long sleeves big bust")</f>
        <v>Okay a little big color too blue, long sleeves big bust</v>
      </c>
    </row>
    <row r="3796">
      <c r="A3796" s="1">
        <v>3.0</v>
      </c>
      <c r="B3796" s="1" t="s">
        <v>3784</v>
      </c>
      <c r="C3796" t="str">
        <f>IFERROR(__xludf.DUMMYFUNCTION("GOOGLETRANSLATE(B3796, ""zh"", ""en"")"),"Fade is hard to believe is genuine, that says made in China, South Korea is a two-dimensional code, the kind of color like a washed faded, the white side also stained with red dot -")</f>
        <v>Fade is hard to believe is genuine, that says made in China, South Korea is a two-dimensional code, the kind of color like a washed faded, the white side also stained with red dot -</v>
      </c>
    </row>
    <row r="3797">
      <c r="A3797" s="1">
        <v>3.0</v>
      </c>
      <c r="B3797" s="1" t="s">
        <v>3785</v>
      </c>
      <c r="C3797" t="str">
        <f>IFERROR(__xludf.DUMMYFUNCTION("GOOGLETRANSLATE(B3797, ""zh"", ""en"")"),"The title is very thin, not feel like looking at the signs are genuine")</f>
        <v>The title is very thin, not feel like looking at the signs are genuine</v>
      </c>
    </row>
    <row r="3798">
      <c r="A3798" s="1">
        <v>1.0</v>
      </c>
      <c r="B3798" s="1" t="s">
        <v>3786</v>
      </c>
      <c r="C3798" t="str">
        <f>IFERROR(__xludf.DUMMYFUNCTION("GOOGLETRANSLATE(B3798, ""zh"", ""en"")"),"Leaking spent some time on the deformation of rubber gasket, and severe water do not know why")</f>
        <v>Leaking spent some time on the deformation of rubber gasket, and severe water do not know why</v>
      </c>
    </row>
    <row r="3799">
      <c r="A3799" s="1">
        <v>1.0</v>
      </c>
      <c r="B3799" s="1" t="s">
        <v>3787</v>
      </c>
      <c r="C3799" t="str">
        <f>IFERROR(__xludf.DUMMYFUNCTION("GOOGLETRANSLATE(B3799, ""zh"", ""en"")"),"Always wrong clothes rather long, chest logo is not the same color with the picture, bought a lot of pieces are like this, there is no picture styles do not buy, but also hung")</f>
        <v>Always wrong clothes rather long, chest logo is not the same color with the picture, bought a lot of pieces are like this, there is no picture styles do not buy, but also hung</v>
      </c>
    </row>
    <row r="3800">
      <c r="A3800" s="1">
        <v>4.0</v>
      </c>
      <c r="B3800" s="1" t="s">
        <v>3788</v>
      </c>
      <c r="C3800" t="str">
        <f>IFERROR(__xludf.DUMMYFUNCTION("GOOGLETRANSLATE(B3800, ""zh"", ""en"")"),"Too much, too large for 180,190 pounds, 220 pounds no problem too wide, too cumbersome returnable")</f>
        <v>Too much, too large for 180,190 pounds, 220 pounds no problem too wide, too cumbersome returnable</v>
      </c>
    </row>
    <row r="3801">
      <c r="A3801" s="1">
        <v>4.0</v>
      </c>
      <c r="B3801" s="1" t="s">
        <v>3789</v>
      </c>
      <c r="C3801" t="str">
        <f>IFERROR(__xludf.DUMMYFUNCTION("GOOGLETRANSLATE(B3801, ""zh"", ""en"")"),"Probably because I'm tall arch pad a thin insole slightly crowded work what is good probably because I pad a thin insole high arch a little crowded when everyday wear very comfortable quite like this brand and other activities to buy two pairs for the wea"&amp;"r of the Amazon a good deal")</f>
        <v>Probably because I'm tall arch pad a thin insole slightly crowded work what is good probably because I pad a thin insole high arch a little crowded when everyday wear very comfortable quite like this brand and other activities to buy two pairs for the wear of the Amazon a good deal</v>
      </c>
    </row>
    <row r="3802">
      <c r="A3802" s="1">
        <v>4.0</v>
      </c>
      <c r="B3802" s="1" t="s">
        <v>3790</v>
      </c>
      <c r="C3802" t="str">
        <f>IFERROR(__xludf.DUMMYFUNCTION("GOOGLETRANSLATE(B3802, ""zh"", ""en"")"),"High arches were careful to buy! Starting 7 days from order hand, the German shipping. Sure enough, comments and said the same, high arches would be very crowded. My feet are normal, a little difficult to go into, but go into the fine. But a little higher"&amp;" will be crowded. After wearing the effect is good, a little handsome.")</f>
        <v>High arches were careful to buy! Starting 7 days from order hand, the German shipping. Sure enough, comments and said the same, high arches would be very crowded. My feet are normal, a little difficult to go into, but go into the fine. But a little higher will be crowded. After wearing the effect is good, a little handsome.</v>
      </c>
    </row>
    <row r="3803">
      <c r="A3803" s="1">
        <v>4.0</v>
      </c>
      <c r="B3803" s="1" t="s">
        <v>3791</v>
      </c>
      <c r="C3803" t="str">
        <f>IFERROR(__xludf.DUMMYFUNCTION("GOOGLETRANSLATE(B3803, ""zh"", ""en"")"),"Some thin pants and large I 170cm, 76kg. Sea Amoy experience to know before I buy s code, but this is still too big pants, but also some a little longer. Looser pants, cuffs not very tight kind. Cloth worn like a feeling of hemp, I feel the price is quite"&amp;" satisfactory.")</f>
        <v>Some thin pants and large I 170cm, 76kg. Sea Amoy experience to know before I buy s code, but this is still too big pants, but also some a little longer. Looser pants, cuffs not very tight kind. Cloth worn like a feeling of hemp, I feel the price is quite satisfactory.</v>
      </c>
    </row>
    <row r="3804">
      <c r="A3804" s="1">
        <v>4.0</v>
      </c>
      <c r="B3804" s="1" t="s">
        <v>3792</v>
      </c>
      <c r="C3804" t="str">
        <f>IFERROR(__xludf.DUMMYFUNCTION("GOOGLETRANSLATE(B3804, ""zh"", ""en"")"),"And not with a bottle bought together, not by")</f>
        <v>And not with a bottle bought together, not by</v>
      </c>
    </row>
    <row r="3805">
      <c r="A3805" s="1">
        <v>5.0</v>
      </c>
      <c r="B3805" s="1" t="s">
        <v>3793</v>
      </c>
      <c r="C3805" t="str">
        <f>IFERROR(__xludf.DUMMYFUNCTION("GOOGLETRANSLATE(B3805, ""zh"", ""en"")"),"Lee this pants with elastic, fabric is very comfortable, suitable for outdoor sports, give praise")</f>
        <v>Lee this pants with elastic, fabric is very comfortable, suitable for outdoor sports, give praise</v>
      </c>
    </row>
    <row r="3806">
      <c r="A3806" s="1">
        <v>5.0</v>
      </c>
      <c r="B3806" s="1" t="s">
        <v>3794</v>
      </c>
      <c r="C3806" t="str">
        <f>IFERROR(__xludf.DUMMYFUNCTION("GOOGLETRANSLATE(B3806, ""zh"", ""en"")"),"Yes softer fine.")</f>
        <v>Yes softer fine.</v>
      </c>
    </row>
    <row r="3807">
      <c r="A3807" s="1">
        <v>5.0</v>
      </c>
      <c r="B3807" s="1" t="s">
        <v>3795</v>
      </c>
      <c r="C3807" t="str">
        <f>IFERROR(__xludf.DUMMYFUNCTION("GOOGLETRANSLATE(B3807, ""zh"", ""en"")"),"Something I feel very good, but I was very satisfied with this looser cap")</f>
        <v>Something I feel very good, but I was very satisfied with this looser cap</v>
      </c>
    </row>
    <row r="3808">
      <c r="A3808" s="1">
        <v>5.0</v>
      </c>
      <c r="B3808" s="1" t="s">
        <v>3796</v>
      </c>
      <c r="C3808" t="str">
        <f>IFERROR(__xludf.DUMMYFUNCTION("GOOGLETRANSLATE(B3808, ""zh"", ""en"")"),"Fabric comfortable, simple and elegant models. 172/73 has the stomach, shoulder and chest in numbers are very fit, may be bottoming wear, summer wear if you need to buy a bigger size, otherwise the sweat will close to the skin. Personally I feel that this"&amp;" T-shirt size closer to the standard of Asians, did not afraid to buy a big feeling.")</f>
        <v>Fabric comfortable, simple and elegant models. 172/73 has the stomach, shoulder and chest in numbers are very fit, may be bottoming wear, summer wear if you need to buy a bigger size, otherwise the sweat will close to the skin. Personally I feel that this T-shirt size closer to the standard of Asians, did not afraid to buy a big feeling.</v>
      </c>
    </row>
    <row r="3809">
      <c r="A3809" s="1">
        <v>5.0</v>
      </c>
      <c r="B3809" s="1" t="s">
        <v>3797</v>
      </c>
      <c r="C3809" t="str">
        <f>IFERROR(__xludf.DUMMYFUNCTION("GOOGLETRANSLATE(B3809, ""zh"", ""en"")"),"Without a shower hose without hose, please pay attention to buy")</f>
        <v>Without a shower hose without hose, please pay attention to buy</v>
      </c>
    </row>
    <row r="3810">
      <c r="A3810" s="1">
        <v>5.0</v>
      </c>
      <c r="B3810" s="1" t="s">
        <v>3798</v>
      </c>
      <c r="C3810" t="str">
        <f>IFERROR(__xludf.DUMMYFUNCTION("GOOGLETRANSLATE(B3810, ""zh"", ""en"")"),"Cute straw cup appearance of good quality, good grip children, as well as replace straw, worth buying")</f>
        <v>Cute straw cup appearance of good quality, good grip children, as well as replace straw, worth buying</v>
      </c>
    </row>
    <row r="3811">
      <c r="A3811" s="1">
        <v>5.0</v>
      </c>
      <c r="B3811" s="1" t="s">
        <v>3799</v>
      </c>
      <c r="C3811" t="str">
        <f>IFERROR(__xludf.DUMMYFUNCTION("GOOGLETRANSLATE(B3811, ""zh"", ""en"")"),"Overall to praise it 16 orders, 18 delivery, today received it fairly quickly. The package also can be, there are air-cushioning pockets. Watch the appearance of no problem, just need to adjust the next time.")</f>
        <v>Overall to praise it 16 orders, 18 delivery, today received it fairly quickly. The package also can be, there are air-cushioning pockets. Watch the appearance of no problem, just need to adjust the next time.</v>
      </c>
    </row>
    <row r="3812">
      <c r="A3812" s="1">
        <v>5.0</v>
      </c>
      <c r="B3812" s="1" t="s">
        <v>3800</v>
      </c>
      <c r="C3812" t="str">
        <f>IFERROR(__xludf.DUMMYFUNCTION("GOOGLETRANSLATE(B3812, ""zh"", ""en"")"),"Style classic style I liked it, the price is very affordable, is the smallest only 36 yards, if there are 35 more appropriate.")</f>
        <v>Style classic style I liked it, the price is very affordable, is the smallest only 36 yards, if there are 35 more appropriate.</v>
      </c>
    </row>
    <row r="3813">
      <c r="A3813" s="1">
        <v>5.0</v>
      </c>
      <c r="B3813" s="1" t="s">
        <v>3801</v>
      </c>
      <c r="C3813" t="str">
        <f>IFERROR(__xludf.DUMMYFUNCTION("GOOGLETRANSLATE(B3813, ""zh"", ""en"")"),"Product quality is good, the right size to judge from the material should be genuine, definitely better than those brands of China-made materials. I 173, weight 65kg, S code just wear. This section belongs to the thin section, should be more suitable for "&amp;"spring and autumn wear.")</f>
        <v>Product quality is good, the right size to judge from the material should be genuine, definitely better than those brands of China-made materials. I 173, weight 65kg, S code just wear. This section belongs to the thin section, should be more suitable for spring and autumn wear.</v>
      </c>
    </row>
    <row r="3814">
      <c r="A3814" s="1">
        <v>5.0</v>
      </c>
      <c r="B3814" s="1" t="s">
        <v>3802</v>
      </c>
      <c r="C3814" t="str">
        <f>IFERROR(__xludf.DUMMYFUNCTION("GOOGLETRANSLATE(B3814, ""zh"", ""en"")"),"Good sound quality headphones Sony Dafa is good! Good sound good buy lots of Sony headphones")</f>
        <v>Good sound quality headphones Sony Dafa is good! Good sound good buy lots of Sony headphones</v>
      </c>
    </row>
    <row r="3815">
      <c r="A3815" s="1">
        <v>5.0</v>
      </c>
      <c r="B3815" s="1" t="s">
        <v>3803</v>
      </c>
      <c r="C3815" t="str">
        <f>IFERROR(__xludf.DUMMYFUNCTION("GOOGLETRANSLATE(B3815, ""zh"", ""en"")"),"Perfect coffee machine from the exterior to the function is perfect, easy to use, the coffee produced is also ok, the value of the home Member free shipping")</f>
        <v>Perfect coffee machine from the exterior to the function is perfect, easy to use, the coffee produced is also ok, the value of the home Member free shipping</v>
      </c>
    </row>
    <row r="3816">
      <c r="A3816" s="1">
        <v>5.0</v>
      </c>
      <c r="B3816" s="1" t="s">
        <v>3804</v>
      </c>
      <c r="C3816" t="str">
        <f>IFERROR(__xludf.DUMMYFUNCTION("GOOGLETRANSLATE(B3816, ""zh"", ""en"")"),"Cheap very fit, the price to buy is still very suitable clark")</f>
        <v>Cheap very fit, the price to buy is still very suitable clark</v>
      </c>
    </row>
    <row r="3817">
      <c r="A3817" s="1">
        <v>5.0</v>
      </c>
      <c r="B3817" s="1" t="s">
        <v>3805</v>
      </c>
      <c r="C3817" t="str">
        <f>IFERROR(__xludf.DUMMYFUNCTION("GOOGLETRANSLATE(B3817, ""zh"", ""en"")"),"Business travel essential travel essential travel, head slightly larger, but in the acceptable range")</f>
        <v>Business travel essential travel essential travel, head slightly larger, but in the acceptable range</v>
      </c>
    </row>
    <row r="3818">
      <c r="A3818" s="1">
        <v>5.0</v>
      </c>
      <c r="B3818" s="1" t="s">
        <v>3806</v>
      </c>
      <c r="C3818" t="str">
        <f>IFERROR(__xludf.DUMMYFUNCTION("GOOGLETRANSLATE(B3818, ""zh"", ""en"")"),"Five Star is very good")</f>
        <v>Five Star is very good</v>
      </c>
    </row>
    <row r="3819">
      <c r="A3819" s="1">
        <v>5.0</v>
      </c>
      <c r="B3819" s="1" t="s">
        <v>3807</v>
      </c>
      <c r="C3819" t="str">
        <f>IFERROR(__xludf.DUMMYFUNCTION("GOOGLETRANSLATE(B3819, ""zh"", ""en"")"),"Yan high value, is using the right size, not screw down a bit leaky, but the cup is like, the right size, carry very convenient!")</f>
        <v>Yan high value, is using the right size, not screw down a bit leaky, but the cup is like, the right size, carry very convenient!</v>
      </c>
    </row>
    <row r="3820">
      <c r="A3820" s="1">
        <v>5.0</v>
      </c>
      <c r="B3820" s="1" t="s">
        <v>3808</v>
      </c>
      <c r="C3820" t="str">
        <f>IFERROR(__xludf.DUMMYFUNCTION("GOOGLETRANSLATE(B3820, ""zh"", ""en"")"),"Good, cheaper than the store")</f>
        <v>Good, cheaper than the store</v>
      </c>
    </row>
    <row r="3821">
      <c r="A3821" s="1">
        <v>5.0</v>
      </c>
      <c r="B3821" s="1" t="s">
        <v>3809</v>
      </c>
      <c r="C3821" t="str">
        <f>IFERROR(__xludf.DUMMYFUNCTION("GOOGLETRANSLATE(B3821, ""zh"", ""en"")"),"Good socks very comfortable, fit, fast")</f>
        <v>Good socks very comfortable, fit, fast</v>
      </c>
    </row>
    <row r="3822">
      <c r="A3822" s="1">
        <v>5.0</v>
      </c>
      <c r="B3822" s="1" t="s">
        <v>3810</v>
      </c>
      <c r="C3822" t="str">
        <f>IFERROR(__xludf.DUMMYFUNCTION("GOOGLETRANSLATE(B3822, ""zh"", ""en"")"),"AIU good price to buy, the price is particularly good, quality Ye Hao pen.")</f>
        <v>AIU good price to buy, the price is particularly good, quality Ye Hao pen.</v>
      </c>
    </row>
    <row r="3823">
      <c r="A3823" s="1">
        <v>5.0</v>
      </c>
      <c r="B3823" s="1" t="s">
        <v>2253</v>
      </c>
      <c r="C3823" t="str">
        <f>IFERROR(__xludf.DUMMYFUNCTION("GOOGLETRANSLATE(B3823, ""zh"", ""en"")"),"Very Good Very Good")</f>
        <v>Very Good Very Good</v>
      </c>
    </row>
    <row r="3824">
      <c r="A3824" s="1">
        <v>5.0</v>
      </c>
      <c r="B3824" s="1" t="s">
        <v>3811</v>
      </c>
      <c r="C3824" t="str">
        <f>IFERROR(__xludf.DUMMYFUNCTION("GOOGLETRANSLATE(B3824, ""zh"", ""en"")"),"Praise good, very in line with expectations")</f>
        <v>Praise good, very in line with expectations</v>
      </c>
    </row>
    <row r="3825">
      <c r="A3825" s="1">
        <v>5.0</v>
      </c>
      <c r="B3825" s="1" t="s">
        <v>3812</v>
      </c>
      <c r="C3825" t="str">
        <f>IFERROR(__xludf.DUMMYFUNCTION("GOOGLETRANSLATE(B3825, ""zh"", ""en"")"),"Very good very good, the children now prefer to brush your teeth, the price is much cheaper than the domestic")</f>
        <v>Very good very good, the children now prefer to brush your teeth, the price is much cheaper than the domestic</v>
      </c>
    </row>
    <row r="3826">
      <c r="A3826" s="1">
        <v>5.0</v>
      </c>
      <c r="B3826" s="1" t="s">
        <v>3813</v>
      </c>
      <c r="C3826" t="str">
        <f>IFERROR(__xludf.DUMMYFUNCTION("GOOGLETRANSLATE(B3826, ""zh"", ""en"")"),"Good genuine, express soon, very satisfied with my wife")</f>
        <v>Good genuine, express soon, very satisfied with my wife</v>
      </c>
    </row>
    <row r="3827">
      <c r="A3827" s="1">
        <v>2.0</v>
      </c>
      <c r="B3827" s="1" t="s">
        <v>3814</v>
      </c>
      <c r="C3827" t="str">
        <f>IFERROR(__xludf.DUMMYFUNCTION("GOOGLETRANSLATE(B3827, ""zh"", ""en"")"),"No use, is too narrow for basic flat chest child wear")</f>
        <v>No use, is too narrow for basic flat chest child wear</v>
      </c>
    </row>
    <row r="3828">
      <c r="A3828" s="1">
        <v>3.0</v>
      </c>
      <c r="B3828" s="1" t="s">
        <v>3815</v>
      </c>
      <c r="C3828" t="str">
        <f>IFERROR(__xludf.DUMMYFUNCTION("GOOGLETRANSLATE(B3828, ""zh"", ""en"")"),"Material hard, have a sense of cheap cotton fabrics, Indonesia works. I am feeling a little stiff. Wear for all occasions.")</f>
        <v>Material hard, have a sense of cheap cotton fabrics, Indonesia works. I am feeling a little stiff. Wear for all occasions.</v>
      </c>
    </row>
    <row r="3829">
      <c r="A3829" s="1">
        <v>3.0</v>
      </c>
      <c r="B3829" s="1" t="s">
        <v>3816</v>
      </c>
      <c r="C3829" t="str">
        <f>IFERROR(__xludf.DUMMYFUNCTION("GOOGLETRANSLATE(B3829, ""zh"", ""en"")"),"After the made in china got today, unpacked: manufacture of non-European original, 100% Chinese.")</f>
        <v>After the made in china got today, unpacked: manufacture of non-European original, 100% Chinese.</v>
      </c>
    </row>
    <row r="3830">
      <c r="A3830" s="1">
        <v>1.0</v>
      </c>
      <c r="B3830" s="1" t="s">
        <v>3817</v>
      </c>
      <c r="C3830" t="str">
        <f>IFERROR(__xludf.DUMMYFUNCTION("GOOGLETRANSLATE(B3830, ""zh"", ""en"")"),"Too bad for the first time to the negative feedback shelf life, the product of Advent, 19 November expired, we do not buy, who to buy unlucky")</f>
        <v>Too bad for the first time to the negative feedback shelf life, the product of Advent, 19 November expired, we do not buy, who to buy unlucky</v>
      </c>
    </row>
    <row r="3831">
      <c r="A3831" s="1">
        <v>1.0</v>
      </c>
      <c r="B3831" s="1" t="s">
        <v>3818</v>
      </c>
      <c r="C3831" t="str">
        <f>IFERROR(__xludf.DUMMYFUNCTION("GOOGLETRANSLATE(B3831, ""zh"", ""en"")"),"Bad lot sucks collar wrinkled in a circle, very wide cuffs which")</f>
        <v>Bad lot sucks collar wrinkled in a circle, very wide cuffs which</v>
      </c>
    </row>
    <row r="3832">
      <c r="A3832" s="1">
        <v>1.0</v>
      </c>
      <c r="B3832" s="1" t="s">
        <v>3819</v>
      </c>
      <c r="C3832" t="str">
        <f>IFERROR(__xludf.DUMMYFUNCTION("GOOGLETRANSLATE(B3832, ""zh"", ""en"")"),"There are a steal for the split-off seal a pack, changed a cut has been the subject of a bigger wash T-shirt")</f>
        <v>There are a steal for the split-off seal a pack, changed a cut has been the subject of a bigger wash T-shirt</v>
      </c>
    </row>
    <row r="3833">
      <c r="A3833" s="1">
        <v>4.0</v>
      </c>
      <c r="B3833" s="1" t="s">
        <v>3820</v>
      </c>
      <c r="C3833" t="str">
        <f>IFERROR(__xludf.DUMMYFUNCTION("GOOGLETRANSLATE(B3833, ""zh"", ""en"")"),"Head circumference 59 a little tight in the summer just to buy a belt, is no head code selection, 59 wearing 58 a little tight. Also brim is relatively small, so there are difficulties, I bought a dress handsome, advised to carefully consider a friend bou"&amp;"ght the shade")</f>
        <v>Head circumference 59 a little tight in the summer just to buy a belt, is no head code selection, 59 wearing 58 a little tight. Also brim is relatively small, so there are difficulties, I bought a dress handsome, advised to carefully consider a friend bought the shade</v>
      </c>
    </row>
    <row r="3834">
      <c r="A3834" s="1">
        <v>4.0</v>
      </c>
      <c r="B3834" s="1" t="s">
        <v>3821</v>
      </c>
      <c r="C3834" t="str">
        <f>IFERROR(__xludf.DUMMYFUNCTION("GOOGLETRANSLATE(B3834, ""zh"", ""en"")"),"Before buying watches the bottom right sign the bottom right there is a small sign, this is not, and why? ? ?")</f>
        <v>Before buying watches the bottom right sign the bottom right there is a small sign, this is not, and why? ? ?</v>
      </c>
    </row>
    <row r="3835">
      <c r="A3835" s="1">
        <v>4.0</v>
      </c>
      <c r="B3835" s="1" t="s">
        <v>3822</v>
      </c>
      <c r="C3835" t="str">
        <f>IFERROR(__xludf.DUMMYFUNCTION("GOOGLETRANSLATE(B3835, ""zh"", ""en"")"),"T-shirt dress more relaxed, the fabric is also good. When underwear and other cold weather wear it")</f>
        <v>T-shirt dress more relaxed, the fabric is also good. When underwear and other cold weather wear it</v>
      </c>
    </row>
    <row r="3836">
      <c r="A3836" s="1">
        <v>4.0</v>
      </c>
      <c r="B3836" s="1" t="s">
        <v>3823</v>
      </c>
      <c r="C3836" t="str">
        <f>IFERROR(__xludf.DUMMYFUNCTION("GOOGLETRANSLATE(B3836, ""zh"", ""en"")"),"Dana just classic classic handsome Mountains, shoes classic handsome. Leather, V bottom, gtx, seam so powerful noise immunity performance.")</f>
        <v>Dana just classic classic handsome Mountains, shoes classic handsome. Leather, V bottom, gtx, seam so powerful noise immunity performance.</v>
      </c>
    </row>
    <row r="3837">
      <c r="A3837" s="1">
        <v>4.0</v>
      </c>
      <c r="B3837" s="1" t="s">
        <v>3824</v>
      </c>
      <c r="C3837" t="str">
        <f>IFERROR(__xludf.DUMMYFUNCTION("GOOGLETRANSLATE(B3837, ""zh"", ""en"")"),"Slightly larger foot 26.5cm 8-8.5 yards wearing very comfortable slightly larger than the hundreds of thousands of Taobao, here more cost-effective")</f>
        <v>Slightly larger foot 26.5cm 8-8.5 yards wearing very comfortable slightly larger than the hundreds of thousands of Taobao, here more cost-effective</v>
      </c>
    </row>
    <row r="3838">
      <c r="A3838" s="1">
        <v>5.0</v>
      </c>
      <c r="B3838" s="1" t="s">
        <v>3825</v>
      </c>
      <c r="C3838" t="str">
        <f>IFERROR(__xludf.DUMMYFUNCTION("GOOGLETRANSLATE(B3838, ""zh"", ""en"")"),"Very good lightweight portable")</f>
        <v>Very good lightweight portable</v>
      </c>
    </row>
    <row r="3839">
      <c r="A3839" s="1">
        <v>5.0</v>
      </c>
      <c r="B3839" s="1" t="s">
        <v>3826</v>
      </c>
      <c r="C3839" t="str">
        <f>IFERROR(__xludf.DUMMYFUNCTION("GOOGLETRANSLATE(B3839, ""zh"", ""en"")"),"The bank has also considered a relatively comfortable enough a little L")</f>
        <v>The bank has also considered a relatively comfortable enough a little L</v>
      </c>
    </row>
    <row r="3840">
      <c r="A3840" s="1">
        <v>5.0</v>
      </c>
      <c r="B3840" s="1" t="s">
        <v>2612</v>
      </c>
      <c r="C3840" t="str">
        <f>IFERROR(__xludf.DUMMYFUNCTION("GOOGLETRANSLATE(B3840, ""zh"", ""en"")"),"Clothes fit, like")</f>
        <v>Clothes fit, like</v>
      </c>
    </row>
    <row r="3841">
      <c r="A3841" s="1">
        <v>5.0</v>
      </c>
      <c r="B3841" s="1" t="s">
        <v>3827</v>
      </c>
      <c r="C3841" t="str">
        <f>IFERROR(__xludf.DUMMYFUNCTION("GOOGLETRANSLATE(B3841, ""zh"", ""en"")"),"Watches can be imported, the Japanese brand is good, even better than the domestic watch, with hands very comfortable, very Le hand")</f>
        <v>Watches can be imported, the Japanese brand is good, even better than the domestic watch, with hands very comfortable, very Le hand</v>
      </c>
    </row>
    <row r="3842">
      <c r="A3842" s="1">
        <v>5.0</v>
      </c>
      <c r="B3842" s="1" t="s">
        <v>3828</v>
      </c>
      <c r="C3842" t="str">
        <f>IFERROR(__xludf.DUMMYFUNCTION("GOOGLETRANSLATE(B3842, ""zh"", ""en"")"),"Perfectly good material, the right size, do not even cut trousers")</f>
        <v>Perfectly good material, the right size, do not even cut trousers</v>
      </c>
    </row>
    <row r="3843">
      <c r="A3843" s="1">
        <v>5.0</v>
      </c>
      <c r="B3843" s="1" t="s">
        <v>3829</v>
      </c>
      <c r="C3843" t="str">
        <f>IFERROR(__xludf.DUMMYFUNCTION("GOOGLETRANSLATE(B3843, ""zh"", ""en"")"),"Install the master is also very like ants in learning master Anju Cui. Skilled, first-class service, good attitude")</f>
        <v>Install the master is also very like ants in learning master Anju Cui. Skilled, first-class service, good attitude</v>
      </c>
    </row>
    <row r="3844">
      <c r="A3844" s="1">
        <v>5.0</v>
      </c>
      <c r="B3844" s="1" t="s">
        <v>3830</v>
      </c>
      <c r="C3844" t="str">
        <f>IFERROR(__xludf.DUMMYFUNCTION("GOOGLETRANSLATE(B3844, ""zh"", ""en"")"),"Good sound, affordable headset. The sound quality is very good, very balanced tri-band, Naiting, nice, omnivorous. And hd25 rival. As it is the professional headset, wearing some tight, ear a little small.")</f>
        <v>Good sound, affordable headset. The sound quality is very good, very balanced tri-band, Naiting, nice, omnivorous. And hd25 rival. As it is the professional headset, wearing some tight, ear a little small.</v>
      </c>
    </row>
    <row r="3845">
      <c r="A3845" s="1">
        <v>5.0</v>
      </c>
      <c r="B3845" s="1" t="s">
        <v>3831</v>
      </c>
      <c r="C3845" t="str">
        <f>IFERROR(__xludf.DUMMYFUNCTION("GOOGLETRANSLATE(B3845, ""zh"", ""en"")"),"Good material, Asia heavier than buy, recommend a smaller size. European code, Asians wear slightly larger, next time to buy a smaller size. Material is very good, cost-effective, genuine. This is too large, the hem length in clothes.")</f>
        <v>Good material, Asia heavier than buy, recommend a smaller size. European code, Asians wear slightly larger, next time to buy a smaller size. Material is very good, cost-effective, genuine. This is too large, the hem length in clothes.</v>
      </c>
    </row>
    <row r="3846">
      <c r="A3846" s="1">
        <v>5.0</v>
      </c>
      <c r="B3846" s="1" t="s">
        <v>3832</v>
      </c>
      <c r="C3846" t="str">
        <f>IFERROR(__xludf.DUMMYFUNCTION("GOOGLETRANSLATE(B3846, ""zh"", ""en"")"),"Very easy to use easy to use, very easy to use, very clean brush")</f>
        <v>Very easy to use easy to use, very easy to use, very clean brush</v>
      </c>
    </row>
    <row r="3847">
      <c r="A3847" s="1">
        <v>5.0</v>
      </c>
      <c r="B3847" s="1" t="s">
        <v>3833</v>
      </c>
      <c r="C3847" t="str">
        <f>IFERROR(__xludf.DUMMYFUNCTION("GOOGLETRANSLATE(B3847, ""zh"", ""en"")"),"But quick-drying material Performance thicker, though not UA's top series, but the material and workmanship is very good, very suitable for everyday wear. Slightly thicker but quick-drying material.")</f>
        <v>But quick-drying material Performance thicker, though not UA's top series, but the material and workmanship is very good, very suitable for everyday wear. Slightly thicker but quick-drying material.</v>
      </c>
    </row>
    <row r="3848">
      <c r="A3848" s="1">
        <v>5.0</v>
      </c>
      <c r="B3848" s="1" t="s">
        <v>3834</v>
      </c>
      <c r="C3848" t="str">
        <f>IFERROR(__xludf.DUMMYFUNCTION("GOOGLETRANSLATE(B3848, ""zh"", ""en"")"),"That's great! ! Buy these pants to participate in Tengchong Gaoligong run cross country, but to buy time relatively late, I thought before the game certainly can not get, which I do not know, just before departure received a package, No. 9 wearing these p"&amp;"ants ran 55 kilometers, 12 of the women had, the whole race legs and waist were no obvious discomfort, feel like, and their integration, is really a powerful compression pants! Praise praise praise! ! !")</f>
        <v>That's great! ! Buy these pants to participate in Tengchong Gaoligong run cross country, but to buy time relatively late, I thought before the game certainly can not get, which I do not know, just before departure received a package, No. 9 wearing these pants ran 55 kilometers, 12 of the women had, the whole race legs and waist were no obvious discomfort, feel like, and their integration, is really a powerful compression pants! Praise praise praise! ! !</v>
      </c>
    </row>
    <row r="3849">
      <c r="A3849" s="1">
        <v>5.0</v>
      </c>
      <c r="B3849" s="1" t="s">
        <v>3835</v>
      </c>
      <c r="C3849" t="str">
        <f>IFERROR(__xludf.DUMMYFUNCTION("GOOGLETRANSLATE(B3849, ""zh"", ""en"")"),"Easy to use inexpensive good, perfectly matching 790cc, original blade officially retired after serving two years")</f>
        <v>Easy to use inexpensive good, perfectly matching 790cc, original blade officially retired after serving two years</v>
      </c>
    </row>
    <row r="3850">
      <c r="A3850" s="1">
        <v>5.0</v>
      </c>
      <c r="B3850" s="1" t="s">
        <v>3836</v>
      </c>
      <c r="C3850" t="str">
        <f>IFERROR(__xludf.DUMMYFUNCTION("GOOGLETRANSLATE(B3850, ""zh"", ""en"")"),"Love is praise, love, loved")</f>
        <v>Love is praise, love, loved</v>
      </c>
    </row>
    <row r="3851">
      <c r="A3851" s="1">
        <v>5.0</v>
      </c>
      <c r="B3851" s="1" t="s">
        <v>3837</v>
      </c>
      <c r="C3851" t="str">
        <f>IFERROR(__xludf.DUMMYFUNCTION("GOOGLETRANSLATE(B3851, ""zh"", ""en"")"),"Pants quality line weight 128, height 170, purchased W31L30, a little bit big, winter wear can also be right.")</f>
        <v>Pants quality line weight 128, height 170, purchased W31L30, a little bit big, winter wear can also be right.</v>
      </c>
    </row>
    <row r="3852">
      <c r="A3852" s="1">
        <v>5.0</v>
      </c>
      <c r="B3852" s="1" t="s">
        <v>3838</v>
      </c>
      <c r="C3852" t="str">
        <f>IFERROR(__xludf.DUMMYFUNCTION("GOOGLETRANSLATE(B3852, ""zh"", ""en"")"),"Essential health care products, every day a")</f>
        <v>Essential health care products, every day a</v>
      </c>
    </row>
    <row r="3853">
      <c r="A3853" s="1">
        <v>5.0</v>
      </c>
      <c r="B3853" s="1" t="s">
        <v>3839</v>
      </c>
      <c r="C3853" t="str">
        <f>IFERROR(__xludf.DUMMYFUNCTION("GOOGLETRANSLATE(B3853, ""zh"", ""en"")"),"Good size standards, but the calf is still relatively loose, can not and Korean ratio. Chase assessment, wearing pants a little larger, it feels bigger one yards, not the water.")</f>
        <v>Good size standards, but the calf is still relatively loose, can not and Korean ratio. Chase assessment, wearing pants a little larger, it feels bigger one yards, not the water.</v>
      </c>
    </row>
    <row r="3854">
      <c r="A3854" s="1">
        <v>5.0</v>
      </c>
      <c r="B3854" s="1" t="s">
        <v>3840</v>
      </c>
      <c r="C3854" t="str">
        <f>IFERROR(__xludf.DUMMYFUNCTION("GOOGLETRANSLATE(B3854, ""zh"", ""en"")"),"Like the price is good, this brand of underwear is good, I liked it")</f>
        <v>Like the price is good, this brand of underwear is good, I liked it</v>
      </c>
    </row>
    <row r="3855">
      <c r="A3855" s="1">
        <v>5.0</v>
      </c>
      <c r="B3855" s="1" t="s">
        <v>3841</v>
      </c>
      <c r="C3855" t="str">
        <f>IFERROR(__xludf.DUMMYFUNCTION("GOOGLETRANSLATE(B3855, ""zh"", ""en"")"),"Bargain price is very good at home two electric toothbrushes are suitable, cost-effective price")</f>
        <v>Bargain price is very good at home two electric toothbrushes are suitable, cost-effective price</v>
      </c>
    </row>
    <row r="3856">
      <c r="A3856" s="1">
        <v>5.0</v>
      </c>
      <c r="B3856" s="1" t="s">
        <v>3842</v>
      </c>
      <c r="C3856" t="str">
        <f>IFERROR(__xludf.DUMMYFUNCTION("GOOGLETRANSLATE(B3856, ""zh"", ""en"")"),"Something good, that is a little less expensive. it is good! Something good, that is a little less expensive.")</f>
        <v>Something good, that is a little less expensive. it is good! Something good, that is a little less expensive.</v>
      </c>
    </row>
    <row r="3857">
      <c r="A3857" s="1">
        <v>5.0</v>
      </c>
      <c r="B3857" s="1" t="s">
        <v>3843</v>
      </c>
      <c r="C3857" t="str">
        <f>IFERROR(__xludf.DUMMYFUNCTION("GOOGLETRANSLATE(B3857, ""zh"", ""en"")"),"Very comfortable ~ ~ ~ very comfortable, size is too large a number, but fortunately, the price Well, much cheaper than domestic, a week received the goods, Amazon purchase more and more overseas to force!")</f>
        <v>Very comfortable ~ ~ ~ very comfortable, size is too large a number, but fortunately, the price Well, much cheaper than domestic, a week received the goods, Amazon purchase more and more overseas to force!</v>
      </c>
    </row>
    <row r="3858">
      <c r="A3858" s="1">
        <v>5.0</v>
      </c>
      <c r="B3858" s="1" t="s">
        <v>3844</v>
      </c>
      <c r="C3858" t="str">
        <f>IFERROR(__xludf.DUMMYFUNCTION("GOOGLETRANSLATE(B3858, ""zh"", ""en"")"),"It looks pretty good! It looks good! Possible")</f>
        <v>It looks pretty good! It looks good! Possible</v>
      </c>
    </row>
    <row r="3859">
      <c r="A3859" s="1">
        <v>2.0</v>
      </c>
      <c r="B3859" s="1" t="s">
        <v>3845</v>
      </c>
      <c r="C3859" t="str">
        <f>IFERROR(__xludf.DUMMYFUNCTION("GOOGLETRANSLATE(B3859, ""zh"", ""en"")"),"Look good look good, which is velvet drops, warm")</f>
        <v>Look good look good, which is velvet drops, warm</v>
      </c>
    </row>
    <row r="3860">
      <c r="A3860" s="1">
        <v>3.0</v>
      </c>
      <c r="B3860" s="1" t="s">
        <v>3846</v>
      </c>
      <c r="C3860" t="str">
        <f>IFERROR(__xludf.DUMMYFUNCTION("GOOGLETRANSLATE(B3860, ""zh"", ""en"")"),"This dress length with a width of discord I do not know the evaluation it is too big or too small, 172 to buy s number is too long but it is too small for 175 people to wear around 55kg")</f>
        <v>This dress length with a width of discord I do not know the evaluation it is too big or too small, 172 to buy s number is too long but it is too small for 175 people to wear around 55kg</v>
      </c>
    </row>
    <row r="3861">
      <c r="A3861" s="1">
        <v>3.0</v>
      </c>
      <c r="B3861" s="1" t="s">
        <v>3847</v>
      </c>
      <c r="C3861" t="str">
        <f>IFERROR(__xludf.DUMMYFUNCTION("GOOGLETRANSLATE(B3861, ""zh"", ""en"")"),"Super high price, will buy! Super high price, will buy!")</f>
        <v>Super high price, will buy! Super high price, will buy!</v>
      </c>
    </row>
    <row r="3862">
      <c r="A3862" s="1">
        <v>3.0</v>
      </c>
      <c r="B3862" s="1" t="s">
        <v>3848</v>
      </c>
      <c r="C3862" t="str">
        <f>IFERROR(__xludf.DUMMYFUNCTION("GOOGLETRANSLATE(B3862, ""zh"", ""en"")"),"After such a hand to receive the package, is actually the case, serious doubts are not the way to be transferred packet. How kind of pressure, so it will not be pressed into ...")</f>
        <v>After such a hand to receive the package, is actually the case, serious doubts are not the way to be transferred packet. How kind of pressure, so it will not be pressed into ...</v>
      </c>
    </row>
    <row r="3863">
      <c r="A3863" s="1">
        <v>1.0</v>
      </c>
      <c r="B3863" s="1" t="s">
        <v>3849</v>
      </c>
      <c r="C3863" t="str">
        <f>IFERROR(__xludf.DUMMYFUNCTION("GOOGLETRANSLATE(B3863, ""zh"", ""en"")"),"The quality is too thin and have no value, and almost gauze, bought a lot of pieces, this very disappointing")</f>
        <v>The quality is too thin and have no value, and almost gauze, bought a lot of pieces, this very disappointing</v>
      </c>
    </row>
    <row r="3864">
      <c r="A3864" s="1">
        <v>1.0</v>
      </c>
      <c r="B3864" s="1" t="s">
        <v>3850</v>
      </c>
      <c r="C3864" t="str">
        <f>IFERROR(__xludf.DUMMYFUNCTION("GOOGLETRANSLATE(B3864, ""zh"", ""en"")"),"Already do not recommend buying larger sizes than domestic psychological preparation, according to the size shopping guide product page has bought a smaller size, I did not expect this much larger than domestic size, too fat for too long. Absolutely can n"&amp;"ot wear.")</f>
        <v>Already do not recommend buying larger sizes than domestic psychological preparation, according to the size shopping guide product page has bought a smaller size, I did not expect this much larger than domestic size, too fat for too long. Absolutely can not wear.</v>
      </c>
    </row>
    <row r="3865">
      <c r="A3865" s="1">
        <v>1.0</v>
      </c>
      <c r="B3865" s="1" t="s">
        <v>3851</v>
      </c>
      <c r="C3865" t="str">
        <f>IFERROR(__xludf.DUMMYFUNCTION("GOOGLETRANSLATE(B3865, ""zh"", ""en"")"),"Defective defective!")</f>
        <v>Defective defective!</v>
      </c>
    </row>
    <row r="3866">
      <c r="A3866" s="1">
        <v>4.0</v>
      </c>
      <c r="B3866" s="1" t="s">
        <v>3852</v>
      </c>
      <c r="C3866" t="str">
        <f>IFERROR(__xludf.DUMMYFUNCTION("GOOGLETRANSLATE(B3866, ""zh"", ""en"")"),"Large size shoes are good, but the size is too large, they are unable to buy back overseas, only idle.")</f>
        <v>Large size shoes are good, but the size is too large, they are unable to buy back overseas, only idle.</v>
      </c>
    </row>
    <row r="3867">
      <c r="A3867" s="1">
        <v>4.0</v>
      </c>
      <c r="B3867" s="1" t="s">
        <v>3853</v>
      </c>
      <c r="C3867" t="str">
        <f>IFERROR(__xludf.DUMMYFUNCTION("GOOGLETRANSLATE(B3867, ""zh"", ""en"")"),"Be sure to buy a small one yard. Big point, be sure to buy a small one yard.")</f>
        <v>Be sure to buy a small one yard. Big point, be sure to buy a small one yard.</v>
      </c>
    </row>
    <row r="3868">
      <c r="A3868" s="1">
        <v>4.0</v>
      </c>
      <c r="B3868" s="1" t="s">
        <v>3854</v>
      </c>
      <c r="C3868" t="str">
        <f>IFERROR(__xludf.DUMMYFUNCTION("GOOGLETRANSLATE(B3868, ""zh"", ""en"")"),"it is good. Classic, usually at the time.")</f>
        <v>it is good. Classic, usually at the time.</v>
      </c>
    </row>
    <row r="3869">
      <c r="A3869" s="1">
        <v>4.0</v>
      </c>
      <c r="B3869" s="1" t="s">
        <v>3855</v>
      </c>
      <c r="C3869" t="str">
        <f>IFERROR(__xludf.DUMMYFUNCTION("GOOGLETRANSLATE(B3869, ""zh"", ""en"")"),"Barely okay quality compared to domestic almost, but domestic prices are only three points 1, so the price is still pricey. Packaging, then really rubbish, especially transparent glue on the briefs. Dimensions of a small country compared to about one yard"&amp;".")</f>
        <v>Barely okay quality compared to domestic almost, but domestic prices are only three points 1, so the price is still pricey. Packaging, then really rubbish, especially transparent glue on the briefs. Dimensions of a small country compared to about one yard.</v>
      </c>
    </row>
    <row r="3870">
      <c r="A3870" s="1">
        <v>5.0</v>
      </c>
      <c r="B3870" s="1" t="s">
        <v>3856</v>
      </c>
      <c r="C3870" t="str">
        <f>IFERROR(__xludf.DUMMYFUNCTION("GOOGLETRANSLATE(B3870, ""zh"", ""en"")"),"Good good violence da delivery, quality is very good for the baby to the store, not used.")</f>
        <v>Good good violence da delivery, quality is very good for the baby to the store, not used.</v>
      </c>
    </row>
    <row r="3871">
      <c r="A3871" s="1">
        <v>5.0</v>
      </c>
      <c r="B3871" s="1" t="s">
        <v>3857</v>
      </c>
      <c r="C3871" t="str">
        <f>IFERROR(__xludf.DUMMYFUNCTION("GOOGLETRANSLATE(B3871, ""zh"", ""en"")"),"Very warm and comfortable fit, wear comfortable and warm")</f>
        <v>Very warm and comfortable fit, wear comfortable and warm</v>
      </c>
    </row>
    <row r="3872">
      <c r="A3872" s="1">
        <v>5.0</v>
      </c>
      <c r="B3872" s="1" t="s">
        <v>3858</v>
      </c>
      <c r="C3872" t="str">
        <f>IFERROR(__xludf.DUMMYFUNCTION("GOOGLETRANSLATE(B3872, ""zh"", ""en"")"),"Good quality shoes are very beautiful! Is a little bit hard")</f>
        <v>Good quality shoes are very beautiful! Is a little bit hard</v>
      </c>
    </row>
    <row r="3873">
      <c r="A3873" s="1">
        <v>5.0</v>
      </c>
      <c r="B3873" s="1" t="s">
        <v>3859</v>
      </c>
      <c r="C3873" t="str">
        <f>IFERROR(__xludf.DUMMYFUNCTION("GOOGLETRANSLATE(B3873, ""zh"", ""en"")"),"Too fat, fit, feel good material too long, too fat, fit, too long")</f>
        <v>Too fat, fit, feel good material too long, too fat, fit, too long</v>
      </c>
    </row>
    <row r="3874">
      <c r="A3874" s="1">
        <v>5.0</v>
      </c>
      <c r="B3874" s="1" t="s">
        <v>3860</v>
      </c>
      <c r="C3874" t="str">
        <f>IFERROR(__xludf.DUMMYFUNCTION("GOOGLETRANSLATE(B3874, ""zh"", ""en"")"),"Shoes the right size 5.5UK / 38, the right size, if the comparison fat feet, it is recommended to buy a bigger size. Very much, try a little, has been wearing ECCO shoes, very comfortable")</f>
        <v>Shoes the right size 5.5UK / 38, the right size, if the comparison fat feet, it is recommended to buy a bigger size. Very much, try a little, has been wearing ECCO shoes, very comfortable</v>
      </c>
    </row>
    <row r="3875">
      <c r="A3875" s="1">
        <v>5.0</v>
      </c>
      <c r="B3875" s="1" t="s">
        <v>3861</v>
      </c>
      <c r="C3875" t="str">
        <f>IFERROR(__xludf.DUMMYFUNCTION("GOOGLETRANSLATE(B3875, ""zh"", ""en"")"),"Give love give love to buy buy, I believe the United States and Asia direct mail stuff")</f>
        <v>Give love give love to buy buy, I believe the United States and Asia direct mail stuff</v>
      </c>
    </row>
    <row r="3876">
      <c r="A3876" s="1">
        <v>5.0</v>
      </c>
      <c r="B3876" s="1" t="s">
        <v>3862</v>
      </c>
      <c r="C3876" t="str">
        <f>IFERROR(__xludf.DUMMYFUNCTION("GOOGLETRANSLATE(B3876, ""zh"", ""en"")"),"Perfect replacement is very good, replace the original one, not the black oil leak! The price is very affordable, cheaper than Taobao, hope to build more engaging activities!")</f>
        <v>Perfect replacement is very good, replace the original one, not the black oil leak! The price is very affordable, cheaper than Taobao, hope to build more engaging activities!</v>
      </c>
    </row>
    <row r="3877">
      <c r="A3877" s="1">
        <v>5.0</v>
      </c>
      <c r="B3877" s="1" t="s">
        <v>3863</v>
      </c>
      <c r="C3877" t="str">
        <f>IFERROR(__xludf.DUMMYFUNCTION("GOOGLETRANSLATE(B3877, ""zh"", ""en"")"),"Better insulation capacity, good insulation effect, this is the second purchase.")</f>
        <v>Better insulation capacity, good insulation effect, this is the second purchase.</v>
      </c>
    </row>
    <row r="3878">
      <c r="A3878" s="1">
        <v>5.0</v>
      </c>
      <c r="B3878" s="1" t="s">
        <v>3864</v>
      </c>
      <c r="C3878" t="str">
        <f>IFERROR(__xludf.DUMMYFUNCTION("GOOGLETRANSLATE(B3878, ""zh"", ""en"")"),"Very appropriate size and pleasant shopping store, it is proposed to the store to try on")</f>
        <v>Very appropriate size and pleasant shopping store, it is proposed to the store to try on</v>
      </c>
    </row>
    <row r="3879">
      <c r="A3879" s="1">
        <v>5.0</v>
      </c>
      <c r="B3879" s="1" t="s">
        <v>3865</v>
      </c>
      <c r="C3879" t="str">
        <f>IFERROR(__xludf.DUMMYFUNCTION("GOOGLETRANSLATE(B3879, ""zh"", ""en"")"),"Good quality of good quality, trusted brand, I hope Amazon can sell more goods such brand")</f>
        <v>Good quality of good quality, trusted brand, I hope Amazon can sell more goods such brand</v>
      </c>
    </row>
    <row r="3880">
      <c r="A3880" s="1">
        <v>5.0</v>
      </c>
      <c r="B3880" s="1" t="s">
        <v>3866</v>
      </c>
      <c r="C3880" t="str">
        <f>IFERROR(__xludf.DUMMYFUNCTION("GOOGLETRANSLATE(B3880, ""zh"", ""en"")"),"Good quality and good quality, cheap, fast delivery, the future will buy.")</f>
        <v>Good quality and good quality, cheap, fast delivery, the future will buy.</v>
      </c>
    </row>
    <row r="3881">
      <c r="A3881" s="1">
        <v>5.0</v>
      </c>
      <c r="B3881" s="1" t="s">
        <v>3867</v>
      </c>
      <c r="C3881" t="str">
        <f>IFERROR(__xludf.DUMMYFUNCTION("GOOGLETRANSLATE(B3881, ""zh"", ""en"")"),"Very good friends very satisfied, 42 yards to buy 8⃣️ quite right, pull up when the special offer, good deal, ha ha now doubled up")</f>
        <v>Very good friends very satisfied, 42 yards to buy 8⃣️ quite right, pull up when the special offer, good deal, ha ha now doubled up</v>
      </c>
    </row>
    <row r="3882">
      <c r="A3882" s="1">
        <v>5.0</v>
      </c>
      <c r="B3882" s="1" t="s">
        <v>3868</v>
      </c>
      <c r="C3882" t="str">
        <f>IFERROR(__xludf.DUMMYFUNCTION("GOOGLETRANSLATE(B3882, ""zh"", ""en"")"),"Good quality, my son likes, recommended good quality, very fond of his son, suitable for children")</f>
        <v>Good quality, my son likes, recommended good quality, very fond of his son, suitable for children</v>
      </c>
    </row>
    <row r="3883">
      <c r="A3883" s="1">
        <v>5.0</v>
      </c>
      <c r="B3883" s="1" t="s">
        <v>3869</v>
      </c>
      <c r="C3883" t="str">
        <f>IFERROR(__xludf.DUMMYFUNCTION("GOOGLETRANSLATE(B3883, ""zh"", ""en"")"),"Satisfied with the right size")</f>
        <v>Satisfied with the right size</v>
      </c>
    </row>
    <row r="3884">
      <c r="A3884" s="1">
        <v>5.0</v>
      </c>
      <c r="B3884" s="1" t="s">
        <v>3870</v>
      </c>
      <c r="C3884" t="str">
        <f>IFERROR(__xludf.DUMMYFUNCTION("GOOGLETRANSLATE(B3884, ""zh"", ""en"")"),"I 174/70 great, had a little worried about the size of the problem, try one brought under the number S perfect control inside plus a sweater no problem, high waist design is very spiritual, wearing comfortable, breathable, insufficient is poor packaging o"&amp;"n two plastic bags!")</f>
        <v>I 174/70 great, had a little worried about the size of the problem, try one brought under the number S perfect control inside plus a sweater no problem, high waist design is very spiritual, wearing comfortable, breathable, insufficient is poor packaging on two plastic bags!</v>
      </c>
    </row>
    <row r="3885">
      <c r="A3885" s="1">
        <v>5.0</v>
      </c>
      <c r="B3885" s="1" t="s">
        <v>3871</v>
      </c>
      <c r="C3885" t="str">
        <f>IFERROR(__xludf.DUMMYFUNCTION("GOOGLETRANSLATE(B3885, ""zh"", ""en"")"),"Easy to clean with a very easy to go out for easy cleaning do not stay dead.")</f>
        <v>Easy to clean with a very easy to go out for easy cleaning do not stay dead.</v>
      </c>
    </row>
    <row r="3886">
      <c r="A3886" s="1">
        <v>5.0</v>
      </c>
      <c r="B3886" s="1" t="s">
        <v>3872</v>
      </c>
      <c r="C3886" t="str">
        <f>IFERROR(__xludf.DUMMYFUNCTION("GOOGLETRANSLATE(B3886, ""zh"", ""en"")"),"Yes you can wear! very good! Next time you sell")</f>
        <v>Yes you can wear! very good! Next time you sell</v>
      </c>
    </row>
    <row r="3887">
      <c r="A3887" s="1">
        <v>5.0</v>
      </c>
      <c r="B3887" s="1" t="s">
        <v>3873</v>
      </c>
      <c r="C3887" t="str">
        <f>IFERROR(__xludf.DUMMYFUNCTION("GOOGLETRANSLATE(B3887, ""zh"", ""en"")"),"Like, the second purchase for the second time to buy after six years, it's very much like the sound quality")</f>
        <v>Like, the second purchase for the second time to buy after six years, it's very much like the sound quality</v>
      </c>
    </row>
    <row r="3888">
      <c r="A3888" s="1">
        <v>5.0</v>
      </c>
      <c r="B3888" s="1" t="s">
        <v>3874</v>
      </c>
      <c r="C3888" t="str">
        <f>IFERROR(__xludf.DUMMYFUNCTION("GOOGLETRANSLATE(B3888, ""zh"", ""en"")"),"Very good, good! Ah well, the children good grip, but over time, the color of the surface will fall, may be washed with water because of it.")</f>
        <v>Very good, good! Ah well, the children good grip, but over time, the color of the surface will fall, may be washed with water because of it.</v>
      </c>
    </row>
    <row r="3889">
      <c r="A3889" s="1">
        <v>5.0</v>
      </c>
      <c r="B3889" s="1" t="s">
        <v>3875</v>
      </c>
      <c r="C3889" t="str">
        <f>IFERROR(__xludf.DUMMYFUNCTION("GOOGLETRANSLATE(B3889, ""zh"", ""en"")"),"Very easy to use very easy to use! Workmanship is very good!")</f>
        <v>Very easy to use very easy to use! Workmanship is very good!</v>
      </c>
    </row>
    <row r="3890">
      <c r="A3890" s="1">
        <v>5.0</v>
      </c>
      <c r="B3890" s="1" t="s">
        <v>3876</v>
      </c>
      <c r="C3890" t="str">
        <f>IFERROR(__xludf.DUMMYFUNCTION("GOOGLETRANSLATE(B3890, ""zh"", ""en"")"),"STAUB saucepan performance is very good German Amazon direct mail, the price is right, the soup no major flaws, and there can be, the most important is made out of meat to eat well.")</f>
        <v>STAUB saucepan performance is very good German Amazon direct mail, the price is right, the soup no major flaws, and there can be, the most important is made out of meat to eat well.</v>
      </c>
    </row>
    <row r="3891">
      <c r="A3891" s="1">
        <v>5.0</v>
      </c>
      <c r="B3891" s="1" t="s">
        <v>3877</v>
      </c>
      <c r="C3891" t="str">
        <f>IFERROR(__xludf.DUMMYFUNCTION("GOOGLETRANSLATE(B3891, ""zh"", ""en"")"),"Very very very very comfortable comfortable")</f>
        <v>Very very very very comfortable comfortable</v>
      </c>
    </row>
    <row r="3892">
      <c r="A3892" s="1">
        <v>2.0</v>
      </c>
      <c r="B3892" s="1" t="s">
        <v>3878</v>
      </c>
      <c r="C3892" t="str">
        <f>IFERROR(__xludf.DUMMYFUNCTION("GOOGLETRANSLATE(B3892, ""zh"", ""en"")"),"Known as professional diving watch, actually leaking! Buy this watch key value their professional performance diving 200 meters publicity, but, mainly it was very regrettable! This morning, with a table full of joy to swim, swim about 35 minutes, finishin"&amp;"g dressing up, look at the watch, has white mist misty in the table. It is puzzling that just have not seen in the misting water case, how ready to play heavy after a while the water vapor leaving? Obviously slowly into the inside of which has water vapor"&amp;", a low outdoor air temperature, water vapor condenses on the interior surface of the glass. (I just got yesterday courier sent over a watch. And why do I submit photos go up, this is far from done to)")</f>
        <v>Known as professional diving watch, actually leaking! Buy this watch key value their professional performance diving 200 meters publicity, but, mainly it was very regrettable! This morning, with a table full of joy to swim, swim about 35 minutes, finishing dressing up, look at the watch, has white mist misty in the table. It is puzzling that just have not seen in the misting water case, how ready to play heavy after a while the water vapor leaving? Obviously slowly into the inside of which has water vapor, a low outdoor air temperature, water vapor condenses on the interior surface of the glass. (I just got yesterday courier sent over a watch. And why do I submit photos go up, this is far from done to)</v>
      </c>
    </row>
    <row r="3893">
      <c r="A3893" s="1">
        <v>3.0</v>
      </c>
      <c r="B3893" s="1" t="s">
        <v>3879</v>
      </c>
      <c r="C3893" t="str">
        <f>IFERROR(__xludf.DUMMYFUNCTION("GOOGLETRANSLATE(B3893, ""zh"", ""en"")"),"Do not recommend buying washing smelly, heavy water had to wash once, always wash twice a waste of water and electricity. And piece by piece, torn inconvenient, unsafe torn found washed dishwasher hot water sometimes not completely dissolve the outer memb"&amp;"rane. It will not repurchase.")</f>
        <v>Do not recommend buying washing smelly, heavy water had to wash once, always wash twice a waste of water and electricity. And piece by piece, torn inconvenient, unsafe torn found washed dishwasher hot water sometimes not completely dissolve the outer membrane. It will not repurchase.</v>
      </c>
    </row>
    <row r="3894">
      <c r="A3894" s="1">
        <v>3.0</v>
      </c>
      <c r="B3894" s="1" t="s">
        <v>3880</v>
      </c>
      <c r="C3894" t="str">
        <f>IFERROR(__xludf.DUMMYFUNCTION("GOOGLETRANSLATE(B3894, ""zh"", ""en"")"),"So-so it was very general, champion of low-end products, standards absolutely no need to turn around the overseas. With the price of domestic materials, greater choice of styles. . .")</f>
        <v>So-so it was very general, champion of low-end products, standards absolutely no need to turn around the overseas. With the price of domestic materials, greater choice of styles. . .</v>
      </c>
    </row>
    <row r="3895">
      <c r="A3895" s="1">
        <v>3.0</v>
      </c>
      <c r="B3895" s="1" t="s">
        <v>3881</v>
      </c>
      <c r="C3895" t="str">
        <f>IFERROR(__xludf.DUMMYFUNCTION("GOOGLETRANSLATE(B3895, ""zh"", ""en"")"),"Given away. Because people buy is given, the effect is not very clear how their own, but still looks like.")</f>
        <v>Given away. Because people buy is given, the effect is not very clear how their own, but still looks like.</v>
      </c>
    </row>
    <row r="3896">
      <c r="A3896" s="1">
        <v>1.0</v>
      </c>
      <c r="B3896" s="1" t="s">
        <v>3882</v>
      </c>
      <c r="C3896" t="str">
        <f>IFERROR(__xludf.DUMMYFUNCTION("GOOGLETRANSLATE(B3896, ""zh"", ""en"")"),"Pit ratio &lt;div id = ""video-block-R2OEKSI40JYTSE"" class = ""a-section a-spacing-small a-spacing-top-mini video-block""&gt; &lt;/ div&gt; &lt;input type = ""hidden"" name = "" ""value ="" https://images-cn.ssl-images-amazon.com/images/I/A199a2QCr0S.mp4 ""class ="" vi"&amp;"deo-url ""&gt; &lt;input type ="" hidden ""name ="" ""value ="" https://images-cn.ssl-images-amazon.com/images/I/71KUOXnbQiS.png ""class ="" video-slate-img-url ""&gt; &amp; nbsp; unreasonable to hang, the most basic interface layout. Really pit")</f>
        <v>Pit ratio &lt;div id = "video-block-R2OEKSI40JYTSE" class = "a-section a-spacing-small a-spacing-top-mini video-block"&gt; &lt;/ div&gt; &lt;input type = "hidden" name = " "value =" https://images-cn.ssl-images-amazon.com/images/I/A199a2QCr0S.mp4 "class =" video-url "&gt; &lt;input type =" hidden "name =" "value =" https://images-cn.ssl-images-amazon.com/images/I/71KUOXnbQiS.png "class =" video-slate-img-url "&gt; &amp; nbsp; unreasonable to hang, the most basic interface layout. Really pit</v>
      </c>
    </row>
    <row r="3897">
      <c r="A3897" s="1">
        <v>1.0</v>
      </c>
      <c r="B3897" s="1" t="s">
        <v>3883</v>
      </c>
      <c r="C3897" t="str">
        <f>IFERROR(__xludf.DUMMYFUNCTION("GOOGLETRANSLATE(B3897, ""zh"", ""en"")"),"User comments old number is too large, poor quality, it is recommended not to buy")</f>
        <v>User comments old number is too large, poor quality, it is recommended not to buy</v>
      </c>
    </row>
    <row r="3898">
      <c r="A3898" s="1">
        <v>4.0</v>
      </c>
      <c r="B3898" s="1" t="s">
        <v>3884</v>
      </c>
      <c r="C3898" t="str">
        <f>IFERROR(__xludf.DUMMYFUNCTION("GOOGLETRANSLATE(B3898, ""zh"", ""en"")"),"Unlike the original feel good, but always with different original")</f>
        <v>Unlike the original feel good, but always with different original</v>
      </c>
    </row>
    <row r="3899">
      <c r="A3899" s="1">
        <v>4.0</v>
      </c>
      <c r="B3899" s="1" t="s">
        <v>3885</v>
      </c>
      <c r="C3899" t="str">
        <f>IFERROR(__xludf.DUMMYFUNCTION("GOOGLETRANSLATE(B3899, ""zh"", ""en"")"),"Belt a little hard look rather beautiful, is the belt a little hard, hard not bend, fold out fear stripes")</f>
        <v>Belt a little hard look rather beautiful, is the belt a little hard, hard not bend, fold out fear stripes</v>
      </c>
    </row>
    <row r="3900">
      <c r="A3900" s="1">
        <v>4.0</v>
      </c>
      <c r="B3900" s="1" t="s">
        <v>3886</v>
      </c>
      <c r="C3900" t="str">
        <f>IFERROR(__xludf.DUMMYFUNCTION("GOOGLETRANSLATE(B3900, ""zh"", ""en"")"),"Okay only 15 million times, twice as a country have to buy expensive 400,000")</f>
        <v>Okay only 15 million times, twice as a country have to buy expensive 400,000</v>
      </c>
    </row>
    <row r="3901">
      <c r="A3901" s="1">
        <v>4.0</v>
      </c>
      <c r="B3901" s="1" t="s">
        <v>3887</v>
      </c>
      <c r="C3901" t="str">
        <f>IFERROR(__xludf.DUMMYFUNCTION("GOOGLETRANSLATE(B3901, ""zh"", ""en"")"),"And expected the same size as appropriate, items in good condition.")</f>
        <v>And expected the same size as appropriate, items in good condition.</v>
      </c>
    </row>
    <row r="3902">
      <c r="A3902" s="1">
        <v>4.0</v>
      </c>
      <c r="B3902" s="1" t="s">
        <v>3888</v>
      </c>
      <c r="C3902" t="str">
        <f>IFERROR(__xludf.DUMMYFUNCTION("GOOGLETRANSLATE(B3902, ""zh"", ""en"")"),"Good value for money if the foot is not particularly wide, it is estimated 2E enough, buy 4E, feeling a little wider, a little hypertrophy. Length'd just. Normal size to buy enough.")</f>
        <v>Good value for money if the foot is not particularly wide, it is estimated 2E enough, buy 4E, feeling a little wider, a little hypertrophy. Length'd just. Normal size to buy enough.</v>
      </c>
    </row>
    <row r="3903">
      <c r="A3903" s="1">
        <v>5.0</v>
      </c>
      <c r="B3903" s="1" t="s">
        <v>3889</v>
      </c>
      <c r="C3903" t="str">
        <f>IFERROR(__xludf.DUMMYFUNCTION("GOOGLETRANSLATE(B3903, ""zh"", ""en"")"),"Wool is blue, a color change but Chuan Chuan is also very good, which clothes to wear, otherwise they will tie the legs.")</f>
        <v>Wool is blue, a color change but Chuan Chuan is also very good, which clothes to wear, otherwise they will tie the legs.</v>
      </c>
    </row>
    <row r="3904">
      <c r="A3904" s="1">
        <v>5.0</v>
      </c>
      <c r="B3904" s="1" t="s">
        <v>3890</v>
      </c>
      <c r="C3904" t="str">
        <f>IFERROR(__xludf.DUMMYFUNCTION("GOOGLETRANSLATE(B3904, ""zh"", ""en"")"),"Satisfaction with the shopping July 12 Kusakabe single, from July 21 received, faster than I expected. Shoes are very light, very comfortable on the feet, with the counter to buy nothing different. I 41 yards shoes, sports shoes 42 yards, the present sele"&amp;"ction section 8M, right size, for your reference! Satisfaction with the shopping!")</f>
        <v>Satisfaction with the shopping July 12 Kusakabe single, from July 21 received, faster than I expected. Shoes are very light, very comfortable on the feet, with the counter to buy nothing different. I 41 yards shoes, sports shoes 42 yards, the present selection section 8M, right size, for your reference! Satisfaction with the shopping!</v>
      </c>
    </row>
    <row r="3905">
      <c r="A3905" s="1">
        <v>5.0</v>
      </c>
      <c r="B3905" s="1" t="s">
        <v>3891</v>
      </c>
      <c r="C3905" t="str">
        <f>IFERROR(__xludf.DUMMYFUNCTION("GOOGLETRANSLATE(B3905, ""zh"", ""en"")"),"it is good! Very good, because previous reviews looked good before the election of this one, really Italian! There are so many sincere thanks comments on Amazon -")</f>
        <v>it is good! Very good, because previous reviews looked good before the election of this one, really Italian! There are so many sincere thanks comments on Amazon -</v>
      </c>
    </row>
    <row r="3906">
      <c r="A3906" s="1">
        <v>5.0</v>
      </c>
      <c r="B3906" s="1" t="s">
        <v>3892</v>
      </c>
      <c r="C3906" t="str">
        <f>IFERROR(__xludf.DUMMYFUNCTION("GOOGLETRANSLATE(B3906, ""zh"", ""en"")"),"Appearance smooth smooth appearance, it has not been used.")</f>
        <v>Appearance smooth smooth appearance, it has not been used.</v>
      </c>
    </row>
    <row r="3907">
      <c r="A3907" s="1">
        <v>5.0</v>
      </c>
      <c r="B3907" s="1" t="s">
        <v>3893</v>
      </c>
      <c r="C3907" t="str">
        <f>IFERROR(__xludf.DUMMYFUNCTION("GOOGLETRANSLATE(B3907, ""zh"", ""en"")"),"Good size, style, color is good!")</f>
        <v>Good size, style, color is good!</v>
      </c>
    </row>
    <row r="3908">
      <c r="A3908" s="1">
        <v>5.0</v>
      </c>
      <c r="B3908" s="1" t="s">
        <v>3894</v>
      </c>
      <c r="C3908" t="str">
        <f>IFERROR(__xludf.DUMMYFUNCTION("GOOGLETRANSLATE(B3908, ""zh"", ""en"")"),"Comfortable hand strap and get behind a mesh, the feeling is not very good. Washed wear very comfortable, more comfortable than no rims Uniqlo, 80b buy a little big l, m should be appropriate")</f>
        <v>Comfortable hand strap and get behind a mesh, the feeling is not very good. Washed wear very comfortable, more comfortable than no rims Uniqlo, 80b buy a little big l, m should be appropriate</v>
      </c>
    </row>
    <row r="3909">
      <c r="A3909" s="1">
        <v>5.0</v>
      </c>
      <c r="B3909" s="1" t="s">
        <v>3895</v>
      </c>
      <c r="C3909" t="str">
        <f>IFERROR(__xludf.DUMMYFUNCTION("GOOGLETRANSLATE(B3909, ""zh"", ""en"")"),"Beautiful, good texture microphone texture are particularly good, heavy, looks very on the grade, like. Sound quality of my sound card to re-test. Elsewhere encountered a small problem, customer service attitude is very good, very satisfied with the deal,"&amp;" Amazon customers point to a praise. Good product, worthy of trust.")</f>
        <v>Beautiful, good texture microphone texture are particularly good, heavy, looks very on the grade, like. Sound quality of my sound card to re-test. Elsewhere encountered a small problem, customer service attitude is very good, very satisfied with the deal, Amazon customers point to a praise. Good product, worthy of trust.</v>
      </c>
    </row>
    <row r="3910">
      <c r="A3910" s="1">
        <v>5.0</v>
      </c>
      <c r="B3910" s="1" t="s">
        <v>3896</v>
      </c>
      <c r="C3910" t="str">
        <f>IFERROR(__xludf.DUMMYFUNCTION("GOOGLETRANSLATE(B3910, ""zh"", ""en"")"),"Good quality clothes, the clothes are good quality fabrics, beautiful color washing does not fade.")</f>
        <v>Good quality clothes, the clothes are good quality fabrics, beautiful color washing does not fade.</v>
      </c>
    </row>
    <row r="3911">
      <c r="A3911" s="1">
        <v>5.0</v>
      </c>
      <c r="B3911" s="1" t="s">
        <v>3897</v>
      </c>
      <c r="C3911" t="str">
        <f>IFERROR(__xludf.DUMMYFUNCTION("GOOGLETRANSLATE(B3911, ""zh"", ""en"")"),"Workmanship looks good, but a little small buy looks good workmanship, but buy small")</f>
        <v>Workmanship looks good, but a little small buy looks good workmanship, but buy small</v>
      </c>
    </row>
    <row r="3912">
      <c r="A3912" s="1">
        <v>5.0</v>
      </c>
      <c r="B3912" s="1" t="s">
        <v>3898</v>
      </c>
      <c r="C3912" t="str">
        <f>IFERROR(__xludf.DUMMYFUNCTION("GOOGLETRANSLATE(B3912, ""zh"", ""en"")"),"Good taste good to eat, do not melt.")</f>
        <v>Good taste good to eat, do not melt.</v>
      </c>
    </row>
    <row r="3913">
      <c r="A3913" s="1">
        <v>5.0</v>
      </c>
      <c r="B3913" s="1" t="s">
        <v>3899</v>
      </c>
      <c r="C3913" t="str">
        <f>IFERROR(__xludf.DUMMYFUNCTION("GOOGLETRANSLATE(B3913, ""zh"", ""en"")"),"Is not it marked 27 is equivalent to 42 to 43 do? Usually wear shoes 44, did not hesitate to directly buy 27, buy it much smaller. 27 Japanese shoe number? too small. Wood have a way to do some good. unfortunately")</f>
        <v>Is not it marked 27 is equivalent to 42 to 43 do? Usually wear shoes 44, did not hesitate to directly buy 27, buy it much smaller. 27 Japanese shoe number? too small. Wood have a way to do some good. unfortunately</v>
      </c>
    </row>
    <row r="3914">
      <c r="A3914" s="1">
        <v>5.0</v>
      </c>
      <c r="B3914" s="1" t="s">
        <v>3900</v>
      </c>
      <c r="C3914" t="str">
        <f>IFERROR(__xludf.DUMMYFUNCTION("GOOGLETRANSLATE(B3914, ""zh"", ""en"")"),"Too small, too small a point, not short sleeves, bust is a bit too small, very tight")</f>
        <v>Too small, too small a point, not short sleeves, bust is a bit too small, very tight</v>
      </c>
    </row>
    <row r="3915">
      <c r="A3915" s="1">
        <v>5.0</v>
      </c>
      <c r="B3915" s="1" t="s">
        <v>3901</v>
      </c>
      <c r="C3915" t="str">
        <f>IFERROR(__xludf.DUMMYFUNCTION("GOOGLETRANSLATE(B3915, ""zh"", ""en"")"),"Yan high value, good quality and this suction cups burst table Yen value, quality is also very good 👍 son just started some not used to drink a little more strenuous, it should be anti-choke design. Now his son used to it")</f>
        <v>Yan high value, good quality and this suction cups burst table Yen value, quality is also very good 👍 son just started some not used to drink a little more strenuous, it should be anti-choke design. Now his son used to it</v>
      </c>
    </row>
    <row r="3916">
      <c r="A3916" s="1">
        <v>5.0</v>
      </c>
      <c r="B3916" s="1" t="s">
        <v>3902</v>
      </c>
      <c r="C3916" t="str">
        <f>IFERROR(__xludf.DUMMYFUNCTION("GOOGLETRANSLATE(B3916, ""zh"", ""en"")"),"Good has been used, the baby always liked")</f>
        <v>Good has been used, the baby always liked</v>
      </c>
    </row>
    <row r="3917">
      <c r="A3917" s="1">
        <v>5.0</v>
      </c>
      <c r="B3917" s="1" t="s">
        <v>3903</v>
      </c>
      <c r="C3917" t="str">
        <f>IFERROR(__xludf.DUMMYFUNCTION("GOOGLETRANSLATE(B3917, ""zh"", ""en"")"),"Very good good not only complementary but also when the grinding bowl now take it every day to treasure rice to feed it")</f>
        <v>Very good good not only complementary but also when the grinding bowl now take it every day to treasure rice to feed it</v>
      </c>
    </row>
    <row r="3918">
      <c r="A3918" s="1">
        <v>5.0</v>
      </c>
      <c r="B3918" s="1" t="s">
        <v>3904</v>
      </c>
      <c r="C3918" t="str">
        <f>IFERROR(__xludf.DUMMYFUNCTION("GOOGLETRANSLATE(B3918, ""zh"", ""en"")"),"Ok cheaper than domestic")</f>
        <v>Ok cheaper than domestic</v>
      </c>
    </row>
    <row r="3919">
      <c r="A3919" s="1">
        <v>5.0</v>
      </c>
      <c r="B3919" s="1" t="s">
        <v>3905</v>
      </c>
      <c r="C3919" t="str">
        <f>IFERROR(__xludf.DUMMYFUNCTION("GOOGLETRANSLATE(B3919, ""zh"", ""en"")"),"Very appropriate, very comfortable. Like, good fabric, comfortable")</f>
        <v>Very appropriate, very comfortable. Like, good fabric, comfortable</v>
      </c>
    </row>
    <row r="3920">
      <c r="A3920" s="1">
        <v>5.0</v>
      </c>
      <c r="B3920" s="1" t="s">
        <v>3906</v>
      </c>
      <c r="C3920" t="str">
        <f>IFERROR(__xludf.DUMMYFUNCTION("GOOGLETRANSLATE(B3920, ""zh"", ""en"")"),"A little smaller and good quality underwear, but a little bit smaller, a little tight just to wear when good now, it is estimated to buy large size just right! I waistline 2 feet 6")</f>
        <v>A little smaller and good quality underwear, but a little bit smaller, a little tight just to wear when good now, it is estimated to buy large size just right! I waistline 2 feet 6</v>
      </c>
    </row>
    <row r="3921">
      <c r="A3921" s="1">
        <v>5.0</v>
      </c>
      <c r="B3921" s="1" t="s">
        <v>3907</v>
      </c>
      <c r="C3921" t="str">
        <f>IFERROR(__xludf.DUMMYFUNCTION("GOOGLETRANSLATE(B3921, ""zh"", ""en"")"),"Good quality, fit warm. 174cm tall and weighing 76kg, wearing M just in time, inside a reflective layer, very warm, south for the winter no problem.")</f>
        <v>Good quality, fit warm. 174cm tall and weighing 76kg, wearing M just in time, inside a reflective layer, very warm, south for the winter no problem.</v>
      </c>
    </row>
    <row r="3922">
      <c r="A3922" s="1">
        <v>5.0</v>
      </c>
      <c r="B3922" s="1" t="s">
        <v>3908</v>
      </c>
      <c r="C3922" t="str">
        <f>IFERROR(__xludf.DUMMYFUNCTION("GOOGLETRANSLATE(B3922, ""zh"", ""en"")"),"Packaging is not tight, pencil packaging is not okay to force, nothing inside pad")</f>
        <v>Packaging is not tight, pencil packaging is not okay to force, nothing inside pad</v>
      </c>
    </row>
    <row r="3923">
      <c r="A3923" s="1">
        <v>5.0</v>
      </c>
      <c r="B3923" s="1" t="s">
        <v>3909</v>
      </c>
      <c r="C3923" t="str">
        <f>IFERROR(__xludf.DUMMYFUNCTION("GOOGLETRANSLATE(B3923, ""zh"", ""en"")"),"High value for money Nichia hard drive price. With enough memory to do")</f>
        <v>High value for money Nichia hard drive price. With enough memory to do</v>
      </c>
    </row>
    <row r="3924">
      <c r="A3924" s="1">
        <v>5.0</v>
      </c>
      <c r="B3924" s="1" t="s">
        <v>3910</v>
      </c>
      <c r="C3924" t="str">
        <f>IFERROR(__xludf.DUMMYFUNCTION("GOOGLETRANSLATE(B3924, ""zh"", ""en"")"),"very good! He has been like a small V, and finally bought a, or the original American goods, really good! Used to make juice, super good!")</f>
        <v>very good! He has been like a small V, and finally bought a, or the original American goods, really good! Used to make juice, super good!</v>
      </c>
    </row>
    <row r="3925">
      <c r="A3925" s="1">
        <v>2.0</v>
      </c>
      <c r="B3925" s="1" t="s">
        <v>3911</v>
      </c>
      <c r="C3925" t="str">
        <f>IFERROR(__xludf.DUMMYFUNCTION("GOOGLETRANSLATE(B3925, ""zh"", ""en"")"),"Domestic size of the domestic fight two yards wear 32W32L, this should buy 30W30L")</f>
        <v>Domestic size of the domestic fight two yards wear 32W32L, this should buy 30W30L</v>
      </c>
    </row>
    <row r="3926">
      <c r="A3926" s="1">
        <v>3.0</v>
      </c>
      <c r="B3926" s="1" t="s">
        <v>3912</v>
      </c>
      <c r="C3926" t="str">
        <f>IFERROR(__xludf.DUMMYFUNCTION("GOOGLETRANSLATE(B3926, ""zh"", ""en"")"),"It belongs to the lottery, and I hung up. In general you can only buy two, bad luck, pumping garbage master. Three hundred, z 80 might as well buy SanDisk.")</f>
        <v>It belongs to the lottery, and I hung up. In general you can only buy two, bad luck, pumping garbage master. Three hundred, z 80 might as well buy SanDisk.</v>
      </c>
    </row>
    <row r="3927">
      <c r="A3927" s="1">
        <v>1.0</v>
      </c>
      <c r="B3927" s="1" t="s">
        <v>3913</v>
      </c>
      <c r="C3927" t="str">
        <f>IFERROR(__xludf.DUMMYFUNCTION("GOOGLETRANSLATE(B3927, ""zh"", ""en"")"),"Designers estimate is much too alien, too much size is too large rather long")</f>
        <v>Designers estimate is much too alien, too much size is too large rather long</v>
      </c>
    </row>
    <row r="3928">
      <c r="A3928" s="1">
        <v>1.0</v>
      </c>
      <c r="B3928" s="1" t="s">
        <v>3914</v>
      </c>
      <c r="C3928" t="str">
        <f>IFERROR(__xludf.DUMMYFUNCTION("GOOGLETRANSLATE(B3928, ""zh"", ""en"")"),"Too bad shopping experience! No description of the size, completely blind election! My God, too much of it. Page size is no explanation, other people's comments only look, not thread consultation. Look Review ""Wild family,"" she 168,68kg buy 2XL see fit."&amp;" XL and 2XL So I bought a pair of each. Then, two pants inside can hold me!")</f>
        <v>Too bad shopping experience! No description of the size, completely blind election! My God, too much of it. Page size is no explanation, other people's comments only look, not thread consultation. Look Review "Wild family," she 168,68kg buy 2XL see fit. XL and 2XL So I bought a pair of each. Then, two pants inside can hold me!</v>
      </c>
    </row>
    <row r="3929">
      <c r="A3929" s="1">
        <v>4.0</v>
      </c>
      <c r="B3929" s="1" t="s">
        <v>3915</v>
      </c>
      <c r="C3929" t="str">
        <f>IFERROR(__xludf.DUMMYFUNCTION("GOOGLETRANSLATE(B3929, ""zh"", ""en"")"),"Pretty good in a relatively good-looking entry-level climbing / waterproof shoes in styles, personally feel better looking than rhubarb boots. But do not expect it to how strong waterproof capability, deep water than in the sole case of still water seepag"&amp;"e in, but permeability is OK, the whole is relatively comfortable. Recommended in less extreme environments.")</f>
        <v>Pretty good in a relatively good-looking entry-level climbing / waterproof shoes in styles, personally feel better looking than rhubarb boots. But do not expect it to how strong waterproof capability, deep water than in the sole case of still water seepage in, but permeability is OK, the whole is relatively comfortable. Recommended in less extreme environments.</v>
      </c>
    </row>
    <row r="3930">
      <c r="A3930" s="1">
        <v>4.0</v>
      </c>
      <c r="B3930" s="1" t="s">
        <v>3916</v>
      </c>
      <c r="C3930" t="str">
        <f>IFERROR(__xludf.DUMMYFUNCTION("GOOGLETRANSLATE(B3930, ""zh"", ""en"")"),"Domestic invoice number 3 at the 6th arrived, should be made of domestic goods overseas hair not so fast. . . 252 plus taxes, relatively cheap. Pink diamond the next test can be plugged in, than the pink diamond comes whitening brush head should be smalle"&amp;"r. 8 can be used for two years.")</f>
        <v>Domestic invoice number 3 at the 6th arrived, should be made of domestic goods overseas hair not so fast. . . 252 plus taxes, relatively cheap. Pink diamond the next test can be plugged in, than the pink diamond comes whitening brush head should be smaller. 8 can be used for two years.</v>
      </c>
    </row>
    <row r="3931">
      <c r="A3931" s="1">
        <v>4.0</v>
      </c>
      <c r="B3931" s="1" t="s">
        <v>3917</v>
      </c>
      <c r="C3931" t="str">
        <f>IFERROR(__xludf.DUMMYFUNCTION("GOOGLETRANSLATE(B3931, ""zh"", ""en"")"),"Overall good waist slightly smaller, long pants pretty good! Material has a certain flexibility.")</f>
        <v>Overall good waist slightly smaller, long pants pretty good! Material has a certain flexibility.</v>
      </c>
    </row>
    <row r="3932">
      <c r="A3932" s="1">
        <v>4.0</v>
      </c>
      <c r="B3932" s="1" t="s">
        <v>3918</v>
      </c>
      <c r="C3932" t="str">
        <f>IFERROR(__xludf.DUMMYFUNCTION("GOOGLETRANSLATE(B3932, ""zh"", ""en"")"),"Okay in line with expectations, the US version of the longer sleeves, loose, reasonable price.")</f>
        <v>Okay in line with expectations, the US version of the longer sleeves, loose, reasonable price.</v>
      </c>
    </row>
    <row r="3933">
      <c r="A3933" s="1">
        <v>4.0</v>
      </c>
      <c r="B3933" s="1" t="s">
        <v>3919</v>
      </c>
      <c r="C3933" t="str">
        <f>IFERROR(__xludf.DUMMYFUNCTION("GOOGLETRANSLATE(B3933, ""zh"", ""en"")"),"Attractive, jackets are worn with proper width are suitable length 168,58")</f>
        <v>Attractive, jackets are worn with proper width are suitable length 168,58</v>
      </c>
    </row>
    <row r="3934">
      <c r="A3934" s="1">
        <v>5.0</v>
      </c>
      <c r="B3934" s="1" t="s">
        <v>3920</v>
      </c>
      <c r="C3934" t="str">
        <f>IFERROR(__xludf.DUMMYFUNCTION("GOOGLETRANSLATE(B3934, ""zh"", ""en"")"),"The popular baby bottle really like! Genuine! Very happy very satisfied! Because it is so to be very careful selection of the time with her daughter, and thought for a long time to try holding the mentality to buy this for the first time in the Amazon sho"&amp;"pping, very satisfied, after receiving three minutes in the pot a little no taste, more happy baby is very easy to accept, before the release of breast milk with NUK Pigeon and do not drink, this baby is very easy to take the initiative to suck up! Buy a "&amp;"big one.")</f>
        <v>The popular baby bottle really like! Genuine! Very happy very satisfied! Because it is so to be very careful selection of the time with her daughter, and thought for a long time to try holding the mentality to buy this for the first time in the Amazon shopping, very satisfied, after receiving three minutes in the pot a little no taste, more happy baby is very easy to accept, before the release of breast milk with NUK Pigeon and do not drink, this baby is very easy to take the initiative to suck up! Buy a big one.</v>
      </c>
    </row>
    <row r="3935">
      <c r="A3935" s="1">
        <v>5.0</v>
      </c>
      <c r="B3935" s="1" t="s">
        <v>3921</v>
      </c>
      <c r="C3935" t="str">
        <f>IFERROR(__xludf.DUMMYFUNCTION("GOOGLETRANSLATE(B3935, ""zh"", ""en"")"),"Yes this is true, just the right size for a small bag")</f>
        <v>Yes this is true, just the right size for a small bag</v>
      </c>
    </row>
    <row r="3936">
      <c r="A3936" s="1">
        <v>5.0</v>
      </c>
      <c r="B3936" s="1" t="s">
        <v>3922</v>
      </c>
      <c r="C3936" t="str">
        <f>IFERROR(__xludf.DUMMYFUNCTION("GOOGLETRANSLATE(B3936, ""zh"", ""en"")"),"Okay a little big cortex and description of differentiated skin like lychee")</f>
        <v>Okay a little big cortex and description of differentiated skin like lychee</v>
      </c>
    </row>
    <row r="3937">
      <c r="A3937" s="1">
        <v>5.0</v>
      </c>
      <c r="B3937" s="1" t="s">
        <v>3923</v>
      </c>
      <c r="C3937" t="str">
        <f>IFERROR(__xludf.DUMMYFUNCTION("GOOGLETRANSLATE(B3937, ""zh"", ""en"")"),"ok Slim was thin, remarkable temperament! it is good")</f>
        <v>ok Slim was thin, remarkable temperament! it is good</v>
      </c>
    </row>
    <row r="3938">
      <c r="A3938" s="1">
        <v>5.0</v>
      </c>
      <c r="B3938" s="1" t="s">
        <v>3924</v>
      </c>
      <c r="C3938" t="str">
        <f>IFERROR(__xludf.DUMMYFUNCTION("GOOGLETRANSLATE(B3938, ""zh"", ""en"")"),"Like really good quality, warm, suitable for winter wear.")</f>
        <v>Like really good quality, warm, suitable for winter wear.</v>
      </c>
    </row>
    <row r="3939">
      <c r="A3939" s="1">
        <v>5.0</v>
      </c>
      <c r="B3939" s="1" t="s">
        <v>3925</v>
      </c>
      <c r="C3939" t="str">
        <f>IFERROR(__xludf.DUMMYFUNCTION("GOOGLETRANSLATE(B3939, ""zh"", ""en"")"),"To a reference 178CM, 93KG, a little belly bulge, the election of XL, shoulders just a little Le stomach, ha ha. Fabric good, long sleeves, good ventilation effect")</f>
        <v>To a reference 178CM, 93KG, a little belly bulge, the election of XL, shoulders just a little Le stomach, ha ha. Fabric good, long sleeves, good ventilation effect</v>
      </c>
    </row>
    <row r="3940">
      <c r="A3940" s="1">
        <v>5.0</v>
      </c>
      <c r="B3940" s="1" t="s">
        <v>3926</v>
      </c>
      <c r="C3940" t="str">
        <f>IFERROR(__xludf.DUMMYFUNCTION("GOOGLETRANSLATE(B3940, ""zh"", ""en"")"),"Eb20 it should be good, with the accustomed eb50, change this feeling is also very good")</f>
        <v>Eb20 it should be good, with the accustomed eb50, change this feeling is also very good</v>
      </c>
    </row>
    <row r="3941">
      <c r="A3941" s="1">
        <v>5.0</v>
      </c>
      <c r="B3941" s="1" t="s">
        <v>3927</v>
      </c>
      <c r="C3941" t="str">
        <f>IFERROR(__xludf.DUMMYFUNCTION("GOOGLETRANSLATE(B3941, ""zh"", ""en"")"),"Lexar 1066X good indeed faster than the speed of SanDisk's a little 1067xCF")</f>
        <v>Lexar 1066X good indeed faster than the speed of SanDisk's a little 1067xCF</v>
      </c>
    </row>
    <row r="3942">
      <c r="A3942" s="1">
        <v>5.0</v>
      </c>
      <c r="B3942" s="1" t="s">
        <v>3928</v>
      </c>
      <c r="C3942" t="str">
        <f>IFERROR(__xludf.DUMMYFUNCTION("GOOGLETRANSLATE(B3942, ""zh"", ""en"")"),"A good pair of sneakers as well as a good cushion is very comfortable to wear")</f>
        <v>A good pair of sneakers as well as a good cushion is very comfortable to wear</v>
      </c>
    </row>
    <row r="3943">
      <c r="A3943" s="1">
        <v>5.0</v>
      </c>
      <c r="B3943" s="1" t="s">
        <v>3929</v>
      </c>
      <c r="C3943" t="str">
        <f>IFERROR(__xludf.DUMMYFUNCTION("GOOGLETRANSLATE(B3943, ""zh"", ""en"")"),"Not with the packaging intact, intact packaging")</f>
        <v>Not with the packaging intact, intact packaging</v>
      </c>
    </row>
    <row r="3944">
      <c r="A3944" s="1">
        <v>5.0</v>
      </c>
      <c r="B3944" s="1" t="s">
        <v>3930</v>
      </c>
      <c r="C3944" t="str">
        <f>IFERROR(__xludf.DUMMYFUNCTION("GOOGLETRANSLATE(B3944, ""zh"", ""en"")"),"Try to write a little feel good, I feel very good. To the children with a large Zhesi hands like paws. Pencil cases in addition to the blotter, there are two ink sac, turned out to be one blue and one black, Unfortunately readily placement is blue.")</f>
        <v>Try to write a little feel good, I feel very good. To the children with a large Zhesi hands like paws. Pencil cases in addition to the blotter, there are two ink sac, turned out to be one blue and one black, Unfortunately readily placement is blue.</v>
      </c>
    </row>
    <row r="3945">
      <c r="A3945" s="1">
        <v>5.0</v>
      </c>
      <c r="B3945" s="1" t="s">
        <v>3931</v>
      </c>
      <c r="C3945" t="str">
        <f>IFERROR(__xludf.DUMMYFUNCTION("GOOGLETRANSLATE(B3945, ""zh"", ""en"")"),"This is a good supplies, regular replacement, no problem.")</f>
        <v>This is a good supplies, regular replacement, no problem.</v>
      </c>
    </row>
    <row r="3946">
      <c r="A3946" s="1">
        <v>5.0</v>
      </c>
      <c r="B3946" s="1" t="s">
        <v>3932</v>
      </c>
      <c r="C3946" t="str">
        <f>IFERROR(__xludf.DUMMYFUNCTION("GOOGLETRANSLATE(B3946, ""zh"", ""en"")"),"High cost useful, convenient")</f>
        <v>High cost useful, convenient</v>
      </c>
    </row>
    <row r="3947">
      <c r="A3947" s="1">
        <v>5.0</v>
      </c>
      <c r="B3947" s="1" t="s">
        <v>3933</v>
      </c>
      <c r="C3947" t="str">
        <f>IFERROR(__xludf.DUMMYFUNCTION("GOOGLETRANSLATE(B3947, ""zh"", ""en"")"),"Simple and practical style good-looking watch, simple and practical")</f>
        <v>Simple and practical style good-looking watch, simple and practical</v>
      </c>
    </row>
    <row r="3948">
      <c r="A3948" s="1">
        <v>5.0</v>
      </c>
      <c r="B3948" s="1" t="s">
        <v>3934</v>
      </c>
      <c r="C3948" t="str">
        <f>IFERROR(__xludf.DUMMYFUNCTION("GOOGLETRANSLATE(B3948, ""zh"", ""en"")"),"Praise has been eating this for the first time and then buy online, does not distinguish between true and false")</f>
        <v>Praise has been eating this for the first time and then buy online, does not distinguish between true and false</v>
      </c>
    </row>
    <row r="3949">
      <c r="A3949" s="1">
        <v>5.0</v>
      </c>
      <c r="B3949" s="1" t="s">
        <v>3935</v>
      </c>
      <c r="C3949" t="str">
        <f>IFERROR(__xludf.DUMMYFUNCTION("GOOGLETRANSLATE(B3949, ""zh"", ""en"")"),"Good for children 9 years of age to wear!")</f>
        <v>Good for children 9 years of age to wear!</v>
      </c>
    </row>
    <row r="3950">
      <c r="A3950" s="1">
        <v>5.0</v>
      </c>
      <c r="B3950" s="1" t="s">
        <v>3936</v>
      </c>
      <c r="C3950" t="str">
        <f>IFERROR(__xludf.DUMMYFUNCTION("GOOGLETRANSLATE(B3950, ""zh"", ""en"")"),"Baby food bowl brightly colored baby is like oh")</f>
        <v>Baby food bowl brightly colored baby is like oh</v>
      </c>
    </row>
    <row r="3951">
      <c r="A3951" s="1">
        <v>5.0</v>
      </c>
      <c r="B3951" s="1" t="s">
        <v>3937</v>
      </c>
      <c r="C3951" t="str">
        <f>IFERROR(__xludf.DUMMYFUNCTION("GOOGLETRANSLATE(B3951, ""zh"", ""en"")"),"Genuine, more cost effective value of domestic new")</f>
        <v>Genuine, more cost effective value of domestic new</v>
      </c>
    </row>
    <row r="3952">
      <c r="A3952" s="1">
        <v>5.0</v>
      </c>
      <c r="B3952" s="1" t="s">
        <v>3938</v>
      </c>
      <c r="C3952" t="str">
        <f>IFERROR(__xludf.DUMMYFUNCTION("GOOGLETRANSLATE(B3952, ""zh"", ""en"")"),"Quality workmanship, solid body original box so foreign collapse over the sea, the packaging did not increase, but still intact, great machine is new, the country can be assigned to new accessories, beat eggs and noodles have tried the machine is particul"&amp;"arly stable, no shaking, the cake was very successful, and the surface because it is whole grain, not a film, next time try to change high-gluten flour, baking the upper part of the machine a little flawed, but does not affect the use, even if the overall"&amp;" or very satisfied, thrown a few blocks domestic brand is good")</f>
        <v>Quality workmanship, solid body original box so foreign collapse over the sea, the packaging did not increase, but still intact, great machine is new, the country can be assigned to new accessories, beat eggs and noodles have tried the machine is particularly stable, no shaking, the cake was very successful, and the surface because it is whole grain, not a film, next time try to change high-gluten flour, baking the upper part of the machine a little flawed, but does not affect the use, even if the overall or very satisfied, thrown a few blocks domestic brand is good</v>
      </c>
    </row>
    <row r="3953">
      <c r="A3953" s="1">
        <v>5.0</v>
      </c>
      <c r="B3953" s="1" t="s">
        <v>3939</v>
      </c>
      <c r="C3953" t="str">
        <f>IFERROR(__xludf.DUMMYFUNCTION("GOOGLETRANSLATE(B3953, ""zh"", ""en"")"),"175.75 good, wear s good, too hot, thick.")</f>
        <v>175.75 good, wear s good, too hot, thick.</v>
      </c>
    </row>
    <row r="3954">
      <c r="A3954" s="1">
        <v>5.0</v>
      </c>
      <c r="B3954" s="1" t="s">
        <v>3940</v>
      </c>
      <c r="C3954" t="str">
        <f>IFERROR(__xludf.DUMMYFUNCTION("GOOGLETRANSLATE(B3954, ""zh"", ""en"")"),"Although overall satisfaction transported from London came after nearly a week, but after all, so much cheaper, is also worth a few more days, though they are in English, but the feeling is genuine, good, satisfactory")</f>
        <v>Although overall satisfaction transported from London came after nearly a week, but after all, so much cheaper, is also worth a few more days, though they are in English, but the feeling is genuine, good, satisfactory</v>
      </c>
    </row>
    <row r="3955">
      <c r="A3955" s="1">
        <v>5.0</v>
      </c>
      <c r="B3955" s="1" t="s">
        <v>3941</v>
      </c>
      <c r="C3955" t="str">
        <f>IFERROR(__xludf.DUMMYFUNCTION("GOOGLETRANSLATE(B3955, ""zh"", ""en"")"),"Good clothes is not very thick, a good wear autumn, when the intermediate layer may also be")</f>
        <v>Good clothes is not very thick, a good wear autumn, when the intermediate layer may also be</v>
      </c>
    </row>
    <row r="3956">
      <c r="A3956" s="1">
        <v>2.0</v>
      </c>
      <c r="B3956" s="1" t="s">
        <v>3942</v>
      </c>
      <c r="C3956" t="str">
        <f>IFERROR(__xludf.DUMMYFUNCTION("GOOGLETRANSLATE(B3956, ""zh"", ""en"")"),"They are crushed toothbrush good, but the packaging is too residue, not used, and it broke 3")</f>
        <v>They are crushed toothbrush good, but the packaging is too residue, not used, and it broke 3</v>
      </c>
    </row>
    <row r="3957">
      <c r="A3957" s="1">
        <v>3.0</v>
      </c>
      <c r="B3957" s="1" t="s">
        <v>3943</v>
      </c>
      <c r="C3957" t="str">
        <f>IFERROR(__xludf.DUMMYFUNCTION("GOOGLETRANSLATE(B3957, ""zh"", ""en"")"),"Super super clothes, buy XXXL, the fat guy wearing a better, much larger than the normal version")</f>
        <v>Super super clothes, buy XXXL, the fat guy wearing a better, much larger than the normal version</v>
      </c>
    </row>
    <row r="3958">
      <c r="A3958" s="1">
        <v>3.0</v>
      </c>
      <c r="B3958" s="1" t="s">
        <v>3944</v>
      </c>
      <c r="C3958" t="str">
        <f>IFERROR(__xludf.DUMMYFUNCTION("GOOGLETRANSLATE(B3958, ""zh"", ""en"")"),"There are a few scratch marks as a leading man for the first time scouring the sea lacks experience, with great expectations, but many leading across the sea to get scratched. Yen value is not high. . A little disappointed.")</f>
        <v>There are a few scratch marks as a leading man for the first time scouring the sea lacks experience, with great expectations, but many leading across the sea to get scratched. Yen value is not high. . A little disappointed.</v>
      </c>
    </row>
    <row r="3959">
      <c r="A3959" s="1">
        <v>1.0</v>
      </c>
      <c r="B3959" s="1" t="s">
        <v>3945</v>
      </c>
      <c r="C3959" t="str">
        <f>IFERROR(__xludf.DUMMYFUNCTION("GOOGLETRANSLATE(B3959, ""zh"", ""en"")"),"Poor quality is a little plush lining, try when hair loss is very serious. Clothes obvious thread, but for amazon overseas purchase, really thought it was fake! Poor quality")</f>
        <v>Poor quality is a little plush lining, try when hair loss is very serious. Clothes obvious thread, but for amazon overseas purchase, really thought it was fake! Poor quality</v>
      </c>
    </row>
    <row r="3960">
      <c r="A3960" s="1">
        <v>1.0</v>
      </c>
      <c r="B3960" s="1" t="s">
        <v>3946</v>
      </c>
      <c r="C3960" t="str">
        <f>IFERROR(__xludf.DUMMYFUNCTION("GOOGLETRANSLATE(B3960, ""zh"", ""en"")"),"8 too fake too fake it, than the worst fake goods Taobao also false")</f>
        <v>8 too fake too fake it, than the worst fake goods Taobao also false</v>
      </c>
    </row>
    <row r="3961">
      <c r="A3961" s="1">
        <v>1.0</v>
      </c>
      <c r="B3961" s="1" t="s">
        <v>3947</v>
      </c>
      <c r="C3961" t="str">
        <f>IFERROR(__xludf.DUMMYFUNCTION("GOOGLETRANSLATE(B3961, ""zh"", ""en"")"),"I usually wear a fat guy installed in yards, sent me a XXXL")</f>
        <v>I usually wear a fat guy installed in yards, sent me a XXXL</v>
      </c>
    </row>
    <row r="3962">
      <c r="A3962" s="1">
        <v>4.0</v>
      </c>
      <c r="B3962" s="1" t="s">
        <v>3948</v>
      </c>
      <c r="C3962" t="str">
        <f>IFERROR(__xludf.DUMMYFUNCTION("GOOGLETRANSLATE(B3962, ""zh"", ""en"")"),"Cost-effective than expected arrived early, pencil child very satisfied.")</f>
        <v>Cost-effective than expected arrived early, pencil child very satisfied.</v>
      </c>
    </row>
    <row r="3963">
      <c r="A3963" s="1">
        <v>4.0</v>
      </c>
      <c r="B3963" s="1" t="s">
        <v>3949</v>
      </c>
      <c r="C3963" t="str">
        <f>IFERROR(__xludf.DUMMYFUNCTION("GOOGLETRANSLATE(B3963, ""zh"", ""en"")"),"As cost-effective than the state line MIC, turn around to come back cheaper faster than half the state line; plug also applies, not price PRIME some regret; to improve the quality of life of small objects.")</f>
        <v>As cost-effective than the state line MIC, turn around to come back cheaper faster than half the state line; plug also applies, not price PRIME some regret; to improve the quality of life of small objects.</v>
      </c>
    </row>
    <row r="3964">
      <c r="A3964" s="1">
        <v>4.0</v>
      </c>
      <c r="B3964" s="1" t="s">
        <v>3950</v>
      </c>
      <c r="C3964" t="str">
        <f>IFERROR(__xludf.DUMMYFUNCTION("GOOGLETRANSLATE(B3964, ""zh"", ""en"")"),"Lay fish oil fish oil has arrived in the United States and Crafts, did not eat, just feel lighter than the color of the bottle from the United States brought back some color. I hope that is genuine.")</f>
        <v>Lay fish oil fish oil has arrived in the United States and Crafts, did not eat, just feel lighter than the color of the bottle from the United States brought back some color. I hope that is genuine.</v>
      </c>
    </row>
    <row r="3965">
      <c r="A3965" s="1">
        <v>4.0</v>
      </c>
      <c r="B3965" s="1" t="s">
        <v>3951</v>
      </c>
      <c r="C3965" t="str">
        <f>IFERROR(__xludf.DUMMYFUNCTION("GOOGLETRANSLATE(B3965, ""zh"", ""en"")"),"Do not increase the pot a bit stuffy high frequency long point and then make a formal comment on it")</f>
        <v>Do not increase the pot a bit stuffy high frequency long point and then make a formal comment on it</v>
      </c>
    </row>
    <row r="3966">
      <c r="A3966" s="1">
        <v>4.0</v>
      </c>
      <c r="B3966" s="1" t="s">
        <v>3952</v>
      </c>
      <c r="C3966" t="str">
        <f>IFERROR(__xludf.DUMMYFUNCTION("GOOGLETRANSLATE(B3966, ""zh"", ""en"")"),"Try a little under slightly larger, estimated to be relatively small my head right")</f>
        <v>Try a little under slightly larger, estimated to be relatively small my head right</v>
      </c>
    </row>
    <row r="3967">
      <c r="A3967" s="1">
        <v>5.0</v>
      </c>
      <c r="B3967" s="1" t="s">
        <v>3953</v>
      </c>
      <c r="C3967" t="str">
        <f>IFERROR(__xludf.DUMMYFUNCTION("GOOGLETRANSLATE(B3967, ""zh"", ""en"")"),"Do not hoard goods from the previous evaluation, I do not know how many wasted points, points can change money now know, they should look carefully evaluated, then I put these words to copy to go, both to earn points, but also save trouble, where one copy"&amp;" where, sent directly to it, recommend it to everyone!")</f>
        <v>Do not hoard goods from the previous evaluation, I do not know how many wasted points, points can change money now know, they should look carefully evaluated, then I put these words to copy to go, both to earn points, but also save trouble, where one copy where, sent directly to it, recommend it to everyone!</v>
      </c>
    </row>
    <row r="3968">
      <c r="A3968" s="1">
        <v>5.0</v>
      </c>
      <c r="B3968" s="1" t="s">
        <v>3954</v>
      </c>
      <c r="C3968" t="str">
        <f>IFERROR(__xludf.DUMMYFUNCTION("GOOGLETRANSLATE(B3968, ""zh"", ""en"")"),"Light 168,60kg s code slightly warm, very warm")</f>
        <v>Light 168,60kg s code slightly warm, very warm</v>
      </c>
    </row>
    <row r="3969">
      <c r="A3969" s="1">
        <v>5.0</v>
      </c>
      <c r="B3969" s="1" t="s">
        <v>3955</v>
      </c>
      <c r="C3969" t="str">
        <f>IFERROR(__xludf.DUMMYFUNCTION("GOOGLETRANSLATE(B3969, ""zh"", ""en"")"),"Very fond of taking advantage of Amazon's activities, my husband and I each bought a pair of boots rhubarb, cheaper than the counter 600, and the size is also just right, very very special satisfaction, wearing a cold a few days ago, these days it is appr"&amp;"opriate to wear it out")</f>
        <v>Very fond of taking advantage of Amazon's activities, my husband and I each bought a pair of boots rhubarb, cheaper than the counter 600, and the size is also just right, very very special satisfaction, wearing a cold a few days ago, these days it is appropriate to wear it out</v>
      </c>
    </row>
    <row r="3970">
      <c r="A3970" s="1">
        <v>5.0</v>
      </c>
      <c r="B3970" s="1" t="s">
        <v>3956</v>
      </c>
      <c r="C3970" t="str">
        <f>IFERROR(__xludf.DUMMYFUNCTION("GOOGLETRANSLATE(B3970, ""zh"", ""en"")"),"One quality of a good size is too large. Let me talk about the quality of the shoes, in general, lesser than the domestic counter, produced in India, details are in Fig. On foot more comfortable. Besides lower shoe size, I 290 feet long, but some thick fo"&amp;"ot wide fat, its domestic music 44, 45 Adidas Nike Andean Cage, shoes, all 46. SKECHERS 45 overseas purchase. This bought 45, us11.5, the overall larger size. The tax 258, for your reference.")</f>
        <v>One quality of a good size is too large. Let me talk about the quality of the shoes, in general, lesser than the domestic counter, produced in India, details are in Fig. On foot more comfortable. Besides lower shoe size, I 290 feet long, but some thick foot wide fat, its domestic music 44, 45 Adidas Nike Andean Cage, shoes, all 46. SKECHERS 45 overseas purchase. This bought 45, us11.5, the overall larger size. The tax 258, for your reference.</v>
      </c>
    </row>
    <row r="3971">
      <c r="A3971" s="1">
        <v>5.0</v>
      </c>
      <c r="B3971" s="1" t="s">
        <v>3957</v>
      </c>
      <c r="C3971" t="str">
        <f>IFERROR(__xludf.DUMMYFUNCTION("GOOGLETRANSLATE(B3971, ""zh"", ""en"")"),"Tight neck, fit other good, very appropriate, 173cm, 72kg, there is little stomach, but if the neck is a bit tight, then tie fight. So I'm not going to wear a tie is appropriate.")</f>
        <v>Tight neck, fit other good, very appropriate, 173cm, 72kg, there is little stomach, but if the neck is a bit tight, then tie fight. So I'm not going to wear a tie is appropriate.</v>
      </c>
    </row>
    <row r="3972">
      <c r="A3972" s="1">
        <v>5.0</v>
      </c>
      <c r="B3972" s="1" t="s">
        <v>3958</v>
      </c>
      <c r="C3972" t="str">
        <f>IFERROR(__xludf.DUMMYFUNCTION("GOOGLETRANSLATE(B3972, ""zh"", ""en"")"),"Slim Straight jeans good, I like the way")</f>
        <v>Slim Straight jeans good, I like the way</v>
      </c>
    </row>
    <row r="3973">
      <c r="A3973" s="1">
        <v>5.0</v>
      </c>
      <c r="B3973" s="1" t="s">
        <v>3959</v>
      </c>
      <c r="C3973" t="str">
        <f>IFERROR(__xludf.DUMMYFUNCTION("GOOGLETRANSLATE(B3973, ""zh"", ""en"")"),"Praise not to wear, feeling okay. Introduction as good as hoped.")</f>
        <v>Praise not to wear, feeling okay. Introduction as good as hoped.</v>
      </c>
    </row>
    <row r="3974">
      <c r="A3974" s="1">
        <v>5.0</v>
      </c>
      <c r="B3974" s="1" t="s">
        <v>3960</v>
      </c>
      <c r="C3974" t="str">
        <f>IFERROR(__xludf.DUMMYFUNCTION("GOOGLETRANSLATE(B3974, ""zh"", ""en"")"),"... I bought a total of three. Here is that, some critics say is a fake, as far as I know, this is indeed and domestic stores of goods is not the same, including the zipper marking, play dates pants pocket, pants pocket shape. This should be the United St"&amp;"ates of supermarket goods, quality is the ratio of domestic goods store almost. But okay, after all, the price difference · several times, and this is indeed the real thing.")</f>
        <v>... I bought a total of three. Here is that, some critics say is a fake, as far as I know, this is indeed and domestic stores of goods is not the same, including the zipper marking, play dates pants pocket, pants pocket shape. This should be the United States of supermarket goods, quality is the ratio of domestic goods store almost. But okay, after all, the price difference · several times, and this is indeed the real thing.</v>
      </c>
    </row>
    <row r="3975">
      <c r="A3975" s="1">
        <v>5.0</v>
      </c>
      <c r="B3975" s="1" t="s">
        <v>3961</v>
      </c>
      <c r="C3975" t="str">
        <f>IFERROR(__xludf.DUMMYFUNCTION("GOOGLETRANSLATE(B3975, ""zh"", ""en"")"),"Shoes, good quality, good style good quality shoes, style is great")</f>
        <v>Shoes, good quality, good style good quality shoes, style is great</v>
      </c>
    </row>
    <row r="3976">
      <c r="A3976" s="1">
        <v>5.0</v>
      </c>
      <c r="B3976" s="1" t="s">
        <v>3962</v>
      </c>
      <c r="C3976" t="str">
        <f>IFERROR(__xludf.DUMMYFUNCTION("GOOGLETRANSLATE(B3976, ""zh"", ""en"")"),"Lightweight bag satisfaction, blue and red small satchel.")</f>
        <v>Lightweight bag satisfaction, blue and red small satchel.</v>
      </c>
    </row>
    <row r="3977">
      <c r="A3977" s="1">
        <v>5.0</v>
      </c>
      <c r="B3977" s="1" t="s">
        <v>3963</v>
      </c>
      <c r="C3977" t="str">
        <f>IFERROR(__xludf.DUMMYFUNCTION("GOOGLETRANSLATE(B3977, ""zh"", ""en"")"),"Cup watertight always good, watertight how can take to drink")</f>
        <v>Cup watertight always good, watertight how can take to drink</v>
      </c>
    </row>
    <row r="3978">
      <c r="A3978" s="1">
        <v>5.0</v>
      </c>
      <c r="B3978" s="1" t="s">
        <v>3964</v>
      </c>
      <c r="C3978" t="str">
        <f>IFERROR(__xludf.DUMMYFUNCTION("GOOGLETRANSLATE(B3978, ""zh"", ""en"")"),"Lighter than expected than expected light, I 260 feet long, 25.6 feet around. US8M wear just the right, for your reference")</f>
        <v>Lighter than expected than expected light, I 260 feet long, 25.6 feet around. US8M wear just the right, for your reference</v>
      </c>
    </row>
    <row r="3979">
      <c r="A3979" s="1">
        <v>5.0</v>
      </c>
      <c r="B3979" s="1" t="s">
        <v>3965</v>
      </c>
      <c r="C3979" t="str">
        <f>IFERROR(__xludf.DUMMYFUNCTION("GOOGLETRANSLATE(B3979, ""zh"", ""en"")"),"Price satisfaction treasure Zhendian too appropriate, hand one week")</f>
        <v>Price satisfaction treasure Zhendian too appropriate, hand one week</v>
      </c>
    </row>
    <row r="3980">
      <c r="A3980" s="1">
        <v>5.0</v>
      </c>
      <c r="B3980" s="1" t="s">
        <v>3966</v>
      </c>
      <c r="C3980" t="str">
        <f>IFERROR(__xludf.DUMMYFUNCTION("GOOGLETRANSLATE(B3980, ""zh"", ""en"")"),"Very good value handsome, UK size standards.")</f>
        <v>Very good value handsome, UK size standards.</v>
      </c>
    </row>
    <row r="3981">
      <c r="A3981" s="1">
        <v>5.0</v>
      </c>
      <c r="B3981" s="1" t="s">
        <v>3967</v>
      </c>
      <c r="C3981" t="str">
        <f>IFERROR(__xludf.DUMMYFUNCTION("GOOGLETRANSLATE(B3981, ""zh"", ""en"")"),"(Gunze) GUNZE no rims bra gentle Story back extremely relaxed and comfortable beige is the way I expected, good material, Ye Hao looks")</f>
        <v>(Gunze) GUNZE no rims bra gentle Story back extremely relaxed and comfortable beige is the way I expected, good material, Ye Hao looks</v>
      </c>
    </row>
    <row r="3982">
      <c r="A3982" s="1">
        <v>5.0</v>
      </c>
      <c r="B3982" s="1" t="s">
        <v>3968</v>
      </c>
      <c r="C3982" t="str">
        <f>IFERROR(__xludf.DUMMYFUNCTION("GOOGLETRANSLATE(B3982, ""zh"", ""en"")"),"Convenient and practical tool for baby food supplement food supplement field now, with this on a lot of convenience, can be refrigerated or frozen, heat is also convenient! Trust Amazon!")</f>
        <v>Convenient and practical tool for baby food supplement food supplement field now, with this on a lot of convenience, can be refrigerated or frozen, heat is also convenient! Trust Amazon!</v>
      </c>
    </row>
    <row r="3983">
      <c r="A3983" s="1">
        <v>5.0</v>
      </c>
      <c r="B3983" s="1" t="s">
        <v>3969</v>
      </c>
      <c r="C3983" t="str">
        <f>IFERROR(__xludf.DUMMYFUNCTION("GOOGLETRANSLATE(B3983, ""zh"", ""en"")"),"Very fit according to size selected on the line, very fit, better quality! Than H &amp; amp; M or Uniqlo buy better and more cost-effective.")</f>
        <v>Very fit according to size selected on the line, very fit, better quality! Than H &amp; amp; M or Uniqlo buy better and more cost-effective.</v>
      </c>
    </row>
    <row r="3984">
      <c r="A3984" s="1">
        <v>5.0</v>
      </c>
      <c r="B3984" s="1" t="s">
        <v>3970</v>
      </c>
      <c r="C3984" t="str">
        <f>IFERROR(__xludf.DUMMYFUNCTION("GOOGLETRANSLATE(B3984, ""zh"", ""en"")"),"Although the experience can still be shipped waiting nearly 20 days, added to the hands of time, a total of a month. But the price is right you can ignore the wait, is not particularly interested in coffee, so this select multiple points, they do not how "&amp;"to clean, clean.")</f>
        <v>Although the experience can still be shipped waiting nearly 20 days, added to the hands of time, a total of a month. But the price is right you can ignore the wait, is not particularly interested in coffee, so this select multiple points, they do not how to clean, clean.</v>
      </c>
    </row>
    <row r="3985">
      <c r="A3985" s="1">
        <v>5.0</v>
      </c>
      <c r="B3985" s="1" t="s">
        <v>3971</v>
      </c>
      <c r="C3985" t="str">
        <f>IFERROR(__xludf.DUMMYFUNCTION("GOOGLETRANSLATE(B3985, ""zh"", ""en"")"),"Sanei a 🚿 useful particularly to a switch! Used for a long time and there is no problem!")</f>
        <v>Sanei a 🚿 useful particularly to a switch! Used for a long time and there is no problem!</v>
      </c>
    </row>
    <row r="3986">
      <c r="A3986" s="1">
        <v>5.0</v>
      </c>
      <c r="B3986" s="1" t="s">
        <v>3972</v>
      </c>
      <c r="C3986" t="str">
        <f>IFERROR(__xludf.DUMMYFUNCTION("GOOGLETRANSLATE(B3986, ""zh"", ""en"")"),"Well equipped with a transformer with a very good, I did not need to spend thousands to buy a domestic version of it")</f>
        <v>Well equipped with a transformer with a very good, I did not need to spend thousands to buy a domestic version of it</v>
      </c>
    </row>
    <row r="3987">
      <c r="A3987" s="1">
        <v>5.0</v>
      </c>
      <c r="B3987" s="1" t="s">
        <v>3973</v>
      </c>
      <c r="C3987" t="str">
        <f>IFERROR(__xludf.DUMMYFUNCTION("GOOGLETRANSLATE(B3987, ""zh"", ""en"")"),"Good relatively large, looks nice.")</f>
        <v>Good relatively large, looks nice.</v>
      </c>
    </row>
    <row r="3988">
      <c r="A3988" s="1">
        <v>5.0</v>
      </c>
      <c r="B3988" s="1" t="s">
        <v>3974</v>
      </c>
      <c r="C3988" t="str">
        <f>IFERROR(__xludf.DUMMYFUNCTION("GOOGLETRANSLATE(B3988, ""zh"", ""en"")"),"Ease decompression great effect! Wearing no sense of restraint, that effect is not in place, did not expect to get up early to take off pantyhose, whole legs were a lot of light and comfortable. Two days ago because of severe leg pain exercise too large, "&amp;"but also reduce pain through many a night. Fortunately, I bought two, ready two days a wash, insisted on wearing it. Do not expect stovepipe, decompression can prevent varicose veins is good.")</f>
        <v>Ease decompression great effect! Wearing no sense of restraint, that effect is not in place, did not expect to get up early to take off pantyhose, whole legs were a lot of light and comfortable. Two days ago because of severe leg pain exercise too large, but also reduce pain through many a night. Fortunately, I bought two, ready two days a wash, insisted on wearing it. Do not expect stovepipe, decompression can prevent varicose veins is good.</v>
      </c>
    </row>
    <row r="3989">
      <c r="A3989" s="1">
        <v>2.0</v>
      </c>
      <c r="B3989" s="1" t="s">
        <v>3975</v>
      </c>
      <c r="C3989" t="str">
        <f>IFERROR(__xludf.DUMMYFUNCTION("GOOGLETRANSLATE(B3989, ""zh"", ""en"")"),"Workmanship not work too bad, considering this price, forget refundable")</f>
        <v>Workmanship not work too bad, considering this price, forget refundable</v>
      </c>
    </row>
    <row r="3990">
      <c r="A3990" s="1">
        <v>3.0</v>
      </c>
      <c r="B3990" s="1" t="s">
        <v>3976</v>
      </c>
      <c r="C3990" t="str">
        <f>IFERROR(__xludf.DUMMYFUNCTION("GOOGLETRANSLATE(B3990, ""zh"", ""en"")"),"Like the split-off of the general purse, wallet skin with small holes, slightly damaged, as well as ink taste, feeling a bit strange, well, will use it")</f>
        <v>Like the split-off of the general purse, wallet skin with small holes, slightly damaged, as well as ink taste, feeling a bit strange, well, will use it</v>
      </c>
    </row>
    <row r="3991">
      <c r="A3991" s="1">
        <v>3.0</v>
      </c>
      <c r="B3991" s="1" t="s">
        <v>3977</v>
      </c>
      <c r="C3991" t="str">
        <f>IFERROR(__xludf.DUMMYFUNCTION("GOOGLETRANSLATE(B3991, ""zh"", ""en"")"),"Size is too large clothes line, but size really is too large, the proposed small two yards (/// ▽ ///)")</f>
        <v>Size is too large clothes line, but size really is too large, the proposed small two yards (/// ▽ ///)</v>
      </c>
    </row>
    <row r="3992">
      <c r="A3992" s="1">
        <v>3.0</v>
      </c>
      <c r="B3992" s="1" t="s">
        <v>3978</v>
      </c>
      <c r="C3992" t="str">
        <f>IFERROR(__xludf.DUMMYFUNCTION("GOOGLETRANSLATE(B3992, ""zh"", ""en"")"),"Legs too fat waist and legs too fat little legs some too fat")</f>
        <v>Legs too fat waist and legs too fat little legs some too fat</v>
      </c>
    </row>
    <row r="3993">
      <c r="A3993" s="1">
        <v>1.0</v>
      </c>
      <c r="B3993" s="1" t="s">
        <v>3979</v>
      </c>
      <c r="C3993" t="str">
        <f>IFERROR(__xludf.DUMMYFUNCTION("GOOGLETRANSLATE(B3993, ""zh"", ""en"")"),"Size is too large, it did not fit. Size is too large, it did not fit. I stood not wear, disappointed.")</f>
        <v>Size is too large, it did not fit. Size is too large, it did not fit. I stood not wear, disappointed.</v>
      </c>
    </row>
    <row r="3994">
      <c r="A3994" s="1">
        <v>1.0</v>
      </c>
      <c r="B3994" s="1" t="s">
        <v>3980</v>
      </c>
      <c r="C3994" t="str">
        <f>IFERROR(__xludf.DUMMYFUNCTION("GOOGLETRANSLATE(B3994, ""zh"", ""en"")"),"Disappointed something bad, the feeling of being transferred packet, one is whole, one is scattered")</f>
        <v>Disappointed something bad, the feeling of being transferred packet, one is whole, one is scattered</v>
      </c>
    </row>
    <row r="3995">
      <c r="A3995" s="1">
        <v>1.0</v>
      </c>
      <c r="B3995" s="1" t="s">
        <v>3981</v>
      </c>
      <c r="C3995" t="str">
        <f>IFERROR(__xludf.DUMMYFUNCTION("GOOGLETRANSLATE(B3995, ""zh"", ""en"")"),"Rough handle it is not genuine, the production strain release handle and many other problems, a film line sized sub-handle")</f>
        <v>Rough handle it is not genuine, the production strain release handle and many other problems, a film line sized sub-handle</v>
      </c>
    </row>
    <row r="3996">
      <c r="A3996" s="1">
        <v>4.0</v>
      </c>
      <c r="B3996" s="1" t="s">
        <v>3982</v>
      </c>
      <c r="C3996" t="str">
        <f>IFERROR(__xludf.DUMMYFUNCTION("GOOGLETRANSLATE(B3996, ""zh"", ""en"")"),"Although the headphones cheap, but supporting expensive ah! Amp, players engage them far more expensive deals this small, start easy, with so hard.")</f>
        <v>Although the headphones cheap, but supporting expensive ah! Amp, players engage them far more expensive deals this small, start easy, with so hard.</v>
      </c>
    </row>
    <row r="3997">
      <c r="A3997" s="1">
        <v>4.0</v>
      </c>
      <c r="B3997" s="1" t="s">
        <v>3983</v>
      </c>
      <c r="C3997" t="str">
        <f>IFERROR(__xludf.DUMMYFUNCTION("GOOGLETRANSLATE(B3997, ""zh"", ""en"")"),"L code L yards and almost 175 domestic, fabric elastic, but the general feeling, fine workmanship of the line, not looking at the block times, wearing comfortable, medium size, the price is value for money.")</f>
        <v>L code L yards and almost 175 domestic, fabric elastic, but the general feeling, fine workmanship of the line, not looking at the block times, wearing comfortable, medium size, the price is value for money.</v>
      </c>
    </row>
    <row r="3998">
      <c r="A3998" s="1">
        <v>4.0</v>
      </c>
      <c r="B3998" s="1" t="s">
        <v>3984</v>
      </c>
      <c r="C3998" t="str">
        <f>IFERROR(__xludf.DUMMYFUNCTION("GOOGLETRANSLATE(B3998, ""zh"", ""en"")"),"Good easy to use, expensive. Smooth baby milk, buy-back. Bottle will exhaust.")</f>
        <v>Good easy to use, expensive. Smooth baby milk, buy-back. Bottle will exhaust.</v>
      </c>
    </row>
    <row r="3999">
      <c r="A3999" s="1">
        <v>4.0</v>
      </c>
      <c r="B3999" s="1" t="s">
        <v>3985</v>
      </c>
      <c r="C3999" t="str">
        <f>IFERROR(__xludf.DUMMYFUNCTION("GOOGLETRANSLATE(B3999, ""zh"", ""en"")"),"Material fine, golden zipper is very eye-catching color picture point of view of the zipper is not very clear, practical zipper is gold Tyrant, very flash")</f>
        <v>Material fine, golden zipper is very eye-catching color picture point of view of the zipper is not very clear, practical zipper is gold Tyrant, very flash</v>
      </c>
    </row>
    <row r="4000">
      <c r="A4000" s="1">
        <v>5.0</v>
      </c>
      <c r="B4000" s="1" t="s">
        <v>3986</v>
      </c>
      <c r="C4000" t="str">
        <f>IFERROR(__xludf.DUMMYFUNCTION("GOOGLETRANSLATE(B4000, ""zh"", ""en"")"),"Satisfaction big bottle for the family's health! To stick with, and then run out to something good!")</f>
        <v>Satisfaction big bottle for the family's health! To stick with, and then run out to something good!</v>
      </c>
    </row>
    <row r="4001">
      <c r="A4001" s="1">
        <v>5.0</v>
      </c>
      <c r="B4001" s="1" t="s">
        <v>3987</v>
      </c>
      <c r="C4001" t="str">
        <f>IFERROR(__xludf.DUMMYFUNCTION("GOOGLETRANSLATE(B4001, ""zh"", ""en"")"),"They can be charged directly in the 220V voltage? Not yet arrived when I saw the United States voltage is 110V, in China is 220V, it can be directly charged?")</f>
        <v>They can be charged directly in the 220V voltage? Not yet arrived when I saw the United States voltage is 110V, in China is 220V, it can be directly charged?</v>
      </c>
    </row>
    <row r="4002">
      <c r="A4002" s="1">
        <v>5.0</v>
      </c>
      <c r="B4002" s="1" t="s">
        <v>3988</v>
      </c>
      <c r="C4002" t="str">
        <f>IFERROR(__xludf.DUMMYFUNCTION("GOOGLETRANSLATE(B4002, ""zh"", ""en"")"),"This is pure wok, after cleaning after use, add a layer of oil will not rust. Pot is good pot is too short to handle, a hand-side fixed ah, manufacturers design such a short handle, just to enter the oven, do not think about it, China's national condition"&amp;"s, the Chinese people is a favorite cooking ah!")</f>
        <v>This is pure wok, after cleaning after use, add a layer of oil will not rust. Pot is good pot is too short to handle, a hand-side fixed ah, manufacturers design such a short handle, just to enter the oven, do not think about it, China's national conditions, the Chinese people is a favorite cooking ah!</v>
      </c>
    </row>
    <row r="4003">
      <c r="A4003" s="1">
        <v>5.0</v>
      </c>
      <c r="B4003" s="1" t="s">
        <v>3989</v>
      </c>
      <c r="C4003" t="str">
        <f>IFERROR(__xludf.DUMMYFUNCTION("GOOGLETRANSLATE(B4003, ""zh"", ""en"")"),"With the bad with the good, buy a conversion head")</f>
        <v>With the bad with the good, buy a conversion head</v>
      </c>
    </row>
    <row r="4004">
      <c r="A4004" s="1">
        <v>5.0</v>
      </c>
      <c r="B4004" s="1" t="s">
        <v>3990</v>
      </c>
      <c r="C4004" t="str">
        <f>IFERROR(__xludf.DUMMYFUNCTION("GOOGLETRANSLATE(B4004, ""zh"", ""en"")"),"Loose height 180, weight 210 pounds, wearing xl loose, but take along a little short length, sleeve length suitable.")</f>
        <v>Loose height 180, weight 210 pounds, wearing xl loose, but take along a little short length, sleeve length suitable.</v>
      </c>
    </row>
    <row r="4005">
      <c r="A4005" s="1">
        <v>5.0</v>
      </c>
      <c r="B4005" s="1" t="s">
        <v>3991</v>
      </c>
      <c r="C4005" t="str">
        <f>IFERROR(__xludf.DUMMYFUNCTION("GOOGLETRANSLATE(B4005, ""zh"", ""en"")"),"A gift to his father, he was very fond of! He bought a pair of Timberland Flume was full of praise after seeing his father, decided to buy a pair of the same to him, but not the right size, buy a classic White Ledge, black color he liked, 8W of size is al"&amp;"so positive close to his size. Father felt winter wear these shoes in Shanghai most suitable, not cold not afraid of rain. He was satisfied, I am very happy!")</f>
        <v>A gift to his father, he was very fond of! He bought a pair of Timberland Flume was full of praise after seeing his father, decided to buy a pair of the same to him, but not the right size, buy a classic White Ledge, black color he liked, 8W of size is also positive close to his size. Father felt winter wear these shoes in Shanghai most suitable, not cold not afraid of rain. He was satisfied, I am very happy!</v>
      </c>
    </row>
    <row r="4006">
      <c r="A4006" s="1">
        <v>5.0</v>
      </c>
      <c r="B4006" s="1" t="s">
        <v>3992</v>
      </c>
      <c r="C4006" t="str">
        <f>IFERROR(__xludf.DUMMYFUNCTION("GOOGLETRANSLATE(B4006, ""zh"", ""en"")"),"Steel straight men must have easy to cry, forgive me all i know Eupolyphaga mug evolved to such a convenience!")</f>
        <v>Steel straight men must have easy to cry, forgive me all i know Eupolyphaga mug evolved to such a convenience!</v>
      </c>
    </row>
    <row r="4007">
      <c r="A4007" s="1">
        <v>5.0</v>
      </c>
      <c r="B4007" s="1" t="s">
        <v>3993</v>
      </c>
      <c r="C4007" t="str">
        <f>IFERROR(__xludf.DUMMYFUNCTION("GOOGLETRANSLATE(B4007, ""zh"", ""en"")"),"The first overseas purchase Amoy success! Born baby soon, to the baby stockpile. Overseas purchase really rapidly, very good shopping experience ......")</f>
        <v>The first overseas purchase Amoy success! Born baby soon, to the baby stockpile. Overseas purchase really rapidly, very good shopping experience ......</v>
      </c>
    </row>
    <row r="4008">
      <c r="A4008" s="1">
        <v>5.0</v>
      </c>
      <c r="B4008" s="1" t="s">
        <v>3994</v>
      </c>
      <c r="C4008" t="str">
        <f>IFERROR(__xludf.DUMMYFUNCTION("GOOGLETRANSLATE(B4008, ""zh"", ""en"")"),"Praise good! With more than a month, waterproof effect is obvious!")</f>
        <v>Praise good! With more than a month, waterproof effect is obvious!</v>
      </c>
    </row>
    <row r="4009">
      <c r="A4009" s="1">
        <v>5.0</v>
      </c>
      <c r="B4009" s="1" t="s">
        <v>3995</v>
      </c>
      <c r="C4009" t="str">
        <f>IFERROR(__xludf.DUMMYFUNCTION("GOOGLETRANSLATE(B4009, ""zh"", ""en"")"),"Amazon can of great self-products overseas, and domestic importers buy difference is not sealed posted overseas purchase money, good taste, a little sweet")</f>
        <v>Amazon can of great self-products overseas, and domestic importers buy difference is not sealed posted overseas purchase money, good taste, a little sweet</v>
      </c>
    </row>
    <row r="4010">
      <c r="A4010" s="1">
        <v>5.0</v>
      </c>
      <c r="B4010" s="1" t="s">
        <v>3996</v>
      </c>
      <c r="C4010" t="str">
        <f>IFERROR(__xludf.DUMMYFUNCTION("GOOGLETRANSLATE(B4010, ""zh"", ""en"")"),"Fit, good-looking hem this is somewhat small, compared to the United States and Asia champion, Nichia indeed better quality, lint-free, do not fade, sweater material, spring and autumn days can be worn alone, wearing a down jacket in winter! 177/78 wearin"&amp;"g just! Women can wear, I 130 pounds, wearing a little bit loose, but also good-looking!")</f>
        <v>Fit, good-looking hem this is somewhat small, compared to the United States and Asia champion, Nichia indeed better quality, lint-free, do not fade, sweater material, spring and autumn days can be worn alone, wearing a down jacket in winter! 177/78 wearing just! Women can wear, I 130 pounds, wearing a little bit loose, but also good-looking!</v>
      </c>
    </row>
    <row r="4011">
      <c r="A4011" s="1">
        <v>5.0</v>
      </c>
      <c r="B4011" s="1" t="s">
        <v>3997</v>
      </c>
      <c r="C4011" t="str">
        <f>IFERROR(__xludf.DUMMYFUNCTION("GOOGLETRANSLATE(B4011, ""zh"", ""en"")"),"Eat it on the girls buy! Originally I thought he could manage a little longer! This dress is entirely of slender models! Version a little big! In the fat of S / M can wear not have to buy a large yard! This year in Taiwan to buy fabric material thickness "&amp;"later many")</f>
        <v>Eat it on the girls buy! Originally I thought he could manage a little longer! This dress is entirely of slender models! Version a little big! In the fat of S / M can wear not have to buy a large yard! This year in Taiwan to buy fabric material thickness later many</v>
      </c>
    </row>
    <row r="4012">
      <c r="A4012" s="1">
        <v>5.0</v>
      </c>
      <c r="B4012" s="1" t="s">
        <v>3998</v>
      </c>
      <c r="C4012" t="str">
        <f>IFERROR(__xludf.DUMMYFUNCTION("GOOGLETRANSLATE(B4012, ""zh"", ""en"")"),"Comfortable fabrics, oversized comfortable fabrics, oversized lot, buy a small one yard.")</f>
        <v>Comfortable fabrics, oversized comfortable fabrics, oversized lot, buy a small one yard.</v>
      </c>
    </row>
    <row r="4013">
      <c r="A4013" s="1">
        <v>5.0</v>
      </c>
      <c r="B4013" s="1" t="s">
        <v>3999</v>
      </c>
      <c r="C4013" t="str">
        <f>IFERROR(__xludf.DUMMYFUNCTION("GOOGLETRANSLATE(B4013, ""zh"", ""en"")"),"vitamix5200 I use it to play juices, very smooth. It is also very easy to clean, can also Cook, meat, rice, soup labeled paste to the elderly to eat very good")</f>
        <v>vitamix5200 I use it to play juices, very smooth. It is also very easy to clean, can also Cook, meat, rice, soup labeled paste to the elderly to eat very good</v>
      </c>
    </row>
    <row r="4014">
      <c r="A4014" s="1">
        <v>5.0</v>
      </c>
      <c r="B4014" s="1" t="s">
        <v>4000</v>
      </c>
      <c r="C4014" t="str">
        <f>IFERROR(__xludf.DUMMYFUNCTION("GOOGLETRANSLATE(B4014, ""zh"", ""en"")"),"It is strongly recommended to buy, not the old stock is cheap and effective, 80. Reference to the back")</f>
        <v>It is strongly recommended to buy, not the old stock is cheap and effective, 80. Reference to the back</v>
      </c>
    </row>
    <row r="4015">
      <c r="A4015" s="1">
        <v>5.0</v>
      </c>
      <c r="B4015" s="1" t="s">
        <v>4001</v>
      </c>
      <c r="C4015" t="str">
        <f>IFERROR(__xludf.DUMMYFUNCTION("GOOGLETRANSLATE(B4015, ""zh"", ""en"")"),"Good quality fancy for a long time, get the goods very good, very appropriate price spike! !")</f>
        <v>Good quality fancy for a long time, get the goods very good, very appropriate price spike! !</v>
      </c>
    </row>
    <row r="4016">
      <c r="A4016" s="1">
        <v>5.0</v>
      </c>
      <c r="B4016" s="1" t="s">
        <v>4002</v>
      </c>
      <c r="C4016" t="str">
        <f>IFERROR(__xludf.DUMMYFUNCTION("GOOGLETRANSLATE(B4016, ""zh"", ""en"")"),"satisfaction. Feel effective. very satisfied.")</f>
        <v>satisfaction. Feel effective. very satisfied.</v>
      </c>
    </row>
    <row r="4017">
      <c r="A4017" s="1">
        <v>5.0</v>
      </c>
      <c r="B4017" s="1" t="s">
        <v>4003</v>
      </c>
      <c r="C4017" t="str">
        <f>IFERROR(__xludf.DUMMYFUNCTION("GOOGLETRANSLATE(B4017, ""zh"", ""en"")"),"Philips electric toothbrush Philips toothbrush with the whole family, as always, praise, nothing else except your shortcomings. If you can send a brush better.")</f>
        <v>Philips electric toothbrush Philips toothbrush with the whole family, as always, praise, nothing else except your shortcomings. If you can send a brush better.</v>
      </c>
    </row>
    <row r="4018">
      <c r="A4018" s="1">
        <v>5.0</v>
      </c>
      <c r="B4018" s="1" t="s">
        <v>4004</v>
      </c>
      <c r="C4018" t="str">
        <f>IFERROR(__xludf.DUMMYFUNCTION("GOOGLETRANSLATE(B4018, ""zh"", ""en"")"),"As comfortable as shorts shorts very very comfortable indeed.")</f>
        <v>As comfortable as shorts shorts very very comfortable indeed.</v>
      </c>
    </row>
    <row r="4019">
      <c r="A4019" s="1">
        <v>5.0</v>
      </c>
      <c r="B4019" s="1" t="s">
        <v>4005</v>
      </c>
      <c r="C4019" t="str">
        <f>IFERROR(__xludf.DUMMYFUNCTION("GOOGLETRANSLATE(B4019, ""zh"", ""en"")"),"Like a good size, very comfortable to wear. Soles slightly harder, it might be resistance design.")</f>
        <v>Like a good size, very comfortable to wear. Soles slightly harder, it might be resistance design.</v>
      </c>
    </row>
    <row r="4020">
      <c r="A4020" s="1">
        <v>5.0</v>
      </c>
      <c r="B4020" s="1" t="s">
        <v>4006</v>
      </c>
      <c r="C4020" t="str">
        <f>IFERROR(__xludf.DUMMYFUNCTION("GOOGLETRANSLATE(B4020, ""zh"", ""en"")"),"worth having. Wear very comfortable, the foot does not significantly large, very satisfied. Logistics is also fast enough. It came earlier than expected for a full six days. keep supporting.")</f>
        <v>worth having. Wear very comfortable, the foot does not significantly large, very satisfied. Logistics is also fast enough. It came earlier than expected for a full six days. keep supporting.</v>
      </c>
    </row>
    <row r="4021">
      <c r="A4021" s="1">
        <v>2.0</v>
      </c>
      <c r="B4021" s="1" t="s">
        <v>4007</v>
      </c>
      <c r="C4021" t="str">
        <f>IFERROR(__xludf.DUMMYFUNCTION("GOOGLETRANSLATE(B4021, ""zh"", ""en"")"),"Before a few useless in the United States and Asia had bought crack, with a few years no problem, then the second child can feed himself, so in the Amazon to buy a set, but among the few useless purple splintered ..")</f>
        <v>Before a few useless in the United States and Asia had bought crack, with a few years no problem, then the second child can feed himself, so in the Amazon to buy a set, but among the few useless purple splintered ..</v>
      </c>
    </row>
    <row r="4022">
      <c r="A4022" s="1">
        <v>3.0</v>
      </c>
      <c r="B4022" s="1" t="s">
        <v>4008</v>
      </c>
      <c r="C4022" t="str">
        <f>IFERROR(__xludf.DUMMYFUNCTION("GOOGLETRANSLATE(B4022, ""zh"", ""en"")"),"Packaging design have inconsistencies with how the lower right corner of the picture 73 different places to")</f>
        <v>Packaging design have inconsistencies with how the lower right corner of the picture 73 different places to</v>
      </c>
    </row>
    <row r="4023">
      <c r="A4023" s="1">
        <v>3.0</v>
      </c>
      <c r="B4023" s="1" t="s">
        <v>4009</v>
      </c>
      <c r="C4023" t="str">
        <f>IFERROR(__xludf.DUMMYFUNCTION("GOOGLETRANSLATE(B4023, ""zh"", ""en"")"),"Quality control is not very good two years ago bought the same pants, very comfortable, so this buy. This time bought two, one two years ago with exactly the same style of pants color, but behind the apparent tight, another one, different colors, actually"&amp;" has a little loose waist. Lee has a quality control problem ah.")</f>
        <v>Quality control is not very good two years ago bought the same pants, very comfortable, so this buy. This time bought two, one two years ago with exactly the same style of pants color, but behind the apparent tight, another one, different colors, actually has a little loose waist. Lee has a quality control problem ah.</v>
      </c>
    </row>
    <row r="4024">
      <c r="A4024" s="1">
        <v>3.0</v>
      </c>
      <c r="B4024" s="1" t="s">
        <v>4010</v>
      </c>
      <c r="C4024" t="str">
        <f>IFERROR(__xludf.DUMMYFUNCTION("GOOGLETRANSLATE(B4024, ""zh"", ""en"")"),"Not Genjiao, this pair of uncomfortable uncomfortable clarks, clarks no other purchase on Amazon and comfortable, these shoes the same size is more crowded feet. Although the feet of the bar, but do not Genjiao, the heel is easy to fall out of the shoe, h"&amp;"eel design is not too shallow? In addition, the shoe should be received by others through the soles dirty, the label is torn up and had then paste again, but turned out to be the opposite of shoe tree in the shoe's support.")</f>
        <v>Not Genjiao, this pair of uncomfortable uncomfortable clarks, clarks no other purchase on Amazon and comfortable, these shoes the same size is more crowded feet. Although the feet of the bar, but do not Genjiao, the heel is easy to fall out of the shoe, heel design is not too shallow? In addition, the shoe should be received by others through the soles dirty, the label is torn up and had then paste again, but turned out to be the opposite of shoe tree in the shoe's support.</v>
      </c>
    </row>
    <row r="4025">
      <c r="A4025" s="1">
        <v>1.0</v>
      </c>
      <c r="B4025" s="1" t="s">
        <v>4011</v>
      </c>
      <c r="C4025" t="str">
        <f>IFERROR(__xludf.DUMMYFUNCTION("GOOGLETRANSLATE(B4025, ""zh"", ""en"")"),"Repeatedly read and write speed issue is not just bad, bad hard disk repeated reading and writing, to a mere 6m / s with the Thunder when things start computer stuck, then there is no download speeds, and often have the file down to half of the not moving"&amp;", always show the disk busy, melancholy.")</f>
        <v>Repeatedly read and write speed issue is not just bad, bad hard disk repeated reading and writing, to a mere 6m / s with the Thunder when things start computer stuck, then there is no download speeds, and often have the file down to half of the not moving, always show the disk busy, melancholy.</v>
      </c>
    </row>
    <row r="4026">
      <c r="A4026" s="1">
        <v>1.0</v>
      </c>
      <c r="B4026" s="1" t="s">
        <v>4012</v>
      </c>
      <c r="C4026" t="str">
        <f>IFERROR(__xludf.DUMMYFUNCTION("GOOGLETRANSLATE(B4026, ""zh"", ""en"")"),"There are more than two months expired metamorphism, not to the overseas direct mail, Hong Kong Free Trade Zone is made, it is sticky, came inside the lid foil seals are drum. Very disappointed")</f>
        <v>There are more than two months expired metamorphism, not to the overseas direct mail, Hong Kong Free Trade Zone is made, it is sticky, came inside the lid foil seals are drum. Very disappointed</v>
      </c>
    </row>
    <row r="4027">
      <c r="A4027" s="1">
        <v>4.0</v>
      </c>
      <c r="B4027" s="1" t="s">
        <v>4013</v>
      </c>
      <c r="C4027" t="str">
        <f>IFERROR(__xludf.DUMMYFUNCTION("GOOGLETRANSLATE(B4027, ""zh"", ""en"")"),"Abdomen with feel the texture can be, but a bit wore down the chest, especially when sitting can not wear, the back must be straight, it will bend a little armpit with chest!")</f>
        <v>Abdomen with feel the texture can be, but a bit wore down the chest, especially when sitting can not wear, the back must be straight, it will bend a little armpit with chest!</v>
      </c>
    </row>
    <row r="4028">
      <c r="A4028" s="1">
        <v>4.0</v>
      </c>
      <c r="B4028" s="1" t="s">
        <v>4014</v>
      </c>
      <c r="C4028" t="str">
        <f>IFERROR(__xludf.DUMMYFUNCTION("GOOGLETRANSLATE(B4028, ""zh"", ""en"")"),"Ecco ecco low-end low-end products can comfort but a lot of gaps and biom series")</f>
        <v>Ecco ecco low-end low-end products can comfort but a lot of gaps and biom series</v>
      </c>
    </row>
    <row r="4029">
      <c r="A4029" s="1">
        <v>4.0</v>
      </c>
      <c r="B4029" s="1" t="s">
        <v>4015</v>
      </c>
      <c r="C4029" t="str">
        <f>IFERROR(__xludf.DUMMYFUNCTION("GOOGLETRANSLATE(B4029, ""zh"", ""en"")"),"Light and comfortable lightweight comfortable next to the skin, like my wife")</f>
        <v>Light and comfortable lightweight comfortable next to the skin, like my wife</v>
      </c>
    </row>
    <row r="4030">
      <c r="A4030" s="1">
        <v>4.0</v>
      </c>
      <c r="B4030" s="1" t="s">
        <v>4016</v>
      </c>
      <c r="C4030" t="str">
        <f>IFERROR(__xludf.DUMMYFUNCTION("GOOGLETRANSLATE(B4030, ""zh"", ""en"")"),"Good pants! Pants great! Just do not know do not fade fade!")</f>
        <v>Good pants! Pants great! Just do not know do not fade fade!</v>
      </c>
    </row>
    <row r="4031">
      <c r="A4031" s="1">
        <v>4.0</v>
      </c>
      <c r="B4031" s="1" t="s">
        <v>4017</v>
      </c>
      <c r="C4031" t="str">
        <f>IFERROR(__xludf.DUMMYFUNCTION("GOOGLETRANSLATE(B4031, ""zh"", ""en"")"),"Hey loose breathable very wide, but also in strict accordance with the length of feet long, and even buy short 0.5, such as the usual 225, 220 can be considered, because there is also a thick insoles can out.")</f>
        <v>Hey loose breathable very wide, but also in strict accordance with the length of feet long, and even buy short 0.5, such as the usual 225, 220 can be considered, because there is also a thick insoles can out.</v>
      </c>
    </row>
    <row r="4032">
      <c r="A4032" s="1">
        <v>5.0</v>
      </c>
      <c r="B4032" s="1" t="s">
        <v>4018</v>
      </c>
      <c r="C4032" t="str">
        <f>IFERROR(__xludf.DUMMYFUNCTION("GOOGLETRANSLATE(B4032, ""zh"", ""en"")"),"Good good quality, comfortable to wear.")</f>
        <v>Good good quality, comfortable to wear.</v>
      </c>
    </row>
    <row r="4033">
      <c r="A4033" s="1">
        <v>5.0</v>
      </c>
      <c r="B4033" s="1" t="s">
        <v>4019</v>
      </c>
      <c r="C4033" t="str">
        <f>IFERROR(__xludf.DUMMYFUNCTION("GOOGLETRANSLATE(B4033, ""zh"", ""en"")"),"Beyerdynamic professional headphones work, sound quality is really nice")</f>
        <v>Beyerdynamic professional headphones work, sound quality is really nice</v>
      </c>
    </row>
    <row r="4034">
      <c r="A4034" s="1">
        <v>5.0</v>
      </c>
      <c r="B4034" s="1" t="s">
        <v>4020</v>
      </c>
      <c r="C4034" t="str">
        <f>IFERROR(__xludf.DUMMYFUNCTION("GOOGLETRANSLATE(B4034, ""zh"", ""en"")"),"It can be a little big good cheap")</f>
        <v>It can be a little big good cheap</v>
      </c>
    </row>
    <row r="4035">
      <c r="A4035" s="1">
        <v>5.0</v>
      </c>
      <c r="B4035" s="1" t="s">
        <v>4021</v>
      </c>
      <c r="C4035" t="str">
        <f>IFERROR(__xludf.DUMMYFUNCTION("GOOGLETRANSLATE(B4035, ""zh"", ""en"")"),"Size reference height 180, 72kg, m number suitable. Version short paragraph")</f>
        <v>Size reference height 180, 72kg, m number suitable. Version short paragraph</v>
      </c>
    </row>
    <row r="4036">
      <c r="A4036" s="1">
        <v>5.0</v>
      </c>
      <c r="B4036" s="1" t="s">
        <v>4022</v>
      </c>
      <c r="C4036" t="str">
        <f>IFERROR(__xludf.DUMMYFUNCTION("GOOGLETRANSLATE(B4036, ""zh"", ""en"")"),"Recommended to buy a smaller size 177,68kg, wearing No. S fit to buy, not tight fit, wrists and hem edge of collapse is very good. Polartec fleece, very warm")</f>
        <v>Recommended to buy a smaller size 177,68kg, wearing No. S fit to buy, not tight fit, wrists and hem edge of collapse is very good. Polartec fleece, very warm</v>
      </c>
    </row>
    <row r="4037">
      <c r="A4037" s="1">
        <v>5.0</v>
      </c>
      <c r="B4037" s="1" t="s">
        <v>4023</v>
      </c>
      <c r="C4037" t="str">
        <f>IFERROR(__xludf.DUMMYFUNCTION("GOOGLETRANSLATE(B4037, ""zh"", ""en"")"),"Super love liked")</f>
        <v>Super love liked</v>
      </c>
    </row>
    <row r="4038">
      <c r="A4038" s="1">
        <v>5.0</v>
      </c>
      <c r="B4038" s="1" t="s">
        <v>4024</v>
      </c>
      <c r="C4038" t="str">
        <f>IFERROR(__xludf.DUMMYFUNCTION("GOOGLETRANSLATE(B4038, ""zh"", ""en"")"),"Good-looking, classic weeding or to super favorite color. Yardage normal")</f>
        <v>Good-looking, classic weeding or to super favorite color. Yardage normal</v>
      </c>
    </row>
    <row r="4039">
      <c r="A4039" s="1">
        <v>5.0</v>
      </c>
      <c r="B4039" s="1" t="s">
        <v>4025</v>
      </c>
      <c r="C4039" t="str">
        <f>IFERROR(__xludf.DUMMYFUNCTION("GOOGLETRANSLATE(B4039, ""zh"", ""en"")"),"Good-looking to wear looks pretty good, worthy of the price, but the fabric feels a little time point! Give 5 stars because this is very different Sleeve")</f>
        <v>Good-looking to wear looks pretty good, worthy of the price, but the fabric feels a little time point! Give 5 stars because this is very different Sleeve</v>
      </c>
    </row>
    <row r="4040">
      <c r="A4040" s="1">
        <v>5.0</v>
      </c>
      <c r="B4040" s="1" t="s">
        <v>4026</v>
      </c>
      <c r="C4040" t="str">
        <f>IFERROR(__xludf.DUMMYFUNCTION("GOOGLETRANSLATE(B4040, ""zh"", ""en"")"),"A successful shopping. Very good, very comfortable. Wind, warm.")</f>
        <v>A successful shopping. Very good, very comfortable. Wind, warm.</v>
      </c>
    </row>
    <row r="4041">
      <c r="A4041" s="1">
        <v>5.0</v>
      </c>
      <c r="B4041" s="1" t="s">
        <v>4027</v>
      </c>
      <c r="C4041" t="str">
        <f>IFERROR(__xludf.DUMMYFUNCTION("GOOGLETRANSLATE(B4041, ""zh"", ""en"")"),"The first purchase of 38.5 feet, its music 5.5UK appropriate. This pair of ecco feels just right, there is no spare, but uncomfortable. I do not know buy a bigger size will be more appropriate.")</f>
        <v>The first purchase of 38.5 feet, its music 5.5UK appropriate. This pair of ecco feels just right, there is no spare, but uncomfortable. I do not know buy a bigger size will be more appropriate.</v>
      </c>
    </row>
    <row r="4042">
      <c r="A4042" s="1">
        <v>5.0</v>
      </c>
      <c r="B4042" s="1" t="s">
        <v>4028</v>
      </c>
      <c r="C4042" t="str">
        <f>IFERROR(__xludf.DUMMYFUNCTION("GOOGLETRANSLATE(B4042, ""zh"", ""en"")"),"Not tight bought a second is connected to the first leg of about 0 degrees are not tight for a very soft and very flexible")</f>
        <v>Not tight bought a second is connected to the first leg of about 0 degrees are not tight for a very soft and very flexible</v>
      </c>
    </row>
    <row r="4043">
      <c r="A4043" s="1">
        <v>5.0</v>
      </c>
      <c r="B4043" s="1" t="s">
        <v>4029</v>
      </c>
      <c r="C4043" t="str">
        <f>IFERROR(__xludf.DUMMYFUNCTION("GOOGLETRANSLATE(B4043, ""zh"", ""en"")"),"Like a great work, upper body was also very effective. Like accordance with the domestic buy right size, if want to buy plus velvet, it is recommended for L122, the same style")</f>
        <v>Like a great work, upper body was also very effective. Like accordance with the domestic buy right size, if want to buy plus velvet, it is recommended for L122, the same style</v>
      </c>
    </row>
    <row r="4044">
      <c r="A4044" s="1">
        <v>5.0</v>
      </c>
      <c r="B4044" s="1" t="s">
        <v>4030</v>
      </c>
      <c r="C4044" t="str">
        <f>IFERROR(__xludf.DUMMYFUNCTION("GOOGLETRANSLATE(B4044, ""zh"", ""en"")"),"e c c o 40 corresponding 9-9.5 United States Code, yards are uk7, buy freshman code, but my mother still feel very comfortable")</f>
        <v>e c c o 40 corresponding 9-9.5 United States Code, yards are uk7, buy freshman code, but my mother still feel very comfortable</v>
      </c>
    </row>
    <row r="4045">
      <c r="A4045" s="1">
        <v>5.0</v>
      </c>
      <c r="B4045" s="1" t="s">
        <v>4031</v>
      </c>
      <c r="C4045" t="str">
        <f>IFERROR(__xludf.DUMMYFUNCTION("GOOGLETRANSLATE(B4045, ""zh"", ""en"")"),"A little long, waist 84 suitable 172/75, waist fit, a bit long")</f>
        <v>A little long, waist 84 suitable 172/75, waist fit, a bit long</v>
      </c>
    </row>
    <row r="4046">
      <c r="A4046" s="1">
        <v>5.0</v>
      </c>
      <c r="B4046" s="1" t="s">
        <v>4032</v>
      </c>
      <c r="C4046" t="str">
        <f>IFERROR(__xludf.DUMMYFUNCTION("GOOGLETRANSLATE(B4046, ""zh"", ""en"")"),"Terrific lot cheaper than domestic, did not expect the reader, very pleasantly surprised. After the arrival immediately use a bit, take 100FPS, slow motion, no problem, in short, great!")</f>
        <v>Terrific lot cheaper than domestic, did not expect the reader, very pleasantly surprised. After the arrival immediately use a bit, take 100FPS, slow motion, no problem, in short, great!</v>
      </c>
    </row>
    <row r="4047">
      <c r="A4047" s="1">
        <v>5.0</v>
      </c>
      <c r="B4047" s="1" t="s">
        <v>4033</v>
      </c>
      <c r="C4047" t="str">
        <f>IFERROR(__xludf.DUMMYFUNCTION("GOOGLETRANSLATE(B4047, ""zh"", ""en"")"),"Good This mesh has been wearing several pieces of")</f>
        <v>Good This mesh has been wearing several pieces of</v>
      </c>
    </row>
    <row r="4048">
      <c r="A4048" s="1">
        <v>5.0</v>
      </c>
      <c r="B4048" s="1" t="s">
        <v>4034</v>
      </c>
      <c r="C4048" t="str">
        <f>IFERROR(__xludf.DUMMYFUNCTION("GOOGLETRANSLATE(B4048, ""zh"", ""en"")"),"Good to eat fast delivery, taste a bit like QQ sugar, day two good health!")</f>
        <v>Good to eat fast delivery, taste a bit like QQ sugar, day two good health!</v>
      </c>
    </row>
    <row r="4049">
      <c r="A4049" s="1">
        <v>5.0</v>
      </c>
      <c r="B4049" s="1" t="s">
        <v>4035</v>
      </c>
      <c r="C4049" t="str">
        <f>IFERROR(__xludf.DUMMYFUNCTION("GOOGLETRANSLATE(B4049, ""zh"", ""en"")"),"Very very appropriate, dimensioning good, buy more appropriate.")</f>
        <v>Very very appropriate, dimensioning good, buy more appropriate.</v>
      </c>
    </row>
    <row r="4050">
      <c r="A4050" s="1">
        <v>5.0</v>
      </c>
      <c r="B4050" s="1" t="s">
        <v>4036</v>
      </c>
      <c r="C4050" t="str">
        <f>IFERROR(__xludf.DUMMYFUNCTION("GOOGLETRANSLATE(B4050, ""zh"", ""en"")"),"After the multi-point such benefits. Personally I feel this is the biggest day of being members of the Amazon. Almost more than half cheaper than the supermarket. Store a large amount of time for half a year.")</f>
        <v>After the multi-point such benefits. Personally I feel this is the biggest day of being members of the Amazon. Almost more than half cheaper than the supermarket. Store a large amount of time for half a year.</v>
      </c>
    </row>
    <row r="4051">
      <c r="A4051" s="1">
        <v>5.0</v>
      </c>
      <c r="B4051" s="1" t="s">
        <v>4037</v>
      </c>
      <c r="C4051" t="str">
        <f>IFERROR(__xludf.DUMMYFUNCTION("GOOGLETRANSLATE(B4051, ""zh"", ""en"")"),"Fit height 173, weight 65, Bust 95, Shoulder 46, wearing just right.")</f>
        <v>Fit height 173, weight 65, Bust 95, Shoulder 46, wearing just right.</v>
      </c>
    </row>
    <row r="4052">
      <c r="A4052" s="1">
        <v>5.0</v>
      </c>
      <c r="B4052" s="1" t="s">
        <v>4038</v>
      </c>
      <c r="C4052" t="str">
        <f>IFERROR(__xludf.DUMMYFUNCTION("GOOGLETRANSLATE(B4052, ""zh"", ""en"")"),"Color fancy, some people prefer someone else to buy, he felt very good looking, fit, comfortable")</f>
        <v>Color fancy, some people prefer someone else to buy, he felt very good looking, fit, comfortable</v>
      </c>
    </row>
    <row r="4053">
      <c r="A4053" s="1">
        <v>5.0</v>
      </c>
      <c r="B4053" s="1" t="s">
        <v>4039</v>
      </c>
      <c r="C4053" t="str">
        <f>IFERROR(__xludf.DUMMYFUNCTION("GOOGLETRANSLATE(B4053, ""zh"", ""en"")"),"US version of the code is too big or Japanese lines suitable for Asian body")</f>
        <v>US version of the code is too big or Japanese lines suitable for Asian body</v>
      </c>
    </row>
    <row r="4054">
      <c r="A4054" s="1">
        <v>2.0</v>
      </c>
      <c r="B4054" s="1" t="s">
        <v>4040</v>
      </c>
      <c r="C4054" t="str">
        <f>IFERROR(__xludf.DUMMYFUNCTION("GOOGLETRANSLATE(B4054, ""zh"", ""en"")"),"There are drops of water inside the packaging After unpacking found drops of water on the filter. The first to open after the discovery that a drop of water is sporadic phenomenon, today opened the second part, there are still drops of water. Editor's Not"&amp;"e?")</f>
        <v>There are drops of water inside the packaging After unpacking found drops of water on the filter. The first to open after the discovery that a drop of water is sporadic phenomenon, today opened the second part, there are still drops of water. Editor's Note?</v>
      </c>
    </row>
    <row r="4055">
      <c r="A4055" s="1">
        <v>3.0</v>
      </c>
      <c r="B4055" s="1" t="s">
        <v>4041</v>
      </c>
      <c r="C4055" t="str">
        <f>IFERROR(__xludf.DUMMYFUNCTION("GOOGLETRANSLATE(B4055, ""zh"", ""en"")"),"Overseas buy, cheap, stable 1, appearance and workmanship is really very general! 2, USB3.0 write can be stabilized at 75M / S, a lot better than many of the domestic! 3, overseas direct mail, the speed is really very general!")</f>
        <v>Overseas buy, cheap, stable 1, appearance and workmanship is really very general! 2, USB3.0 write can be stabilized at 75M / S, a lot better than many of the domestic! 3, overseas direct mail, the speed is really very general!</v>
      </c>
    </row>
    <row r="4056">
      <c r="A4056" s="1">
        <v>3.0</v>
      </c>
      <c r="B4056" s="1" t="s">
        <v>4042</v>
      </c>
      <c r="C4056" t="str">
        <f>IFERROR(__xludf.DUMMYFUNCTION("GOOGLETRANSLATE(B4056, ""zh"", ""en"")"),"Too large for 187cm, 88 kg, put on a very hypertrophy, should be XL")</f>
        <v>Too large for 187cm, 88 kg, put on a very hypertrophy, should be XL</v>
      </c>
    </row>
    <row r="4057">
      <c r="A4057" s="1">
        <v>1.0</v>
      </c>
      <c r="B4057" s="1" t="s">
        <v>4043</v>
      </c>
      <c r="C4057" t="str">
        <f>IFERROR(__xludf.DUMMYFUNCTION("GOOGLETRANSLATE(B4057, ""zh"", ""en"")"),"Inside a box of only ten did not say! ! Open a bag containing water! ! ! Reaction for a long time, no one on me shopping for so many years, is believed to be self-employed, every time you buy a lot of boxes, each box is not open to see, the results really"&amp;" surprising. Which has a water, going to see a whole box inside what circumstances, the results turned out a number of surprising is that only ten (including my opening that), because I believe Amazon was so self-assured, not We will see, who thought a fu"&amp;"ll two less! ! ! Several meant several meanings! ! ! ! ! To give a star are too much! Contact customer service, I did not care for this crop")</f>
        <v>Inside a box of only ten did not say! ! Open a bag containing water! ! ! Reaction for a long time, no one on me shopping for so many years, is believed to be self-employed, every time you buy a lot of boxes, each box is not open to see, the results really surprising. Which has a water, going to see a whole box inside what circumstances, the results turned out a number of surprising is that only ten (including my opening that), because I believe Amazon was so self-assured, not We will see, who thought a full two less! ! ! Several meant several meanings! ! ! ! ! To give a star are too much! Contact customer service, I did not care for this crop</v>
      </c>
    </row>
    <row r="4058">
      <c r="A4058" s="1">
        <v>1.0</v>
      </c>
      <c r="B4058" s="1" t="s">
        <v>4044</v>
      </c>
      <c r="C4058" t="str">
        <f>IFERROR(__xludf.DUMMYFUNCTION("GOOGLETRANSLATE(B4058, ""zh"", ""en"")"),"A headset is bad, no doubt refurbished goods in March to buy, and now has been bad")</f>
        <v>A headset is bad, no doubt refurbished goods in March to buy, and now has been bad</v>
      </c>
    </row>
    <row r="4059">
      <c r="A4059" s="1">
        <v>4.0</v>
      </c>
      <c r="B4059" s="1" t="s">
        <v>4045</v>
      </c>
      <c r="C4059" t="str">
        <f>IFERROR(__xludf.DUMMYFUNCTION("GOOGLETRANSLATE(B4059, ""zh"", ""en"")"),"Quite satisfied. 176,76kg, overall slightly smaller.")</f>
        <v>Quite satisfied. 176,76kg, overall slightly smaller.</v>
      </c>
    </row>
    <row r="4060">
      <c r="A4060" s="1">
        <v>4.0</v>
      </c>
      <c r="B4060" s="1" t="s">
        <v>4046</v>
      </c>
      <c r="C4060" t="str">
        <f>IFERROR(__xludf.DUMMYFUNCTION("GOOGLETRANSLATE(B4060, ""zh"", ""en"")"),"Shoes are a good pair of shoes, but the store has not detailed failure Fatal shoes is a good pair of shoes, just the hard soles of the feet, on my feet after a day running very adapted, getting comfortable. Mainly shoes insoles for adequate arch support. "&amp;"Shoe size label is certainly the problem of the Amazon, but such an obvious mistake you Tell me Can not you see? 9-9.5DMUS is 43 yards, and now Amazon size chart has been updated. Ecco not bought in the United States and Asia, but British-double-double ec"&amp;"co shoe sizes are pretty standard. Because of this failure to subtract a star rating four stars.")</f>
        <v>Shoes are a good pair of shoes, but the store has not detailed failure Fatal shoes is a good pair of shoes, just the hard soles of the feet, on my feet after a day running very adapted, getting comfortable. Mainly shoes insoles for adequate arch support. Shoe size label is certainly the problem of the Amazon, but such an obvious mistake you Tell me Can not you see? 9-9.5DMUS is 43 yards, and now Amazon size chart has been updated. Ecco not bought in the United States and Asia, but British-double-double ecco shoe sizes are pretty standard. Because of this failure to subtract a star rating four stars.</v>
      </c>
    </row>
    <row r="4061">
      <c r="A4061" s="1">
        <v>4.0</v>
      </c>
      <c r="B4061" s="1" t="s">
        <v>4047</v>
      </c>
      <c r="C4061" t="str">
        <f>IFERROR(__xludf.DUMMYFUNCTION("GOOGLETRANSLATE(B4061, ""zh"", ""en"")"),"Tastes good 👌")</f>
        <v>Tastes good 👌</v>
      </c>
    </row>
    <row r="4062">
      <c r="A4062" s="1">
        <v>4.0</v>
      </c>
      <c r="B4062" s="1" t="s">
        <v>4048</v>
      </c>
      <c r="C4062" t="str">
        <f>IFERROR(__xludf.DUMMYFUNCTION("GOOGLETRANSLATE(B4062, ""zh"", ""en"")"),"I view upstairs as he looks good, according to this model in other sites checked and found looks very pretty.")</f>
        <v>I view upstairs as he looks good, according to this model in other sites checked and found looks very pretty.</v>
      </c>
    </row>
    <row r="4063">
      <c r="A4063" s="1">
        <v>4.0</v>
      </c>
      <c r="B4063" s="1" t="s">
        <v>4049</v>
      </c>
      <c r="C4063" t="str">
        <f>IFERROR(__xludf.DUMMYFUNCTION("GOOGLETRANSLATE(B4063, ""zh"", ""en"")"),"Well, that handle longer oblique angle like a pretty good point, and now with very little, after the milk back then. The handle angle oblique point again like milk flow down more smoothly, more convenient to use them")</f>
        <v>Well, that handle longer oblique angle like a pretty good point, and now with very little, after the milk back then. The handle angle oblique point again like milk flow down more smoothly, more convenient to use them</v>
      </c>
    </row>
    <row r="4064">
      <c r="A4064" s="1">
        <v>5.0</v>
      </c>
      <c r="B4064" s="1" t="s">
        <v>4050</v>
      </c>
      <c r="C4064" t="str">
        <f>IFERROR(__xludf.DUMMYFUNCTION("GOOGLETRANSLATE(B4064, ""zh"", ""en"")"),"Yan high value, good insulation effect Mimi da, and the same picture, I like to meet a hobby red this year. Insulation works well, yesterday around 20:00 stuffy two eggs, water up at 6 am still hot, cooked the eggs")</f>
        <v>Yan high value, good insulation effect Mimi da, and the same picture, I like to meet a hobby red this year. Insulation works well, yesterday around 20:00 stuffy two eggs, water up at 6 am still hot, cooked the eggs</v>
      </c>
    </row>
    <row r="4065">
      <c r="A4065" s="1">
        <v>5.0</v>
      </c>
      <c r="B4065" s="1" t="s">
        <v>4051</v>
      </c>
      <c r="C4065" t="str">
        <f>IFERROR(__xludf.DUMMYFUNCTION("GOOGLETRANSLATE(B4065, ""zh"", ""en"")"),"After the corresponding point size is preferably clearly marked been worn Ecco 41 yards, there is no option 41 yards, so chose No. 7, the results sent to double 40 yards. Small, do not know how to buy foreign exchange, again bought a pair. Quality shoes p"&amp;"raise! Thai-made, than before to buy Slovenia produced somewhat less a little.")</f>
        <v>After the corresponding point size is preferably clearly marked been worn Ecco 41 yards, there is no option 41 yards, so chose No. 7, the results sent to double 40 yards. Small, do not know how to buy foreign exchange, again bought a pair. Quality shoes praise! Thai-made, than before to buy Slovenia produced somewhat less a little.</v>
      </c>
    </row>
    <row r="4066">
      <c r="A4066" s="1">
        <v>5.0</v>
      </c>
      <c r="B4066" s="1" t="s">
        <v>4052</v>
      </c>
      <c r="C4066" t="str">
        <f>IFERROR(__xludf.DUMMYFUNCTION("GOOGLETRANSLATE(B4066, ""zh"", ""en"")"),"Zinc and echinacea Sugar Bear looked pretty good! Price is not bad!")</f>
        <v>Zinc and echinacea Sugar Bear looked pretty good! Price is not bad!</v>
      </c>
    </row>
    <row r="4067">
      <c r="A4067" s="1">
        <v>5.0</v>
      </c>
      <c r="B4067" s="1" t="s">
        <v>4053</v>
      </c>
      <c r="C4067" t="str">
        <f>IFERROR(__xludf.DUMMYFUNCTION("GOOGLETRANSLATE(B4067, ""zh"", ""en"")"),"Good or very texture of bone china")</f>
        <v>Good or very texture of bone china</v>
      </c>
    </row>
    <row r="4068">
      <c r="A4068" s="1">
        <v>5.0</v>
      </c>
      <c r="B4068" s="1" t="s">
        <v>4054</v>
      </c>
      <c r="C4068" t="str">
        <f>IFERROR(__xludf.DUMMYFUNCTION("GOOGLETRANSLATE(B4068, ""zh"", ""en"")"),"Recommendations to buy two brands are very satisfied with the appearance of texture experience out! This section is recommended size of M No. 75A.")</f>
        <v>Recommendations to buy two brands are very satisfied with the appearance of texture experience out! This section is recommended size of M No. 75A.</v>
      </c>
    </row>
    <row r="4069">
      <c r="A4069" s="1">
        <v>5.0</v>
      </c>
      <c r="B4069" s="1" t="s">
        <v>4055</v>
      </c>
      <c r="C4069" t="str">
        <f>IFERROR(__xludf.DUMMYFUNCTION("GOOGLETRANSLATE(B4069, ""zh"", ""en"")"),"Elastic good very good, very good elasticity")</f>
        <v>Elastic good very good, very good elasticity</v>
      </c>
    </row>
    <row r="4070">
      <c r="A4070" s="1">
        <v>5.0</v>
      </c>
      <c r="B4070" s="1" t="s">
        <v>4056</v>
      </c>
      <c r="C4070" t="str">
        <f>IFERROR(__xludf.DUMMYFUNCTION("GOOGLETRANSLATE(B4070, ""zh"", ""en"")"),"Very, very good, very good! Great, great!")</f>
        <v>Very, very good, very good! Great, great!</v>
      </c>
    </row>
    <row r="4071">
      <c r="A4071" s="1">
        <v>5.0</v>
      </c>
      <c r="B4071" s="1" t="s">
        <v>4057</v>
      </c>
      <c r="C4071" t="str">
        <f>IFERROR(__xludf.DUMMYFUNCTION("GOOGLETRANSLATE(B4071, ""zh"", ""en"")"),"Stick cheap, safe to use, like green. Recommended to buy.")</f>
        <v>Stick cheap, safe to use, like green. Recommended to buy.</v>
      </c>
    </row>
    <row r="4072">
      <c r="A4072" s="1">
        <v>5.0</v>
      </c>
      <c r="B4072" s="1" t="s">
        <v>4058</v>
      </c>
      <c r="C4072" t="str">
        <f>IFERROR(__xludf.DUMMYFUNCTION("GOOGLETRANSLATE(B4072, ""zh"", ""en"")"),"Yes looks good eight days to Nanjing, with more cold to drain for -20-40 degrees, only to hit 10% sadly")</f>
        <v>Yes looks good eight days to Nanjing, with more cold to drain for -20-40 degrees, only to hit 10% sadly</v>
      </c>
    </row>
    <row r="4073">
      <c r="A4073" s="1">
        <v>5.0</v>
      </c>
      <c r="B4073" s="1" t="s">
        <v>4059</v>
      </c>
      <c r="C4073" t="str">
        <f>IFERROR(__xludf.DUMMYFUNCTION("GOOGLETRANSLATE(B4073, ""zh"", ""en"")"),"Happy shopping very good shoes are very satisfied, the price is very cheap")</f>
        <v>Happy shopping very good shoes are very satisfied, the price is very cheap</v>
      </c>
    </row>
    <row r="4074">
      <c r="A4074" s="1">
        <v>5.0</v>
      </c>
      <c r="B4074" s="1" t="s">
        <v>4060</v>
      </c>
      <c r="C4074" t="str">
        <f>IFERROR(__xludf.DUMMYFUNCTION("GOOGLETRANSLATE(B4074, ""zh"", ""en"")"),"Will there be movement to protect the ankle injury I feel very good, and so the opportunity to play")</f>
        <v>Will there be movement to protect the ankle injury I feel very good, and so the opportunity to play</v>
      </c>
    </row>
    <row r="4075">
      <c r="A4075" s="1">
        <v>5.0</v>
      </c>
      <c r="B4075" s="1" t="s">
        <v>4061</v>
      </c>
      <c r="C4075" t="str">
        <f>IFERROR(__xludf.DUMMYFUNCTION("GOOGLETRANSLATE(B4075, ""zh"", ""en"")"),"Slightly larger than some big, big hip hem suit.")</f>
        <v>Slightly larger than some big, big hip hem suit.</v>
      </c>
    </row>
    <row r="4076">
      <c r="A4076" s="1">
        <v>5.0</v>
      </c>
      <c r="B4076" s="1" t="s">
        <v>4062</v>
      </c>
      <c r="C4076" t="str">
        <f>IFERROR(__xludf.DUMMYFUNCTION("GOOGLETRANSLATE(B4076, ""zh"", ""en"")"),"French brand, Biaishida and Supor much better, cheaper price Biaishida and half French brand Supor, Supor and Biaishida much better, cheaper price Biaishida and Supor half")</f>
        <v>French brand, Biaishida and Supor much better, cheaper price Biaishida and half French brand Supor, Supor and Biaishida much better, cheaper price Biaishida and Supor half</v>
      </c>
    </row>
    <row r="4077">
      <c r="A4077" s="1">
        <v>5.0</v>
      </c>
      <c r="B4077" s="1" t="s">
        <v>4063</v>
      </c>
      <c r="C4077" t="str">
        <f>IFERROR(__xludf.DUMMYFUNCTION("GOOGLETRANSLATE(B4077, ""zh"", ""en"")"),"Good clothes very satisfied")</f>
        <v>Good clothes very satisfied</v>
      </c>
    </row>
    <row r="4078">
      <c r="A4078" s="1">
        <v>5.0</v>
      </c>
      <c r="B4078" s="1" t="s">
        <v>4064</v>
      </c>
      <c r="C4078" t="str">
        <f>IFERROR(__xludf.DUMMYFUNCTION("GOOGLETRANSLATE(B4078, ""zh"", ""en"")"),"very perfect! Breath buy three colors, but under a single Nichia even gave three headphones into three parcels, clothes on the wall did not help Nichia, packaging to extreme force, headphones carton to protect perfectly. Following a brief introduction hea"&amp;"dphones. ▲ Sound quality: In terms of personal sense of hearing, tuning more suitable for listening to pop music, rock, probably hear more bass and dynamic times playing time during exercise performance was okay, as female poison, like a sense of air the "&amp;"do not find the current feeling in the ears of a few portable wireless headset, then this price, sound quality worthy of the price, or even a bit more than expected. ▲ to wear: Apple and headphone comes with almost the same half-ear design, long wear quit"&amp;"e OK, no SE215 in-ear kind of sense of Guzhang, no Dafa headset cover their ears fever, than the Air's innovative lightweight there is no sense to wear to feel a little bit more, but the place jumping tap wearing jogging or walking a few commuters will no"&amp;"t fall. In the stethoscope effect, it is estimated that due to the use of flat spaghetti of wires, what a stethoscope is currently not feel the effect. As for running can not be stethoscope effect remains to be tested ~ ▲ life: There 6H official nominal l"&amp;"ife time, change the battery indicator to estimate the combination of words can be used six hours in my current use, continuous listening 2.5 H, the system displays the battery still remaining more than half. Use a mild charge two days, severe, then one d"&amp;"ay at a charge about the same. I do not know whether this temporary charging treasure charge, yet to be verified. Charging speed is generally 1 ~ 2H can be filled. ▲ Bluetooth connection quality: most of the time is stable, at home no problem separated by"&amp;" a wall within 5m, longer distances would not deliberately tested. Parameters quite satisfactory, Bluetooth 4.0, A2DP v1.2, AVRCP v1.5, HFP v1.5, HSP v1.2 and other agreements. Currently experiencing a sound Caton appeared in the notebook next to the 2.4G"&amp;" band WIFI connection to download, the longer the interval there will be no significant contingencies Caton, I put the notebook to switch to the 5G No longer connected Caton.")</f>
        <v>very perfect! Breath buy three colors, but under a single Nichia even gave three headphones into three parcels, clothes on the wall did not help Nichia, packaging to extreme force, headphones carton to protect perfectly. Following a brief introduction headphones. ▲ Sound quality: In terms of personal sense of hearing, tuning more suitable for listening to pop music, rock, probably hear more bass and dynamic times playing time during exercise performance was okay, as female poison, like a sense of air the do not find the current feeling in the ears of a few portable wireless headset, then this price, sound quality worthy of the price, or even a bit more than expected. ▲ to wear: Apple and headphone comes with almost the same half-ear design, long wear quite OK, no SE215 in-ear kind of sense of Guzhang, no Dafa headset cover their ears fever, than the Air's innovative lightweight there is no sense to wear to feel a little bit more, but the place jumping tap wearing jogging or walking a few commuters will not fall. In the stethoscope effect, it is estimated that due to the use of flat spaghetti of wires, what a stethoscope is currently not feel the effect. As for running can not be stethoscope effect remains to be tested ~ ▲ life: There 6H official nominal life time, change the battery indicator to estimate the combination of words can be used six hours in my current use, continuous listening 2.5 H, the system displays the battery still remaining more than half. Use a mild charge two days, severe, then one day at a charge about the same. I do not know whether this temporary charging treasure charge, yet to be verified. Charging speed is generally 1 ~ 2H can be filled. ▲ Bluetooth connection quality: most of the time is stable, at home no problem separated by a wall within 5m, longer distances would not deliberately tested. Parameters quite satisfactory, Bluetooth 4.0, A2DP v1.2, AVRCP v1.5, HFP v1.5, HSP v1.2 and other agreements. Currently experiencing a sound Caton appeared in the notebook next to the 2.4G band WIFI connection to download, the longer the interval there will be no significant contingencies Caton, I put the notebook to switch to the 5G No longer connected Caton.</v>
      </c>
    </row>
    <row r="4079">
      <c r="A4079" s="1">
        <v>5.0</v>
      </c>
      <c r="B4079" s="1" t="s">
        <v>4065</v>
      </c>
      <c r="C4079" t="str">
        <f>IFERROR(__xludf.DUMMYFUNCTION("GOOGLETRANSLATE(B4079, ""zh"", ""en"")"),"Warm fit to my mother to buy, XXL is very appropriate. (65kg)")</f>
        <v>Warm fit to my mother to buy, XXL is very appropriate. (65kg)</v>
      </c>
    </row>
    <row r="4080">
      <c r="A4080" s="1">
        <v>5.0</v>
      </c>
      <c r="B4080" s="1" t="s">
        <v>4066</v>
      </c>
      <c r="C4080" t="str">
        <f>IFERROR(__xludf.DUMMYFUNCTION("GOOGLETRANSLATE(B4080, ""zh"", ""en"")"),"A good pair of shoes basic models of training shoes, moderate hardness, suitable for jogging warm-up. Like sports wall cracked recommend this section, cost-effective.")</f>
        <v>A good pair of shoes basic models of training shoes, moderate hardness, suitable for jogging warm-up. Like sports wall cracked recommend this section, cost-effective.</v>
      </c>
    </row>
    <row r="4081">
      <c r="A4081" s="1">
        <v>5.0</v>
      </c>
      <c r="B4081" s="1" t="s">
        <v>4067</v>
      </c>
      <c r="C4081" t="str">
        <f>IFERROR(__xludf.DUMMYFUNCTION("GOOGLETRANSLATE(B4081, ""zh"", ""en"")"),"A good leader, very fast delivery very good, very beautiful, the price is right")</f>
        <v>A good leader, very fast delivery very good, very beautiful, the price is right</v>
      </c>
    </row>
    <row r="4082">
      <c r="A4082" s="1">
        <v>5.0</v>
      </c>
      <c r="B4082" s="1" t="s">
        <v>4068</v>
      </c>
      <c r="C4082" t="str">
        <f>IFERROR(__xludf.DUMMYFUNCTION("GOOGLETRANSLATE(B4082, ""zh"", ""en"")"),"Product performance and appearance have not started to buy, looks pretty good look")</f>
        <v>Product performance and appearance have not started to buy, looks pretty good look</v>
      </c>
    </row>
    <row r="4083">
      <c r="A4083" s="1">
        <v>5.0</v>
      </c>
      <c r="B4083" s="1" t="s">
        <v>4069</v>
      </c>
      <c r="C4083" t="str">
        <f>IFERROR(__xludf.DUMMYFUNCTION("GOOGLETRANSLATE(B4083, ""zh"", ""en"")"),"Good quality metal wings will move, heavy")</f>
        <v>Good quality metal wings will move, heavy</v>
      </c>
    </row>
    <row r="4084">
      <c r="A4084" s="1">
        <v>5.0</v>
      </c>
      <c r="B4084" s="1" t="s">
        <v>4070</v>
      </c>
      <c r="C4084" t="str">
        <f>IFERROR(__xludf.DUMMYFUNCTION("GOOGLETRANSLATE(B4084, ""zh"", ""en"")"),"lee shirt collar corner some large, cotton, number too large. not bad")</f>
        <v>lee shirt collar corner some large, cotton, number too large. not bad</v>
      </c>
    </row>
    <row r="4085">
      <c r="A4085" s="1">
        <v>5.0</v>
      </c>
      <c r="B4085" s="1" t="s">
        <v>4071</v>
      </c>
      <c r="C4085" t="str">
        <f>IFERROR(__xludf.DUMMYFUNCTION("GOOGLETRANSLATE(B4085, ""zh"", ""en"")"),"Very nice, very clean and very easy to use red, red very clean, put this office, noon eat dampen")</f>
        <v>Very nice, very clean and very easy to use red, red very clean, put this office, noon eat dampen</v>
      </c>
    </row>
    <row r="4086">
      <c r="A4086" s="1">
        <v>2.0</v>
      </c>
      <c r="B4086" s="1" t="s">
        <v>4072</v>
      </c>
      <c r="C4086" t="str">
        <f>IFERROR(__xludf.DUMMYFUNCTION("GOOGLETRANSLATE(B4086, ""zh"", ""en"")"),"Less than a year and a half wire serious aging in less than a year and a half feeling not too frequent use of wire has deteriorated severely as if to melt like a place not overseas purchase warranty embarrassing")</f>
        <v>Less than a year and a half wire serious aging in less than a year and a half feeling not too frequent use of wire has deteriorated severely as if to melt like a place not overseas purchase warranty embarrassing</v>
      </c>
    </row>
    <row r="4087">
      <c r="A4087" s="1">
        <v>3.0</v>
      </c>
      <c r="B4087" s="1" t="s">
        <v>4073</v>
      </c>
      <c r="C4087" t="str">
        <f>IFERROR(__xludf.DUMMYFUNCTION("GOOGLETRANSLATE(B4087, ""zh"", ""en"")"),"Based on brand purchase poor workmanship, multi-thread, fabric is very poor, based entirely on the brand to buy, sleeves super fat, 172 70kg buy the S number, exactly, is the sleeves too")</f>
        <v>Based on brand purchase poor workmanship, multi-thread, fabric is very poor, based entirely on the brand to buy, sleeves super fat, 172 70kg buy the S number, exactly, is the sleeves too</v>
      </c>
    </row>
    <row r="4088">
      <c r="A4088" s="1">
        <v>3.0</v>
      </c>
      <c r="B4088" s="1" t="s">
        <v>4074</v>
      </c>
      <c r="C4088" t="str">
        <f>IFERROR(__xludf.DUMMYFUNCTION("GOOGLETRANSLATE(B4088, ""zh"", ""en"")"),"Quality in general, material and pant general. Pants right size, not too much we buy a few numbers, will be larger than the domestic number two, my height 179, weight 85, L code is still very loose.")</f>
        <v>Quality in general, material and pant general. Pants right size, not too much we buy a few numbers, will be larger than the domestic number two, my height 179, weight 85, L code is still very loose.</v>
      </c>
    </row>
    <row r="4089">
      <c r="A4089" s="1">
        <v>1.0</v>
      </c>
      <c r="B4089" s="1" t="s">
        <v>4075</v>
      </c>
      <c r="C4089" t="str">
        <f>IFERROR(__xludf.DUMMYFUNCTION("GOOGLETRANSLATE(B4089, ""zh"", ""en"")"),"How to deal with after-sales back is bad do not know how to get there do not know how to fix the converter 500 to buy a lesson")</f>
        <v>How to deal with after-sales back is bad do not know how to get there do not know how to fix the converter 500 to buy a lesson</v>
      </c>
    </row>
    <row r="4090">
      <c r="A4090" s="1">
        <v>1.0</v>
      </c>
      <c r="B4090" s="1" t="s">
        <v>4076</v>
      </c>
      <c r="C4090" t="str">
        <f>IFERROR(__xludf.DUMMYFUNCTION("GOOGLETRANSLATE(B4090, ""zh"", ""en"")"),"Refunds have been returned long, long time, but has as yet not received a refund. PS, super super large size pants")</f>
        <v>Refunds have been returned long, long time, but has as yet not received a refund. PS, super super large size pants</v>
      </c>
    </row>
    <row r="4091">
      <c r="A4091" s="1">
        <v>1.0</v>
      </c>
      <c r="B4091" s="1" t="s">
        <v>4077</v>
      </c>
      <c r="C4091" t="str">
        <f>IFERROR(__xludf.DUMMYFUNCTION("GOOGLETRANSLATE(B4091, ""zh"", ""en"")"),"Pacifier is dirty! Obviously old, was used. Pacifier is dirty! Seem to have been used up. How so dirty pacifier to the baby? I would rather throw away. Had great confidence in the Amazon, I did not think so. very disappointed")</f>
        <v>Pacifier is dirty! Obviously old, was used. Pacifier is dirty! Seem to have been used up. How so dirty pacifier to the baby? I would rather throw away. Had great confidence in the Amazon, I did not think so. very disappointed</v>
      </c>
    </row>
    <row r="4092">
      <c r="A4092" s="1">
        <v>4.0</v>
      </c>
      <c r="B4092" s="1" t="s">
        <v>4078</v>
      </c>
      <c r="C4092" t="str">
        <f>IFERROR(__xludf.DUMMYFUNCTION("GOOGLETRANSLATE(B4092, ""zh"", ""en"")"),"Good quality 176.75 kg body parts just right, a little big and long arm section")</f>
        <v>Good quality 176.75 kg body parts just right, a little big and long arm section</v>
      </c>
    </row>
    <row r="4093">
      <c r="A4093" s="1">
        <v>4.0</v>
      </c>
      <c r="B4093" s="1" t="s">
        <v>4079</v>
      </c>
      <c r="C4093" t="str">
        <f>IFERROR(__xludf.DUMMYFUNCTION("GOOGLETRANSLATE(B4093, ""zh"", ""en"")"),"Overall okay okay, that is a lot of noise")</f>
        <v>Overall okay okay, that is a lot of noise</v>
      </c>
    </row>
    <row r="4094">
      <c r="A4094" s="1">
        <v>4.0</v>
      </c>
      <c r="B4094" s="1" t="s">
        <v>4080</v>
      </c>
      <c r="C4094" t="str">
        <f>IFERROR(__xludf.DUMMYFUNCTION("GOOGLETRANSLATE(B4094, ""zh"", ""en"")"),"Use your point is good, it is authentic. Haha not to write less")</f>
        <v>Use your point is good, it is authentic. Haha not to write less</v>
      </c>
    </row>
    <row r="4095">
      <c r="A4095" s="1">
        <v>4.0</v>
      </c>
      <c r="B4095" s="1" t="s">
        <v>4081</v>
      </c>
      <c r="C4095" t="str">
        <f>IFERROR(__xludf.DUMMYFUNCTION("GOOGLETRANSLATE(B4095, ""zh"", ""en"")"),"80 colors, leather, shoe soles, work are good, good walk, but soon began to crease.")</f>
        <v>80 colors, leather, shoe soles, work are good, good walk, but soon began to crease.</v>
      </c>
    </row>
    <row r="4096">
      <c r="A4096" s="1">
        <v>4.0</v>
      </c>
      <c r="B4096" s="1" t="s">
        <v>4082</v>
      </c>
      <c r="C4096" t="str">
        <f>IFERROR(__xludf.DUMMYFUNCTION("GOOGLETRANSLATE(B4096, ""zh"", ""en"")"),"Shoes shoes slim slim, with feeling good.")</f>
        <v>Shoes shoes slim slim, with feeling good.</v>
      </c>
    </row>
    <row r="4097">
      <c r="A4097" s="1">
        <v>5.0</v>
      </c>
      <c r="B4097" s="1" t="s">
        <v>4083</v>
      </c>
      <c r="C4097" t="str">
        <f>IFERROR(__xludf.DUMMYFUNCTION("GOOGLETRANSLATE(B4097, ""zh"", ""en"")"),"Sound okay, not loud")</f>
        <v>Sound okay, not loud</v>
      </c>
    </row>
    <row r="4098">
      <c r="A4098" s="1">
        <v>5.0</v>
      </c>
      <c r="B4098" s="1" t="s">
        <v>4084</v>
      </c>
      <c r="C4098" t="str">
        <f>IFERROR(__xludf.DUMMYFUNCTION("GOOGLETRANSLATE(B4098, ""zh"", ""en"")"),"Wok pan really good, the second buy")</f>
        <v>Wok pan really good, the second buy</v>
      </c>
    </row>
    <row r="4099">
      <c r="A4099" s="1">
        <v>5.0</v>
      </c>
      <c r="B4099" s="1" t="s">
        <v>4085</v>
      </c>
      <c r="C4099" t="str">
        <f>IFERROR(__xludf.DUMMYFUNCTION("GOOGLETRANSLATE(B4099, ""zh"", ""en"")"),"Enhance the well-being hot milk foam, made of cold milk foam hot latte, latte ice; hot black coffee, black coffee ice, practices arbitrary, full of happiness!")</f>
        <v>Enhance the well-being hot milk foam, made of cold milk foam hot latte, latte ice; hot black coffee, black coffee ice, practices arbitrary, full of happiness!</v>
      </c>
    </row>
    <row r="4100">
      <c r="A4100" s="1">
        <v>5.0</v>
      </c>
      <c r="B4100" s="1" t="s">
        <v>4086</v>
      </c>
      <c r="C4100" t="str">
        <f>IFERROR(__xludf.DUMMYFUNCTION("GOOGLETRANSLATE(B4100, ""zh"", ""en"")"),"Overall good right size, there is no physical picture beautiful, tried it, the right size.")</f>
        <v>Overall good right size, there is no physical picture beautiful, tried it, the right size.</v>
      </c>
    </row>
    <row r="4101">
      <c r="A4101" s="1">
        <v>5.0</v>
      </c>
      <c r="B4101" s="1" t="s">
        <v>4087</v>
      </c>
      <c r="C4101" t="str">
        <f>IFERROR(__xludf.DUMMYFUNCTION("GOOGLETRANSLATE(B4101, ""zh"", ""en"")"),"Recommended good, two babies are in use")</f>
        <v>Recommended good, two babies are in use</v>
      </c>
    </row>
    <row r="4102">
      <c r="A4102" s="1">
        <v>5.0</v>
      </c>
      <c r="B4102" s="1" t="s">
        <v>4088</v>
      </c>
      <c r="C4102" t="str">
        <f>IFERROR(__xludf.DUMMYFUNCTION("GOOGLETRANSLATE(B4102, ""zh"", ""en"")"),"Very comfortable very comfortable underwear, not at all Le feeling, and very portable, and there is no shoulder strap slipped troubles.")</f>
        <v>Very comfortable very comfortable underwear, not at all Le feeling, and very portable, and there is no shoulder strap slipped troubles.</v>
      </c>
    </row>
    <row r="4103">
      <c r="A4103" s="1">
        <v>5.0</v>
      </c>
      <c r="B4103" s="1" t="s">
        <v>4089</v>
      </c>
      <c r="C4103" t="str">
        <f>IFERROR(__xludf.DUMMYFUNCTION("GOOGLETRANSLATE(B4103, ""zh"", ""en"")"),"I'm usually too large waistband 2 feet 3 waist circumference, given that eight yards, the result of wear leggings with velvet, also 1 inch fat, next time to buy his house pants, wearing a space should be four yards more appropriate winter buy 6 yards to w"&amp;"ear on the line. Pants type version is what I want the kind of traditional straight jeans, not Tuicu, my height 1.73, weight 63kg, hip 92cm, hope that we can learn from it")</f>
        <v>I'm usually too large waistband 2 feet 3 waist circumference, given that eight yards, the result of wear leggings with velvet, also 1 inch fat, next time to buy his house pants, wearing a space should be four yards more appropriate winter buy 6 yards to wear on the line. Pants type version is what I want the kind of traditional straight jeans, not Tuicu, my height 1.73, weight 63kg, hip 92cm, hope that we can learn from it</v>
      </c>
    </row>
    <row r="4104">
      <c r="A4104" s="1">
        <v>5.0</v>
      </c>
      <c r="B4104" s="1" t="s">
        <v>4090</v>
      </c>
      <c r="C4104" t="str">
        <f>IFERROR(__xludf.DUMMYFUNCTION("GOOGLETRANSLATE(B4104, ""zh"", ""en"")"),"Flotilla taste good, used the best mouthwash, like")</f>
        <v>Flotilla taste good, used the best mouthwash, like</v>
      </c>
    </row>
    <row r="4105">
      <c r="A4105" s="1">
        <v>5.0</v>
      </c>
      <c r="B4105" s="1" t="s">
        <v>4091</v>
      </c>
      <c r="C4105" t="str">
        <f>IFERROR(__xludf.DUMMYFUNCTION("GOOGLETRANSLATE(B4105, ""zh"", ""en"")"),"I feel good I feel pretty good, worth the price!")</f>
        <v>I feel good I feel pretty good, worth the price!</v>
      </c>
    </row>
    <row r="4106">
      <c r="A4106" s="1">
        <v>5.0</v>
      </c>
      <c r="B4106" s="1" t="s">
        <v>4092</v>
      </c>
      <c r="C4106" t="str">
        <f>IFERROR(__xludf.DUMMYFUNCTION("GOOGLETRANSLATE(B4106, ""zh"", ""en"")"),"Perfect experience 176,67kg, 32/30 pants long waist perfectly, served a week is not really suspect goods United States and Asia, but should not be loved by my express orders, and praise!")</f>
        <v>Perfect experience 176,67kg, 32/30 pants long waist perfectly, served a week is not really suspect goods United States and Asia, but should not be loved by my express orders, and praise!</v>
      </c>
    </row>
    <row r="4107">
      <c r="A4107" s="1">
        <v>5.0</v>
      </c>
      <c r="B4107" s="1" t="s">
        <v>4093</v>
      </c>
      <c r="C4107" t="str">
        <f>IFERROR(__xludf.DUMMYFUNCTION("GOOGLETRANSLATE(B4107, ""zh"", ""en"")"),"This faucet like this thermostat thermostat function most praise, but also very heavy, good quality")</f>
        <v>This faucet like this thermostat thermostat function most praise, but also very heavy, good quality</v>
      </c>
    </row>
    <row r="4108">
      <c r="A4108" s="1">
        <v>5.0</v>
      </c>
      <c r="B4108" s="1" t="s">
        <v>4094</v>
      </c>
      <c r="C4108" t="str">
        <f>IFERROR(__xludf.DUMMYFUNCTION("GOOGLETRANSLATE(B4108, ""zh"", ""en"")"),"Mom is really very good pants, the waistband is high, should be able to very comfortable, Nichia never disappointed")</f>
        <v>Mom is really very good pants, the waistband is high, should be able to very comfortable, Nichia never disappointed</v>
      </c>
    </row>
    <row r="4109">
      <c r="A4109" s="1">
        <v>5.0</v>
      </c>
      <c r="B4109" s="1" t="s">
        <v>4095</v>
      </c>
      <c r="C4109" t="str">
        <f>IFERROR(__xludf.DUMMYFUNCTION("GOOGLETRANSLATE(B4109, ""zh"", ""en"")"),"Five stars AIU direct mail, more comfortable, fresh dates, to 20 years in April, praise. Her Grandmother's good for the joints.")</f>
        <v>Five stars AIU direct mail, more comfortable, fresh dates, to 20 years in April, praise. Her Grandmother's good for the joints.</v>
      </c>
    </row>
    <row r="4110">
      <c r="A4110" s="1">
        <v>5.0</v>
      </c>
      <c r="B4110" s="1" t="s">
        <v>4096</v>
      </c>
      <c r="C4110" t="str">
        <f>IFERROR(__xludf.DUMMYFUNCTION("GOOGLETRANSLATE(B4110, ""zh"", ""en"")"),"Very good wife too comfortable, ultra expected! ! !")</f>
        <v>Very good wife too comfortable, ultra expected! ! !</v>
      </c>
    </row>
    <row r="4111">
      <c r="A4111" s="1">
        <v>5.0</v>
      </c>
      <c r="B4111" s="1" t="s">
        <v>4097</v>
      </c>
      <c r="C4111" t="str">
        <f>IFERROR(__xludf.DUMMYFUNCTION("GOOGLETRANSLATE(B4111, ""zh"", ""en"")"),"SanDisk SanDisk Ultra 3D NAND 500GB SanDisk SanDisk Ultra 3D NAND 500GB, speed stability")</f>
        <v>SanDisk SanDisk Ultra 3D NAND 500GB SanDisk SanDisk Ultra 3D NAND 500GB, speed stability</v>
      </c>
    </row>
    <row r="4112">
      <c r="A4112" s="1">
        <v>5.0</v>
      </c>
      <c r="B4112" s="1" t="s">
        <v>4098</v>
      </c>
      <c r="C4112" t="str">
        <f>IFERROR(__xludf.DUMMYFUNCTION("GOOGLETRANSLATE(B4112, ""zh"", ""en"")"),"Evaluation 180cm, 95kg wearing XL a little big. L code should be half the price of expensive, thin clothes suitable for outdoor. Waterproof effect Aoao drops.")</f>
        <v>Evaluation 180cm, 95kg wearing XL a little big. L code should be half the price of expensive, thin clothes suitable for outdoor. Waterproof effect Aoao drops.</v>
      </c>
    </row>
    <row r="4113">
      <c r="A4113" s="1">
        <v>5.0</v>
      </c>
      <c r="B4113" s="1" t="s">
        <v>4099</v>
      </c>
      <c r="C4113" t="str">
        <f>IFERROR(__xludf.DUMMYFUNCTION("GOOGLETRANSLATE(B4113, ""zh"", ""en"")"),"Feel good, not from the previous evaluation, I do not know how many wasted points, points can change money now know, they should look carefully evaluated, then I put these words to copy to go, both to earn points, but also the easy way, where are copy whe"&amp;"re, most importantly, do not seriously review, do not think how much worse word, sent directly to it, recommend it to everyone! !")</f>
        <v>Feel good, not from the previous evaluation, I do not know how many wasted points, points can change money now know, they should look carefully evaluated, then I put these words to copy to go, both to earn points, but also the easy way, where are copy where, most importantly, do not seriously review, do not think how much worse word, sent directly to it, recommend it to everyone! !</v>
      </c>
    </row>
    <row r="4114">
      <c r="A4114" s="1">
        <v>5.0</v>
      </c>
      <c r="B4114" s="1" t="s">
        <v>4100</v>
      </c>
      <c r="C4114" t="str">
        <f>IFERROR(__xludf.DUMMYFUNCTION("GOOGLETRANSLATE(B4114, ""zh"", ""en"")"),"Feel rough but very thick material is very thick, feels very rough, white, each bought a black, white or look a little better")</f>
        <v>Feel rough but very thick material is very thick, feels very rough, white, each bought a black, white or look a little better</v>
      </c>
    </row>
    <row r="4115">
      <c r="A4115" s="1">
        <v>5.0</v>
      </c>
      <c r="B4115" s="1" t="s">
        <v>4101</v>
      </c>
      <c r="C4115" t="str">
        <f>IFERROR(__xludf.DUMMYFUNCTION("GOOGLETRANSLATE(B4115, ""zh"", ""en"")"),"Yes, tennis wear appropriate 183cm, 69kg, I bought the M, see the bust appropriate orders. Come back feeling satisfied with fleece inside, Comfort")</f>
        <v>Yes, tennis wear appropriate 183cm, 69kg, I bought the M, see the bust appropriate orders. Come back feeling satisfied with fleece inside, Comfort</v>
      </c>
    </row>
    <row r="4116">
      <c r="A4116" s="1">
        <v>5.0</v>
      </c>
      <c r="B4116" s="1" t="s">
        <v>4102</v>
      </c>
      <c r="C4116" t="str">
        <f>IFERROR(__xludf.DUMMYFUNCTION("GOOGLETRANSLATE(B4116, ""zh"", ""en"")"),"Easy enough horsepower, can be used in many places, easy to use")</f>
        <v>Easy enough horsepower, can be used in many places, easy to use</v>
      </c>
    </row>
    <row r="4117">
      <c r="A4117" s="1">
        <v>5.0</v>
      </c>
      <c r="B4117" s="1" t="s">
        <v>4103</v>
      </c>
      <c r="C4117" t="str">
        <f>IFERROR(__xludf.DUMMYFUNCTION("GOOGLETRANSLATE(B4117, ""zh"", ""en"")"),"Value for money to buy according to the size, right size. Like product and described, good quality, in the South, early spring through late autumn just")</f>
        <v>Value for money to buy according to the size, right size. Like product and described, good quality, in the South, early spring through late autumn just</v>
      </c>
    </row>
    <row r="4118">
      <c r="A4118" s="1">
        <v>5.0</v>
      </c>
      <c r="B4118" s="1" t="s">
        <v>4104</v>
      </c>
      <c r="C4118" t="str">
        <f>IFERROR(__xludf.DUMMYFUNCTION("GOOGLETRANSLATE(B4118, ""zh"", ""en"")"),"Amazon protein powder or trusted Overall pretty good, very fine protein powder")</f>
        <v>Amazon protein powder or trusted Overall pretty good, very fine protein powder</v>
      </c>
    </row>
    <row r="4119">
      <c r="A4119" s="1">
        <v>2.0</v>
      </c>
      <c r="B4119" s="1" t="s">
        <v>4105</v>
      </c>
      <c r="C4119" t="str">
        <f>IFERROR(__xludf.DUMMYFUNCTION("GOOGLETRANSLATE(B4119, ""zh"", ""en"")"),"Not padded jacket, is padded.")</f>
        <v>Not padded jacket, is padded.</v>
      </c>
    </row>
    <row r="4120">
      <c r="A4120" s="1">
        <v>3.0</v>
      </c>
      <c r="B4120" s="1" t="s">
        <v>4106</v>
      </c>
      <c r="C4120" t="str">
        <f>IFERROR(__xludf.DUMMYFUNCTION("GOOGLETRANSLATE(B4120, ""zh"", ""en"")"),"Size a bit smaller. That good can fit 175-185, 180 I think the only normal 170-175. Personally I feel, the other better, the process quite clean, quite thin.")</f>
        <v>Size a bit smaller. That good can fit 175-185, 180 I think the only normal 170-175. Personally I feel, the other better, the process quite clean, quite thin.</v>
      </c>
    </row>
    <row r="4121">
      <c r="A4121" s="1">
        <v>3.0</v>
      </c>
      <c r="B4121" s="1" t="s">
        <v>4107</v>
      </c>
      <c r="C4121" t="str">
        <f>IFERROR(__xludf.DUMMYFUNCTION("GOOGLETRANSLATE(B4121, ""zh"", ""en"")"),"Very very very common ordinary general very general one pen cap is loose, apply for a replacement of a receipt is still loose, written with the pen is also loose, but do not put too much after a gall ink loose, writing fairly smooth, but also a little scr"&amp;"atch paper, such a pen 80, the feeling is not worth it, too cottage, very ordinary pen.")</f>
        <v>Very very very common ordinary general very general one pen cap is loose, apply for a replacement of a receipt is still loose, written with the pen is also loose, but do not put too much after a gall ink loose, writing fairly smooth, but also a little scratch paper, such a pen 80, the feeling is not worth it, too cottage, very ordinary pen.</v>
      </c>
    </row>
    <row r="4122">
      <c r="A4122" s="1">
        <v>3.0</v>
      </c>
      <c r="B4122" s="1" t="s">
        <v>4108</v>
      </c>
      <c r="C4122" t="str">
        <f>IFERROR(__xludf.DUMMYFUNCTION("GOOGLETRANSLATE(B4122, ""zh"", ""en"")"),"Fabric poor cheap fabrics, oil flavor, cheap Dacron feeling.")</f>
        <v>Fabric poor cheap fabrics, oil flavor, cheap Dacron feeling.</v>
      </c>
    </row>
    <row r="4123">
      <c r="A4123" s="1">
        <v>1.0</v>
      </c>
      <c r="B4123" s="1" t="s">
        <v>4109</v>
      </c>
      <c r="C4123" t="str">
        <f>IFERROR(__xludf.DUMMYFUNCTION("GOOGLETRANSLATE(B4123, ""zh"", ""en"")"),"This is not and can not face and slightly harder surface ah? And the surface can only dilute it? Why live below the basin fly out alive ~")</f>
        <v>This is not and can not face and slightly harder surface ah? And the surface can only dilute it? Why live below the basin fly out alive ~</v>
      </c>
    </row>
    <row r="4124">
      <c r="A4124" s="1">
        <v>1.0</v>
      </c>
      <c r="B4124" s="1" t="s">
        <v>4110</v>
      </c>
      <c r="C4124" t="str">
        <f>IFERROR(__xludf.DUMMYFUNCTION("GOOGLETRANSLATE(B4124, ""zh"", ""en"")"),"Quality bought a black two piece pink pink can be used normally black voice was very abnormal vibrations do not know how aftermarket")</f>
        <v>Quality bought a black two piece pink pink can be used normally black voice was very abnormal vibrations do not know how aftermarket</v>
      </c>
    </row>
    <row r="4125">
      <c r="A4125" s="1">
        <v>1.0</v>
      </c>
      <c r="B4125" s="1" t="s">
        <v>4111</v>
      </c>
      <c r="C4125" t="str">
        <f>IFERROR(__xludf.DUMMYFUNCTION("GOOGLETRANSLATE(B4125, ""zh"", ""en"")"),"Not recommended to buy no tag; pin poor; like old clothes; code number is too large")</f>
        <v>Not recommended to buy no tag; pin poor; like old clothes; code number is too large</v>
      </c>
    </row>
    <row r="4126">
      <c r="A4126" s="1">
        <v>4.0</v>
      </c>
      <c r="B4126" s="1" t="s">
        <v>4112</v>
      </c>
      <c r="C4126" t="str">
        <f>IFERROR(__xludf.DUMMYFUNCTION("GOOGLETRANSLATE(B4126, ""zh"", ""en"")"),"Beauty, look good, but put too heavy, easy to tilt the bowl")</f>
        <v>Beauty, look good, but put too heavy, easy to tilt the bowl</v>
      </c>
    </row>
    <row r="4127">
      <c r="A4127" s="1">
        <v>4.0</v>
      </c>
      <c r="B4127" s="1" t="s">
        <v>4113</v>
      </c>
      <c r="C4127" t="str">
        <f>IFERROR(__xludf.DUMMYFUNCTION("GOOGLETRANSLATE(B4127, ""zh"", ""en"")"),"Pulpy old packaging packaging sucks, loaded cartridge tray worn and old, the British origin, but there is no standard capacity cartridge manufacture date, was disturbed using a trial actually okay.")</f>
        <v>Pulpy old packaging packaging sucks, loaded cartridge tray worn and old, the British origin, but there is no standard capacity cartridge manufacture date, was disturbed using a trial actually okay.</v>
      </c>
    </row>
    <row r="4128">
      <c r="A4128" s="1">
        <v>4.0</v>
      </c>
      <c r="B4128" s="1" t="s">
        <v>4114</v>
      </c>
      <c r="C4128" t="str">
        <f>IFERROR(__xludf.DUMMYFUNCTION("GOOGLETRANSLATE(B4128, ""zh"", ""en"")"),"GUNZE Gunze no rims bra is too loose, deformation of the tape")</f>
        <v>GUNZE Gunze no rims bra is too loose, deformation of the tape</v>
      </c>
    </row>
    <row r="4129">
      <c r="A4129" s="1">
        <v>4.0</v>
      </c>
      <c r="B4129" s="1" t="s">
        <v>4115</v>
      </c>
      <c r="C4129" t="str">
        <f>IFERROR(__xludf.DUMMYFUNCTION("GOOGLETRANSLATE(B4129, ""zh"", ""en"")"),"Smaller overall point how would it comment is too large, we do not buy the same paragraph. Something good, slightly smaller point, 170cm62kg buy is s code, a little tight.")</f>
        <v>Smaller overall point how would it comment is too large, we do not buy the same paragraph. Something good, slightly smaller point, 170cm62kg buy is s code, a little tight.</v>
      </c>
    </row>
    <row r="4130">
      <c r="A4130" s="1">
        <v>5.0</v>
      </c>
      <c r="B4130" s="1" t="s">
        <v>4116</v>
      </c>
      <c r="C4130" t="str">
        <f>IFERROR(__xludf.DUMMYFUNCTION("GOOGLETRANSLATE(B4130, ""zh"", ""en"")"),"Yes, very easy to use good, very easy to use")</f>
        <v>Yes, very easy to use good, very easy to use</v>
      </c>
    </row>
    <row r="4131">
      <c r="A4131" s="1">
        <v>5.0</v>
      </c>
      <c r="B4131" s="1" t="s">
        <v>4117</v>
      </c>
      <c r="C4131" t="str">
        <f>IFERROR(__xludf.DUMMYFUNCTION("GOOGLETRANSLATE(B4131, ""zh"", ""en"")"),"Long clothes long, wrap the zipper")</f>
        <v>Long clothes long, wrap the zipper</v>
      </c>
    </row>
    <row r="4132">
      <c r="A4132" s="1">
        <v>5.0</v>
      </c>
      <c r="B4132" s="1" t="s">
        <v>4118</v>
      </c>
      <c r="C4132" t="str">
        <f>IFERROR(__xludf.DUMMYFUNCTION("GOOGLETRANSLATE(B4132, ""zh"", ""en"")"),"So cute so cute ~ ~ ~ la la la la la la la la la la ~ ~ ~")</f>
        <v>So cute so cute ~ ~ ~ la la la la la la la la la la ~ ~ ~</v>
      </c>
    </row>
    <row r="4133">
      <c r="A4133" s="1">
        <v>5.0</v>
      </c>
      <c r="B4133" s="1" t="s">
        <v>4119</v>
      </c>
      <c r="C4133" t="str">
        <f>IFERROR(__xludf.DUMMYFUNCTION("GOOGLETRANSLATE(B4133, ""zh"", ""en"")"),"Even shipping + taxes together a little more than 200, 174 tall and 73kg wear 33W32L a little bit big, good, very appropriate. Color is also very nice. ! ~ Shipping + taxes even a little bit together more than 200, 174 tall and 73kg wear 33W32L a little b"&amp;"it big, good, very appropriate. Color is also very nice. ! ~")</f>
        <v>Even shipping + taxes together a little more than 200, 174 tall and 73kg wear 33W32L a little bit big, good, very appropriate. Color is also very nice. ! ~ Shipping + taxes even a little bit together more than 200, 174 tall and 73kg wear 33W32L a little bit big, good, very appropriate. Color is also very nice. ! ~</v>
      </c>
    </row>
    <row r="4134">
      <c r="A4134" s="1">
        <v>5.0</v>
      </c>
      <c r="B4134" s="1" t="s">
        <v>4120</v>
      </c>
      <c r="C4134" t="str">
        <f>IFERROR(__xludf.DUMMYFUNCTION("GOOGLETRANSLATE(B4134, ""zh"", ""en"")"),"China's overseas purchase wear m code s code is a whole big yard in general is good, warm clothes filling material in some places there are cases of uneven distribution, can feel out of touch rather hard. Height 169cm Weight 70kg s yards quite fit.")</f>
        <v>China's overseas purchase wear m code s code is a whole big yard in general is good, warm clothes filling material in some places there are cases of uneven distribution, can feel out of touch rather hard. Height 169cm Weight 70kg s yards quite fit.</v>
      </c>
    </row>
    <row r="4135">
      <c r="A4135" s="1">
        <v>5.0</v>
      </c>
      <c r="B4135" s="1" t="s">
        <v>4121</v>
      </c>
      <c r="C4135" t="str">
        <f>IFERROR(__xludf.DUMMYFUNCTION("GOOGLETRANSLATE(B4135, ""zh"", ""en"")"),"Low-cost hand, the sound quality might sound okay 495 low-cost hand-in, first audition was okay, it should be genuine, and so now after the burn to hear how effective")</f>
        <v>Low-cost hand, the sound quality might sound okay 495 low-cost hand-in, first audition was okay, it should be genuine, and so now after the burn to hear how effective</v>
      </c>
    </row>
    <row r="4136">
      <c r="A4136" s="1">
        <v>5.0</v>
      </c>
      <c r="B4136" s="1" t="s">
        <v>4122</v>
      </c>
      <c r="C4136" t="str">
        <f>IFERROR(__xludf.DUMMYFUNCTION("GOOGLETRANSLATE(B4136, ""zh"", ""en"")"),"The price is right is very good, the price is reasonable")</f>
        <v>The price is right is very good, the price is reasonable</v>
      </c>
    </row>
    <row r="4137">
      <c r="A4137" s="1">
        <v>5.0</v>
      </c>
      <c r="B4137" s="1" t="s">
        <v>4123</v>
      </c>
      <c r="C4137" t="str">
        <f>IFERROR(__xludf.DUMMYFUNCTION("GOOGLETRANSLATE(B4137, ""zh"", ""en"")"),"Recommended big shock, as always, need a clean shave and forth several times, but soon may be shaved clean. Nobody knows how much head, but the price put there, hyperactivity hand back and forth a few very good save a few hundred pieces. Sideburns trimmer"&amp;" I feel useless, so chose this, more than 100 multiple trimmer, you can choose according to their needs, rather than function more is better.")</f>
        <v>Recommended big shock, as always, need a clean shave and forth several times, but soon may be shaved clean. Nobody knows how much head, but the price put there, hyperactivity hand back and forth a few very good save a few hundred pieces. Sideburns trimmer I feel useless, so chose this, more than 100 multiple trimmer, you can choose according to their needs, rather than function more is better.</v>
      </c>
    </row>
    <row r="4138">
      <c r="A4138" s="1">
        <v>5.0</v>
      </c>
      <c r="B4138" s="1" t="s">
        <v>4124</v>
      </c>
      <c r="C4138" t="str">
        <f>IFERROR(__xludf.DUMMYFUNCTION("GOOGLETRANSLATE(B4138, ""zh"", ""en"")"),"Buy long Ouma did not grasp, buy long. Quality is also OK!")</f>
        <v>Buy long Ouma did not grasp, buy long. Quality is also OK!</v>
      </c>
    </row>
    <row r="4139">
      <c r="A4139" s="1">
        <v>5.0</v>
      </c>
      <c r="B4139" s="1" t="s">
        <v>4125</v>
      </c>
      <c r="C4139" t="str">
        <f>IFERROR(__xludf.DUMMYFUNCTION("GOOGLETRANSLATE(B4139, ""zh"", ""en"")"),"Fried beautiful beautiful beautiful beautiful beautiful little foot wear significantly fried")</f>
        <v>Fried beautiful beautiful beautiful beautiful beautiful little foot wear significantly fried</v>
      </c>
    </row>
    <row r="4140">
      <c r="A4140" s="1">
        <v>5.0</v>
      </c>
      <c r="B4140" s="1" t="s">
        <v>4126</v>
      </c>
      <c r="C4140" t="str">
        <f>IFERROR(__xludf.DUMMYFUNCTION("GOOGLETRANSLATE(B4140, ""zh"", ""en"")"),"Vitamin good! Second purchase is recommended.")</f>
        <v>Vitamin good! Second purchase is recommended.</v>
      </c>
    </row>
    <row r="4141">
      <c r="A4141" s="1">
        <v>5.0</v>
      </c>
      <c r="B4141" s="1" t="s">
        <v>4127</v>
      </c>
      <c r="C4141" t="str">
        <f>IFERROR(__xludf.DUMMYFUNCTION("GOOGLETRANSLATE(B4141, ""zh"", ""en"")"),"uni writing good and smooth. Value for money. Express is slow")</f>
        <v>uni writing good and smooth. Value for money. Express is slow</v>
      </c>
    </row>
    <row r="4142">
      <c r="A4142" s="1">
        <v>5.0</v>
      </c>
      <c r="B4142" s="1" t="s">
        <v>4128</v>
      </c>
      <c r="C4142" t="str">
        <f>IFERROR(__xludf.DUMMYFUNCTION("GOOGLETRANSLATE(B4142, ""zh"", ""en"")"),"Good shopping experience is somewhat large, the other came good")</f>
        <v>Good shopping experience is somewhat large, the other came good</v>
      </c>
    </row>
    <row r="4143">
      <c r="A4143" s="1">
        <v>5.0</v>
      </c>
      <c r="B4143" s="1" t="s">
        <v>4129</v>
      </c>
      <c r="C4143" t="str">
        <f>IFERROR(__xludf.DUMMYFUNCTION("GOOGLETRANSLATE(B4143, ""zh"", ""en"")"),"After using the headphones feel very satisfied, the price of a headset which can be said to be very good")</f>
        <v>After using the headphones feel very satisfied, the price of a headset which can be said to be very good</v>
      </c>
    </row>
    <row r="4144">
      <c r="A4144" s="1">
        <v>5.0</v>
      </c>
      <c r="B4144" s="1" t="s">
        <v>4130</v>
      </c>
      <c r="C4144" t="str">
        <f>IFERROR(__xludf.DUMMYFUNCTION("GOOGLETRANSLATE(B4144, ""zh"", ""en"")"),"I wear too large to buy 16 of the 14 just")</f>
        <v>I wear too large to buy 16 of the 14 just</v>
      </c>
    </row>
    <row r="4145">
      <c r="A4145" s="1">
        <v>5.0</v>
      </c>
      <c r="B4145" s="1" t="s">
        <v>4131</v>
      </c>
      <c r="C4145" t="str">
        <f>IFERROR(__xludf.DUMMYFUNCTION("GOOGLETRANSLATE(B4145, ""zh"", ""en"")"),"Worth buying, inexpensive very good! Not too small.")</f>
        <v>Worth buying, inexpensive very good! Not too small.</v>
      </c>
    </row>
    <row r="4146">
      <c r="A4146" s="1">
        <v>5.0</v>
      </c>
      <c r="B4146" s="1" t="s">
        <v>4132</v>
      </c>
      <c r="C4146" t="str">
        <f>IFERROR(__xludf.DUMMYFUNCTION("GOOGLETRANSLATE(B4146, ""zh"", ""en"")"),"Appearance is very beautiful very good, cheaper than the state line is probably about one hundred, heads small and beautiful, 4t slightly thick, but can accept, try a write transfer speed is probably about eighty trillion. Here at Amazon had to Tucao retu"&amp;"rn, cancel the order after order did not succeed, the return point is honestly my hand and then sent to the first return after delivery, although the customer may reject the parcel and then crush to say to me the whole the amount of the refund, but I do n"&amp;"ot want to toss Amazon still accept the parcel. But open the package the moment think this is a wise choice, not another me down.")</f>
        <v>Appearance is very beautiful very good, cheaper than the state line is probably about one hundred, heads small and beautiful, 4t slightly thick, but can accept, try a write transfer speed is probably about eighty trillion. Here at Amazon had to Tucao return, cancel the order after order did not succeed, the return point is honestly my hand and then sent to the first return after delivery, although the customer may reject the parcel and then crush to say to me the whole the amount of the refund, but I do not want to toss Amazon still accept the parcel. But open the package the moment think this is a wise choice, not another me down.</v>
      </c>
    </row>
    <row r="4147">
      <c r="A4147" s="1">
        <v>5.0</v>
      </c>
      <c r="B4147" s="1" t="s">
        <v>4133</v>
      </c>
      <c r="C4147" t="str">
        <f>IFERROR(__xludf.DUMMYFUNCTION("GOOGLETRANSLATE(B4147, ""zh"", ""en"")"),"62KG, waist 31 code, the code 62kg partial fat, waist 31. In code fat, you should choose small yards. Too lazy to back, give nephew, he was 23, height 180")</f>
        <v>62KG, waist 31 code, the code 62kg partial fat, waist 31. In code fat, you should choose small yards. Too lazy to back, give nephew, he was 23, height 180</v>
      </c>
    </row>
    <row r="4148">
      <c r="A4148" s="1">
        <v>5.0</v>
      </c>
      <c r="B4148" s="1" t="s">
        <v>4134</v>
      </c>
      <c r="C4148" t="str">
        <f>IFERROR(__xludf.DUMMYFUNCTION("GOOGLETRANSLATE(B4148, ""zh"", ""en"")"),"Authentic genuine doubt, love!")</f>
        <v>Authentic genuine doubt, love!</v>
      </c>
    </row>
    <row r="4149">
      <c r="A4149" s="1">
        <v>5.0</v>
      </c>
      <c r="B4149" s="1" t="s">
        <v>4135</v>
      </c>
      <c r="C4149" t="str">
        <f>IFERROR(__xludf.DUMMYFUNCTION("GOOGLETRANSLATE(B4149, ""zh"", ""en"")"),"Very good shoes, Puma shoes the right size to buy according to foot length")</f>
        <v>Very good shoes, Puma shoes the right size to buy according to foot length</v>
      </c>
    </row>
    <row r="4150">
      <c r="A4150" s="1">
        <v>5.0</v>
      </c>
      <c r="B4150" s="1" t="s">
        <v>4136</v>
      </c>
      <c r="C4150" t="str">
        <f>IFERROR(__xludf.DUMMYFUNCTION("GOOGLETRANSLATE(B4150, ""zh"", ""en"")"),"Egypt produced good, very comfortable to wear, bought four plus tax")</f>
        <v>Egypt produced good, very comfortable to wear, bought four plus tax</v>
      </c>
    </row>
    <row r="4151">
      <c r="A4151" s="1">
        <v>5.0</v>
      </c>
      <c r="B4151" s="1" t="s">
        <v>4137</v>
      </c>
      <c r="C4151" t="str">
        <f>IFERROR(__xludf.DUMMYFUNCTION("GOOGLETRANSLATE(B4151, ""zh"", ""en"")"),"This is a very affordable price of less than 30, than domestic Jingdong Lynx cheaper. And compared the country to buy, brush a little loose plug that different batch numbers on the brush head.")</f>
        <v>This is a very affordable price of less than 30, than domestic Jingdong Lynx cheaper. And compared the country to buy, brush a little loose plug that different batch numbers on the brush head.</v>
      </c>
    </row>
    <row r="4152">
      <c r="A4152" s="1">
        <v>2.0</v>
      </c>
      <c r="B4152" s="1" t="s">
        <v>4138</v>
      </c>
      <c r="C4152" t="str">
        <f>IFERROR(__xludf.DUMMYFUNCTION("GOOGLETRANSLATE(B4152, ""zh"", ""en"")"),"Strap stainless steel rust rusty? ? ? awkward.......")</f>
        <v>Strap stainless steel rust rusty? ? ? awkward.......</v>
      </c>
    </row>
    <row r="4153">
      <c r="A4153" s="1">
        <v>3.0</v>
      </c>
      <c r="B4153" s="1" t="s">
        <v>4139</v>
      </c>
      <c r="C4153" t="str">
        <f>IFERROR(__xludf.DUMMYFUNCTION("GOOGLETRANSLATE(B4153, ""zh"", ""en"")"),"General General feels like a sample!")</f>
        <v>General General feels like a sample!</v>
      </c>
    </row>
    <row r="4154">
      <c r="A4154" s="1">
        <v>3.0</v>
      </c>
      <c r="B4154" s="1" t="s">
        <v>4140</v>
      </c>
      <c r="C4154" t="str">
        <f>IFERROR(__xludf.DUMMYFUNCTION("GOOGLETRANSLATE(B4154, ""zh"", ""en"")"),"This easy to use good Ha, like, will often use")</f>
        <v>This easy to use good Ha, like, will often use</v>
      </c>
    </row>
    <row r="4155">
      <c r="A4155" s="1">
        <v>1.0</v>
      </c>
      <c r="B4155" s="1" t="s">
        <v>4141</v>
      </c>
      <c r="C4155" t="str">
        <f>IFERROR(__xludf.DUMMYFUNCTION("GOOGLETRANSLATE(B4155, ""zh"", ""en"")"),"Worst in the history of the pants, like cardboard to do. If you can score, out of 100, I'll give 10 points, have the shape of pants, but do like cardboard, unprecedented. Unthinkable. . . .")</f>
        <v>Worst in the history of the pants, like cardboard to do. If you can score, out of 100, I'll give 10 points, have the shape of pants, but do like cardboard, unprecedented. Unthinkable. . . .</v>
      </c>
    </row>
    <row r="4156">
      <c r="A4156" s="1">
        <v>1.0</v>
      </c>
      <c r="B4156" s="1" t="s">
        <v>4142</v>
      </c>
      <c r="C4156" t="str">
        <f>IFERROR(__xludf.DUMMYFUNCTION("GOOGLETRANSLATE(B4156, ""zh"", ""en"")"),"The quality is very, very fake! ! poor! ! ! Braces are soft! Fakes! ! ! I'm looking for someone to direct mail and from New Zealand to buy a three, this is a fake! ! ! Fake fake!")</f>
        <v>The quality is very, very fake! ! poor! ! ! Braces are soft! Fakes! ! ! I'm looking for someone to direct mail and from New Zealand to buy a three, this is a fake! ! ! Fake fake!</v>
      </c>
    </row>
    <row r="4157">
      <c r="A4157" s="1">
        <v>4.0</v>
      </c>
      <c r="B4157" s="1" t="s">
        <v>4143</v>
      </c>
      <c r="C4157" t="str">
        <f>IFERROR(__xludf.DUMMYFUNCTION("GOOGLETRANSLATE(B4157, ""zh"", ""en"")"),"Finally received partial gray color, the color is not as good-looking pictures, the card two weeks before the customs receipt, for fear of being returned to the upper body was okay, slightly larger point, had previously been worn Colombia, winter electros"&amp;"tatic pops, try under the north of this static-how.")</f>
        <v>Finally received partial gray color, the color is not as good-looking pictures, the card two weeks before the customs receipt, for fear of being returned to the upper body was okay, slightly larger point, had previously been worn Colombia, winter electrostatic pops, try under the north of this static-how.</v>
      </c>
    </row>
    <row r="4158">
      <c r="A4158" s="1">
        <v>4.0</v>
      </c>
      <c r="B4158" s="1" t="s">
        <v>4144</v>
      </c>
      <c r="C4158" t="str">
        <f>IFERROR(__xludf.DUMMYFUNCTION("GOOGLETRANSLATE(B4158, ""zh"", ""en"")"),"Clothes satisfaction, for customer service have anything to say very good quality, mainly the price is very affordable, very satisfied with this, but I put Amazon Amazon callback phone number to answer that right to the limit, especially not satisfied, so"&amp;" many things to buy any question how to contact ??? early to give hope to resolve the Amazon, as well as some of the customer service turned out to be empty promises chaos to reply!")</f>
        <v>Clothes satisfaction, for customer service have anything to say very good quality, mainly the price is very affordable, very satisfied with this, but I put Amazon Amazon callback phone number to answer that right to the limit, especially not satisfied, so many things to buy any question how to contact ??? early to give hope to resolve the Amazon, as well as some of the customer service turned out to be empty promises chaos to reply!</v>
      </c>
    </row>
    <row r="4159">
      <c r="A4159" s="1">
        <v>4.0</v>
      </c>
      <c r="B4159" s="1" t="s">
        <v>4145</v>
      </c>
      <c r="C4159" t="str">
        <f>IFERROR(__xludf.DUMMYFUNCTION("GOOGLETRANSLATE(B4159, ""zh"", ""en"")"),"Not bad pro kick 41 yards to buy a slightly larger initial evaluation of 8ee, some 7.5 will be suitable; slight flaw with the thread, but the overall feeling is satisfactory. Like redwing early footrest wear. Single to get nine days to get the goods consi"&amp;"dered fast.")</f>
        <v>Not bad pro kick 41 yards to buy a slightly larger initial evaluation of 8ee, some 7.5 will be suitable; slight flaw with the thread, but the overall feeling is satisfactory. Like redwing early footrest wear. Single to get nine days to get the goods considered fast.</v>
      </c>
    </row>
    <row r="4160">
      <c r="A4160" s="1">
        <v>4.0</v>
      </c>
      <c r="B4160" s="1" t="s">
        <v>4146</v>
      </c>
      <c r="C4160" t="str">
        <f>IFERROR(__xludf.DUMMYFUNCTION("GOOGLETRANSLATE(B4160, ""zh"", ""en"")"),"Given the return shipping good-looking boots, shoes not only buy large buy small, usually 38-39 shoes, this time to buy a 5.5, too big, but the width almost, anyway boots big point does not matter. Cost-effective high shoes, confession Amazon")</f>
        <v>Given the return shipping good-looking boots, shoes not only buy large buy small, usually 38-39 shoes, this time to buy a 5.5, too big, but the width almost, anyway boots big point does not matter. Cost-effective high shoes, confession Amazon</v>
      </c>
    </row>
    <row r="4161">
      <c r="A4161" s="1">
        <v>4.0</v>
      </c>
      <c r="B4161" s="1" t="s">
        <v>4147</v>
      </c>
      <c r="C4161" t="str">
        <f>IFERROR(__xludf.DUMMYFUNCTION("GOOGLETRANSLATE(B4161, ""zh"", ""en"")"),"Value for money too loud, the other better, to be played this price")</f>
        <v>Value for money too loud, the other better, to be played this price</v>
      </c>
    </row>
    <row r="4162">
      <c r="A4162" s="1">
        <v>5.0</v>
      </c>
      <c r="B4162" s="1" t="s">
        <v>4148</v>
      </c>
      <c r="C4162" t="str">
        <f>IFERROR(__xludf.DUMMYFUNCTION("GOOGLETRANSLATE(B4162, ""zh"", ""en"")"),"champion zipper shirt sporty fabulous spring season best suited to this kind of clothes to wear, breathable, fit, casual little holiday trip more comfortable.")</f>
        <v>champion zipper shirt sporty fabulous spring season best suited to this kind of clothes to wear, breathable, fit, casual little holiday trip more comfortable.</v>
      </c>
    </row>
    <row r="4163">
      <c r="A4163" s="1">
        <v>5.0</v>
      </c>
      <c r="B4163" s="1" t="s">
        <v>4149</v>
      </c>
      <c r="C4163" t="str">
        <f>IFERROR(__xludf.DUMMYFUNCTION("GOOGLETRANSLATE(B4163, ""zh"", ""en"")"),"High color value good pot &lt;div id = ""video-block-RPY7SIWDP6O2R"" class = ""a-section a-spacing-small a-spacing-top-mini video-block""&gt; &lt;/ div&gt; &lt;input type = ""hidden"" name = """" value = ""https://images-cn.ssl-images-amazon.com/images/I/91-84zN3-aS.mp4"&amp;""" class = ""video-url""&gt; &lt;input type = ""hidden"" name = """" value = ""https://images-cn.ssl-images-amazon.com/images/I/71LfJlb3FlS.png"" class = ""video-slate-img-url""&gt; &amp; nbsp; color value out really re-ah with great ceremony but not much sense of it "&amp;"like merchandise in a giant box sent over this really okay? Pot heavy feeling such a package is not particularly effective receive hand there is no bump it all depends on luck")</f>
        <v>High color value good pot &lt;div id = "video-block-RPY7SIWDP6O2R" class = "a-section a-spacing-small a-spacing-top-mini video-block"&gt; &lt;/ div&gt; &lt;input type = "hidden" name = "" value = "https://images-cn.ssl-images-amazon.com/images/I/91-84zN3-aS.mp4" class = "video-url"&gt; &lt;input type = "hidden" name = "" value = "https://images-cn.ssl-images-amazon.com/images/I/71LfJlb3FlS.png" class = "video-slate-img-url"&gt; &amp; nbsp; color value out really re-ah with great ceremony but not much sense of it like merchandise in a giant box sent over this really okay? Pot heavy feeling such a package is not particularly effective receive hand there is no bump it all depends on luck</v>
      </c>
    </row>
    <row r="4164">
      <c r="A4164" s="1">
        <v>5.0</v>
      </c>
      <c r="B4164" s="1" t="s">
        <v>4150</v>
      </c>
      <c r="C4164" t="str">
        <f>IFERROR(__xludf.DUMMYFUNCTION("GOOGLETRANSLATE(B4164, ""zh"", ""en"")"),"Color deviations good clothes, the color deviation")</f>
        <v>Color deviations good clothes, the color deviation</v>
      </c>
    </row>
    <row r="4165">
      <c r="A4165" s="1">
        <v>5.0</v>
      </c>
      <c r="B4165" s="1" t="s">
        <v>4151</v>
      </c>
      <c r="C4165" t="str">
        <f>IFERROR(__xludf.DUMMYFUNCTION("GOOGLETRANSLATE(B4165, ""zh"", ""en"")"),"Yes larger than the domestic one yards, but the quality is good")</f>
        <v>Yes larger than the domestic one yards, but the quality is good</v>
      </c>
    </row>
    <row r="4166">
      <c r="A4166" s="1">
        <v>5.0</v>
      </c>
      <c r="B4166" s="1" t="s">
        <v>4152</v>
      </c>
      <c r="C4166" t="str">
        <f>IFERROR(__xludf.DUMMYFUNCTION("GOOGLETRANSLATE(B4166, ""zh"", ""en"")"),"Material comfort is very good, the material is more comfortable, the version is also self")</f>
        <v>Material comfort is very good, the material is more comfortable, the version is also self</v>
      </c>
    </row>
    <row r="4167">
      <c r="A4167" s="1">
        <v>5.0</v>
      </c>
      <c r="B4167" s="1" t="s">
        <v>4153</v>
      </c>
      <c r="C4167" t="str">
        <f>IFERROR(__xludf.DUMMYFUNCTION("GOOGLETRANSLATE(B4167, ""zh"", ""en"")"),"Well regarded in underwear no rims look good friends, like, the only certainty is cup shaped somewhat strange, I feel a kind of sharp protrusions (do not know how to say, a sense of right vertebral)")</f>
        <v>Well regarded in underwear no rims look good friends, like, the only certainty is cup shaped somewhat strange, I feel a kind of sharp protrusions (do not know how to say, a sense of right vertebral)</v>
      </c>
    </row>
    <row r="4168">
      <c r="A4168" s="1">
        <v>5.0</v>
      </c>
      <c r="B4168" s="1" t="s">
        <v>4154</v>
      </c>
      <c r="C4168" t="str">
        <f>IFERROR(__xludf.DUMMYFUNCTION("GOOGLETRANSLATE(B4168, ""zh"", ""en"")"),"Love high waist high waist jeans hard to find good can summon the dragon in order to cobble together a seven-color without re-buy the pants I can not fat")</f>
        <v>Love high waist high waist jeans hard to find good can summon the dragon in order to cobble together a seven-color without re-buy the pants I can not fat</v>
      </c>
    </row>
    <row r="4169">
      <c r="A4169" s="1">
        <v>5.0</v>
      </c>
      <c r="B4169" s="1" t="s">
        <v>4155</v>
      </c>
      <c r="C4169" t="str">
        <f>IFERROR(__xludf.DUMMYFUNCTION("GOOGLETRANSLATE(B4169, ""zh"", ""en"")"),"Satisfaction domestic large shoe size, sole soft, comfortable to wear, not walk stretch ratio is not suitable for walking shoes")</f>
        <v>Satisfaction domestic large shoe size, sole soft, comfortable to wear, not walk stretch ratio is not suitable for walking shoes</v>
      </c>
    </row>
    <row r="4170">
      <c r="A4170" s="1">
        <v>5.0</v>
      </c>
      <c r="B4170" s="1" t="s">
        <v>4156</v>
      </c>
      <c r="C4170" t="str">
        <f>IFERROR(__xludf.DUMMYFUNCTION("GOOGLETRANSLATE(B4170, ""zh"", ""en"")"),"Stockpile of a dozen talented students, prepared with postpartum bought used. I hope useful. Logistics soon, 14 hair goods, went to No. 17")</f>
        <v>Stockpile of a dozen talented students, prepared with postpartum bought used. I hope useful. Logistics soon, 14 hair goods, went to No. 17</v>
      </c>
    </row>
    <row r="4171">
      <c r="A4171" s="1">
        <v>5.0</v>
      </c>
      <c r="B4171" s="1" t="s">
        <v>4157</v>
      </c>
      <c r="C4171" t="str">
        <f>IFERROR(__xludf.DUMMYFUNCTION("GOOGLETRANSLATE(B4171, ""zh"", ""en"")"),"Headphone reliable than women with my a1 called human chest device")</f>
        <v>Headphone reliable than women with my a1 called human chest device</v>
      </c>
    </row>
    <row r="4172">
      <c r="A4172" s="1">
        <v>5.0</v>
      </c>
      <c r="B4172" s="1" t="s">
        <v>4158</v>
      </c>
      <c r="C4172" t="str">
        <f>IFERROR(__xludf.DUMMYFUNCTION("GOOGLETRANSLATE(B4172, ""zh"", ""en"")"),"Good wear comfortable, casual stretch")</f>
        <v>Good wear comfortable, casual stretch</v>
      </c>
    </row>
    <row r="4173">
      <c r="A4173" s="1">
        <v>5.0</v>
      </c>
      <c r="B4173" s="1" t="s">
        <v>4159</v>
      </c>
      <c r="C4173" t="str">
        <f>IFERROR(__xludf.DUMMYFUNCTION("GOOGLETRANSLATE(B4173, ""zh"", ""en"")"),"Like domestic LEE size, too large one yards as the size of the domestic LEE, too large one yard. . . . . . . . .")</f>
        <v>Like domestic LEE size, too large one yards as the size of the domestic LEE, too large one yard. . . . . . . . .</v>
      </c>
    </row>
    <row r="4174">
      <c r="A4174" s="1">
        <v>5.0</v>
      </c>
      <c r="B4174" s="1" t="s">
        <v>4160</v>
      </c>
      <c r="C4174" t="str">
        <f>IFERROR(__xludf.DUMMYFUNCTION("GOOGLETRANSLATE(B4174, ""zh"", ""en"")"),"Very satisfied with the good wife should have effect. . . . . . . .")</f>
        <v>Very satisfied with the good wife should have effect. . . . . . . .</v>
      </c>
    </row>
    <row r="4175">
      <c r="A4175" s="1">
        <v>5.0</v>
      </c>
      <c r="B4175" s="1" t="s">
        <v>4161</v>
      </c>
      <c r="C4175" t="str">
        <f>IFERROR(__xludf.DUMMYFUNCTION("GOOGLETRANSLATE(B4175, ""zh"", ""en"")"),"Comfortable, elastic very good big socks, wear very comfortable, great elasticity, fat weight 150 can wear")</f>
        <v>Comfortable, elastic very good big socks, wear very comfortable, great elasticity, fat weight 150 can wear</v>
      </c>
    </row>
    <row r="4176">
      <c r="A4176" s="1">
        <v>5.0</v>
      </c>
      <c r="B4176" s="1" t="s">
        <v>4162</v>
      </c>
      <c r="C4176" t="str">
        <f>IFERROR(__xludf.DUMMYFUNCTION("GOOGLETRANSLATE(B4176, ""zh"", ""en"")"),"Really good I want to say this is I bought a second piece of the same paragraph. Now prices have gone up, early spring wear just right.")</f>
        <v>Really good I want to say this is I bought a second piece of the same paragraph. Now prices have gone up, early spring wear just right.</v>
      </c>
    </row>
    <row r="4177">
      <c r="A4177" s="1">
        <v>5.0</v>
      </c>
      <c r="B4177" s="1" t="s">
        <v>4163</v>
      </c>
      <c r="C4177" t="str">
        <f>IFERROR(__xludf.DUMMYFUNCTION("GOOGLETRANSLATE(B4177, ""zh"", ""en"")"),"Overall good second hand pointer very accurate, dial really the atmosphere, under weigh small child, only worry is that the strap is not durable, single delivery to five days, very fast")</f>
        <v>Overall good second hand pointer very accurate, dial really the atmosphere, under weigh small child, only worry is that the strap is not durable, single delivery to five days, very fast</v>
      </c>
    </row>
    <row r="4178">
      <c r="A4178" s="1">
        <v>5.0</v>
      </c>
      <c r="B4178" s="1" t="s">
        <v>4164</v>
      </c>
      <c r="C4178" t="str">
        <f>IFERROR(__xludf.DUMMYFUNCTION("GOOGLETRANSLATE(B4178, ""zh"", ""en"")"),"Satisfaction 178cm 63kg, buy s just right, good texture")</f>
        <v>Satisfaction 178cm 63kg, buy s just right, good texture</v>
      </c>
    </row>
    <row r="4179">
      <c r="A4179" s="1">
        <v>5.0</v>
      </c>
      <c r="B4179" s="1" t="s">
        <v>4165</v>
      </c>
      <c r="C4179" t="str">
        <f>IFERROR(__xludf.DUMMYFUNCTION("GOOGLETRANSLATE(B4179, ""zh"", ""en"")"),"Good quality is good, color Ye Hao, the future will buy")</f>
        <v>Good quality is good, color Ye Hao, the future will buy</v>
      </c>
    </row>
    <row r="4180">
      <c r="A4180" s="1">
        <v>5.0</v>
      </c>
      <c r="B4180" s="1" t="s">
        <v>4166</v>
      </c>
      <c r="C4180" t="str">
        <f>IFERROR(__xludf.DUMMYFUNCTION("GOOGLETRANSLATE(B4180, ""zh"", ""en"")"),"This practical cup cup particularly good, change at different stages of different quilt like, my baby more than six months to start with a suction cup, he kinda likes.")</f>
        <v>This practical cup cup particularly good, change at different stages of different quilt like, my baby more than six months to start with a suction cup, he kinda likes.</v>
      </c>
    </row>
    <row r="4181">
      <c r="A4181" s="1">
        <v>5.0</v>
      </c>
      <c r="B4181" s="1" t="s">
        <v>4167</v>
      </c>
      <c r="C4181" t="str">
        <f>IFERROR(__xludf.DUMMYFUNCTION("GOOGLETRANSLATE(B4181, ""zh"", ""en"")"),"Size chart is very accurate very good, thick, very accurate size chart")</f>
        <v>Size chart is very accurate very good, thick, very accurate size chart</v>
      </c>
    </row>
    <row r="4182">
      <c r="A4182" s="1">
        <v>5.0</v>
      </c>
      <c r="B4182" s="1" t="s">
        <v>4168</v>
      </c>
      <c r="C4182" t="str">
        <f>IFERROR(__xludf.DUMMYFUNCTION("GOOGLETRANSLATE(B4182, ""zh"", ""en"")"),"It can be said is the most mainstream of tlc sata interface SSDs, and all aspects are balanced, without any shortcomings and deficiencies, is to buy big brand to buy solid state can be assured, Samsung has been one of the most Niubi flash vendors . It can"&amp;" be said is the most mainstream of tlc sata interface SSDs, and all aspects are balanced, without any shortcomings and deficiencies, is to buy big brand to buy solid state can be assured, Samsung has been one of the most Niubi flash vendors . Ratings I ra"&amp;"n down, almost about 1200 bar, not a blueprint, boring, can be used on the line. Say one more thing, Amazon's service is really fast and good")</f>
        <v>It can be said is the most mainstream of tlc sata interface SSDs, and all aspects are balanced, without any shortcomings and deficiencies, is to buy big brand to buy solid state can be assured, Samsung has been one of the most Niubi flash vendors . It can be said is the most mainstream of tlc sata interface SSDs, and all aspects are balanced, without any shortcomings and deficiencies, is to buy big brand to buy solid state can be assured, Samsung has been one of the most Niubi flash vendors . Ratings I ran down, almost about 1200 bar, not a blueprint, boring, can be used on the line. Say one more thing, Amazon's service is really fast and good</v>
      </c>
    </row>
    <row r="4183">
      <c r="A4183" s="1">
        <v>2.0</v>
      </c>
      <c r="B4183" s="1" t="s">
        <v>4169</v>
      </c>
      <c r="C4183" t="str">
        <f>IFERROR(__xludf.DUMMYFUNCTION("GOOGLETRANSLATE(B4183, ""zh"", ""en"")"),"The first to buy things in it. Four days arrive, really doubt it is not a fake, foreign to China so soon? I do not recommend buying.")</f>
        <v>The first to buy things in it. Four days arrive, really doubt it is not a fake, foreign to China so soon? I do not recommend buying.</v>
      </c>
    </row>
    <row r="4184">
      <c r="A4184" s="1">
        <v>3.0</v>
      </c>
      <c r="B4184" s="1" t="s">
        <v>4170</v>
      </c>
      <c r="C4184" t="str">
        <f>IFERROR(__xludf.DUMMYFUNCTION("GOOGLETRANSLATE(B4184, ""zh"", ""en"")"),"Moderate work also can recommend, belt buckle a bit rough, there are even glue, a little original, buy the smallest code, a bit is shorter.")</f>
        <v>Moderate work also can recommend, belt buckle a bit rough, there are even glue, a little original, buy the smallest code, a bit is shorter.</v>
      </c>
    </row>
    <row r="4185">
      <c r="A4185" s="1">
        <v>3.0</v>
      </c>
      <c r="B4185" s="1" t="s">
        <v>4171</v>
      </c>
      <c r="C4185" t="str">
        <f>IFERROR(__xludf.DUMMYFUNCTION("GOOGLETRANSLATE(B4185, ""zh"", ""en"")"),"Aci Well, feel not very good")</f>
        <v>Aci Well, feel not very good</v>
      </c>
    </row>
    <row r="4186">
      <c r="A4186" s="1">
        <v>1.0</v>
      </c>
      <c r="B4186" s="1" t="s">
        <v>4172</v>
      </c>
      <c r="C4186" t="str">
        <f>IFERROR(__xludf.DUMMYFUNCTION("GOOGLETRANSLATE(B4186, ""zh"", ""en"")"),"Why send the goods to expire immediately 2019.6.4 received the goods, bought two bottles, valid for 2019.10, only bad review from the expiration time of only 3 months! ! !")</f>
        <v>Why send the goods to expire immediately 2019.6.4 received the goods, bought two bottles, valid for 2019.10, only bad review from the expiration time of only 3 months! ! !</v>
      </c>
    </row>
    <row r="4187">
      <c r="A4187" s="1">
        <v>1.0</v>
      </c>
      <c r="B4187" s="1" t="s">
        <v>4173</v>
      </c>
      <c r="C4187" t="str">
        <f>IFERROR(__xludf.DUMMYFUNCTION("GOOGLETRANSLATE(B4187, ""zh"", ""en"")"),"Shelf life Shelf life as well as March to 17 December, also drunk")</f>
        <v>Shelf life Shelf life as well as March to 17 December, also drunk</v>
      </c>
    </row>
    <row r="4188">
      <c r="A4188" s="1">
        <v>4.0</v>
      </c>
      <c r="B4188" s="1" t="s">
        <v>4174</v>
      </c>
      <c r="C4188" t="str">
        <f>IFERROR(__xludf.DUMMYFUNCTION("GOOGLETRANSLATE(B4188, ""zh"", ""en"")"),"Good very good, simple and elegant, suitable for men to wear a little thin")</f>
        <v>Good very good, simple and elegant, suitable for men to wear a little thin</v>
      </c>
    </row>
    <row r="4189">
      <c r="A4189" s="1">
        <v>4.0</v>
      </c>
      <c r="B4189" s="1" t="s">
        <v>4175</v>
      </c>
      <c r="C4189" t="str">
        <f>IFERROR(__xludf.DUMMYFUNCTION("GOOGLETRANSLATE(B4189, ""zh"", ""en"")"),"Wow what value something good soon not a week went to a little thick and rather long for the first time to buy a good next will continue to buy in Chinese Amazon")</f>
        <v>Wow what value something good soon not a week went to a little thick and rather long for the first time to buy a good next will continue to buy in Chinese Amazon</v>
      </c>
    </row>
    <row r="4190">
      <c r="A4190" s="1">
        <v>4.0</v>
      </c>
      <c r="B4190" s="1" t="s">
        <v>4176</v>
      </c>
      <c r="C4190" t="str">
        <f>IFERROR(__xludf.DUMMYFUNCTION("GOOGLETRANSLATE(B4190, ""zh"", ""en"")"),"Quality is also OK, others say no-show off the quality of the trademark can")</f>
        <v>Quality is also OK, others say no-show off the quality of the trademark can</v>
      </c>
    </row>
    <row r="4191">
      <c r="A4191" s="1">
        <v>4.0</v>
      </c>
      <c r="B4191" s="1" t="s">
        <v>4177</v>
      </c>
      <c r="C4191" t="str">
        <f>IFERROR(__xludf.DUMMYFUNCTION("GOOGLETRANSLATE(B4191, ""zh"", ""en"")"),"180 60KG, waist belt use is too large, or significantly larger waist, pocket large capacity, 500ml beverage can also wear down, draping standing watch when feeling a little wrinkled, fabric feeling pretty good")</f>
        <v>180 60KG, waist belt use is too large, or significantly larger waist, pocket large capacity, 500ml beverage can also wear down, draping standing watch when feeling a little wrinkled, fabric feeling pretty good</v>
      </c>
    </row>
    <row r="4192">
      <c r="A4192" s="1">
        <v>4.0</v>
      </c>
      <c r="B4192" s="1" t="s">
        <v>4178</v>
      </c>
      <c r="C4192" t="str">
        <f>IFERROR(__xludf.DUMMYFUNCTION("GOOGLETRANSLATE(B4192, ""zh"", ""en"")"),"Multi-thread stitching which did not feel good is also good, which is also cut thread Super Multi wrapped in a, but do not dare cut, fear of open line, a little disappointed")</f>
        <v>Multi-thread stitching which did not feel good is also good, which is also cut thread Super Multi wrapped in a, but do not dare cut, fear of open line, a little disappointed</v>
      </c>
    </row>
    <row r="4193">
      <c r="A4193" s="1">
        <v>5.0</v>
      </c>
      <c r="B4193" s="1" t="s">
        <v>4179</v>
      </c>
      <c r="C4193" t="str">
        <f>IFERROR(__xludf.DUMMYFUNCTION("GOOGLETRANSLATE(B4193, ""zh"", ""en"")"),"Good very fit, very cheap")</f>
        <v>Good very fit, very cheap</v>
      </c>
    </row>
    <row r="4194">
      <c r="A4194" s="1">
        <v>5.0</v>
      </c>
      <c r="B4194" s="1" t="s">
        <v>4180</v>
      </c>
      <c r="C4194" t="str">
        <f>IFERROR(__xludf.DUMMYFUNCTION("GOOGLETRANSLATE(B4194, ""zh"", ""en"")"),"satisfaction! Very compact, good quality!")</f>
        <v>satisfaction! Very compact, good quality!</v>
      </c>
    </row>
    <row r="4195">
      <c r="A4195" s="1">
        <v>5.0</v>
      </c>
      <c r="B4195" s="1" t="s">
        <v>4181</v>
      </c>
      <c r="C4195" t="str">
        <f>IFERROR(__xludf.DUMMYFUNCTION("GOOGLETRANSLATE(B4195, ""zh"", ""en"")"),"Pants big points slightly larger length of 184 points for Ouma")</f>
        <v>Pants big points slightly larger length of 184 points for Ouma</v>
      </c>
    </row>
    <row r="4196">
      <c r="A4196" s="1">
        <v>5.0</v>
      </c>
      <c r="B4196" s="1" t="s">
        <v>4182</v>
      </c>
      <c r="C4196" t="str">
        <f>IFERROR(__xludf.DUMMYFUNCTION("GOOGLETRANSLATE(B4196, ""zh"", ""en"")"),"Lee is higher than the cost to buy several times, finally know what the right size of the ......")</f>
        <v>Lee is higher than the cost to buy several times, finally know what the right size of the ......</v>
      </c>
    </row>
    <row r="4197">
      <c r="A4197" s="1">
        <v>5.0</v>
      </c>
      <c r="B4197" s="1" t="s">
        <v>4183</v>
      </c>
      <c r="C4197" t="str">
        <f>IFERROR(__xludf.DUMMYFUNCTION("GOOGLETRANSLATE(B4197, ""zh"", ""en"")"),"Very comfortable very comfortable, buy than Derivative hands of a lot better")</f>
        <v>Very comfortable very comfortable, buy than Derivative hands of a lot better</v>
      </c>
    </row>
    <row r="4198">
      <c r="A4198" s="1">
        <v>5.0</v>
      </c>
      <c r="B4198" s="1" t="s">
        <v>4184</v>
      </c>
      <c r="C4198" t="str">
        <f>IFERROR(__xludf.DUMMYFUNCTION("GOOGLETRANSLATE(B4198, ""zh"", ""en"")"),"Nice clothes, clothes work well, the right size.")</f>
        <v>Nice clothes, clothes work well, the right size.</v>
      </c>
    </row>
    <row r="4199">
      <c r="A4199" s="1">
        <v>5.0</v>
      </c>
      <c r="B4199" s="1" t="s">
        <v>4185</v>
      </c>
      <c r="C4199" t="str">
        <f>IFERROR(__xludf.DUMMYFUNCTION("GOOGLETRANSLATE(B4199, ""zh"", ""en"")"),"Very cheap good, better than expected")</f>
        <v>Very cheap good, better than expected</v>
      </c>
    </row>
    <row r="4200">
      <c r="A4200" s="1">
        <v>5.0</v>
      </c>
      <c r="B4200" s="1" t="s">
        <v>4186</v>
      </c>
      <c r="C4200" t="str">
        <f>IFERROR(__xludf.DUMMYFUNCTION("GOOGLETRANSLATE(B4200, ""zh"", ""en"")"),"Soft and comfortable fit, not very thick, summer can also wear, 175cm, 68kg wear w31 slightly loose, like tight can buy small one yard")</f>
        <v>Soft and comfortable fit, not very thick, summer can also wear, 175cm, 68kg wear w31 slightly loose, like tight can buy small one yard</v>
      </c>
    </row>
    <row r="4201">
      <c r="A4201" s="1">
        <v>5.0</v>
      </c>
      <c r="B4201" s="1" t="s">
        <v>4187</v>
      </c>
      <c r="C4201" t="str">
        <f>IFERROR(__xludf.DUMMYFUNCTION("GOOGLETRANSLATE(B4201, ""zh"", ""en"")"),"Comfortable and cost-effective. The right size, comfortable fabrics, easy no sense of restraint.")</f>
        <v>Comfortable and cost-effective. The right size, comfortable fabrics, easy no sense of restraint.</v>
      </c>
    </row>
    <row r="4202">
      <c r="A4202" s="1">
        <v>5.0</v>
      </c>
      <c r="B4202" s="1" t="s">
        <v>4188</v>
      </c>
      <c r="C4202" t="str">
        <f>IFERROR(__xludf.DUMMYFUNCTION("GOOGLETRANSLATE(B4202, ""zh"", ""en"")"),"Value easy to catch up with the discount, with taxes less than six hundred, more than half cheaper than the national mainstream, value ah! Clean very clean, wireless is also very convenient")</f>
        <v>Value easy to catch up with the discount, with taxes less than six hundred, more than half cheaper than the national mainstream, value ah! Clean very clean, wireless is also very convenient</v>
      </c>
    </row>
    <row r="4203">
      <c r="A4203" s="1">
        <v>5.0</v>
      </c>
      <c r="B4203" s="1" t="s">
        <v>4189</v>
      </c>
      <c r="C4203" t="str">
        <f>IFERROR(__xludf.DUMMYFUNCTION("GOOGLETRANSLATE(B4203, ""zh"", ""en"")"),"Insulation pot appearance Jingmei, effective insulation")</f>
        <v>Insulation pot appearance Jingmei, effective insulation</v>
      </c>
    </row>
    <row r="4204">
      <c r="A4204" s="1">
        <v>5.0</v>
      </c>
      <c r="B4204" s="1" t="s">
        <v>4190</v>
      </c>
      <c r="C4204" t="str">
        <f>IFERROR(__xludf.DUMMYFUNCTION("GOOGLETRANSLATE(B4204, ""zh"", ""en"")"),"Recommended comfortable. When wearing pajamas, a good choice")</f>
        <v>Recommended comfortable. When wearing pajamas, a good choice</v>
      </c>
    </row>
    <row r="4205">
      <c r="A4205" s="1">
        <v>5.0</v>
      </c>
      <c r="B4205" s="1" t="s">
        <v>4191</v>
      </c>
      <c r="C4205" t="str">
        <f>IFERROR(__xludf.DUMMYFUNCTION("GOOGLETRANSLATE(B4205, ""zh"", ""en"")"),"Quite like the normal wear W30L30, read the comments on the election of W29L30 really appropriate. Time is sent trouser legs rolled sent, completely crumpled. Need to wash and then iron. Then the evaluation of the pants itself, the fabric feels very comfo"&amp;"rtable, quality. Dark gray in color, gray than the picture, considered a dark gray. Wear trousers and not so slim on the pictures, considered a lounge feel. There are eight different shades pockets on the pants, is used to hold things still play a decorat"&amp;"ive role, it depends on personal preference.")</f>
        <v>Quite like the normal wear W30L30, read the comments on the election of W29L30 really appropriate. Time is sent trouser legs rolled sent, completely crumpled. Need to wash and then iron. Then the evaluation of the pants itself, the fabric feels very comfortable, quality. Dark gray in color, gray than the picture, considered a dark gray. Wear trousers and not so slim on the pictures, considered a lounge feel. There are eight different shades pockets on the pants, is used to hold things still play a decorative role, it depends on personal preference.</v>
      </c>
    </row>
    <row r="4206">
      <c r="A4206" s="1">
        <v>5.0</v>
      </c>
      <c r="B4206" s="1" t="s">
        <v>4192</v>
      </c>
      <c r="C4206" t="str">
        <f>IFERROR(__xludf.DUMMYFUNCTION("GOOGLETRANSLATE(B4206, ""zh"", ""en"")"),"The machine easy to use the machine very easy to use, and very fast face twisted meat")</f>
        <v>The machine easy to use the machine very easy to use, and very fast face twisted meat</v>
      </c>
    </row>
    <row r="4207">
      <c r="A4207" s="1">
        <v>5.0</v>
      </c>
      <c r="B4207" s="1" t="s">
        <v>4193</v>
      </c>
      <c r="C4207" t="str">
        <f>IFERROR(__xludf.DUMMYFUNCTION("GOOGLETRANSLATE(B4207, ""zh"", ""en"")"),"Oh great 165.52, S code just right. Cotton is very comfortable, it will buy again. Chase Review: black will fade. . . I do not know how to wash twice will not be better. . .")</f>
        <v>Oh great 165.52, S code just right. Cotton is very comfortable, it will buy again. Chase Review: black will fade. . . I do not know how to wash twice will not be better. . .</v>
      </c>
    </row>
    <row r="4208">
      <c r="A4208" s="1">
        <v>5.0</v>
      </c>
      <c r="B4208" s="1" t="s">
        <v>4194</v>
      </c>
      <c r="C4208" t="str">
        <f>IFERROR(__xludf.DUMMYFUNCTION("GOOGLETRANSLATE(B4208, ""zh"", ""en"")"),"Like good quality, size is relatively standard, height 165, M number to wear self-cultivation.")</f>
        <v>Like good quality, size is relatively standard, height 165, M number to wear self-cultivation.</v>
      </c>
    </row>
    <row r="4209">
      <c r="A4209" s="1">
        <v>5.0</v>
      </c>
      <c r="B4209" s="1" t="s">
        <v>4195</v>
      </c>
      <c r="C4209" t="str">
        <f>IFERROR(__xludf.DUMMYFUNCTION("GOOGLETRANSLATE(B4209, ""zh"", ""en"")"),"A fashion statement Millau daily fixed fast 18 seconds, even good results.")</f>
        <v>A fashion statement Millau daily fixed fast 18 seconds, even good results.</v>
      </c>
    </row>
    <row r="4210">
      <c r="A4210" s="1">
        <v>5.0</v>
      </c>
      <c r="B4210" s="1" t="s">
        <v>4196</v>
      </c>
      <c r="C4210" t="str">
        <f>IFERROR(__xludf.DUMMYFUNCTION("GOOGLETRANSLATE(B4210, ""zh"", ""en"")"),"Performance can be cheap, the price is still cheap")</f>
        <v>Performance can be cheap, the price is still cheap</v>
      </c>
    </row>
    <row r="4211">
      <c r="A4211" s="1">
        <v>5.0</v>
      </c>
      <c r="B4211" s="1" t="s">
        <v>4197</v>
      </c>
      <c r="C4211" t="str">
        <f>IFERROR(__xludf.DUMMYFUNCTION("GOOGLETRANSLATE(B4211, ""zh"", ""en"")"),"The right size, comfortable cheap, wife to say something, want to buy, waiting for prices to adjust to the appropriate time to start.")</f>
        <v>The right size, comfortable cheap, wife to say something, want to buy, waiting for prices to adjust to the appropriate time to start.</v>
      </c>
    </row>
    <row r="4212">
      <c r="A4212" s="1">
        <v>5.0</v>
      </c>
      <c r="B4212" s="1" t="s">
        <v>4198</v>
      </c>
      <c r="C4212" t="str">
        <f>IFERROR(__xludf.DUMMYFUNCTION("GOOGLETRANSLATE(B4212, ""zh"", ""en"")"),"I am very fit 178CM, weight 160. The right size")</f>
        <v>I am very fit 178CM, weight 160. The right size</v>
      </c>
    </row>
    <row r="4213">
      <c r="A4213" s="1">
        <v>5.0</v>
      </c>
      <c r="B4213" s="1" t="s">
        <v>4199</v>
      </c>
      <c r="C4213" t="str">
        <f>IFERROR(__xludf.DUMMYFUNCTION("GOOGLETRANSLATE(B4213, ""zh"", ""en"")"),"A little fade 180,73KG buy L code, the right size, over the water, it will fade! Comfortable, cool!")</f>
        <v>A little fade 180,73KG buy L code, the right size, over the water, it will fade! Comfortable, cool!</v>
      </c>
    </row>
    <row r="4214">
      <c r="A4214" s="1">
        <v>5.0</v>
      </c>
      <c r="B4214" s="1" t="s">
        <v>4200</v>
      </c>
      <c r="C4214" t="str">
        <f>IFERROR(__xludf.DUMMYFUNCTION("GOOGLETRANSLATE(B4214, ""zh"", ""en"")"),"Good to wear! recommend! Postpartum bought so a variety of plastic body pants, it is best to wear a. When wearing very tight, I do not even put Le, praise!")</f>
        <v>Good to wear! recommend! Postpartum bought so a variety of plastic body pants, it is best to wear a. When wearing very tight, I do not even put Le, praise!</v>
      </c>
    </row>
    <row r="4215">
      <c r="A4215" s="1">
        <v>2.0</v>
      </c>
      <c r="B4215" s="1" t="s">
        <v>4201</v>
      </c>
      <c r="C4215" t="str">
        <f>IFERROR(__xludf.DUMMYFUNCTION("GOOGLETRANSLATE(B4215, ""zh"", ""en"")"),"Good size standard, only partial fat legs! Overall okay")</f>
        <v>Good size standard, only partial fat legs! Overall okay</v>
      </c>
    </row>
    <row r="4216">
      <c r="A4216" s="1">
        <v>3.0</v>
      </c>
      <c r="B4216" s="1" t="s">
        <v>4202</v>
      </c>
      <c r="C4216" t="str">
        <f>IFERROR(__xludf.DUMMYFUNCTION("GOOGLETRANSLATE(B4216, ""zh"", ""en"")"),"Not nothing wrong with holding the other, the key is! Not holding ah!")</f>
        <v>Not nothing wrong with holding the other, the key is! Not holding ah!</v>
      </c>
    </row>
    <row r="4217">
      <c r="A4217" s="1">
        <v>3.0</v>
      </c>
      <c r="B4217" s="1" t="s">
        <v>4203</v>
      </c>
      <c r="C4217" t="str">
        <f>IFERROR(__xludf.DUMMYFUNCTION("GOOGLETRANSLATE(B4217, ""zh"", ""en"")"),"Is too large, no elasticity to five days. Clothes too large, there is no elastic fabric, beating at the big point, or else suffer wear")</f>
        <v>Is too large, no elasticity to five days. Clothes too large, there is no elastic fabric, beating at the big point, or else suffer wear</v>
      </c>
    </row>
    <row r="4218">
      <c r="A4218" s="1">
        <v>1.0</v>
      </c>
      <c r="B4218" s="1" t="s">
        <v>4204</v>
      </c>
      <c r="C4218" t="str">
        <f>IFERROR(__xludf.DUMMYFUNCTION("GOOGLETRANSLATE(B4218, ""zh"", ""en"")"),"Type of weird, but the pressure and empty and sharp! Code should be right, but the cup too shallow, chest pressure. Moreover type of weird, but also the top pressure and empty, and the wrong place! I also look to buy four, are inappropriate! Can not buy a"&amp;"fter the Japanese bra!")</f>
        <v>Type of weird, but the pressure and empty and sharp! Code should be right, but the cup too shallow, chest pressure. Moreover type of weird, but also the top pressure and empty, and the wrong place! I also look to buy four, are inappropriate! Can not buy after the Japanese bra!</v>
      </c>
    </row>
    <row r="4219">
      <c r="A4219" s="1">
        <v>1.0</v>
      </c>
      <c r="B4219" s="1" t="s">
        <v>4205</v>
      </c>
      <c r="C4219" t="str">
        <f>IFERROR(__xludf.DUMMYFUNCTION("GOOGLETRANSLATE(B4219, ""zh"", ""en"")"),"Too much, it really tears scouring the sea 175,70kg, upper body thin point, S code or large, Length 69, Shoulder 49, Sleeve 66, can not control, too")</f>
        <v>Too much, it really tears scouring the sea 175,70kg, upper body thin point, S code or large, Length 69, Shoulder 49, Sleeve 66, can not control, too</v>
      </c>
    </row>
    <row r="4220">
      <c r="A4220" s="1">
        <v>1.0</v>
      </c>
      <c r="B4220" s="1" t="s">
        <v>4206</v>
      </c>
      <c r="C4220" t="str">
        <f>IFERROR(__xludf.DUMMYFUNCTION("GOOGLETRANSLATE(B4220, ""zh"", ""en"")"),"Quite expensive shoes, how can such a poor work too rough, do not know if I buy this shoe is good overall on this level, wearing foot feeling is very poor, the key is the key to wearing ankle hurts like a card, a receipt of goods more than a month, has no"&amp;"t worn, but was tried on size, anxious to go out today, wearing directly on a business trip, half a day did not go much on the road ankle pain die, too pit")</f>
        <v>Quite expensive shoes, how can such a poor work too rough, do not know if I buy this shoe is good overall on this level, wearing foot feeling is very poor, the key is the key to wearing ankle hurts like a card, a receipt of goods more than a month, has not worn, but was tried on size, anxious to go out today, wearing directly on a business trip, half a day did not go much on the road ankle pain die, too pit</v>
      </c>
    </row>
    <row r="4221">
      <c r="A4221" s="1">
        <v>4.0</v>
      </c>
      <c r="B4221" s="1" t="s">
        <v>4207</v>
      </c>
      <c r="C4221" t="str">
        <f>IFERROR(__xludf.DUMMYFUNCTION("GOOGLETRANSLATE(B4221, ""zh"", ""en"")"),"Size identity confusion, size of the table is not right, it is unable to escape, are scouring the sea every luck election 25.5cm, look at the size chart for the United States Code should be 9-9.5, 10-10.5 result, a large code ah")</f>
        <v>Size identity confusion, size of the table is not right, it is unable to escape, are scouring the sea every luck election 25.5cm, look at the size chart for the United States Code should be 9-9.5, 10-10.5 result, a large code ah</v>
      </c>
    </row>
    <row r="4222">
      <c r="A4222" s="1">
        <v>4.0</v>
      </c>
      <c r="B4222" s="1" t="s">
        <v>4208</v>
      </c>
      <c r="C4222" t="str">
        <f>IFERROR(__xludf.DUMMYFUNCTION("GOOGLETRANSLATE(B4222, ""zh"", ""en"")"),"General pants looks good, but a lot of thin, not the brand that some feel, small pants to buy, or big, returned to 125 freight, too expensive, cut short when summer wear pants, and can only say, so so")</f>
        <v>General pants looks good, but a lot of thin, not the brand that some feel, small pants to buy, or big, returned to 125 freight, too expensive, cut short when summer wear pants, and can only say, so so</v>
      </c>
    </row>
    <row r="4223">
      <c r="A4223" s="1">
        <v>4.0</v>
      </c>
      <c r="B4223" s="1" t="s">
        <v>2335</v>
      </c>
      <c r="C4223" t="str">
        <f>IFERROR(__xludf.DUMMYFUNCTION("GOOGLETRANSLATE(B4223, ""zh"", ""en"")"),"Comfortable to wear Mom said very comfortable to wear, it is a bit small.")</f>
        <v>Comfortable to wear Mom said very comfortable to wear, it is a bit small.</v>
      </c>
    </row>
    <row r="4224">
      <c r="A4224" s="1">
        <v>4.0</v>
      </c>
      <c r="B4224" s="1" t="s">
        <v>4209</v>
      </c>
      <c r="C4224" t="str">
        <f>IFERROR(__xludf.DUMMYFUNCTION("GOOGLETRANSLATE(B4224, ""zh"", ""en"")"),"Philips 3-generation version of the National Bank and a little different, I do not use cups almost a month, always with sensitive files, bleeding gums a little improvement")</f>
        <v>Philips 3-generation version of the National Bank and a little different, I do not use cups almost a month, always with sensitive files, bleeding gums a little improvement</v>
      </c>
    </row>
    <row r="4225">
      <c r="A4225" s="1">
        <v>4.0</v>
      </c>
      <c r="B4225" s="1" t="s">
        <v>4210</v>
      </c>
      <c r="C4225" t="str">
        <f>IFERROR(__xludf.DUMMYFUNCTION("GOOGLETRANSLATE(B4225, ""zh"", ""en"")"),"General feeling a little fat legs point, felt some thin, resilient. I bought with the money of another color is not so, that section of thicker and more self-cultivation. A quarter of it.")</f>
        <v>General feeling a little fat legs point, felt some thin, resilient. I bought with the money of another color is not so, that section of thicker and more self-cultivation. A quarter of it.</v>
      </c>
    </row>
    <row r="4226">
      <c r="A4226" s="1">
        <v>5.0</v>
      </c>
      <c r="B4226" s="1" t="s">
        <v>4211</v>
      </c>
      <c r="C4226" t="str">
        <f>IFERROR(__xludf.DUMMYFUNCTION("GOOGLETRANSLATE(B4226, ""zh"", ""en"")"),"Very affordable! Very affordable! Quality and reliable ~ ~")</f>
        <v>Very affordable! Very affordable! Quality and reliable ~ ~</v>
      </c>
    </row>
    <row r="4227">
      <c r="A4227" s="1">
        <v>5.0</v>
      </c>
      <c r="B4227" s="1" t="s">
        <v>4212</v>
      </c>
      <c r="C4227" t="str">
        <f>IFERROR(__xludf.DUMMYFUNCTION("GOOGLETRANSLATE(B4227, ""zh"", ""en"")"),"Good quality fruit good scraping tool! Haha")</f>
        <v>Good quality fruit good scraping tool! Haha</v>
      </c>
    </row>
    <row r="4228">
      <c r="A4228" s="1">
        <v>5.0</v>
      </c>
      <c r="B4228" s="1" t="s">
        <v>4213</v>
      </c>
      <c r="C4228" t="str">
        <f>IFERROR(__xludf.DUMMYFUNCTION("GOOGLETRANSLATE(B4228, ""zh"", ""en"")"),"Good good, the children eat can be rest assured to buy,")</f>
        <v>Good good, the children eat can be rest assured to buy,</v>
      </c>
    </row>
    <row r="4229">
      <c r="A4229" s="1">
        <v>5.0</v>
      </c>
      <c r="B4229" s="1" t="s">
        <v>4214</v>
      </c>
      <c r="C4229" t="str">
        <f>IFERROR(__xludf.DUMMYFUNCTION("GOOGLETRANSLATE(B4229, ""zh"", ""en"")"),"Waterman M authority tip pen writing smooth, beautiful appearance, but the drawback is free of ink absorber, I used an idle senator pen ink absorber, just fitting")</f>
        <v>Waterman M authority tip pen writing smooth, beautiful appearance, but the drawback is free of ink absorber, I used an idle senator pen ink absorber, just fitting</v>
      </c>
    </row>
    <row r="4230">
      <c r="A4230" s="1">
        <v>5.0</v>
      </c>
      <c r="B4230" s="1" t="s">
        <v>4215</v>
      </c>
      <c r="C4230" t="str">
        <f>IFERROR(__xludf.DUMMYFUNCTION("GOOGLETRANSLATE(B4230, ""zh"", ""en"")"),"Never go to a good evaluation before, I do not know how many wasted points, points can change money now know, they should look carefully evaluated, then I put these words to copy to go, both to earn points, but also save trouble, where one copy where, mos"&amp;"t importantly, do not seriously review, do not think how much worse word, sent directly to it, recommend it to everyone! !")</f>
        <v>Never go to a good evaluation before, I do not know how many wasted points, points can change money now know, they should look carefully evaluated, then I put these words to copy to go, both to earn points, but also save trouble, where one copy where, most importantly, do not seriously review, do not think how much worse word, sent directly to it, recommend it to everyone! !</v>
      </c>
    </row>
    <row r="4231">
      <c r="A4231" s="1">
        <v>5.0</v>
      </c>
      <c r="B4231" s="1" t="s">
        <v>4216</v>
      </c>
      <c r="C4231" t="str">
        <f>IFERROR(__xludf.DUMMYFUNCTION("GOOGLETRANSLATE(B4231, ""zh"", ""en"")"),"The best fountain pen I have so far I'v got half a dozen fountain pens and this is the best one I have so far for its smothly writting, evey stroke I wrote is good feeling.")</f>
        <v>The best fountain pen I have so far I'v got half a dozen fountain pens and this is the best one I have so far for its smothly writting, evey stroke I wrote is good feeling.</v>
      </c>
    </row>
    <row r="4232">
      <c r="A4232" s="1">
        <v>5.0</v>
      </c>
      <c r="B4232" s="1" t="s">
        <v>4217</v>
      </c>
      <c r="C4232" t="str">
        <f>IFERROR(__xludf.DUMMYFUNCTION("GOOGLETRANSLATE(B4232, ""zh"", ""en"")"),"good quality! Run fast enough! good quality! Run fast enough!")</f>
        <v>good quality! Run fast enough! good quality! Run fast enough!</v>
      </c>
    </row>
    <row r="4233">
      <c r="A4233" s="1">
        <v>5.0</v>
      </c>
      <c r="B4233" s="1" t="s">
        <v>4218</v>
      </c>
      <c r="C4233" t="str">
        <f>IFERROR(__xludf.DUMMYFUNCTION("GOOGLETRANSLATE(B4233, ""zh"", ""en"")"),"Blender is easy to use, low noise, for a family of three.")</f>
        <v>Blender is easy to use, low noise, for a family of three.</v>
      </c>
    </row>
    <row r="4234">
      <c r="A4234" s="1">
        <v>5.0</v>
      </c>
      <c r="B4234" s="1" t="s">
        <v>4219</v>
      </c>
      <c r="C4234" t="str">
        <f>IFERROR(__xludf.DUMMYFUNCTION("GOOGLETRANSLATE(B4234, ""zh"", ""en"")"),"Men buy is fit. Branded goods, clothing triple test after the seller offered to buy. Entirely appropriate. worth it. like.")</f>
        <v>Men buy is fit. Branded goods, clothing triple test after the seller offered to buy. Entirely appropriate. worth it. like.</v>
      </c>
    </row>
    <row r="4235">
      <c r="A4235" s="1">
        <v>5.0</v>
      </c>
      <c r="B4235" s="1" t="s">
        <v>4220</v>
      </c>
      <c r="C4235" t="str">
        <f>IFERROR(__xludf.DUMMYFUNCTION("GOOGLETRANSLATE(B4235, ""zh"", ""en"")"),"Very good good, work fine, the water pressure. well!")</f>
        <v>Very good good, work fine, the water pressure. well!</v>
      </c>
    </row>
    <row r="4236">
      <c r="A4236" s="1">
        <v>5.0</v>
      </c>
      <c r="B4236" s="1" t="s">
        <v>4221</v>
      </c>
      <c r="C4236" t="str">
        <f>IFERROR(__xludf.DUMMYFUNCTION("GOOGLETRANSLATE(B4236, ""zh"", ""en"")"),"What I want good shoes, size just")</f>
        <v>What I want good shoes, size just</v>
      </c>
    </row>
    <row r="4237">
      <c r="A4237" s="1">
        <v>5.0</v>
      </c>
      <c r="B4237" s="1" t="s">
        <v>4222</v>
      </c>
      <c r="C4237" t="str">
        <f>IFERROR(__xludf.DUMMYFUNCTION("GOOGLETRANSLATE(B4237, ""zh"", ""en"")"),"https://www.amazon.cn/dp/B06Y6GHHRR/ref=cm_cr_ryp_prd_ttl_sol_1 goods of good quality, please rest assured to buy it, the same size and customer service introduction, I wear just right, height 176, weight 135 pounds.")</f>
        <v>https://www.amazon.cn/dp/B06Y6GHHRR/ref=cm_cr_ryp_prd_ttl_sol_1 goods of good quality, please rest assured to buy it, the same size and customer service introduction, I wear just right, height 176, weight 135 pounds.</v>
      </c>
    </row>
    <row r="4238">
      <c r="A4238" s="1">
        <v>5.0</v>
      </c>
      <c r="B4238" s="1" t="s">
        <v>4223</v>
      </c>
      <c r="C4238" t="str">
        <f>IFERROR(__xludf.DUMMYFUNCTION("GOOGLETRANSLATE(B4238, ""zh"", ""en"")"),"Ins and Outs good underwear underwear bought a dozen, very good, did not let me down, Amazon shopping is very convenient, after-sales is also great, thank you!")</f>
        <v>Ins and Outs good underwear underwear bought a dozen, very good, did not let me down, Amazon shopping is very convenient, after-sales is also great, thank you!</v>
      </c>
    </row>
    <row r="4239">
      <c r="A4239" s="1">
        <v>5.0</v>
      </c>
      <c r="B4239" s="1" t="s">
        <v>4224</v>
      </c>
      <c r="C4239" t="str">
        <f>IFERROR(__xludf.DUMMYFUNCTION("GOOGLETRANSLATE(B4239, ""zh"", ""en"")"),"Machines work great! 11 days than double cat flagship store selling quality assurance, but also more favorable, the quality of the entire first wife, with Lavazza capsules, taste super praise, than I DeLonghi coffee machines are grinding are tasty, praisi"&amp;"ng!")</f>
        <v>Machines work great! 11 days than double cat flagship store selling quality assurance, but also more favorable, the quality of the entire first wife, with Lavazza capsules, taste super praise, than I DeLonghi coffee machines are grinding are tasty, praising!</v>
      </c>
    </row>
    <row r="4240">
      <c r="A4240" s="1">
        <v>5.0</v>
      </c>
      <c r="B4240" s="1" t="s">
        <v>4225</v>
      </c>
      <c r="C4240" t="str">
        <f>IFERROR(__xludf.DUMMYFUNCTION("GOOGLETRANSLATE(B4240, ""zh"", ""en"")"),"The repurchase will be useful, swollen gums with this effective.")</f>
        <v>The repurchase will be useful, swollen gums with this effective.</v>
      </c>
    </row>
    <row r="4241">
      <c r="A4241" s="1">
        <v>5.0</v>
      </c>
      <c r="B4241" s="1" t="s">
        <v>4226</v>
      </c>
      <c r="C4241" t="str">
        <f>IFERROR(__xludf.DUMMYFUNCTION("GOOGLETRANSLATE(B4241, ""zh"", ""en"")"),"More appropriate good, size is very comfortable, but also comfortable to wear")</f>
        <v>More appropriate good, size is very comfortable, but also comfortable to wear</v>
      </c>
    </row>
    <row r="4242">
      <c r="A4242" s="1">
        <v>5.0</v>
      </c>
      <c r="B4242" s="1" t="s">
        <v>4227</v>
      </c>
      <c r="C4242" t="str">
        <f>IFERROR(__xludf.DUMMYFUNCTION("GOOGLETRANSLATE(B4242, ""zh"", ""en"")"),"perfect! The first overseas purchase, very good time shopping, less than expected arrival time in half the time. Size of the problem read other people's comments, waist circumference is indeed a size smaller than usual just before.")</f>
        <v>perfect! The first overseas purchase, very good time shopping, less than expected arrival time in half the time. Size of the problem read other people's comments, waist circumference is indeed a size smaller than usual just before.</v>
      </c>
    </row>
    <row r="4243">
      <c r="A4243" s="1">
        <v>5.0</v>
      </c>
      <c r="B4243" s="1" t="s">
        <v>4228</v>
      </c>
      <c r="C4243" t="str">
        <f>IFERROR(__xludf.DUMMYFUNCTION("GOOGLETRANSLATE(B4243, ""zh"", ""en"")"),"Size is just the length of the size just right, 165-63, refer to")</f>
        <v>Size is just the length of the size just right, 165-63, refer to</v>
      </c>
    </row>
    <row r="4244">
      <c r="A4244" s="1">
        <v>5.0</v>
      </c>
      <c r="B4244" s="1" t="s">
        <v>4229</v>
      </c>
      <c r="C4244" t="str">
        <f>IFERROR(__xludf.DUMMYFUNCTION("GOOGLETRANSLATE(B4244, ""zh"", ""en"")"),"A nice pasta machine very easy to use")</f>
        <v>A nice pasta machine very easy to use</v>
      </c>
    </row>
    <row r="4245">
      <c r="A4245" s="1">
        <v>5.0</v>
      </c>
      <c r="B4245" s="1" t="s">
        <v>4230</v>
      </c>
      <c r="C4245" t="str">
        <f>IFERROR(__xludf.DUMMYFUNCTION("GOOGLETRANSLATE(B4245, ""zh"", ""en"")"),"Good quality suitable summer wear. Suitable weight M n 175 146")</f>
        <v>Good quality suitable summer wear. Suitable weight M n 175 146</v>
      </c>
    </row>
    <row r="4246">
      <c r="A4246" s="1">
        <v>5.0</v>
      </c>
      <c r="B4246" s="1" t="s">
        <v>4231</v>
      </c>
      <c r="C4246" t="str">
        <f>IFERROR(__xludf.DUMMYFUNCTION("GOOGLETRANSLATE(B4246, ""zh"", ""en"")"),"Comfortable fabric skin-friendly, good experience comfort")</f>
        <v>Comfortable fabric skin-friendly, good experience comfort</v>
      </c>
    </row>
    <row r="4247">
      <c r="A4247" s="1">
        <v>5.0</v>
      </c>
      <c r="B4247" s="1" t="s">
        <v>4232</v>
      </c>
      <c r="C4247" t="str">
        <f>IFERROR(__xludf.DUMMYFUNCTION("GOOGLETRANSLATE(B4247, ""zh"", ""en"")"),"Easy to use, stockpile, cheap and easy, comfortable, good absorption, did not feel, are suitable for their own good")</f>
        <v>Easy to use, stockpile, cheap and easy, comfortable, good absorption, did not feel, are suitable for their own good</v>
      </c>
    </row>
    <row r="4248">
      <c r="A4248" s="1">
        <v>2.0</v>
      </c>
      <c r="B4248" s="1" t="s">
        <v>4233</v>
      </c>
      <c r="C4248" t="str">
        <f>IFERROR(__xludf.DUMMYFUNCTION("GOOGLETRANSLATE(B4248, ""zh"", ""en"")"),"Washed cloth and thin deformable soft, comfortable feel. Hand wash but a badly deformed, stretched a lot of clothes, you can wear a skirt when.")</f>
        <v>Washed cloth and thin deformable soft, comfortable feel. Hand wash but a badly deformed, stretched a lot of clothes, you can wear a skirt when.</v>
      </c>
    </row>
    <row r="4249">
      <c r="A4249" s="1">
        <v>3.0</v>
      </c>
      <c r="B4249" s="1" t="s">
        <v>4234</v>
      </c>
      <c r="C4249" t="str">
        <f>IFERROR(__xludf.DUMMYFUNCTION("GOOGLETRANSLATE(B4249, ""zh"", ""en"")"),"The actual size small size of these pants a bit too small")</f>
        <v>The actual size small size of these pants a bit too small</v>
      </c>
    </row>
    <row r="4250">
      <c r="A4250" s="1">
        <v>3.0</v>
      </c>
      <c r="B4250" s="1" t="s">
        <v>4235</v>
      </c>
      <c r="C4250" t="str">
        <f>IFERROR(__xludf.DUMMYFUNCTION("GOOGLETRANSLATE(B4250, ""zh"", ""en"")"),"Watch good, bad packaging, pay attention to the domestic first purchase, a good watch, then, your package is determined by the cross-border? Not even a treasure of good packaging, filled only with a bag, I open the package when the package has been deform"&amp;"ed watch the powerful, so they give you 3 stars, watch out, courier out, packaging 0")</f>
        <v>Watch good, bad packaging, pay attention to the domestic first purchase, a good watch, then, your package is determined by the cross-border? Not even a treasure of good packaging, filled only with a bag, I open the package when the package has been deformed watch the powerful, so they give you 3 stars, watch out, courier out, packaging 0</v>
      </c>
    </row>
    <row r="4251">
      <c r="A4251" s="1">
        <v>3.0</v>
      </c>
      <c r="B4251" s="1" t="s">
        <v>4236</v>
      </c>
      <c r="C4251" t="str">
        <f>IFERROR(__xludf.DUMMYFUNCTION("GOOGLETRANSLATE(B4251, ""zh"", ""en"")"),"A little expensive, do not feel worth the price, work in general. A little expensive, do not feel worth the price, work in general.")</f>
        <v>A little expensive, do not feel worth the price, work in general. A little expensive, do not feel worth the price, work in general.</v>
      </c>
    </row>
    <row r="4252">
      <c r="A4252" s="1">
        <v>1.0</v>
      </c>
      <c r="B4252" s="1" t="s">
        <v>4237</v>
      </c>
      <c r="C4252" t="str">
        <f>IFERROR(__xludf.DUMMYFUNCTION("GOOGLETRANSLATE(B4252, ""zh"", ""en"")"),"The new rotten a tunnel. Wear did not wear, washing it down a bit, it is so, a poor shopping experience.")</f>
        <v>The new rotten a tunnel. Wear did not wear, washing it down a bit, it is so, a poor shopping experience.</v>
      </c>
    </row>
    <row r="4253">
      <c r="A4253" s="1">
        <v>1.0</v>
      </c>
      <c r="B4253" s="1" t="s">
        <v>4238</v>
      </c>
      <c r="C4253" t="str">
        <f>IFERROR(__xludf.DUMMYFUNCTION("GOOGLETRANSLATE(B4253, ""zh"", ""en"")"),"Value for money, this is the price given the quality of ah! Look also is the digital dial without negative feedback luminous dial is not scratch-resistant glass, my performance in the just scratched! Very disappointed 😔")</f>
        <v>Value for money, this is the price given the quality of ah! Look also is the digital dial without negative feedback luminous dial is not scratch-resistant glass, my performance in the just scratched! Very disappointed 😔</v>
      </c>
    </row>
    <row r="4254">
      <c r="A4254" s="1">
        <v>1.0</v>
      </c>
      <c r="B4254" s="1" t="s">
        <v>4239</v>
      </c>
      <c r="C4254" t="str">
        <f>IFERROR(__xludf.DUMMYFUNCTION("GOOGLETRANSLATE(B4254, ""zh"", ""en"")"),"Fabric and poor quality of domestic than a big change")</f>
        <v>Fabric and poor quality of domestic than a big change</v>
      </c>
    </row>
    <row r="4255">
      <c r="A4255" s="1">
        <v>4.0</v>
      </c>
      <c r="B4255" s="1" t="s">
        <v>4240</v>
      </c>
      <c r="C4255" t="str">
        <f>IFERROR(__xludf.DUMMYFUNCTION("GOOGLETRANSLATE(B4255, ""zh"", ""en"")"),"The slowest first overseas purchase! 1.27 orders, waited three weeks before that, in a bad mood! Just plug in, the sound impressive! ! ! ~~~ buzzed like a tractor, like, the whole tables are shaking, that overturned! Fortunately, the slow-scan all green p"&amp;"ower after ten hours, copy the data into the point, a lot of noise reduction, do not say there is a run-in period? Helium disk, hope and durable ~ ~")</f>
        <v>The slowest first overseas purchase! 1.27 orders, waited three weeks before that, in a bad mood! Just plug in, the sound impressive! ! ! ~~~ buzzed like a tractor, like, the whole tables are shaking, that overturned! Fortunately, the slow-scan all green power after ten hours, copy the data into the point, a lot of noise reduction, do not say there is a run-in period? Helium disk, hope and durable ~ ~</v>
      </c>
    </row>
    <row r="4256">
      <c r="A4256" s="1">
        <v>4.0</v>
      </c>
      <c r="B4256" s="1" t="s">
        <v>4241</v>
      </c>
      <c r="C4256" t="str">
        <f>IFERROR(__xludf.DUMMYFUNCTION("GOOGLETRANSLATE(B4256, ""zh"", ""en"")"),"Nothing Title 1: 2 color and great color: soft leather, the so-called scratch ...... nail touch that mark, because the leather material Question 3: I usually wear shoes 41 41.5 7.5 this just right")</f>
        <v>Nothing Title 1: 2 color and great color: soft leather, the so-called scratch ...... nail touch that mark, because the leather material Question 3: I usually wear shoes 41 41.5 7.5 this just right</v>
      </c>
    </row>
    <row r="4257">
      <c r="A4257" s="1">
        <v>4.0</v>
      </c>
      <c r="B4257" s="1" t="s">
        <v>4242</v>
      </c>
      <c r="C4257" t="str">
        <f>IFERROR(__xludf.DUMMYFUNCTION("GOOGLETRANSLATE(B4257, ""zh"", ""en"")"),"Good quality, there are pieces that much better, but still there is a problem faded fading aunt to buy clothes than before, washed twice, and the color of the legs is not serious, then Chuan Chuan see. We recommended to buy a smaller size than domestic")</f>
        <v>Good quality, there are pieces that much better, but still there is a problem faded fading aunt to buy clothes than before, washed twice, and the color of the legs is not serious, then Chuan Chuan see. We recommended to buy a smaller size than domestic</v>
      </c>
    </row>
    <row r="4258">
      <c r="A4258" s="1">
        <v>4.0</v>
      </c>
      <c r="B4258" s="1" t="s">
        <v>4243</v>
      </c>
      <c r="C4258" t="str">
        <f>IFERROR(__xludf.DUMMYFUNCTION("GOOGLETRANSLATE(B4258, ""zh"", ""en"")"),"Japanese companies better! Japanese companies believe that no fakes, with a really good 👍")</f>
        <v>Japanese companies better! Japanese companies believe that no fakes, with a really good 👍</v>
      </c>
    </row>
    <row r="4259">
      <c r="A4259" s="1">
        <v>4.0</v>
      </c>
      <c r="B4259" s="1" t="s">
        <v>4244</v>
      </c>
      <c r="C4259" t="str">
        <f>IFERROR(__xludf.DUMMYFUNCTION("GOOGLETRANSLATE(B4259, ""zh"", ""en"")"),"Good heat insulation really good, close to 20 hours of water, the water is still very hot. The only bad part was under the lid tightly closed state, but also a small margin dangling, afraid of shaking shaking loose - leaks.")</f>
        <v>Good heat insulation really good, close to 20 hours of water, the water is still very hot. The only bad part was under the lid tightly closed state, but also a small margin dangling, afraid of shaking shaking loose - leaks.</v>
      </c>
    </row>
    <row r="4260">
      <c r="A4260" s="1">
        <v>5.0</v>
      </c>
      <c r="B4260" s="1" t="s">
        <v>4245</v>
      </c>
      <c r="C4260" t="str">
        <f>IFERROR(__xludf.DUMMYFUNCTION("GOOGLETRANSLATE(B4260, ""zh"", ""en"")"),"Very easy to use a cream. This eye cream is really handy, not greasy, not heavy, very fresh, wiping a few days, feel good use, reduce fine lines results requires long-term use")</f>
        <v>Very easy to use a cream. This eye cream is really handy, not greasy, not heavy, very fresh, wiping a few days, feel good use, reduce fine lines results requires long-term use</v>
      </c>
    </row>
    <row r="4261">
      <c r="A4261" s="1">
        <v>5.0</v>
      </c>
      <c r="B4261" s="1" t="s">
        <v>4246</v>
      </c>
      <c r="C4261" t="str">
        <f>IFERROR(__xludf.DUMMYFUNCTION("GOOGLETRANSLATE(B4261, ""zh"", ""en"")"),"Easy to use easy to use! Now baby almost every day!")</f>
        <v>Easy to use easy to use! Now baby almost every day!</v>
      </c>
    </row>
    <row r="4262">
      <c r="A4262" s="1">
        <v>5.0</v>
      </c>
      <c r="B4262" s="1" t="s">
        <v>4247</v>
      </c>
      <c r="C4262" t="str">
        <f>IFERROR(__xludf.DUMMYFUNCTION("GOOGLETRANSLATE(B4262, ""zh"", ""en"")"),"Perfect great shopping experience, the shoes also surprisingly good, very fast, I do not believe that is sent over from the United States, to solve the problem of customer service response time is very fast, very appropriate solution to the problem. Is th"&amp;"e code number of the shoes too large, it is recommended to buy a small one yard.")</f>
        <v>Perfect great shopping experience, the shoes also surprisingly good, very fast, I do not believe that is sent over from the United States, to solve the problem of customer service response time is very fast, very appropriate solution to the problem. Is the code number of the shoes too large, it is recommended to buy a small one yard.</v>
      </c>
    </row>
    <row r="4263">
      <c r="A4263" s="1">
        <v>5.0</v>
      </c>
      <c r="B4263" s="1" t="s">
        <v>4248</v>
      </c>
      <c r="C4263" t="str">
        <f>IFERROR(__xludf.DUMMYFUNCTION("GOOGLETRANSLATE(B4263, ""zh"", ""en"")"),"Very quickly and very powerful mounted on 5D3, fast.")</f>
        <v>Very quickly and very powerful mounted on 5D3, fast.</v>
      </c>
    </row>
    <row r="4264">
      <c r="A4264" s="1">
        <v>5.0</v>
      </c>
      <c r="B4264" s="1" t="s">
        <v>4249</v>
      </c>
      <c r="C4264" t="str">
        <f>IFERROR(__xludf.DUMMYFUNCTION("GOOGLETRANSLATE(B4264, ""zh"", ""en"")"),"Recommended to buy more than a month has been using well satisfied recommended purchase")</f>
        <v>Recommended to buy more than a month has been using well satisfied recommended purchase</v>
      </c>
    </row>
    <row r="4265">
      <c r="A4265" s="1">
        <v>5.0</v>
      </c>
      <c r="B4265" s="1" t="s">
        <v>4250</v>
      </c>
      <c r="C4265" t="str">
        <f>IFERROR(__xludf.DUMMYFUNCTION("GOOGLETRANSLATE(B4265, ""zh"", ""en"")"),"very good! A perfect shopping experience! Overseas buy pants afraid inappropriate, not law back, did not think the color is very positive, just the right size, fabric is also very good, after buying pants with a fixed choice. ps, I 180 height, weight 155,"&amp;" 34.32 just right.")</f>
        <v>very good! A perfect shopping experience! Overseas buy pants afraid inappropriate, not law back, did not think the color is very positive, just the right size, fabric is also very good, after buying pants with a fixed choice. ps, I 180 height, weight 155, 34.32 just right.</v>
      </c>
    </row>
    <row r="4266">
      <c r="A4266" s="1">
        <v>5.0</v>
      </c>
      <c r="B4266" s="1" t="s">
        <v>4251</v>
      </c>
      <c r="C4266" t="str">
        <f>IFERROR(__xludf.DUMMYFUNCTION("GOOGLETRANSLATE(B4266, ""zh"", ""en"")"),"Clothes are beautiful height 192, weight 86, L code, I feel a little big, but did not dare to small")</f>
        <v>Clothes are beautiful height 192, weight 86, L code, I feel a little big, but did not dare to small</v>
      </c>
    </row>
    <row r="4267">
      <c r="A4267" s="1">
        <v>5.0</v>
      </c>
      <c r="B4267" s="1" t="s">
        <v>4252</v>
      </c>
      <c r="C4267" t="str">
        <f>IFERROR(__xludf.DUMMYFUNCTION("GOOGLETRANSLATE(B4267, ""zh"", ""en"")"),"Z buy affordable, good special price is often missed, and suddenly see z affordable, packaging is ruined, just over one hundred forty immediately bought. Hand things are intact, Amazon repackaged feeling can be, anyway, the package also bought thrown away"&amp;" every minute is still very affordable")</f>
        <v>Z buy affordable, good special price is often missed, and suddenly see z affordable, packaging is ruined, just over one hundred forty immediately bought. Hand things are intact, Amazon repackaged feeling can be, anyway, the package also bought thrown away every minute is still very affordable</v>
      </c>
    </row>
    <row r="4268">
      <c r="A4268" s="1">
        <v>5.0</v>
      </c>
      <c r="B4268" s="1" t="s">
        <v>4253</v>
      </c>
      <c r="C4268" t="str">
        <f>IFERROR(__xludf.DUMMYFUNCTION("GOOGLETRANSLATE(B4268, ""zh"", ""en"")"),"Good thing is that you can tune radio will not, significantly more ugly anti-Qing, also played what bike to buy 493")</f>
        <v>Good thing is that you can tune radio will not, significantly more ugly anti-Qing, also played what bike to buy 493</v>
      </c>
    </row>
    <row r="4269">
      <c r="A4269" s="1">
        <v>5.0</v>
      </c>
      <c r="B4269" s="1" t="s">
        <v>4254</v>
      </c>
      <c r="C4269" t="str">
        <f>IFERROR(__xludf.DUMMYFUNCTION("GOOGLETRANSLATE(B4269, ""zh"", ""en"")"),"Great! very suitable! 37 foot wearing a little freshman little girl is very good! Matte leather! It can be said to be a good read.")</f>
        <v>Great! very suitable! 37 foot wearing a little freshman little girl is very good! Matte leather! It can be said to be a good read.</v>
      </c>
    </row>
    <row r="4270">
      <c r="A4270" s="1">
        <v>5.0</v>
      </c>
      <c r="B4270" s="1" t="s">
        <v>4255</v>
      </c>
      <c r="C4270" t="str">
        <f>IFERROR(__xludf.DUMMYFUNCTION("GOOGLETRANSLATE(B4270, ""zh"", ""en"")"),"Very good-looking and practical, the baby likes to drink water from a cup")</f>
        <v>Very good-looking and practical, the baby likes to drink water from a cup</v>
      </c>
    </row>
    <row r="4271">
      <c r="A4271" s="1">
        <v>5.0</v>
      </c>
      <c r="B4271" s="1" t="s">
        <v>4256</v>
      </c>
      <c r="C4271" t="str">
        <f>IFERROR(__xludf.DUMMYFUNCTION("GOOGLETRANSLATE(B4271, ""zh"", ""en"")"),"Enhance the well-being of the good things of life it feels good, tartar relatively heavy, something to go after wash my teeth, then brush your teeth every morning and evening after using this electric toothbrush dampen, shrinking gums are growing, the wat"&amp;"er is capacity is too small, will soon re-add water, so the home then it is recommended to buy big")</f>
        <v>Enhance the well-being of the good things of life it feels good, tartar relatively heavy, something to go after wash my teeth, then brush your teeth every morning and evening after using this electric toothbrush dampen, shrinking gums are growing, the water is capacity is too small, will soon re-add water, so the home then it is recommended to buy big</v>
      </c>
    </row>
    <row r="4272">
      <c r="A4272" s="1">
        <v>5.0</v>
      </c>
      <c r="B4272" s="1" t="s">
        <v>4257</v>
      </c>
      <c r="C4272" t="str">
        <f>IFERROR(__xludf.DUMMYFUNCTION("GOOGLETRANSLATE(B4272, ""zh"", ""en"")"),"Great shoe size too small, have bought several times, but compared to the size of Adidas, Nike small one yard!")</f>
        <v>Great shoe size too small, have bought several times, but compared to the size of Adidas, Nike small one yard!</v>
      </c>
    </row>
    <row r="4273">
      <c r="A4273" s="1">
        <v>5.0</v>
      </c>
      <c r="B4273" s="1" t="s">
        <v>4258</v>
      </c>
      <c r="C4273" t="str">
        <f>IFERROR(__xludf.DUMMYFUNCTION("GOOGLETRANSLATE(B4273, ""zh"", ""en"")"),"Pure treble sound. Treble sound pure bass power in general, after all, a small box, listening to music enough.")</f>
        <v>Pure treble sound. Treble sound pure bass power in general, after all, a small box, listening to music enough.</v>
      </c>
    </row>
    <row r="4274">
      <c r="A4274" s="1">
        <v>5.0</v>
      </c>
      <c r="B4274" s="1" t="s">
        <v>4259</v>
      </c>
      <c r="C4274" t="str">
        <f>IFERROR(__xludf.DUMMYFUNCTION("GOOGLETRANSLATE(B4274, ""zh"", ""en"")"),"I remember there is no ink on something good. Authentic. But I scratch paper. I f is the thickness of the thickness of the ink disadvantage is not on. Also remember to buy himself another")</f>
        <v>I remember there is no ink on something good. Authentic. But I scratch paper. I f is the thickness of the thickness of the ink disadvantage is not on. Also remember to buy himself another</v>
      </c>
    </row>
    <row r="4275">
      <c r="A4275" s="1">
        <v>5.0</v>
      </c>
      <c r="B4275" s="1" t="s">
        <v>4260</v>
      </c>
      <c r="C4275" t="str">
        <f>IFERROR(__xludf.DUMMYFUNCTION("GOOGLETRANSLATE(B4275, ""zh"", ""en"")"),"Significant leg type socks is very good, very significant leg type, below zero is not recommended to wear, spring and autumn bottoming or special right")</f>
        <v>Significant leg type socks is very good, very significant leg type, below zero is not recommended to wear, spring and autumn bottoming or special right</v>
      </c>
    </row>
    <row r="4276">
      <c r="A4276" s="1">
        <v>5.0</v>
      </c>
      <c r="B4276" s="1" t="s">
        <v>4261</v>
      </c>
      <c r="C4276" t="str">
        <f>IFERROR(__xludf.DUMMYFUNCTION("GOOGLETRANSLATE(B4276, ""zh"", ""en"")"),"Workmanship is very good, smooth sound, but Chuck received two days, the feeling of using a mobile phone Direct Push is not can not, of course, with the push will ease some of the amp. German origin work very well, spirals great texture right ears can be "&amp;"wrapped. But really chuck, especially while listening to music while eating, cheek clip was hurt, not very relaxing. It is currently not open burning, feeling relatively flat, but more real reaction source. apex really fast, 48 hours to my hands (Guangzho"&amp;"u).")</f>
        <v>Workmanship is very good, smooth sound, but Chuck received two days, the feeling of using a mobile phone Direct Push is not can not, of course, with the push will ease some of the amp. German origin work very well, spirals great texture right ears can be wrapped. But really chuck, especially while listening to music while eating, cheek clip was hurt, not very relaxing. It is currently not open burning, feeling relatively flat, but more real reaction source. apex really fast, 48 hours to my hands (Guangzhou).</v>
      </c>
    </row>
    <row r="4277">
      <c r="A4277" s="1">
        <v>5.0</v>
      </c>
      <c r="B4277" s="1" t="s">
        <v>4262</v>
      </c>
      <c r="C4277" t="str">
        <f>IFERROR(__xludf.DUMMYFUNCTION("GOOGLETRANSLATE(B4277, ""zh"", ""en"")"),"Do not kicking. Rockers not Shenru. Work is not saying. Details particularly well. After all, the ""blue sky afraid"" of production. Shoes very rugged, the feeling is heavy labor workers and equipment. This section yuppies, not middle-aged rock, like it o"&amp;"r not is a question mark. Wearing comfort is very general. This is mainly heavy shoes. Do not kicking! Ranging from fractures, while fatal. The little man to buy it, there is an increased significance. More appropriate big, big and tall, more manly. Amazo"&amp;"n's recent overseas purchase price is acceptable.")</f>
        <v>Do not kicking. Rockers not Shenru. Work is not saying. Details particularly well. After all, the "blue sky afraid" of production. Shoes very rugged, the feeling is heavy labor workers and equipment. This section yuppies, not middle-aged rock, like it or not is a question mark. Wearing comfort is very general. This is mainly heavy shoes. Do not kicking! Ranging from fractures, while fatal. The little man to buy it, there is an increased significance. More appropriate big, big and tall, more manly. Amazon's recent overseas purchase price is acceptable.</v>
      </c>
    </row>
    <row r="4278">
      <c r="A4278" s="1">
        <v>5.0</v>
      </c>
      <c r="B4278" s="1" t="s">
        <v>4263</v>
      </c>
      <c r="C4278" t="str">
        <f>IFERROR(__xludf.DUMMYFUNCTION("GOOGLETRANSLATE(B4278, ""zh"", ""en"")"),"This is a great style clothes fat version of the clothes, the clothes by size of purchase can be provided, wear out very Fan")</f>
        <v>This is a great style clothes fat version of the clothes, the clothes by size of purchase can be provided, wear out very Fan</v>
      </c>
    </row>
    <row r="4279">
      <c r="A4279" s="1">
        <v>5.0</v>
      </c>
      <c r="B4279" s="1" t="s">
        <v>4264</v>
      </c>
      <c r="C4279" t="str">
        <f>IFERROR(__xludf.DUMMYFUNCTION("GOOGLETRANSLATE(B4279, ""zh"", ""en"")"),"I'm very comfortable 183cm high pants, 83 kg, bought just a good fit 34w / 32L's. I feel very comfortable to wear, flexible and soft. All of a sudden have to buy more than three.")</f>
        <v>I'm very comfortable 183cm high pants, 83 kg, bought just a good fit 34w / 32L's. I feel very comfortable to wear, flexible and soft. All of a sudden have to buy more than three.</v>
      </c>
    </row>
    <row r="4280">
      <c r="A4280" s="1">
        <v>5.0</v>
      </c>
      <c r="B4280" s="1" t="s">
        <v>4265</v>
      </c>
      <c r="C4280" t="str">
        <f>IFERROR(__xludf.DUMMYFUNCTION("GOOGLETRANSLATE(B4280, ""zh"", ""en"")"),"Okay autumn, then you can wear this one. But in winter, wearing this, coupled with a down jacket, still cold.")</f>
        <v>Okay autumn, then you can wear this one. But in winter, wearing this, coupled with a down jacket, still cold.</v>
      </c>
    </row>
    <row r="4281">
      <c r="A4281" s="1">
        <v>5.0</v>
      </c>
      <c r="B4281" s="1" t="s">
        <v>4266</v>
      </c>
      <c r="C4281" t="str">
        <f>IFERROR(__xludf.DUMMYFUNCTION("GOOGLETRANSLATE(B4281, ""zh"", ""en"")"),"Genuine good, very smooth, the future will continue to buy!")</f>
        <v>Genuine good, very smooth, the future will continue to buy!</v>
      </c>
    </row>
    <row r="4282">
      <c r="A4282" s="1">
        <v>2.0</v>
      </c>
      <c r="B4282" s="1" t="s">
        <v>4267</v>
      </c>
      <c r="C4282" t="str">
        <f>IFERROR(__xludf.DUMMYFUNCTION("GOOGLETRANSLATE(B4282, ""zh"", ""en"")"),"Suitable length of the instep instep tight tight shoes Attractive sad ah")</f>
        <v>Suitable length of the instep instep tight tight shoes Attractive sad ah</v>
      </c>
    </row>
    <row r="4283">
      <c r="A4283" s="1">
        <v>3.0</v>
      </c>
      <c r="B4283" s="1" t="s">
        <v>4268</v>
      </c>
      <c r="C4283" t="str">
        <f>IFERROR(__xludf.DUMMYFUNCTION("GOOGLETRANSLATE(B4283, ""zh"", ""en"")"),"Very ordinary very ordinary belt, follow the instructions that can be bought. Back when it was too late, to buy back is tasteless, I did not feel like to use.")</f>
        <v>Very ordinary very ordinary belt, follow the instructions that can be bought. Back when it was too late, to buy back is tasteless, I did not feel like to use.</v>
      </c>
    </row>
    <row r="4284">
      <c r="A4284" s="1">
        <v>3.0</v>
      </c>
      <c r="B4284" s="1" t="s">
        <v>4269</v>
      </c>
      <c r="C4284" t="str">
        <f>IFERROR(__xludf.DUMMYFUNCTION("GOOGLETRANSLATE(B4284, ""zh"", ""en"")"),"Size I 172,67kg, wear M feeling a little short, I recommend a little regret, in addition to feeling a bit tight to wear neck")</f>
        <v>Size I 172,67kg, wear M feeling a little short, I recommend a little regret, in addition to feeling a bit tight to wear neck</v>
      </c>
    </row>
    <row r="4285">
      <c r="A4285" s="1">
        <v>3.0</v>
      </c>
      <c r="B4285" s="1" t="s">
        <v>4270</v>
      </c>
      <c r="C4285" t="str">
        <f>IFERROR(__xludf.DUMMYFUNCTION("GOOGLETRANSLATE(B4285, ""zh"", ""en"")"),"Particularly general thread")</f>
        <v>Particularly general thread</v>
      </c>
    </row>
    <row r="4286">
      <c r="A4286" s="1">
        <v>1.0</v>
      </c>
      <c r="B4286" s="1" t="s">
        <v>4271</v>
      </c>
      <c r="C4286" t="str">
        <f>IFERROR(__xludf.DUMMYFUNCTION("GOOGLETRANSLATE(B4286, ""zh"", ""en"")"),"Neither shoe is not the same as just getting the shoe box to open two shoes fineness not the same, a little dark color, a color a little shallow, a bit uncomfortable, the total wear feet and no one notice that I put up. I see a shoe on fire, no wonder fin"&amp;"eness is not the same, obviously two pairs of patchwork, a No. 8, a number 8w, but also the man w to cross out, and what you as a consumer are blind. Lynx Jingdong think Haitao do not fly on Amazon, Amazon also did not expect such a disgusting person. Fig"&amp;"ure you own.")</f>
        <v>Neither shoe is not the same as just getting the shoe box to open two shoes fineness not the same, a little dark color, a color a little shallow, a bit uncomfortable, the total wear feet and no one notice that I put up. I see a shoe on fire, no wonder fineness is not the same, obviously two pairs of patchwork, a No. 8, a number 8w, but also the man w to cross out, and what you as a consumer are blind. Lynx Jingdong think Haitao do not fly on Amazon, Amazon also did not expect such a disgusting person. Figure you own.</v>
      </c>
    </row>
    <row r="4287">
      <c r="A4287" s="1">
        <v>1.0</v>
      </c>
      <c r="B4287" s="1" t="s">
        <v>4272</v>
      </c>
      <c r="C4287" t="str">
        <f>IFERROR(__xludf.DUMMYFUNCTION("GOOGLETRANSLATE(B4287, ""zh"", ""en"")"),"All fakes bought two bottles of only less than half a bottle!")</f>
        <v>All fakes bought two bottles of only less than half a bottle!</v>
      </c>
    </row>
    <row r="4288">
      <c r="A4288" s="1">
        <v>4.0</v>
      </c>
      <c r="B4288" s="1" t="s">
        <v>4273</v>
      </c>
      <c r="C4288" t="str">
        <f>IFERROR(__xludf.DUMMYFUNCTION("GOOGLETRANSLATE(B4288, ""zh"", ""en"")"),"Suitable pants good, a little elastic, not to wear Bengzhuo.")</f>
        <v>Suitable pants good, a little elastic, not to wear Bengzhuo.</v>
      </c>
    </row>
    <row r="4289">
      <c r="A4289" s="1">
        <v>4.0</v>
      </c>
      <c r="B4289" s="1" t="s">
        <v>4274</v>
      </c>
      <c r="C4289" t="str">
        <f>IFERROR(__xludf.DUMMYFUNCTION("GOOGLETRANSLATE(B4289, ""zh"", ""en"")"),"Long sleeves 168cm, 57KGS, S code, slightly wider, there is no accurate FIG sleeve, too long!")</f>
        <v>Long sleeves 168cm, 57KGS, S code, slightly wider, there is no accurate FIG sleeve, too long!</v>
      </c>
    </row>
    <row r="4290">
      <c r="A4290" s="1">
        <v>4.0</v>
      </c>
      <c r="B4290" s="1" t="s">
        <v>4275</v>
      </c>
      <c r="C4290" t="str">
        <f>IFERROR(__xludf.DUMMYFUNCTION("GOOGLETRANSLATE(B4290, ""zh"", ""en"")"),"Feedback ink is black, ah, why write red? ? ? But overall pretty good, express delivery quickly, pleasant shopping, want to adjust the product label as soon as possible.")</f>
        <v>Feedback ink is black, ah, why write red? ? ? But overall pretty good, express delivery quickly, pleasant shopping, want to adjust the product label as soon as possible.</v>
      </c>
    </row>
    <row r="4291">
      <c r="A4291" s="1">
        <v>4.0</v>
      </c>
      <c r="B4291" s="1" t="s">
        <v>4276</v>
      </c>
      <c r="C4291" t="str">
        <f>IFERROR(__xludf.DUMMYFUNCTION("GOOGLETRANSLATE(B4291, ""zh"", ""en"")"),"Well quite satisfied with the first overseas purchase, worth buying again")</f>
        <v>Well quite satisfied with the first overseas purchase, worth buying again</v>
      </c>
    </row>
    <row r="4292">
      <c r="A4292" s="1">
        <v>5.0</v>
      </c>
      <c r="B4292" s="1" t="s">
        <v>4277</v>
      </c>
      <c r="C4292" t="str">
        <f>IFERROR(__xludf.DUMMYFUNCTION("GOOGLETRANSLATE(B4292, ""zh"", ""en"")"),"For the first time in the Amazon, very satisfied with the insulation effect is very good, more than 70 degrees should be able to save more than six hours, a little disappointed if something drinking bubble may not be very smooth. But I still like to drink"&amp;" boiled water. Recommended for those who like to drink tea after work but busy, too late to pour water to drink with friends. Open hot water at any time at any time. Just bought a few days off thirty. . . . .")</f>
        <v>For the first time in the Amazon, very satisfied with the insulation effect is very good, more than 70 degrees should be able to save more than six hours, a little disappointed if something drinking bubble may not be very smooth. But I still like to drink boiled water. Recommended for those who like to drink tea after work but busy, too late to pour water to drink with friends. Open hot water at any time at any time. Just bought a few days off thirty. . . . .</v>
      </c>
    </row>
    <row r="4293">
      <c r="A4293" s="1">
        <v>5.0</v>
      </c>
      <c r="B4293" s="1" t="s">
        <v>4278</v>
      </c>
      <c r="C4293" t="str">
        <f>IFERROR(__xludf.DUMMYFUNCTION("GOOGLETRANSLATE(B4293, ""zh"", ""en"")"),"Size is narrow comfort is high, strong package, the same size than domestic brands much narrower, a little longer. Work is not good, right foot toe inward side, there is the phenomenon of excess glue. Fortunately, cheap.")</f>
        <v>Size is narrow comfort is high, strong package, the same size than domestic brands much narrower, a little longer. Work is not good, right foot toe inward side, there is the phenomenon of excess glue. Fortunately, cheap.</v>
      </c>
    </row>
    <row r="4294">
      <c r="A4294" s="1">
        <v>5.0</v>
      </c>
      <c r="B4294" s="1" t="s">
        <v>4279</v>
      </c>
      <c r="C4294" t="str">
        <f>IFERROR(__xludf.DUMMYFUNCTION("GOOGLETRANSLATE(B4294, ""zh"", ""en"")"),"Good things something good, quality models can")</f>
        <v>Good things something good, quality models can</v>
      </c>
    </row>
    <row r="4295">
      <c r="A4295" s="1">
        <v>5.0</v>
      </c>
      <c r="B4295" s="1" t="s">
        <v>4280</v>
      </c>
      <c r="C4295" t="str">
        <f>IFERROR(__xludf.DUMMYFUNCTION("GOOGLETRANSLATE(B4295, ""zh"", ""en"")"),"Suitable usually 43, 9.5 US M is selected from the appropriate positive.")</f>
        <v>Suitable usually 43, 9.5 US M is selected from the appropriate positive.</v>
      </c>
    </row>
    <row r="4296">
      <c r="A4296" s="1">
        <v>5.0</v>
      </c>
      <c r="B4296" s="1" t="s">
        <v>4281</v>
      </c>
      <c r="C4296" t="str">
        <f>IFERROR(__xludf.DUMMYFUNCTION("GOOGLETRANSLATE(B4296, ""zh"", ""en"")"),"Good very satisfied, there is no problem")</f>
        <v>Good very satisfied, there is no problem</v>
      </c>
    </row>
    <row r="4297">
      <c r="A4297" s="1">
        <v>5.0</v>
      </c>
      <c r="B4297" s="1" t="s">
        <v>4282</v>
      </c>
      <c r="C4297" t="str">
        <f>IFERROR(__xludf.DUMMYFUNCTION("GOOGLETRANSLATE(B4297, ""zh"", ""en"")"),"Cost-effective good, the right size, size standard. Price Ye Hao.")</f>
        <v>Cost-effective good, the right size, size standard. Price Ye Hao.</v>
      </c>
    </row>
    <row r="4298">
      <c r="A4298" s="1">
        <v>5.0</v>
      </c>
      <c r="B4298" s="1" t="s">
        <v>4283</v>
      </c>
      <c r="C4298" t="str">
        <f>IFERROR(__xludf.DUMMYFUNCTION("GOOGLETRANSLATE(B4298, ""zh"", ""en"")"),"Comfortable thin, summer wear should be very breathable")</f>
        <v>Comfortable thin, summer wear should be very breathable</v>
      </c>
    </row>
    <row r="4299">
      <c r="A4299" s="1">
        <v>5.0</v>
      </c>
      <c r="B4299" s="1" t="s">
        <v>4284</v>
      </c>
      <c r="C4299" t="str">
        <f>IFERROR(__xludf.DUMMYFUNCTION("GOOGLETRANSLATE(B4299, ""zh"", ""en"")"),"Clarks I like to buy the first pair of last year, I feel very good, this time to buy, as always comfortable, love clarks")</f>
        <v>Clarks I like to buy the first pair of last year, I feel very good, this time to buy, as always comfortable, love clarks</v>
      </c>
    </row>
    <row r="4300">
      <c r="A4300" s="1">
        <v>5.0</v>
      </c>
      <c r="B4300" s="1" t="s">
        <v>4285</v>
      </c>
      <c r="C4300" t="str">
        <f>IFERROR(__xludf.DUMMYFUNCTION("GOOGLETRANSLATE(B4300, ""zh"", ""en"")"),"Recommended to buy a watch in-kind beautiful than the picture, the first use of wave form, is to force automatic")</f>
        <v>Recommended to buy a watch in-kind beautiful than the picture, the first use of wave form, is to force automatic</v>
      </c>
    </row>
    <row r="4301">
      <c r="A4301" s="1">
        <v>5.0</v>
      </c>
      <c r="B4301" s="1" t="s">
        <v>4286</v>
      </c>
      <c r="C4301" t="str">
        <f>IFERROR(__xludf.DUMMYFUNCTION("GOOGLETRANSLATE(B4301, ""zh"", ""en"")"),"Very good packaging perfect, affordable brush, two year and a half with no problem.")</f>
        <v>Very good packaging perfect, affordable brush, two year and a half with no problem.</v>
      </c>
    </row>
    <row r="4302">
      <c r="A4302" s="1">
        <v>5.0</v>
      </c>
      <c r="B4302" s="1" t="s">
        <v>4287</v>
      </c>
      <c r="C4302" t="str">
        <f>IFERROR(__xludf.DUMMYFUNCTION("GOOGLETRANSLATE(B4302, ""zh"", ""en"")"),"Much cheaper than domestic prices compare very practical advantage")</f>
        <v>Much cheaper than domestic prices compare very practical advantage</v>
      </c>
    </row>
    <row r="4303">
      <c r="A4303" s="1">
        <v>5.0</v>
      </c>
      <c r="B4303" s="1" t="s">
        <v>4288</v>
      </c>
      <c r="C4303" t="str">
        <f>IFERROR(__xludf.DUMMYFUNCTION("GOOGLETRANSLATE(B4303, ""zh"", ""en"")"),"Good value for money overall feeling good, it should be genuine")</f>
        <v>Good value for money overall feeling good, it should be genuine</v>
      </c>
    </row>
    <row r="4304">
      <c r="A4304" s="1">
        <v>5.0</v>
      </c>
      <c r="B4304" s="1" t="s">
        <v>4289</v>
      </c>
      <c r="C4304" t="str">
        <f>IFERROR(__xludf.DUMMYFUNCTION("GOOGLETRANSLATE(B4304, ""zh"", ""en"")"),"Perfect is perfect for jogging and training Happy Valley")</f>
        <v>Perfect is perfect for jogging and training Happy Valley</v>
      </c>
    </row>
    <row r="4305">
      <c r="A4305" s="1">
        <v>5.0</v>
      </c>
      <c r="B4305" s="1" t="s">
        <v>4290</v>
      </c>
      <c r="C4305" t="str">
        <f>IFERROR(__xludf.DUMMYFUNCTION("GOOGLETRANSLATE(B4305, ""zh"", ""en"")"),"The hard drive does not read the disk, some computer can not read the disk, do not show how")</f>
        <v>The hard drive does not read the disk, some computer can not read the disk, do not show how</v>
      </c>
    </row>
    <row r="4306">
      <c r="A4306" s="1">
        <v>5.0</v>
      </c>
      <c r="B4306" s="1" t="s">
        <v>4291</v>
      </c>
      <c r="C4306" t="str">
        <f>IFERROR(__xludf.DUMMYFUNCTION("GOOGLETRANSLATE(B4306, ""zh"", ""en"")"),"Comes very handy on 13 sets of dishwasher is not a waste of a good use")</f>
        <v>Comes very handy on 13 sets of dishwasher is not a waste of a good use</v>
      </c>
    </row>
    <row r="4307">
      <c r="A4307" s="1">
        <v>5.0</v>
      </c>
      <c r="B4307" s="1" t="s">
        <v>4292</v>
      </c>
      <c r="C4307" t="str">
        <f>IFERROR(__xludf.DUMMYFUNCTION("GOOGLETRANSLATE(B4307, ""zh"", ""en"")"),"Quality good quality feel good, but this is relatively tight, I wear the domestic m, this time to buy s, according to past experience as a large number of foreign code, but is tight, it is recommended to buy normal.")</f>
        <v>Quality good quality feel good, but this is relatively tight, I wear the domestic m, this time to buy s, according to past experience as a large number of foreign code, but is tight, it is recommended to buy normal.</v>
      </c>
    </row>
    <row r="4308">
      <c r="A4308" s="1">
        <v>5.0</v>
      </c>
      <c r="B4308" s="1" t="s">
        <v>4293</v>
      </c>
      <c r="C4308" t="str">
        <f>IFERROR(__xludf.DUMMYFUNCTION("GOOGLETRANSLATE(B4308, ""zh"", ""en"")"),"Put on a very warm received, very warm, the sense of hearing can also")</f>
        <v>Put on a very warm received, very warm, the sense of hearing can also</v>
      </c>
    </row>
    <row r="4309">
      <c r="A4309" s="1">
        <v>5.0</v>
      </c>
      <c r="B4309" s="1" t="s">
        <v>4294</v>
      </c>
      <c r="C4309" t="str">
        <f>IFERROR(__xludf.DUMMYFUNCTION("GOOGLETRANSLATE(B4309, ""zh"", ""en"")"),"Recommended to buy cost-effective, genuine, very commendable.")</f>
        <v>Recommended to buy cost-effective, genuine, very commendable.</v>
      </c>
    </row>
    <row r="4310">
      <c r="A4310" s="1">
        <v>5.0</v>
      </c>
      <c r="B4310" s="1" t="s">
        <v>4295</v>
      </c>
      <c r="C4310" t="str">
        <f>IFERROR(__xludf.DUMMYFUNCTION("GOOGLETRANSLATE(B4310, ""zh"", ""en"")"),"Deal with the hairs really works well! Not done in accordance with the number of instructions to use, but the effect is very obvious, there are already two months not used, but the hairs significantly less than before! Very much like a!")</f>
        <v>Deal with the hairs really works well! Not done in accordance with the number of instructions to use, but the effect is very obvious, there are already two months not used, but the hairs significantly less than before! Very much like a!</v>
      </c>
    </row>
    <row r="4311">
      <c r="A4311" s="1">
        <v>5.0</v>
      </c>
      <c r="B4311" s="1" t="s">
        <v>4296</v>
      </c>
      <c r="C4311" t="str">
        <f>IFERROR(__xludf.DUMMYFUNCTION("GOOGLETRANSLATE(B4311, ""zh"", ""en"")"),"I am 172cm, 66kg, usually wear 32, 32 is suitable for this, not Slim pants, personally like Loose jeans pocket can put the phone, put the wallet, that's not a slim consequently put, do not like, so it is satisfied . I am 172cm, 66kg, usually wear 32, 32 i"&amp;"s suitable for this, not Slim pants, personally like Loose jeans pocket can put the phone, put the wallet, that's not a slim consequently put, do not like, so it is satisfied .")</f>
        <v>I am 172cm, 66kg, usually wear 32, 32 is suitable for this, not Slim pants, personally like Loose jeans pocket can put the phone, put the wallet, that's not a slim consequently put, do not like, so it is satisfied . I am 172cm, 66kg, usually wear 32, 32 is suitable for this, not Slim pants, personally like Loose jeans pocket can put the phone, put the wallet, that's not a slim consequently put, do not like, so it is satisfied .</v>
      </c>
    </row>
    <row r="4312">
      <c r="A4312" s="1">
        <v>5.0</v>
      </c>
      <c r="B4312" s="1" t="s">
        <v>4297</v>
      </c>
      <c r="C4312" t="str">
        <f>IFERROR(__xludf.DUMMYFUNCTION("GOOGLETRANSLATE(B4312, ""zh"", ""en"")"),"Well, doing a deal was a good deal less than the 35")</f>
        <v>Well, doing a deal was a good deal less than the 35</v>
      </c>
    </row>
    <row r="4313">
      <c r="A4313" s="1">
        <v>5.0</v>
      </c>
      <c r="B4313" s="1" t="s">
        <v>4298</v>
      </c>
      <c r="C4313" t="str">
        <f>IFERROR(__xludf.DUMMYFUNCTION("GOOGLETRANSLATE(B4313, ""zh"", ""en"")"),"Cost-effective very satisfied")</f>
        <v>Cost-effective very satisfied</v>
      </c>
    </row>
    <row r="4314">
      <c r="A4314" s="1">
        <v>2.0</v>
      </c>
      <c r="B4314" s="1" t="s">
        <v>4299</v>
      </c>
      <c r="C4314" t="str">
        <f>IFERROR(__xludf.DUMMYFUNCTION("GOOGLETRANSLATE(B4314, ""zh"", ""en"")"),"Poor quality is poor 👕, an unpleasant shopping, do not patronize the next ⋯")</f>
        <v>Poor quality is poor 👕, an unpleasant shopping, do not patronize the next ⋯</v>
      </c>
    </row>
    <row r="4315">
      <c r="A4315" s="1">
        <v>3.0</v>
      </c>
      <c r="B4315" s="1" t="s">
        <v>4300</v>
      </c>
      <c r="C4315" t="str">
        <f>IFERROR(__xludf.DUMMYFUNCTION("GOOGLETRANSLATE(B4315, ""zh"", ""en"")"),"Like a general basic socks without elastic, slightly hard, relatively coarse cotton, foot feeling very good. The ankle will be out wrinkles, because nothing could not stretch the elastic leg. Not recommended.")</f>
        <v>Like a general basic socks without elastic, slightly hard, relatively coarse cotton, foot feeling very good. The ankle will be out wrinkles, because nothing could not stretch the elastic leg. Not recommended.</v>
      </c>
    </row>
    <row r="4316">
      <c r="A4316" s="1">
        <v>3.0</v>
      </c>
      <c r="B4316" s="1" t="s">
        <v>4301</v>
      </c>
      <c r="C4316" t="str">
        <f>IFERROR(__xludf.DUMMYFUNCTION("GOOGLETRANSLATE(B4316, ""zh"", ""en"")"),"Good heavy spare kitchen pot, pan support or lack of experience, but it feels quality is good.")</f>
        <v>Good heavy spare kitchen pot, pan support or lack of experience, but it feels quality is good.</v>
      </c>
    </row>
    <row r="4317">
      <c r="A4317" s="1">
        <v>1.0</v>
      </c>
      <c r="B4317" s="1" t="s">
        <v>4302</v>
      </c>
      <c r="C4317" t="str">
        <f>IFERROR(__xludf.DUMMYFUNCTION("GOOGLETRANSLATE(B4317, ""zh"", ""en"")"),"Do not buy here! Really do not buy! In less than six months, battery water, not electric charge, there is no sale, Taobao move after modification, with less than two months, without water smooth, really is rubbish! ! ! ! Red teeth in comedy it is not wate"&amp;"rproof")</f>
        <v>Do not buy here! Really do not buy! In less than six months, battery water, not electric charge, there is no sale, Taobao move after modification, with less than two months, without water smooth, really is rubbish! ! ! ! Red teeth in comedy it is not waterproof</v>
      </c>
    </row>
    <row r="4318">
      <c r="A4318" s="1">
        <v>1.0</v>
      </c>
      <c r="B4318" s="1" t="s">
        <v>4303</v>
      </c>
      <c r="C4318" t="str">
        <f>IFERROR(__xludf.DUMMYFUNCTION("GOOGLETRANSLATE(B4318, ""zh"", ""en"")"),"So many times the quality, but also overseas purchase quit China? Nana is the thread for the first time to buy such a ck garbage, if it is genuine, then. 20 quality may not be as kind of a flea market.")</f>
        <v>So many times the quality, but also overseas purchase quit China? Nana is the thread for the first time to buy such a ck garbage, if it is genuine, then. 20 quality may not be as kind of a flea market.</v>
      </c>
    </row>
    <row r="4319">
      <c r="A4319" s="1">
        <v>1.0</v>
      </c>
      <c r="B4319" s="1" t="s">
        <v>4304</v>
      </c>
      <c r="C4319" t="str">
        <f>IFERROR(__xludf.DUMMYFUNCTION("GOOGLETRANSLATE(B4319, ""zh"", ""en"")"),"La la do not know is not true, third-party ah")</f>
        <v>La la do not know is not true, third-party ah</v>
      </c>
    </row>
    <row r="4320">
      <c r="A4320" s="1">
        <v>4.0</v>
      </c>
      <c r="B4320" s="1" t="s">
        <v>4305</v>
      </c>
      <c r="C4320" t="str">
        <f>IFERROR(__xludf.DUMMYFUNCTION("GOOGLETRANSLATE(B4320, ""zh"", ""en"")"),"London Fog Men's Light Mesh Lined front zip golf jacket good quality, size standard.")</f>
        <v>London Fog Men's Light Mesh Lined front zip golf jacket good quality, size standard.</v>
      </c>
    </row>
    <row r="4321">
      <c r="A4321" s="1">
        <v>4.0</v>
      </c>
      <c r="B4321" s="1" t="s">
        <v>4306</v>
      </c>
      <c r="C4321" t="str">
        <f>IFERROR(__xludf.DUMMYFUNCTION("GOOGLETRANSLATE(B4321, ""zh"", ""en"")"),"Fully automatic coffee machine is easy to use concentrated coffee is easy to do, however, whether mild or strong, every taste is very strong")</f>
        <v>Fully automatic coffee machine is easy to use concentrated coffee is easy to do, however, whether mild or strong, every taste is very strong</v>
      </c>
    </row>
    <row r="4322">
      <c r="A4322" s="1">
        <v>4.0</v>
      </c>
      <c r="B4322" s="1" t="s">
        <v>4307</v>
      </c>
      <c r="C4322" t="str">
        <f>IFERROR(__xludf.DUMMYFUNCTION("GOOGLETRANSLATE(B4322, ""zh"", ""en"")"),"Authentic Mexican production, work is not very detailed thread a bit more, very standard size!")</f>
        <v>Authentic Mexican production, work is not very detailed thread a bit more, very standard size!</v>
      </c>
    </row>
    <row r="4323">
      <c r="A4323" s="1">
        <v>4.0</v>
      </c>
      <c r="B4323" s="1" t="s">
        <v>4308</v>
      </c>
      <c r="C4323" t="str">
        <f>IFERROR(__xludf.DUMMYFUNCTION("GOOGLETRANSLATE(B4323, ""zh"", ""en"")"),"sw with Chinese production ...... details as shown, leather thicker than lowland I bought at the counter, lack of flexibility, originally wanted to retire, ask customer service said to have produced in China!")</f>
        <v>sw with Chinese production ...... details as shown, leather thicker than lowland I bought at the counter, lack of flexibility, originally wanted to retire, ask customer service said to have produced in China!</v>
      </c>
    </row>
    <row r="4324">
      <c r="A4324" s="1">
        <v>4.0</v>
      </c>
      <c r="B4324" s="1" t="s">
        <v>4309</v>
      </c>
      <c r="C4324" t="str">
        <f>IFERROR(__xludf.DUMMYFUNCTION("GOOGLETRANSLATE(B4324, ""zh"", ""en"")"),"Very good a bit hard, the other bad.")</f>
        <v>Very good a bit hard, the other bad.</v>
      </c>
    </row>
    <row r="4325">
      <c r="A4325" s="1">
        <v>5.0</v>
      </c>
      <c r="B4325" s="1" t="s">
        <v>4310</v>
      </c>
      <c r="C4325" t="str">
        <f>IFERROR(__xludf.DUMMYFUNCTION("GOOGLETRANSLATE(B4325, ""zh"", ""en"")"),"Stockpile baby has not yet started, the first store under the")</f>
        <v>Stockpile baby has not yet started, the first store under the</v>
      </c>
    </row>
    <row r="4326">
      <c r="A4326" s="1">
        <v>5.0</v>
      </c>
      <c r="B4326" s="1" t="s">
        <v>4311</v>
      </c>
      <c r="C4326" t="str">
        <f>IFERROR(__xludf.DUMMYFUNCTION("GOOGLETRANSLATE(B4326, ""zh"", ""en"")"),"Good value for money and cups in Japan to buy the same. The price and see directly in Japan to buy the same price, you buy at Amazon. See someone comment origin is China, would like to correct what Tiger kettle origin of this division of domestic and fore"&amp;"ign-made, buy home-grown Even in Japan the price is not less than 300.")</f>
        <v>Good value for money and cups in Japan to buy the same. The price and see directly in Japan to buy the same price, you buy at Amazon. See someone comment origin is China, would like to correct what Tiger kettle origin of this division of domestic and foreign-made, buy home-grown Even in Japan the price is not less than 300.</v>
      </c>
    </row>
    <row r="4327">
      <c r="A4327" s="1">
        <v>5.0</v>
      </c>
      <c r="B4327" s="1" t="s">
        <v>4312</v>
      </c>
      <c r="C4327" t="str">
        <f>IFERROR(__xludf.DUMMYFUNCTION("GOOGLETRANSLATE(B4327, ""zh"", ""en"")"),"Very cool comfortable summer wear comfortable thin cup")</f>
        <v>Very cool comfortable summer wear comfortable thin cup</v>
      </c>
    </row>
    <row r="4328">
      <c r="A4328" s="1">
        <v>5.0</v>
      </c>
      <c r="B4328" s="1" t="s">
        <v>4313</v>
      </c>
      <c r="C4328" t="str">
        <f>IFERROR(__xludf.DUMMYFUNCTION("GOOGLETRANSLATE(B4328, ""zh"", ""en"")"),"Yes! Almost a week is up, much faster than imagined, and good shoes, this pair of Nike generally 43 9m just right, give you a reference.")</f>
        <v>Yes! Almost a week is up, much faster than imagined, and good shoes, this pair of Nike generally 43 9m just right, give you a reference.</v>
      </c>
    </row>
    <row r="4329">
      <c r="A4329" s="1">
        <v>5.0</v>
      </c>
      <c r="B4329" s="1" t="s">
        <v>4314</v>
      </c>
      <c r="C4329" t="str">
        <f>IFERROR(__xludf.DUMMYFUNCTION("GOOGLETRANSLATE(B4329, ""zh"", ""en"")"),"Although reliable quality engineering plastics, but well-made and fine detail. Mixing valve installation is not simple, there is the mainland for the average family, installing hot and cold water when needed extension tube.")</f>
        <v>Although reliable quality engineering plastics, but well-made and fine detail. Mixing valve installation is not simple, there is the mainland for the average family, installing hot and cold water when needed extension tube.</v>
      </c>
    </row>
    <row r="4330">
      <c r="A4330" s="1">
        <v>5.0</v>
      </c>
      <c r="B4330" s="1" t="s">
        <v>4315</v>
      </c>
      <c r="C4330" t="str">
        <f>IFERROR(__xludf.DUMMYFUNCTION("GOOGLETRANSLATE(B4330, ""zh"", ""en"")"),"Also 170cm, 60kg small liberal bias, feeling and then a small one yard will be more appropriate")</f>
        <v>Also 170cm, 60kg small liberal bias, feeling and then a small one yard will be more appropriate</v>
      </c>
    </row>
    <row r="4331">
      <c r="A4331" s="1">
        <v>5.0</v>
      </c>
      <c r="B4331" s="1" t="s">
        <v>4316</v>
      </c>
      <c r="C4331" t="str">
        <f>IFERROR(__xludf.DUMMYFUNCTION("GOOGLETRANSLATE(B4331, ""zh"", ""en"")"),"Praise recommend purchase times usually too large One. Praise.")</f>
        <v>Praise recommend purchase times usually too large One. Praise.</v>
      </c>
    </row>
    <row r="4332">
      <c r="A4332" s="1">
        <v>5.0</v>
      </c>
      <c r="B4332" s="1" t="s">
        <v>4317</v>
      </c>
      <c r="C4332" t="str">
        <f>IFERROR(__xludf.DUMMYFUNCTION("GOOGLETRANSLATE(B4332, ""zh"", ""en"")"),"Watch something really good")</f>
        <v>Watch something really good</v>
      </c>
    </row>
    <row r="4333">
      <c r="A4333" s="1">
        <v>5.0</v>
      </c>
      <c r="B4333" s="1" t="s">
        <v>4318</v>
      </c>
      <c r="C4333" t="str">
        <f>IFERROR(__xludf.DUMMYFUNCTION("GOOGLETRANSLATE(B4333, ""zh"", ""en"")"),"Affordable good to wear looks a little big on the foot being just good shoes to buy smaller number than half of Japan's very comfortable to wear or breakage no strict new super box")</f>
        <v>Affordable good to wear looks a little big on the foot being just good shoes to buy smaller number than half of Japan's very comfortable to wear or breakage no strict new super box</v>
      </c>
    </row>
    <row r="4334">
      <c r="A4334" s="1">
        <v>5.0</v>
      </c>
      <c r="B4334" s="1" t="s">
        <v>4319</v>
      </c>
      <c r="C4334" t="str">
        <f>IFERROR(__xludf.DUMMYFUNCTION("GOOGLETRANSLATE(B4334, ""zh"", ""en"")"),"Complete Complete super good vitamins, and minerals, especially whole, I do not feel comfortable after eating paste, to enhance the body function is useful!")</f>
        <v>Complete Complete super good vitamins, and minerals, especially whole, I do not feel comfortable after eating paste, to enhance the body function is useful!</v>
      </c>
    </row>
    <row r="4335">
      <c r="A4335" s="1">
        <v>5.0</v>
      </c>
      <c r="B4335" s="1" t="s">
        <v>4320</v>
      </c>
      <c r="C4335" t="str">
        <f>IFERROR(__xludf.DUMMYFUNCTION("GOOGLETRANSLATE(B4335, ""zh"", ""en"")"),"Cool table fast, the next day arrived, cheaper is better than Taobao sellers dozens, but also very secure, so more willing to buy at Amazon. Facts have proved quite tricky. Table, though not expensive, but great texture, luminous Intuit hyun, before the t"&amp;"hree did not know Zenong worn, study for a while to understand, not too complicated, a good ride clothes, strap can be replaced, on this For what price could not pick a fault, one hundred points!")</f>
        <v>Cool table fast, the next day arrived, cheaper is better than Taobao sellers dozens, but also very secure, so more willing to buy at Amazon. Facts have proved quite tricky. Table, though not expensive, but great texture, luminous Intuit hyun, before the three did not know Zenong worn, study for a while to understand, not too complicated, a good ride clothes, strap can be replaced, on this For what price could not pick a fault, one hundred points!</v>
      </c>
    </row>
    <row r="4336">
      <c r="A4336" s="1">
        <v>5.0</v>
      </c>
      <c r="B4336" s="1" t="s">
        <v>4321</v>
      </c>
      <c r="C4336" t="str">
        <f>IFERROR(__xludf.DUMMYFUNCTION("GOOGLETRANSLATE(B4336, ""zh"", ""en"")"),"Genuine good thing that the United States direct mail, ready for the baby, very good. A lot cheaper than here, it is to buy overseas for a long time, about two weeks before receipt of goods. Cheaper than the domestic half, very good!")</f>
        <v>Genuine good thing that the United States direct mail, ready for the baby, very good. A lot cheaper than here, it is to buy overseas for a long time, about two weeks before receipt of goods. Cheaper than the domestic half, very good!</v>
      </c>
    </row>
    <row r="4337">
      <c r="A4337" s="1">
        <v>5.0</v>
      </c>
      <c r="B4337" s="1" t="s">
        <v>4322</v>
      </c>
      <c r="C4337" t="str">
        <f>IFERROR(__xludf.DUMMYFUNCTION("GOOGLETRANSLATE(B4337, ""zh"", ""en"")"),"The baby is a little more than a month, with a little")</f>
        <v>The baby is a little more than a month, with a little</v>
      </c>
    </row>
    <row r="4338">
      <c r="A4338" s="1">
        <v>5.0</v>
      </c>
      <c r="B4338" s="1" t="s">
        <v>4323</v>
      </c>
      <c r="C4338" t="str">
        <f>IFERROR(__xludf.DUMMYFUNCTION("GOOGLETRANSLATE(B4338, ""zh"", ""en"")"),"Value for money beautiful cups, lids right size, very good")</f>
        <v>Value for money beautiful cups, lids right size, very good</v>
      </c>
    </row>
    <row r="4339">
      <c r="A4339" s="1">
        <v>5.0</v>
      </c>
      <c r="B4339" s="1" t="s">
        <v>4324</v>
      </c>
      <c r="C4339" t="str">
        <f>IFERROR(__xludf.DUMMYFUNCTION("GOOGLETRANSLATE(B4339, ""zh"", ""en"")"),"166,108 pounds, xs appropriate, very self-cultivation to meet the expected results, the right size, but really suitable for people who wear slender limbs. Otherwise, stomach easy to drum up")</f>
        <v>166,108 pounds, xs appropriate, very self-cultivation to meet the expected results, the right size, but really suitable for people who wear slender limbs. Otherwise, stomach easy to drum up</v>
      </c>
    </row>
    <row r="4340">
      <c r="A4340" s="1">
        <v>5.0</v>
      </c>
      <c r="B4340" s="1" t="s">
        <v>4325</v>
      </c>
      <c r="C4340" t="str">
        <f>IFERROR(__xludf.DUMMYFUNCTION("GOOGLETRANSLATE(B4340, ""zh"", ""en"")"),"Models fit models of good quality and can not ball but not over size over size models are not recommended to buy a large two yards of good quality ball can not afford")</f>
        <v>Models fit models of good quality and can not ball but not over size over size models are not recommended to buy a large two yards of good quality ball can not afford</v>
      </c>
    </row>
    <row r="4341">
      <c r="A4341" s="1">
        <v>5.0</v>
      </c>
      <c r="B4341" s="1" t="s">
        <v>2253</v>
      </c>
      <c r="C4341" t="str">
        <f>IFERROR(__xludf.DUMMYFUNCTION("GOOGLETRANSLATE(B4341, ""zh"", ""en"")"),"Very Good Very Good")</f>
        <v>Very Good Very Good</v>
      </c>
    </row>
    <row r="4342">
      <c r="A4342" s="1">
        <v>5.0</v>
      </c>
      <c r="B4342" s="1" t="s">
        <v>4326</v>
      </c>
      <c r="C4342" t="str">
        <f>IFERROR(__xludf.DUMMYFUNCTION("GOOGLETRANSLATE(B4342, ""zh"", ""en"")"),"Point Like this 4TB hard disk price is very high!")</f>
        <v>Point Like this 4TB hard disk price is very high!</v>
      </c>
    </row>
    <row r="4343">
      <c r="A4343" s="1">
        <v>5.0</v>
      </c>
      <c r="B4343" s="1" t="s">
        <v>4327</v>
      </c>
      <c r="C4343" t="str">
        <f>IFERROR(__xludf.DUMMYFUNCTION("GOOGLETRANSLATE(B4343, ""zh"", ""en"")"),"Like good, support efforts to better than skins. However, permeability is better skins. Low temperatures a little better when worn.")</f>
        <v>Like good, support efforts to better than skins. However, permeability is better skins. Low temperatures a little better when worn.</v>
      </c>
    </row>
    <row r="4344">
      <c r="A4344" s="1">
        <v>5.0</v>
      </c>
      <c r="B4344" s="1" t="s">
        <v>4328</v>
      </c>
      <c r="C4344" t="str">
        <f>IFERROR(__xludf.DUMMYFUNCTION("GOOGLETRANSLATE(B4344, ""zh"", ""en"")"),"Comfortable to wear comfortable, sea Amoy high cost, polartec lightweight and comfortable material")</f>
        <v>Comfortable to wear comfortable, sea Amoy high cost, polartec lightweight and comfortable material</v>
      </c>
    </row>
    <row r="4345">
      <c r="A4345" s="1">
        <v>5.0</v>
      </c>
      <c r="B4345" s="1" t="s">
        <v>4329</v>
      </c>
      <c r="C4345" t="str">
        <f>IFERROR(__xludf.DUMMYFUNCTION("GOOGLETRANSLATE(B4345, ""zh"", ""en"")"),"Speed ​​dancing, sound and moving. Copy fast, noise is a little big, but does not seem to copy when loud, but read the disk when a little hard to understand.")</f>
        <v>Speed ​​dancing, sound and moving. Copy fast, noise is a little big, but does not seem to copy when loud, but read the disk when a little hard to understand.</v>
      </c>
    </row>
    <row r="4346">
      <c r="A4346" s="1">
        <v>2.0</v>
      </c>
      <c r="B4346" s="1" t="s">
        <v>4330</v>
      </c>
      <c r="C4346" t="str">
        <f>IFERROR(__xludf.DUMMYFUNCTION("GOOGLETRANSLATE(B4346, ""zh"", ""en"")"),"Not bad to use force, not as easy to use homemade")</f>
        <v>Not bad to use force, not as easy to use homemade</v>
      </c>
    </row>
    <row r="4347">
      <c r="A4347" s="1">
        <v>3.0</v>
      </c>
      <c r="B4347" s="1" t="s">
        <v>4331</v>
      </c>
      <c r="C4347" t="str">
        <f>IFERROR(__xludf.DUMMYFUNCTION("GOOGLETRANSLATE(B4347, ""zh"", ""en"")"),"Recommended clothes big. Is at least two yards, usually wear XL, where only wear m.")</f>
        <v>Recommended clothes big. Is at least two yards, usually wear XL, where only wear m.</v>
      </c>
    </row>
    <row r="4348">
      <c r="A4348" s="1">
        <v>3.0</v>
      </c>
      <c r="B4348" s="1" t="s">
        <v>4332</v>
      </c>
      <c r="C4348" t="str">
        <f>IFERROR(__xludf.DUMMYFUNCTION("GOOGLETRANSLATE(B4348, ""zh"", ""en"")"),"To be honest quality big as before once again purchase a piece, I feel great quality as before, mainly to adjust the time Pine Knob very, very depressed, the previous piece has been taken, ooo, ooo hum. . . . . . . . . . . . . . . .")</f>
        <v>To be honest quality big as before once again purchase a piece, I feel great quality as before, mainly to adjust the time Pine Knob very, very depressed, the previous piece has been taken, ooo, ooo hum. . . . . . . . . . . . . . . .</v>
      </c>
    </row>
    <row r="4349">
      <c r="A4349" s="1">
        <v>3.0</v>
      </c>
      <c r="B4349" s="1" t="s">
        <v>4333</v>
      </c>
      <c r="C4349" t="str">
        <f>IFERROR(__xludf.DUMMYFUNCTION("GOOGLETRANSLATE(B4349, ""zh"", ""en"")"),"Better quality version of the type of shoes too thin, lighter than expected, soles light, not like, the quality is very good.")</f>
        <v>Better quality version of the type of shoes too thin, lighter than expected, soles light, not like, the quality is very good.</v>
      </c>
    </row>
    <row r="4350">
      <c r="A4350" s="1">
        <v>1.0</v>
      </c>
      <c r="B4350" s="1" t="s">
        <v>4334</v>
      </c>
      <c r="C4350" t="str">
        <f>IFERROR(__xludf.DUMMYFUNCTION("GOOGLETRANSLATE(B4350, ""zh"", ""en"")"),"General General broken, sent hand carton has worn the entire surface, but fortunately package is glued to the inside")</f>
        <v>General General broken, sent hand carton has worn the entire surface, but fortunately package is glued to the inside</v>
      </c>
    </row>
    <row r="4351">
      <c r="A4351" s="1">
        <v>1.0</v>
      </c>
      <c r="B4351" s="1" t="s">
        <v>4335</v>
      </c>
      <c r="C4351" t="str">
        <f>IFERROR(__xludf.DUMMYFUNCTION("GOOGLETRANSLATE(B4351, ""zh"", ""en"")"),"Negative Ratings! Angry! The same link actually buy a big difference! Amazon really silent before buy M number is boxed cotton, the S cheap, buy two boxes S, upon receipt of a bag, thought it was only for a packaging did not care, just out completely diff"&amp;"erent ! Too much, Taobao fakes are at least cotton, it does not know what the material! The first bad review life to you! I can not make that exasperating texture! Who bought who knows!")</f>
        <v>Negative Ratings! Angry! The same link actually buy a big difference! Amazon really silent before buy M number is boxed cotton, the S cheap, buy two boxes S, upon receipt of a bag, thought it was only for a packaging did not care, just out completely different ! Too much, Taobao fakes are at least cotton, it does not know what the material! The first bad review life to you! I can not make that exasperating texture! Who bought who knows!</v>
      </c>
    </row>
    <row r="4352">
      <c r="A4352" s="1">
        <v>4.0</v>
      </c>
      <c r="B4352" s="1" t="s">
        <v>4336</v>
      </c>
      <c r="C4352" t="str">
        <f>IFERROR(__xludf.DUMMYFUNCTION("GOOGLETRANSLATE(B4352, ""zh"", ""en"")"),"...... help a friend buy, but also to, looking very pretty")</f>
        <v>...... help a friend buy, but also to, looking very pretty</v>
      </c>
    </row>
    <row r="4353">
      <c r="A4353" s="1">
        <v>4.0</v>
      </c>
      <c r="B4353" s="1" t="s">
        <v>4337</v>
      </c>
      <c r="C4353" t="str">
        <f>IFERROR(__xludf.DUMMYFUNCTION("GOOGLETRANSLATE(B4353, ""zh"", ""en"")"),"Worth buying good quality, comfortable and cheap. Foot width, usually 39 yards, wear thick socks a little pinch. Hope Chuan Chuan can loose.")</f>
        <v>Worth buying good quality, comfortable and cheap. Foot width, usually 39 yards, wear thick socks a little pinch. Hope Chuan Chuan can loose.</v>
      </c>
    </row>
    <row r="4354">
      <c r="A4354" s="1">
        <v>4.0</v>
      </c>
      <c r="B4354" s="1" t="s">
        <v>4338</v>
      </c>
      <c r="C4354" t="str">
        <f>IFERROR(__xludf.DUMMYFUNCTION("GOOGLETRANSLATE(B4354, ""zh"", ""en"")"),"If too fine a toothpick belt stirred tank head obvious damage, somewhat narrower diameter belt. I 32 86 cm waist just right")</f>
        <v>If too fine a toothpick belt stirred tank head obvious damage, somewhat narrower diameter belt. I 32 86 cm waist just right</v>
      </c>
    </row>
    <row r="4355">
      <c r="A4355" s="1">
        <v>4.0</v>
      </c>
      <c r="B4355" s="1" t="s">
        <v>4339</v>
      </c>
      <c r="C4355" t="str">
        <f>IFERROR(__xludf.DUMMYFUNCTION("GOOGLETRANSLATE(B4355, ""zh"", ""en"")"),"Cup sets Cup sets look good kind little blue green mug not quite match")</f>
        <v>Cup sets Cup sets look good kind little blue green mug not quite match</v>
      </c>
    </row>
    <row r="4356">
      <c r="A4356" s="1">
        <v>4.0</v>
      </c>
      <c r="B4356" s="1" t="s">
        <v>4340</v>
      </c>
      <c r="C4356" t="str">
        <f>IFERROR(__xludf.DUMMYFUNCTION("GOOGLETRANSLATE(B4356, ""zh"", ""en"")"),"The general feeling in general, nothing special")</f>
        <v>The general feeling in general, nothing special</v>
      </c>
    </row>
    <row r="4357">
      <c r="A4357" s="1">
        <v>5.0</v>
      </c>
      <c r="B4357" s="1" t="s">
        <v>4341</v>
      </c>
      <c r="C4357" t="str">
        <f>IFERROR(__xludf.DUMMYFUNCTION("GOOGLETRANSLATE(B4357, ""zh"", ""en"")"),"Global 5-year warranty on the sea Amoy ssd buy SanDisk, 5 year warranty, 1T enough, mechanical hard disk directly discarded, fast enough for my office use")</f>
        <v>Global 5-year warranty on the sea Amoy ssd buy SanDisk, 5 year warranty, 1T enough, mechanical hard disk directly discarded, fast enough for my office use</v>
      </c>
    </row>
    <row r="4358">
      <c r="A4358" s="1">
        <v>5.0</v>
      </c>
      <c r="B4358" s="1" t="s">
        <v>4342</v>
      </c>
      <c r="C4358" t="str">
        <f>IFERROR(__xludf.DUMMYFUNCTION("GOOGLETRANSLATE(B4358, ""zh"", ""en"")"),"Very good first talk about the size, my height 177, weight 174, L code is very suitable for this. Color consistent with the picture. Order No. 21 November in the middle of a three-line small city 12 days to get the goods, very satisfied with the shopping,"&amp;" thank Amazon.")</f>
        <v>Very good first talk about the size, my height 177, weight 174, L code is very suitable for this. Color consistent with the picture. Order No. 21 November in the middle of a three-line small city 12 days to get the goods, very satisfied with the shopping, thank Amazon.</v>
      </c>
    </row>
    <row r="4359">
      <c r="A4359" s="1">
        <v>5.0</v>
      </c>
      <c r="B4359" s="1" t="s">
        <v>4343</v>
      </c>
      <c r="C4359" t="str">
        <f>IFERROR(__xludf.DUMMYFUNCTION("GOOGLETRANSLATE(B4359, ""zh"", ""en"")"),"Very good shopping experience Casio digital watches quality is very good, shopping and logistics process went very smoothly, logistics is also a lot faster than expected. Is hand wrapped tray is pushed deformed, but fortunately no injury to the table.")</f>
        <v>Very good shopping experience Casio digital watches quality is very good, shopping and logistics process went very smoothly, logistics is also a lot faster than expected. Is hand wrapped tray is pushed deformed, but fortunately no injury to the table.</v>
      </c>
    </row>
    <row r="4360">
      <c r="A4360" s="1">
        <v>5.0</v>
      </c>
      <c r="B4360" s="1" t="s">
        <v>4344</v>
      </c>
      <c r="C4360" t="str">
        <f>IFERROR(__xludf.DUMMYFUNCTION("GOOGLETRANSLATE(B4360, ""zh"", ""en"")"),"Shuai overall texture is very good, suitable for wide feet foot friend")</f>
        <v>Shuai overall texture is very good, suitable for wide feet foot friend</v>
      </c>
    </row>
    <row r="4361">
      <c r="A4361" s="1">
        <v>5.0</v>
      </c>
      <c r="B4361" s="1" t="s">
        <v>4345</v>
      </c>
      <c r="C4361" t="str">
        <f>IFERROR(__xludf.DUMMYFUNCTION("GOOGLETRANSLATE(B4361, ""zh"", ""en"")"),"boss basically fit to wear comfortable quality stuff next time.")</f>
        <v>boss basically fit to wear comfortable quality stuff next time.</v>
      </c>
    </row>
    <row r="4362">
      <c r="A4362" s="1">
        <v>5.0</v>
      </c>
      <c r="B4362" s="1" t="s">
        <v>4346</v>
      </c>
      <c r="C4362" t="str">
        <f>IFERROR(__xludf.DUMMYFUNCTION("GOOGLETRANSLATE(B4362, ""zh"", ""en"")"),"Yes! Very fit! The price is very appropriate!")</f>
        <v>Yes! Very fit! The price is very appropriate!</v>
      </c>
    </row>
    <row r="4363">
      <c r="A4363" s="1">
        <v>5.0</v>
      </c>
      <c r="B4363" s="1" t="s">
        <v>4347</v>
      </c>
      <c r="C4363" t="str">
        <f>IFERROR(__xludf.DUMMYFUNCTION("GOOGLETRANSLATE(B4363, ""zh"", ""en"")"),"Children like to use solid materials, insulation effect, the children love it.")</f>
        <v>Children like to use solid materials, insulation effect, the children love it.</v>
      </c>
    </row>
    <row r="4364">
      <c r="A4364" s="1">
        <v>5.0</v>
      </c>
      <c r="B4364" s="1" t="s">
        <v>4348</v>
      </c>
      <c r="C4364" t="str">
        <f>IFERROR(__xludf.DUMMYFUNCTION("GOOGLETRANSLATE(B4364, ""zh"", ""en"")"),"Like satisfaction gave her boyfriend a birthday present about ten days to arrive. Still very handsome. But the shoes very delicate feeling he did not care for the near future will soon be broken")</f>
        <v>Like satisfaction gave her boyfriend a birthday present about ten days to arrive. Still very handsome. But the shoes very delicate feeling he did not care for the near future will soon be broken</v>
      </c>
    </row>
    <row r="4365">
      <c r="A4365" s="1">
        <v>5.0</v>
      </c>
      <c r="B4365" s="1" t="s">
        <v>4349</v>
      </c>
      <c r="C4365" t="str">
        <f>IFERROR(__xludf.DUMMYFUNCTION("GOOGLETRANSLATE(B4365, ""zh"", ""en"")"),"recommend! Very good very appropriate")</f>
        <v>recommend! Very good very appropriate</v>
      </c>
    </row>
    <row r="4366">
      <c r="A4366" s="1">
        <v>5.0</v>
      </c>
      <c r="B4366" s="1" t="s">
        <v>4350</v>
      </c>
      <c r="C4366" t="str">
        <f>IFERROR(__xludf.DUMMYFUNCTION("GOOGLETRANSLATE(B4366, ""zh"", ""en"")"),"Good quality and good logistics fast enough.")</f>
        <v>Good quality and good logistics fast enough.</v>
      </c>
    </row>
    <row r="4367">
      <c r="A4367" s="1">
        <v>5.0</v>
      </c>
      <c r="B4367" s="1" t="s">
        <v>4351</v>
      </c>
      <c r="C4367" t="str">
        <f>IFERROR(__xludf.DUMMYFUNCTION("GOOGLETRANSLATE(B4367, ""zh"", ""en"")"),"Zojirushi is a big brand is very good, the feeling is genuine.")</f>
        <v>Zojirushi is a big brand is very good, the feeling is genuine.</v>
      </c>
    </row>
    <row r="4368">
      <c r="A4368" s="1">
        <v>5.0</v>
      </c>
      <c r="B4368" s="1" t="s">
        <v>4352</v>
      </c>
      <c r="C4368" t="str">
        <f>IFERROR(__xludf.DUMMYFUNCTION("GOOGLETRANSLATE(B4368, ""zh"", ""en"")"),"Starting below 900, the absolute value of the arrival of fast, universal power 12v, 1.5a, 8-capacity, cost-effective")</f>
        <v>Starting below 900, the absolute value of the arrival of fast, universal power 12v, 1.5a, 8-capacity, cost-effective</v>
      </c>
    </row>
    <row r="4369">
      <c r="A4369" s="1">
        <v>5.0</v>
      </c>
      <c r="B4369" s="1" t="s">
        <v>4353</v>
      </c>
      <c r="C4369" t="str">
        <f>IFERROR(__xludf.DUMMYFUNCTION("GOOGLETRANSLATE(B4369, ""zh"", ""en"")"),"After loading water is 100 degrees and 100 degrees insulation means ... 48 hours water is hot water, opened the way to test the water temperature ... 2 times the hot, really super insulation!")</f>
        <v>After loading water is 100 degrees and 100 degrees insulation means ... 48 hours water is hot water, opened the way to test the water temperature ... 2 times the hot, really super insulation!</v>
      </c>
    </row>
    <row r="4370">
      <c r="A4370" s="1">
        <v>5.0</v>
      </c>
      <c r="B4370" s="1" t="s">
        <v>4354</v>
      </c>
      <c r="C4370" t="str">
        <f>IFERROR(__xludf.DUMMYFUNCTION("GOOGLETRANSLATE(B4370, ""zh"", ""en"")"),"The exact size of the sweater the right size to wear comfortable but the neckline is too small electrostatic What is the sheep's wool.")</f>
        <v>The exact size of the sweater the right size to wear comfortable but the neckline is too small electrostatic What is the sheep's wool.</v>
      </c>
    </row>
    <row r="4371">
      <c r="A4371" s="1">
        <v>5.0</v>
      </c>
      <c r="B4371" s="1" t="s">
        <v>4355</v>
      </c>
      <c r="C4371" t="str">
        <f>IFERROR(__xludf.DUMMYFUNCTION("GOOGLETRANSLATE(B4371, ""zh"", ""en"")"),"Good pants 175, weight 160, very fit, especially the kind of money is not self-cultivation, but better than jeans straight points to close, wearing a very spiritual, work, travel wear are appropriate. Fabrics feel good, terms of thickness, in addition to "&amp;"summer are suitable to wear.")</f>
        <v>Good pants 175, weight 160, very fit, especially the kind of money is not self-cultivation, but better than jeans straight points to close, wearing a very spiritual, work, travel wear are appropriate. Fabrics feel good, terms of thickness, in addition to summer are suitable to wear.</v>
      </c>
    </row>
    <row r="4372">
      <c r="A4372" s="1">
        <v>5.0</v>
      </c>
      <c r="B4372" s="1" t="s">
        <v>4356</v>
      </c>
      <c r="C4372" t="str">
        <f>IFERROR(__xludf.DUMMYFUNCTION("GOOGLETRANSLATE(B4372, ""zh"", ""en"")"),"Satisfied with something good, just the right size, the price is very crucial to the force, ha")</f>
        <v>Satisfied with something good, just the right size, the price is very crucial to the force, ha</v>
      </c>
    </row>
    <row r="4373">
      <c r="A4373" s="1">
        <v>5.0</v>
      </c>
      <c r="B4373" s="1" t="s">
        <v>4357</v>
      </c>
      <c r="C4373" t="str">
        <f>IFERROR(__xludf.DUMMYFUNCTION("GOOGLETRANSLATE(B4373, ""zh"", ""en"")"),"High cost is great, really great! Small size, big water, the water is very uniform, water droplets collide to skin the moment, I feel great, worth buying.")</f>
        <v>High cost is great, really great! Small size, big water, the water is very uniform, water droplets collide to skin the moment, I feel great, worth buying.</v>
      </c>
    </row>
    <row r="4374">
      <c r="A4374" s="1">
        <v>5.0</v>
      </c>
      <c r="B4374" s="1" t="s">
        <v>4358</v>
      </c>
      <c r="C4374" t="str">
        <f>IFERROR(__xludf.DUMMYFUNCTION("GOOGLETRANSLATE(B4374, ""zh"", ""en"")"),"Looking like the style, the color is also very good, wearing fit, comfortable. Very good with clothes.")</f>
        <v>Looking like the style, the color is also very good, wearing fit, comfortable. Very good with clothes.</v>
      </c>
    </row>
    <row r="4375">
      <c r="A4375" s="1">
        <v>5.0</v>
      </c>
      <c r="B4375" s="1" t="s">
        <v>4359</v>
      </c>
      <c r="C4375" t="str">
        <f>IFERROR(__xludf.DUMMYFUNCTION("GOOGLETRANSLATE(B4375, ""zh"", ""en"")"),"Very good value've been using Philips electric toothbrush, the brush head is a consumable item, but really not much to buy in Jingdong activities, overseas shopping is to force the intensity of the event, as soon as possible to start the")</f>
        <v>Very good value've been using Philips electric toothbrush, the brush head is a consumable item, but really not much to buy in Jingdong activities, overseas shopping is to force the intensity of the event, as soon as possible to start the</v>
      </c>
    </row>
    <row r="4376">
      <c r="A4376" s="1">
        <v>5.0</v>
      </c>
      <c r="B4376" s="1" t="s">
        <v>4360</v>
      </c>
      <c r="C4376" t="str">
        <f>IFERROR(__xludf.DUMMYFUNCTION("GOOGLETRANSLATE(B4376, ""zh"", ""en"")"),"3M good results, the price level should exceed 5 micron filter, then the filter boiled water for a large water, no taste, a total of 150 freight, buy two or four charge transfer charge 6 is inserted 3M Original hose connector interfaces, one a hose connec"&amp;"ted to a faucet, a general store selling water purifiers are sold, you can use, and easy to install.")</f>
        <v>3M good results, the price level should exceed 5 micron filter, then the filter boiled water for a large water, no taste, a total of 150 freight, buy two or four charge transfer charge 6 is inserted 3M Original hose connector interfaces, one a hose connected to a faucet, a general store selling water purifiers are sold, you can use, and easy to install.</v>
      </c>
    </row>
    <row r="4377">
      <c r="A4377" s="1">
        <v>5.0</v>
      </c>
      <c r="B4377" s="1" t="s">
        <v>4361</v>
      </c>
      <c r="C4377" t="str">
        <f>IFERROR(__xludf.DUMMYFUNCTION("GOOGLETRANSLATE(B4377, ""zh"", ""en"")"),"Good suitable for spring wear, it is appropriate")</f>
        <v>Good suitable for spring wear, it is appropriate</v>
      </c>
    </row>
    <row r="4378">
      <c r="A4378" s="1">
        <v>5.0</v>
      </c>
      <c r="B4378" s="1" t="s">
        <v>4362</v>
      </c>
      <c r="C4378" t="str">
        <f>IFERROR(__xludf.DUMMYFUNCTION("GOOGLETRANSLATE(B4378, ""zh"", ""en"")"),"ECCO shoe size is positive, with domestic scouring the sea as appropriate. Domestic pair of shoes is 41 yards, the sea Amoy US7.5, UK7 can, ECCO on shoe size do particularly well")</f>
        <v>ECCO shoe size is positive, with domestic scouring the sea as appropriate. Domestic pair of shoes is 41 yards, the sea Amoy US7.5, UK7 can, ECCO on shoe size do particularly well</v>
      </c>
    </row>
    <row r="4379">
      <c r="A4379" s="1">
        <v>2.0</v>
      </c>
      <c r="B4379" s="1" t="s">
        <v>4363</v>
      </c>
      <c r="C4379" t="str">
        <f>IFERROR(__xludf.DUMMYFUNCTION("GOOGLETRANSLATE(B4379, ""zh"", ""en"")"),"Vietnamese general quality, show very bright blue insulation effect is good, not too light weight, can be considered good, it is important to shake the cup will be rustling sound, felt something fall in a vacuum layer.")</f>
        <v>Vietnamese general quality, show very bright blue insulation effect is good, not too light weight, can be considered good, it is important to shake the cup will be rustling sound, felt something fall in a vacuum layer.</v>
      </c>
    </row>
    <row r="4380">
      <c r="A4380" s="1">
        <v>3.0</v>
      </c>
      <c r="B4380" s="1" t="s">
        <v>4364</v>
      </c>
      <c r="C4380" t="str">
        <f>IFERROR(__xludf.DUMMYFUNCTION("GOOGLETRANSLATE(B4380, ""zh"", ""en"")"),"Non-cotton, thread a little more than 187cm, 87kg, xl appropriate")</f>
        <v>Non-cotton, thread a little more than 187cm, 87kg, xl appropriate</v>
      </c>
    </row>
    <row r="4381">
      <c r="A4381" s="1">
        <v>3.0</v>
      </c>
      <c r="B4381" s="1" t="s">
        <v>4365</v>
      </c>
      <c r="C4381" t="str">
        <f>IFERROR(__xludf.DUMMYFUNCTION("GOOGLETRANSLATE(B4381, ""zh"", ""en"")"),"Little bit like a general, women's shoes slightly smaller point. For pairs of insoles is very comfortable.")</f>
        <v>Little bit like a general, women's shoes slightly smaller point. For pairs of insoles is very comfortable.</v>
      </c>
    </row>
    <row r="4382">
      <c r="A4382" s="1">
        <v>1.0</v>
      </c>
      <c r="B4382" s="1" t="s">
        <v>4366</v>
      </c>
      <c r="C4382" t="str">
        <f>IFERROR(__xludf.DUMMYFUNCTION("GOOGLETRANSLATE(B4382, ""zh"", ""en"")"),"Use a lint-free start, although this is from the United Kingdom by mail, but the quality is really secondary, a big difference with the original, a brush, toothbrush case of hair loss, the second use, Mao began to defect, deformation , with a small worksh"&amp;"op not like, feel good fake products")</f>
        <v>Use a lint-free start, although this is from the United Kingdom by mail, but the quality is really secondary, a big difference with the original, a brush, toothbrush case of hair loss, the second use, Mao began to defect, deformation , with a small workshop not like, feel good fake products</v>
      </c>
    </row>
    <row r="4383">
      <c r="A4383" s="1">
        <v>1.0</v>
      </c>
      <c r="B4383" s="1" t="s">
        <v>4367</v>
      </c>
      <c r="C4383" t="str">
        <f>IFERROR(__xludf.DUMMYFUNCTION("GOOGLETRANSLATE(B4383, ""zh"", ""en"")"),"Especially the right foot than left foot wide and 1 foot of soil, such as sample. The difference in width of about 2 two have more than 0.5cm, more to the right width, poor quality control.")</f>
        <v>Especially the right foot than left foot wide and 1 foot of soil, such as sample. The difference in width of about 2 two have more than 0.5cm, more to the right width, poor quality control.</v>
      </c>
    </row>
    <row r="4384">
      <c r="A4384" s="1">
        <v>1.0</v>
      </c>
      <c r="B4384" s="1" t="s">
        <v>4368</v>
      </c>
      <c r="C4384" t="str">
        <f>IFERROR(__xludf.DUMMYFUNCTION("GOOGLETRANSLATE(B4384, ""zh"", ""en"")"),"Defective products shoe size is accurate, but with lots of black-scratches, stains and a dirty black, all can not afford to clean up, which if over the counter which is not anyone want. Overseas purchase return inconvenience, you can send such defective p"&amp;"roducts fool people? Very disappointed")</f>
        <v>Defective products shoe size is accurate, but with lots of black-scratches, stains and a dirty black, all can not afford to clean up, which if over the counter which is not anyone want. Overseas purchase return inconvenience, you can send such defective products fool people? Very disappointed</v>
      </c>
    </row>
    <row r="4385">
      <c r="A4385" s="1">
        <v>4.0</v>
      </c>
      <c r="B4385" s="1" t="s">
        <v>4369</v>
      </c>
      <c r="C4385" t="str">
        <f>IFERROR(__xludf.DUMMYFUNCTION("GOOGLETRANSLATE(B4385, ""zh"", ""en"")"),"Generally material is generally a little too large ~ ~")</f>
        <v>Generally material is generally a little too large ~ ~</v>
      </c>
    </row>
    <row r="4386">
      <c r="A4386" s="1">
        <v>4.0</v>
      </c>
      <c r="B4386" s="1" t="s">
        <v>4370</v>
      </c>
      <c r="C4386" t="str">
        <f>IFERROR(__xludf.DUMMYFUNCTION("GOOGLETRANSLATE(B4386, ""zh"", ""en"")"),"The only drawback is that drilling velvet fit, warm, lightweight, only drawback is that drill down")</f>
        <v>The only drawback is that drilling velvet fit, warm, lightweight, only drawback is that drill down</v>
      </c>
    </row>
    <row r="4387">
      <c r="A4387" s="1">
        <v>4.0</v>
      </c>
      <c r="B4387" s="1" t="s">
        <v>4371</v>
      </c>
      <c r="C4387" t="str">
        <f>IFERROR(__xludf.DUMMYFUNCTION("GOOGLETRANSLATE(B4387, ""zh"", ""en"")"),"Belt good. Belt a little short, should buy 36 yards on the right.")</f>
        <v>Belt good. Belt a little short, should buy 36 yards on the right.</v>
      </c>
    </row>
    <row r="4388">
      <c r="A4388" s="1">
        <v>4.0</v>
      </c>
      <c r="B4388" s="1" t="s">
        <v>4372</v>
      </c>
      <c r="C4388" t="str">
        <f>IFERROR(__xludf.DUMMYFUNCTION("GOOGLETRANSLATE(B4388, ""zh"", ""en"")"),"Delivery is a bit slow, but the goods received appears to be original, not to the inspection of delivery a bit slow, but the goods received appears to be original, not to the inspection")</f>
        <v>Delivery is a bit slow, but the goods received appears to be original, not to the inspection of delivery a bit slow, but the goods received appears to be original, not to the inspection</v>
      </c>
    </row>
    <row r="4389">
      <c r="A4389" s="1">
        <v>4.0</v>
      </c>
      <c r="B4389" s="1" t="s">
        <v>4373</v>
      </c>
      <c r="C4389" t="str">
        <f>IFERROR(__xludf.DUMMYFUNCTION("GOOGLETRANSLATE(B4389, ""zh"", ""en"")"),"160,96 pounds of good quality, good quality, but should buy s number")</f>
        <v>160,96 pounds of good quality, good quality, but should buy s number</v>
      </c>
    </row>
    <row r="4390">
      <c r="A4390" s="1">
        <v>5.0</v>
      </c>
      <c r="B4390" s="1" t="s">
        <v>4374</v>
      </c>
      <c r="C4390" t="str">
        <f>IFERROR(__xludf.DUMMYFUNCTION("GOOGLETRANSLATE(B4390, ""zh"", ""en"")"),"Really nice pants pants buy will depend on the evaluation, I usually wear w36l32, read reviews decisive w34l32, just good, pants are very comfortable, very like, want to come back to buy a blue strip positive, but unfortunately out of stock.")</f>
        <v>Really nice pants pants buy will depend on the evaluation, I usually wear w36l32, read reviews decisive w34l32, just good, pants are very comfortable, very like, want to come back to buy a blue strip positive, but unfortunately out of stock.</v>
      </c>
    </row>
    <row r="4391">
      <c r="A4391" s="1">
        <v>5.0</v>
      </c>
      <c r="B4391" s="1" t="s">
        <v>4375</v>
      </c>
      <c r="C4391" t="str">
        <f>IFERROR(__xludf.DUMMYFUNCTION("GOOGLETRANSLATE(B4391, ""zh"", ""en"")"),"Wearing a long cool watch, wild clothes.")</f>
        <v>Wearing a long cool watch, wild clothes.</v>
      </c>
    </row>
    <row r="4392">
      <c r="A4392" s="1">
        <v>5.0</v>
      </c>
      <c r="B4392" s="1" t="s">
        <v>4376</v>
      </c>
      <c r="C4392" t="str">
        <f>IFERROR(__xludf.DUMMYFUNCTION("GOOGLETRANSLATE(B4392, ""zh"", ""en"")"),"When the production price spike to buy, Germany, price on the very edge. This nice coloring pens, paint very comfortable. Is water soluble.")</f>
        <v>When the production price spike to buy, Germany, price on the very edge. This nice coloring pens, paint very comfortable. Is water soluble.</v>
      </c>
    </row>
    <row r="4393">
      <c r="A4393" s="1">
        <v>5.0</v>
      </c>
      <c r="B4393" s="1" t="s">
        <v>4377</v>
      </c>
      <c r="C4393" t="str">
        <f>IFERROR(__xludf.DUMMYFUNCTION("GOOGLETRANSLATE(B4393, ""zh"", ""en"")"),"Overseas purchase is very convenient! Amazon purchased overseas really convenient, but also scouring the low prices of good things, but also security, the high cost.")</f>
        <v>Overseas purchase is very convenient! Amazon purchased overseas really convenient, but also scouring the low prices of good things, but also security, the high cost.</v>
      </c>
    </row>
    <row r="4394">
      <c r="A4394" s="1">
        <v>5.0</v>
      </c>
      <c r="B4394" s="1" t="s">
        <v>4378</v>
      </c>
      <c r="C4394" t="str">
        <f>IFERROR(__xludf.DUMMYFUNCTION("GOOGLETRANSLATE(B4394, ""zh"", ""en"")"),"Delivery speed, price for orders of force Saturday, arrived on Thursday, a total of five days, very fast! Shoes good quality, should be genuine brand new, but the old section of the box is not the new black box. Great wear Nike foot 46 yards, slightly lar"&amp;"ger than the 45 point substantially fit shoe really relaxed, comfortable breathable insole slightly slippery. To force the price, cheaper than half price discount than the store!")</f>
        <v>Delivery speed, price for orders of force Saturday, arrived on Thursday, a total of five days, very fast! Shoes good quality, should be genuine brand new, but the old section of the box is not the new black box. Great wear Nike foot 46 yards, slightly larger than the 45 point substantially fit shoe really relaxed, comfortable breathable insole slightly slippery. To force the price, cheaper than half price discount than the store!</v>
      </c>
    </row>
    <row r="4395">
      <c r="A4395" s="1">
        <v>5.0</v>
      </c>
      <c r="B4395" s="1" t="s">
        <v>4379</v>
      </c>
      <c r="C4395" t="str">
        <f>IFERROR(__xludf.DUMMYFUNCTION("GOOGLETRANSLATE(B4395, ""zh"", ""en"")"),"Summer is breathable chest is pressed, the function does not gather, but cool, very comfortable shoulder strap, will not fall, bought a few pieces of summer wear.")</f>
        <v>Summer is breathable chest is pressed, the function does not gather, but cool, very comfortable shoulder strap, will not fall, bought a few pieces of summer wear.</v>
      </c>
    </row>
    <row r="4396">
      <c r="A4396" s="1">
        <v>5.0</v>
      </c>
      <c r="B4396" s="1" t="s">
        <v>4380</v>
      </c>
      <c r="C4396" t="str">
        <f>IFERROR(__xludf.DUMMYFUNCTION("GOOGLETRANSLATE(B4396, ""zh"", ""en"")"),"e5 friend of speakers, the overall sound is quite satisfactory.")</f>
        <v>e5 friend of speakers, the overall sound is quite satisfactory.</v>
      </c>
    </row>
    <row r="4397">
      <c r="A4397" s="1">
        <v>5.0</v>
      </c>
      <c r="B4397" s="1" t="s">
        <v>4381</v>
      </c>
      <c r="C4397" t="str">
        <f>IFERROR(__xludf.DUMMYFUNCTION("GOOGLETRANSLATE(B4397, ""zh"", ""en"")"),"It is worth buying at this price is very good, but also a great reader also worth buying.")</f>
        <v>It is worth buying at this price is very good, but also a great reader also worth buying.</v>
      </c>
    </row>
    <row r="4398">
      <c r="A4398" s="1">
        <v>5.0</v>
      </c>
      <c r="B4398" s="1" t="s">
        <v>4382</v>
      </c>
      <c r="C4398" t="str">
        <f>IFERROR(__xludf.DUMMYFUNCTION("GOOGLETRANSLATE(B4398, ""zh"", ""en"")"),"A lot of people say good things useless, I bought, bought after I bought it feel a lot of things! Not bad this money to change a bad habit,")</f>
        <v>A lot of people say good things useless, I bought, bought after I bought it feel a lot of things! Not bad this money to change a bad habit,</v>
      </c>
    </row>
    <row r="4399">
      <c r="A4399" s="1">
        <v>5.0</v>
      </c>
      <c r="B4399" s="1" t="s">
        <v>4383</v>
      </c>
      <c r="C4399" t="str">
        <f>IFERROR(__xludf.DUMMYFUNCTION("GOOGLETRANSLATE(B4399, ""zh"", ""en"")"),"Shoes men wear the best option W version shoes men wear. Shoes are very suitable, 256 feet long, to buy 9.5W, can wear thick socks toe activity, very good. Color than the picture a little bit shallow, relatively heavy. Overall very good, rain and snow mus"&amp;"t have! Price is also very satisfied. But that is a little thin laces I'm going to set myself with anything else. Or five stars, like the Amazon!")</f>
        <v>Shoes men wear the best option W version shoes men wear. Shoes are very suitable, 256 feet long, to buy 9.5W, can wear thick socks toe activity, very good. Color than the picture a little bit shallow, relatively heavy. Overall very good, rain and snow must have! Price is also very satisfied. But that is a little thin laces I'm going to set myself with anything else. Or five stars, like the Amazon!</v>
      </c>
    </row>
    <row r="4400">
      <c r="A4400" s="1">
        <v>5.0</v>
      </c>
      <c r="B4400" s="1" t="s">
        <v>4384</v>
      </c>
      <c r="C4400" t="str">
        <f>IFERROR(__xludf.DUMMYFUNCTION("GOOGLETRANSLATE(B4400, ""zh"", ""en"")"),"Okay! ! ! Okay! ! !")</f>
        <v>Okay! ! ! Okay! ! !</v>
      </c>
    </row>
    <row r="4401">
      <c r="A4401" s="1">
        <v>5.0</v>
      </c>
      <c r="B4401" s="1" t="s">
        <v>4385</v>
      </c>
      <c r="C4401" t="str">
        <f>IFERROR(__xludf.DUMMYFUNCTION("GOOGLETRANSLATE(B4401, ""zh"", ""en"")"),"Under Armor 171,75, medium appropriate. Very warm clothes.")</f>
        <v>Under Armor 171,75, medium appropriate. Very warm clothes.</v>
      </c>
    </row>
    <row r="4402">
      <c r="A4402" s="1">
        <v>5.0</v>
      </c>
      <c r="B4402" s="1" t="s">
        <v>4386</v>
      </c>
      <c r="C4402" t="str">
        <f>IFERROR(__xludf.DUMMYFUNCTION("GOOGLETRANSLATE(B4402, ""zh"", ""en"")"),"Insulation pot insulation properties feel good when just got a great look and color pages illustrating the difference, in other words satisfaction page color map! Later, through the use, I feel more and more good-looking, including styles. Really think th"&amp;"e test of the appearance of colors and styles to withstand time! Also insulation pot good insulation properties, to the freshly boiled water over the past six hours, drinking it is quite hot mouth!")</f>
        <v>Insulation pot insulation properties feel good when just got a great look and color pages illustrating the difference, in other words satisfaction page color map! Later, through the use, I feel more and more good-looking, including styles. Really think the test of the appearance of colors and styles to withstand time! Also insulation pot good insulation properties, to the freshly boiled water over the past six hours, drinking it is quite hot mouth!</v>
      </c>
    </row>
    <row r="4403">
      <c r="A4403" s="1">
        <v>5.0</v>
      </c>
      <c r="B4403" s="1" t="s">
        <v>4387</v>
      </c>
      <c r="C4403" t="str">
        <f>IFERROR(__xludf.DUMMYFUNCTION("GOOGLETRANSLATE(B4403, ""zh"", ""en"")"),"Ok really good, children need both hands grip")</f>
        <v>Ok really good, children need both hands grip</v>
      </c>
    </row>
    <row r="4404">
      <c r="A4404" s="1">
        <v>5.0</v>
      </c>
      <c r="B4404" s="1" t="s">
        <v>4388</v>
      </c>
      <c r="C4404" t="str">
        <f>IFERROR(__xludf.DUMMYFUNCTION("GOOGLETRANSLATE(B4404, ""zh"", ""en"")"),"Still be a little thin cup wall, insulation requirements in think most appropriate summer")</f>
        <v>Still be a little thin cup wall, insulation requirements in think most appropriate summer</v>
      </c>
    </row>
    <row r="4405">
      <c r="A4405" s="1">
        <v>5.0</v>
      </c>
      <c r="B4405" s="1" t="s">
        <v>4389</v>
      </c>
      <c r="C4405" t="str">
        <f>IFERROR(__xludf.DUMMYFUNCTION("GOOGLETRANSLATE(B4405, ""zh"", ""en"")"),"A word good thing to have a very easy to use! G. . d")</f>
        <v>A word good thing to have a very easy to use! G. . d</v>
      </c>
    </row>
    <row r="4406">
      <c r="A4406" s="1">
        <v>5.0</v>
      </c>
      <c r="B4406" s="1" t="s">
        <v>4390</v>
      </c>
      <c r="C4406" t="str">
        <f>IFERROR(__xludf.DUMMYFUNCTION("GOOGLETRANSLATE(B4406, ""zh"", ""en"")"),"Domestic cotton has been comfortable with the times, the first time Japan aunt towel, this touch softer, comfortable")</f>
        <v>Domestic cotton has been comfortable with the times, the first time Japan aunt towel, this touch softer, comfortable</v>
      </c>
    </row>
    <row r="4407">
      <c r="A4407" s="1">
        <v>5.0</v>
      </c>
      <c r="B4407" s="1" t="s">
        <v>4391</v>
      </c>
      <c r="C4407" t="str">
        <f>IFERROR(__xludf.DUMMYFUNCTION("GOOGLETRANSLATE(B4407, ""zh"", ""en"")"),"Very good product like this product. Much better than 18cm. It is so heavy. The pole can afford to live it?")</f>
        <v>Very good product like this product. Much better than 18cm. It is so heavy. The pole can afford to live it?</v>
      </c>
    </row>
    <row r="4408">
      <c r="A4408" s="1">
        <v>5.0</v>
      </c>
      <c r="B4408" s="1" t="s">
        <v>4392</v>
      </c>
      <c r="C4408" t="str">
        <f>IFERROR(__xludf.DUMMYFUNCTION("GOOGLETRANSLATE(B4408, ""zh"", ""en"")"),"Very comfortable and cozy, very high cost.")</f>
        <v>Very comfortable and cozy, very high cost.</v>
      </c>
    </row>
    <row r="4409">
      <c r="A4409" s="1">
        <v>5.0</v>
      </c>
      <c r="B4409" s="1" t="s">
        <v>4393</v>
      </c>
      <c r="C4409" t="str">
        <f>IFERROR(__xludf.DUMMYFUNCTION("GOOGLETRANSLATE(B4409, ""zh"", ""en"")"),"Shoes models like the color is very positive")</f>
        <v>Shoes models like the color is very positive</v>
      </c>
    </row>
    <row r="4410">
      <c r="A4410" s="1">
        <v>5.0</v>
      </c>
      <c r="B4410" s="1" t="s">
        <v>4394</v>
      </c>
      <c r="C4410" t="str">
        <f>IFERROR(__xludf.DUMMYFUNCTION("GOOGLETRANSLATE(B4410, ""zh"", ""en"")"),"Electricity needs improvement. I got a little older baby can consider this lazy, want to buy before their casual sweep, then wipe dry, then wet wipe. After using I think it was equipped with a cleaning robot or handheld Dyson. Because this guy really is a"&amp;" question of power, and then wipe dry wet rub, I have this little house broken middle one charge to complete the task. Spent two days, the line remains a mystery, it feels quite sofa and love drill under the table. Generally speaking recommend it. Oversea"&amp;"s purchase warranty and return has been a big problem, we hope that Amazon will seriously deal with overseas purchase sale. Let us enjoy the country and supply the same warranty and free shipping for return.")</f>
        <v>Electricity needs improvement. I got a little older baby can consider this lazy, want to buy before their casual sweep, then wipe dry, then wet wipe. After using I think it was equipped with a cleaning robot or handheld Dyson. Because this guy really is a question of power, and then wipe dry wet rub, I have this little house broken middle one charge to complete the task. Spent two days, the line remains a mystery, it feels quite sofa and love drill under the table. Generally speaking recommend it. Overseas purchase warranty and return has been a big problem, we hope that Amazon will seriously deal with overseas purchase sale. Let us enjoy the country and supply the same warranty and free shipping for return.</v>
      </c>
    </row>
    <row r="4411">
      <c r="A4411" s="1">
        <v>5.0</v>
      </c>
      <c r="B4411" s="1" t="s">
        <v>4395</v>
      </c>
      <c r="C4411" t="str">
        <f>IFERROR(__xludf.DUMMYFUNCTION("GOOGLETRANSLATE(B4411, ""zh"", ""en"")"),"Satisfied with good, very good quality, the right size, you can wear in April")</f>
        <v>Satisfied with good, very good quality, the right size, you can wear in April</v>
      </c>
    </row>
    <row r="4412">
      <c r="A4412" s="1">
        <v>2.0</v>
      </c>
      <c r="B4412" s="1" t="s">
        <v>4396</v>
      </c>
      <c r="C4412" t="str">
        <f>IFERROR(__xludf.DUMMYFUNCTION("GOOGLETRANSLATE(B4412, ""zh"", ""en"")"),"Quality is not wearing a few months, on top of a small toe on worn. This situation appears for the first time wearing shoes.")</f>
        <v>Quality is not wearing a few months, on top of a small toe on worn. This situation appears for the first time wearing shoes.</v>
      </c>
    </row>
    <row r="4413">
      <c r="A4413" s="1">
        <v>3.0</v>
      </c>
      <c r="B4413" s="1" t="s">
        <v>4397</v>
      </c>
      <c r="C4413" t="str">
        <f>IFERROR(__xludf.DUMMYFUNCTION("GOOGLETRANSLATE(B4413, ""zh"", ""en"")"),"Unstable appearance was nice, but summer is not very stable, must have been with a small fan blowing, or you'll die.")</f>
        <v>Unstable appearance was nice, but summer is not very stable, must have been with a small fan blowing, or you'll die.</v>
      </c>
    </row>
    <row r="4414">
      <c r="A4414" s="1">
        <v>3.0</v>
      </c>
      <c r="B4414" s="1" t="s">
        <v>4398</v>
      </c>
      <c r="C4414" t="str">
        <f>IFERROR(__xludf.DUMMYFUNCTION("GOOGLETRANSLATE(B4414, ""zh"", ""en"")"),"Use good, 750pro 19 available by the end of the receipt of 17 years of production, the cup body is very dirty, there are obvious scratches on the lid, and made me once suspected to be false or used, but also good to use")</f>
        <v>Use good, 750pro 19 available by the end of the receipt of 17 years of production, the cup body is very dirty, there are obvious scratches on the lid, and made me once suspected to be false or used, but also good to use</v>
      </c>
    </row>
    <row r="4415">
      <c r="A4415" s="1">
        <v>1.0</v>
      </c>
      <c r="B4415" s="1" t="s">
        <v>4399</v>
      </c>
      <c r="C4415" t="str">
        <f>IFERROR(__xludf.DUMMYFUNCTION("GOOGLETRANSLATE(B4415, ""zh"", ""en"")"),"too big. Serious discrepancies with the size of the table, buy back overseas and cumbersome, postage themselves only 2 dollars a hand back and forth, not too much Tucao point too. Serious discrepancies with the size of the table, buy back overseas and cum"&amp;"bersome, postage themselves only 2 dollars a hand back and forth, not too much Tucao point")</f>
        <v>too big. Serious discrepancies with the size of the table, buy back overseas and cumbersome, postage themselves only 2 dollars a hand back and forth, not too much Tucao point too. Serious discrepancies with the size of the table, buy back overseas and cumbersome, postage themselves only 2 dollars a hand back and forth, not too much Tucao point</v>
      </c>
    </row>
    <row r="4416">
      <c r="A4416" s="1">
        <v>1.0</v>
      </c>
      <c r="B4416" s="1" t="s">
        <v>4400</v>
      </c>
      <c r="C4416" t="str">
        <f>IFERROR(__xludf.DUMMYFUNCTION("GOOGLETRANSLATE(B4416, ""zh"", ""en"")"),"Extremely disappointed first before read a lot of evaluation before buying this U disk, and bought before pny, and see comments that have write speeds of 60-70, more likely to trust this brand. However, waiting for nearly two weeks, the result is very dis"&amp;"appointing. U disk write speed 3.0 of amazing slow, and extremely unstable fluctuate back and forth between 12mb-41mb, the same 3.0 Toshiba exⅡ write a stable rate of 100-110mb. Ugh. . . The latest evaluation, 17g writing to 13 minutes, 15 to 30 rate fluc"&amp;"tuations. 50 did not 😭")</f>
        <v>Extremely disappointed first before read a lot of evaluation before buying this U disk, and bought before pny, and see comments that have write speeds of 60-70, more likely to trust this brand. However, waiting for nearly two weeks, the result is very disappointing. U disk write speed 3.0 of amazing slow, and extremely unstable fluctuate back and forth between 12mb-41mb, the same 3.0 Toshiba exⅡ write a stable rate of 100-110mb. Ugh. . . The latest evaluation, 17g writing to 13 minutes, 15 to 30 rate fluctuations. 50 did not 😭</v>
      </c>
    </row>
    <row r="4417">
      <c r="A4417" s="1">
        <v>1.0</v>
      </c>
      <c r="B4417" s="1" t="s">
        <v>4401</v>
      </c>
      <c r="C4417" t="str">
        <f>IFERROR(__xludf.DUMMYFUNCTION("GOOGLETRANSLATE(B4417, ""zh"", ""en"")"),"Too easily broken, do not buy, not warranty! ! It took three months and it broke! ! Customer service said the overseas purchase of goods can not be warranty. Previously bought a wired lid upside down when that tank, do not bother with the small, the resul"&amp;"ts put a half on the bad. The only 3 months and bad, black Bi Jie life! ! ! Do not buy! ! ! ! If I absolutely hit play 0 0 Star Star")</f>
        <v>Too easily broken, do not buy, not warranty! ! It took three months and it broke! ! Customer service said the overseas purchase of goods can not be warranty. Previously bought a wired lid upside down when that tank, do not bother with the small, the results put a half on the bad. The only 3 months and bad, black Bi Jie life! ! ! Do not buy! ! ! ! If I absolutely hit play 0 0 Star Star</v>
      </c>
    </row>
    <row r="4418">
      <c r="A4418" s="1">
        <v>4.0</v>
      </c>
      <c r="B4418" s="1" t="s">
        <v>4402</v>
      </c>
      <c r="C4418" t="str">
        <f>IFERROR(__xludf.DUMMYFUNCTION("GOOGLETRANSLATE(B4418, ""zh"", ""en"")"),"Bra bra no rims very comfortable to wear, but the bust is too large to wear a little loose.")</f>
        <v>Bra bra no rims very comfortable to wear, but the bust is too large to wear a little loose.</v>
      </c>
    </row>
    <row r="4419">
      <c r="A4419" s="1">
        <v>4.0</v>
      </c>
      <c r="B4419" s="1" t="s">
        <v>4403</v>
      </c>
      <c r="C4419" t="str">
        <f>IFERROR(__xludf.DUMMYFUNCTION("GOOGLETRANSLATE(B4419, ""zh"", ""en"")"),"Mug cup can be very good use, dishes in general, there is no way fixed.")</f>
        <v>Mug cup can be very good use, dishes in general, there is no way fixed.</v>
      </c>
    </row>
    <row r="4420">
      <c r="A4420" s="1">
        <v>4.0</v>
      </c>
      <c r="B4420" s="1" t="s">
        <v>4404</v>
      </c>
      <c r="C4420" t="str">
        <f>IFERROR(__xludf.DUMMYFUNCTION("GOOGLETRANSLATE(B4420, ""zh"", ""en"")"),"It can also do not know how to put up to buy a map today, to today, this is not very good logistics fast write, loose white pen has been flying at, I do not know if it is a common problem with small hands, the pen is very thick, very difficult to hold and"&amp;", girls do not recommend to buy F sharp thick gel pen to write than to write a 2000 word about 0.5, comes with about 1/3 of the ink tube, do not use this Zi! I wrote a report on thinking that I could not climb a lattice tired! Get packing plastic box, in "&amp;"fact, I prefer a bag that a. A ah, I do not know what to say, so be it")</f>
        <v>It can also do not know how to put up to buy a map today, to today, this is not very good logistics fast write, loose white pen has been flying at, I do not know if it is a common problem with small hands, the pen is very thick, very difficult to hold and, girls do not recommend to buy F sharp thick gel pen to write than to write a 2000 word about 0.5, comes with about 1/3 of the ink tube, do not use this Zi! I wrote a report on thinking that I could not climb a lattice tired! Get packing plastic box, in fact, I prefer a bag that a. A ah, I do not know what to say, so be it</v>
      </c>
    </row>
    <row r="4421">
      <c r="A4421" s="1">
        <v>4.0</v>
      </c>
      <c r="B4421" s="1" t="s">
        <v>4405</v>
      </c>
      <c r="C4421" t="str">
        <f>IFERROR(__xludf.DUMMYFUNCTION("GOOGLETRANSLATE(B4421, ""zh"", ""en"")"),"Yes, quite accurate, the watch band is too good, quite accurate, the watch band is too long")</f>
        <v>Yes, quite accurate, the watch band is too good, quite accurate, the watch band is too long</v>
      </c>
    </row>
    <row r="4422">
      <c r="A4422" s="1">
        <v>5.0</v>
      </c>
      <c r="B4422" s="1" t="s">
        <v>4406</v>
      </c>
      <c r="C4422" t="str">
        <f>IFERROR(__xludf.DUMMYFUNCTION("GOOGLETRANSLATE(B4422, ""zh"", ""en"")"),"Very good feeling in exquisite packaging does not seem to see the Apple store, but this thing as long as the good quality and have nothing to say, more refined appearance, running sound is also very small, no hot phenomenon, the overall good")</f>
        <v>Very good feeling in exquisite packaging does not seem to see the Apple store, but this thing as long as the good quality and have nothing to say, more refined appearance, running sound is also very small, no hot phenomenon, the overall good</v>
      </c>
    </row>
    <row r="4423">
      <c r="A4423" s="1">
        <v>5.0</v>
      </c>
      <c r="B4423" s="1" t="s">
        <v>4407</v>
      </c>
      <c r="C4423" t="str">
        <f>IFERROR(__xludf.DUMMYFUNCTION("GOOGLETRANSLATE(B4423, ""zh"", ""en"")"),"Very warm very warm, just pants, shirt slightly larger than the One")</f>
        <v>Very warm very warm, just pants, shirt slightly larger than the One</v>
      </c>
    </row>
    <row r="4424">
      <c r="A4424" s="1">
        <v>5.0</v>
      </c>
      <c r="B4424" s="1" t="s">
        <v>4408</v>
      </c>
      <c r="C4424" t="str">
        <f>IFERROR(__xludf.DUMMYFUNCTION("GOOGLETRANSLATE(B4424, ""zh"", ""en"")"),"Super satisfaction favorite Amazon's count words clearly said that after ten days in advance to the 18th! Shoe size standard usually 37.5 38 shoes running shoes usually buy most of the code will be 38.5, rhubarb season wear boots US7 UK5 now very good, pe"&amp;"rfect!")</f>
        <v>Super satisfaction favorite Amazon's count words clearly said that after ten days in advance to the 18th! Shoe size standard usually 37.5 38 shoes running shoes usually buy most of the code will be 38.5, rhubarb season wear boots US7 UK5 now very good, perfect!</v>
      </c>
    </row>
    <row r="4425">
      <c r="A4425" s="1">
        <v>5.0</v>
      </c>
      <c r="B4425" s="1" t="s">
        <v>4409</v>
      </c>
      <c r="C4425" t="str">
        <f>IFERROR(__xludf.DUMMYFUNCTION("GOOGLETRANSLATE(B4425, ""zh"", ""en"")"),"Pretty good just fine, looks good quality.")</f>
        <v>Pretty good just fine, looks good quality.</v>
      </c>
    </row>
    <row r="4426">
      <c r="A4426" s="1">
        <v>5.0</v>
      </c>
      <c r="B4426" s="1" t="s">
        <v>4410</v>
      </c>
      <c r="C4426" t="str">
        <f>IFERROR(__xludf.DUMMYFUNCTION("GOOGLETRANSLATE(B4426, ""zh"", ""en"")"),"Good quality is very good, the version good and then freshman code is also no problem, height 1.74 weight 160,")</f>
        <v>Good quality is very good, the version good and then freshman code is also no problem, height 1.74 weight 160,</v>
      </c>
    </row>
    <row r="4427">
      <c r="A4427" s="1">
        <v>5.0</v>
      </c>
      <c r="B4427" s="1" t="s">
        <v>4411</v>
      </c>
      <c r="C4427" t="str">
        <f>IFERROR(__xludf.DUMMYFUNCTION("GOOGLETRANSLATE(B4427, ""zh"", ""en"")"),"Ok this cup really Niubi ah, this cup is really beyond imagination")</f>
        <v>Ok this cup really Niubi ah, this cup is really beyond imagination</v>
      </c>
    </row>
    <row r="4428">
      <c r="A4428" s="1">
        <v>5.0</v>
      </c>
      <c r="B4428" s="1" t="s">
        <v>4412</v>
      </c>
      <c r="C4428" t="str">
        <f>IFERROR(__xludf.DUMMYFUNCTION("GOOGLETRANSLATE(B4428, ""zh"", ""en"")"),"This year will often wear a shoe is very good, relatively quite, wild section")</f>
        <v>This year will often wear a shoe is very good, relatively quite, wild section</v>
      </c>
    </row>
    <row r="4429">
      <c r="A4429" s="1">
        <v>5.0</v>
      </c>
      <c r="B4429" s="1" t="s">
        <v>4413</v>
      </c>
      <c r="C4429" t="str">
        <f>IFERROR(__xludf.DUMMYFUNCTION("GOOGLETRANSLATE(B4429, ""zh"", ""en"")"),"Satisfying shopping fit, fabric is very satisfied.")</f>
        <v>Satisfying shopping fit, fabric is very satisfied.</v>
      </c>
    </row>
    <row r="4430">
      <c r="A4430" s="1">
        <v>5.0</v>
      </c>
      <c r="B4430" s="1" t="s">
        <v>4414</v>
      </c>
      <c r="C4430" t="str">
        <f>IFERROR(__xludf.DUMMYFUNCTION("GOOGLETRANSLATE(B4430, ""zh"", ""en"")"),"Buy freshman yards just satisfaction, thick and comfortable")</f>
        <v>Buy freshman yards just satisfaction, thick and comfortable</v>
      </c>
    </row>
    <row r="4431">
      <c r="A4431" s="1">
        <v>5.0</v>
      </c>
      <c r="B4431" s="1" t="s">
        <v>4415</v>
      </c>
      <c r="C4431" t="str">
        <f>IFERROR(__xludf.DUMMYFUNCTION("GOOGLETRANSLATE(B4431, ""zh"", ""en"")"),"Good size appropriate to wear very comfortable. There are also feeling the effect, about two months, a small hip 3 cm")</f>
        <v>Good size appropriate to wear very comfortable. There are also feeling the effect, about two months, a small hip 3 cm</v>
      </c>
    </row>
    <row r="4432">
      <c r="A4432" s="1">
        <v>5.0</v>
      </c>
      <c r="B4432" s="1" t="s">
        <v>4416</v>
      </c>
      <c r="C4432" t="str">
        <f>IFERROR(__xludf.DUMMYFUNCTION("GOOGLETRANSLATE(B4432, ""zh"", ""en"")"),"Code number is too small okay, shoes too narrow")</f>
        <v>Code number is too small okay, shoes too narrow</v>
      </c>
    </row>
    <row r="4433">
      <c r="A4433" s="1">
        <v>5.0</v>
      </c>
      <c r="B4433" s="1" t="s">
        <v>4417</v>
      </c>
      <c r="C4433" t="str">
        <f>IFERROR(__xludf.DUMMYFUNCTION("GOOGLETRANSLATE(B4433, ""zh"", ""en"")"),"Good good design inside the liner may wash out alone or in hot meals super easy")</f>
        <v>Good good design inside the liner may wash out alone or in hot meals super easy</v>
      </c>
    </row>
    <row r="4434">
      <c r="A4434" s="1">
        <v>5.0</v>
      </c>
      <c r="B4434" s="1" t="s">
        <v>4418</v>
      </c>
      <c r="C4434" t="str">
        <f>IFERROR(__xludf.DUMMYFUNCTION("GOOGLETRANSLATE(B4434, ""zh"", ""en"")"),"Boil water quickly, boil water quickly jug plastic products, you can specify burn 60 degrees to 100 degrees, twenty minutes insulation function somewhat tasteless, if not in contact with the plastic jug is perfect.")</f>
        <v>Boil water quickly, boil water quickly jug plastic products, you can specify burn 60 degrees to 100 degrees, twenty minutes insulation function somewhat tasteless, if not in contact with the plastic jug is perfect.</v>
      </c>
    </row>
    <row r="4435">
      <c r="A4435" s="1">
        <v>5.0</v>
      </c>
      <c r="B4435" s="1" t="s">
        <v>4419</v>
      </c>
      <c r="C4435" t="str">
        <f>IFERROR(__xludf.DUMMYFUNCTION("GOOGLETRANSLATE(B4435, ""zh"", ""en"")"),"Clothes is very good satisfaction clothes of good quality, soft touch to get started cowboy elastic; logistics fast. Height 163 52kg S code just right")</f>
        <v>Clothes is very good satisfaction clothes of good quality, soft touch to get started cowboy elastic; logistics fast. Height 163 52kg S code just right</v>
      </c>
    </row>
    <row r="4436">
      <c r="A4436" s="1">
        <v>5.0</v>
      </c>
      <c r="B4436" s="1" t="s">
        <v>4420</v>
      </c>
      <c r="C4436" t="str">
        <f>IFERROR(__xludf.DUMMYFUNCTION("GOOGLETRANSLATE(B4436, ""zh"", ""en"")"),"Size chart is father of the pit, completely not allowed to 177CM 75KG wear M is loose, looking to buy a xl size chart")</f>
        <v>Size chart is father of the pit, completely not allowed to 177CM 75KG wear M is loose, looking to buy a xl size chart</v>
      </c>
    </row>
    <row r="4437">
      <c r="A4437" s="1">
        <v>5.0</v>
      </c>
      <c r="B4437" s="1" t="s">
        <v>4421</v>
      </c>
      <c r="C4437" t="str">
        <f>IFERROR(__xludf.DUMMYFUNCTION("GOOGLETRANSLATE(B4437, ""zh"", ""en"")"),"Or a glass of good! How can what has been used before, but over time there is the taste, glass or good! Not expensive!")</f>
        <v>Or a glass of good! How can what has been used before, but over time there is the taste, glass or good! Not expensive!</v>
      </c>
    </row>
    <row r="4438">
      <c r="A4438" s="1">
        <v>5.0</v>
      </c>
      <c r="B4438" s="1" t="s">
        <v>4422</v>
      </c>
      <c r="C4438" t="str">
        <f>IFERROR(__xludf.DUMMYFUNCTION("GOOGLETRANSLATE(B4438, ""zh"", ""en"")"),"Attractive, silica gel may be practical spoon color with temperature, with good")</f>
        <v>Attractive, silica gel may be practical spoon color with temperature, with good</v>
      </c>
    </row>
    <row r="4439">
      <c r="A4439" s="1">
        <v>5.0</v>
      </c>
      <c r="B4439" s="1" t="s">
        <v>4423</v>
      </c>
      <c r="C4439" t="str">
        <f>IFERROR(__xludf.DUMMYFUNCTION("GOOGLETRANSLATE(B4439, ""zh"", ""en"")"),"Other low-cut looks good quality are pretty good also considered very cost-effective")</f>
        <v>Other low-cut looks good quality are pretty good also considered very cost-effective</v>
      </c>
    </row>
    <row r="4440">
      <c r="A4440" s="1">
        <v>5.0</v>
      </c>
      <c r="B4440" s="1" t="s">
        <v>4424</v>
      </c>
      <c r="C4440" t="str">
        <f>IFERROR(__xludf.DUMMYFUNCTION("GOOGLETRANSLATE(B4440, ""zh"", ""en"")"),"Why detoxification only Dukang good pen, there is a slight flaw does not affect the use, satisfaction ~")</f>
        <v>Why detoxification only Dukang good pen, there is a slight flaw does not affect the use, satisfaction ~</v>
      </c>
    </row>
    <row r="4441">
      <c r="A4441" s="1">
        <v>5.0</v>
      </c>
      <c r="B4441" s="1" t="s">
        <v>4425</v>
      </c>
      <c r="C4441" t="str">
        <f>IFERROR(__xludf.DUMMYFUNCTION("GOOGLETRANSLATE(B4441, ""zh"", ""en"")"),"Champion Men's Classic knitted printed T-shirt on the clothes very satisfied, fast logistics, packaging intact, size is appropriate, affordable!")</f>
        <v>Champion Men's Classic knitted printed T-shirt on the clothes very satisfied, fast logistics, packaging intact, size is appropriate, affordable!</v>
      </c>
    </row>
    <row r="4442">
      <c r="A4442" s="1">
        <v>5.0</v>
      </c>
      <c r="B4442" s="1" t="s">
        <v>4426</v>
      </c>
      <c r="C4442" t="str">
        <f>IFERROR(__xludf.DUMMYFUNCTION("GOOGLETRANSLATE(B4442, ""zh"", ""en"")"),"Taste good quality, comfortable fabric, embroidery logo is good taste, loose money")</f>
        <v>Taste good quality, comfortable fabric, embroidery logo is good taste, loose money</v>
      </c>
    </row>
    <row r="4443">
      <c r="A4443" s="1">
        <v>5.0</v>
      </c>
      <c r="B4443" s="1" t="s">
        <v>4427</v>
      </c>
      <c r="C4443" t="str">
        <f>IFERROR(__xludf.DUMMYFUNCTION("GOOGLETRANSLATE(B4443, ""zh"", ""en"")"),"Just a little thin is a bit thin, elastic cuffs place nothing. The other very good")</f>
        <v>Just a little thin is a bit thin, elastic cuffs place nothing. The other very good</v>
      </c>
    </row>
    <row r="4444">
      <c r="A4444" s="1">
        <v>2.0</v>
      </c>
      <c r="B4444" s="1" t="s">
        <v>4428</v>
      </c>
      <c r="C4444" t="str">
        <f>IFERROR(__xludf.DUMMYFUNCTION("GOOGLETRANSLATE(B4444, ""zh"", ""en"")"),"Fortunately, the quality is very good, not from the previous evaluation, I do not know how many wasted points, points can change money now know, they should look carefully evaluated, then I put these words to copy to go, both to earn points, but also save"&amp;" time, copy where they go, the most important thing is, do not seriously review, do not think how much worse word, sent directly to it, recommend it to everyone!")</f>
        <v>Fortunately, the quality is very good, not from the previous evaluation, I do not know how many wasted points, points can change money now know, they should look carefully evaluated, then I put these words to copy to go, both to earn points, but also save time, copy where they go, the most important thing is, do not seriously review, do not think how much worse word, sent directly to it, recommend it to everyone!</v>
      </c>
    </row>
    <row r="4445">
      <c r="A4445" s="1">
        <v>3.0</v>
      </c>
      <c r="B4445" s="1" t="s">
        <v>4429</v>
      </c>
      <c r="C4445" t="str">
        <f>IFERROR(__xludf.DUMMYFUNCTION("GOOGLETRANSLATE(B4445, ""zh"", ""en"")"),"Evaluation is a thin section, slightly larger a little, a little bar, cost is not high")</f>
        <v>Evaluation is a thin section, slightly larger a little, a little bar, cost is not high</v>
      </c>
    </row>
    <row r="4446">
      <c r="A4446" s="1">
        <v>3.0</v>
      </c>
      <c r="B4446" s="1" t="s">
        <v>4430</v>
      </c>
      <c r="C4446" t="str">
        <f>IFERROR(__xludf.DUMMYFUNCTION("GOOGLETRANSLATE(B4446, ""zh"", ""en"")"),"Made in India? Clarks desert boots should be Made in China or Made in Vietnam, why this pair of shoes is Made in India ??? are there any big brother can explain the?")</f>
        <v>Made in India? Clarks desert boots should be Made in China or Made in Vietnam, why this pair of shoes is Made in India ??? are there any big brother can explain the?</v>
      </c>
    </row>
    <row r="4447">
      <c r="A4447" s="1">
        <v>3.0</v>
      </c>
      <c r="B4447" s="1" t="s">
        <v>4431</v>
      </c>
      <c r="C4447" t="str">
        <f>IFERROR(__xludf.DUMMYFUNCTION("GOOGLETRANSLATE(B4447, ""zh"", ""en"")"),"Measured overseas buy things at hand, streaking across the sea and to, measured the insulation effect is not very satisfactory, I want to consult the innermost lid with rubber seals do? No lid")</f>
        <v>Measured overseas buy things at hand, streaking across the sea and to, measured the insulation effect is not very satisfactory, I want to consult the innermost lid with rubber seals do? No lid</v>
      </c>
    </row>
    <row r="4448">
      <c r="A4448" s="1">
        <v>1.0</v>
      </c>
      <c r="B4448" s="1" t="s">
        <v>4432</v>
      </c>
      <c r="C4448" t="str">
        <f>IFERROR(__xludf.DUMMYFUNCTION("GOOGLETRANSLATE(B4448, ""zh"", ""en"")"),"Shoe size too big brand sports shoes are usually 42 yards, the results of this shoe 42 yards for a whole number one. In addition, Slovakia is produced.")</f>
        <v>Shoe size too big brand sports shoes are usually 42 yards, the results of this shoe 42 yards for a whole number one. In addition, Slovakia is produced.</v>
      </c>
    </row>
    <row r="4449">
      <c r="A4449" s="1">
        <v>1.0</v>
      </c>
      <c r="B4449" s="1" t="s">
        <v>4433</v>
      </c>
      <c r="C4449" t="str">
        <f>IFERROR(__xludf.DUMMYFUNCTION("GOOGLETRANSLATE(B4449, ""zh"", ""en"")"),"Fakes? The new version? In short good use was supposed to return, but return to the United States, the price is too high! The quality was not as good buy AIU to buy the old version, this thin, plastic taste heavy, not use, buy 4 boxes so idle")</f>
        <v>Fakes? The new version? In short good use was supposed to return, but return to the United States, the price is too high! The quality was not as good buy AIU to buy the old version, this thin, plastic taste heavy, not use, buy 4 boxes so idle</v>
      </c>
    </row>
    <row r="4450">
      <c r="A4450" s="1">
        <v>4.0</v>
      </c>
      <c r="B4450" s="1" t="s">
        <v>4434</v>
      </c>
      <c r="C4450" t="str">
        <f>IFERROR(__xludf.DUMMYFUNCTION("GOOGLETRANSLATE(B4450, ""zh"", ""en"")"),"Oversized usually buy jeans size 28, chose the No. 4 size, get the goods, or the size of a lot of big, baggy waist and hip circumference. But color is very positive, soft cloth, you can give it away.")</f>
        <v>Oversized usually buy jeans size 28, chose the No. 4 size, get the goods, or the size of a lot of big, baggy waist and hip circumference. But color is very positive, soft cloth, you can give it away.</v>
      </c>
    </row>
    <row r="4451">
      <c r="A4451" s="1">
        <v>4.0</v>
      </c>
      <c r="B4451" s="1" t="s">
        <v>4435</v>
      </c>
      <c r="C4451" t="str">
        <f>IFERROR(__xludf.DUMMYFUNCTION("GOOGLETRANSLATE(B4451, ""zh"", ""en"")"),"Single worth buying at 12.15, 12.24 received from the United States to China, nine days arrived, very quickly. 5 days with a slow 10 seconds, 2 seconds per day, travel time very accurately. Super cheap price, it is worth starting. Japan should introduce m"&amp;"ovement model, ease of maintenance. When the outer ring is less than 30 degrees turn on the card is dead, can not sub.")</f>
        <v>Single worth buying at 12.15, 12.24 received from the United States to China, nine days arrived, very quickly. 5 days with a slow 10 seconds, 2 seconds per day, travel time very accurately. Super cheap price, it is worth starting. Japan should introduce movement model, ease of maintenance. When the outer ring is less than 30 degrees turn on the card is dead, can not sub.</v>
      </c>
    </row>
    <row r="4452">
      <c r="A4452" s="1">
        <v>4.0</v>
      </c>
      <c r="B4452" s="1" t="s">
        <v>4436</v>
      </c>
      <c r="C4452" t="str">
        <f>IFERROR(__xludf.DUMMYFUNCTION("GOOGLETRANSLATE(B4452, ""zh"", ""en"")"),"Good good process, normal size, cotton fabrics feel good, I feel very comfortable to wear.")</f>
        <v>Good good process, normal size, cotton fabrics feel good, I feel very comfortable to wear.</v>
      </c>
    </row>
    <row r="4453">
      <c r="A4453" s="1">
        <v>4.0</v>
      </c>
      <c r="B4453" s="1" t="s">
        <v>4437</v>
      </c>
      <c r="C4453" t="str">
        <f>IFERROR(__xludf.DUMMYFUNCTION("GOOGLETRANSLATE(B4453, ""zh"", ""en"")"),"Slim pants good quality, personal feel too self-cultivation, it may be because the reason I like to wear loose pants!")</f>
        <v>Slim pants good quality, personal feel too self-cultivation, it may be because the reason I like to wear loose pants!</v>
      </c>
    </row>
    <row r="4454">
      <c r="A4454" s="1">
        <v>4.0</v>
      </c>
      <c r="B4454" s="1" t="s">
        <v>4438</v>
      </c>
      <c r="C4454" t="str">
        <f>IFERROR(__xludf.DUMMYFUNCTION("GOOGLETRANSLATE(B4454, ""zh"", ""en"")"),"Size marked the best and then some of the details, such as Europe and America code is too large. Code is too big, height 178, weight 172 pounds, XL code a large lot, feel wear M code can be, and good low price, make do wear it, foreign exchange purchase i"&amp;"s also troublesome.")</f>
        <v>Size marked the best and then some of the details, such as Europe and America code is too large. Code is too big, height 178, weight 172 pounds, XL code a large lot, feel wear M code can be, and good low price, make do wear it, foreign exchange purchase is also troublesome.</v>
      </c>
    </row>
    <row r="4455">
      <c r="A4455" s="1">
        <v>5.0</v>
      </c>
      <c r="B4455" s="1" t="s">
        <v>4439</v>
      </c>
      <c r="C4455" t="str">
        <f>IFERROR(__xludf.DUMMYFUNCTION("GOOGLETRANSLATE(B4455, ""zh"", ""en"")"),"Good wear appropriate, put cotton trousers nice, very fit")</f>
        <v>Good wear appropriate, put cotton trousers nice, very fit</v>
      </c>
    </row>
    <row r="4456">
      <c r="A4456" s="1">
        <v>5.0</v>
      </c>
      <c r="B4456" s="1" t="s">
        <v>4440</v>
      </c>
      <c r="C4456" t="str">
        <f>IFERROR(__xludf.DUMMYFUNCTION("GOOGLETRANSLATE(B4456, ""zh"", ""en"")"),"Cost is still possible height 176, weight 70kg choose a 33 × 30, and as a very strange waistline and 31 × 30, but also still slightly larger a little bit, not tight feeling, but not the kind of very, very large, legs a little fat, has again bought, 19 × 3"&amp;"0 in.")</f>
        <v>Cost is still possible height 176, weight 70kg choose a 33 × 30, and as a very strange waistline and 31 × 30, but also still slightly larger a little bit, not tight feeling, but not the kind of very, very large, legs a little fat, has again bought, 19 × 30 in.</v>
      </c>
    </row>
    <row r="4457">
      <c r="A4457" s="1">
        <v>5.0</v>
      </c>
      <c r="B4457" s="1" t="s">
        <v>4441</v>
      </c>
      <c r="C4457" t="str">
        <f>IFERROR(__xludf.DUMMYFUNCTION("GOOGLETRANSLATE(B4457, ""zh"", ""en"")"),"Well no fluorescence and smell good, cheap prices")</f>
        <v>Well no fluorescence and smell good, cheap prices</v>
      </c>
    </row>
    <row r="4458">
      <c r="A4458" s="1">
        <v>5.0</v>
      </c>
      <c r="B4458" s="1" t="s">
        <v>4442</v>
      </c>
      <c r="C4458" t="str">
        <f>IFERROR(__xludf.DUMMYFUNCTION("GOOGLETRANSLATE(B4458, ""zh"", ""en"")"),"Very good quality and workmanship are good, can wear. 18180 to buy S, a little bit small.")</f>
        <v>Very good quality and workmanship are good, can wear. 18180 to buy S, a little bit small.</v>
      </c>
    </row>
    <row r="4459">
      <c r="A4459" s="1">
        <v>5.0</v>
      </c>
      <c r="B4459" s="1" t="s">
        <v>4443</v>
      </c>
      <c r="C4459" t="str">
        <f>IFERROR(__xludf.DUMMYFUNCTION("GOOGLETRANSLATE(B4459, ""zh"", ""en"")"),"Well, like a good baby, shipped back to Germany, much cheaper than domestic buy, baby liked, always use a manual toothbrush brush is not clean feeling, with the electric toothbrush also more obedient, but also a clean brush")</f>
        <v>Well, like a good baby, shipped back to Germany, much cheaper than domestic buy, baby liked, always use a manual toothbrush brush is not clean feeling, with the electric toothbrush also more obedient, but also a clean brush</v>
      </c>
    </row>
    <row r="4460">
      <c r="A4460" s="1">
        <v>5.0</v>
      </c>
      <c r="B4460" s="1" t="s">
        <v>4444</v>
      </c>
      <c r="C4460" t="str">
        <f>IFERROR(__xludf.DUMMYFUNCTION("GOOGLETRANSLATE(B4460, ""zh"", ""en"")"),"Zojirushi stew beaker buy a lot of Zojirushi cup, came good. The insulation badly, after all, the same caliber larger than the capacity of the mug, feeling the lid is not very tight, in-kind good-looking than the picture, satisfied.")</f>
        <v>Zojirushi stew beaker buy a lot of Zojirushi cup, came good. The insulation badly, after all, the same caliber larger than the capacity of the mug, feeling the lid is not very tight, in-kind good-looking than the picture, satisfied.</v>
      </c>
    </row>
    <row r="4461">
      <c r="A4461" s="1">
        <v>5.0</v>
      </c>
      <c r="B4461" s="1" t="s">
        <v>4445</v>
      </c>
      <c r="C4461" t="str">
        <f>IFERROR(__xludf.DUMMYFUNCTION("GOOGLETRANSLATE(B4461, ""zh"", ""en"")"),"Good packaging, 1 year global warranty. Good packaging, 1 year global warranty.")</f>
        <v>Good packaging, 1 year global warranty. Good packaging, 1 year global warranty.</v>
      </c>
    </row>
    <row r="4462">
      <c r="A4462" s="1">
        <v>5.0</v>
      </c>
      <c r="B4462" s="1" t="s">
        <v>4446</v>
      </c>
      <c r="C4462" t="str">
        <f>IFERROR(__xludf.DUMMYFUNCTION("GOOGLETRANSLATE(B4462, ""zh"", ""en"")"),"Less oil spills, smooth writing ballpoint pen with a good number of big brands decades as always, just in time for the price, almost half price, a box of 50, half black half blue, writing smooth, very little oil.")</f>
        <v>Less oil spills, smooth writing ballpoint pen with a good number of big brands decades as always, just in time for the price, almost half price, a box of 50, half black half blue, writing smooth, very little oil.</v>
      </c>
    </row>
    <row r="4463">
      <c r="A4463" s="1">
        <v>5.0</v>
      </c>
      <c r="B4463" s="1" t="s">
        <v>4447</v>
      </c>
      <c r="C4463" t="str">
        <f>IFERROR(__xludf.DUMMYFUNCTION("GOOGLETRANSLATE(B4463, ""zh"", ""en"")"),"Value for money Germany 5 days arrive, coming not imagine, Yan is very high, cheaper than some East 500. Three block efforts deft a bottle of water can rinse the teeth. No state security, hope and durable point")</f>
        <v>Value for money Germany 5 days arrive, coming not imagine, Yan is very high, cheaper than some East 500. Three block efforts deft a bottle of water can rinse the teeth. No state security, hope and durable point</v>
      </c>
    </row>
    <row r="4464">
      <c r="A4464" s="1">
        <v>5.0</v>
      </c>
      <c r="B4464" s="1" t="s">
        <v>4448</v>
      </c>
      <c r="C4464" t="str">
        <f>IFERROR(__xludf.DUMMYFUNCTION("GOOGLETRANSLATE(B4464, ""zh"", ""en"")"),"Warm thin very thin very warm, someone liked. 140 pounds, 170, for S")</f>
        <v>Warm thin very thin very warm, someone liked. 140 pounds, 170, for S</v>
      </c>
    </row>
    <row r="4465">
      <c r="A4465" s="1">
        <v>5.0</v>
      </c>
      <c r="B4465" s="1" t="s">
        <v>4449</v>
      </c>
      <c r="C4465" t="str">
        <f>IFERROR(__xludf.DUMMYFUNCTION("GOOGLETRANSLATE(B4465, ""zh"", ""en"")"),"Buy a little big shoes look good, is genuine, praise")</f>
        <v>Buy a little big shoes look good, is genuine, praise</v>
      </c>
    </row>
    <row r="4466">
      <c r="A4466" s="1">
        <v>5.0</v>
      </c>
      <c r="B4466" s="1" t="s">
        <v>4450</v>
      </c>
      <c r="C4466" t="str">
        <f>IFERROR(__xludf.DUMMYFUNCTION("GOOGLETRANSLATE(B4466, ""zh"", ""en"")"),"Small but powerful, extraordinary fidelity. Small but powerful, extraordinary fidelity.")</f>
        <v>Small but powerful, extraordinary fidelity. Small but powerful, extraordinary fidelity.</v>
      </c>
    </row>
    <row r="4467">
      <c r="A4467" s="1">
        <v>5.0</v>
      </c>
      <c r="B4467" s="1" t="s">
        <v>4451</v>
      </c>
      <c r="C4467" t="str">
        <f>IFERROR(__xludf.DUMMYFUNCTION("GOOGLETRANSLATE(B4467, ""zh"", ""en"")"),"Affordable logistics fast inexpensive logistics fast!")</f>
        <v>Affordable logistics fast inexpensive logistics fast!</v>
      </c>
    </row>
    <row r="4468">
      <c r="A4468" s="1">
        <v>5.0</v>
      </c>
      <c r="B4468" s="1" t="s">
        <v>4452</v>
      </c>
      <c r="C4468" t="str">
        <f>IFERROR(__xludf.DUMMYFUNCTION("GOOGLETRANSLATE(B4468, ""zh"", ""en"")"),"Basic shopping fun for the first time to buy a very comfortable pair of shoes")</f>
        <v>Basic shopping fun for the first time to buy a very comfortable pair of shoes</v>
      </c>
    </row>
    <row r="4469">
      <c r="A4469" s="1">
        <v>5.0</v>
      </c>
      <c r="B4469" s="1" t="s">
        <v>4453</v>
      </c>
      <c r="C4469" t="str">
        <f>IFERROR(__xludf.DUMMYFUNCTION("GOOGLETRANSLATE(B4469, ""zh"", ""en"")"),"Other underwear size too small compared with the boss is slightly smaller, wearing a little tight.")</f>
        <v>Other underwear size too small compared with the boss is slightly smaller, wearing a little tight.</v>
      </c>
    </row>
    <row r="4470">
      <c r="A4470" s="1">
        <v>5.0</v>
      </c>
      <c r="B4470" s="1" t="s">
        <v>4454</v>
      </c>
      <c r="C4470" t="str">
        <f>IFERROR(__xludf.DUMMYFUNCTION("GOOGLETRANSLATE(B4470, ""zh"", ""en"")"),"New Look comment fear is second-hand, received open checks are brand new, never used signs, much cheaper than the official website, happy")</f>
        <v>New Look comment fear is second-hand, received open checks are brand new, never used signs, much cheaper than the official website, happy</v>
      </c>
    </row>
    <row r="4471">
      <c r="A4471" s="1">
        <v>5.0</v>
      </c>
      <c r="B4471" s="1" t="s">
        <v>4455</v>
      </c>
      <c r="C4471" t="str">
        <f>IFERROR(__xludf.DUMMYFUNCTION("GOOGLETRANSLATE(B4471, ""zh"", ""en"")"),"Kangaroo gray often good-looking clothes oh ~ ~ ~ gray often good-looking clothes kangaroo oh ~~~ 180cm 95kg not pregnant, bought L, XL short sleeve of his house before you buy big, this time specifically to buy small just right.")</f>
        <v>Kangaroo gray often good-looking clothes oh ~ ~ ~ gray often good-looking clothes kangaroo oh ~~~ 180cm 95kg not pregnant, bought L, XL short sleeve of his house before you buy big, this time specifically to buy small just right.</v>
      </c>
    </row>
    <row r="4472">
      <c r="A4472" s="1">
        <v>5.0</v>
      </c>
      <c r="B4472" s="1" t="s">
        <v>4456</v>
      </c>
      <c r="C4472" t="str">
        <f>IFERROR(__xludf.DUMMYFUNCTION("GOOGLETRANSLATE(B4472, ""zh"", ""en"")"),"173cm 74kg handsome invincible spiral explosion about 173cm 74kg of body fat 15 Workout type it almost waist bust a little more than 80 100 entirely appropriate addition to the midfielder's place is not particularly fat wore a thick hoodie or sweater is n"&amp;"o problem to the length of the belt below that is itself part of the upper body is relatively short sleeves a little longer, but not too skinny is not recommended to buy really big inside space to hold up to the multi-meat")</f>
        <v>173cm 74kg handsome invincible spiral explosion about 173cm 74kg of body fat 15 Workout type it almost waist bust a little more than 80 100 entirely appropriate addition to the midfielder's place is not particularly fat wore a thick hoodie or sweater is no problem to the length of the belt below that is itself part of the upper body is relatively short sleeves a little longer, but not too skinny is not recommended to buy really big inside space to hold up to the multi-meat</v>
      </c>
    </row>
    <row r="4473">
      <c r="A4473" s="1">
        <v>5.0</v>
      </c>
      <c r="B4473" s="1" t="s">
        <v>4457</v>
      </c>
      <c r="C4473" t="str">
        <f>IFERROR(__xludf.DUMMYFUNCTION("GOOGLETRANSLATE(B4473, ""zh"", ""en"")"),"Highly recommended people to buy! Do not feel pushed up the price line of easy-care. The fabric is thin, but very fine, good texture, is particularly suitable for work use! Fabric is very pretty. Slim little point, appear to be more competent! 172cm 71kg,"&amp;" usually LEWIS GSTAR 31/30, and will be able to wear this, just a little slim. Relatively deep blue, the color will not be jumping")</f>
        <v>Highly recommended people to buy! Do not feel pushed up the price line of easy-care. The fabric is thin, but very fine, good texture, is particularly suitable for work use! Fabric is very pretty. Slim little point, appear to be more competent! 172cm 71kg, usually LEWIS GSTAR 31/30, and will be able to wear this, just a little slim. Relatively deep blue, the color will not be jumping</v>
      </c>
    </row>
    <row r="4474">
      <c r="A4474" s="1">
        <v>5.0</v>
      </c>
      <c r="B4474" s="1" t="s">
        <v>4458</v>
      </c>
      <c r="C4474" t="str">
        <f>IFERROR(__xludf.DUMMYFUNCTION("GOOGLETRANSLATE(B4474, ""zh"", ""en"")"),"Very good product. Styles, colors are very beautiful. If you follow Ouma, size is very accurate.")</f>
        <v>Very good product. Styles, colors are very beautiful. If you follow Ouma, size is very accurate.</v>
      </c>
    </row>
    <row r="4475">
      <c r="A4475" s="1">
        <v>5.0</v>
      </c>
      <c r="B4475" s="1" t="s">
        <v>4459</v>
      </c>
      <c r="C4475" t="str">
        <f>IFERROR(__xludf.DUMMYFUNCTION("GOOGLETRANSLATE(B4475, ""zh"", ""en"")"),"Colors look good on foot is very comfortable, my feet 23.5 cm long, 7B appropriate.")</f>
        <v>Colors look good on foot is very comfortable, my feet 23.5 cm long, 7B appropriate.</v>
      </c>
    </row>
    <row r="4476">
      <c r="A4476" s="1">
        <v>5.0</v>
      </c>
      <c r="B4476" s="1" t="s">
        <v>4460</v>
      </c>
      <c r="C4476" t="str">
        <f>IFERROR(__xludf.DUMMYFUNCTION("GOOGLETRANSLATE(B4476, ""zh"", ""en"")"),"Satisfaction head considerably looser than 574 feet, but do not dare to buy small a number, color is very satisfied, the price is reasonable, worthy of the top New Balance,")</f>
        <v>Satisfaction head considerably looser than 574 feet, but do not dare to buy small a number, color is very satisfied, the price is reasonable, worthy of the top New Balance,</v>
      </c>
    </row>
    <row r="4477">
      <c r="A4477" s="1">
        <v>2.0</v>
      </c>
      <c r="B4477" s="1" t="s">
        <v>4461</v>
      </c>
      <c r="C4477" t="str">
        <f>IFERROR(__xludf.DUMMYFUNCTION("GOOGLETRANSLATE(B4477, ""zh"", ""en"")"),"Something like a defective thing looks like as defective, the two have some black spots, I do not know what it is, there are some flaws scratched, well, too lazy to back, like this one delivery speed is quickly.")</f>
        <v>Something like a defective thing looks like as defective, the two have some black spots, I do not know what it is, there are some flaws scratched, well, too lazy to back, like this one delivery speed is quickly.</v>
      </c>
    </row>
    <row r="4478">
      <c r="A4478" s="1">
        <v>3.0</v>
      </c>
      <c r="B4478" s="1" t="s">
        <v>4462</v>
      </c>
      <c r="C4478" t="str">
        <f>IFERROR(__xludf.DUMMYFUNCTION("GOOGLETRANSLATE(B4478, ""zh"", ""en"")"),"Use first color value is high, just shoe size, but the sole is relatively hard, wear comfort is not expected.")</f>
        <v>Use first color value is high, just shoe size, but the sole is relatively hard, wear comfort is not expected.</v>
      </c>
    </row>
    <row r="4479">
      <c r="A4479" s="1">
        <v>3.0</v>
      </c>
      <c r="B4479" s="1" t="s">
        <v>4463</v>
      </c>
      <c r="C4479" t="str">
        <f>IFERROR(__xludf.DUMMYFUNCTION("GOOGLETRANSLATE(B4479, ""zh"", ""en"")"),"Loose version, this pants too big fabric in general, not domestic good, relatively hard, the US version of the loose pants too")</f>
        <v>Loose version, this pants too big fabric in general, not domestic good, relatively hard, the US version of the loose pants too</v>
      </c>
    </row>
    <row r="4480">
      <c r="A4480" s="1">
        <v>1.0</v>
      </c>
      <c r="B4480" s="1" t="s">
        <v>4464</v>
      </c>
      <c r="C4480" t="str">
        <f>IFERROR(__xludf.DUMMYFUNCTION("GOOGLETRANSLATE(B4480, ""zh"", ""en"")"),"What the hell hole sell, where a hole in the crotch, how could this genuine quality and do not know where to take knockoff")</f>
        <v>What the hell hole sell, where a hole in the crotch, how could this genuine quality and do not know where to take knockoff</v>
      </c>
    </row>
    <row r="4481">
      <c r="A4481" s="1">
        <v>1.0</v>
      </c>
      <c r="B4481" s="1" t="s">
        <v>4465</v>
      </c>
      <c r="C4481" t="str">
        <f>IFERROR(__xludf.DUMMYFUNCTION("GOOGLETRANSLATE(B4481, ""zh"", ""en"")"),"Pilling serious pilling speechless washed twice pilling very serious")</f>
        <v>Pilling serious pilling speechless washed twice pilling very serious</v>
      </c>
    </row>
    <row r="4482">
      <c r="A4482" s="1">
        <v>4.0</v>
      </c>
      <c r="B4482" s="1" t="s">
        <v>4466</v>
      </c>
      <c r="C4482" t="str">
        <f>IFERROR(__xludf.DUMMYFUNCTION("GOOGLETRANSLATE(B4482, ""zh"", ""en"")"),"No blotter no ink absorber")</f>
        <v>No blotter no ink absorber</v>
      </c>
    </row>
    <row r="4483">
      <c r="A4483" s="1">
        <v>4.0</v>
      </c>
      <c r="B4483" s="1" t="s">
        <v>4467</v>
      </c>
      <c r="C4483" t="str">
        <f>IFERROR(__xludf.DUMMYFUNCTION("GOOGLETRANSLATE(B4483, ""zh"", ""en"")"),"Japan's underwear is too small cup of it to buy a Chinese code can be physical too small a cup, it is lightweight.")</f>
        <v>Japan's underwear is too small cup of it to buy a Chinese code can be physical too small a cup, it is lightweight.</v>
      </c>
    </row>
    <row r="4484">
      <c r="A4484" s="1">
        <v>4.0</v>
      </c>
      <c r="B4484" s="1" t="s">
        <v>4468</v>
      </c>
      <c r="C4484" t="str">
        <f>IFERROR(__xludf.DUMMYFUNCTION("GOOGLETRANSLATE(B4484, ""zh"", ""en"")"),"Pattern a little disappointed kids loved Princess Aisha, so chose this brush, but the delivery is really to Olaf and Anna, a little disappointed.")</f>
        <v>Pattern a little disappointed kids loved Princess Aisha, so chose this brush, but the delivery is really to Olaf and Anna, a little disappointed.</v>
      </c>
    </row>
    <row r="4485">
      <c r="A4485" s="1">
        <v>4.0</v>
      </c>
      <c r="B4485" s="1" t="s">
        <v>4469</v>
      </c>
      <c r="C4485" t="str">
        <f>IFERROR(__xludf.DUMMYFUNCTION("GOOGLETRANSLATE(B4485, ""zh"", ""en"")"),"china looking at all okay, that is back of the watch is made in china")</f>
        <v>china looking at all okay, that is back of the watch is made in china</v>
      </c>
    </row>
    <row r="4486">
      <c r="A4486" s="1">
        <v>4.0</v>
      </c>
      <c r="B4486" s="1" t="s">
        <v>4470</v>
      </c>
      <c r="C4486" t="str">
        <f>IFERROR(__xludf.DUMMYFUNCTION("GOOGLETRANSLATE(B4486, ""zh"", ""en"")"),"Height Weight 2018 172 68 S code suitable for spring wear wear")</f>
        <v>Height Weight 2018 172 68 S code suitable for spring wear wear</v>
      </c>
    </row>
    <row r="4487">
      <c r="A4487" s="1">
        <v>5.0</v>
      </c>
      <c r="B4487" s="1" t="s">
        <v>4471</v>
      </c>
      <c r="C4487" t="str">
        <f>IFERROR(__xludf.DUMMYFUNCTION("GOOGLETRANSLATE(B4487, ""zh"", ""en"")"),"Parker ink prices, although more expensive, but buy rest assured that the quality should be guaranteed self-Mayer")</f>
        <v>Parker ink prices, although more expensive, but buy rest assured that the quality should be guaranteed self-Mayer</v>
      </c>
    </row>
    <row r="4488">
      <c r="A4488" s="1">
        <v>5.0</v>
      </c>
      <c r="B4488" s="1" t="s">
        <v>4472</v>
      </c>
      <c r="C4488" t="str">
        <f>IFERROR(__xludf.DUMMYFUNCTION("GOOGLETRANSLATE(B4488, ""zh"", ""en"")"),"Can figure 165 or less and then re-buy 45kg xs xs do not know if it is still large do not buy unless there xxs")</f>
        <v>Can figure 165 or less and then re-buy 45kg xs xs do not know if it is still large do not buy unless there xxs</v>
      </c>
    </row>
    <row r="4489">
      <c r="A4489" s="1">
        <v>5.0</v>
      </c>
      <c r="B4489" s="1" t="s">
        <v>4473</v>
      </c>
      <c r="C4489" t="str">
        <f>IFERROR(__xludf.DUMMYFUNCTION("GOOGLETRANSLATE(B4489, ""zh"", ""en"")"),". But I useless on something good")</f>
        <v>. But I useless on something good</v>
      </c>
    </row>
    <row r="4490">
      <c r="A4490" s="1">
        <v>5.0</v>
      </c>
      <c r="B4490" s="1" t="s">
        <v>4474</v>
      </c>
      <c r="C4490" t="str">
        <f>IFERROR(__xludf.DUMMYFUNCTION("GOOGLETRANSLATE(B4490, ""zh"", ""en"")"),"Slightly wider than usual small one yard is recommended 160 / 62kg, buy M-code, personal feel slightly wider shoulder a bit too big. S code may be more suitable for their own, very good quality clothes, a little elastic! 247 price, it can also accept.")</f>
        <v>Slightly wider than usual small one yard is recommended 160 / 62kg, buy M-code, personal feel slightly wider shoulder a bit too big. S code may be more suitable for their own, very good quality clothes, a little elastic! 247 price, it can also accept.</v>
      </c>
    </row>
    <row r="4491">
      <c r="A4491" s="1">
        <v>5.0</v>
      </c>
      <c r="B4491" s="1" t="s">
        <v>4475</v>
      </c>
      <c r="C4491" t="str">
        <f>IFERROR(__xludf.DUMMYFUNCTION("GOOGLETRANSLATE(B4491, ""zh"", ""en"")"),"This choice of data warehouse capacity, the price has been invincible. Test a little speed, copy over 60 MB, but also to accept it.")</f>
        <v>This choice of data warehouse capacity, the price has been invincible. Test a little speed, copy over 60 MB, but also to accept it.</v>
      </c>
    </row>
    <row r="4492">
      <c r="A4492" s="1">
        <v>5.0</v>
      </c>
      <c r="B4492" s="1" t="s">
        <v>2508</v>
      </c>
      <c r="C4492" t="str">
        <f>IFERROR(__xludf.DUMMYFUNCTION("GOOGLETRANSLATE(B4492, ""zh"", ""en"")"),"Very good movement, cup too large, bought a small one yard")</f>
        <v>Very good movement, cup too large, bought a small one yard</v>
      </c>
    </row>
    <row r="4493">
      <c r="A4493" s="1">
        <v>5.0</v>
      </c>
      <c r="B4493" s="1" t="s">
        <v>4476</v>
      </c>
      <c r="C4493" t="str">
        <f>IFERROR(__xludf.DUMMYFUNCTION("GOOGLETRANSLATE(B4493, ""zh"", ""en"")"),"The high cost of product quality in all aspects in line with expectations, very satisfied with the shopping experience!")</f>
        <v>The high cost of product quality in all aspects in line with expectations, very satisfied with the shopping experience!</v>
      </c>
    </row>
    <row r="4494">
      <c r="A4494" s="1">
        <v>5.0</v>
      </c>
      <c r="B4494" s="1" t="s">
        <v>4477</v>
      </c>
      <c r="C4494" t="str">
        <f>IFERROR(__xludf.DUMMYFUNCTION("GOOGLETRANSLATE(B4494, ""zh"", ""en"")"),"Good bottle packaging needs to be improved, the US direct mail over, the packaging is not ye drops, it is a bag loaded that, two bottles across the sea, and open the bottle when the box has been a bit crushed.")</f>
        <v>Good bottle packaging needs to be improved, the US direct mail over, the packaging is not ye drops, it is a bag loaded that, two bottles across the sea, and open the bottle when the box has been a bit crushed.</v>
      </c>
    </row>
    <row r="4495">
      <c r="A4495" s="1">
        <v>5.0</v>
      </c>
      <c r="B4495" s="1" t="s">
        <v>4478</v>
      </c>
      <c r="C4495" t="str">
        <f>IFERROR(__xludf.DUMMYFUNCTION("GOOGLETRANSLATE(B4495, ""zh"", ""en"")"),"Pants well arrive fast ah! Week to the hands. Very accurate numbers, blame me misjudged his waist, as has recently been wearing pants elastic band, did not expect and fat. Page photo a little color cast, kind more greenish, pale olive green translated int"&amp;"o more appropriate. Pants good, upper body good results; thickness suitable; in addition to all other appropriate waist, then lean a lean on it. 172CM, 80KG, waist 86CM, 2-foot-6, the pants should be the appropriate 33W. (October 2 feet 5 also it! Waist 2"&amp;"-foot-5, 32W appropriate.)")</f>
        <v>Pants well arrive fast ah! Week to the hands. Very accurate numbers, blame me misjudged his waist, as has recently been wearing pants elastic band, did not expect and fat. Page photo a little color cast, kind more greenish, pale olive green translated into more appropriate. Pants good, upper body good results; thickness suitable; in addition to all other appropriate waist, then lean a lean on it. 172CM, 80KG, waist 86CM, 2-foot-6, the pants should be the appropriate 33W. (October 2 feet 5 also it! Waist 2-foot-5, 32W appropriate.)</v>
      </c>
    </row>
    <row r="4496">
      <c r="A4496" s="1">
        <v>5.0</v>
      </c>
      <c r="B4496" s="1" t="s">
        <v>4479</v>
      </c>
      <c r="C4496" t="str">
        <f>IFERROR(__xludf.DUMMYFUNCTION("GOOGLETRANSLATE(B4496, ""zh"", ""en"")"),"The size just right! Fortunately, buy a bigger size! The results came back positive just right! soft skin! Like effect that folds!")</f>
        <v>The size just right! Fortunately, buy a bigger size! The results came back positive just right! soft skin! Like effect that folds!</v>
      </c>
    </row>
    <row r="4497">
      <c r="A4497" s="1">
        <v>5.0</v>
      </c>
      <c r="B4497" s="1" t="s">
        <v>4480</v>
      </c>
      <c r="C4497" t="str">
        <f>IFERROR(__xludf.DUMMYFUNCTION("GOOGLETRANSLATE(B4497, ""zh"", ""en"")"),"Worth buying freshman code to buy, a little narrow, but comfortable, cost-effective.")</f>
        <v>Worth buying freshman code to buy, a little narrow, but comfortable, cost-effective.</v>
      </c>
    </row>
    <row r="4498">
      <c r="A4498" s="1">
        <v>5.0</v>
      </c>
      <c r="B4498" s="1" t="s">
        <v>4481</v>
      </c>
      <c r="C4498" t="str">
        <f>IFERROR(__xludf.DUMMYFUNCTION("GOOGLETRANSLATE(B4498, ""zh"", ""en"")"),"Thermostatically controlled very convenient! perfectly worked! Perfect match! In particular thermostatically controlled, it is easy to use!")</f>
        <v>Thermostatically controlled very convenient! perfectly worked! Perfect match! In particular thermostatically controlled, it is easy to use!</v>
      </c>
    </row>
    <row r="4499">
      <c r="A4499" s="1">
        <v>5.0</v>
      </c>
      <c r="B4499" s="1" t="s">
        <v>4482</v>
      </c>
      <c r="C4499" t="str">
        <f>IFERROR(__xludf.DUMMYFUNCTION("GOOGLETRANSLATE(B4499, ""zh"", ""en"")"),"Suitable code 180 60m 180 60 kg a slender, m Shoulder Sleeve code size can be calculated exactly other suitable actuator tight")</f>
        <v>Suitable code 180 60m 180 60 kg a slender, m Shoulder Sleeve code size can be calculated exactly other suitable actuator tight</v>
      </c>
    </row>
    <row r="4500">
      <c r="A4500" s="1">
        <v>5.0</v>
      </c>
      <c r="B4500" s="1" t="s">
        <v>4483</v>
      </c>
      <c r="C4500" t="str">
        <f>IFERROR(__xludf.DUMMYFUNCTION("GOOGLETRANSLATE(B4500, ""zh"", ""en"")"),"Western Digital hard drive has been installed to use, good quality")</f>
        <v>Western Digital hard drive has been installed to use, good quality</v>
      </c>
    </row>
    <row r="4501">
      <c r="A4501" s="1">
        <v>5.0</v>
      </c>
      <c r="B4501" s="1" t="s">
        <v>4484</v>
      </c>
      <c r="C4501" t="str">
        <f>IFERROR(__xludf.DUMMYFUNCTION("GOOGLETRANSLATE(B4501, ""zh"", ""en"")"),"Buy a smaller size is the right choice to buy a smaller size is just right, comfortable to wear, praise")</f>
        <v>Buy a smaller size is the right choice to buy a smaller size is just right, comfortable to wear, praise</v>
      </c>
    </row>
    <row r="4502">
      <c r="A4502" s="1">
        <v>5.0</v>
      </c>
      <c r="B4502" s="1" t="s">
        <v>4485</v>
      </c>
      <c r="C4502" t="str">
        <f>IFERROR(__xludf.DUMMYFUNCTION("GOOGLETRANSLATE(B4502, ""zh"", ""en"")"),"Great great Recommended Recommended ...")</f>
        <v>Great great Recommended Recommended ...</v>
      </c>
    </row>
    <row r="4503">
      <c r="A4503" s="1">
        <v>5.0</v>
      </c>
      <c r="B4503" s="1" t="s">
        <v>4486</v>
      </c>
      <c r="C4503" t="str">
        <f>IFERROR(__xludf.DUMMYFUNCTION("GOOGLETRANSLATE(B4503, ""zh"", ""en"")"),"Simple, easy to clean to do a cup of milk, bananas, simple operation, easy to clean, read the instructions, you can also add other accessories, but now this feature is what I need, first with a period of time to say it.")</f>
        <v>Simple, easy to clean to do a cup of milk, bananas, simple operation, easy to clean, read the instructions, you can also add other accessories, but now this feature is what I need, first with a period of time to say it.</v>
      </c>
    </row>
    <row r="4504">
      <c r="A4504" s="1">
        <v>5.0</v>
      </c>
      <c r="B4504" s="1" t="s">
        <v>4487</v>
      </c>
      <c r="C4504" t="str">
        <f>IFERROR(__xludf.DUMMYFUNCTION("GOOGLETRANSLATE(B4504, ""zh"", ""en"")"),"Perfect after tax price and quality are very satisfied, looked at several Amoy Friends Comments decisive choice 36WX32L, lumbar 28 entirely appropriate, a little bit long, logistics soon")</f>
        <v>Perfect after tax price and quality are very satisfied, looked at several Amoy Friends Comments decisive choice 36WX32L, lumbar 28 entirely appropriate, a little bit long, logistics soon</v>
      </c>
    </row>
    <row r="4505">
      <c r="A4505" s="1">
        <v>5.0</v>
      </c>
      <c r="B4505" s="1" t="s">
        <v>4488</v>
      </c>
      <c r="C4505" t="str">
        <f>IFERROR(__xludf.DUMMYFUNCTION("GOOGLETRANSLATE(B4505, ""zh"", ""en"")"),"Very thick, not suitable for the summer I bought the color is boss, especially thick, straight jeans, significant leg length")</f>
        <v>Very thick, not suitable for the summer I bought the color is boss, especially thick, straight jeans, significant leg length</v>
      </c>
    </row>
    <row r="4506">
      <c r="A4506" s="1">
        <v>5.0</v>
      </c>
      <c r="B4506" s="1" t="s">
        <v>4489</v>
      </c>
      <c r="C4506" t="str">
        <f>IFERROR(__xludf.DUMMYFUNCTION("GOOGLETRANSLATE(B4506, ""zh"", ""en"")"),"Praise! Brother in law's birthday present. Unfortunately, there is no white.")</f>
        <v>Praise! Brother in law's birthday present. Unfortunately, there is no white.</v>
      </c>
    </row>
    <row r="4507">
      <c r="A4507" s="1">
        <v>5.0</v>
      </c>
      <c r="B4507" s="1" t="s">
        <v>4490</v>
      </c>
      <c r="C4507" t="str">
        <f>IFERROR(__xludf.DUMMYFUNCTION("GOOGLETRANSLATE(B4507, ""zh"", ""en"")"),"Well, I like it! it is good! Thickness of just writing, pen delicate, not too slippery, I just write the corresponding control. Pen with wooden texture, low-key, restrained, and series stars a strong contrast. I like! Logistics is also good, one week to h"&amp;"and.")</f>
        <v>Well, I like it! it is good! Thickness of just writing, pen delicate, not too slippery, I just write the corresponding control. Pen with wooden texture, low-key, restrained, and series stars a strong contrast. I like! Logistics is also good, one week to hand.</v>
      </c>
    </row>
    <row r="4508">
      <c r="A4508" s="1">
        <v>5.0</v>
      </c>
      <c r="B4508" s="1" t="s">
        <v>4491</v>
      </c>
      <c r="C4508" t="str">
        <f>IFERROR(__xludf.DUMMYFUNCTION("GOOGLETRANSLATE(B4508, ""zh"", ""en"")"),"Recommended to buy the perfect texture, polished texture, elastic fabric, no belt more comfortable, do not want to evaluate the good cause prices Amazon, Ref around 230, will buy the price is right")</f>
        <v>Recommended to buy the perfect texture, polished texture, elastic fabric, no belt more comfortable, do not want to evaluate the good cause prices Amazon, Ref around 230, will buy the price is right</v>
      </c>
    </row>
    <row r="4509">
      <c r="A4509" s="1">
        <v>2.0</v>
      </c>
      <c r="B4509" s="1" t="s">
        <v>4492</v>
      </c>
      <c r="C4509" t="str">
        <f>IFERROR(__xludf.DUMMYFUNCTION("GOOGLETRANSLATE(B4509, ""zh"", ""en"")"),"Gorilla version of the type of clothing version of the type is very funny, chest tight, big belly, Sleeve! It is estimated to wear a gorilla, right, imagine, set in the gorilla's body. Although described as a bit exaggerated, but, ah, is that look. Materi"&amp;"al is very thin. When you experience the bad workmanship in North America that it")</f>
        <v>Gorilla version of the type of clothing version of the type is very funny, chest tight, big belly, Sleeve! It is estimated to wear a gorilla, right, imagine, set in the gorilla's body. Although described as a bit exaggerated, but, ah, is that look. Material is very thin. When you experience the bad workmanship in North America that it</v>
      </c>
    </row>
    <row r="4510">
      <c r="A4510" s="1">
        <v>3.0</v>
      </c>
      <c r="B4510" s="1" t="s">
        <v>4493</v>
      </c>
      <c r="C4510" t="str">
        <f>IFERROR(__xludf.DUMMYFUNCTION("GOOGLETRANSLATE(B4510, ""zh"", ""en"")"),"You pay for it waited two months to receive, you do not know how to use? Yesterday I tried a little kneading machine function takes a shaking sieve-like, afraid someday nose will fly ah ....")</f>
        <v>You pay for it waited two months to receive, you do not know how to use? Yesterday I tried a little kneading machine function takes a shaking sieve-like, afraid someday nose will fly ah ....</v>
      </c>
    </row>
    <row r="4511">
      <c r="A4511" s="1">
        <v>3.0</v>
      </c>
      <c r="B4511" s="1" t="s">
        <v>4494</v>
      </c>
      <c r="C4511" t="str">
        <f>IFERROR(__xludf.DUMMYFUNCTION("GOOGLETRANSLATE(B4511, ""zh"", ""en"")"),"Fortunately, the missing equipment installed hot water will drain the hot water I suspect life, cold water will not leak. Security is scratch, they can return the party mercy not? Bala bottom of the cup proper way, hope is not just a technology problem or"&amp;" else a crack at any moment ""beng !!"" bought a big ml, for several years, very easy to use, is too heavy, do not carry, this time to buy a small used with. Do not install water, burnt to death every minute, outside of silicone non-slip effect than anti-"&amp;"scald, eyes full of holes, hollow out the installation of hot water leaks, use either the desktop or warm water (cold water) carry put the bag ^ _ ^ This cup has aftermarket it? If there are quality issues who to turn to?")</f>
        <v>Fortunately, the missing equipment installed hot water will drain the hot water I suspect life, cold water will not leak. Security is scratch, they can return the party mercy not? Bala bottom of the cup proper way, hope is not just a technology problem or else a crack at any moment "beng !!" bought a big ml, for several years, very easy to use, is too heavy, do not carry, this time to buy a small used with. Do not install water, burnt to death every minute, outside of silicone non-slip effect than anti-scald, eyes full of holes, hollow out the installation of hot water leaks, use either the desktop or warm water (cold water) carry put the bag ^ _ ^ This cup has aftermarket it? If there are quality issues who to turn to?</v>
      </c>
    </row>
    <row r="4512">
      <c r="A4512" s="1">
        <v>1.0</v>
      </c>
      <c r="B4512" s="1" t="s">
        <v>4495</v>
      </c>
      <c r="C4512" t="str">
        <f>IFERROR(__xludf.DUMMYFUNCTION("GOOGLETRANSLATE(B4512, ""zh"", ""en"")"),"Spent just six months is not able to read, and slow response, often can not identify, can not return, I ask how to deal with? ? ? Has an order in June 2016 to January 2017 8 12 can not be used")</f>
        <v>Spent just six months is not able to read, and slow response, often can not identify, can not return, I ask how to deal with? ? ? Has an order in June 2016 to January 2017 8 12 can not be used</v>
      </c>
    </row>
    <row r="4513">
      <c r="A4513" s="1">
        <v>1.0</v>
      </c>
      <c r="B4513" s="1" t="s">
        <v>4496</v>
      </c>
      <c r="C4513" t="str">
        <f>IFERROR(__xludf.DUMMYFUNCTION("GOOGLETRANSLATE(B4513, ""zh"", ""en"")"),"+ Plus velvet low collar big opening, wonderful, right? Design has a big problem, plus velvet fabric, is actually a large open low collar, wearing a day, irrigation neck inside hula hula cold, we advise you not to buy! ! !")</f>
        <v>+ Plus velvet low collar big opening, wonderful, right? Design has a big problem, plus velvet fabric, is actually a large open low collar, wearing a day, irrigation neck inside hula hula cold, we advise you not to buy! ! !</v>
      </c>
    </row>
    <row r="4514">
      <c r="A4514" s="1">
        <v>1.0</v>
      </c>
      <c r="B4514" s="1" t="s">
        <v>4497</v>
      </c>
      <c r="C4514" t="str">
        <f>IFERROR(__xludf.DUMMYFUNCTION("GOOGLETRANSLATE(B4514, ""zh"", ""en"")"),"Commodities fraud, not recommended to buy, do not buy, not the subject merchandise, SDXCII standard interfaces are two rows of metal contact strips (see detail I made the third of a white background from east electronic business platform shots), but I got"&amp;" only one hand rows of metal sheet, this is SDXCI highest standard that is only 95MB / S, so the sticker on the front is SDXCII 150MB / S is false, the interface is not SDXCII how to speed? This is achieved by fake too obvious, who in the Amazon pit it? I"&amp;" am prepared to rights! Today bring a camera to shoot outside, you can see just took 2 seconds before the shoot look, pictures can not be played back, the computer does not recognize Cary Photos")</f>
        <v>Commodities fraud, not recommended to buy, do not buy, not the subject merchandise, SDXCII standard interfaces are two rows of metal contact strips (see detail I made the third of a white background from east electronic business platform shots), but I got only one hand rows of metal sheet, this is SDXCI highest standard that is only 95MB / S, so the sticker on the front is SDXCII 150MB / S is false, the interface is not SDXCII how to speed? This is achieved by fake too obvious, who in the Amazon pit it? I am prepared to rights! Today bring a camera to shoot outside, you can see just took 2 seconds before the shoot look, pictures can not be played back, the computer does not recognize Cary Photos</v>
      </c>
    </row>
    <row r="4515">
      <c r="A4515" s="1">
        <v>4.0</v>
      </c>
      <c r="B4515" s="1" t="s">
        <v>4498</v>
      </c>
      <c r="C4515" t="str">
        <f>IFERROR(__xludf.DUMMYFUNCTION("GOOGLETRANSLATE(B4515, ""zh"", ""en"")"),"Received defective belt metal belt deducted serious paint, leather see looks pretty strong buy 32 yards, width 38mm, length 102cm")</f>
        <v>Received defective belt metal belt deducted serious paint, leather see looks pretty strong buy 32 yards, width 38mm, length 102cm</v>
      </c>
    </row>
    <row r="4516">
      <c r="A4516" s="1">
        <v>4.0</v>
      </c>
      <c r="B4516" s="1" t="s">
        <v>4499</v>
      </c>
      <c r="C4516" t="str">
        <f>IFERROR(__xludf.DUMMYFUNCTION("GOOGLETRANSLATE(B4516, ""zh"", ""en"")"),"Yes pretty good, I have been using the bowls, very good use.")</f>
        <v>Yes pretty good, I have been using the bowls, very good use.</v>
      </c>
    </row>
    <row r="4517">
      <c r="A4517" s="1">
        <v>4.0</v>
      </c>
      <c r="B4517" s="1" t="s">
        <v>4500</v>
      </c>
      <c r="C4517" t="str">
        <f>IFERROR(__xludf.DUMMYFUNCTION("GOOGLETRANSLATE(B4517, ""zh"", ""en"")"),"In line with expectations at an affordable price, of course, the appropriate work ""benefits"" of some, but still worthy of the price of clothes very thick, not particularly thin before. And it is expected to almost the same, about the size, the equivalen"&amp;"t of the United States Code LARGE XL Asia")</f>
        <v>In line with expectations at an affordable price, of course, the appropriate work "benefits" of some, but still worthy of the price of clothes very thick, not particularly thin before. And it is expected to almost the same, about the size, the equivalent of the United States Code LARGE XL Asia</v>
      </c>
    </row>
    <row r="4518">
      <c r="A4518" s="1">
        <v>4.0</v>
      </c>
      <c r="B4518" s="1" t="s">
        <v>4501</v>
      </c>
      <c r="C4518" t="str">
        <f>IFERROR(__xludf.DUMMYFUNCTION("GOOGLETRANSLATE(B4518, ""zh"", ""en"")"),"Cute baby drink it was looking at, sometimes a straw-up will drink less water, but have fundamental, very cute and very comprehensive.")</f>
        <v>Cute baby drink it was looking at, sometimes a straw-up will drink less water, but have fundamental, very cute and very comprehensive.</v>
      </c>
    </row>
    <row r="4519">
      <c r="A4519" s="1">
        <v>4.0</v>
      </c>
      <c r="B4519" s="1" t="s">
        <v>4502</v>
      </c>
      <c r="C4519" t="str">
        <f>IFERROR(__xludf.DUMMYFUNCTION("GOOGLETRANSLATE(B4519, ""zh"", ""en"")"),"Normal size, slim, supple fabrics, very good, rendering it, meaning almost worn over normal size, Slim, supple fabrics, very good, rendering it, meaning almost worn out")</f>
        <v>Normal size, slim, supple fabrics, very good, rendering it, meaning almost worn over normal size, Slim, supple fabrics, very good, rendering it, meaning almost worn out</v>
      </c>
    </row>
    <row r="4520">
      <c r="A4520" s="1">
        <v>5.0</v>
      </c>
      <c r="B4520" s="1" t="s">
        <v>4503</v>
      </c>
      <c r="C4520" t="str">
        <f>IFERROR(__xludf.DUMMYFUNCTION("GOOGLETRANSLATE(B4520, ""zh"", ""en"")"),"Satisfaction liked. Originally worried about the size will be large, but actually try feel very fit. Onitsuka Tiger through 6.5, this is 6.5, wear shoes 36. The price is very cost-effective, it is worth waiting for nearly two weeks.")</f>
        <v>Satisfaction liked. Originally worried about the size will be large, but actually try feel very fit. Onitsuka Tiger through 6.5, this is 6.5, wear shoes 36. The price is very cost-effective, it is worth waiting for nearly two weeks.</v>
      </c>
    </row>
    <row r="4521">
      <c r="A4521" s="1">
        <v>5.0</v>
      </c>
      <c r="B4521" s="1" t="s">
        <v>4504</v>
      </c>
      <c r="C4521" t="str">
        <f>IFERROR(__xludf.DUMMYFUNCTION("GOOGLETRANSLATE(B4521, ""zh"", ""en"")"),"Bad things good looking, slightly larger but very comfortable to wear, a little darker than the picture, though,")</f>
        <v>Bad things good looking, slightly larger but very comfortable to wear, a little darker than the picture, though,</v>
      </c>
    </row>
    <row r="4522">
      <c r="A4522" s="1">
        <v>5.0</v>
      </c>
      <c r="B4522" s="1" t="s">
        <v>4505</v>
      </c>
      <c r="C4522" t="str">
        <f>IFERROR(__xludf.DUMMYFUNCTION("GOOGLETRANSLATE(B4522, ""zh"", ""en"")"),"Well strap a little female texture a little rough on the perfect")</f>
        <v>Well strap a little female texture a little rough on the perfect</v>
      </c>
    </row>
    <row r="4523">
      <c r="A4523" s="1">
        <v>5.0</v>
      </c>
      <c r="B4523" s="1" t="s">
        <v>4506</v>
      </c>
      <c r="C4523" t="str">
        <f>IFERROR(__xludf.DUMMYFUNCTION("GOOGLETRANSLATE(B4523, ""zh"", ""en"")"),"Very good, indeed the mother and child a good thing. Bib Oh well, twists around the bottom of the mouth of the silicone is very soft, very comfortable with the baby. Bib Oh well, twists around the bottom of the mouth of the silicone is very soft, very com"&amp;"fortable with the baby. Bib Oh well, twists around the bottom of the mouth of the silicone is very soft, very comfortable with the baby. Bib Oh well, twists around the bottom of the mouth of the silicone is very soft, very comfortable with the baby. Bib O"&amp;"h well, twists around the bottom of the mouth of the silicone is very soft, very comfortable with the baby. Bib Oh well, twists around the bottom of the mouth of the silicone is very soft, very comfortable with the baby. Bib Oh well, twists around the bot"&amp;"tom of the mouth of the silicone is very soft, very comfortable with the baby.")</f>
        <v>Very good, indeed the mother and child a good thing. Bib Oh well, twists around the bottom of the mouth of the silicone is very soft, very comfortable with the baby. Bib Oh well, twists around the bottom of the mouth of the silicone is very soft, very comfortable with the baby. Bib Oh well, twists around the bottom of the mouth of the silicone is very soft, very comfortable with the baby. Bib Oh well, twists around the bottom of the mouth of the silicone is very soft, very comfortable with the baby. Bib Oh well, twists around the bottom of the mouth of the silicone is very soft, very comfortable with the baby. Bib Oh well, twists around the bottom of the mouth of the silicone is very soft, very comfortable with the baby. Bib Oh well, twists around the bottom of the mouth of the silicone is very soft, very comfortable with the baby.</v>
      </c>
    </row>
    <row r="4524">
      <c r="A4524" s="1">
        <v>5.0</v>
      </c>
      <c r="B4524" s="1" t="s">
        <v>4507</v>
      </c>
      <c r="C4524" t="str">
        <f>IFERROR(__xludf.DUMMYFUNCTION("GOOGLETRANSLATE(B4524, ""zh"", ""en"")"),"Simple and elegant originally bought a home health pot, feature-rich, water heating is also fast, but there is always the base wire burning smell, and my heart horrifying, for good health, rest assured that the online search to see the whole structure! An"&amp;"d the big opening easy to clean, very fast speed, high praise!")</f>
        <v>Simple and elegant originally bought a home health pot, feature-rich, water heating is also fast, but there is always the base wire burning smell, and my heart horrifying, for good health, rest assured that the online search to see the whole structure! And the big opening easy to clean, very fast speed, high praise!</v>
      </c>
    </row>
    <row r="4525">
      <c r="A4525" s="1">
        <v>5.0</v>
      </c>
      <c r="B4525" s="1" t="s">
        <v>4508</v>
      </c>
      <c r="C4525" t="str">
        <f>IFERROR(__xludf.DUMMYFUNCTION("GOOGLETRANSLATE(B4525, ""zh"", ""en"")"),"Big point. Not very self-cultivation. Put on a little elegant feel.")</f>
        <v>Big point. Not very self-cultivation. Put on a little elegant feel.</v>
      </c>
    </row>
    <row r="4526">
      <c r="A4526" s="1">
        <v>5.0</v>
      </c>
      <c r="B4526" s="1" t="s">
        <v>4509</v>
      </c>
      <c r="C4526" t="str">
        <f>IFERROR(__xludf.DUMMYFUNCTION("GOOGLETRANSLATE(B4526, ""zh"", ""en"")"),"The child was delighted nice glass cup")</f>
        <v>The child was delighted nice glass cup</v>
      </c>
    </row>
    <row r="4527">
      <c r="A4527" s="1">
        <v>5.0</v>
      </c>
      <c r="B4527" s="1" t="s">
        <v>4510</v>
      </c>
      <c r="C4527" t="str">
        <f>IFERROR(__xludf.DUMMYFUNCTION("GOOGLETRANSLATE(B4527, ""zh"", ""en"")"),"Good very thin, not cotton, feel very slippery, very comfortable")</f>
        <v>Good very thin, not cotton, feel very slippery, very comfortable</v>
      </c>
    </row>
    <row r="4528">
      <c r="A4528" s="1">
        <v>5.0</v>
      </c>
      <c r="B4528" s="1" t="s">
        <v>4511</v>
      </c>
      <c r="C4528" t="str">
        <f>IFERROR(__xludf.DUMMYFUNCTION("GOOGLETRANSLATE(B4528, ""zh"", ""en"")"),"See this cost-effective products hold a low score uneven. I bought this headset for use in the United States, now estimated to be used with the four or five years, in addition to a little black out without any quality problems; the time to buy as the intr"&amp;"oductory paragraph, but the sound quality is a surprise, treble bass is very balanced, I should be used headphones used the longest (since the entry for a long time did not willing to reentry other until two years ago). And there is one of the biggest adv"&amp;"antages is the line, not bad really pull ah. . . The only drawback is that line too much too long to fit out to the streets.")</f>
        <v>See this cost-effective products hold a low score uneven. I bought this headset for use in the United States, now estimated to be used with the four or five years, in addition to a little black out without any quality problems; the time to buy as the introductory paragraph, but the sound quality is a surprise, treble bass is very balanced, I should be used headphones used the longest (since the entry for a long time did not willing to reentry other until two years ago). And there is one of the biggest advantages is the line, not bad really pull ah. . . The only drawback is that line too much too long to fit out to the streets.</v>
      </c>
    </row>
    <row r="4529">
      <c r="A4529" s="1">
        <v>5.0</v>
      </c>
      <c r="B4529" s="1" t="s">
        <v>4512</v>
      </c>
      <c r="C4529" t="str">
        <f>IFERROR(__xludf.DUMMYFUNCTION("GOOGLETRANSLATE(B4529, ""zh"", ""en"")"),"Sennheiser headphones very good good, found that after a period of good in all aspects")</f>
        <v>Sennheiser headphones very good good, found that after a period of good in all aspects</v>
      </c>
    </row>
    <row r="4530">
      <c r="A4530" s="1">
        <v>5.0</v>
      </c>
      <c r="B4530" s="1" t="s">
        <v>4513</v>
      </c>
      <c r="C4530" t="str">
        <f>IFERROR(__xludf.DUMMYFUNCTION("GOOGLETRANSLATE(B4530, ""zh"", ""en"")"),"Very good results particularly good, the price is not expensive, but the introduction of the agents in the country, so do not need to buy later")</f>
        <v>Very good results particularly good, the price is not expensive, but the introduction of the agents in the country, so do not need to buy later</v>
      </c>
    </row>
    <row r="4531">
      <c r="A4531" s="1">
        <v>5.0</v>
      </c>
      <c r="B4531" s="1" t="s">
        <v>4514</v>
      </c>
      <c r="C4531" t="str">
        <f>IFERROR(__xludf.DUMMYFUNCTION("GOOGLETRANSLATE(B4531, ""zh"", ""en"")"),"quickly! Previously had a usb2.0 disk, do a little comparison. When used together 2.0 interface, whether it is copied to the computer or copy u disk u disk to the computer has 2 times the speed boost. When using 3.0 interface, computer u disk copy to thre"&amp;"e times faster, u disk copy to a computer to enhance the 6-fold! The u-purchase on Amazon is considered affordable.")</f>
        <v>quickly! Previously had a usb2.0 disk, do a little comparison. When used together 2.0 interface, whether it is copied to the computer or copy u disk u disk to the computer has 2 times the speed boost. When using 3.0 interface, computer u disk copy to three times faster, u disk copy to a computer to enhance the 6-fold! The u-purchase on Amazon is considered affordable.</v>
      </c>
    </row>
    <row r="4532">
      <c r="A4532" s="1">
        <v>5.0</v>
      </c>
      <c r="B4532" s="1" t="s">
        <v>4515</v>
      </c>
      <c r="C4532" t="str">
        <f>IFERROR(__xludf.DUMMYFUNCTION("GOOGLETRANSLATE(B4532, ""zh"", ""en"")"),"A big bottle, has been eating big bottle")</f>
        <v>A big bottle, has been eating big bottle</v>
      </c>
    </row>
    <row r="4533">
      <c r="A4533" s="1">
        <v>5.0</v>
      </c>
      <c r="B4533" s="1" t="s">
        <v>4516</v>
      </c>
      <c r="C4533" t="str">
        <f>IFERROR(__xludf.DUMMYFUNCTION("GOOGLETRANSLATE(B4533, ""zh"", ""en"")"),"M usually wear a good quality, buy S, very suitable, off-white Fleece")</f>
        <v>M usually wear a good quality, buy S, very suitable, off-white Fleece</v>
      </c>
    </row>
    <row r="4534">
      <c r="A4534" s="1">
        <v>5.0</v>
      </c>
      <c r="B4534" s="1" t="s">
        <v>4517</v>
      </c>
      <c r="C4534" t="str">
        <f>IFERROR(__xludf.DUMMYFUNCTION("GOOGLETRANSLATE(B4534, ""zh"", ""en"")"),"Sleeves slightly longer than height 170 weight 70, S code just right, but slightly longer sleeves Americans, the other can still be.")</f>
        <v>Sleeves slightly longer than height 170 weight 70, S code just right, but slightly longer sleeves Americans, the other can still be.</v>
      </c>
    </row>
    <row r="4535">
      <c r="A4535" s="1">
        <v>5.0</v>
      </c>
      <c r="B4535" s="1" t="s">
        <v>4518</v>
      </c>
      <c r="C4535" t="str">
        <f>IFERROR(__xludf.DUMMYFUNCTION("GOOGLETRANSLATE(B4535, ""zh"", ""en"")"),"Packaging can also feel very simple, it should be genuine it. In fact, I'm not good packaging is also very simple to distinguish the water is okay standard ink gall to ask the official customer service is genuine domestic distribution blotter instead of i"&amp;"nk bag.")</f>
        <v>Packaging can also feel very simple, it should be genuine it. In fact, I'm not good packaging is also very simple to distinguish the water is okay standard ink gall to ask the official customer service is genuine domestic distribution blotter instead of ink bag.</v>
      </c>
    </row>
    <row r="4536">
      <c r="A4536" s="1">
        <v>5.0</v>
      </c>
      <c r="B4536" s="1" t="s">
        <v>4519</v>
      </c>
      <c r="C4536" t="str">
        <f>IFERROR(__xludf.DUMMYFUNCTION("GOOGLETRANSLATE(B4536, ""zh"", ""en"")"),"Very satisfied with the right size, color beautiful.")</f>
        <v>Very satisfied with the right size, color beautiful.</v>
      </c>
    </row>
    <row r="4537">
      <c r="A4537" s="1">
        <v>5.0</v>
      </c>
      <c r="B4537" s="1" t="s">
        <v>4520</v>
      </c>
      <c r="C4537" t="str">
        <f>IFERROR(__xludf.DUMMYFUNCTION("GOOGLETRANSLATE(B4537, ""zh"", ""en"")"),"Stick For me this is not a love of eating star fruit people, very convenient. Favorite Amazon!")</f>
        <v>Stick For me this is not a love of eating star fruit people, very convenient. Favorite Amazon!</v>
      </c>
    </row>
    <row r="4538">
      <c r="A4538" s="1">
        <v>5.0</v>
      </c>
      <c r="B4538" s="1" t="s">
        <v>4521</v>
      </c>
      <c r="C4538" t="str">
        <f>IFERROR(__xludf.DUMMYFUNCTION("GOOGLETRANSLATE(B4538, ""zh"", ""en"")"),"Doing at home than to buy the same card to be cheaper than at home doing the same card to buy cheaper. High-speed continuous shooting than I had more than one card to shoot two. Just do not know how to recover deleted data. After four months to pull me 33"&amp;" yuan more than RMB into my bank card.")</f>
        <v>Doing at home than to buy the same card to be cheaper than at home doing the same card to buy cheaper. High-speed continuous shooting than I had more than one card to shoot two. Just do not know how to recover deleted data. After four months to pull me 33 yuan more than RMB into my bank card.</v>
      </c>
    </row>
    <row r="4539">
      <c r="A4539" s="1">
        <v>5.0</v>
      </c>
      <c r="B4539" s="1" t="s">
        <v>4522</v>
      </c>
      <c r="C4539" t="str">
        <f>IFERROR(__xludf.DUMMYFUNCTION("GOOGLETRANSLATE(B4539, ""zh"", ""en"")"),"Useful use every day, after brushing also rushed out a lot of debris.")</f>
        <v>Useful use every day, after brushing also rushed out a lot of debris.</v>
      </c>
    </row>
    <row r="4540">
      <c r="A4540" s="1">
        <v>5.0</v>
      </c>
      <c r="B4540" s="1" t="s">
        <v>4523</v>
      </c>
      <c r="C4540" t="str">
        <f>IFERROR(__xludf.DUMMYFUNCTION("GOOGLETRANSLATE(B4540, ""zh"", ""en"")"),"Belts very good, very good value for money")</f>
        <v>Belts very good, very good value for money</v>
      </c>
    </row>
    <row r="4541">
      <c r="A4541" s="1">
        <v>2.0</v>
      </c>
      <c r="B4541" s="1" t="s">
        <v>4524</v>
      </c>
      <c r="C4541" t="str">
        <f>IFERROR(__xludf.DUMMYFUNCTION("GOOGLETRANSLATE(B4541, ""zh"", ""en"")"),"The first doubt in the Amazon shopping is not genuine, the shoes Post back the packaging is damaged, there is a shoe insoles, a no insole, traces of glue shoes particularly heavy.")</f>
        <v>The first doubt in the Amazon shopping is not genuine, the shoes Post back the packaging is damaged, there is a shoe insoles, a no insole, traces of glue shoes particularly heavy.</v>
      </c>
    </row>
    <row r="4542">
      <c r="A4542" s="1">
        <v>3.0</v>
      </c>
      <c r="B4542" s="1" t="s">
        <v>4525</v>
      </c>
      <c r="C4542" t="str">
        <f>IFERROR(__xludf.DUMMYFUNCTION("GOOGLETRANSLATE(B4542, ""zh"", ""en"")"),"Recommended to buy small 2 yards thin section, very comfortable feeling. It is too great, given the large number than my two girl.")</f>
        <v>Recommended to buy small 2 yards thin section, very comfortable feeling. It is too great, given the large number than my two girl.</v>
      </c>
    </row>
    <row r="4543">
      <c r="A4543" s="1">
        <v>3.0</v>
      </c>
      <c r="B4543" s="1" t="s">
        <v>4526</v>
      </c>
      <c r="C4543" t="str">
        <f>IFERROR(__xludf.DUMMYFUNCTION("GOOGLETRANSLATE(B4543, ""zh"", ""en"")"),"Cheap, flawed, but very comfortable shoes looks like a substandard product, right upper obviously biased, look at the much cheaper than the store's sake, to reclaim the. But having said that, really comfortable to wear.")</f>
        <v>Cheap, flawed, but very comfortable shoes looks like a substandard product, right upper obviously biased, look at the much cheaper than the store's sake, to reclaim the. But having said that, really comfortable to wear.</v>
      </c>
    </row>
    <row r="4544">
      <c r="A4544" s="1">
        <v>3.0</v>
      </c>
      <c r="B4544" s="1" t="s">
        <v>4527</v>
      </c>
      <c r="C4544" t="str">
        <f>IFERROR(__xludf.DUMMYFUNCTION("GOOGLETRANSLATE(B4544, ""zh"", ""en"")"),"Too big too big, 180 tall, 185 pounds of large size is too large, the code can be, read other people's comments, go to buy two are big.")</f>
        <v>Too big too big, 180 tall, 185 pounds of large size is too large, the code can be, read other people's comments, go to buy two are big.</v>
      </c>
    </row>
    <row r="4545">
      <c r="A4545" s="1">
        <v>1.0</v>
      </c>
      <c r="B4545" s="1" t="s">
        <v>4528</v>
      </c>
      <c r="C4545" t="str">
        <f>IFERROR(__xludf.DUMMYFUNCTION("GOOGLETRANSLATE(B4545, ""zh"", ""en"")"),"Battery not tax the product is good, only a brush, prepaid taxes can not provide tax, has been unable to solve! The next day will be prompted to use the full power of the flash lamp")</f>
        <v>Battery not tax the product is good, only a brush, prepaid taxes can not provide tax, has been unable to solve! The next day will be prompted to use the full power of the flash lamp</v>
      </c>
    </row>
    <row r="4546">
      <c r="A4546" s="1">
        <v>1.0</v>
      </c>
      <c r="B4546" s="1" t="s">
        <v>4529</v>
      </c>
      <c r="C4546" t="str">
        <f>IFERROR(__xludf.DUMMYFUNCTION("GOOGLETRANSLATE(B4546, ""zh"", ""en"")"),"Black fade serious generally do not comment, but this shopping experience is really bad! T-shirts can understand a little big, but fade serious to tolerate, especially this black, or black water, wash the pots, and water which has a particularly large num"&amp;"ber of black slag slag line, seven or eight times to wash all wash clean ~")</f>
        <v>Black fade serious generally do not comment, but this shopping experience is really bad! T-shirts can understand a little big, but fade serious to tolerate, especially this black, or black water, wash the pots, and water which has a particularly large number of black slag slag line, seven or eight times to wash all wash clean ~</v>
      </c>
    </row>
    <row r="4547">
      <c r="A4547" s="1">
        <v>1.0</v>
      </c>
      <c r="B4547" s="1" t="s">
        <v>4530</v>
      </c>
      <c r="C4547" t="str">
        <f>IFERROR(__xludf.DUMMYFUNCTION("GOOGLETRANSLATE(B4547, ""zh"", ""en"")"),"There is a serious scratches scratches, like second-hand")</f>
        <v>There is a serious scratches scratches, like second-hand</v>
      </c>
    </row>
    <row r="4548">
      <c r="A4548" s="1">
        <v>4.0</v>
      </c>
      <c r="B4548" s="1" t="s">
        <v>4531</v>
      </c>
      <c r="C4548" t="str">
        <f>IFERROR(__xludf.DUMMYFUNCTION("GOOGLETRANSLATE(B4548, ""zh"", ""en"")"),"Wear comfortable cotton fabrics, will not generate static electricity")</f>
        <v>Wear comfortable cotton fabrics, will not generate static electricity</v>
      </c>
    </row>
    <row r="4549">
      <c r="A4549" s="1">
        <v>4.0</v>
      </c>
      <c r="B4549" s="1" t="s">
        <v>4532</v>
      </c>
      <c r="C4549" t="str">
        <f>IFERROR(__xludf.DUMMYFUNCTION("GOOGLETRANSLATE(B4549, ""zh"", ""en"")"),"The high price of high prices")</f>
        <v>The high price of high prices</v>
      </c>
    </row>
    <row r="4550">
      <c r="A4550" s="1">
        <v>4.0</v>
      </c>
      <c r="B4550" s="1" t="s">
        <v>4533</v>
      </c>
      <c r="C4550" t="str">
        <f>IFERROR(__xludf.DUMMYFUNCTION("GOOGLETRANSLATE(B4550, ""zh"", ""en"")"),"Product reviews My height 178cm, weight 87kg, waist circumference 2 feet 7, wearing just. But the color does not match the picture, not brown, a bit like a real green. Pants made in China is Bangladesh, 98% cotton, 2% spandex. After opening the package, t"&amp;"here is an odor. A water wash, fade.")</f>
        <v>Product reviews My height 178cm, weight 87kg, waist circumference 2 feet 7, wearing just. But the color does not match the picture, not brown, a bit like a real green. Pants made in China is Bangladesh, 98% cotton, 2% spandex. After opening the package, there is an odor. A water wash, fade.</v>
      </c>
    </row>
    <row r="4551">
      <c r="A4551" s="1">
        <v>4.0</v>
      </c>
      <c r="B4551" s="1" t="s">
        <v>4534</v>
      </c>
      <c r="C4551" t="str">
        <f>IFERROR(__xludf.DUMMYFUNCTION("GOOGLETRANSLATE(B4551, ""zh"", ""en"")"),"Good work, good work, not willing to use, should be good,")</f>
        <v>Good work, good work, not willing to use, should be good,</v>
      </c>
    </row>
    <row r="4552">
      <c r="A4552" s="1">
        <v>5.0</v>
      </c>
      <c r="B4552" s="1" t="s">
        <v>4535</v>
      </c>
      <c r="C4552" t="str">
        <f>IFERROR(__xludf.DUMMYFUNCTION("GOOGLETRANSLATE(B4552, ""zh"", ""en"")"),"Big a yard big a yard. S code should be 78-80 waist length 30.")</f>
        <v>Big a yard big a yard. S code should be 78-80 waist length 30.</v>
      </c>
    </row>
    <row r="4553">
      <c r="A4553" s="1">
        <v>5.0</v>
      </c>
      <c r="B4553" s="1" t="s">
        <v>4536</v>
      </c>
      <c r="C4553" t="str">
        <f>IFERROR(__xludf.DUMMYFUNCTION("GOOGLETRANSLATE(B4553, ""zh"", ""en"")"),"Very very strong very well liked, do not know can not be maintained, the tip soft, long time, distorted")</f>
        <v>Very very strong very well liked, do not know can not be maintained, the tip soft, long time, distorted</v>
      </c>
    </row>
    <row r="4554">
      <c r="A4554" s="1">
        <v>5.0</v>
      </c>
      <c r="B4554" s="1" t="s">
        <v>4537</v>
      </c>
      <c r="C4554" t="str">
        <f>IFERROR(__xludf.DUMMYFUNCTION("GOOGLETRANSLATE(B4554, ""zh"", ""en"")"),"Very appropriate size is very appropriate length just right")</f>
        <v>Very appropriate size is very appropriate length just right</v>
      </c>
    </row>
    <row r="4555">
      <c r="A4555" s="1">
        <v>5.0</v>
      </c>
      <c r="B4555" s="1" t="s">
        <v>4538</v>
      </c>
      <c r="C4555" t="str">
        <f>IFERROR(__xludf.DUMMYFUNCTION("GOOGLETRANSLATE(B4555, ""zh"", ""en"")"),"Very good with a very nice, very clean brush")</f>
        <v>Very good with a very nice, very clean brush</v>
      </c>
    </row>
    <row r="4556">
      <c r="A4556" s="1">
        <v>5.0</v>
      </c>
      <c r="B4556" s="1" t="s">
        <v>4539</v>
      </c>
      <c r="C4556" t="str">
        <f>IFERROR(__xludf.DUMMYFUNCTION("GOOGLETRANSLATE(B4556, ""zh"", ""en"")"),"Inexpensive like the appearance of this product, more suitable for a street wear. The sound quality is really good, the sound effects are pretty cool. Yes!")</f>
        <v>Inexpensive like the appearance of this product, more suitable for a street wear. The sound quality is really good, the sound effects are pretty cool. Yes!</v>
      </c>
    </row>
    <row r="4557">
      <c r="A4557" s="1">
        <v>5.0</v>
      </c>
      <c r="B4557" s="1" t="s">
        <v>4540</v>
      </c>
      <c r="C4557" t="str">
        <f>IFERROR(__xludf.DUMMYFUNCTION("GOOGLETRANSLATE(B4557, ""zh"", ""en"")"),"Pretty! Nice big tofu, is indeed the flagship Parker pen!")</f>
        <v>Pretty! Nice big tofu, is indeed the flagship Parker pen!</v>
      </c>
    </row>
    <row r="4558">
      <c r="A4558" s="1">
        <v>5.0</v>
      </c>
      <c r="B4558" s="1" t="s">
        <v>4541</v>
      </c>
      <c r="C4558" t="str">
        <f>IFERROR(__xludf.DUMMYFUNCTION("GOOGLETRANSLATE(B4558, ""zh"", ""en"")"),"Cheap leather, but the skin is not very thick kind, it is very appropriate than the big three yards of pants.")</f>
        <v>Cheap leather, but the skin is not very thick kind, it is very appropriate than the big three yards of pants.</v>
      </c>
    </row>
    <row r="4559">
      <c r="A4559" s="1">
        <v>5.0</v>
      </c>
      <c r="B4559" s="1" t="s">
        <v>4542</v>
      </c>
      <c r="C4559" t="str">
        <f>IFERROR(__xludf.DUMMYFUNCTION("GOOGLETRANSLATE(B4559, ""zh"", ""en"")"),"very nice fit, perfect size")</f>
        <v>very nice fit, perfect size</v>
      </c>
    </row>
    <row r="4560">
      <c r="A4560" s="1">
        <v>5.0</v>
      </c>
      <c r="B4560" s="1" t="s">
        <v>4543</v>
      </c>
      <c r="C4560" t="str">
        <f>IFERROR(__xludf.DUMMYFUNCTION("GOOGLETRANSLATE(B4560, ""zh"", ""en"")"),"Bodi shoes a little big or large expected a good-looking")</f>
        <v>Bodi shoes a little big or large expected a good-looking</v>
      </c>
    </row>
    <row r="4561">
      <c r="A4561" s="1">
        <v>5.0</v>
      </c>
      <c r="B4561" s="1" t="s">
        <v>4544</v>
      </c>
      <c r="C4561" t="str">
        <f>IFERROR(__xludf.DUMMYFUNCTION("GOOGLETRANSLATE(B4561, ""zh"", ""en"")"),"Biore Biore hand soap foam seal extruded soap is very beautiful, clean and good results not to hurt the hand.")</f>
        <v>Biore Biore hand soap foam seal extruded soap is very beautiful, clean and good results not to hurt the hand.</v>
      </c>
    </row>
    <row r="4562">
      <c r="A4562" s="1">
        <v>5.0</v>
      </c>
      <c r="B4562" s="1" t="s">
        <v>4545</v>
      </c>
      <c r="C4562" t="str">
        <f>IFERROR(__xludf.DUMMYFUNCTION("GOOGLETRANSLATE(B4562, ""zh"", ""en"")"),"A little bit rough rough pen nib, suitable for pen writing is very smooth, very comfortable writing")</f>
        <v>A little bit rough rough pen nib, suitable for pen writing is very smooth, very comfortable writing</v>
      </c>
    </row>
    <row r="4563">
      <c r="A4563" s="1">
        <v>5.0</v>
      </c>
      <c r="B4563" s="1" t="s">
        <v>4546</v>
      </c>
      <c r="C4563" t="str">
        <f>IFERROR(__xludf.DUMMYFUNCTION("GOOGLETRANSLATE(B4563, ""zh"", ""en"")"),"Seismic effect is good, a bit too small seismic effect did not have to say, is to see comments buy small, who also did a ...... before that buy big, almost kneeling, fortunately still lose weight, can wear, over time it should just, and then look very bea"&amp;"utiful, very like")</f>
        <v>Seismic effect is good, a bit too small seismic effect did not have to say, is to see comments buy small, who also did a ...... before that buy big, almost kneeling, fortunately still lose weight, can wear, over time it should just, and then look very beautiful, very like</v>
      </c>
    </row>
    <row r="4564">
      <c r="A4564" s="1">
        <v>5.0</v>
      </c>
      <c r="B4564" s="1" t="s">
        <v>4547</v>
      </c>
      <c r="C4564" t="str">
        <f>IFERROR(__xludf.DUMMYFUNCTION("GOOGLETRANSLATE(B4564, ""zh"", ""en"")"),"Well there is a thin fleece inside, the sleeve is padded winter can 170 68 kilograms a little belly, buy s, exactly.")</f>
        <v>Well there is a thin fleece inside, the sleeve is padded winter can 170 68 kilograms a little belly, buy s, exactly.</v>
      </c>
    </row>
    <row r="4565">
      <c r="A4565" s="1">
        <v>5.0</v>
      </c>
      <c r="B4565" s="1" t="s">
        <v>4548</v>
      </c>
      <c r="C4565" t="str">
        <f>IFERROR(__xludf.DUMMYFUNCTION("GOOGLETRANSLATE(B4565, ""zh"", ""en"")"),"High cost plus a turret head 10, plus tax just 200 succeed, the price in the country can only buy four heads. Amazon's overseas purchase or cost-effective. Just a pity that there is no black five concessions, but cheap enough.")</f>
        <v>High cost plus a turret head 10, plus tax just 200 succeed, the price in the country can only buy four heads. Amazon's overseas purchase or cost-effective. Just a pity that there is no black five concessions, but cheap enough.</v>
      </c>
    </row>
    <row r="4566">
      <c r="A4566" s="1">
        <v>5.0</v>
      </c>
      <c r="B4566" s="1" t="s">
        <v>4549</v>
      </c>
      <c r="C4566" t="str">
        <f>IFERROR(__xludf.DUMMYFUNCTION("GOOGLETRANSLATE(B4566, ""zh"", ""en"")"),"Value for money logistics fast, the right size, brand new shoes, very satisfied, the key is the price is right, excellent value for money. recommend!")</f>
        <v>Value for money logistics fast, the right size, brand new shoes, very satisfied, the key is the price is right, excellent value for money. recommend!</v>
      </c>
    </row>
    <row r="4567">
      <c r="A4567" s="1">
        <v>5.0</v>
      </c>
      <c r="B4567" s="1" t="s">
        <v>4550</v>
      </c>
      <c r="C4567" t="str">
        <f>IFERROR(__xludf.DUMMYFUNCTION("GOOGLETRANSLATE(B4567, ""zh"", ""en"")"),"Sound hen bu cuo w sound better and better, just get our hands on feel the sound in general, found that more than a month after listening to sound better and better, I liked it, but also comfortable to wear")</f>
        <v>Sound hen bu cuo w sound better and better, just get our hands on feel the sound in general, found that more than a month after listening to sound better and better, I liked it, but also comfortable to wear</v>
      </c>
    </row>
    <row r="4568">
      <c r="A4568" s="1">
        <v>5.0</v>
      </c>
      <c r="B4568" s="1" t="s">
        <v>4551</v>
      </c>
      <c r="C4568" t="str">
        <f>IFERROR(__xludf.DUMMYFUNCTION("GOOGLETRANSLATE(B4568, ""zh"", ""en"")"),"Like 👍 affordable, comfortable and delicate, love does not address enough. Less than 1,000 yuan to buy, plus tax 1100 yuan. You can buy according to the usual number.")</f>
        <v>Like 👍 affordable, comfortable and delicate, love does not address enough. Less than 1,000 yuan to buy, plus tax 1100 yuan. You can buy according to the usual number.</v>
      </c>
    </row>
    <row r="4569">
      <c r="A4569" s="1">
        <v>5.0</v>
      </c>
      <c r="B4569" s="1" t="s">
        <v>4552</v>
      </c>
      <c r="C4569" t="str">
        <f>IFERROR(__xludf.DUMMYFUNCTION("GOOGLETRANSLATE(B4569, ""zh"", ""en"")"),"To tide point like that is a big point")</f>
        <v>To tide point like that is a big point</v>
      </c>
    </row>
    <row r="4570">
      <c r="A4570" s="1">
        <v>5.0</v>
      </c>
      <c r="B4570" s="1" t="s">
        <v>4553</v>
      </c>
      <c r="C4570" t="str">
        <f>IFERROR(__xludf.DUMMYFUNCTION("GOOGLETRANSLATE(B4570, ""zh"", ""en"")"),"Casio EF106D-2A 1, the appearance looks better, better than the pictures in kind Aspect; 2, quartz watch, when you do not have to go that is certainly more accurate, fast 10 seconds a month. 3, the disadvantage is relatively hard strap. Overall, very sati"&amp;"sfied!")</f>
        <v>Casio EF106D-2A 1, the appearance looks better, better than the pictures in kind Aspect; 2, quartz watch, when you do not have to go that is certainly more accurate, fast 10 seconds a month. 3, the disadvantage is relatively hard strap. Overall, very satisfied!</v>
      </c>
    </row>
    <row r="4571">
      <c r="A4571" s="1">
        <v>5.0</v>
      </c>
      <c r="B4571" s="1" t="s">
        <v>4554</v>
      </c>
      <c r="C4571" t="str">
        <f>IFERROR(__xludf.DUMMYFUNCTION("GOOGLETRANSLATE(B4571, ""zh"", ""en"")"),"Worth buying waist circumference slightly larger point, but the quality and price did not say")</f>
        <v>Worth buying waist circumference slightly larger point, but the quality and price did not say</v>
      </c>
    </row>
    <row r="4572">
      <c r="A4572" s="1">
        <v>5.0</v>
      </c>
      <c r="B4572" s="1" t="s">
        <v>4555</v>
      </c>
      <c r="C4572" t="str">
        <f>IFERROR(__xludf.DUMMYFUNCTION("GOOGLETRANSLATE(B4572, ""zh"", ""en"")"),"Soft and comfortable not very thick, inside a thin layer, soft and comfortable")</f>
        <v>Soft and comfortable not very thick, inside a thin layer, soft and comfortable</v>
      </c>
    </row>
    <row r="4573">
      <c r="A4573" s="1">
        <v>5.0</v>
      </c>
      <c r="B4573" s="1" t="s">
        <v>4556</v>
      </c>
      <c r="C4573" t="str">
        <f>IFERROR(__xludf.DUMMYFUNCTION("GOOGLETRANSLATE(B4573, ""zh"", ""en"")"),"Really great value to the country for four days to send the SF! Oh, next time to buy good value for money")</f>
        <v>Really great value to the country for four days to send the SF! Oh, next time to buy good value for money</v>
      </c>
    </row>
    <row r="4574">
      <c r="A4574" s="1">
        <v>2.0</v>
      </c>
      <c r="B4574" s="1" t="s">
        <v>4557</v>
      </c>
      <c r="C4574" t="str">
        <f>IFERROR(__xludf.DUMMYFUNCTION("GOOGLETRANSLATE(B4574, ""zh"", ""en"")"),"Quality worrying T-shirt no color, material comfort, but the quality is worrying, because the price is affordable, free shipping to scrape together four, including two seam cracking, Americans do not check carefully, really unpleasant.")</f>
        <v>Quality worrying T-shirt no color, material comfort, but the quality is worrying, because the price is affordable, free shipping to scrape together four, including two seam cracking, Americans do not check carefully, really unpleasant.</v>
      </c>
    </row>
    <row r="4575">
      <c r="A4575" s="1">
        <v>3.0</v>
      </c>
      <c r="B4575" s="1" t="s">
        <v>4558</v>
      </c>
      <c r="C4575" t="str">
        <f>IFERROR(__xludf.DUMMYFUNCTION("GOOGLETRANSLATE(B4575, ""zh"", ""en"")"),"Shed black Shed, not a good imagination.")</f>
        <v>Shed black Shed, not a good imagination.</v>
      </c>
    </row>
    <row r="4576">
      <c r="A4576" s="1">
        <v>3.0</v>
      </c>
      <c r="B4576" s="1" t="s">
        <v>4559</v>
      </c>
      <c r="C4576" t="str">
        <f>IFERROR(__xludf.DUMMYFUNCTION("GOOGLETRANSLATE(B4576, ""zh"", ""en"")"),"OK speaker noise floor is fairly small, and no one else said so much, I was alone in a plug socket. You can clearly feel a lot stronger than hundreds of small speakers, listen to pop music but really not very good.")</f>
        <v>OK speaker noise floor is fairly small, and no one else said so much, I was alone in a plug socket. You can clearly feel a lot stronger than hundreds of small speakers, listen to pop music but really not very good.</v>
      </c>
    </row>
    <row r="4577">
      <c r="A4577" s="1">
        <v>3.0</v>
      </c>
      <c r="B4577" s="1" t="s">
        <v>4560</v>
      </c>
      <c r="C4577" t="str">
        <f>IFERROR(__xludf.DUMMYFUNCTION("GOOGLETRANSLATE(B4577, ""zh"", ""en"")"),"Germany to send over not quite understand what the packaging is no packaging machine will not receive the original box did not break out of the box sets of transport is difficult to see the machine simply is not broken even if it looks like there is very "&amp;"unstable trial capsule? ? ? I did not see")</f>
        <v>Germany to send over not quite understand what the packaging is no packaging machine will not receive the original box did not break out of the box sets of transport is difficult to see the machine simply is not broken even if it looks like there is very unstable trial capsule? ? ? I did not see</v>
      </c>
    </row>
    <row r="4578">
      <c r="A4578" s="1">
        <v>1.0</v>
      </c>
      <c r="B4578" s="1" t="s">
        <v>4561</v>
      </c>
      <c r="C4578" t="str">
        <f>IFERROR(__xludf.DUMMYFUNCTION("GOOGLETRANSLATE(B4578, ""zh"", ""en"")"),"Holding a solar-powered watch watch very light, looked like children watch, really cheap goods not good ah! Buy is indeed blue dial, but received a black dial, with the picture is not the same,")</f>
        <v>Holding a solar-powered watch watch very light, looked like children watch, really cheap goods not good ah! Buy is indeed blue dial, but received a black dial, with the picture is not the same,</v>
      </c>
    </row>
    <row r="4579">
      <c r="A4579" s="1">
        <v>1.0</v>
      </c>
      <c r="B4579" s="1" t="s">
        <v>4562</v>
      </c>
      <c r="C4579" t="str">
        <f>IFERROR(__xludf.DUMMYFUNCTION("GOOGLETRANSLATE(B4579, ""zh"", ""en"")"),"Do not buy do not buy, say it is tears ah, spent a month on the bad, the country does not give warranty, find their own repair repair can not say, circuit boards are sealed with glue, can not service. Pit dead.")</f>
        <v>Do not buy do not buy, say it is tears ah, spent a month on the bad, the country does not give warranty, find their own repair repair can not say, circuit boards are sealed with glue, can not service. Pit dead.</v>
      </c>
    </row>
    <row r="4580">
      <c r="A4580" s="1">
        <v>4.0</v>
      </c>
      <c r="B4580" s="1" t="s">
        <v>4563</v>
      </c>
      <c r="C4580" t="str">
        <f>IFERROR(__xludf.DUMMYFUNCTION("GOOGLETRANSLATE(B4580, ""zh"", ""en"")"),"General General, 172,65kg, s little tight Clothes")</f>
        <v>General General, 172,65kg, s little tight Clothes</v>
      </c>
    </row>
    <row r="4581">
      <c r="A4581" s="1">
        <v>4.0</v>
      </c>
      <c r="B4581" s="1" t="s">
        <v>4564</v>
      </c>
      <c r="C4581" t="str">
        <f>IFERROR(__xludf.DUMMYFUNCTION("GOOGLETRANSLATE(B4581, ""zh"", ""en"")"),"Good quality impress very good, especially the soles very good. But if shoes are not very delicate, a little man a little. Suitable handsome girls")</f>
        <v>Good quality impress very good, especially the soles very good. But if shoes are not very delicate, a little man a little. Suitable handsome girls</v>
      </c>
    </row>
    <row r="4582">
      <c r="A4582" s="1">
        <v>4.0</v>
      </c>
      <c r="B4582" s="1" t="s">
        <v>4565</v>
      </c>
      <c r="C4582" t="str">
        <f>IFERROR(__xludf.DUMMYFUNCTION("GOOGLETRANSLATE(B4582, ""zh"", ""en"")"),"Quality in general it suitable for spring wear, fabric good, work so-so, after all, so much money.")</f>
        <v>Quality in general it suitable for spring wear, fabric good, work so-so, after all, so much money.</v>
      </c>
    </row>
    <row r="4583">
      <c r="A4583" s="1">
        <v>4.0</v>
      </c>
      <c r="B4583" s="1" t="s">
        <v>4566</v>
      </c>
      <c r="C4583" t="str">
        <f>IFERROR(__xludf.DUMMYFUNCTION("GOOGLETRANSLATE(B4583, ""zh"", ""en"")"),"Easy to fade like the style, size 34 is just right, work is also good, but after some time the Department has faint traces circles on the waistline.")</f>
        <v>Easy to fade like the style, size 34 is just right, work is also good, but after some time the Department has faint traces circles on the waistline.</v>
      </c>
    </row>
    <row r="4584">
      <c r="A4584" s="1">
        <v>4.0</v>
      </c>
      <c r="B4584" s="1" t="s">
        <v>4567</v>
      </c>
      <c r="C4584" t="str">
        <f>IFERROR(__xludf.DUMMYFUNCTION("GOOGLETRANSLATE(B4584, ""zh"", ""en"")"),"Material is very thick, work in general the US version of a common problem, people hurry to work, the price casual Pei-ling")</f>
        <v>Material is very thick, work in general the US version of a common problem, people hurry to work, the price casual Pei-ling</v>
      </c>
    </row>
    <row r="4585">
      <c r="A4585" s="1">
        <v>5.0</v>
      </c>
      <c r="B4585" s="1" t="s">
        <v>4568</v>
      </c>
      <c r="C4585" t="str">
        <f>IFERROR(__xludf.DUMMYFUNCTION("GOOGLETRANSLATE(B4585, ""zh"", ""en"")"),"And domestic packaging different feel very good, did not completely cover the taste.")</f>
        <v>And domestic packaging different feel very good, did not completely cover the taste.</v>
      </c>
    </row>
    <row r="4586">
      <c r="A4586" s="1">
        <v>5.0</v>
      </c>
      <c r="B4586" s="1" t="s">
        <v>4569</v>
      </c>
      <c r="C4586" t="str">
        <f>IFERROR(__xludf.DUMMYFUNCTION("GOOGLETRANSLATE(B4586, ""zh"", ""en"")"),"Buy most of the code is not suitable for jogging, running 10 kilometers feeling more rigid shoes, walking can also be, in short, well, most of the code buy shoes")</f>
        <v>Buy most of the code is not suitable for jogging, running 10 kilometers feeling more rigid shoes, walking can also be, in short, well, most of the code buy shoes</v>
      </c>
    </row>
    <row r="4587">
      <c r="A4587" s="1">
        <v>5.0</v>
      </c>
      <c r="B4587" s="1" t="s">
        <v>4570</v>
      </c>
      <c r="C4587" t="str">
        <f>IFERROR(__xludf.DUMMYFUNCTION("GOOGLETRANSLATE(B4587, ""zh"", ""en"")"),"Figure nib iridium grain color is like the color, but vibrant blue did not think. In addition EF sharp comparative hanging paper, estimated that at least one week to write the word pen to running good!")</f>
        <v>Figure nib iridium grain color is like the color, but vibrant blue did not think. In addition EF sharp comparative hanging paper, estimated that at least one week to write the word pen to running good!</v>
      </c>
    </row>
    <row r="4588">
      <c r="A4588" s="1">
        <v>5.0</v>
      </c>
      <c r="B4588" s="1" t="s">
        <v>4571</v>
      </c>
      <c r="C4588" t="str">
        <f>IFERROR(__xludf.DUMMYFUNCTION("GOOGLETRANSLATE(B4588, ""zh"", ""en"")"),"Size gray often good quality, I 178/62, M code slightly loose, feel good, for your reference Ha.")</f>
        <v>Size gray often good quality, I 178/62, M code slightly loose, feel good, for your reference Ha.</v>
      </c>
    </row>
    <row r="4589">
      <c r="A4589" s="1">
        <v>5.0</v>
      </c>
      <c r="B4589" s="1" t="s">
        <v>4572</v>
      </c>
      <c r="C4589" t="str">
        <f>IFERROR(__xludf.DUMMYFUNCTION("GOOGLETRANSLATE(B4589, ""zh"", ""en"")"),"According to 250 feet long to buy right foot")</f>
        <v>According to 250 feet long to buy right foot</v>
      </c>
    </row>
    <row r="4590">
      <c r="A4590" s="1">
        <v>5.0</v>
      </c>
      <c r="B4590" s="1" t="s">
        <v>4573</v>
      </c>
      <c r="C4590" t="str">
        <f>IFERROR(__xludf.DUMMYFUNCTION("GOOGLETRANSLATE(B4590, ""zh"", ""en"")"),"Breathable, fit. not bad. Comfortable to wear, activity without restraint.")</f>
        <v>Breathable, fit. not bad. Comfortable to wear, activity without restraint.</v>
      </c>
    </row>
    <row r="4591">
      <c r="A4591" s="1">
        <v>5.0</v>
      </c>
      <c r="B4591" s="1" t="s">
        <v>4574</v>
      </c>
      <c r="C4591" t="str">
        <f>IFERROR(__xludf.DUMMYFUNCTION("GOOGLETRANSLATE(B4591, ""zh"", ""en"")"),"Good eighth shirt, first bought a white, a black supplemented.")</f>
        <v>Good eighth shirt, first bought a white, a black supplemented.</v>
      </c>
    </row>
    <row r="4592">
      <c r="A4592" s="1">
        <v>5.0</v>
      </c>
      <c r="B4592" s="1" t="s">
        <v>976</v>
      </c>
      <c r="C4592" t="str">
        <f>IFERROR(__xludf.DUMMYFUNCTION("GOOGLETRANSLATE(B4592, ""zh"", ""en"")"),"Very, very good, never went before the evaluation, I do not know how many wasted points, points can change money now know, they should look carefully evaluated, then I put these words to copy to go, both to earn points, but also the easy way to go where c"&amp;"opy where, most importantly, do not seriously review, do not think how much worse word, sent directly to it, recommend it to everyone! !")</f>
        <v>Very, very good, never went before the evaluation, I do not know how many wasted points, points can change money now know, they should look carefully evaluated, then I put these words to copy to go, both to earn points, but also the easy way to go where copy where, most importantly, do not seriously review, do not think how much worse word, sent directly to it, recommend it to everyone! !</v>
      </c>
    </row>
    <row r="4593">
      <c r="A4593" s="1">
        <v>5.0</v>
      </c>
      <c r="B4593" s="1" t="s">
        <v>4575</v>
      </c>
      <c r="C4593" t="str">
        <f>IFERROR(__xludf.DUMMYFUNCTION("GOOGLETRANSLATE(B4593, ""zh"", ""en"")"),"Good buy something good short is the wrong size short point")</f>
        <v>Good buy something good short is the wrong size short point</v>
      </c>
    </row>
    <row r="4594">
      <c r="A4594" s="1">
        <v>5.0</v>
      </c>
      <c r="B4594" s="1" t="s">
        <v>4576</v>
      </c>
      <c r="C4594" t="str">
        <f>IFERROR(__xludf.DUMMYFUNCTION("GOOGLETRANSLATE(B4594, ""zh"", ""en"")"),"Yes this is true can be used at different stages and gave a friend bought two sets")</f>
        <v>Yes this is true can be used at different stages and gave a friend bought two sets</v>
      </c>
    </row>
    <row r="4595">
      <c r="A4595" s="1">
        <v>5.0</v>
      </c>
      <c r="B4595" s="1" t="s">
        <v>4577</v>
      </c>
      <c r="C4595" t="str">
        <f>IFERROR(__xludf.DUMMYFUNCTION("GOOGLETRANSLATE(B4595, ""zh"", ""en"")"),"I liked to wear comfortable, very fit")</f>
        <v>I liked to wear comfortable, very fit</v>
      </c>
    </row>
    <row r="4596">
      <c r="A4596" s="1">
        <v>5.0</v>
      </c>
      <c r="B4596" s="1" t="s">
        <v>4578</v>
      </c>
      <c r="C4596" t="str">
        <f>IFERROR(__xludf.DUMMYFUNCTION("GOOGLETRANSLATE(B4596, ""zh"", ""en"")"),"Genuine good quality")</f>
        <v>Genuine good quality</v>
      </c>
    </row>
    <row r="4597">
      <c r="A4597" s="1">
        <v>5.0</v>
      </c>
      <c r="B4597" s="1" t="s">
        <v>4579</v>
      </c>
      <c r="C4597" t="str">
        <f>IFERROR(__xludf.DUMMYFUNCTION("GOOGLETRANSLATE(B4597, ""zh"", ""en"")"),"good very good")</f>
        <v>good very good</v>
      </c>
    </row>
    <row r="4598">
      <c r="A4598" s="1">
        <v>5.0</v>
      </c>
      <c r="B4598" s="1" t="s">
        <v>4580</v>
      </c>
      <c r="C4598" t="str">
        <f>IFERROR(__xludf.DUMMYFUNCTION("GOOGLETRANSLATE(B4598, ""zh"", ""en"")"),"It is recommended that the son has been eating probiotics, good")</f>
        <v>It is recommended that the son has been eating probiotics, good</v>
      </c>
    </row>
    <row r="4599">
      <c r="A4599" s="1">
        <v>5.0</v>
      </c>
      <c r="B4599" s="1" t="s">
        <v>4581</v>
      </c>
      <c r="C4599" t="str">
        <f>IFERROR(__xludf.DUMMYFUNCTION("GOOGLETRANSLATE(B4599, ""zh"", ""en"")"),"Good, oh super good, cheap and easy to use.")</f>
        <v>Good, oh super good, cheap and easy to use.</v>
      </c>
    </row>
    <row r="4600">
      <c r="A4600" s="1">
        <v>5.0</v>
      </c>
      <c r="B4600" s="1" t="s">
        <v>4582</v>
      </c>
      <c r="C4600" t="str">
        <f>IFERROR(__xludf.DUMMYFUNCTION("GOOGLETRANSLATE(B4600, ""zh"", ""en"")"),"Vegetables are good to eat with this good")</f>
        <v>Vegetables are good to eat with this good</v>
      </c>
    </row>
    <row r="4601">
      <c r="A4601" s="1">
        <v>5.0</v>
      </c>
      <c r="B4601" s="1" t="s">
        <v>4583</v>
      </c>
      <c r="C4601" t="str">
        <f>IFERROR(__xludf.DUMMYFUNCTION("GOOGLETRANSLATE(B4601, ""zh"", ""en"")"),"The right size, comfortable size ECCO's very consistent, has selected 42 yards (8.5), very fit, comfortable, price is not bad. ECCO shoes in recent years is the feeling of quality has declined, mainly the decline in the quality of the soles, often upper s"&amp;"ub still intact, the soles fell off and cracked, which I do not know how to double?")</f>
        <v>The right size, comfortable size ECCO's very consistent, has selected 42 yards (8.5), very fit, comfortable, price is not bad. ECCO shoes in recent years is the feeling of quality has declined, mainly the decline in the quality of the soles, often upper sub still intact, the soles fell off and cracked, which I do not know how to double?</v>
      </c>
    </row>
    <row r="4602">
      <c r="A4602" s="1">
        <v>5.0</v>
      </c>
      <c r="B4602" s="1" t="s">
        <v>4584</v>
      </c>
      <c r="C4602" t="str">
        <f>IFERROR(__xludf.DUMMYFUNCTION("GOOGLETRANSLATE(B4602, ""zh"", ""en"")"),"Very, very good made in Japan. Comfort. 170CM, 72KG this number just right, fit. Warm feeling also can put some of the really warming up. recommend!")</f>
        <v>Very, very good made in Japan. Comfort. 170CM, 72KG this number just right, fit. Warm feeling also can put some of the really warming up. recommend!</v>
      </c>
    </row>
    <row r="4603">
      <c r="A4603" s="1">
        <v>5.0</v>
      </c>
      <c r="B4603" s="1" t="s">
        <v>4585</v>
      </c>
      <c r="C4603" t="str">
        <f>IFERROR(__xludf.DUMMYFUNCTION("GOOGLETRANSLATE(B4603, ""zh"", ""en"")"),"Sea Amoy genuine origin of shipments, children's electric toothbrush replaced with, no problems, authentic, cheaper than domestic.")</f>
        <v>Sea Amoy genuine origin of shipments, children's electric toothbrush replaced with, no problems, authentic, cheaper than domestic.</v>
      </c>
    </row>
    <row r="4604">
      <c r="A4604" s="1">
        <v>5.0</v>
      </c>
      <c r="B4604" s="1" t="s">
        <v>4586</v>
      </c>
      <c r="C4604" t="str">
        <f>IFERROR(__xludf.DUMMYFUNCTION("GOOGLETRANSLATE(B4604, ""zh"", ""en"")"),"111 direct mail three days on hand, too fast, hard disk is very beautiful, is the built-in hard disk shrink severely, put the computer inside the transmission speed it up and down in the 130m, Internet search a bit this dish is not very good, one of the t"&amp;"otal price of a goods, but also good")</f>
        <v>111 direct mail three days on hand, too fast, hard disk is very beautiful, is the built-in hard disk shrink severely, put the computer inside the transmission speed it up and down in the 130m, Internet search a bit this dish is not very good, one of the total price of a goods, but also good</v>
      </c>
    </row>
    <row r="4605">
      <c r="A4605" s="1">
        <v>5.0</v>
      </c>
      <c r="B4605" s="1" t="s">
        <v>4587</v>
      </c>
      <c r="C4605" t="str">
        <f>IFERROR(__xludf.DUMMYFUNCTION("GOOGLETRANSLATE(B4605, ""zh"", ""en"")"),"Before the water purifier is easy to buy in Deya, transport back. You can now filter direct mail, and very convenient, always had hope.")</f>
        <v>Before the water purifier is easy to buy in Deya, transport back. You can now filter direct mail, and very convenient, always had hope.</v>
      </c>
    </row>
    <row r="4606">
      <c r="A4606" s="1">
        <v>5.0</v>
      </c>
      <c r="B4606" s="1" t="s">
        <v>4588</v>
      </c>
      <c r="C4606" t="str">
        <f>IFERROR(__xludf.DUMMYFUNCTION("GOOGLETRANSLATE(B4606, ""zh"", ""en"")"),"Good shoes are very beautiful, usually wear 41, bought US size 8, exactly. Price is very competitive.")</f>
        <v>Good shoes are very beautiful, usually wear 41, bought US size 8, exactly. Price is very competitive.</v>
      </c>
    </row>
    <row r="4607">
      <c r="A4607" s="1">
        <v>2.0</v>
      </c>
      <c r="B4607" s="1" t="s">
        <v>4589</v>
      </c>
      <c r="C4607" t="str">
        <f>IFERROR(__xludf.DUMMYFUNCTION("GOOGLETRANSLATE(B4607, ""zh"", ""en"")"),"When buying shoes, big signs fail to forget is produced in Indonesia or Vietnam, and leather and photographs vary greatly, because it is easy to stick dust, received the shoes, the shoes seem very old, the color is gray and black. Size is much larger than"&amp;" ordinary shoes, I wear sneakers just 27 feet in the shoes selected CN26.5 greater the distance a finger. The actual head shoes is very short, from top to bottom ugly fly. But the shoes very durable, thin skin, but good quality. Both sides have holes, to "&amp;"take the air.")</f>
        <v>When buying shoes, big signs fail to forget is produced in Indonesia or Vietnam, and leather and photographs vary greatly, because it is easy to stick dust, received the shoes, the shoes seem very old, the color is gray and black. Size is much larger than ordinary shoes, I wear sneakers just 27 feet in the shoes selected CN26.5 greater the distance a finger. The actual head shoes is very short, from top to bottom ugly fly. But the shoes very durable, thin skin, but good quality. Both sides have holes, to take the air.</v>
      </c>
    </row>
    <row r="4608">
      <c r="A4608" s="1">
        <v>3.0</v>
      </c>
      <c r="B4608" s="1" t="s">
        <v>4590</v>
      </c>
      <c r="C4608" t="str">
        <f>IFERROR(__xludf.DUMMYFUNCTION("GOOGLETRANSLATE(B4608, ""zh"", ""en"")"),"Like a general price OK, a hundred dollars, gave a key chain. Fabric feeling is pu, is certainly not leather. Work so-so, not bad, but definitely I'm sorry CK brand image. Size must to talk about, because it is the US version, open the slender, put 100 bi"&amp;"lls barely, measured not more than 15.")</f>
        <v>Like a general price OK, a hundred dollars, gave a key chain. Fabric feeling is pu, is certainly not leather. Work so-so, not bad, but definitely I'm sorry CK brand image. Size must to talk about, because it is the US version, open the slender, put 100 bills barely, measured not more than 15.</v>
      </c>
    </row>
    <row r="4609">
      <c r="A4609" s="1">
        <v>3.0</v>
      </c>
      <c r="B4609" s="1" t="s">
        <v>4591</v>
      </c>
      <c r="C4609" t="str">
        <f>IFERROR(__xludf.DUMMYFUNCTION("GOOGLETRANSLATE(B4609, ""zh"", ""en"")"),"No read speed and no legendary so fast")</f>
        <v>No read speed and no legendary so fast</v>
      </c>
    </row>
    <row r="4610">
      <c r="A4610" s="1">
        <v>1.0</v>
      </c>
      <c r="B4610" s="1" t="s">
        <v>4592</v>
      </c>
      <c r="C4610" t="str">
        <f>IFERROR(__xludf.DUMMYFUNCTION("GOOGLETRANSLATE(B4610, ""zh"", ""en"")"),"Very poor what software is really good garbage pants package even if it was brought to wear pants a bit too inferior to break up")</f>
        <v>Very poor what software is really good garbage pants package even if it was brought to wear pants a bit too inferior to break up</v>
      </c>
    </row>
    <row r="4611">
      <c r="A4611" s="1">
        <v>1.0</v>
      </c>
      <c r="B4611" s="1" t="s">
        <v>4593</v>
      </c>
      <c r="C4611" t="str">
        <f>IFERROR(__xludf.DUMMYFUNCTION("GOOGLETRANSLATE(B4611, ""zh"", ""en"")"),"Poor cover the smell serious, but before I bought that is not the same, the difference in assessment!")</f>
        <v>Poor cover the smell serious, but before I bought that is not the same, the difference in assessment!</v>
      </c>
    </row>
    <row r="4612">
      <c r="A4612" s="1">
        <v>4.0</v>
      </c>
      <c r="B4612" s="1" t="s">
        <v>4594</v>
      </c>
      <c r="C4612" t="str">
        <f>IFERROR(__xludf.DUMMYFUNCTION("GOOGLETRANSLATE(B4612, ""zh"", ""en"")"),"Headphone cable is very fragile, remember to buy a spare original special buy, and now the price is also cheaper than at the time, especially to recall. The sound quality is still possible, just listen; noise immunity naturally not as active noise reducti"&amp;"on. Wearing a long time does not hurt, good comfort. Headphone cable is a best buy. If you want to take sports, then you can buy a Bluetooth version.")</f>
        <v>Headphone cable is very fragile, remember to buy a spare original special buy, and now the price is also cheaper than at the time, especially to recall. The sound quality is still possible, just listen; noise immunity naturally not as active noise reduction. Wearing a long time does not hurt, good comfort. Headphone cable is a best buy. If you want to take sports, then you can buy a Bluetooth version.</v>
      </c>
    </row>
    <row r="4613">
      <c r="A4613" s="1">
        <v>4.0</v>
      </c>
      <c r="B4613" s="1" t="s">
        <v>4595</v>
      </c>
      <c r="C4613" t="str">
        <f>IFERROR(__xludf.DUMMYFUNCTION("GOOGLETRANSLATE(B4613, ""zh"", ""en"")"),"And better quality cloth, a little too small! And better quality cloth, a little too small!")</f>
        <v>And better quality cloth, a little too small! And better quality cloth, a little too small!</v>
      </c>
    </row>
    <row r="4614">
      <c r="A4614" s="1">
        <v>4.0</v>
      </c>
      <c r="B4614" s="1" t="s">
        <v>4596</v>
      </c>
      <c r="C4614" t="str">
        <f>IFERROR(__xludf.DUMMYFUNCTION("GOOGLETRANSLATE(B4614, ""zh"", ""en"")"),"Oversized shoes look great, a little bit bigger")</f>
        <v>Oversized shoes look great, a little bit bigger</v>
      </c>
    </row>
    <row r="4615">
      <c r="A4615" s="1">
        <v>4.0</v>
      </c>
      <c r="B4615" s="1" t="s">
        <v>4597</v>
      </c>
      <c r="C4615" t="str">
        <f>IFERROR(__xludf.DUMMYFUNCTION("GOOGLETRANSLATE(B4615, ""zh"", ""en"")"),"Does not exceed the expected election L31 30 very fit for my 170CM, 75KG of, is really not a domestic call Slim models, but still slim! Workmanship is very general, about 250 hand pants, in fact, not very high price, no surprises and no big disappointment"&amp;"! I do not recommend scouring the sea!")</f>
        <v>Does not exceed the expected election L31 30 very fit for my 170CM, 75KG of, is really not a domestic call Slim models, but still slim! Workmanship is very general, about 250 hand pants, in fact, not very high price, no surprises and no big disappointment! I do not recommend scouring the sea!</v>
      </c>
    </row>
    <row r="4616">
      <c r="A4616" s="1">
        <v>4.0</v>
      </c>
      <c r="B4616" s="1" t="s">
        <v>4598</v>
      </c>
      <c r="C4616" t="str">
        <f>IFERROR(__xludf.DUMMYFUNCTION("GOOGLETRANSLATE(B4616, ""zh"", ""en"")"),"Cost can oh pants very thick, not self-cultivation models, is the straight trousers, quality is also good. Suitable for middle-aged men, and pictures differ from product introduction, not so good pants")</f>
        <v>Cost can oh pants very thick, not self-cultivation models, is the straight trousers, quality is also good. Suitable for middle-aged men, and pictures differ from product introduction, not so good pants</v>
      </c>
    </row>
    <row r="4617">
      <c r="A4617" s="1">
        <v>5.0</v>
      </c>
      <c r="B4617" s="1" t="s">
        <v>4599</v>
      </c>
      <c r="C4617" t="str">
        <f>IFERROR(__xludf.DUMMYFUNCTION("GOOGLETRANSLATE(B4617, ""zh"", ""en"")"),"Super favorite bag is great quality work, there is no package may hit Oh! Summer shorts and T-shirt with nice comfortable fried chicken, Bang Bang")</f>
        <v>Super favorite bag is great quality work, there is no package may hit Oh! Summer shorts and T-shirt with nice comfortable fried chicken, Bang Bang</v>
      </c>
    </row>
    <row r="4618">
      <c r="A4618" s="1">
        <v>5.0</v>
      </c>
      <c r="B4618" s="1" t="s">
        <v>4600</v>
      </c>
      <c r="C4618" t="str">
        <f>IFERROR(__xludf.DUMMYFUNCTION("GOOGLETRANSLATE(B4618, ""zh"", ""en"")"),"The right size, that is, code incomplete. Favorite color code to buy is not quite right in accordance with the normal wear of code, see previous comment also tangled for a long time.")</f>
        <v>The right size, that is, code incomplete. Favorite color code to buy is not quite right in accordance with the normal wear of code, see previous comment also tangled for a long time.</v>
      </c>
    </row>
    <row r="4619">
      <c r="A4619" s="1">
        <v>5.0</v>
      </c>
      <c r="B4619" s="1" t="s">
        <v>4601</v>
      </c>
      <c r="C4619" t="str">
        <f>IFERROR(__xludf.DUMMYFUNCTION("GOOGLETRANSLATE(B4619, ""zh"", ""en"")"),"To more consumers good quality 👍🏼 authentic piece of advice, I have been wearing this brand of sport, hope to have more style!")</f>
        <v>To more consumers good quality 👍🏼 authentic piece of advice, I have been wearing this brand of sport, hope to have more style!</v>
      </c>
    </row>
    <row r="4620">
      <c r="A4620" s="1">
        <v>5.0</v>
      </c>
      <c r="B4620" s="1" t="s">
        <v>4602</v>
      </c>
      <c r="C4620" t="str">
        <f>IFERROR(__xludf.DUMMYFUNCTION("GOOGLETRANSLATE(B4620, ""zh"", ""en"")"),"This artifact orange juice machine super convenient and practical. Oranges without peeling, without effort, without wasting fast, easy cleaning. Every day to his son squeezed glass of orange juice are full of love, meet.")</f>
        <v>This artifact orange juice machine super convenient and practical. Oranges without peeling, without effort, without wasting fast, easy cleaning. Every day to his son squeezed glass of orange juice are full of love, meet.</v>
      </c>
    </row>
    <row r="4621">
      <c r="A4621" s="1">
        <v>5.0</v>
      </c>
      <c r="B4621" s="1" t="s">
        <v>4603</v>
      </c>
      <c r="C4621" t="str">
        <f>IFERROR(__xludf.DUMMYFUNCTION("GOOGLETRANSLATE(B4621, ""zh"", ""en"")"),"Warm pants like, super comfortable, it is also repurchased")</f>
        <v>Warm pants like, super comfortable, it is also repurchased</v>
      </c>
    </row>
    <row r="4622">
      <c r="A4622" s="1">
        <v>5.0</v>
      </c>
      <c r="B4622" s="1" t="s">
        <v>4604</v>
      </c>
      <c r="C4622" t="str">
        <f>IFERROR(__xludf.DUMMYFUNCTION("GOOGLETRANSLATE(B4622, ""zh"", ""en"")"),"Big brand soft head is assured, fed very convenient. The child is teething love bite has been chewed up a.")</f>
        <v>Big brand soft head is assured, fed very convenient. The child is teething love bite has been chewed up a.</v>
      </c>
    </row>
    <row r="4623">
      <c r="A4623" s="1">
        <v>5.0</v>
      </c>
      <c r="B4623" s="1" t="s">
        <v>4605</v>
      </c>
      <c r="C4623" t="str">
        <f>IFERROR(__xludf.DUMMYFUNCTION("GOOGLETRANSLATE(B4623, ""zh"", ""en"")"),"Good things worth buying something good, speed is fast, trustworthy!")</f>
        <v>Good things worth buying something good, speed is fast, trustworthy!</v>
      </c>
    </row>
    <row r="4624">
      <c r="A4624" s="1">
        <v>5.0</v>
      </c>
      <c r="B4624" s="1" t="s">
        <v>4606</v>
      </c>
      <c r="C4624" t="str">
        <f>IFERROR(__xludf.DUMMYFUNCTION("GOOGLETRANSLATE(B4624, ""zh"", ""en"")"),"Nice sweaters work well, 180CM, 74 Gongjin buy M number, more appropriate. The only satisfaction is not too thin slightly.")</f>
        <v>Nice sweaters work well, 180CM, 74 Gongjin buy M number, more appropriate. The only satisfaction is not too thin slightly.</v>
      </c>
    </row>
    <row r="4625">
      <c r="A4625" s="1">
        <v>5.0</v>
      </c>
      <c r="B4625" s="1" t="s">
        <v>4607</v>
      </c>
      <c r="C4625" t="str">
        <f>IFERROR(__xludf.DUMMYFUNCTION("GOOGLETRANSLATE(B4625, ""zh"", ""en"")"),"Good week to arrive, more easy to use than ordinary iron, ironing fast cut smooth, the protection function. Unfortunately, there is no instructions in Chinese, I can not find online.")</f>
        <v>Good week to arrive, more easy to use than ordinary iron, ironing fast cut smooth, the protection function. Unfortunately, there is no instructions in Chinese, I can not find online.</v>
      </c>
    </row>
    <row r="4626">
      <c r="A4626" s="1">
        <v>5.0</v>
      </c>
      <c r="B4626" s="1" t="s">
        <v>4608</v>
      </c>
      <c r="C4626" t="str">
        <f>IFERROR(__xludf.DUMMYFUNCTION("GOOGLETRANSLATE(B4626, ""zh"", ""en"")"),"Satisfied with the sound very well. Needs a good source and wire, the price is pretty good")</f>
        <v>Satisfied with the sound very well. Needs a good source and wire, the price is pretty good</v>
      </c>
    </row>
    <row r="4627">
      <c r="A4627" s="1">
        <v>5.0</v>
      </c>
      <c r="B4627" s="1" t="s">
        <v>4609</v>
      </c>
      <c r="C4627" t="str">
        <f>IFERROR(__xludf.DUMMYFUNCTION("GOOGLETRANSLATE(B4627, ""zh"", ""en"")"),"Good quality can be.")</f>
        <v>Good quality can be.</v>
      </c>
    </row>
    <row r="4628">
      <c r="A4628" s="1">
        <v>5.0</v>
      </c>
      <c r="B4628" s="1" t="s">
        <v>4610</v>
      </c>
      <c r="C4628" t="str">
        <f>IFERROR(__xludf.DUMMYFUNCTION("GOOGLETRANSLATE(B4628, ""zh"", ""en"")"),"A very good thermal insulation glass cup to the department are very good, lightweight, insulation, and lock easy to use, without affecting the mouth water.")</f>
        <v>A very good thermal insulation glass cup to the department are very good, lightweight, insulation, and lock easy to use, without affecting the mouth water.</v>
      </c>
    </row>
    <row r="4629">
      <c r="A4629" s="1">
        <v>5.0</v>
      </c>
      <c r="B4629" s="1" t="s">
        <v>4611</v>
      </c>
      <c r="C4629" t="str">
        <f>IFERROR(__xludf.DUMMYFUNCTION("GOOGLETRANSLATE(B4629, ""zh"", ""en"")"),"Good is good, about the size! !")</f>
        <v>Good is good, about the size! !</v>
      </c>
    </row>
    <row r="4630">
      <c r="A4630" s="1">
        <v>5.0</v>
      </c>
      <c r="B4630" s="1" t="s">
        <v>4612</v>
      </c>
      <c r="C4630" t="str">
        <f>IFERROR(__xludf.DUMMYFUNCTION("GOOGLETRANSLATE(B4630, ""zh"", ""en"")"),"And the adult version is certainly worse than the quality of, wearing a look, after all, cheaper British-Vietnamese, 11 days to, I was 35.5 feet, usually 36 to wear shoes, feet too fat, moderate, moderately high instep, after reading the reviews afraid to"&amp;" buy small, after all, very expensive replacement shipping back and forth, starting the big boy on insurance 4.5M point, came back to try find this code is still large (length + width), but fortunately had also wanted increased pad inside, plus thick wint"&amp;"er insole northeast, still not crowded feet. Although buy big yards, and overall have not looked very very fat, after all, the version is also good.")</f>
        <v>And the adult version is certainly worse than the quality of, wearing a look, after all, cheaper British-Vietnamese, 11 days to, I was 35.5 feet, usually 36 to wear shoes, feet too fat, moderate, moderately high instep, after reading the reviews afraid to buy small, after all, very expensive replacement shipping back and forth, starting the big boy on insurance 4.5M point, came back to try find this code is still large (length + width), but fortunately had also wanted increased pad inside, plus thick winter insole northeast, still not crowded feet. Although buy big yards, and overall have not looked very very fat, after all, the version is also good.</v>
      </c>
    </row>
    <row r="4631">
      <c r="A4631" s="1">
        <v>5.0</v>
      </c>
      <c r="B4631" s="1" t="s">
        <v>4613</v>
      </c>
      <c r="C4631" t="str">
        <f>IFERROR(__xludf.DUMMYFUNCTION("GOOGLETRANSLATE(B4631, ""zh"", ""en"")"),"Timberland is very good, usually wear sneakers 37-38, shot 6.5W, it is appropriate.")</f>
        <v>Timberland is very good, usually wear sneakers 37-38, shot 6.5W, it is appropriate.</v>
      </c>
    </row>
    <row r="4632">
      <c r="A4632" s="1">
        <v>5.0</v>
      </c>
      <c r="B4632" s="1" t="s">
        <v>4614</v>
      </c>
      <c r="C4632" t="str">
        <f>IFERROR(__xludf.DUMMYFUNCTION("GOOGLETRANSLATE(B4632, ""zh"", ""en"")"),"Good fabric, classic style very comfortable fabrics, soft but very type, that is, I bought a little ... just slightly larger than the body of the general election trumpet Well mm")</f>
        <v>Good fabric, classic style very comfortable fabrics, soft but very type, that is, I bought a little ... just slightly larger than the body of the general election trumpet Well mm</v>
      </c>
    </row>
    <row r="4633">
      <c r="A4633" s="1">
        <v>5.0</v>
      </c>
      <c r="B4633" s="1" t="s">
        <v>4615</v>
      </c>
      <c r="C4633" t="str">
        <f>IFERROR(__xludf.DUMMYFUNCTION("GOOGLETRANSLATE(B4633, ""zh"", ""en"")"),"Good product! I have been taking very good results!")</f>
        <v>Good product! I have been taking very good results!</v>
      </c>
    </row>
    <row r="4634">
      <c r="A4634" s="1">
        <v>5.0</v>
      </c>
      <c r="B4634" s="1" t="s">
        <v>4616</v>
      </c>
      <c r="C4634" t="str">
        <f>IFERROR(__xludf.DUMMYFUNCTION("GOOGLETRANSLATE(B4634, ""zh"", ""en"")"),"Amazon recommended the right size, it is recommended that the size of the Amazon can do in more detail some of the, say, shoulder, chest, around the bottom, sleeve length, after all, is overseas purchase, return is not easy, the more detailed the more it "&amp;"can help buyers to buy the right thing")</f>
        <v>Amazon recommended the right size, it is recommended that the size of the Amazon can do in more detail some of the, say, shoulder, chest, around the bottom, sleeve length, after all, is overseas purchase, return is not easy, the more detailed the more it can help buyers to buy the right thing</v>
      </c>
    </row>
    <row r="4635">
      <c r="A4635" s="1">
        <v>5.0</v>
      </c>
      <c r="B4635" s="1" t="s">
        <v>4617</v>
      </c>
      <c r="C4635" t="str">
        <f>IFERROR(__xludf.DUMMYFUNCTION("GOOGLETRANSLATE(B4635, ""zh"", ""en"")"),"Men's classic straight jeans jeans is very good! With the expected was good, number provided by the sales consultant is very appropriate. Overseas shopping time president of something, it is worth the wait. I will buy.")</f>
        <v>Men's classic straight jeans jeans is very good! With the expected was good, number provided by the sales consultant is very appropriate. Overseas shopping time president of something, it is worth the wait. I will buy.</v>
      </c>
    </row>
    <row r="4636">
      <c r="A4636" s="1">
        <v>5.0</v>
      </c>
      <c r="B4636" s="1" t="s">
        <v>4618</v>
      </c>
      <c r="C4636" t="str">
        <f>IFERROR(__xludf.DUMMYFUNCTION("GOOGLETRANSLATE(B4636, ""zh"", ""en"")"),"Like the rush of activity, toothbrush really well, and grass is too expensive, or really should be a home staff.")</f>
        <v>Like the rush of activity, toothbrush really well, and grass is too expensive, or really should be a home staff.</v>
      </c>
    </row>
    <row r="4637">
      <c r="A4637" s="1">
        <v>5.0</v>
      </c>
      <c r="B4637" s="1" t="s">
        <v>4619</v>
      </c>
      <c r="C4637" t="str">
        <f>IFERROR(__xludf.DUMMYFUNCTION("GOOGLETRANSLATE(B4637, ""zh"", ""en"")"),"Cost-effective overall good workmanship, the details of the zipper is stainless steel and white pictures do not match, the sleeve belong to the narrow sleeves. As winter coat, I recommend to everyone this section.")</f>
        <v>Cost-effective overall good workmanship, the details of the zipper is stainless steel and white pictures do not match, the sleeve belong to the narrow sleeves. As winter coat, I recommend to everyone this section.</v>
      </c>
    </row>
    <row r="4638">
      <c r="A4638" s="1">
        <v>5.0</v>
      </c>
      <c r="B4638" s="1" t="s">
        <v>4620</v>
      </c>
      <c r="C4638" t="str">
        <f>IFERROR(__xludf.DUMMYFUNCTION("GOOGLETRANSLATE(B4638, ""zh"", ""en"")"),"Same as envisioned, oh well. Pants with domestic than the higher cost.")</f>
        <v>Same as envisioned, oh well. Pants with domestic than the higher cost.</v>
      </c>
    </row>
    <row r="4639">
      <c r="A4639" s="1">
        <v>2.0</v>
      </c>
      <c r="B4639" s="1" t="s">
        <v>4621</v>
      </c>
      <c r="C4639" t="str">
        <f>IFERROR(__xludf.DUMMYFUNCTION("GOOGLETRANSLATE(B4639, ""zh"", ""en"")"),"Cut uncomfortable, unable to fully wrap ass cut uncomfortable, unable to fully wrap ass")</f>
        <v>Cut uncomfortable, unable to fully wrap ass cut uncomfortable, unable to fully wrap ass</v>
      </c>
    </row>
    <row r="4640">
      <c r="A4640" s="1">
        <v>3.0</v>
      </c>
      <c r="B4640" s="1" t="s">
        <v>4622</v>
      </c>
      <c r="C4640" t="str">
        <f>IFERROR(__xludf.DUMMYFUNCTION("GOOGLETRANSLATE(B4640, ""zh"", ""en"")"),"Packing rotten first received take plastic bags loaded bottles, squeezed into what, but fortunately no bad bottle")</f>
        <v>Packing rotten first received take plastic bags loaded bottles, squeezed into what, but fortunately no bad bottle</v>
      </c>
    </row>
    <row r="4641">
      <c r="A4641" s="1">
        <v>1.0</v>
      </c>
      <c r="B4641" s="1" t="s">
        <v>4623</v>
      </c>
      <c r="C4641" t="str">
        <f>IFERROR(__xludf.DUMMYFUNCTION("GOOGLETRANSLATE(B4641, ""zh"", ""en"")"),"US Asia-Pacific crushed to die, recently bought things are not even a box, filled with bags, send us all crushed, pressure flat, Nichia every package very well!")</f>
        <v>US Asia-Pacific crushed to die, recently bought things are not even a box, filled with bags, send us all crushed, pressure flat, Nichia every package very well!</v>
      </c>
    </row>
    <row r="4642">
      <c r="A4642" s="1">
        <v>1.0</v>
      </c>
      <c r="B4642" s="1" t="s">
        <v>4624</v>
      </c>
      <c r="C4642" t="str">
        <f>IFERROR(__xludf.DUMMYFUNCTION("GOOGLETRANSLATE(B4642, ""zh"", ""en"")"),"The actual frequency of use not more than 20 times, and then broken? Suddenly not recognized as such, can not be repaired, monitor out of these, I suspect this is false. Equipment Description: [H:] USB mass storage device (SMI USB MEMORY BAR) device type:"&amp;" mass storage device protocol version: USB 2.10 &amp; lt; - Reminder: the device supports USB3.0 specification, connect it to the USB3.0 interface can improve the performance of current speed: high-speed (HighSpeed) power consumption: 500mA USB device ID: VID"&amp;" = 090C PID = 3267 equipment supplier: Silicon Motion, Inc device name:. SM3267AB MEMORY BAR equipment Revision: manufacturer 0100 products: SMI model: USB MEMORY BAR products Revision: master 1000 Manufacturer: SMI (Silicon Motion) master model: SM3267AE"&amp;"S - ISP NONE flash ID: A4A4A4A4 - 1CE / Single Channel [MLC] may flash models ---- -------------- unknown (unknown) flash mapping table identifier ------------------ [channel 0] [channel 1] A4A4A4A4 -------- -------- -------- -------- -------- ---------- "&amp;"------ -------- -------- -------- -------- -------- ---- ---- -------- --------")</f>
        <v>The actual frequency of use not more than 20 times, and then broken? Suddenly not recognized as such, can not be repaired, monitor out of these, I suspect this is false. Equipment Description: [H:] USB mass storage device (SMI USB MEMORY BAR) device type: mass storage device protocol version: USB 2.10 &amp; lt; - Reminder: the device supports USB3.0 specification, connect it to the USB3.0 interface can improve the performance of current speed: high-speed (HighSpeed) power consumption: 500mA USB device ID: VID = 090C PID = 3267 equipment supplier: Silicon Motion, Inc device name:. SM3267AB MEMORY BAR equipment Revision: manufacturer 0100 products: SMI model: USB MEMORY BAR products Revision: master 1000 Manufacturer: SMI (Silicon Motion) master model: SM3267AES - ISP NONE flash ID: A4A4A4A4 - 1CE / Single Channel [MLC] may flash models ---- -------------- unknown (unknown) flash mapping table identifier ------------------ [channel 0] [channel 1] A4A4A4A4 -------- -------- -------- -------- -------- ---------- ------ -------- -------- -------- -------- -------- ---- ---- -------- --------</v>
      </c>
    </row>
    <row r="4643">
      <c r="A4643" s="1">
        <v>1.0</v>
      </c>
      <c r="B4643" s="1" t="s">
        <v>4625</v>
      </c>
      <c r="C4643" t="str">
        <f>IFERROR(__xludf.DUMMYFUNCTION("GOOGLETRANSLATE(B4643, ""zh"", ""en"")"),"Super very difficult to use garbage ah ah ah! ! It is not original! ! ! The brush head wear gums ah ah ah")</f>
        <v>Super very difficult to use garbage ah ah ah! ! It is not original! ! ! The brush head wear gums ah ah ah</v>
      </c>
    </row>
    <row r="4644">
      <c r="A4644" s="1">
        <v>4.0</v>
      </c>
      <c r="B4644" s="1" t="s">
        <v>4626</v>
      </c>
      <c r="C4644" t="str">
        <f>IFERROR(__xludf.DUMMYFUNCTION("GOOGLETRANSLATE(B4644, ""zh"", ""en"")"),"Cost is relatively high read and write speed is relatively slow, but relatively high cost.")</f>
        <v>Cost is relatively high read and write speed is relatively slow, but relatively high cost.</v>
      </c>
    </row>
    <row r="4645">
      <c r="A4645" s="1">
        <v>4.0</v>
      </c>
      <c r="B4645" s="1" t="s">
        <v>4627</v>
      </c>
      <c r="C4645" t="str">
        <f>IFERROR(__xludf.DUMMYFUNCTION("GOOGLETRANSLATE(B4645, ""zh"", ""en"")"),"Headphone 3⭐, 5⭐ customer service from order to confirm a full refund, which lasted a whole month, all kinds of waiting period, anxiety, surprise, disappointment ... but Amazon's service really did not get picky, well-deserved reputation, in addition to t"&amp;"ime a little long, but it is also the reason for overseas purchases and special commodity, not delays caused. Good sound quality headset itself, of course, in the case of connecting the audio cable, Bluetooth wireless connection is always current sound ob"&amp;"vious, simply can not appreciate the music itself, which is flawed, as a wireless headset, which is inexcusable flaw, Why buy wireless models or buy it? Wearing comfort aspects, can only say okay, ear a little, and need to purchase another large ear cups "&amp;"to replace the weight a little bit heavy, because it is a test machine, do not wear a long time, only to experience this. The material, the United States and Asia, according to reviews, is not part of the skin head Dai Hengliang durable, easy to scratch, "&amp;"really good shape, type, also to avoid the plastic feel of most earphones. Samsung headset itself to it, because of interference noise Bluetooth connectivity. Amazon is to give five-star customer service.")</f>
        <v>Headphone 3⭐, 5⭐ customer service from order to confirm a full refund, which lasted a whole month, all kinds of waiting period, anxiety, surprise, disappointment ... but Amazon's service really did not get picky, well-deserved reputation, in addition to time a little long, but it is also the reason for overseas purchases and special commodity, not delays caused. Good sound quality headset itself, of course, in the case of connecting the audio cable, Bluetooth wireless connection is always current sound obvious, simply can not appreciate the music itself, which is flawed, as a wireless headset, which is inexcusable flaw, Why buy wireless models or buy it? Wearing comfort aspects, can only say okay, ear a little, and need to purchase another large ear cups to replace the weight a little bit heavy, because it is a test machine, do not wear a long time, only to experience this. The material, the United States and Asia, according to reviews, is not part of the skin head Dai Hengliang durable, easy to scratch, really good shape, type, also to avoid the plastic feel of most earphones. Samsung headset itself to it, because of interference noise Bluetooth connectivity. Amazon is to give five-star customer service.</v>
      </c>
    </row>
    <row r="4646">
      <c r="A4646" s="1">
        <v>4.0</v>
      </c>
      <c r="B4646" s="1" t="s">
        <v>4628</v>
      </c>
      <c r="C4646" t="str">
        <f>IFERROR(__xludf.DUMMYFUNCTION("GOOGLETRANSLATE(B4646, ""zh"", ""en"")"),"The right size 183cm 78kg L a little tight collar of special design, wear appropriate personal.")</f>
        <v>The right size 183cm 78kg L a little tight collar of special design, wear appropriate personal.</v>
      </c>
    </row>
    <row r="4647">
      <c r="A4647" s="1">
        <v>4.0</v>
      </c>
      <c r="B4647" s="1" t="s">
        <v>4629</v>
      </c>
      <c r="C4647" t="str">
        <f>IFERROR(__xludf.DUMMYFUNCTION("GOOGLETRANSLATE(B4647, ""zh"", ""en"")"),"Yes - not bad, with this price you can not expect it to be perfect, although it looks very thin, but the feeling is good performance, as well as boxes and instructions. I think it is excellent value for money, my brother liked, and I happy!")</f>
        <v>Yes - not bad, with this price you can not expect it to be perfect, although it looks very thin, but the feeling is good performance, as well as boxes and instructions. I think it is excellent value for money, my brother liked, and I happy!</v>
      </c>
    </row>
    <row r="4648">
      <c r="A4648" s="1">
        <v>4.0</v>
      </c>
      <c r="B4648" s="1" t="s">
        <v>4630</v>
      </c>
      <c r="C4648" t="str">
        <f>IFERROR(__xludf.DUMMYFUNCTION("GOOGLETRANSLATE(B4648, ""zh"", ""en"")"),"Ratio of number of domestic fabric is thin that most")</f>
        <v>Ratio of number of domestic fabric is thin that most</v>
      </c>
    </row>
    <row r="4649">
      <c r="A4649" s="1">
        <v>5.0</v>
      </c>
      <c r="B4649" s="1" t="s">
        <v>4631</v>
      </c>
      <c r="C4649" t="str">
        <f>IFERROR(__xludf.DUMMYFUNCTION("GOOGLETRANSLATE(B4649, ""zh"", ""en"")"),"Like really like")</f>
        <v>Like really like</v>
      </c>
    </row>
    <row r="4650">
      <c r="A4650" s="1">
        <v>5.0</v>
      </c>
      <c r="B4650" s="1" t="s">
        <v>4632</v>
      </c>
      <c r="C4650" t="str">
        <f>IFERROR(__xludf.DUMMYFUNCTION("GOOGLETRANSLATE(B4650, ""zh"", ""en"")"),"175 67kg right size suitable to wear S code. Sort of a small, also happens length")</f>
        <v>175 67kg right size suitable to wear S code. Sort of a small, also happens length</v>
      </c>
    </row>
    <row r="4651">
      <c r="A4651" s="1">
        <v>5.0</v>
      </c>
      <c r="B4651" s="1" t="s">
        <v>4633</v>
      </c>
      <c r="C4651" t="str">
        <f>IFERROR(__xludf.DUMMYFUNCTION("GOOGLETRANSLATE(B4651, ""zh"", ""en"")"),"According to the views I just bought 186cm, 85kg, M code just right. Thank you very much for the information you comment")</f>
        <v>According to the views I just bought 186cm, 85kg, M code just right. Thank you very much for the information you comment</v>
      </c>
    </row>
    <row r="4652">
      <c r="A4652" s="1">
        <v>5.0</v>
      </c>
      <c r="B4652" s="1" t="s">
        <v>4634</v>
      </c>
      <c r="C4652" t="str">
        <f>IFERROR(__xludf.DUMMYFUNCTION("GOOGLETRANSLATE(B4652, ""zh"", ""en"")"),"Yes calcium daily to eat, when to buy discount, the price is very cost-effective")</f>
        <v>Yes calcium daily to eat, when to buy discount, the price is very cost-effective</v>
      </c>
    </row>
    <row r="4653">
      <c r="A4653" s="1">
        <v>5.0</v>
      </c>
      <c r="B4653" s="1" t="s">
        <v>4635</v>
      </c>
      <c r="C4653" t="str">
        <f>IFERROR(__xludf.DUMMYFUNCTION("GOOGLETRANSLATE(B4653, ""zh"", ""en"")"),"A suitable size, put a few days or foot pain, foot size or shoe size?")</f>
        <v>A suitable size, put a few days or foot pain, foot size or shoe size?</v>
      </c>
    </row>
    <row r="4654">
      <c r="A4654" s="1">
        <v>5.0</v>
      </c>
      <c r="B4654" s="1" t="s">
        <v>4636</v>
      </c>
      <c r="C4654" t="str">
        <f>IFERROR(__xludf.DUMMYFUNCTION("GOOGLETRANSLATE(B4654, ""zh"", ""en"")"),"Very comfortable. Usually 36.5, thin legs, shoes slightly longer little. Raiders say, Europeans and Americans M type in fact relatively thin, really is. Buy C / D more appropriate. Heavy, but a good walk. Black dirt.")</f>
        <v>Very comfortable. Usually 36.5, thin legs, shoes slightly longer little. Raiders say, Europeans and Americans M type in fact relatively thin, really is. Buy C / D more appropriate. Heavy, but a good walk. Black dirt.</v>
      </c>
    </row>
    <row r="4655">
      <c r="A4655" s="1">
        <v>5.0</v>
      </c>
      <c r="B4655" s="1" t="s">
        <v>4637</v>
      </c>
      <c r="C4655" t="str">
        <f>IFERROR(__xludf.DUMMYFUNCTION("GOOGLETRANSLATE(B4655, ""zh"", ""en"")"),"Be careful packaging deflated, the headphones should not impact, should be installed filler")</f>
        <v>Be careful packaging deflated, the headphones should not impact, should be installed filler</v>
      </c>
    </row>
    <row r="4656">
      <c r="A4656" s="1">
        <v>5.0</v>
      </c>
      <c r="B4656" s="1" t="s">
        <v>4638</v>
      </c>
      <c r="C4656" t="str">
        <f>IFERROR(__xludf.DUMMYFUNCTION("GOOGLETRANSLATE(B4656, ""zh"", ""en"")"),"Good insulation effect, heat insulation effect is very good for a long time, the night before, the dates and cereals freshly boiled water into the cup, the next day to eat red dates porridge in the morning, still hot mouth. Breakfast cereals have yourself"&amp;" a friend, into a recommendation. As for the other recipes called smolder Cup, I have not tried, do not comment. Also, eating breakfast cereal, can be used to clean coffee, a dual-use, value for money")</f>
        <v>Good insulation effect, heat insulation effect is very good for a long time, the night before, the dates and cereals freshly boiled water into the cup, the next day to eat red dates porridge in the morning, still hot mouth. Breakfast cereals have yourself a friend, into a recommendation. As for the other recipes called smolder Cup, I have not tried, do not comment. Also, eating breakfast cereal, can be used to clean coffee, a dual-use, value for money</v>
      </c>
    </row>
    <row r="4657">
      <c r="A4657" s="1">
        <v>5.0</v>
      </c>
      <c r="B4657" s="1" t="s">
        <v>4639</v>
      </c>
      <c r="C4657" t="str">
        <f>IFERROR(__xludf.DUMMYFUNCTION("GOOGLETRANSLATE(B4657, ""zh"", ""en"")"),"Yes very nice, but the texture is very good, 170,125 pounds, choose No. S okay, a little tight.")</f>
        <v>Yes very nice, but the texture is very good, 170,125 pounds, choose No. S okay, a little tight.</v>
      </c>
    </row>
    <row r="4658">
      <c r="A4658" s="1">
        <v>5.0</v>
      </c>
      <c r="B4658" s="1" t="s">
        <v>4640</v>
      </c>
      <c r="C4658" t="str">
        <f>IFERROR(__xludf.DUMMYFUNCTION("GOOGLETRANSLATE(B4658, ""zh"", ""en"")"),"Really great super comfortable, absolutely no sense. Naples.")</f>
        <v>Really great super comfortable, absolutely no sense. Naples.</v>
      </c>
    </row>
    <row r="4659">
      <c r="A4659" s="1">
        <v>5.0</v>
      </c>
      <c r="B4659" s="1" t="s">
        <v>4641</v>
      </c>
      <c r="C4659" t="str">
        <f>IFERROR(__xludf.DUMMYFUNCTION("GOOGLETRANSLATE(B4659, ""zh"", ""en"")"),"Very comfortable very very very very satisfied with very comfortable good comfortable very comfortable")</f>
        <v>Very comfortable very very very very satisfied with very comfortable good comfortable very comfortable</v>
      </c>
    </row>
    <row r="4660">
      <c r="A4660" s="1">
        <v>5.0</v>
      </c>
      <c r="B4660" s="1" t="s">
        <v>4642</v>
      </c>
      <c r="C4660" t="str">
        <f>IFERROR(__xludf.DUMMYFUNCTION("GOOGLETRANSLATE(B4660, ""zh"", ""en"")"),"Good good good good sound")</f>
        <v>Good good good good sound</v>
      </c>
    </row>
    <row r="4661">
      <c r="A4661" s="1">
        <v>5.0</v>
      </c>
      <c r="B4661" s="1" t="s">
        <v>4643</v>
      </c>
      <c r="C4661" t="str">
        <f>IFERROR(__xludf.DUMMYFUNCTION("GOOGLETRANSLATE(B4661, ""zh"", ""en"")"),"493 is really fragrant! ! Yen value invincible. . I Takumi Fujiwara. .")</f>
        <v>493 is really fragrant! ! Yen value invincible. . I Takumi Fujiwara. .</v>
      </c>
    </row>
    <row r="4662">
      <c r="A4662" s="1">
        <v>5.0</v>
      </c>
      <c r="B4662" s="1" t="s">
        <v>4644</v>
      </c>
      <c r="C4662" t="str">
        <f>IFERROR(__xludf.DUMMYFUNCTION("GOOGLETRANSLATE(B4662, ""zh"", ""en"")"),"Yes very good, genuine is genuine, and very favorable, and I brush handle very match, very good brush, brush your teeth, they also very comfortable. There are also great shock mounted on the head! Each brush has its own packaging Oh, very health, very goo"&amp;"d!")</f>
        <v>Yes very good, genuine is genuine, and very favorable, and I brush handle very match, very good brush, brush your teeth, they also very comfortable. There are also great shock mounted on the head! Each brush has its own packaging Oh, very health, very good!</v>
      </c>
    </row>
    <row r="4663">
      <c r="A4663" s="1">
        <v>5.0</v>
      </c>
      <c r="B4663" s="1" t="s">
        <v>4645</v>
      </c>
      <c r="C4663" t="str">
        <f>IFERROR(__xludf.DUMMYFUNCTION("GOOGLETRANSLATE(B4663, ""zh"", ""en"")"),"Well ultra-light, color and weight can be, is the need to pay attention to cleaning the inner wall needs a little soft brush, or destroy insulation properties.")</f>
        <v>Well ultra-light, color and weight can be, is the need to pay attention to cleaning the inner wall needs a little soft brush, or destroy insulation properties.</v>
      </c>
    </row>
    <row r="4664">
      <c r="A4664" s="1">
        <v>5.0</v>
      </c>
      <c r="B4664" s="1" t="s">
        <v>4646</v>
      </c>
      <c r="C4664" t="str">
        <f>IFERROR(__xludf.DUMMYFUNCTION("GOOGLETRANSLATE(B4664, ""zh"", ""en"")"),"One pair of shoes 990v4 8 points Ganso ash and no rumors so amazing, it unpretentious, it is comfortable and durable, low-key it himself, and it is wild and never lose the trend, with me, is very appropriate.")</f>
        <v>One pair of shoes 990v4 8 points Ganso ash and no rumors so amazing, it unpretentious, it is comfortable and durable, low-key it himself, and it is wild and never lose the trend, with me, is very appropriate.</v>
      </c>
    </row>
    <row r="4665">
      <c r="A4665" s="1">
        <v>5.0</v>
      </c>
      <c r="B4665" s="1" t="s">
        <v>4647</v>
      </c>
      <c r="C4665" t="str">
        <f>IFERROR(__xludf.DUMMYFUNCTION("GOOGLETRANSLATE(B4665, ""zh"", ""en"")"),"Good quality fit, white opacity, rendering Waichuan can")</f>
        <v>Good quality fit, white opacity, rendering Waichuan can</v>
      </c>
    </row>
    <row r="4666">
      <c r="A4666" s="1">
        <v>5.0</v>
      </c>
      <c r="B4666" s="1" t="s">
        <v>4648</v>
      </c>
      <c r="C4666" t="str">
        <f>IFERROR(__xludf.DUMMYFUNCTION("GOOGLETRANSLATE(B4666, ""zh"", ""en"")"),"Good quality Chinese products")</f>
        <v>Good quality Chinese products</v>
      </c>
    </row>
    <row r="4667">
      <c r="A4667" s="1">
        <v>5.0</v>
      </c>
      <c r="B4667" s="1" t="s">
        <v>4649</v>
      </c>
      <c r="C4667" t="str">
        <f>IFERROR(__xludf.DUMMYFUNCTION("GOOGLETRANSLATE(B4667, ""zh"", ""en"")"),"Satisfaction between L and M tangled for a long time, and finally into the L. Interior fit, then remove the liner, the jacket is too large. Function to be tested, believe in the power of the brand.")</f>
        <v>Satisfaction between L and M tangled for a long time, and finally into the L. Interior fit, then remove the liner, the jacket is too large. Function to be tested, believe in the power of the brand.</v>
      </c>
    </row>
    <row r="4668">
      <c r="A4668" s="1">
        <v>5.0</v>
      </c>
      <c r="B4668" s="1" t="s">
        <v>4650</v>
      </c>
      <c r="C4668" t="str">
        <f>IFERROR(__xludf.DUMMYFUNCTION("GOOGLETRANSLATE(B4668, ""zh"", ""en"")"),"Very good is genuine, to her mother to buy, eat a very good, has purchased a third time, will repurchase")</f>
        <v>Very good is genuine, to her mother to buy, eat a very good, has purchased a third time, will repurchase</v>
      </c>
    </row>
    <row r="4669">
      <c r="A4669" s="1">
        <v>5.0</v>
      </c>
      <c r="B4669" s="1" t="s">
        <v>4651</v>
      </c>
      <c r="C4669" t="str">
        <f>IFERROR(__xludf.DUMMYFUNCTION("GOOGLETRANSLATE(B4669, ""zh"", ""en"")"),"Good shoes very good, very fond of the girl, to help my colleagues bought a second double")</f>
        <v>Good shoes very good, very fond of the girl, to help my colleagues bought a second double</v>
      </c>
    </row>
    <row r="4670">
      <c r="A4670" s="1">
        <v>5.0</v>
      </c>
      <c r="B4670" s="1" t="s">
        <v>4652</v>
      </c>
      <c r="C4670" t="str">
        <f>IFERROR(__xludf.DUMMYFUNCTION("GOOGLETRANSLATE(B4670, ""zh"", ""en"")"),"Beautiful pretty hard disk, is too expensive. Mouwang comment on the quality of the late worrying. The proposed purchase of the people buy back the first time the two backup hard drive comes with software, otherwise gone directly after use.")</f>
        <v>Beautiful pretty hard disk, is too expensive. Mouwang comment on the quality of the late worrying. The proposed purchase of the people buy back the first time the two backup hard drive comes with software, otherwise gone directly after use.</v>
      </c>
    </row>
    <row r="4671">
      <c r="A4671" s="1">
        <v>2.0</v>
      </c>
      <c r="B4671" s="1" t="s">
        <v>4653</v>
      </c>
      <c r="C4671" t="str">
        <f>IFERROR(__xludf.DUMMYFUNCTION("GOOGLETRANSLATE(B4671, ""zh"", ""en"")"),"Generally bought has not removed, then put found defective products, the legs have a piece of white circle, so ugly!")</f>
        <v>Generally bought has not removed, then put found defective products, the legs have a piece of white circle, so ugly!</v>
      </c>
    </row>
    <row r="4672">
      <c r="A4672" s="1">
        <v>3.0</v>
      </c>
      <c r="B4672" s="1" t="s">
        <v>4654</v>
      </c>
      <c r="C4672" t="str">
        <f>IFERROR(__xludf.DUMMYFUNCTION("GOOGLETRANSLATE(B4672, ""zh"", ""en"")"),"In the end by any standard size of size is too lenient.")</f>
        <v>In the end by any standard size of size is too lenient.</v>
      </c>
    </row>
    <row r="4673">
      <c r="A4673" s="1">
        <v>3.0</v>
      </c>
      <c r="B4673" s="1" t="s">
        <v>4655</v>
      </c>
      <c r="C4673" t="str">
        <f>IFERROR(__xludf.DUMMYFUNCTION("GOOGLETRANSLATE(B4673, ""zh"", ""en"")"),"Cheap clothes appear a little stain can not be removed, leaving it helpless to")</f>
        <v>Cheap clothes appear a little stain can not be removed, leaving it helpless to</v>
      </c>
    </row>
    <row r="4674">
      <c r="A4674" s="1">
        <v>3.0</v>
      </c>
      <c r="B4674" s="1" t="s">
        <v>4656</v>
      </c>
      <c r="C4674" t="str">
        <f>IFERROR(__xludf.DUMMYFUNCTION("GOOGLETRANSLATE(B4674, ""zh"", ""en"")"),"Seiko SEIKO SNK621K1 goods three days to go, the speed is OK, that is, the courier service attitude is not very good, it is strongly recommended to change the delivery of excellent partners! ! ! The watch itself is not bad, or good in general, there are t"&amp;"wo details do not know if the problem: 1, the tail of the second hand has a very small spot, do not know is in itself a sign or dust; 2, when checking the time table second hand to pull the second grid is still going, as if written on the instructions can"&amp;" mean to stop? ! . In addition to the designated repair station is tight strap, received 10 yuan, said to be bought online can not be free, depressed! With first, whether the Right to go one month after the comment.")</f>
        <v>Seiko SEIKO SNK621K1 goods three days to go, the speed is OK, that is, the courier service attitude is not very good, it is strongly recommended to change the delivery of excellent partners! ! ! The watch itself is not bad, or good in general, there are two details do not know if the problem: 1, the tail of the second hand has a very small spot, do not know is in itself a sign or dust; 2, when checking the time table second hand to pull the second grid is still going, as if written on the instructions can mean to stop? ! . In addition to the designated repair station is tight strap, received 10 yuan, said to be bought online can not be free, depressed! With first, whether the Right to go one month after the comment.</v>
      </c>
    </row>
    <row r="4675">
      <c r="A4675" s="1">
        <v>1.0</v>
      </c>
      <c r="B4675" s="1" t="s">
        <v>4657</v>
      </c>
      <c r="C4675" t="str">
        <f>IFERROR(__xludf.DUMMYFUNCTION("GOOGLETRANSLATE(B4675, ""zh"", ""en"")"),"Very disappointed with the shopping time shopping particularly dissatisfied, after receiving dental floss water is not water, contact the customer service that can not pick-up, Let me be mailed to the United States, from the Amazon to reimburse internatio"&amp;"nal shipping. Ems sent it off to find the results in the failure of Customs said security was returned as undeliverable. Contact Amazon said a possible home delivery, courier collection is easy to put things fully booked after the Amazon to the back secti"&amp;"on. But ems back only part of postage, received 49 yuan declaration charges and packaging costs, I contacted Amazon customer service they want this part of the cost of compensation to me, after all it is the source of a problem because of the quality of g"&amp;"oods, followed by the first a home delivery customer service told me not to let my mailing costs only produce their own. Customer service that this can not be returned, I asked her to consult the leadership, forty-five days later, even a reply gone. Siste"&amp;"r do not care about the 49 dollars postage, Amazon is your attitude towards the customer, prime members in addition to freight discount points, we did not see any difference in service.")</f>
        <v>Very disappointed with the shopping time shopping particularly dissatisfied, after receiving dental floss water is not water, contact the customer service that can not pick-up, Let me be mailed to the United States, from the Amazon to reimburse international shipping. Ems sent it off to find the results in the failure of Customs said security was returned as undeliverable. Contact Amazon said a possible home delivery, courier collection is easy to put things fully booked after the Amazon to the back section. But ems back only part of postage, received 49 yuan declaration charges and packaging costs, I contacted Amazon customer service they want this part of the cost of compensation to me, after all it is the source of a problem because of the quality of goods, followed by the first a home delivery customer service told me not to let my mailing costs only produce their own. Customer service that this can not be returned, I asked her to consult the leadership, forty-five days later, even a reply gone. Sister do not care about the 49 dollars postage, Amazon is your attitude towards the customer, prime members in addition to freight discount points, we did not see any difference in service.</v>
      </c>
    </row>
    <row r="4676">
      <c r="A4676" s="1">
        <v>1.0</v>
      </c>
      <c r="B4676" s="1" t="s">
        <v>4658</v>
      </c>
      <c r="C4676" t="str">
        <f>IFERROR(__xludf.DUMMYFUNCTION("GOOGLETRANSLATE(B4676, ""zh"", ""en"")"),"Poor product quality, after-sales service can not be found, pass the buck to each other, comparing Amazon Jingdong big change occurs less than a month after a hard product to identify issues, Synology support machine does not recognize the problem, suspec"&amp;"ted hard disk problems, then the next single bought two hard drives, the last recognized Synology product quality problems, let Amazon were looking for quality, Amazon said return period has passed, so look for Synology. Pass the buck back and forth, or g"&amp;"o after Jingdong buy it.")</f>
        <v>Poor product quality, after-sales service can not be found, pass the buck to each other, comparing Amazon Jingdong big change occurs less than a month after a hard product to identify issues, Synology support machine does not recognize the problem, suspected hard disk problems, then the next single bought two hard drives, the last recognized Synology product quality problems, let Amazon were looking for quality, Amazon said return period has passed, so look for Synology. Pass the buck back and forth, or go after Jingdong buy it.</v>
      </c>
    </row>
    <row r="4677">
      <c r="A4677" s="1">
        <v>1.0</v>
      </c>
      <c r="B4677" s="1" t="s">
        <v>4659</v>
      </c>
      <c r="C4677" t="str">
        <f>IFERROR(__xludf.DUMMYFUNCTION("GOOGLETRANSLATE(B4677, ""zh"", ""en"")"),"Code number confusion, return shipping high not believe it, two S's, actually yellow than blue freshman code, packaging is demolished, return shipping clothes to buy 125 more expensive than I, forget")</f>
        <v>Code number confusion, return shipping high not believe it, two S's, actually yellow than blue freshman code, packaging is demolished, return shipping clothes to buy 125 more expensive than I, forget</v>
      </c>
    </row>
    <row r="4678">
      <c r="A4678" s="1">
        <v>4.0</v>
      </c>
      <c r="B4678" s="1" t="s">
        <v>4660</v>
      </c>
      <c r="C4678" t="str">
        <f>IFERROR(__xludf.DUMMYFUNCTION("GOOGLETRANSLATE(B4678, ""zh"", ""en"")"),"Not use, generally like it has not used, the quality looks decent")</f>
        <v>Not use, generally like it has not used, the quality looks decent</v>
      </c>
    </row>
    <row r="4679">
      <c r="A4679" s="1">
        <v>4.0</v>
      </c>
      <c r="B4679" s="1" t="s">
        <v>4661</v>
      </c>
      <c r="C4679" t="str">
        <f>IFERROR(__xludf.DUMMYFUNCTION("GOOGLETRANSLATE(B4679, ""zh"", ""en"")"),"In fact, because the brand is the brand advertising have the impulse to buy, but also recommended that the site has been always good, but the situation on the use of the term did not have the desired effect so good, maybe I expect too high caused, after a"&amp;"ll, the premise is very difficult to achieve the price advantage of excellent quality, with the use or can!")</f>
        <v>In fact, because the brand is the brand advertising have the impulse to buy, but also recommended that the site has been always good, but the situation on the use of the term did not have the desired effect so good, maybe I expect too high caused, after all, the premise is very difficult to achieve the price advantage of excellent quality, with the use or can!</v>
      </c>
    </row>
    <row r="4680">
      <c r="A4680" s="1">
        <v>4.0</v>
      </c>
      <c r="B4680" s="1" t="s">
        <v>4662</v>
      </c>
      <c r="C4680" t="str">
        <f>IFERROR(__xludf.DUMMYFUNCTION("GOOGLETRANSLATE(B4680, ""zh"", ""en"")"),"Lee denim 162cm, 65kg, m code buttons buttoned through the autumn a somewhat stretched, sleeve longer than domestic, not thick, which was of thin.")</f>
        <v>Lee denim 162cm, 65kg, m code buttons buttoned through the autumn a somewhat stretched, sleeve longer than domestic, not thick, which was of thin.</v>
      </c>
    </row>
    <row r="4681">
      <c r="A4681" s="1">
        <v>4.0</v>
      </c>
      <c r="B4681" s="1" t="s">
        <v>4663</v>
      </c>
      <c r="C4681" t="str">
        <f>IFERROR(__xludf.DUMMYFUNCTION("GOOGLETRANSLATE(B4681, ""zh"", ""en"")"),"wmf things are really good, but the head is really small.")</f>
        <v>wmf things are really good, but the head is really small.</v>
      </c>
    </row>
    <row r="4682">
      <c r="A4682" s="1">
        <v>4.0</v>
      </c>
      <c r="B4682" s="1" t="s">
        <v>4664</v>
      </c>
      <c r="C4682" t="str">
        <f>IFERROR(__xludf.DUMMYFUNCTION("GOOGLETRANSLATE(B4682, ""zh"", ""en"")"),"Okay European version number slightly fat, the other can not cotton")</f>
        <v>Okay European version number slightly fat, the other can not cotton</v>
      </c>
    </row>
    <row r="4683">
      <c r="A4683" s="1">
        <v>5.0</v>
      </c>
      <c r="B4683" s="1" t="s">
        <v>4665</v>
      </c>
      <c r="C4683" t="str">
        <f>IFERROR(__xludf.DUMMYFUNCTION("GOOGLETRANSLATE(B4683, ""zh"", ""en"")"),"Beyond the expectations of satisfaction for the first time shopping experience, scared to be in good faith, and is serious about my request.")</f>
        <v>Beyond the expectations of satisfaction for the first time shopping experience, scared to be in good faith, and is serious about my request.</v>
      </c>
    </row>
    <row r="4684">
      <c r="A4684" s="1">
        <v>5.0</v>
      </c>
      <c r="B4684" s="1" t="s">
        <v>4666</v>
      </c>
      <c r="C4684" t="str">
        <f>IFERROR(__xludf.DUMMYFUNCTION("GOOGLETRANSLATE(B4684, ""zh"", ""en"")"),"Loose point, back lace very comfortable to wear, not the cup did not have their own type which hold up to add a coaster, liberal bias than other models, freshman code")</f>
        <v>Loose point, back lace very comfortable to wear, not the cup did not have their own type which hold up to add a coaster, liberal bias than other models, freshman code</v>
      </c>
    </row>
    <row r="4685">
      <c r="A4685" s="1">
        <v>5.0</v>
      </c>
      <c r="B4685" s="1" t="s">
        <v>4667</v>
      </c>
      <c r="C4685" t="str">
        <f>IFERROR(__xludf.DUMMYFUNCTION("GOOGLETRANSLATE(B4685, ""zh"", ""en"")"),"Big feel very soft, but numbers than domestic freshman code. I wear a coat domestic xl, xk buy big, my mother. Should I buy the l")</f>
        <v>Big feel very soft, but numbers than domestic freshman code. I wear a coat domestic xl, xk buy big, my mother. Should I buy the l</v>
      </c>
    </row>
    <row r="4686">
      <c r="A4686" s="1">
        <v>5.0</v>
      </c>
      <c r="B4686" s="1" t="s">
        <v>4668</v>
      </c>
      <c r="C4686" t="str">
        <f>IFERROR(__xludf.DUMMYFUNCTION("GOOGLETRANSLATE(B4686, ""zh"", ""en"")"),"Well nice to children, easy to use, amazing, high color value!")</f>
        <v>Well nice to children, easy to use, amazing, high color value!</v>
      </c>
    </row>
    <row r="4687">
      <c r="A4687" s="1">
        <v>5.0</v>
      </c>
      <c r="B4687" s="1" t="s">
        <v>4669</v>
      </c>
      <c r="C4687" t="str">
        <f>IFERROR(__xludf.DUMMYFUNCTION("GOOGLETRANSLATE(B4687, ""zh"", ""en"")"),"Received a five-star shoes, navy blue wearing very beautiful, wearing yardage as usual, express delivery is also to force less than a week they received.")</f>
        <v>Received a five-star shoes, navy blue wearing very beautiful, wearing yardage as usual, express delivery is also to force less than a week they received.</v>
      </c>
    </row>
    <row r="4688">
      <c r="A4688" s="1">
        <v>5.0</v>
      </c>
      <c r="B4688" s="1" t="s">
        <v>4670</v>
      </c>
      <c r="C4688" t="str">
        <f>IFERROR(__xludf.DUMMYFUNCTION("GOOGLETRANSLATE(B4688, ""zh"", ""en"")"),"Clothes are pretty good clothes very good fit (I 1.8m set out in the code is just fine) personal comfort is good enough")</f>
        <v>Clothes are pretty good clothes very good fit (I 1.8m set out in the code is just fine) personal comfort is good enough</v>
      </c>
    </row>
    <row r="4689">
      <c r="A4689" s="1">
        <v>5.0</v>
      </c>
      <c r="B4689" s="1" t="s">
        <v>4671</v>
      </c>
      <c r="C4689" t="str">
        <f>IFERROR(__xludf.DUMMYFUNCTION("GOOGLETRANSLATE(B4689, ""zh"", ""en"")"),"How no replenishment ah! ! ! Such a good thing. So inexpensive. How direct mail can not be, ah! ! ! Do you have to go to Jumeirah transport? True tragedy.")</f>
        <v>How no replenishment ah! ! ! Such a good thing. So inexpensive. How direct mail can not be, ah! ! ! Do you have to go to Jumeirah transport? True tragedy.</v>
      </c>
    </row>
    <row r="4690">
      <c r="A4690" s="1">
        <v>5.0</v>
      </c>
      <c r="B4690" s="1" t="s">
        <v>4672</v>
      </c>
      <c r="C4690" t="str">
        <f>IFERROR(__xludf.DUMMYFUNCTION("GOOGLETRANSLATE(B4690, ""zh"", ""en"")"),"Very good very good, for taking two bottles, is indeed effective, Chen Bo, more obvious energy during the day. Some people say useless, I did not have time to take an estimated two bottles, did not have to take it day by day in a row! This taste should be"&amp;", gelatinized Maca.")</f>
        <v>Very good very good, for taking two bottles, is indeed effective, Chen Bo, more obvious energy during the day. Some people say useless, I did not have time to take an estimated two bottles, did not have to take it day by day in a row! This taste should be, gelatinized Maca.</v>
      </c>
    </row>
    <row r="4691">
      <c r="A4691" s="1">
        <v>5.0</v>
      </c>
      <c r="B4691" s="1" t="s">
        <v>4673</v>
      </c>
      <c r="C4691" t="str">
        <f>IFERROR(__xludf.DUMMYFUNCTION("GOOGLETRANSLATE(B4691, ""zh"", ""en"")"),"Underwear 174cm, 69kg, put on the shoulders a bit small, the other can")</f>
        <v>Underwear 174cm, 69kg, put on the shoulders a bit small, the other can</v>
      </c>
    </row>
    <row r="4692">
      <c r="A4692" s="1">
        <v>5.0</v>
      </c>
      <c r="B4692" s="1" t="s">
        <v>4674</v>
      </c>
      <c r="C4692" t="str">
        <f>IFERROR(__xludf.DUMMYFUNCTION("GOOGLETRANSLATE(B4692, ""zh"", ""en"")"),"This is particularly good really recommend to buy pants, skin-friendly and comfortable. Great!")</f>
        <v>This is particularly good really recommend to buy pants, skin-friendly and comfortable. Great!</v>
      </c>
    </row>
    <row r="4693">
      <c r="A4693" s="1">
        <v>5.0</v>
      </c>
      <c r="B4693" s="1" t="s">
        <v>4675</v>
      </c>
      <c r="C4693" t="str">
        <f>IFERROR(__xludf.DUMMYFUNCTION("GOOGLETRANSLATE(B4693, ""zh"", ""en"")"),"A little bit biased a little bit biased long length, texture, very good!")</f>
        <v>A little bit biased a little bit biased long length, texture, very good!</v>
      </c>
    </row>
    <row r="4694">
      <c r="A4694" s="1">
        <v>5.0</v>
      </c>
      <c r="B4694" s="1" t="s">
        <v>4676</v>
      </c>
      <c r="C4694" t="str">
        <f>IFERROR(__xludf.DUMMYFUNCTION("GOOGLETRANSLATE(B4694, ""zh"", ""en"")"),"Cotton looked pretty good, not bad, height 185 weight 185 pounds to wear XL appropriate.")</f>
        <v>Cotton looked pretty good, not bad, height 185 weight 185 pounds to wear XL appropriate.</v>
      </c>
    </row>
    <row r="4695">
      <c r="A4695" s="1">
        <v>5.0</v>
      </c>
      <c r="B4695" s="1" t="s">
        <v>4677</v>
      </c>
      <c r="C4695" t="str">
        <f>IFERROR(__xludf.DUMMYFUNCTION("GOOGLETRANSLATE(B4695, ""zh"", ""en"")"),"OK slightly harder cortical bit")</f>
        <v>OK slightly harder cortical bit</v>
      </c>
    </row>
    <row r="4696">
      <c r="A4696" s="1">
        <v>5.0</v>
      </c>
      <c r="B4696" s="1" t="s">
        <v>4678</v>
      </c>
      <c r="C4696" t="str">
        <f>IFERROR(__xludf.DUMMYFUNCTION("GOOGLETRANSLATE(B4696, ""zh"", ""en"")"),"Good price advantage")</f>
        <v>Good price advantage</v>
      </c>
    </row>
    <row r="4697">
      <c r="A4697" s="1">
        <v>5.0</v>
      </c>
      <c r="B4697" s="1" t="s">
        <v>4679</v>
      </c>
      <c r="C4697" t="str">
        <f>IFERROR(__xludf.DUMMYFUNCTION("GOOGLETRANSLATE(B4697, ""zh"", ""en"")"),"Suitable. 175 / 67.5, S code suitable.")</f>
        <v>Suitable. 175 / 67.5, S code suitable.</v>
      </c>
    </row>
    <row r="4698">
      <c r="A4698" s="1">
        <v>5.0</v>
      </c>
      <c r="B4698" s="1" t="s">
        <v>4680</v>
      </c>
      <c r="C4698" t="str">
        <f>IFERROR(__xludf.DUMMYFUNCTION("GOOGLETRANSLATE(B4698, ""zh"", ""en"")"),"Very warm my bed is 1.8 * 2M's, with a bedspread 2.2 * 2.4, the size of still appropriate. If the pursuit of sagging effect, I am afraid that a larger size. Living in the north, not to the heating, so it is warm, do not know the future will not be hot. We"&amp;" did not find problems drill hair. Unlike domestic duvet with a fixed aperture, but such a large quilt, it should also not be displaced.")</f>
        <v>Very warm my bed is 1.8 * 2M's, with a bedspread 2.2 * 2.4, the size of still appropriate. If the pursuit of sagging effect, I am afraid that a larger size. Living in the north, not to the heating, so it is warm, do not know the future will not be hot. We did not find problems drill hair. Unlike domestic duvet with a fixed aperture, but such a large quilt, it should also not be displaced.</v>
      </c>
    </row>
    <row r="4699">
      <c r="A4699" s="1">
        <v>5.0</v>
      </c>
      <c r="B4699" s="1" t="s">
        <v>4681</v>
      </c>
      <c r="C4699" t="str">
        <f>IFERROR(__xludf.DUMMYFUNCTION("GOOGLETRANSLATE(B4699, ""zh"", ""en"")"),"Very good yardage normal cortex very good light to walk very stable feel big feet high heels gospel")</f>
        <v>Very good yardage normal cortex very good light to walk very stable feel big feet high heels gospel</v>
      </c>
    </row>
    <row r="4700">
      <c r="A4700" s="1">
        <v>5.0</v>
      </c>
      <c r="B4700" s="1" t="s">
        <v>4682</v>
      </c>
      <c r="C4700" t="str">
        <f>IFERROR(__xludf.DUMMYFUNCTION("GOOGLETRANSLATE(B4700, ""zh"", ""en"")"),"Yes good package, large capacity, for about two days on business use, usually have no problem kicking a ball")</f>
        <v>Yes good package, large capacity, for about two days on business use, usually have no problem kicking a ball</v>
      </c>
    </row>
    <row r="4701">
      <c r="A4701" s="1">
        <v>5.0</v>
      </c>
      <c r="B4701" s="1" t="s">
        <v>4683</v>
      </c>
      <c r="C4701" t="str">
        <f>IFERROR(__xludf.DUMMYFUNCTION("GOOGLETRANSLATE(B4701, ""zh"", ""en"")"),"Very comfortable, very comfortable worth buying, worth buying")</f>
        <v>Very comfortable, very comfortable worth buying, worth buying</v>
      </c>
    </row>
    <row r="4702">
      <c r="A4702" s="1">
        <v>5.0</v>
      </c>
      <c r="B4702" s="1" t="s">
        <v>4684</v>
      </c>
      <c r="C4702" t="str">
        <f>IFERROR(__xludf.DUMMYFUNCTION("GOOGLETRANSLATE(B4702, ""zh"", ""en"")"),"satisfaction! The volume of the right size, white fungus soup stew before going to bed, drink lunch to take to work the next day, Bang Bang da!")</f>
        <v>satisfaction! The volume of the right size, white fungus soup stew before going to bed, drink lunch to take to work the next day, Bang Bang da!</v>
      </c>
    </row>
    <row r="4703">
      <c r="A4703" s="1">
        <v>5.0</v>
      </c>
      <c r="B4703" s="1" t="s">
        <v>4685</v>
      </c>
      <c r="C4703" t="str">
        <f>IFERROR(__xludf.DUMMYFUNCTION("GOOGLETRANSLATE(B4703, ""zh"", ""en"")"),"173cm, 65kg, s code is appropriate, a sufficient length. 173cm, 65kg, s code is appropriate, a sufficient length.")</f>
        <v>173cm, 65kg, s code is appropriate, a sufficient length. 173cm, 65kg, s code is appropriate, a sufficient length.</v>
      </c>
    </row>
    <row r="4704">
      <c r="A4704" s="1">
        <v>2.0</v>
      </c>
      <c r="B4704" s="1" t="s">
        <v>4686</v>
      </c>
      <c r="C4704" t="str">
        <f>IFERROR(__xludf.DUMMYFUNCTION("GOOGLETRANSLATE(B4704, ""zh"", ""en"")"),"Not recommended for previously bought the goodwill of the county is a no rims bra, bought this, but far less good before that section. First strap can not be adjusted, I am tall appear mostly short shoulder strap always run up; secondly the outside of the"&amp;" fabric wear a few times later will play ball; final breast shape and almost no, because regardless of the cup, almost flat :(")</f>
        <v>Not recommended for previously bought the goodwill of the county is a no rims bra, bought this, but far less good before that section. First strap can not be adjusted, I am tall appear mostly short shoulder strap always run up; secondly the outside of the fabric wear a few times later will play ball; final breast shape and almost no, because regardless of the cup, almost flat :(</v>
      </c>
    </row>
    <row r="4705">
      <c r="A4705" s="1">
        <v>3.0</v>
      </c>
      <c r="B4705" s="1" t="s">
        <v>4687</v>
      </c>
      <c r="C4705" t="str">
        <f>IFERROR(__xludf.DUMMYFUNCTION("GOOGLETRANSLATE(B4705, ""zh"", ""en"")"),"Wear leather wear side")</f>
        <v>Wear leather wear side</v>
      </c>
    </row>
    <row r="4706">
      <c r="A4706" s="1">
        <v>3.0</v>
      </c>
      <c r="B4706" s="1" t="s">
        <v>4688</v>
      </c>
      <c r="C4706" t="str">
        <f>IFERROR(__xludf.DUMMYFUNCTION("GOOGLETRANSLATE(B4706, ""zh"", ""en"")"),"Yen value is high, but the quality control needs to be improved. Work well, but eventually dropped out, because the metal pail is actually the pen grip loose, to be found on the pen's ink unscrewed. The feeling is not the front of the jaw ring is not on t"&amp;"ight sake, but they no tools to adjust it.")</f>
        <v>Yen value is high, but the quality control needs to be improved. Work well, but eventually dropped out, because the metal pail is actually the pen grip loose, to be found on the pen's ink unscrewed. The feeling is not the front of the jaw ring is not on tight sake, but they no tools to adjust it.</v>
      </c>
    </row>
    <row r="4707">
      <c r="A4707" s="1">
        <v>3.0</v>
      </c>
      <c r="B4707" s="1" t="s">
        <v>4689</v>
      </c>
      <c r="C4707" t="str">
        <f>IFERROR(__xludf.DUMMYFUNCTION("GOOGLETRANSLATE(B4707, ""zh"", ""en"")"),"Too much beautiful, but too large, the Asian equivalent code where m xl code, only when wearing oversize")</f>
        <v>Too much beautiful, but too large, the Asian equivalent code where m xl code, only when wearing oversize</v>
      </c>
    </row>
    <row r="4708">
      <c r="A4708" s="1">
        <v>1.0</v>
      </c>
      <c r="B4708" s="1" t="s">
        <v>4690</v>
      </c>
      <c r="C4708" t="str">
        <f>IFERROR(__xludf.DUMMYFUNCTION("GOOGLETRANSLATE(B4708, ""zh"", ""en"")"),"The quality is not good to his mother to buy, the coating has come off.")</f>
        <v>The quality is not good to his mother to buy, the coating has come off.</v>
      </c>
    </row>
    <row r="4709">
      <c r="A4709" s="1">
        <v>1.0</v>
      </c>
      <c r="B4709" s="1" t="s">
        <v>4691</v>
      </c>
      <c r="C4709" t="str">
        <f>IFERROR(__xludf.DUMMYFUNCTION("GOOGLETRANSLATE(B4709, ""zh"", ""en"")"),"Not worth taking home only in the evening after the test length, feeling just right to put the label pulled next morning to wear when it found a vamp is, like old shoes, very sorry, but the impact secondary sales, just have to accept it! Others may want t"&amp;"o pay attention to the job.")</f>
        <v>Not worth taking home only in the evening after the test length, feeling just right to put the label pulled next morning to wear when it found a vamp is, like old shoes, very sorry, but the impact secondary sales, just have to accept it! Others may want to pay attention to the job.</v>
      </c>
    </row>
    <row r="4710">
      <c r="A4710" s="1">
        <v>4.0</v>
      </c>
      <c r="B4710" s="1" t="s">
        <v>4692</v>
      </c>
      <c r="C4710" t="str">
        <f>IFERROR(__xludf.DUMMYFUNCTION("GOOGLETRANSLATE(B4710, ""zh"", ""en"")"),"Relatively hard relatively hard")</f>
        <v>Relatively hard relatively hard</v>
      </c>
    </row>
    <row r="4711">
      <c r="A4711" s="1">
        <v>4.0</v>
      </c>
      <c r="B4711" s="1" t="s">
        <v>4693</v>
      </c>
      <c r="C4711" t="str">
        <f>IFERROR(__xludf.DUMMYFUNCTION("GOOGLETRANSLATE(B4711, ""zh"", ""en"")"),"Goods received very good value for money. Continue to support Amazon")</f>
        <v>Goods received very good value for money. Continue to support Amazon</v>
      </c>
    </row>
    <row r="4712">
      <c r="A4712" s="1">
        <v>4.0</v>
      </c>
      <c r="B4712" s="1" t="s">
        <v>4694</v>
      </c>
      <c r="C4712" t="str">
        <f>IFERROR(__xludf.DUMMYFUNCTION("GOOGLETRANSLATE(B4712, ""zh"", ""en"")"),"Domestic two yards than big, you can pay attention to the big two yards Barbara, materials, workmanship, color, can, LOGO is not on the sleeves to wear off a few times, and seems to be added to the list after weak overseas purchase it is impossible to cha"&amp;"nge clothes big freight scared to death you deal with wearing it, and remember do not think like a treasure just returned home, and that you can not afford one!")</f>
        <v>Domestic two yards than big, you can pay attention to the big two yards Barbara, materials, workmanship, color, can, LOGO is not on the sleeves to wear off a few times, and seems to be added to the list after weak overseas purchase it is impossible to change clothes big freight scared to death you deal with wearing it, and remember do not think like a treasure just returned home, and that you can not afford one!</v>
      </c>
    </row>
    <row r="4713">
      <c r="A4713" s="1">
        <v>4.0</v>
      </c>
      <c r="B4713" s="1" t="s">
        <v>4695</v>
      </c>
      <c r="C4713" t="str">
        <f>IFERROR(__xludf.DUMMYFUNCTION("GOOGLETRANSLATE(B4713, ""zh"", ""en"")"),"Not seriously look thin, very thin style, I only see good cheap price, Oh")</f>
        <v>Not seriously look thin, very thin style, I only see good cheap price, Oh</v>
      </c>
    </row>
    <row r="4714">
      <c r="A4714" s="1">
        <v>5.0</v>
      </c>
      <c r="B4714" s="1" t="s">
        <v>4696</v>
      </c>
      <c r="C4714" t="str">
        <f>IFERROR(__xludf.DUMMYFUNCTION("GOOGLETRANSLATE(B4714, ""zh"", ""en"")"),"International big-name quality, reliability, speed three days to reach satisfactory quality and reliable international big-name, write copy speed average 100M-130M / s, the speed of delivery 5 days arrive, very satisfied tariff is paid 87rmb")</f>
        <v>International big-name quality, reliability, speed three days to reach satisfactory quality and reliable international big-name, write copy speed average 100M-130M / s, the speed of delivery 5 days arrive, very satisfied tariff is paid 87rmb</v>
      </c>
    </row>
    <row r="4715">
      <c r="A4715" s="1">
        <v>5.0</v>
      </c>
      <c r="B4715" s="1" t="s">
        <v>4697</v>
      </c>
      <c r="C4715" t="str">
        <f>IFERROR(__xludf.DUMMYFUNCTION("GOOGLETRANSLATE(B4715, ""zh"", ""en"")"),"I especially like the right number of counters Shanghai began in July have not tried the No. 39 black or other colors you want to come here a little bit of pressure instep mall is Jiang Zi")</f>
        <v>I especially like the right number of counters Shanghai began in July have not tried the No. 39 black or other colors you want to come here a little bit of pressure instep mall is Jiang Zi</v>
      </c>
    </row>
    <row r="4716">
      <c r="A4716" s="1">
        <v>5.0</v>
      </c>
      <c r="B4716" s="1" t="s">
        <v>4698</v>
      </c>
      <c r="C4716" t="str">
        <f>IFERROR(__xludf.DUMMYFUNCTION("GOOGLETRANSLATE(B4716, ""zh"", ""en"")"),"Earphone headset how should I say okay, not bad, but now a lot of the price of the headphones are metallic, and this looks a bit cheap. Headset more than a day to burn it. Feeling a little boiled water, you can feel more transparent. But I used to compare"&amp;" Denon and did not feel so bright, listening to Faye Wong shadow separation was not enough, the high-frequency apparent bias, the female although forward, but also does not shine, listening electric guitar version of Hotel California is obviously not as g"&amp;"ood as Denon . Low and my k450 contrast may not be as strong as he was, did not felt. Of course, now obviously feeling a lot better than the low-frequency start. I was a fungus, casual Xia Xie wrote. Of course, my two headphone listening more than five ye"&amp;"ars, and I hope this will be a good pair of headphones open burning. But plug in the ear that is not uncomfortable to praise.")</f>
        <v>Earphone headset how should I say okay, not bad, but now a lot of the price of the headphones are metallic, and this looks a bit cheap. Headset more than a day to burn it. Feeling a little boiled water, you can feel more transparent. But I used to compare Denon and did not feel so bright, listening to Faye Wong shadow separation was not enough, the high-frequency apparent bias, the female although forward, but also does not shine, listening electric guitar version of Hotel California is obviously not as good as Denon . Low and my k450 contrast may not be as strong as he was, did not felt. Of course, now obviously feeling a lot better than the low-frequency start. I was a fungus, casual Xia Xie wrote. Of course, my two headphone listening more than five years, and I hope this will be a good pair of headphones open burning. But plug in the ear that is not uncomfortable to praise.</v>
      </c>
    </row>
    <row r="4717">
      <c r="A4717" s="1">
        <v>5.0</v>
      </c>
      <c r="B4717" s="1" t="s">
        <v>4699</v>
      </c>
      <c r="C4717" t="str">
        <f>IFERROR(__xludf.DUMMYFUNCTION("GOOGLETRANSLATE(B4717, ""zh"", ""en"")"),"Feel good stuff worth buying packaging simple, but something good, affordable.")</f>
        <v>Feel good stuff worth buying packaging simple, but something good, affordable.</v>
      </c>
    </row>
    <row r="4718">
      <c r="A4718" s="1">
        <v>5.0</v>
      </c>
      <c r="B4718" s="1" t="s">
        <v>4700</v>
      </c>
      <c r="C4718" t="str">
        <f>IFERROR(__xludf.DUMMYFUNCTION("GOOGLETRANSLATE(B4718, ""zh"", ""en"")"),"Not bad buy almost double the 360 ​​second yellow hand is simply surprised, but did six years ago I bought a snake good, thick tongue caused by pinch points! Other better. I always do not understand, the Roman Empire are so narrow instep of the foot so lo"&amp;"w fight it. . . Color is not very good, positive handling of the case depends on a rainy day")</f>
        <v>Not bad buy almost double the 360 ​​second yellow hand is simply surprised, but did six years ago I bought a snake good, thick tongue caused by pinch points! Other better. I always do not understand, the Roman Empire are so narrow instep of the foot so low fight it. . . Color is not very good, positive handling of the case depends on a rainy day</v>
      </c>
    </row>
    <row r="4719">
      <c r="A4719" s="1">
        <v>5.0</v>
      </c>
      <c r="B4719" s="1" t="s">
        <v>4701</v>
      </c>
      <c r="C4719" t="str">
        <f>IFERROR(__xludf.DUMMYFUNCTION("GOOGLETRANSLATE(B4719, ""zh"", ""en"")"),"Insulation effect can be completely disassembled cleaned smolder smoldering cup this cup of strong, filled with rice morning, noon and just feeling almost cooked. The smoldering cup can be completely disassembled cleaned, I had always solved very tangled "&amp;"pain points, so even installed some of the more greasy food, do not worry about cleaning problem.")</f>
        <v>Insulation effect can be completely disassembled cleaned smolder smoldering cup this cup of strong, filled with rice morning, noon and just feeling almost cooked. The smoldering cup can be completely disassembled cleaned, I had always solved very tangled pain points, so even installed some of the more greasy food, do not worry about cleaning problem.</v>
      </c>
    </row>
    <row r="4720">
      <c r="A4720" s="1">
        <v>5.0</v>
      </c>
      <c r="B4720" s="1" t="s">
        <v>4702</v>
      </c>
      <c r="C4720" t="str">
        <f>IFERROR(__xludf.DUMMYFUNCTION("GOOGLETRANSLATE(B4720, ""zh"", ""en"")"),"Very comfortable, very worthwhile to start beautiful shoes, size is also standard, has been wearing the shoes 36, starting later found to be very suitable to wear. The price is much cheaper than in some of the domestic discount stores, delivery time is fa"&amp;"irly fast.")</f>
        <v>Very comfortable, very worthwhile to start beautiful shoes, size is also standard, has been wearing the shoes 36, starting later found to be very suitable to wear. The price is much cheaper than in some of the domestic discount stores, delivery time is fairly fast.</v>
      </c>
    </row>
    <row r="4721">
      <c r="A4721" s="1">
        <v>5.0</v>
      </c>
      <c r="B4721" s="1" t="s">
        <v>4703</v>
      </c>
      <c r="C4721" t="str">
        <f>IFERROR(__xludf.DUMMYFUNCTION("GOOGLETRANSLATE(B4721, ""zh"", ""en"")"),"satisfaction! Non-ear wearing comfort, no stethoscope effect, can be heard outside a small portion of the sound, more secure. The sound quality is good, the price can not be picky. Delivery Soon, about a single week, Saturday to.")</f>
        <v>satisfaction! Non-ear wearing comfort, no stethoscope effect, can be heard outside a small portion of the sound, more secure. The sound quality is good, the price can not be picky. Delivery Soon, about a single week, Saturday to.</v>
      </c>
    </row>
    <row r="4722">
      <c r="A4722" s="1">
        <v>5.0</v>
      </c>
      <c r="B4722" s="1" t="s">
        <v>4704</v>
      </c>
      <c r="C4722" t="str">
        <f>IFERROR(__xludf.DUMMYFUNCTION("GOOGLETRANSLATE(B4722, ""zh"", ""en"")"),"The real pen are all stainless steel. F is very smooth, slightly thick. EF's used to love, and now feel no need to, draw paper.")</f>
        <v>The real pen are all stainless steel. F is very smooth, slightly thick. EF's used to love, and now feel no need to, draw paper.</v>
      </c>
    </row>
    <row r="4723">
      <c r="A4723" s="1">
        <v>5.0</v>
      </c>
      <c r="B4723" s="1" t="s">
        <v>4705</v>
      </c>
      <c r="C4723" t="str">
        <f>IFERROR(__xludf.DUMMYFUNCTION("GOOGLETRANSLATE(B4723, ""zh"", ""en"")"),"Very comfortable very comfortable, the right size")</f>
        <v>Very comfortable very comfortable, the right size</v>
      </c>
    </row>
    <row r="4724">
      <c r="A4724" s="1">
        <v>5.0</v>
      </c>
      <c r="B4724" s="1" t="s">
        <v>4706</v>
      </c>
      <c r="C4724" t="str">
        <f>IFERROR(__xludf.DUMMYFUNCTION("GOOGLETRANSLATE(B4724, ""zh"", ""en"")"),"Inside warm wool shoes code test is appropriate, the domestic counter usually wear 37 yards, and there is very warm wool, and other winter!")</f>
        <v>Inside warm wool shoes code test is appropriate, the domestic counter usually wear 37 yards, and there is very warm wool, and other winter!</v>
      </c>
    </row>
    <row r="4725">
      <c r="A4725" s="1">
        <v>5.0</v>
      </c>
      <c r="B4725" s="1" t="s">
        <v>4707</v>
      </c>
      <c r="C4725" t="str">
        <f>IFERROR(__xludf.DUMMYFUNCTION("GOOGLETRANSLATE(B4725, ""zh"", ""en"")"),"100 Anniversary limited edition models plus thick velvet really worthy of the audience, this plus thick velvet quality. Gradient blue, but her husband does not belong to the white color of the super-lift. US version is still large size 1-2 size than Asia.")</f>
        <v>100 Anniversary limited edition models plus thick velvet really worthy of the audience, this plus thick velvet quality. Gradient blue, but her husband does not belong to the white color of the super-lift. US version is still large size 1-2 size than Asia.</v>
      </c>
    </row>
    <row r="4726">
      <c r="A4726" s="1">
        <v>5.0</v>
      </c>
      <c r="B4726" s="1" t="s">
        <v>4708</v>
      </c>
      <c r="C4726" t="str">
        <f>IFERROR(__xludf.DUMMYFUNCTION("GOOGLETRANSLATE(B4726, ""zh"", ""en"")"),"For lean legs workmanship, style are good. Shoes for lean legs, size is very accurate. The first figure is of me a pair of shoes Colombia number 41.5, the shoes I want 41's just right. Express fast two or three days to Beijing from the United Kingdom.")</f>
        <v>For lean legs workmanship, style are good. Shoes for lean legs, size is very accurate. The first figure is of me a pair of shoes Colombia number 41.5, the shoes I want 41's just right. Express fast two or three days to Beijing from the United Kingdom.</v>
      </c>
    </row>
    <row r="4727">
      <c r="A4727" s="1">
        <v>5.0</v>
      </c>
      <c r="B4727" s="1" t="s">
        <v>4709</v>
      </c>
      <c r="C4727" t="str">
        <f>IFERROR(__xludf.DUMMYFUNCTION("GOOGLETRANSLATE(B4727, ""zh"", ""en"")"),"very suitable. Great price cheaper than the counter for more than half. Product phase is also very good, super-fast delivery. No results have been also buy a pair of friends. 38 yards usually, 37.5clarks wear. But 38 is more comfortable.")</f>
        <v>very suitable. Great price cheaper than the counter for more than half. Product phase is also very good, super-fast delivery. No results have been also buy a pair of friends. 38 yards usually, 37.5clarks wear. But 38 is more comfortable.</v>
      </c>
    </row>
    <row r="4728">
      <c r="A4728" s="1">
        <v>5.0</v>
      </c>
      <c r="B4728" s="1" t="s">
        <v>4710</v>
      </c>
      <c r="C4728" t="str">
        <f>IFERROR(__xludf.DUMMYFUNCTION("GOOGLETRANSLATE(B4728, ""zh"", ""en"")"),"L quality is very good, comfortable")</f>
        <v>L quality is very good, comfortable</v>
      </c>
    </row>
    <row r="4729">
      <c r="A4729" s="1">
        <v>5.0</v>
      </c>
      <c r="B4729" s="1" t="s">
        <v>4711</v>
      </c>
      <c r="C4729" t="str">
        <f>IFERROR(__xludf.DUMMYFUNCTION("GOOGLETRANSLATE(B4729, ""zh"", ""en"")"),"Like this standard clothing sizes, comfortable upper body.")</f>
        <v>Like this standard clothing sizes, comfortable upper body.</v>
      </c>
    </row>
    <row r="4730">
      <c r="A4730" s="1">
        <v>5.0</v>
      </c>
      <c r="B4730" s="1" t="s">
        <v>4712</v>
      </c>
      <c r="C4730" t="str">
        <f>IFERROR(__xludf.DUMMYFUNCTION("GOOGLETRANSLATE(B4730, ""zh"", ""en"")"),"This material is good really good I felt that I could")</f>
        <v>This material is good really good I felt that I could</v>
      </c>
    </row>
    <row r="4731">
      <c r="A4731" s="1">
        <v>5.0</v>
      </c>
      <c r="B4731" s="1" t="s">
        <v>4713</v>
      </c>
      <c r="C4731" t="str">
        <f>IFERROR(__xludf.DUMMYFUNCTION("GOOGLETRANSLATE(B4731, ""zh"", ""en"")"),"The right size, looks pretty good-looking appearance")</f>
        <v>The right size, looks pretty good-looking appearance</v>
      </c>
    </row>
    <row r="4732">
      <c r="A4732" s="1">
        <v>5.0</v>
      </c>
      <c r="B4732" s="1" t="s">
        <v>4714</v>
      </c>
      <c r="C4732" t="str">
        <f>IFERROR(__xludf.DUMMYFUNCTION("GOOGLETRANSLATE(B4732, ""zh"", ""en"")"),"A little hard a little hard, cloth tents with canvas material. Overall good, personally, prefer. 172cm, 74kg, 33w / 29l exactly.")</f>
        <v>A little hard a little hard, cloth tents with canvas material. Overall good, personally, prefer. 172cm, 74kg, 33w / 29l exactly.</v>
      </c>
    </row>
    <row r="4733">
      <c r="A4733" s="1">
        <v>5.0</v>
      </c>
      <c r="B4733" s="1" t="s">
        <v>4715</v>
      </c>
      <c r="C4733" t="str">
        <f>IFERROR(__xludf.DUMMYFUNCTION("GOOGLETRANSLATE(B4733, ""zh"", ""en"")"),"It will repurchase comfortable than other stockings and more. As long as the color is good, unlimited buyback")</f>
        <v>It will repurchase comfortable than other stockings and more. As long as the color is good, unlimited buyback</v>
      </c>
    </row>
    <row r="4734">
      <c r="A4734" s="1">
        <v>5.0</v>
      </c>
      <c r="B4734" s="1" t="s">
        <v>4716</v>
      </c>
      <c r="C4734" t="str">
        <f>IFERROR(__xludf.DUMMYFUNCTION("GOOGLETRANSLATE(B4734, ""zh"", ""en"")"),"👌 👍👍👍")</f>
        <v>👌 👍👍👍</v>
      </c>
    </row>
    <row r="4735">
      <c r="A4735" s="1">
        <v>5.0</v>
      </c>
      <c r="B4735" s="1" t="s">
        <v>4717</v>
      </c>
      <c r="C4735" t="str">
        <f>IFERROR(__xludf.DUMMYFUNCTION("GOOGLETRANSLATE(B4735, ""zh"", ""en"")"),"Terrific particularly good, very suitable for their own")</f>
        <v>Terrific particularly good, very suitable for their own</v>
      </c>
    </row>
    <row r="4736">
      <c r="A4736" s="1">
        <v>2.0</v>
      </c>
      <c r="B4736" s="1" t="s">
        <v>4718</v>
      </c>
      <c r="C4736" t="str">
        <f>IFERROR(__xludf.DUMMYFUNCTION("GOOGLETRANSLATE(B4736, ""zh"", ""en"")"),"Abdomen would curling, is not very good, oh")</f>
        <v>Abdomen would curling, is not very good, oh</v>
      </c>
    </row>
    <row r="4737">
      <c r="A4737" s="1">
        <v>3.0</v>
      </c>
      <c r="B4737" s="1" t="s">
        <v>4719</v>
      </c>
      <c r="C4737" t="str">
        <f>IFERROR(__xludf.DUMMYFUNCTION("GOOGLETRANSLATE(B4737, ""zh"", ""en"")"),"There is a quality problem to wear comfortable clothes, stylish, only regret is three in one (gray) there are quality problems, it only luck overseas purchase, returns trouble")</f>
        <v>There is a quality problem to wear comfortable clothes, stylish, only regret is three in one (gray) there are quality problems, it only luck overseas purchase, returns trouble</v>
      </c>
    </row>
    <row r="4738">
      <c r="A4738" s="1">
        <v>3.0</v>
      </c>
      <c r="B4738" s="1" t="s">
        <v>4720</v>
      </c>
      <c r="C4738" t="str">
        <f>IFERROR(__xludf.DUMMYFUNCTION("GOOGLETRANSLATE(B4738, ""zh"", ""en"")"),"Not warm regarded overseas purchase in a relatively satisfactory, but not warm, but also worthy of the price")</f>
        <v>Not warm regarded overseas purchase in a relatively satisfactory, but not warm, but also worthy of the price</v>
      </c>
    </row>
    <row r="4739">
      <c r="A4739" s="1">
        <v>1.0</v>
      </c>
      <c r="B4739" s="1" t="s">
        <v>4721</v>
      </c>
      <c r="C4739" t="str">
        <f>IFERROR(__xludf.DUMMYFUNCTION("GOOGLETRANSLATE(B4739, ""zh"", ""en"")"),"Do not fly, buy with caution given 38 yards, sent me 41 yards. German is not shy. Returns a month, the money has not returned to. Telephone reminders a few times no effect.")</f>
        <v>Do not fly, buy with caution given 38 yards, sent me 41 yards. German is not shy. Returns a month, the money has not returned to. Telephone reminders a few times no effect.</v>
      </c>
    </row>
    <row r="4740">
      <c r="A4740" s="1">
        <v>1.0</v>
      </c>
      <c r="B4740" s="1" t="s">
        <v>4722</v>
      </c>
      <c r="C4740" t="str">
        <f>IFERROR(__xludf.DUMMYFUNCTION("GOOGLETRANSLATE(B4740, ""zh"", ""en"")"),"For the first time on shopping in the Amazon was very disappointed about the free delivery of goods but rather two boxes of violence without any protection measures after receiving damaged deformed all the boxes")</f>
        <v>For the first time on shopping in the Amazon was very disappointed about the free delivery of goods but rather two boxes of violence without any protection measures after receiving damaged deformed all the boxes</v>
      </c>
    </row>
    <row r="4741">
      <c r="A4741" s="1">
        <v>4.0</v>
      </c>
      <c r="B4741" s="1" t="s">
        <v>4723</v>
      </c>
      <c r="C4741" t="str">
        <f>IFERROR(__xludf.DUMMYFUNCTION("GOOGLETRANSLATE(B4741, ""zh"", ""en"")"),"I think the quality can also be non-adult section size is too large. We note that this is not the adult section. My foot size is too large net long 230mm winter wear thick socks so buy big I did not expect really big with a lot of really big bare feet at "&amp;"least two finger pad insole thick socks or a little bit big but comfortable. Warm or can buy a little more than 500 different sizes at different prices.")</f>
        <v>I think the quality can also be non-adult section size is too large. We note that this is not the adult section. My foot size is too large net long 230mm winter wear thick socks so buy big I did not expect really big with a lot of really big bare feet at least two finger pad insole thick socks or a little bit big but comfortable. Warm or can buy a little more than 500 different sizes at different prices.</v>
      </c>
    </row>
    <row r="4742">
      <c r="A4742" s="1">
        <v>4.0</v>
      </c>
      <c r="B4742" s="1" t="s">
        <v>4724</v>
      </c>
      <c r="C4742" t="str">
        <f>IFERROR(__xludf.DUMMYFUNCTION("GOOGLETRANSLATE(B4742, ""zh"", ""en"")"),"Good texture, good texture, but some thin, summer can wear or play wear spring and autumn.")</f>
        <v>Good texture, good texture, but some thin, summer can wear or play wear spring and autumn.</v>
      </c>
    </row>
    <row r="4743">
      <c r="A4743" s="1">
        <v>4.0</v>
      </c>
      <c r="B4743" s="1" t="s">
        <v>4725</v>
      </c>
      <c r="C4743" t="str">
        <f>IFERROR(__xludf.DUMMYFUNCTION("GOOGLETRANSLATE(B4743, ""zh"", ""en"")"),"Large fabric Fortunately, work is also available. One big, easy to fold.")</f>
        <v>Large fabric Fortunately, work is also available. One big, easy to fold.</v>
      </c>
    </row>
    <row r="4744">
      <c r="A4744" s="1">
        <v>4.0</v>
      </c>
      <c r="B4744" s="1" t="s">
        <v>4726</v>
      </c>
      <c r="C4744" t="str">
        <f>IFERROR(__xludf.DUMMYFUNCTION("GOOGLETRANSLATE(B4744, ""zh"", ""en"")"),"Ultra Slim models s code is really small, self-cultivation models for 170 / 50-60kg")</f>
        <v>Ultra Slim models s code is really small, self-cultivation models for 170 / 50-60kg</v>
      </c>
    </row>
    <row r="4745">
      <c r="A4745" s="1">
        <v>4.0</v>
      </c>
      <c r="B4745" s="1" t="s">
        <v>4727</v>
      </c>
      <c r="C4745" t="str">
        <f>IFERROR(__xludf.DUMMYFUNCTION("GOOGLETRANSLATE(B4745, ""zh"", ""en"")"),"This can be a worthwhile purchase or")</f>
        <v>This can be a worthwhile purchase or</v>
      </c>
    </row>
    <row r="4746">
      <c r="A4746" s="1">
        <v>5.0</v>
      </c>
      <c r="B4746" s="1" t="s">
        <v>4728</v>
      </c>
      <c r="C4746" t="str">
        <f>IFERROR(__xludf.DUMMYFUNCTION("GOOGLETRANSLATE(B4746, ""zh"", ""en"")"),"Dea ~ very satisfied with the other usual spring and autumn wear Clarks buy most of the code, suitable for winter thick socks. Tax free postage 550 seconds to shoot. Earned a one hundred million ...... feeling than last time Deya to packaging has improved"&amp;", with a brown paper instead of plastic bags, very environmentally friendly ♻️, praise 👍🏻")</f>
        <v>Dea ~ very satisfied with the other usual spring and autumn wear Clarks buy most of the code, suitable for winter thick socks. Tax free postage 550 seconds to shoot. Earned a one hundred million ...... feeling than last time Deya to packaging has improved, with a brown paper instead of plastic bags, very environmentally friendly ♻️, praise 👍🏻</v>
      </c>
    </row>
    <row r="4747">
      <c r="A4747" s="1">
        <v>5.0</v>
      </c>
      <c r="B4747" s="1" t="s">
        <v>4729</v>
      </c>
      <c r="C4747" t="str">
        <f>IFERROR(__xludf.DUMMYFUNCTION("GOOGLETRANSLATE(B4747, ""zh"", ""en"")"),"Pick the right stature short paragraph Sleeve Length is shorter with the same model looked at the effect of family laugh")</f>
        <v>Pick the right stature short paragraph Sleeve Length is shorter with the same model looked at the effect of family laugh</v>
      </c>
    </row>
    <row r="4748">
      <c r="A4748" s="1">
        <v>5.0</v>
      </c>
      <c r="B4748" s="1" t="s">
        <v>4730</v>
      </c>
      <c r="C4748" t="str">
        <f>IFERROR(__xludf.DUMMYFUNCTION("GOOGLETRANSLATE(B4748, ""zh"", ""en"")"),"At least freshman code size than domestic material in general, more than 80 starts, behind a champion embroidered logo, overall and long of it")</f>
        <v>At least freshman code size than domestic material in general, more than 80 starts, behind a champion embroidered logo, overall and long of it</v>
      </c>
    </row>
    <row r="4749">
      <c r="A4749" s="1">
        <v>5.0</v>
      </c>
      <c r="B4749" s="1" t="s">
        <v>4731</v>
      </c>
      <c r="C4749" t="str">
        <f>IFERROR(__xludf.DUMMYFUNCTION("GOOGLETRANSLATE(B4749, ""zh"", ""en"")"),"puma real materials, 7us 37.5 yards, just to wear thin socks more relaxed.")</f>
        <v>puma real materials, 7us 37.5 yards, just to wear thin socks more relaxed.</v>
      </c>
    </row>
    <row r="4750">
      <c r="A4750" s="1">
        <v>5.0</v>
      </c>
      <c r="B4750" s="1" t="s">
        <v>4732</v>
      </c>
      <c r="C4750" t="str">
        <f>IFERROR(__xludf.DUMMYFUNCTION("GOOGLETRANSLATE(B4750, ""zh"", ""en"")"),"Suitable great value 36.5 or 37 yards usually wear shoes, children under five yards the appropriate value for money, some low foot, foot fat carefully choose,")</f>
        <v>Suitable great value 36.5 or 37 yards usually wear shoes, children under five yards the appropriate value for money, some low foot, foot fat carefully choose,</v>
      </c>
    </row>
    <row r="4751">
      <c r="A4751" s="1">
        <v>5.0</v>
      </c>
      <c r="B4751" s="1" t="s">
        <v>4733</v>
      </c>
      <c r="C4751" t="str">
        <f>IFERROR(__xludf.DUMMYFUNCTION("GOOGLETRANSLATE(B4751, ""zh"", ""en"")"),". Tight-fitting, breathable, warmer than QiuKu more.")</f>
        <v>. Tight-fitting, breathable, warmer than QiuKu more.</v>
      </c>
    </row>
    <row r="4752">
      <c r="A4752" s="1">
        <v>5.0</v>
      </c>
      <c r="B4752" s="1" t="s">
        <v>4734</v>
      </c>
      <c r="C4752" t="str">
        <f>IFERROR(__xludf.DUMMYFUNCTION("GOOGLETRANSLATE(B4752, ""zh"", ""en"")"),"No problem &lt;div id = ""video-block-R3S982FFJP2IPL"" class = ""a-section a-spacing-small a-spacing-top-mini video-block""&gt; &lt;/ div&gt; &lt;input type = ""hidden"" name = "" ""value ="" https://images-cn.ssl-images-amazon.com/images/I/A1RwU7zVbiS.mp4 ""class ="" v"&amp;"ideo-url ""&gt; &lt;input type ="" hidden ""name ="" ""value ="" https://images-cn.ssl-images-amazon.com/images/I/71MclyHk5tS.png ""class ="" video-slate-img-url ""&gt; &amp; nbsp; also, 9M 42 yards, my feet fat little. Just wear a little squeeze feet, wear-resistant "&amp;"Kee Di 43 and 43 feet is recommended to buy 9EE, wear thick cotton socks should be better! In-kind good-looking than the pictures. Delivery is too slow, the order number 12, 29 only to the.")</f>
        <v>No problem &lt;div id = "video-block-R3S982FFJP2IPL" class = "a-section a-spacing-small a-spacing-top-mini video-block"&gt; &lt;/ div&gt; &lt;input type = "hidden" name = " "value =" https://images-cn.ssl-images-amazon.com/images/I/A1RwU7zVbiS.mp4 "class =" video-url "&gt; &lt;input type =" hidden "name =" "value =" https://images-cn.ssl-images-amazon.com/images/I/71MclyHk5tS.png "class =" video-slate-img-url "&gt; &amp; nbsp; also, 9M 42 yards, my feet fat little. Just wear a little squeeze feet, wear-resistant Kee Di 43 and 43 feet is recommended to buy 9EE, wear thick cotton socks should be better! In-kind good-looking than the pictures. Delivery is too slow, the order number 12, 29 only to the.</v>
      </c>
    </row>
    <row r="4753">
      <c r="A4753" s="1">
        <v>5.0</v>
      </c>
      <c r="B4753" s="1" t="s">
        <v>4735</v>
      </c>
      <c r="C4753" t="str">
        <f>IFERROR(__xludf.DUMMYFUNCTION("GOOGLETRANSLATE(B4753, ""zh"", ""en"")"),"Suitable fairly w34l32, waist 34 and internally consistent, the same length 32 and 34 of the country because Weila, upper embarrassing, so it is slightly longer")</f>
        <v>Suitable fairly w34l32, waist 34 and internally consistent, the same length 32 and 34 of the country because Weila, upper embarrassing, so it is slightly longer</v>
      </c>
    </row>
    <row r="4754">
      <c r="A4754" s="1">
        <v>5.0</v>
      </c>
      <c r="B4754" s="1" t="s">
        <v>4736</v>
      </c>
      <c r="C4754" t="str">
        <f>IFERROR(__xludf.DUMMYFUNCTION("GOOGLETRANSLATE(B4754, ""zh"", ""en"")"),"Good ki desu man and I bought tickets a couple of cups. Made in China, but I do not mind the wire after understanding. Very light, very insulation! Fear of burning! Nichia packaging is very reassuring. satisfaction!")</f>
        <v>Good ki desu man and I bought tickets a couple of cups. Made in China, but I do not mind the wire after understanding. Very light, very insulation! Fear of burning! Nichia packaging is very reassuring. satisfaction!</v>
      </c>
    </row>
    <row r="4755">
      <c r="A4755" s="1">
        <v>5.0</v>
      </c>
      <c r="B4755" s="1" t="s">
        <v>4737</v>
      </c>
      <c r="C4755" t="str">
        <f>IFERROR(__xludf.DUMMYFUNCTION("GOOGLETRANSLATE(B4755, ""zh"", ""en"")"),"Great! Very, very good, new authentic. The headset is very convenient. Bluetooth constantly good, low-frequency sound bad points of attainment, tri-band equalization, overall good. Without head comfortable. Touch screen is very sensitive earphone no probl"&amp;"em. Well worth enough to buy")</f>
        <v>Great! Very, very good, new authentic. The headset is very convenient. Bluetooth constantly good, low-frequency sound bad points of attainment, tri-band equalization, overall good. Without head comfortable. Touch screen is very sensitive earphone no problem. Well worth enough to buy</v>
      </c>
    </row>
    <row r="4756">
      <c r="A4756" s="1">
        <v>5.0</v>
      </c>
      <c r="B4756" s="1" t="s">
        <v>4738</v>
      </c>
      <c r="C4756" t="str">
        <f>IFERROR(__xludf.DUMMYFUNCTION("GOOGLETRANSLATE(B4756, ""zh"", ""en"")"),"Good external hard drive small, the sound is very small, very fast download speeds")</f>
        <v>Good external hard drive small, the sound is very small, very fast download speeds</v>
      </c>
    </row>
    <row r="4757">
      <c r="A4757" s="1">
        <v>5.0</v>
      </c>
      <c r="B4757" s="1" t="s">
        <v>4739</v>
      </c>
      <c r="C4757" t="str">
        <f>IFERROR(__xludf.DUMMYFUNCTION("GOOGLETRANSLATE(B4757, ""zh"", ""en"")"),"Color genuine type of pants are basically good husband Lee's! Typical thigh leg are kind of rough boys! The pants are very comfortable! Thick thighs boys can also ride! The high cost")</f>
        <v>Color genuine type of pants are basically good husband Lee's! Typical thigh leg are kind of rough boys! The pants are very comfortable! Thick thighs boys can also ride! The high cost</v>
      </c>
    </row>
    <row r="4758">
      <c r="A4758" s="1">
        <v>5.0</v>
      </c>
      <c r="B4758" s="1" t="s">
        <v>4740</v>
      </c>
      <c r="C4758" t="str">
        <f>IFERROR(__xludf.DUMMYFUNCTION("GOOGLETRANSLATE(B4758, ""zh"", ""en"")"),"For the first time to buy, very good, good point of praise, for the first time to buy, the next will continue")</f>
        <v>For the first time to buy, very good, good point of praise, for the first time to buy, the next will continue</v>
      </c>
    </row>
    <row r="4759">
      <c r="A4759" s="1">
        <v>5.0</v>
      </c>
      <c r="B4759" s="1" t="s">
        <v>4741</v>
      </c>
      <c r="C4759" t="str">
        <f>IFERROR(__xludf.DUMMYFUNCTION("GOOGLETRANSLATE(B4759, ""zh"", ""en"")"),"Very Good Good Good attempt")</f>
        <v>Very Good Good Good attempt</v>
      </c>
    </row>
    <row r="4760">
      <c r="A4760" s="1">
        <v>5.0</v>
      </c>
      <c r="B4760" s="1" t="s">
        <v>4742</v>
      </c>
      <c r="C4760" t="str">
        <f>IFERROR(__xludf.DUMMYFUNCTION("GOOGLETRANSLATE(B4760, ""zh"", ""en"")"),"Yan high quality and very good value and practical good, not from the previous evaluation, I do not know how many wasted points, points can change money now know, they should look carefully evaluated, then I put these words to copy to go, both to earn poi"&amp;"nts also save, copy where they go, the most important thing is that Amazon's something really good, recommend it to everyone. buy for the second time.")</f>
        <v>Yan high quality and very good value and practical good, not from the previous evaluation, I do not know how many wasted points, points can change money now know, they should look carefully evaluated, then I put these words to copy to go, both to earn points also save, copy where they go, the most important thing is that Amazon's something really good, recommend it to everyone. buy for the second time.</v>
      </c>
    </row>
    <row r="4761">
      <c r="A4761" s="1">
        <v>5.0</v>
      </c>
      <c r="B4761" s="1" t="s">
        <v>4743</v>
      </c>
      <c r="C4761" t="str">
        <f>IFERROR(__xludf.DUMMYFUNCTION("GOOGLETRANSLATE(B4761, ""zh"", ""en"")"),"Can be fairly sophisticated, waist 84 to buy 85 just right. This belt can not be cut")</f>
        <v>Can be fairly sophisticated, waist 84 to buy 85 just right. This belt can not be cut</v>
      </c>
    </row>
    <row r="4762">
      <c r="A4762" s="1">
        <v>5.0</v>
      </c>
      <c r="B4762" s="1" t="s">
        <v>4744</v>
      </c>
      <c r="C4762" t="str">
        <f>IFERROR(__xludf.DUMMYFUNCTION("GOOGLETRANSLATE(B4762, ""zh"", ""en"")"),"Very appropriate height 170, weight 150, buy M, very relaxed, a slightly shorter length Diudiu. Ref 580, absolute value, but also how the domestic Taobao Ba Jiubai one. it's a bargain. Warm is also very good. Next year there is again an activity.")</f>
        <v>Very appropriate height 170, weight 150, buy M, very relaxed, a slightly shorter length Diudiu. Ref 580, absolute value, but also how the domestic Taobao Ba Jiubai one. it's a bargain. Warm is also very good. Next year there is again an activity.</v>
      </c>
    </row>
    <row r="4763">
      <c r="A4763" s="1">
        <v>5.0</v>
      </c>
      <c r="B4763" s="1" t="s">
        <v>4745</v>
      </c>
      <c r="C4763" t="str">
        <f>IFERROR(__xludf.DUMMYFUNCTION("GOOGLETRANSLATE(B4763, ""zh"", ""en"")"),"CK Authentic CK is genuine, good quality. Slim models are not bloated, did not run down the phenomenon. Down with the domestic section of code is similar to the election code usually wear it to.")</f>
        <v>CK Authentic CK is genuine, good quality. Slim models are not bloated, did not run down the phenomenon. Down with the domestic section of code is similar to the election code usually wear it to.</v>
      </c>
    </row>
    <row r="4764">
      <c r="A4764" s="1">
        <v>5.0</v>
      </c>
      <c r="B4764" s="1" t="s">
        <v>4746</v>
      </c>
      <c r="C4764" t="str">
        <f>IFERROR(__xludf.DUMMYFUNCTION("GOOGLETRANSLATE(B4764, ""zh"", ""en"")"),"Comfortable more comfortable")</f>
        <v>Comfortable more comfortable</v>
      </c>
    </row>
    <row r="4765">
      <c r="A4765" s="1">
        <v>5.0</v>
      </c>
      <c r="B4765" s="1" t="s">
        <v>4747</v>
      </c>
      <c r="C4765" t="str">
        <f>IFERROR(__xludf.DUMMYFUNCTION("GOOGLETRANSLATE(B4765, ""zh"", ""en"")"),"Very very comfortable, no trace, 163-115 pounds, m appropriate.")</f>
        <v>Very very comfortable, no trace, 163-115 pounds, m appropriate.</v>
      </c>
    </row>
    <row r="4766">
      <c r="A4766" s="1">
        <v>5.0</v>
      </c>
      <c r="B4766" s="1" t="s">
        <v>4748</v>
      </c>
      <c r="C4766" t="str">
        <f>IFERROR(__xludf.DUMMYFUNCTION("GOOGLETRANSLATE(B4766, ""zh"", ""en"")"),"Good price on this is very good")</f>
        <v>Good price on this is very good</v>
      </c>
    </row>
    <row r="4767">
      <c r="A4767" s="1">
        <v>5.0</v>
      </c>
      <c r="B4767" s="1" t="s">
        <v>4749</v>
      </c>
      <c r="C4767" t="str">
        <f>IFERROR(__xludf.DUMMYFUNCTION("GOOGLETRANSLATE(B4767, ""zh"", ""en"")"),"Lexar 64GB camera to buy, good, capacity can be")</f>
        <v>Lexar 64GB camera to buy, good, capacity can be</v>
      </c>
    </row>
    <row r="4768">
      <c r="A4768" s="1">
        <v>2.0</v>
      </c>
      <c r="B4768" s="1" t="s">
        <v>4750</v>
      </c>
      <c r="C4768" t="str">
        <f>IFERROR(__xludf.DUMMYFUNCTION("GOOGLETRANSLATE(B4768, ""zh"", ""en"")"),"Goods without protective packaging, the appearance of damage. Open membership under 2 single, bought three items, hand protection is no packaging, trade dress badly damaged two, known as the Iraq war damage level, applied for a refund, but also to send ph"&amp;"otos to the mailbox and telephone communication, trouble, simply cancel your membership, after X East buy well, at least there did commodity packaging protection, get a hand is intact. . .")</f>
        <v>Goods without protective packaging, the appearance of damage. Open membership under 2 single, bought three items, hand protection is no packaging, trade dress badly damaged two, known as the Iraq war damage level, applied for a refund, but also to send photos to the mailbox and telephone communication, trouble, simply cancel your membership, after X East buy well, at least there did commodity packaging protection, get a hand is intact. . .</v>
      </c>
    </row>
    <row r="4769">
      <c r="A4769" s="1">
        <v>3.0</v>
      </c>
      <c r="B4769" s="1" t="s">
        <v>2813</v>
      </c>
      <c r="C4769" t="str">
        <f>IFERROR(__xludf.DUMMYFUNCTION("GOOGLETRANSLATE(B4769, ""zh"", ""en"")"),"Old style, great code! Shall not apply to the general population of our country, better customer service suggested I buy a small 12S to 10S as a whole is still the number one inch big. Old style, to wear like Aunt. But the fabric is very comfortable, and "&amp;"there is no smell. Get back more than 50 overseas freight, worth, or give as gifts good.")</f>
        <v>Old style, great code! Shall not apply to the general population of our country, better customer service suggested I buy a small 12S to 10S as a whole is still the number one inch big. Old style, to wear like Aunt. But the fabric is very comfortable, and there is no smell. Get back more than 50 overseas freight, worth, or give as gifts good.</v>
      </c>
    </row>
    <row r="4770">
      <c r="A4770" s="1">
        <v>3.0</v>
      </c>
      <c r="B4770" s="1" t="s">
        <v>4751</v>
      </c>
      <c r="C4770" t="str">
        <f>IFERROR(__xludf.DUMMYFUNCTION("GOOGLETRANSLATE(B4770, ""zh"", ""en"")"),"Small bowl that could not absorb the smallest bowl simply could not absorb other feeling like a general")</f>
        <v>Small bowl that could not absorb the smallest bowl simply could not absorb other feeling like a general</v>
      </c>
    </row>
    <row r="4771">
      <c r="A4771" s="1">
        <v>1.0</v>
      </c>
      <c r="B4771" s="1" t="s">
        <v>4752</v>
      </c>
      <c r="C4771" t="str">
        <f>IFERROR(__xludf.DUMMYFUNCTION("GOOGLETRANSLATE(B4771, ""zh"", ""en"")"),"Table are not allowed to start okay, spent two months allowed to the table, a few hours a day and sometimes slow, so I Zhashui it!")</f>
        <v>Table are not allowed to start okay, spent two months allowed to the table, a few hours a day and sometimes slow, so I Zhashui it!</v>
      </c>
    </row>
    <row r="4772">
      <c r="A4772" s="1">
        <v>1.0</v>
      </c>
      <c r="B4772" s="1" t="s">
        <v>4753</v>
      </c>
      <c r="C4772" t="str">
        <f>IFERROR(__xludf.DUMMYFUNCTION("GOOGLETRANSLATE(B4772, ""zh"", ""en"")"),"Not recommended to buy do not recommend to buy, too fake. Take the lead in the original, low-quality leather strap complete system. Supporting incomplete.")</f>
        <v>Not recommended to buy do not recommend to buy, too fake. Take the lead in the original, low-quality leather strap complete system. Supporting incomplete.</v>
      </c>
    </row>
    <row r="4773">
      <c r="A4773" s="1">
        <v>1.0</v>
      </c>
      <c r="B4773" s="1" t="s">
        <v>4754</v>
      </c>
      <c r="C4773" t="str">
        <f>IFERROR(__xludf.DUMMYFUNCTION("GOOGLETRANSLATE(B4773, ""zh"", ""en"")"),"This cottage is also not as good as the standard of overseas purchase, not as domestic cottage, to a star is more")</f>
        <v>This cottage is also not as good as the standard of overseas purchase, not as domestic cottage, to a star is more</v>
      </c>
    </row>
    <row r="4774">
      <c r="A4774" s="1">
        <v>4.0</v>
      </c>
      <c r="B4774" s="1" t="s">
        <v>4755</v>
      </c>
      <c r="C4774" t="str">
        <f>IFERROR(__xludf.DUMMYFUNCTION("GOOGLETRANSLATE(B4774, ""zh"", ""en"")"),"There are flaws, look heavy integrity! Sea Amoy speed class, order No. 21, No. 27 sent home, but the goods are defective, and see it is not caused by transportation, it seems that foreigners are not good faith! It does not affect the use of the returned!")</f>
        <v>There are flaws, look heavy integrity! Sea Amoy speed class, order No. 21, No. 27 sent home, but the goods are defective, and see it is not caused by transportation, it seems that foreigners are not good faith! It does not affect the use of the returned!</v>
      </c>
    </row>
    <row r="4775">
      <c r="A4775" s="1">
        <v>4.0</v>
      </c>
      <c r="B4775" s="1" t="s">
        <v>4756</v>
      </c>
      <c r="C4775" t="str">
        <f>IFERROR(__xludf.DUMMYFUNCTION("GOOGLETRANSLATE(B4775, ""zh"", ""en"")"),"Hard a hard point, the baby still prefer the kind of small soft beautiful month")</f>
        <v>Hard a hard point, the baby still prefer the kind of small soft beautiful month</v>
      </c>
    </row>
    <row r="4776">
      <c r="A4776" s="1">
        <v>4.0</v>
      </c>
      <c r="B4776" s="1" t="s">
        <v>4757</v>
      </c>
      <c r="C4776" t="str">
        <f>IFERROR(__xludf.DUMMYFUNCTION("GOOGLETRANSLATE(B4776, ""zh"", ""en"")"),"Version fatter fabric good, but the version is relatively fat")</f>
        <v>Version fatter fabric good, but the version is relatively fat</v>
      </c>
    </row>
    <row r="4777">
      <c r="A4777" s="1">
        <v>4.0</v>
      </c>
      <c r="B4777" s="1" t="s">
        <v>4758</v>
      </c>
      <c r="C4777" t="str">
        <f>IFERROR(__xludf.DUMMYFUNCTION("GOOGLETRANSLATE(B4777, ""zh"", ""en"")"),"Good quality and great quality! Logistics speed is also a week earlier than expected. But there really tight ankle. Size a bit small, a little tight winter wear thick socks.")</f>
        <v>Good quality and great quality! Logistics speed is also a week earlier than expected. But there really tight ankle. Size a bit small, a little tight winter wear thick socks.</v>
      </c>
    </row>
    <row r="4778">
      <c r="A4778" s="1">
        <v>4.0</v>
      </c>
      <c r="B4778" s="1" t="s">
        <v>4759</v>
      </c>
      <c r="C4778" t="str">
        <f>IFERROR(__xludf.DUMMYFUNCTION("GOOGLETRANSLATE(B4778, ""zh"", ""en"")"),"not bad. A little big.")</f>
        <v>not bad. A little big.</v>
      </c>
    </row>
    <row r="4779">
      <c r="A4779" s="1">
        <v>5.0</v>
      </c>
      <c r="B4779" s="1" t="s">
        <v>4760</v>
      </c>
      <c r="C4779" t="str">
        <f>IFERROR(__xludf.DUMMYFUNCTION("GOOGLETRANSLATE(B4779, ""zh"", ""en"")"),"Close-fitting, comfortable like")</f>
        <v>Close-fitting, comfortable like</v>
      </c>
    </row>
    <row r="4780">
      <c r="A4780" s="1">
        <v>5.0</v>
      </c>
      <c r="B4780" s="1" t="s">
        <v>4761</v>
      </c>
      <c r="C4780" t="str">
        <f>IFERROR(__xludf.DUMMYFUNCTION("GOOGLETRANSLATE(B4780, ""zh"", ""en"")"),"Good to wear good-looking than the picture kind of pretty much half a yard too large indeed very comfortable to wear")</f>
        <v>Good to wear good-looking than the picture kind of pretty much half a yard too large indeed very comfortable to wear</v>
      </c>
    </row>
    <row r="4781">
      <c r="A4781" s="1">
        <v>5.0</v>
      </c>
      <c r="B4781" s="1" t="s">
        <v>4762</v>
      </c>
      <c r="C4781" t="str">
        <f>IFERROR(__xludf.DUMMYFUNCTION("GOOGLETRANSLATE(B4781, ""zh"", ""en"")"),"Work one-time buy two, good good")</f>
        <v>Work one-time buy two, good good</v>
      </c>
    </row>
    <row r="4782">
      <c r="A4782" s="1">
        <v>5.0</v>
      </c>
      <c r="B4782" s="1" t="s">
        <v>4763</v>
      </c>
      <c r="C4782" t="str">
        <f>IFERROR(__xludf.DUMMYFUNCTION("GOOGLETRANSLATE(B4782, ""zh"", ""en"")"),"it is good! Than at home and that the baby started crying too strong a broken machine, good clean sound and light, less than half the price.")</f>
        <v>it is good! Than at home and that the baby started crying too strong a broken machine, good clean sound and light, less than half the price.</v>
      </c>
    </row>
    <row r="4783">
      <c r="A4783" s="1">
        <v>5.0</v>
      </c>
      <c r="B4783" s="1" t="s">
        <v>4764</v>
      </c>
      <c r="C4783" t="str">
        <f>IFERROR(__xludf.DUMMYFUNCTION("GOOGLETRANSLATE(B4783, ""zh"", ""en"")"),"Bang Bang is great. well. Cons: Heavy.")</f>
        <v>Bang Bang is great. well. Cons: Heavy.</v>
      </c>
    </row>
    <row r="4784">
      <c r="A4784" s="1">
        <v>5.0</v>
      </c>
      <c r="B4784" s="1" t="s">
        <v>4765</v>
      </c>
      <c r="C4784" t="str">
        <f>IFERROR(__xludf.DUMMYFUNCTION("GOOGLETRANSLATE(B4784, ""zh"", ""en"")"),"Recommended to buy great! Both comfort and appearance quality are very consistent with my expectations. Now after months ready to wear it to see if there are no other problems.")</f>
        <v>Recommended to buy great! Both comfort and appearance quality are very consistent with my expectations. Now after months ready to wear it to see if there are no other problems.</v>
      </c>
    </row>
    <row r="4785">
      <c r="A4785" s="1">
        <v>5.0</v>
      </c>
      <c r="B4785" s="1" t="s">
        <v>4766</v>
      </c>
      <c r="C4785" t="str">
        <f>IFERROR(__xludf.DUMMYFUNCTION("GOOGLETRANSLATE(B4785, ""zh"", ""en"")"),"Very good, one week after a single thickness of just the right size is also received, very comfortable to wear, praise")</f>
        <v>Very good, one week after a single thickness of just the right size is also received, very comfortable to wear, praise</v>
      </c>
    </row>
    <row r="4786">
      <c r="A4786" s="1">
        <v>5.0</v>
      </c>
      <c r="B4786" s="1" t="s">
        <v>4767</v>
      </c>
      <c r="C4786" t="str">
        <f>IFERROR(__xludf.DUMMYFUNCTION("GOOGLETRANSLATE(B4786, ""zh"", ""en"")"),"Can work hand bag you received. This is suitable for children or girls, adult male, then the size is too small.")</f>
        <v>Can work hand bag you received. This is suitable for children or girls, adult male, then the size is too small.</v>
      </c>
    </row>
    <row r="4787">
      <c r="A4787" s="1">
        <v>5.0</v>
      </c>
      <c r="B4787" s="1" t="s">
        <v>4768</v>
      </c>
      <c r="C4787" t="str">
        <f>IFERROR(__xludf.DUMMYFUNCTION("GOOGLETRANSLATE(B4787, ""zh"", ""en"")"),"Like good-looking and comfortable, and imagine exactly the same")</f>
        <v>Like good-looking and comfortable, and imagine exactly the same</v>
      </c>
    </row>
    <row r="4788">
      <c r="A4788" s="1">
        <v>5.0</v>
      </c>
      <c r="B4788" s="1" t="s">
        <v>4769</v>
      </c>
      <c r="C4788" t="str">
        <f>IFERROR(__xludf.DUMMYFUNCTION("GOOGLETRANSLATE(B4788, ""zh"", ""en"")"),"Very good also be right! Not very slim, long legs Obama wants to feel more difficult, but for Uncle is nothing bad.")</f>
        <v>Very good also be right! Not very slim, long legs Obama wants to feel more difficult, but for Uncle is nothing bad.</v>
      </c>
    </row>
    <row r="4789">
      <c r="A4789" s="1">
        <v>5.0</v>
      </c>
      <c r="B4789" s="1" t="s">
        <v>4770</v>
      </c>
      <c r="C4789" t="str">
        <f>IFERROR(__xludf.DUMMYFUNCTION("GOOGLETRANSLATE(B4789, ""zh"", ""en"")"),"Praise loose money, there is also a plus velvet, bought the L number a bit large, but feel that a replacement too much trouble, so wear it")</f>
        <v>Praise loose money, there is also a plus velvet, bought the L number a bit large, but feel that a replacement too much trouble, so wear it</v>
      </c>
    </row>
    <row r="4790">
      <c r="A4790" s="1">
        <v>5.0</v>
      </c>
      <c r="B4790" s="1" t="s">
        <v>4771</v>
      </c>
      <c r="C4790" t="str">
        <f>IFERROR(__xludf.DUMMYFUNCTION("GOOGLETRANSLATE(B4790, ""zh"", ""en"")"),"Special purchase of Chinese-made, good quality.")</f>
        <v>Special purchase of Chinese-made, good quality.</v>
      </c>
    </row>
    <row r="4791">
      <c r="A4791" s="1">
        <v>5.0</v>
      </c>
      <c r="B4791" s="1" t="s">
        <v>4772</v>
      </c>
      <c r="C4791" t="str">
        <f>IFERROR(__xludf.DUMMYFUNCTION("GOOGLETRANSLATE(B4791, ""zh"", ""en"")"),"Sound quality is very good, the price is good. Sound quality is very good, the price is good, if you like Goethe, that the work of Gauss also nothing critical.")</f>
        <v>Sound quality is very good, the price is good. Sound quality is very good, the price is good, if you like Goethe, that the work of Gauss also nothing critical.</v>
      </c>
    </row>
    <row r="4792">
      <c r="A4792" s="1">
        <v>5.0</v>
      </c>
      <c r="B4792" s="1" t="s">
        <v>4773</v>
      </c>
      <c r="C4792" t="str">
        <f>IFERROR(__xludf.DUMMYFUNCTION("GOOGLETRANSLATE(B4792, ""zh"", ""en"")"),"Absorption is quite good, I did not know the production date and shelf life of calcium easily absorbed by the! ! The second time to buy, wife during pregnancy has been eating, after the child was born to be a lot better bone development than other childre"&amp;"n born in the same period. Then the future will buy, I hope better and better.")</f>
        <v>Absorption is quite good, I did not know the production date and shelf life of calcium easily absorbed by the! ! The second time to buy, wife during pregnancy has been eating, after the child was born to be a lot better bone development than other children born in the same period. Then the future will buy, I hope better and better.</v>
      </c>
    </row>
    <row r="4793">
      <c r="A4793" s="1">
        <v>5.0</v>
      </c>
      <c r="B4793" s="1" t="s">
        <v>4774</v>
      </c>
      <c r="C4793" t="str">
        <f>IFERROR(__xludf.DUMMYFUNCTION("GOOGLETRANSLATE(B4793, ""zh"", ""en"")"),"Comfort focus is very comfortable to wear.")</f>
        <v>Comfort focus is very comfortable to wear.</v>
      </c>
    </row>
    <row r="4794">
      <c r="A4794" s="1">
        <v>5.0</v>
      </c>
      <c r="B4794" s="1" t="s">
        <v>4775</v>
      </c>
      <c r="C4794" t="str">
        <f>IFERROR(__xludf.DUMMYFUNCTION("GOOGLETRANSLATE(B4794, ""zh"", ""en"")"),"ok pretty good speed of delivery logistics speed faster than I thought, very satisfied with the shoes and significantly increased wear to go hiking legs very comfortable shoes, but it is more suitable for winter wear a little hot summer")</f>
        <v>ok pretty good speed of delivery logistics speed faster than I thought, very satisfied with the shoes and significantly increased wear to go hiking legs very comfortable shoes, but it is more suitable for winter wear a little hot summer</v>
      </c>
    </row>
    <row r="4795">
      <c r="A4795" s="1">
        <v>5.0</v>
      </c>
      <c r="B4795" s="1" t="s">
        <v>4776</v>
      </c>
      <c r="C4795" t="str">
        <f>IFERROR(__xludf.DUMMYFUNCTION("GOOGLETRANSLATE(B4795, ""zh"", ""en"")"),"US OXO show Austrian frozen food storage box is very good, oh, very easy to do food supplement")</f>
        <v>US OXO show Austrian frozen food storage box is very good, oh, very easy to do food supplement</v>
      </c>
    </row>
    <row r="4796">
      <c r="A4796" s="1">
        <v>5.0</v>
      </c>
      <c r="B4796" s="1" t="s">
        <v>4777</v>
      </c>
      <c r="C4796" t="str">
        <f>IFERROR(__xludf.DUMMYFUNCTION("GOOGLETRANSLATE(B4796, ""zh"", ""en"")"),"Very texture before buying read a lot of reviews, good and bad, so a little uneasy. After the hand wiped concerns, shoes great texture, great style, great workmanship. Style and color with the advertising picture is completely different, I shoot color pho"&amp;"tos, basically no color. 42 usually wear Adidas, Nike 42.5, this pair bought a 8.5, just, Ref 710, very satisfied and love.")</f>
        <v>Very texture before buying read a lot of reviews, good and bad, so a little uneasy. After the hand wiped concerns, shoes great texture, great style, great workmanship. Style and color with the advertising picture is completely different, I shoot color photos, basically no color. 42 usually wear Adidas, Nike 42.5, this pair bought a 8.5, just, Ref 710, very satisfied and love.</v>
      </c>
    </row>
    <row r="4797">
      <c r="A4797" s="1">
        <v>5.0</v>
      </c>
      <c r="B4797" s="1" t="s">
        <v>4778</v>
      </c>
      <c r="C4797" t="str">
        <f>IFERROR(__xludf.DUMMYFUNCTION("GOOGLETRANSLATE(B4797, ""zh"", ""en"")"),"Waterproof thermal effect is very good domestic shoes to wear 35 or 36, bought the yard wearing thick socks or some large. But it's really great water effects, thermal effects are very good.")</f>
        <v>Waterproof thermal effect is very good domestic shoes to wear 35 or 36, bought the yard wearing thick socks or some large. But it's really great water effects, thermal effects are very good.</v>
      </c>
    </row>
    <row r="4798">
      <c r="A4798" s="1">
        <v>5.0</v>
      </c>
      <c r="B4798" s="1" t="s">
        <v>4779</v>
      </c>
      <c r="C4798" t="str">
        <f>IFERROR(__xludf.DUMMYFUNCTION("GOOGLETRANSLATE(B4798, ""zh"", ""en"")"),"Comfort super comfortable underwear, close portion is made of cotton, 75B just through the S code.")</f>
        <v>Comfort super comfortable underwear, close portion is made of cotton, 75B just through the S code.</v>
      </c>
    </row>
    <row r="4799">
      <c r="A4799" s="1">
        <v>5.0</v>
      </c>
      <c r="B4799" s="1" t="s">
        <v>4780</v>
      </c>
      <c r="C4799" t="str">
        <f>IFERROR(__xludf.DUMMYFUNCTION("GOOGLETRANSLATE(B4799, ""zh"", ""en"")"),"Now you do not cover it? Not yet started, but now a lid are gone.")</f>
        <v>Now you do not cover it? Not yet started, but now a lid are gone.</v>
      </c>
    </row>
    <row r="4800">
      <c r="A4800" s="1">
        <v>5.0</v>
      </c>
      <c r="B4800" s="1" t="s">
        <v>4781</v>
      </c>
      <c r="C4800" t="str">
        <f>IFERROR(__xludf.DUMMYFUNCTION("GOOGLETRANSLATE(B4800, ""zh"", ""en"")"),"Like very much like a 30-second reminder has five modes can be selected Terrific")</f>
        <v>Like very much like a 30-second reminder has five modes can be selected Terrific</v>
      </c>
    </row>
    <row r="4801">
      <c r="A4801" s="1">
        <v>2.0</v>
      </c>
      <c r="B4801" s="1" t="s">
        <v>4782</v>
      </c>
      <c r="C4801" t="str">
        <f>IFERROR(__xludf.DUMMYFUNCTION("GOOGLETRANSLATE(B4801, ""zh"", ""en"")"),"Article drops greatly flawed bought a second, and No. 33 30 lee home compared to waist a little small, long pants a half inch to an inch longer, the version for Tuicu but this time it was very disappointing, pants zipper has a hole the size of soybean, on"&amp;" this defective products dared to send out? Sea Amoy return too much trouble, these pants also more than a hundred dollars, so be it")</f>
        <v>Article drops greatly flawed bought a second, and No. 33 30 lee home compared to waist a little small, long pants a half inch to an inch longer, the version for Tuicu but this time it was very disappointing, pants zipper has a hole the size of soybean, on this defective products dared to send out? Sea Amoy return too much trouble, these pants also more than a hundred dollars, so be it</v>
      </c>
    </row>
    <row r="4802">
      <c r="A4802" s="1">
        <v>3.0</v>
      </c>
      <c r="B4802" s="1" t="s">
        <v>4783</v>
      </c>
      <c r="C4802" t="str">
        <f>IFERROR(__xludf.DUMMYFUNCTION("GOOGLETRANSLATE(B4802, ""zh"", ""en"")"),"There is no really bad load bearing capacity without shaping, not only for breast man, b the appropriate cup")</f>
        <v>There is no really bad load bearing capacity without shaping, not only for breast man, b the appropriate cup</v>
      </c>
    </row>
    <row r="4803">
      <c r="A4803" s="1">
        <v>3.0</v>
      </c>
      <c r="B4803" s="1" t="s">
        <v>4784</v>
      </c>
      <c r="C4803" t="str">
        <f>IFERROR(__xludf.DUMMYFUNCTION("GOOGLETRANSLATE(B4803, ""zh"", ""en"")"),"Like a general feeling in general it may be significantly more long-term use, a little there, only a half stars empty capsules, may miscalculate when canned.")</f>
        <v>Like a general feeling in general it may be significantly more long-term use, a little there, only a half stars empty capsules, may miscalculate when canned.</v>
      </c>
    </row>
    <row r="4804">
      <c r="A4804" s="1">
        <v>3.0</v>
      </c>
      <c r="B4804" s="1" t="s">
        <v>4785</v>
      </c>
      <c r="C4804" t="str">
        <f>IFERROR(__xludf.DUMMYFUNCTION("GOOGLETRANSLATE(B4804, ""zh"", ""en"")"),"It sent the wrong model seems to me the wrong model, but also can be used")</f>
        <v>It sent the wrong model seems to me the wrong model, but also can be used</v>
      </c>
    </row>
    <row r="4805">
      <c r="A4805" s="1">
        <v>1.0</v>
      </c>
      <c r="B4805" s="1" t="s">
        <v>4786</v>
      </c>
      <c r="C4805" t="str">
        <f>IFERROR(__xludf.DUMMYFUNCTION("GOOGLETRANSLATE(B4805, ""zh"", ""en"")"),"1 issued by the US version, the price is so expensive, the nerve? ,?")</f>
        <v>1 issued by the US version, the price is so expensive, the nerve? ,?</v>
      </c>
    </row>
    <row r="4806">
      <c r="A4806" s="1">
        <v>1.0</v>
      </c>
      <c r="B4806" s="1" t="s">
        <v>4787</v>
      </c>
      <c r="C4806" t="str">
        <f>IFERROR(__xludf.DUMMYFUNCTION("GOOGLETRANSLATE(B4806, ""zh"", ""en"")"),"Shoe size and foot longer than the actual description does not match the 1.5cm")</f>
        <v>Shoe size and foot longer than the actual description does not match the 1.5cm</v>
      </c>
    </row>
    <row r="4807">
      <c r="A4807" s="1">
        <v>1.0</v>
      </c>
      <c r="B4807" s="1" t="s">
        <v>4788</v>
      </c>
      <c r="C4807" t="str">
        <f>IFERROR(__xludf.DUMMYFUNCTION("GOOGLETRANSLATE(B4807, ""zh"", ""en"")"),"Size bias large, the same as the US version, and other M code to buy compared with many small, no tag, secondary packaging, remove and found clothes are anti-fold, a large deviation size is very bad, the same as the United States version, and other M code"&amp;" to buy compared with many small, no tag, secondary packaging, remove and found clothes are anti-stack, very bad")</f>
        <v>Size bias large, the same as the US version, and other M code to buy compared with many small, no tag, secondary packaging, remove and found clothes are anti-fold, a large deviation size is very bad, the same as the United States version, and other M code to buy compared with many small, no tag, secondary packaging, remove and found clothes are anti-stack, very bad</v>
      </c>
    </row>
    <row r="4808">
      <c r="A4808" s="1">
        <v>4.0</v>
      </c>
      <c r="B4808" s="1" t="s">
        <v>4789</v>
      </c>
      <c r="C4808" t="str">
        <f>IFERROR(__xludf.DUMMYFUNCTION("GOOGLETRANSLATE(B4808, ""zh"", ""en"")"),"Skin feel good effect is not obvious Ref 248 good match with other skin feel clean and obvious effect on good morning")</f>
        <v>Skin feel good effect is not obvious Ref 248 good match with other skin feel clean and obvious effect on good morning</v>
      </c>
    </row>
    <row r="4809">
      <c r="A4809" s="1">
        <v>4.0</v>
      </c>
      <c r="B4809" s="1" t="s">
        <v>4790</v>
      </c>
      <c r="C4809" t="str">
        <f>IFERROR(__xludf.DUMMYFUNCTION("GOOGLETRANSLATE(B4809, ""zh"", ""en"")"),"The packaging is damaged severely damaged packaging seriously, I do not know the parts have not lost.")</f>
        <v>The packaging is damaged severely damaged packaging seriously, I do not know the parts have not lost.</v>
      </c>
    </row>
    <row r="4810">
      <c r="A4810" s="1">
        <v>4.0</v>
      </c>
      <c r="B4810" s="1" t="s">
        <v>4791</v>
      </c>
      <c r="C4810" t="str">
        <f>IFERROR(__xludf.DUMMYFUNCTION("GOOGLETRANSLATE(B4810, ""zh"", ""en"")"),"Feel good, not as good as advertised! No prior use of comfortable, scratch is not very clean. The only advantage that can be washed.")</f>
        <v>Feel good, not as good as advertised! No prior use of comfortable, scratch is not very clean. The only advantage that can be washed.</v>
      </c>
    </row>
    <row r="4811">
      <c r="A4811" s="1">
        <v>4.0</v>
      </c>
      <c r="B4811" s="1" t="s">
        <v>4792</v>
      </c>
      <c r="C4811" t="str">
        <f>IFERROR(__xludf.DUMMYFUNCTION("GOOGLETRANSLATE(B4811, ""zh"", ""en"")"),"Just fine ah very cute, the baby not yet born stockpile.")</f>
        <v>Just fine ah very cute, the baby not yet born stockpile.</v>
      </c>
    </row>
    <row r="4812">
      <c r="A4812" s="1">
        <v>4.0</v>
      </c>
      <c r="B4812" s="1" t="s">
        <v>4793</v>
      </c>
      <c r="C4812" t="str">
        <f>IFERROR(__xludf.DUMMYFUNCTION("GOOGLETRANSLATE(B4812, ""zh"", ""en"")"),"Is not cold cup pour hot water is poured only cold cup of ice water can not be estimated with hot water and cold water are foreign children have hope warm relations moms attention")</f>
        <v>Is not cold cup pour hot water is poured only cold cup of ice water can not be estimated with hot water and cold water are foreign children have hope warm relations moms attention</v>
      </c>
    </row>
    <row r="4813">
      <c r="A4813" s="1">
        <v>5.0</v>
      </c>
      <c r="B4813" s="1" t="s">
        <v>4794</v>
      </c>
      <c r="C4813" t="str">
        <f>IFERROR(__xludf.DUMMYFUNCTION("GOOGLETRANSLATE(B4813, ""zh"", ""en"")"),"Soft and very comfortable, very comfortable, good as always")</f>
        <v>Soft and very comfortable, very comfortable, good as always</v>
      </c>
    </row>
    <row r="4814">
      <c r="A4814" s="1">
        <v>5.0</v>
      </c>
      <c r="B4814" s="1" t="s">
        <v>4795</v>
      </c>
      <c r="C4814" t="str">
        <f>IFERROR(__xludf.DUMMYFUNCTION("GOOGLETRANSLATE(B4814, ""zh"", ""en"")"),"💯 out shoes very fit, and is really a sub-price for a half.")</f>
        <v>💯 out shoes very fit, and is really a sub-price for a half.</v>
      </c>
    </row>
    <row r="4815">
      <c r="A4815" s="1">
        <v>5.0</v>
      </c>
      <c r="B4815" s="1" t="s">
        <v>4796</v>
      </c>
      <c r="C4815" t="str">
        <f>IFERROR(__xludf.DUMMYFUNCTION("GOOGLETRANSLATE(B4815, ""zh"", ""en"")"),"Well, time to buy discount, postage, plus taxes and fees more than about 500 well, time to buy discount, postage, plus taxes and fees more than about five hundred walking time is very accurate, is too heavy, the decisive change strip to belt up")</f>
        <v>Well, time to buy discount, postage, plus taxes and fees more than about 500 well, time to buy discount, postage, plus taxes and fees more than about five hundred walking time is very accurate, is too heavy, the decisive change strip to belt up</v>
      </c>
    </row>
    <row r="4816">
      <c r="A4816" s="1">
        <v>5.0</v>
      </c>
      <c r="B4816" s="1" t="s">
        <v>4797</v>
      </c>
      <c r="C4816" t="str">
        <f>IFERROR(__xludf.DUMMYFUNCTION("GOOGLETRANSLATE(B4816, ""zh"", ""en"")"),"Five-star praise! ! ! The price is really cost-effective, is a cat flagship store half the price! Super-fast delivery can not imagine! Packaging intact! it is good!")</f>
        <v>Five-star praise! ! ! The price is really cost-effective, is a cat flagship store half the price! Super-fast delivery can not imagine! Packaging intact! it is good!</v>
      </c>
    </row>
    <row r="4817">
      <c r="A4817" s="1">
        <v>5.0</v>
      </c>
      <c r="B4817" s="1" t="s">
        <v>4798</v>
      </c>
      <c r="C4817" t="str">
        <f>IFERROR(__xludf.DUMMYFUNCTION("GOOGLETRANSLATE(B4817, ""zh"", ""en"")"),"The main cheaper receipt plug did not even react, only to find the window system does not display, to me this is really white computer problem, the good news of your mother help add to touch wild guesses Hu finally successful format, it can be used to buy"&amp;" the main cheaper, very good, a total of two weeks of receipt, the speed is acceptable, overall very satisfied")</f>
        <v>The main cheaper receipt plug did not even react, only to find the window system does not display, to me this is really white computer problem, the good news of your mother help add to touch wild guesses Hu finally successful format, it can be used to buy the main cheaper, very good, a total of two weeks of receipt, the speed is acceptable, overall very satisfied</v>
      </c>
    </row>
    <row r="4818">
      <c r="A4818" s="1">
        <v>5.0</v>
      </c>
      <c r="B4818" s="1" t="s">
        <v>4799</v>
      </c>
      <c r="C4818" t="str">
        <f>IFERROR(__xludf.DUMMYFUNCTION("GOOGLETRANSLATE(B4818, ""zh"", ""en"")"),"What are the appropriate age people eat? To add protein family")</f>
        <v>What are the appropriate age people eat? To add protein family</v>
      </c>
    </row>
    <row r="4819">
      <c r="A4819" s="1">
        <v>5.0</v>
      </c>
      <c r="B4819" s="1" t="s">
        <v>4800</v>
      </c>
      <c r="C4819" t="str">
        <f>IFERROR(__xludf.DUMMYFUNCTION("GOOGLETRANSLATE(B4819, ""zh"", ""en"")"),"The most satisfying to buy a jacket sort of a small, just the right size, very comfortable to wear, but also very nice.")</f>
        <v>The most satisfying to buy a jacket sort of a small, just the right size, very comfortable to wear, but also very nice.</v>
      </c>
    </row>
    <row r="4820">
      <c r="A4820" s="1">
        <v>5.0</v>
      </c>
      <c r="B4820" s="1" t="s">
        <v>4801</v>
      </c>
      <c r="C4820" t="str">
        <f>IFERROR(__xludf.DUMMYFUNCTION("GOOGLETRANSLATE(B4820, ""zh"", ""en"")"),"Good to wear very comfortable to wear, sleep wear can also, cost-effective!")</f>
        <v>Good to wear very comfortable to wear, sleep wear can also, cost-effective!</v>
      </c>
    </row>
    <row r="4821">
      <c r="A4821" s="1">
        <v>5.0</v>
      </c>
      <c r="B4821" s="1" t="s">
        <v>4802</v>
      </c>
      <c r="C4821" t="str">
        <f>IFERROR(__xludf.DUMMYFUNCTION("GOOGLETRANSLATE(B4821, ""zh"", ""en"")"),"Mexico produced Buco thick genuine wear comfortable pants are just the right size and in the future will buy.")</f>
        <v>Mexico produced Buco thick genuine wear comfortable pants are just the right size and in the future will buy.</v>
      </c>
    </row>
    <row r="4822">
      <c r="A4822" s="1">
        <v>5.0</v>
      </c>
      <c r="B4822" s="1" t="s">
        <v>4803</v>
      </c>
      <c r="C4822" t="str">
        <f>IFERROR(__xludf.DUMMYFUNCTION("GOOGLETRANSLATE(B4822, ""zh"", ""en"")"),"Clothes very comfortable quality did not have to say, cotton comfortable, the European version are too large it may be, is not it wants to influence rendering.")</f>
        <v>Clothes very comfortable quality did not have to say, cotton comfortable, the European version are too large it may be, is not it wants to influence rendering.</v>
      </c>
    </row>
    <row r="4823">
      <c r="A4823" s="1">
        <v>5.0</v>
      </c>
      <c r="B4823" s="1" t="s">
        <v>4804</v>
      </c>
      <c r="C4823" t="str">
        <f>IFERROR(__xludf.DUMMYFUNCTION("GOOGLETRANSLATE(B4823, ""zh"", ""en"")"),"High cost, sound equalizer, like the soil is too high cost, balanced sound, like earth too, so worth it, seriously recommend")</f>
        <v>High cost, sound equalizer, like the soil is too high cost, balanced sound, like earth too, so worth it, seriously recommend</v>
      </c>
    </row>
    <row r="4824">
      <c r="A4824" s="1">
        <v>5.0</v>
      </c>
      <c r="B4824" s="1" t="s">
        <v>4805</v>
      </c>
      <c r="C4824" t="str">
        <f>IFERROR(__xludf.DUMMYFUNCTION("GOOGLETRANSLATE(B4824, ""zh"", ""en"")"),"Can and almost expected, the quality can also")</f>
        <v>Can and almost expected, the quality can also</v>
      </c>
    </row>
    <row r="4825">
      <c r="A4825" s="1">
        <v>5.0</v>
      </c>
      <c r="B4825" s="1" t="s">
        <v>4806</v>
      </c>
      <c r="C4825" t="str">
        <f>IFERROR(__xludf.DUMMYFUNCTION("GOOGLETRANSLATE(B4825, ""zh"", ""en"")"),"Boil water fast boil water very quickly the value of using online color values ​​for eight months also caught the plastic parts of the internal cracking was worried when the day suddenly burst open kettle has begun leaking")</f>
        <v>Boil water fast boil water very quickly the value of using online color values ​​for eight months also caught the plastic parts of the internal cracking was worried when the day suddenly burst open kettle has begun leaking</v>
      </c>
    </row>
    <row r="4826">
      <c r="A4826" s="1">
        <v>5.0</v>
      </c>
      <c r="B4826" s="1" t="s">
        <v>4807</v>
      </c>
      <c r="C4826" t="str">
        <f>IFERROR(__xludf.DUMMYFUNCTION("GOOGLETRANSLATE(B4826, ""zh"", ""en"")"),"Satisfied with the evaluation, color fast, good color.")</f>
        <v>Satisfied with the evaluation, color fast, good color.</v>
      </c>
    </row>
    <row r="4827">
      <c r="A4827" s="1">
        <v>5.0</v>
      </c>
      <c r="B4827" s="1" t="s">
        <v>4808</v>
      </c>
      <c r="C4827" t="str">
        <f>IFERROR(__xludf.DUMMYFUNCTION("GOOGLETRANSLATE(B4827, ""zh"", ""en"")"),"Headphones good quality sound good, bass please people, wear comfortable, reasonably priced.")</f>
        <v>Headphones good quality sound good, bass please people, wear comfortable, reasonably priced.</v>
      </c>
    </row>
    <row r="4828">
      <c r="A4828" s="1">
        <v>5.0</v>
      </c>
      <c r="B4828" s="1" t="s">
        <v>4809</v>
      </c>
      <c r="C4828" t="str">
        <f>IFERROR(__xludf.DUMMYFUNCTION("GOOGLETRANSLATE(B4828, ""zh"", ""en"")"),"Toothbrush second time to buy. Very easy to use toothbrush, just beginning to feel good with large, the more you use the more comfortable! Japan's something really easy to use.")</f>
        <v>Toothbrush second time to buy. Very easy to use toothbrush, just beginning to feel good with large, the more you use the more comfortable! Japan's something really easy to use.</v>
      </c>
    </row>
    <row r="4829">
      <c r="A4829" s="1">
        <v>5.0</v>
      </c>
      <c r="B4829" s="1" t="s">
        <v>4810</v>
      </c>
      <c r="C4829" t="str">
        <f>IFERROR(__xludf.DUMMYFUNCTION("GOOGLETRANSLATE(B4829, ""zh"", ""en"")"),"Fit comfortably on the whole quite satisfactory, choose the size is the amount of the child's bare feet long plus 1cm, as the final size. Comfortable to wear.")</f>
        <v>Fit comfortably on the whole quite satisfactory, choose the size is the amount of the child's bare feet long plus 1cm, as the final size. Comfortable to wear.</v>
      </c>
    </row>
    <row r="4830">
      <c r="A4830" s="1">
        <v>5.0</v>
      </c>
      <c r="B4830" s="1" t="s">
        <v>4811</v>
      </c>
      <c r="C4830" t="str">
        <f>IFERROR(__xludf.DUMMYFUNCTION("GOOGLETRANSLATE(B4830, ""zh"", ""en"")"),"Very well worth buying")</f>
        <v>Very well worth buying</v>
      </c>
    </row>
    <row r="4831">
      <c r="A4831" s="1">
        <v>5.0</v>
      </c>
      <c r="B4831" s="1" t="s">
        <v>4812</v>
      </c>
      <c r="C4831" t="str">
        <f>IFERROR(__xludf.DUMMYFUNCTION("GOOGLETRANSLATE(B4831, ""zh"", ""en"")"),"Packaging is really light and comfortable powerless Tucao, but fortunately not too many flaws underwear. Wearing fit")</f>
        <v>Packaging is really light and comfortable powerless Tucao, but fortunately not too many flaws underwear. Wearing fit</v>
      </c>
    </row>
    <row r="4832">
      <c r="A4832" s="1">
        <v>5.0</v>
      </c>
      <c r="B4832" s="1" t="s">
        <v>4813</v>
      </c>
      <c r="C4832" t="str">
        <f>IFERROR(__xludf.DUMMYFUNCTION("GOOGLETRANSLATE(B4832, ""zh"", ""en"")"),"Genuine, authentic suitable, appropriate")</f>
        <v>Genuine, authentic suitable, appropriate</v>
      </c>
    </row>
    <row r="4833">
      <c r="A4833" s="1">
        <v>5.0</v>
      </c>
      <c r="B4833" s="1" t="s">
        <v>4814</v>
      </c>
      <c r="C4833" t="str">
        <f>IFERROR(__xludf.DUMMYFUNCTION("GOOGLETRANSLATE(B4833, ""zh"", ""en"")"),"Lightweight, easy to use good use, relatively thin 3.5-inch hard drive. Good time to buy a good exchange rate, membership Amazon free shipping outside the territory, cost-effective way")</f>
        <v>Lightweight, easy to use good use, relatively thin 3.5-inch hard drive. Good time to buy a good exchange rate, membership Amazon free shipping outside the territory, cost-effective way</v>
      </c>
    </row>
    <row r="4834">
      <c r="A4834" s="1">
        <v>5.0</v>
      </c>
      <c r="B4834" s="1" t="s">
        <v>4815</v>
      </c>
      <c r="C4834" t="str">
        <f>IFERROR(__xludf.DUMMYFUNCTION("GOOGLETRANSLATE(B4834, ""zh"", ""en"")"),"Better insulation and light weight, good insulation effect, ease of use, price is also cheaper than the Lynx store.")</f>
        <v>Better insulation and light weight, good insulation effect, ease of use, price is also cheaper than the Lynx store.</v>
      </c>
    </row>
    <row r="4835">
      <c r="A4835" s="1">
        <v>2.0</v>
      </c>
      <c r="B4835" s="1" t="s">
        <v>4816</v>
      </c>
      <c r="C4835" t="str">
        <f>IFERROR(__xludf.DUMMYFUNCTION("GOOGLETRANSLATE(B4835, ""zh"", ""en"")"),"This pan is nonstick, for how long? Non-stick pan with the beginning of good, a little longer to die. Post-use have to be careful. I hope that long-term use can buy.")</f>
        <v>This pan is nonstick, for how long? Non-stick pan with the beginning of good, a little longer to die. Post-use have to be careful. I hope that long-term use can buy.</v>
      </c>
    </row>
    <row r="4836">
      <c r="A4836" s="1">
        <v>3.0</v>
      </c>
      <c r="B4836" s="1" t="s">
        <v>4817</v>
      </c>
      <c r="C4836" t="str">
        <f>IFERROR(__xludf.DUMMYFUNCTION("GOOGLETRANSLATE(B4836, ""zh"", ""en"")"),"Does not apply to the cooker or electric ceramic heaters stainless steel, very good. However, if the temperature of the uneven heating of the pot will explode the situation, that is, the kind of fried fried suddenly heard a loud bump, scary")</f>
        <v>Does not apply to the cooker or electric ceramic heaters stainless steel, very good. However, if the temperature of the uneven heating of the pot will explode the situation, that is, the kind of fried fried suddenly heard a loud bump, scary</v>
      </c>
    </row>
    <row r="4837">
      <c r="A4837" s="1">
        <v>3.0</v>
      </c>
      <c r="B4837" s="1" t="s">
        <v>4818</v>
      </c>
      <c r="C4837" t="str">
        <f>IFERROR(__xludf.DUMMYFUNCTION("GOOGLETRANSLATE(B4837, ""zh"", ""en"")"),"Gabe where innocent crotch pants are suitable material, color Ye Hao, Ye Hao comfort, they added that the crotch piece of cloth, it may foreigner ass Alice, then Asians are wearing wrinkled, we Figure can also be found, I thought he was just wearing good,"&amp;" in fact, is to add a piece of cloth, I will return the")</f>
        <v>Gabe where innocent crotch pants are suitable material, color Ye Hao, Ye Hao comfort, they added that the crotch piece of cloth, it may foreigner ass Alice, then Asians are wearing wrinkled, we Figure can also be found, I thought he was just wearing good, in fact, is to add a piece of cloth, I will return the</v>
      </c>
    </row>
    <row r="4838">
      <c r="A4838" s="1">
        <v>3.0</v>
      </c>
      <c r="B4838" s="1" t="s">
        <v>4819</v>
      </c>
      <c r="C4838" t="str">
        <f>IFERROR(__xludf.DUMMYFUNCTION("GOOGLETRANSLATE(B4838, ""zh"", ""en"")"),"No ink absorber little light pen")</f>
        <v>No ink absorber little light pen</v>
      </c>
    </row>
    <row r="4839">
      <c r="A4839" s="1">
        <v>1.0</v>
      </c>
      <c r="B4839" s="1" t="s">
        <v>4820</v>
      </c>
      <c r="C4839" t="str">
        <f>IFERROR(__xludf.DUMMYFUNCTION("GOOGLETRANSLATE(B4839, ""zh"", ""en"")"),"Poor degumming terminal, and only the decorative wire, leather and connectionless, extreme Poor")</f>
        <v>Poor degumming terminal, and only the decorative wire, leather and connectionless, extreme Poor</v>
      </c>
    </row>
    <row r="4840">
      <c r="A4840" s="1">
        <v>1.0</v>
      </c>
      <c r="B4840" s="1" t="s">
        <v>4821</v>
      </c>
      <c r="C4840" t="str">
        <f>IFERROR(__xludf.DUMMYFUNCTION("GOOGLETRANSLATE(B4840, ""zh"", ""en"")"),"The quality of a poor quality clothes too bad, after the midfielder appeared to wear for a week found a hole, too strange. Inside are wearing, how could this be? I never encountered such a bad clothes.")</f>
        <v>The quality of a poor quality clothes too bad, after the midfielder appeared to wear for a week found a hole, too strange. Inside are wearing, how could this be? I never encountered such a bad clothes.</v>
      </c>
    </row>
    <row r="4841">
      <c r="A4841" s="1">
        <v>4.0</v>
      </c>
      <c r="B4841" s="1" t="s">
        <v>4822</v>
      </c>
      <c r="C4841" t="str">
        <f>IFERROR(__xludf.DUMMYFUNCTION("GOOGLETRANSLATE(B4841, ""zh"", ""en"")"),"Slightly larger point 178 / 70kg, slightly larger file appears wearing a large, possibly just a small one yards, fabric is very thick, which add thin velvet, winter wear very comfortable.")</f>
        <v>Slightly larger point 178 / 70kg, slightly larger file appears wearing a large, possibly just a small one yards, fabric is very thick, which add thin velvet, winter wear very comfortable.</v>
      </c>
    </row>
    <row r="4842">
      <c r="A4842" s="1">
        <v>4.0</v>
      </c>
      <c r="B4842" s="1" t="s">
        <v>4823</v>
      </c>
      <c r="C4842" t="str">
        <f>IFERROR(__xludf.DUMMYFUNCTION("GOOGLETRANSLATE(B4842, ""zh"", ""en"")"),"Fabric elastic good, comfortable to wear 168/64 to buy the 31W30L still a little too large, 30W29L or 30W30L may be more appropriate. The advantage is good flexibility, speed that is not crowded, very comfortable.")</f>
        <v>Fabric elastic good, comfortable to wear 168/64 to buy the 31W30L still a little too large, 30W29L or 30W30L may be more appropriate. The advantage is good flexibility, speed that is not crowded, very comfortable.</v>
      </c>
    </row>
    <row r="4843">
      <c r="A4843" s="1">
        <v>4.0</v>
      </c>
      <c r="B4843" s="1" t="s">
        <v>4824</v>
      </c>
      <c r="C4843" t="str">
        <f>IFERROR(__xludf.DUMMYFUNCTION("GOOGLETRANSLATE(B4843, ""zh"", ""en"")"),"Like good quality shoes, the color is also")</f>
        <v>Like good quality shoes, the color is also</v>
      </c>
    </row>
    <row r="4844">
      <c r="A4844" s="1">
        <v>4.0</v>
      </c>
      <c r="B4844" s="1" t="s">
        <v>4825</v>
      </c>
      <c r="C4844" t="str">
        <f>IFERROR(__xludf.DUMMYFUNCTION("GOOGLETRANSLATE(B4844, ""zh"", ""en"")"),"Quite satisfied MD, 170 / 74Kg, just fit, very good.")</f>
        <v>Quite satisfied MD, 170 / 74Kg, just fit, very good.</v>
      </c>
    </row>
    <row r="4845">
      <c r="A4845" s="1">
        <v>4.0</v>
      </c>
      <c r="B4845" s="1" t="s">
        <v>4826</v>
      </c>
      <c r="C4845" t="str">
        <f>IFERROR(__xludf.DUMMYFUNCTION("GOOGLETRANSLATE(B4845, ""zh"", ""en"")"),"Very good, made in China feel a bit redundant shipping pretty good quality, but overseas over the sea is actually made in China? ! I wonder if there is no counter domestic")</f>
        <v>Very good, made in China feel a bit redundant shipping pretty good quality, but overseas over the sea is actually made in China? ! I wonder if there is no counter domestic</v>
      </c>
    </row>
    <row r="4846">
      <c r="A4846" s="1">
        <v>5.0</v>
      </c>
      <c r="B4846" s="1" t="s">
        <v>4827</v>
      </c>
      <c r="C4846" t="str">
        <f>IFERROR(__xludf.DUMMYFUNCTION("GOOGLETRANSLATE(B4846, ""zh"", ""en"")"),"Deserve to wear very comfortable")</f>
        <v>Deserve to wear very comfortable</v>
      </c>
    </row>
    <row r="4847">
      <c r="A4847" s="1">
        <v>5.0</v>
      </c>
      <c r="B4847" s="1" t="s">
        <v>4828</v>
      </c>
      <c r="C4847" t="str">
        <f>IFERROR(__xludf.DUMMYFUNCTION("GOOGLETRANSLATE(B4847, ""zh"", ""en"")"),"Take some time well, adhere to the")</f>
        <v>Take some time well, adhere to the</v>
      </c>
    </row>
    <row r="4848">
      <c r="A4848" s="1">
        <v>5.0</v>
      </c>
      <c r="B4848" s="1" t="s">
        <v>4829</v>
      </c>
      <c r="C4848" t="str">
        <f>IFERROR(__xludf.DUMMYFUNCTION("GOOGLETRANSLATE(B4848, ""zh"", ""en"")"),"Size is too large, less than half the normal need to choose their own appearance looked really ugly code, in addition insole is also very slippery, replaced the original insole embroidery insole, foot more comfortable. Besides support, because these in ad"&amp;"dition to the soles, the rest are leather-wrapped, so put on the foot after the beginning would be very unstable, if the original pair of insoles comes more unstable, then the feet, so it is necessary to change . Shoe size, I foot length 267mm, usually we"&amp;"aring Adidas or NB 10D, seven baby wear Red Wings and the 9.5D, but it would just double UK8.5, another pair of Clarks shoes are just too large a lot UK9 .")</f>
        <v>Size is too large, less than half the normal need to choose their own appearance looked really ugly code, in addition insole is also very slippery, replaced the original insole embroidery insole, foot more comfortable. Besides support, because these in addition to the soles, the rest are leather-wrapped, so put on the foot after the beginning would be very unstable, if the original pair of insoles comes more unstable, then the feet, so it is necessary to change . Shoe size, I foot length 267mm, usually wearing Adidas or NB 10D, seven baby wear Red Wings and the 9.5D, but it would just double UK8.5, another pair of Clarks shoes are just too large a lot UK9 .</v>
      </c>
    </row>
    <row r="4849">
      <c r="A4849" s="1">
        <v>5.0</v>
      </c>
      <c r="B4849" s="1" t="s">
        <v>4830</v>
      </c>
      <c r="C4849" t="str">
        <f>IFERROR(__xludf.DUMMYFUNCTION("GOOGLETRANSLATE(B4849, ""zh"", ""en"")"),"Quality is very good, 178cm, 95kg buy 36w34L waist just right, pants too long, the quality is very good, 178cm, 95kg buy 36w34L waist just right, pants too long")</f>
        <v>Quality is very good, 178cm, 95kg buy 36w34L waist just right, pants too long, the quality is very good, 178cm, 95kg buy 36w34L waist just right, pants too long</v>
      </c>
    </row>
    <row r="4850">
      <c r="A4850" s="1">
        <v>5.0</v>
      </c>
      <c r="B4850" s="1" t="s">
        <v>4831</v>
      </c>
      <c r="C4850" t="str">
        <f>IFERROR(__xludf.DUMMYFUNCTION("GOOGLETRANSLATE(B4850, ""zh"", ""en"")"),"Very comfortable cotton comfortable, thickness moderate")</f>
        <v>Very comfortable cotton comfortable, thickness moderate</v>
      </c>
    </row>
    <row r="4851">
      <c r="A4851" s="1">
        <v>5.0</v>
      </c>
      <c r="B4851" s="1" t="s">
        <v>4832</v>
      </c>
      <c r="C4851" t="str">
        <f>IFERROR(__xludf.DUMMYFUNCTION("GOOGLETRANSLATE(B4851, ""zh"", ""en"")"),"Relatively tight picture display is not very accurate, for reference purposes only.")</f>
        <v>Relatively tight picture display is not very accurate, for reference purposes only.</v>
      </c>
    </row>
    <row r="4852">
      <c r="A4852" s="1">
        <v>5.0</v>
      </c>
      <c r="B4852" s="1" t="s">
        <v>4833</v>
      </c>
      <c r="C4852" t="str">
        <f>IFERROR(__xludf.DUMMYFUNCTION("GOOGLETRANSLATE(B4852, ""zh"", ""en"")"),"Suitable for home is very light and comfortable home is very light and comfortable fit")</f>
        <v>Suitable for home is very light and comfortable home is very light and comfortable fit</v>
      </c>
    </row>
    <row r="4853">
      <c r="A4853" s="1">
        <v>5.0</v>
      </c>
      <c r="B4853" s="1" t="s">
        <v>4834</v>
      </c>
      <c r="C4853" t="str">
        <f>IFERROR(__xludf.DUMMYFUNCTION("GOOGLETRANSLATE(B4853, ""zh"", ""en"")"),"Decoration store goods! Domestic work is not comparable, very good!")</f>
        <v>Decoration store goods! Domestic work is not comparable, very good!</v>
      </c>
    </row>
    <row r="4854">
      <c r="A4854" s="1">
        <v>5.0</v>
      </c>
      <c r="B4854" s="1" t="s">
        <v>4835</v>
      </c>
      <c r="C4854" t="str">
        <f>IFERROR(__xludf.DUMMYFUNCTION("GOOGLETRANSLATE(B4854, ""zh"", ""en"")"),"This is good, this is good, a friend sent me, with very comfortable.")</f>
        <v>This is good, this is good, a friend sent me, with very comfortable.</v>
      </c>
    </row>
    <row r="4855">
      <c r="A4855" s="1">
        <v>5.0</v>
      </c>
      <c r="B4855" s="1" t="s">
        <v>4836</v>
      </c>
      <c r="C4855" t="str">
        <f>IFERROR(__xludf.DUMMYFUNCTION("GOOGLETRANSLATE(B4855, ""zh"", ""en"")"),"Very very big kid appropriate size and feel normal shoe size is not bad, normal wear us 7m of rhubarb boots, buy a big kid this same code as appropriate, from the Philippines, it feels pretty good")</f>
        <v>Very very big kid appropriate size and feel normal shoe size is not bad, normal wear us 7m of rhubarb boots, buy a big kid this same code as appropriate, from the Philippines, it feels pretty good</v>
      </c>
    </row>
    <row r="4856">
      <c r="A4856" s="1">
        <v>5.0</v>
      </c>
      <c r="B4856" s="1" t="s">
        <v>4837</v>
      </c>
      <c r="C4856" t="str">
        <f>IFERROR(__xludf.DUMMYFUNCTION("GOOGLETRANSLATE(B4856, ""zh"", ""en"")"),"Very worth it! Shoes look great! very suitable! Logistics faster than imagined!")</f>
        <v>Very worth it! Shoes look great! very suitable! Logistics faster than imagined!</v>
      </c>
    </row>
    <row r="4857">
      <c r="A4857" s="1">
        <v>5.0</v>
      </c>
      <c r="B4857" s="1" t="s">
        <v>4838</v>
      </c>
      <c r="C4857" t="str">
        <f>IFERROR(__xludf.DUMMYFUNCTION("GOOGLETRANSLATE(B4857, ""zh"", ""en"")"),"Yan kettle kettle with a high value of time bought several operators prefer this insulation effect can be, although not as a Tiger but still about the same afternoon")</f>
        <v>Yan kettle kettle with a high value of time bought several operators prefer this insulation effect can be, although not as a Tiger but still about the same afternoon</v>
      </c>
    </row>
    <row r="4858">
      <c r="A4858" s="1">
        <v>5.0</v>
      </c>
      <c r="B4858" s="1" t="s">
        <v>4839</v>
      </c>
      <c r="C4858" t="str">
        <f>IFERROR(__xludf.DUMMYFUNCTION("GOOGLETRANSLATE(B4858, ""zh"", ""en"")"),"Suitable for family outings Nichia has been very carefully packaged stuff, the cup high-quality workmanship, no smell, no long delivery period, saw in this party cup lids can use")</f>
        <v>Suitable for family outings Nichia has been very carefully packaged stuff, the cup high-quality workmanship, no smell, no long delivery period, saw in this party cup lids can use</v>
      </c>
    </row>
    <row r="4859">
      <c r="A4859" s="1">
        <v>5.0</v>
      </c>
      <c r="B4859" s="1" t="s">
        <v>4840</v>
      </c>
      <c r="C4859" t="str">
        <f>IFERROR(__xludf.DUMMYFUNCTION("GOOGLETRANSLATE(B4859, ""zh"", ""en"")"),"Buy buy buy buy buy buy")</f>
        <v>Buy buy buy buy buy buy</v>
      </c>
    </row>
    <row r="4860">
      <c r="A4860" s="1">
        <v>5.0</v>
      </c>
      <c r="B4860" s="1" t="s">
        <v>4841</v>
      </c>
      <c r="C4860" t="str">
        <f>IFERROR(__xludf.DUMMYFUNCTION("GOOGLETRANSLATE(B4860, ""zh"", ""en"")"),"Worth buying better quality, wear cool. Songkuai buy some freshman yards.")</f>
        <v>Worth buying better quality, wear cool. Songkuai buy some freshman yards.</v>
      </c>
    </row>
    <row r="4861">
      <c r="A4861" s="1">
        <v>5.0</v>
      </c>
      <c r="B4861" s="1" t="s">
        <v>4842</v>
      </c>
      <c r="C4861" t="str">
        <f>IFERROR(__xludf.DUMMYFUNCTION("GOOGLETRANSLATE(B4861, ""zh"", ""en"")"),"Looks pretty good directed at this brand to go, it looks pretty good, eat some time to see results.")</f>
        <v>Looks pretty good directed at this brand to go, it looks pretty good, eat some time to see results.</v>
      </c>
    </row>
    <row r="4862">
      <c r="A4862" s="1">
        <v>5.0</v>
      </c>
      <c r="B4862" s="1" t="s">
        <v>4843</v>
      </c>
      <c r="C4862" t="str">
        <f>IFERROR(__xludf.DUMMYFUNCTION("GOOGLETRANSLATE(B4862, ""zh"", ""en"")"),"Good, good brand. Lightweight, practical, though do not use,")</f>
        <v>Good, good brand. Lightweight, practical, though do not use,</v>
      </c>
    </row>
    <row r="4863">
      <c r="A4863" s="1">
        <v>5.0</v>
      </c>
      <c r="B4863" s="1" t="s">
        <v>4844</v>
      </c>
      <c r="C4863" t="str">
        <f>IFERROR(__xludf.DUMMYFUNCTION("GOOGLETRANSLATE(B4863, ""zh"", ""en"")"),"Multiple purchases, low prices for the third time to buy Lee's pants in the Amazon, would have been wearing this brand, and store the same quality, it is to remember the size oh")</f>
        <v>Multiple purchases, low prices for the third time to buy Lee's pants in the Amazon, would have been wearing this brand, and store the same quality, it is to remember the size oh</v>
      </c>
    </row>
    <row r="4864">
      <c r="A4864" s="1">
        <v>5.0</v>
      </c>
      <c r="B4864" s="1" t="s">
        <v>4845</v>
      </c>
      <c r="C4864" t="str">
        <f>IFERROR(__xludf.DUMMYFUNCTION("GOOGLETRANSLATE(B4864, ""zh"", ""en"")"),"Mei Yan play value")</f>
        <v>Mei Yan play value</v>
      </c>
    </row>
    <row r="4865">
      <c r="A4865" s="1">
        <v>5.0</v>
      </c>
      <c r="B4865" s="1" t="s">
        <v>4846</v>
      </c>
      <c r="C4865" t="str">
        <f>IFERROR(__xludf.DUMMYFUNCTION("GOOGLETRANSLATE(B4865, ""zh"", ""en"")"),"Good things for the first time in the Amazon scouring the sea, courier okay, really cheap, Ref 550 +, high cost, beyerdynamic headphones awesome as much as Sennheiser.")</f>
        <v>Good things for the first time in the Amazon scouring the sea, courier okay, really cheap, Ref 550 +, high cost, beyerdynamic headphones awesome as much as Sennheiser.</v>
      </c>
    </row>
    <row r="4866">
      <c r="A4866" s="1">
        <v>5.0</v>
      </c>
      <c r="B4866" s="1" t="s">
        <v>4847</v>
      </c>
      <c r="C4866" t="str">
        <f>IFERROR(__xludf.DUMMYFUNCTION("GOOGLETRANSLATE(B4866, ""zh"", ""en"")"),"Looks great 173cm, 67kg, trumpet very appropriate, shoulder a bit tight. Clothes look good, wearing spirit.")</f>
        <v>Looks great 173cm, 67kg, trumpet very appropriate, shoulder a bit tight. Clothes look good, wearing spirit.</v>
      </c>
    </row>
    <row r="4867">
      <c r="A4867" s="1">
        <v>2.0</v>
      </c>
      <c r="B4867" s="1" t="s">
        <v>4848</v>
      </c>
      <c r="C4867" t="str">
        <f>IFERROR(__xludf.DUMMYFUNCTION("GOOGLETRANSLATE(B4867, ""zh"", ""en"")"),"Crooked line pants 1 side, the right size")</f>
        <v>Crooked line pants 1 side, the right size</v>
      </c>
    </row>
    <row r="4868">
      <c r="A4868" s="1">
        <v>3.0</v>
      </c>
      <c r="B4868" s="1" t="s">
        <v>4849</v>
      </c>
      <c r="C4868" t="str">
        <f>IFERROR(__xludf.DUMMYFUNCTION("GOOGLETRANSLATE(B4868, ""zh"", ""en"")"),"Lovely lovely but not practical in addition to no other, hard, easy poking too many corners baby")</f>
        <v>Lovely lovely but not practical in addition to no other, hard, easy poking too many corners baby</v>
      </c>
    </row>
    <row r="4869">
      <c r="A4869" s="1">
        <v>3.0</v>
      </c>
      <c r="B4869" s="1" t="s">
        <v>4850</v>
      </c>
      <c r="C4869" t="str">
        <f>IFERROR(__xludf.DUMMYFUNCTION("GOOGLETRANSLATE(B4869, ""zh"", ""en"")"),"Or it may boil quickly; because otherwise the description is in German, not read.")</f>
        <v>Or it may boil quickly; because otherwise the description is in German, not read.</v>
      </c>
    </row>
    <row r="4870">
      <c r="A4870" s="1">
        <v>1.0</v>
      </c>
      <c r="B4870" s="1" t="s">
        <v>4851</v>
      </c>
      <c r="C4870" t="str">
        <f>IFERROR(__xludf.DUMMYFUNCTION("GOOGLETRANSLATE(B4870, ""zh"", ""en"")"),"Quality problems. Hair loss hair loss. Super quality poor, never seen underwear lint. Wearing a pink day, the next three days who have been hairy, do not know how to wash wash. Also fade")</f>
        <v>Quality problems. Hair loss hair loss. Super quality poor, never seen underwear lint. Wearing a pink day, the next three days who have been hairy, do not know how to wash wash. Also fade</v>
      </c>
    </row>
    <row r="4871">
      <c r="A4871" s="1">
        <v>1.0</v>
      </c>
      <c r="B4871" s="1" t="s">
        <v>4852</v>
      </c>
      <c r="C4871" t="str">
        <f>IFERROR(__xludf.DUMMYFUNCTION("GOOGLETRANSLATE(B4871, ""zh"", ""en"")"),"Too fat! ! ! Under the waist, long pants appropriate, legs too fat, it is simply the kind of plumber wear, there is no beauty.")</f>
        <v>Too fat! ! ! Under the waist, long pants appropriate, legs too fat, it is simply the kind of plumber wear, there is no beauty.</v>
      </c>
    </row>
    <row r="4872">
      <c r="A4872" s="1">
        <v>1.0</v>
      </c>
      <c r="B4872" s="1" t="s">
        <v>4853</v>
      </c>
      <c r="C4872" t="str">
        <f>IFERROR(__xludf.DUMMYFUNCTION("GOOGLETRANSLATE(B4872, ""zh"", ""en"")"),"Ring true! The first is the feeling is not genuine ...... not ring true, ring true, ring true! Tags are pry edge, indescribable feeling inferior!")</f>
        <v>Ring true! The first is the feeling is not genuine ...... not ring true, ring true, ring true! Tags are pry edge, indescribable feeling inferior!</v>
      </c>
    </row>
    <row r="4873">
      <c r="A4873" s="1">
        <v>4.0</v>
      </c>
      <c r="B4873" s="1" t="s">
        <v>4854</v>
      </c>
      <c r="C4873" t="str">
        <f>IFERROR(__xludf.DUMMYFUNCTION("GOOGLETRANSLATE(B4873, ""zh"", ""en"")"),"177,105 pounds code length L is too long, the length to the bottom hook to give girls ... when the skirts")</f>
        <v>177,105 pounds code length L is too long, the length to the bottom hook to give girls ... when the skirts</v>
      </c>
    </row>
    <row r="4874">
      <c r="A4874" s="1">
        <v>4.0</v>
      </c>
      <c r="B4874" s="1" t="s">
        <v>4855</v>
      </c>
      <c r="C4874" t="str">
        <f>IFERROR(__xludf.DUMMYFUNCTION("GOOGLETRANSLATE(B4874, ""zh"", ""en"")"),"Okay, the price a little high a little fat, not cotton, after all, cheap, good quality")</f>
        <v>Okay, the price a little high a little fat, not cotton, after all, cheap, good quality</v>
      </c>
    </row>
    <row r="4875">
      <c r="A4875" s="1">
        <v>4.0</v>
      </c>
      <c r="B4875" s="1" t="s">
        <v>4856</v>
      </c>
      <c r="C4875" t="str">
        <f>IFERROR(__xludf.DUMMYFUNCTION("GOOGLETRANSLATE(B4875, ""zh"", ""en"")"),"Overall not a big problem there is a small flaw is too expensive freight should be genuine feeling just a little left toe defects and no watering like free shipping sale alas")</f>
        <v>Overall not a big problem there is a small flaw is too expensive freight should be genuine feeling just a little left toe defects and no watering like free shipping sale alas</v>
      </c>
    </row>
    <row r="4876">
      <c r="A4876" s="1">
        <v>4.0</v>
      </c>
      <c r="B4876" s="1" t="s">
        <v>4857</v>
      </c>
      <c r="C4876" t="str">
        <f>IFERROR(__xludf.DUMMYFUNCTION("GOOGLETRANSLATE(B4876, ""zh"", ""en"")"),"UPS so fast watch nice, strap made in China, the core and assembled in the Philippines, ha ha ha ha, harmony")</f>
        <v>UPS so fast watch nice, strap made in China, the core and assembled in the Philippines, ha ha ha ha, harmony</v>
      </c>
    </row>
    <row r="4877">
      <c r="A4877" s="1">
        <v>5.0</v>
      </c>
      <c r="B4877" s="1" t="s">
        <v>4858</v>
      </c>
      <c r="C4877" t="str">
        <f>IFERROR(__xludf.DUMMYFUNCTION("GOOGLETRANSLATE(B4877, ""zh"", ""en"")"),"Practical very soft very close, cheap prices, although waited quite a long time.")</f>
        <v>Practical very soft very close, cheap prices, although waited quite a long time.</v>
      </c>
    </row>
    <row r="4878">
      <c r="A4878" s="1">
        <v>5.0</v>
      </c>
      <c r="B4878" s="1" t="s">
        <v>4859</v>
      </c>
      <c r="C4878" t="str">
        <f>IFERROR(__xludf.DUMMYFUNCTION("GOOGLETRANSLATE(B4878, ""zh"", ""en"")"),"The good this is very good, very good quality, the United States imports, it is suitable for baby")</f>
        <v>The good this is very good, very good quality, the United States imports, it is suitable for baby</v>
      </c>
    </row>
    <row r="4879">
      <c r="A4879" s="1">
        <v>5.0</v>
      </c>
      <c r="B4879" s="1" t="s">
        <v>4860</v>
      </c>
      <c r="C4879" t="str">
        <f>IFERROR(__xludf.DUMMYFUNCTION("GOOGLETRANSLATE(B4879, ""zh"", ""en"")"),"Wife satisfactory workmanship and color are very good! Inside is velvet")</f>
        <v>Wife satisfactory workmanship and color are very good! Inside is velvet</v>
      </c>
    </row>
    <row r="4880">
      <c r="A4880" s="1">
        <v>5.0</v>
      </c>
      <c r="B4880" s="1" t="s">
        <v>4861</v>
      </c>
      <c r="C4880" t="str">
        <f>IFERROR(__xludf.DUMMYFUNCTION("GOOGLETRANSLATE(B4880, ""zh"", ""en"")"),"US Skip Hop Zoo cute cutlery fork and spoon - very cute like a good shark is a strong point short")</f>
        <v>US Skip Hop Zoo cute cutlery fork and spoon - very cute like a good shark is a strong point short</v>
      </c>
    </row>
    <row r="4881">
      <c r="A4881" s="1">
        <v>5.0</v>
      </c>
      <c r="B4881" s="1" t="s">
        <v>4862</v>
      </c>
      <c r="C4881" t="str">
        <f>IFERROR(__xludf.DUMMYFUNCTION("GOOGLETRANSLATE(B4881, ""zh"", ""en"")"),"Inexpensive, affordable, helium disk, although slow down, but speed is not slow")</f>
        <v>Inexpensive, affordable, helium disk, although slow down, but speed is not slow</v>
      </c>
    </row>
    <row r="4882">
      <c r="A4882" s="1">
        <v>5.0</v>
      </c>
      <c r="B4882" s="1" t="s">
        <v>4863</v>
      </c>
      <c r="C4882" t="str">
        <f>IFERROR(__xludf.DUMMYFUNCTION("GOOGLETRANSLATE(B4882, ""zh"", ""en"")"),"Japan Indoor shoes to the children at home to wear indoor shoes children very much and not stuffy feet")</f>
        <v>Japan Indoor shoes to the children at home to wear indoor shoes children very much and not stuffy feet</v>
      </c>
    </row>
    <row r="4883">
      <c r="A4883" s="1">
        <v>5.0</v>
      </c>
      <c r="B4883" s="1" t="s">
        <v>4864</v>
      </c>
      <c r="C4883" t="str">
        <f>IFERROR(__xludf.DUMMYFUNCTION("GOOGLETRANSLATE(B4883, ""zh"", ""en"")"),"For me, the price is not high, I do not know whether I use them special fee, or something, anyway, less than a month on the deformation")</f>
        <v>For me, the price is not high, I do not know whether I use them special fee, or something, anyway, less than a month on the deformation</v>
      </c>
    </row>
    <row r="4884">
      <c r="A4884" s="1">
        <v>5.0</v>
      </c>
      <c r="B4884" s="1" t="s">
        <v>4865</v>
      </c>
      <c r="C4884" t="str">
        <f>IFERROR(__xludf.DUMMYFUNCTION("GOOGLETRANSLATE(B4884, ""zh"", ""en"")"),"Philips had this really bad start with cheap electric toothbrush, or smaller than, the use of feeling is very good, ten less than a wash my dental calculus, I think it sounds better than the small European music at home, in addition to the other did not s"&amp;"end glass are very good, for the first time to find a charger for a long time to find, after finding found that technology is really black. I fell in love with brushing")</f>
        <v>Philips had this really bad start with cheap electric toothbrush, or smaller than, the use of feeling is very good, ten less than a wash my dental calculus, I think it sounds better than the small European music at home, in addition to the other did not send glass are very good, for the first time to find a charger for a long time to find, after finding found that technology is really black. I fell in love with brushing</v>
      </c>
    </row>
    <row r="4885">
      <c r="A4885" s="1">
        <v>5.0</v>
      </c>
      <c r="B4885" s="1" t="s">
        <v>4866</v>
      </c>
      <c r="C4885" t="str">
        <f>IFERROR(__xludf.DUMMYFUNCTION("GOOGLETRANSLATE(B4885, ""zh"", ""en"")"),"Good-looking appearance control will enter, but my mom how like a dog bowl ~ ~ ~ ~ ha ha ha!")</f>
        <v>Good-looking appearance control will enter, but my mom how like a dog bowl ~ ~ ~ ~ ha ha ha!</v>
      </c>
    </row>
    <row r="4886">
      <c r="A4886" s="1">
        <v>5.0</v>
      </c>
      <c r="B4886" s="1" t="s">
        <v>4867</v>
      </c>
      <c r="C4886" t="str">
        <f>IFERROR(__xludf.DUMMYFUNCTION("GOOGLETRANSLATE(B4886, ""zh"", ""en"")"),"Quality comfortable")</f>
        <v>Quality comfortable</v>
      </c>
    </row>
    <row r="4887">
      <c r="A4887" s="1">
        <v>5.0</v>
      </c>
      <c r="B4887" s="1" t="s">
        <v>4868</v>
      </c>
      <c r="C4887" t="str">
        <f>IFERROR(__xludf.DUMMYFUNCTION("GOOGLETRANSLATE(B4887, ""zh"", ""en"")"),"Domestic large price difference a good deal clothes of good quality, is genuine, Champion.us sea Amoy a lot of trouble, too lazy to wash themselves, and it is convenient to use overseas purchase")</f>
        <v>Domestic large price difference a good deal clothes of good quality, is genuine, Champion.us sea Amoy a lot of trouble, too lazy to wash themselves, and it is convenient to use overseas purchase</v>
      </c>
    </row>
    <row r="4888">
      <c r="A4888" s="1">
        <v>5.0</v>
      </c>
      <c r="B4888" s="1" t="s">
        <v>4869</v>
      </c>
      <c r="C4888" t="str">
        <f>IFERROR(__xludf.DUMMYFUNCTION("GOOGLETRANSLATE(B4888, ""zh"", ""en"")"),"Value for money received value for money, 173,146 kg body number L")</f>
        <v>Value for money received value for money, 173,146 kg body number L</v>
      </c>
    </row>
    <row r="4889">
      <c r="A4889" s="1">
        <v>5.0</v>
      </c>
      <c r="B4889" s="1" t="s">
        <v>4870</v>
      </c>
      <c r="C4889" t="str">
        <f>IFERROR(__xludf.DUMMYFUNCTION("GOOGLETRANSLATE(B4889, ""zh"", ""en"")"),"Good use, comfortable texture, awesome, reasonable length")</f>
        <v>Good use, comfortable texture, awesome, reasonable length</v>
      </c>
    </row>
    <row r="4890">
      <c r="A4890" s="1">
        <v>5.0</v>
      </c>
      <c r="B4890" s="1" t="s">
        <v>4871</v>
      </c>
      <c r="C4890" t="str">
        <f>IFERROR(__xludf.DUMMYFUNCTION("GOOGLETRANSLATE(B4890, ""zh"", ""en"")"),"Pelikan M215 satisfied with reasonable price would be better to send a pencil cases")</f>
        <v>Pelikan M215 satisfied with reasonable price would be better to send a pencil cases</v>
      </c>
    </row>
    <row r="4891">
      <c r="A4891" s="1">
        <v>5.0</v>
      </c>
      <c r="B4891" s="1" t="s">
        <v>4872</v>
      </c>
      <c r="C4891" t="str">
        <f>IFERROR(__xludf.DUMMYFUNCTION("GOOGLETRANSLATE(B4891, ""zh"", ""en"")"),"Very comfortable I usually wear m, m is the number I bought, but it feels xs on the line, this number is too large clothes")</f>
        <v>Very comfortable I usually wear m, m is the number I bought, but it feels xs on the line, this number is too large clothes</v>
      </c>
    </row>
    <row r="4892">
      <c r="A4892" s="1">
        <v>5.0</v>
      </c>
      <c r="B4892" s="1" t="s">
        <v>4873</v>
      </c>
      <c r="C4892" t="str">
        <f>IFERROR(__xludf.DUMMYFUNCTION("GOOGLETRANSLATE(B4892, ""zh"", ""en"")"),"Attractive value is the color sense, the light is very moist.")</f>
        <v>Attractive value is the color sense, the light is very moist.</v>
      </c>
    </row>
    <row r="4893">
      <c r="A4893" s="1">
        <v>5.0</v>
      </c>
      <c r="B4893" s="1" t="s">
        <v>4874</v>
      </c>
      <c r="C4893" t="str">
        <f>IFERROR(__xludf.DUMMYFUNCTION("GOOGLETRANSLATE(B4893, ""zh"", ""en"")"),"Oh well 184/88 kg, just wear L, the upper body good")</f>
        <v>Oh well 184/88 kg, just wear L, the upper body good</v>
      </c>
    </row>
    <row r="4894">
      <c r="A4894" s="1">
        <v>5.0</v>
      </c>
      <c r="B4894" s="1" t="s">
        <v>4875</v>
      </c>
      <c r="C4894" t="str">
        <f>IFERROR(__xludf.DUMMYFUNCTION("GOOGLETRANSLATE(B4894, ""zh"", ""en"")"),"Slim actually not very pretty fit, but still slightly as some loose Slim models W31, W32 I usually wear standard models ah. Quality Fortunately, that is color color, no pictures look good.")</f>
        <v>Slim actually not very pretty fit, but still slightly as some loose Slim models W31, W32 I usually wear standard models ah. Quality Fortunately, that is color color, no pictures look good.</v>
      </c>
    </row>
    <row r="4895">
      <c r="A4895" s="1">
        <v>5.0</v>
      </c>
      <c r="B4895" s="1" t="s">
        <v>4876</v>
      </c>
      <c r="C4895" t="str">
        <f>IFERROR(__xludf.DUMMYFUNCTION("GOOGLETRANSLATE(B4895, ""zh"", ""en"")"),"Burning out of the water there is very easy to install the scale, but burn out of the water, floating above a layer of white, look carefully, there are also floating white water, personal feeling, water quality problems, the filter of the filter is not en"&amp;"ough")</f>
        <v>Burning out of the water there is very easy to install the scale, but burn out of the water, floating above a layer of white, look carefully, there are also floating white water, personal feeling, water quality problems, the filter of the filter is not enough</v>
      </c>
    </row>
    <row r="4896">
      <c r="A4896" s="1">
        <v>5.0</v>
      </c>
      <c r="B4896" s="1" t="s">
        <v>4877</v>
      </c>
      <c r="C4896" t="str">
        <f>IFERROR(__xludf.DUMMYFUNCTION("GOOGLETRANSLATE(B4896, ""zh"", ""en"")"),"Ha ha has been to buy this brand of liked")</f>
        <v>Ha ha has been to buy this brand of liked</v>
      </c>
    </row>
    <row r="4897">
      <c r="A4897" s="1">
        <v>5.0</v>
      </c>
      <c r="B4897" s="1" t="s">
        <v>4878</v>
      </c>
      <c r="C4897" t="str">
        <f>IFERROR(__xludf.DUMMYFUNCTION("GOOGLETRANSLATE(B4897, ""zh"", ""en"")"),"Good fast logistics, the products are very good, hope and durable.")</f>
        <v>Good fast logistics, the products are very good, hope and durable.</v>
      </c>
    </row>
    <row r="4898">
      <c r="A4898" s="1">
        <v>5.0</v>
      </c>
      <c r="B4898" s="1" t="s">
        <v>4879</v>
      </c>
      <c r="C4898" t="str">
        <f>IFERROR(__xludf.DUMMYFUNCTION("GOOGLETRANSLATE(B4898, ""zh"", ""en"")"),"Good things to share once bought two, little is made in China, Vietnam is a big production, which in fact do not have too tangled production, domestic quality is also very strong, the previous 480 school children drink endless also do not throw heat , thi"&amp;"s time just to take advantage of the discount another 360 series dream gravity and light and easy to use, Amazon even counter a discount off the shelf, why the country to sell it so expensive")</f>
        <v>Good things to share once bought two, little is made in China, Vietnam is a big production, which in fact do not have too tangled production, domestic quality is also very strong, the previous 480 school children drink endless also do not throw heat , this time just to take advantage of the discount another 360 series dream gravity and light and easy to use, Amazon even counter a discount off the shelf, why the country to sell it so expensive</v>
      </c>
    </row>
    <row r="4899">
      <c r="A4899" s="1">
        <v>2.0</v>
      </c>
      <c r="B4899" s="1" t="s">
        <v>4880</v>
      </c>
      <c r="C4899" t="str">
        <f>IFERROR(__xludf.DUMMYFUNCTION("GOOGLETRANSLATE(B4899, ""zh"", ""en"")"),"Smell bought a 34, the arrival time is spread out, do not know why there are shares of smell. No. 36 to buy, the arrival is rolled up, open to no taste.")</f>
        <v>Smell bought a 34, the arrival time is spread out, do not know why there are shares of smell. No. 36 to buy, the arrival is rolled up, open to no taste.</v>
      </c>
    </row>
    <row r="4900">
      <c r="A4900" s="1">
        <v>3.0</v>
      </c>
      <c r="B4900" s="1" t="s">
        <v>4881</v>
      </c>
      <c r="C4900" t="str">
        <f>IFERROR(__xludf.DUMMYFUNCTION("GOOGLETRANSLATE(B4900, ""zh"", ""en"")"),"Although the voltage is too heavy a hairdryer in the country only to 1700W, but has been good enough, but it is too heavy, the home is really very reluctantly. Useless with head, plus the more impossible their blowing head.")</f>
        <v>Although the voltage is too heavy a hairdryer in the country only to 1700W, but has been good enough, but it is too heavy, the home is really very reluctantly. Useless with head, plus the more impossible their blowing head.</v>
      </c>
    </row>
    <row r="4901">
      <c r="A4901" s="1">
        <v>3.0</v>
      </c>
      <c r="B4901" s="1" t="s">
        <v>4882</v>
      </c>
      <c r="C4901" t="str">
        <f>IFERROR(__xludf.DUMMYFUNCTION("GOOGLETRANSLATE(B4901, ""zh"", ""en"")"),"Very easy to use after-feel, measuring the number of times 2 is slightly different than a single phone interface.")</f>
        <v>Very easy to use after-feel, measuring the number of times 2 is slightly different than a single phone interface.</v>
      </c>
    </row>
    <row r="4902">
      <c r="A4902" s="1">
        <v>1.0</v>
      </c>
      <c r="B4902" s="1" t="s">
        <v>4883</v>
      </c>
      <c r="C4902" t="str">
        <f>IFERROR(__xludf.DUMMYFUNCTION("GOOGLETRANSLATE(B4902, ""zh"", ""en"")"),"Quickly refund watch has retired, because, as the gap with the introduction of pictures, No. 28 November to retire do not give me a refund now returned to hit a few times in customer service and so on always said, I ask to wait until Shashi Hou?")</f>
        <v>Quickly refund watch has retired, because, as the gap with the introduction of pictures, No. 28 November to retire do not give me a refund now returned to hit a few times in customer service and so on always said, I ask to wait until Shashi Hou?</v>
      </c>
    </row>
    <row r="4903">
      <c r="A4903" s="1">
        <v>1.0</v>
      </c>
      <c r="B4903" s="1" t="s">
        <v>4884</v>
      </c>
      <c r="C4903" t="str">
        <f>IFERROR(__xludf.DUMMYFUNCTION("GOOGLETRANSLATE(B4903, ""zh"", ""en"")"),"I've used it quite good before I used to have the same one. He was later stolen. But the table sad ah well, the Japanese original movement quite accurate price is not very good with better maintenance of high")</f>
        <v>I've used it quite good before I used to have the same one. He was later stolen. But the table sad ah well, the Japanese original movement quite accurate price is not very good with better maintenance of high</v>
      </c>
    </row>
    <row r="4904">
      <c r="A4904" s="1">
        <v>4.0</v>
      </c>
      <c r="B4904" s="1" t="s">
        <v>4885</v>
      </c>
      <c r="C4904" t="str">
        <f>IFERROR(__xludf.DUMMYFUNCTION("GOOGLETRANSLATE(B4904, ""zh"", ""en"")"),"Yes style style is good, but the material and thin.")</f>
        <v>Yes style style is good, but the material and thin.</v>
      </c>
    </row>
    <row r="4905">
      <c r="A4905" s="1">
        <v>4.0</v>
      </c>
      <c r="B4905" s="1" t="s">
        <v>4886</v>
      </c>
      <c r="C4905" t="str">
        <f>IFERROR(__xludf.DUMMYFUNCTION("GOOGLETRANSLATE(B4905, ""zh"", ""en"")"),"Received a large crack just received, full of joy to use, we found a large coin crack! Outside carton packaging is a bag over, no wonder to be crushed, so sad, Amazon's sale is good, full tax returns gave up!")</f>
        <v>Received a large crack just received, full of joy to use, we found a large coin crack! Outside carton packaging is a bag over, no wonder to be crushed, so sad, Amazon's sale is good, full tax returns gave up!</v>
      </c>
    </row>
    <row r="4906">
      <c r="A4906" s="1">
        <v>4.0</v>
      </c>
      <c r="B4906" s="1" t="s">
        <v>4887</v>
      </c>
      <c r="C4906" t="str">
        <f>IFERROR(__xludf.DUMMYFUNCTION("GOOGLETRANSLATE(B4906, ""zh"", ""en"")"),"Fair cup good deal, more than 60, although the cap and bottle are not the same color, can accept, use can be, after all, is the glass, in addition to the removal of the bottom adhesive paper Compare products do not meet the style (laborious and time-consu"&amp;"ming to remove sticker )")</f>
        <v>Fair cup good deal, more than 60, although the cap and bottle are not the same color, can accept, use can be, after all, is the glass, in addition to the removal of the bottom adhesive paper Compare products do not meet the style (laborious and time-consuming to remove sticker )</v>
      </c>
    </row>
    <row r="4907">
      <c r="A4907" s="1">
        <v>4.0</v>
      </c>
      <c r="B4907" s="1" t="s">
        <v>4888</v>
      </c>
      <c r="C4907" t="str">
        <f>IFERROR(__xludf.DUMMYFUNCTION("GOOGLETRANSLATE(B4907, ""zh"", ""en"")"),"Fortunately, just received, made in China, do not know the design or material reasons, feel a little uncomfortable wearing a bracelet")</f>
        <v>Fortunately, just received, made in China, do not know the design or material reasons, feel a little uncomfortable wearing a bracelet</v>
      </c>
    </row>
    <row r="4908">
      <c r="A4908" s="1">
        <v>4.0</v>
      </c>
      <c r="B4908" s="1" t="s">
        <v>4889</v>
      </c>
      <c r="C4908" t="str">
        <f>IFERROR(__xludf.DUMMYFUNCTION("GOOGLETRANSLATE(B4908, ""zh"", ""en"")"),"Price adjustment too fast good shoes, usually wear 44, the 44 little too big, that is, the morning shoot in the afternoon to drop the price more than 50, there is no price protection, can only make another rejection, Amazon hopes to improve.")</f>
        <v>Price adjustment too fast good shoes, usually wear 44, the 44 little too big, that is, the morning shoot in the afternoon to drop the price more than 50, there is no price protection, can only make another rejection, Amazon hopes to improve.</v>
      </c>
    </row>
    <row r="4909">
      <c r="A4909" s="1">
        <v>5.0</v>
      </c>
      <c r="B4909" s="1" t="s">
        <v>4890</v>
      </c>
      <c r="C4909" t="str">
        <f>IFERROR(__xludf.DUMMYFUNCTION("GOOGLETRANSLATE(B4909, ""zh"", ""en"")"),"Good wear shoes usually between 36 to 37 feet wide. The right size. Wear to Hokkaido. Do not step on a little water in the snow. Warm and not particularly strong. But do not stay long-term fixed no problem")</f>
        <v>Good wear shoes usually between 36 to 37 feet wide. The right size. Wear to Hokkaido. Do not step on a little water in the snow. Warm and not particularly strong. But do not stay long-term fixed no problem</v>
      </c>
    </row>
    <row r="4910">
      <c r="A4910" s="1">
        <v>5.0</v>
      </c>
      <c r="B4910" s="1" t="s">
        <v>4891</v>
      </c>
      <c r="C4910" t="str">
        <f>IFERROR(__xludf.DUMMYFUNCTION("GOOGLETRANSLATE(B4910, ""zh"", ""en"")"),"Good goods either as a shirt, but also can be used as coat")</f>
        <v>Good goods either as a shirt, but also can be used as coat</v>
      </c>
    </row>
    <row r="4911">
      <c r="A4911" s="1">
        <v>5.0</v>
      </c>
      <c r="B4911" s="1" t="s">
        <v>4892</v>
      </c>
      <c r="C4911" t="str">
        <f>IFERROR(__xludf.DUMMYFUNCTION("GOOGLETRANSLATE(B4911, ""zh"", ""en"")"),"Very comfortable to wear very comfortable to wear, just buy a big point")</f>
        <v>Very comfortable to wear very comfortable to wear, just buy a big point</v>
      </c>
    </row>
    <row r="4912">
      <c r="A4912" s="1">
        <v>5.0</v>
      </c>
      <c r="B4912" s="1" t="s">
        <v>4893</v>
      </c>
      <c r="C4912" t="str">
        <f>IFERROR(__xludf.DUMMYFUNCTION("GOOGLETRANSLATE(B4912, ""zh"", ""en"")"),"Good stocking, the nipple is always good")</f>
        <v>Good stocking, the nipple is always good</v>
      </c>
    </row>
    <row r="4913">
      <c r="A4913" s="1">
        <v>5.0</v>
      </c>
      <c r="B4913" s="1" t="s">
        <v>4894</v>
      </c>
      <c r="C4913" t="str">
        <f>IFERROR(__xludf.DUMMYFUNCTION("GOOGLETRANSLATE(B4913, ""zh"", ""en"")"),"Good very satisfied with online shopping.")</f>
        <v>Good very satisfied with online shopping.</v>
      </c>
    </row>
    <row r="4914">
      <c r="A4914" s="1">
        <v>5.0</v>
      </c>
      <c r="B4914" s="1" t="s">
        <v>4895</v>
      </c>
      <c r="C4914" t="str">
        <f>IFERROR(__xludf.DUMMYFUNCTION("GOOGLETRANSLATE(B4914, ""zh"", ""en"")"),"Comfortable to wear, but the color will fade long time will fade, wear good shoes")</f>
        <v>Comfortable to wear, but the color will fade long time will fade, wear good shoes</v>
      </c>
    </row>
    <row r="4915">
      <c r="A4915" s="1">
        <v>5.0</v>
      </c>
      <c r="B4915" s="1" t="s">
        <v>4896</v>
      </c>
      <c r="C4915" t="str">
        <f>IFERROR(__xludf.DUMMYFUNCTION("GOOGLETRANSLATE(B4915, ""zh"", ""en"")"),"Trial report good! Good belt width, wider than the average, close, good elasticity is not easy to curl.")</f>
        <v>Trial report good! Good belt width, wider than the average, close, good elasticity is not easy to curl.</v>
      </c>
    </row>
    <row r="4916">
      <c r="A4916" s="1">
        <v>5.0</v>
      </c>
      <c r="B4916" s="1" t="s">
        <v>4897</v>
      </c>
      <c r="C4916" t="str">
        <f>IFERROR(__xludf.DUMMYFUNCTION("GOOGLETRANSLATE(B4916, ""zh"", ""en"")"),"Very comfortable pullover've always liked this brand, very comfortable, but also to buy")</f>
        <v>Very comfortable pullover've always liked this brand, very comfortable, but also to buy</v>
      </c>
    </row>
    <row r="4917">
      <c r="A4917" s="1">
        <v>5.0</v>
      </c>
      <c r="B4917" s="1" t="s">
        <v>4898</v>
      </c>
      <c r="C4917" t="str">
        <f>IFERROR(__xludf.DUMMYFUNCTION("GOOGLETRANSLATE(B4917, ""zh"", ""en"")"),"Really small but beautiful country rha abuses rot abuse (broken sound) accidentally found a niche brand online evaluation evaluation but few are surprisingly consistent: small but very pleasant surprise after the United States and indeed the hand workmans"&amp;"hip perfect low-key appearance bass is simply scared to Heaven there are excellent analytical sound field makes one wonder how such a small cavity is done really good noise reduction effect has basically reached the level of a sponge wearing comfort is no"&amp;"t easy for me to fall out just perfect")</f>
        <v>Really small but beautiful country rha abuses rot abuse (broken sound) accidentally found a niche brand online evaluation evaluation but few are surprisingly consistent: small but very pleasant surprise after the United States and indeed the hand workmanship perfect low-key appearance bass is simply scared to Heaven there are excellent analytical sound field makes one wonder how such a small cavity is done really good noise reduction effect has basically reached the level of a sponge wearing comfort is not easy for me to fall out just perfect</v>
      </c>
    </row>
    <row r="4918">
      <c r="A4918" s="1">
        <v>5.0</v>
      </c>
      <c r="B4918" s="1" t="s">
        <v>4899</v>
      </c>
      <c r="C4918" t="str">
        <f>IFERROR(__xludf.DUMMYFUNCTION("GOOGLETRANSLATE(B4918, ""zh"", ""en"")"),"Men wearing women deliberately buy men want to wear loose some of the courier quickly next single was soon received a recommendation bone big tall girl directly elected men it")</f>
        <v>Men wearing women deliberately buy men want to wear loose some of the courier quickly next single was soon received a recommendation bone big tall girl directly elected men it</v>
      </c>
    </row>
    <row r="4919">
      <c r="A4919" s="1">
        <v>5.0</v>
      </c>
      <c r="B4919" s="1" t="s">
        <v>4900</v>
      </c>
      <c r="C4919" t="str">
        <f>IFERROR(__xludf.DUMMYFUNCTION("GOOGLETRANSLATE(B4919, ""zh"", ""en"")"),"Lightweight and cost-effective, convenient and fast")</f>
        <v>Lightweight and cost-effective, convenient and fast</v>
      </c>
    </row>
    <row r="4920">
      <c r="A4920" s="1">
        <v>5.0</v>
      </c>
      <c r="B4920" s="1" t="s">
        <v>4901</v>
      </c>
      <c r="C4920" t="str">
        <f>IFERROR(__xludf.DUMMYFUNCTION("GOOGLETRANSLATE(B4920, ""zh"", ""en"")"),"Good to say prices are very favorable, of German origin, Mayer direct mail, very good. Listen to some time to say. Praise.")</f>
        <v>Good to say prices are very favorable, of German origin, Mayer direct mail, very good. Listen to some time to say. Praise.</v>
      </c>
    </row>
    <row r="4921">
      <c r="A4921" s="1">
        <v>5.0</v>
      </c>
      <c r="B4921" s="1" t="s">
        <v>4902</v>
      </c>
      <c r="C4921" t="str">
        <f>IFERROR(__xludf.DUMMYFUNCTION("GOOGLETRANSLATE(B4921, ""zh"", ""en"")"),"Thermal equipment is necessarily good quality stuff. 170,60kg, the trumpet just. I thought cold weather wear, turned out to be hot equipment.")</f>
        <v>Thermal equipment is necessarily good quality stuff. 170,60kg, the trumpet just. I thought cold weather wear, turned out to be hot equipment.</v>
      </c>
    </row>
    <row r="4922">
      <c r="A4922" s="1">
        <v>5.0</v>
      </c>
      <c r="B4922" s="1" t="s">
        <v>4903</v>
      </c>
      <c r="C4922" t="str">
        <f>IFERROR(__xludf.DUMMYFUNCTION("GOOGLETRANSLATE(B4922, ""zh"", ""en"")"),"Good results enhanced resistance")</f>
        <v>Good results enhanced resistance</v>
      </c>
    </row>
    <row r="4923">
      <c r="A4923" s="1">
        <v>5.0</v>
      </c>
      <c r="B4923" s="1" t="s">
        <v>4904</v>
      </c>
      <c r="C4923" t="str">
        <f>IFERROR(__xludf.DUMMYFUNCTION("GOOGLETRANSLATE(B4923, ""zh"", ""en"")"),"Buy cheaper than the domestic half shipped quickly, before the buy overseas saw, plus tariff price is almost, but this discount as well as full reduction, offers more than 180, still very affordable. Receipt found work very fine, just think a big heart, o"&amp;"pen the table box watch shake on the inside, there is no surface film, but fortunately no signs of wear flowers. When her husband to buy a gift, really like.")</f>
        <v>Buy cheaper than the domestic half shipped quickly, before the buy overseas saw, plus tariff price is almost, but this discount as well as full reduction, offers more than 180, still very affordable. Receipt found work very fine, just think a big heart, open the table box watch shake on the inside, there is no surface film, but fortunately no signs of wear flowers. When her husband to buy a gift, really like.</v>
      </c>
    </row>
    <row r="4924">
      <c r="A4924" s="1">
        <v>5.0</v>
      </c>
      <c r="B4924" s="1" t="s">
        <v>4905</v>
      </c>
      <c r="C4924" t="str">
        <f>IFERROR(__xludf.DUMMYFUNCTION("GOOGLETRANSLATE(B4924, ""zh"", ""en"")"),"Very, very good, packaging very carefully, there is no possibility of shaking")</f>
        <v>Very, very good, packaging very carefully, there is no possibility of shaking</v>
      </c>
    </row>
    <row r="4925">
      <c r="A4925" s="1">
        <v>5.0</v>
      </c>
      <c r="B4925" s="1" t="s">
        <v>4906</v>
      </c>
      <c r="C4925" t="str">
        <f>IFERROR(__xludf.DUMMYFUNCTION("GOOGLETRANSLATE(B4925, ""zh"", ""en"")"),"Beautiful, cost-wife love, hand less than 700, sports shoes to wear 40, 39 shoes just for your reference, shoe last is very narrow, not suitable for fat legs, very good quality, the price, the same price spike all domestic")</f>
        <v>Beautiful, cost-wife love, hand less than 700, sports shoes to wear 40, 39 shoes just for your reference, shoe last is very narrow, not suitable for fat legs, very good quality, the price, the same price spike all domestic</v>
      </c>
    </row>
    <row r="4926">
      <c r="A4926" s="1">
        <v>5.0</v>
      </c>
      <c r="B4926" s="1" t="s">
        <v>4907</v>
      </c>
      <c r="C4926" t="str">
        <f>IFERROR(__xludf.DUMMYFUNCTION("GOOGLETRANSLATE(B4926, ""zh"", ""en"")"),"Value for money, super-fast 10.4 No. 8 orders received ,, did not expect so soon, the hard drive is no problem, the warranty is only up to 19 January, scouring the sea but it does not matter")</f>
        <v>Value for money, super-fast 10.4 No. 8 orders received ,, did not expect so soon, the hard drive is no problem, the warranty is only up to 19 January, scouring the sea but it does not matter</v>
      </c>
    </row>
    <row r="4927">
      <c r="A4927" s="1">
        <v>5.0</v>
      </c>
      <c r="B4927" s="1" t="s">
        <v>4908</v>
      </c>
      <c r="C4927" t="str">
        <f>IFERROR(__xludf.DUMMYFUNCTION("GOOGLETRANSLATE(B4927, ""zh"", ""en"")"),"Good fluoride toothpaste particularly good, has been using this brand of toothpaste, overseas purchase soon!")</f>
        <v>Good fluoride toothpaste particularly good, has been using this brand of toothpaste, overseas purchase soon!</v>
      </c>
    </row>
    <row r="4928">
      <c r="A4928" s="1">
        <v>5.0</v>
      </c>
      <c r="B4928" s="1" t="s">
        <v>4909</v>
      </c>
      <c r="C4928" t="str">
        <f>IFERROR(__xludf.DUMMYFUNCTION("GOOGLETRANSLATE(B4928, ""zh"", ""en"")"),"Not bad, made in Japan, very good quality")</f>
        <v>Not bad, made in Japan, very good quality</v>
      </c>
    </row>
    <row r="4929">
      <c r="A4929" s="1">
        <v>5.0</v>
      </c>
      <c r="B4929" s="1" t="s">
        <v>4910</v>
      </c>
      <c r="C4929" t="str">
        <f>IFERROR(__xludf.DUMMYFUNCTION("GOOGLETRANSLATE(B4929, ""zh"", ""en"")"),"Although it is not used once after work but it is a good product, rinse the tooth family is still very convenient. I hope next time do not buy a strike, take me red teeth.")</f>
        <v>Although it is not used once after work but it is a good product, rinse the tooth family is still very convenient. I hope next time do not buy a strike, take me red teeth.</v>
      </c>
    </row>
    <row r="4930">
      <c r="A4930" s="1">
        <v>5.0</v>
      </c>
      <c r="B4930" s="1" t="s">
        <v>4911</v>
      </c>
      <c r="C4930" t="str">
        <f>IFERROR(__xludf.DUMMYFUNCTION("GOOGLETRANSLATE(B4930, ""zh"", ""en"")"),"Adapt to a variety of occasions ecco shoes always loved sports, casual, dress is very fit.")</f>
        <v>Adapt to a variety of occasions ecco shoes always loved sports, casual, dress is very fit.</v>
      </c>
    </row>
    <row r="4931">
      <c r="A4931" s="1">
        <v>2.0</v>
      </c>
      <c r="B4931" s="1" t="s">
        <v>4912</v>
      </c>
      <c r="C4931" t="str">
        <f>IFERROR(__xludf.DUMMYFUNCTION("GOOGLETRANSLATE(B4931, ""zh"", ""en"")"),"Photo is being misled that the collar can be turned down or turned flat, only to be stand-up collar and can not be turned down or turned flat collar, and this dress lapel principles will be in the end of serious discrepancies. I want to return it, postage"&amp;" doing uneconomical, but to give it away")</f>
        <v>Photo is being misled that the collar can be turned down or turned flat, only to be stand-up collar and can not be turned down or turned flat collar, and this dress lapel principles will be in the end of serious discrepancies. I want to return it, postage doing uneconomical, but to give it away</v>
      </c>
    </row>
    <row r="4932">
      <c r="A4932" s="1">
        <v>3.0</v>
      </c>
      <c r="B4932" s="1" t="s">
        <v>4913</v>
      </c>
      <c r="C4932" t="str">
        <f>IFERROR(__xludf.DUMMYFUNCTION("GOOGLETRANSLATE(B4932, ""zh"", ""en"")"),"Super-stick pan, stew not fast super-stick pan, fry eggs can paste a pot! ! ! Can only be used to stew, beef stew was one hour, and a little hard, do Scallion chicken, whole chicken into them, after 1 hour chicken with the blood, not the legendary 40 minu"&amp;"tes so fast! When my ancestors for the day, oil brush brush brush oil oil! But for percussion sound is ringing, I wonder if I'm getting a fake pot! In addition a Mummy pot, also stick pan powerful, very upset! A pot only once fried vegetables, fried finis"&amp;"hed bottom of the pot because you can not use a paste, then hot pot and can not wash! Unhappy people")</f>
        <v>Super-stick pan, stew not fast super-stick pan, fry eggs can paste a pot! ! ! Can only be used to stew, beef stew was one hour, and a little hard, do Scallion chicken, whole chicken into them, after 1 hour chicken with the blood, not the legendary 40 minutes so fast! When my ancestors for the day, oil brush brush brush oil oil! But for percussion sound is ringing, I wonder if I'm getting a fake pot! In addition a Mummy pot, also stick pan powerful, very upset! A pot only once fried vegetables, fried finished bottom of the pot because you can not use a paste, then hot pot and can not wash! Unhappy people</v>
      </c>
    </row>
    <row r="4933">
      <c r="A4933" s="1">
        <v>3.0</v>
      </c>
      <c r="B4933" s="1" t="s">
        <v>4914</v>
      </c>
      <c r="C4933" t="str">
        <f>IFERROR(__xludf.DUMMYFUNCTION("GOOGLETRANSLATE(B4933, ""zh"", ""en"")"),"Quickly absorbed, but it seems no effect quickly absorbed, but it seems no effect")</f>
        <v>Quickly absorbed, but it seems no effect quickly absorbed, but it seems no effect</v>
      </c>
    </row>
    <row r="4934">
      <c r="A4934" s="1">
        <v>1.0</v>
      </c>
      <c r="B4934" s="1" t="s">
        <v>4915</v>
      </c>
      <c r="C4934" t="str">
        <f>IFERROR(__xludf.DUMMYFUNCTION("GOOGLETRANSLATE(B4934, ""zh"", ""en"")"),"Return a great big lot of trouble")</f>
        <v>Return a great big lot of trouble</v>
      </c>
    </row>
    <row r="4935">
      <c r="A4935" s="1">
        <v>1.0</v>
      </c>
      <c r="B4935" s="1" t="s">
        <v>4916</v>
      </c>
      <c r="C4935" t="str">
        <f>IFERROR(__xludf.DUMMYFUNCTION("GOOGLETRANSLATE(B4935, ""zh"", ""en"")"),"Fake fake, we do not buy")</f>
        <v>Fake fake, we do not buy</v>
      </c>
    </row>
    <row r="4936">
      <c r="A4936" s="1">
        <v>1.0</v>
      </c>
      <c r="B4936" s="1" t="s">
        <v>4917</v>
      </c>
      <c r="C4936" t="str">
        <f>IFERROR(__xludf.DUMMYFUNCTION("GOOGLETRANSLATE(B4936, ""zh"", ""en"")"),"Garbage sole is too hard should not really buy carefully")</f>
        <v>Garbage sole is too hard should not really buy carefully</v>
      </c>
    </row>
    <row r="4937">
      <c r="A4937" s="1">
        <v>4.0</v>
      </c>
      <c r="B4937" s="1" t="s">
        <v>4918</v>
      </c>
      <c r="C4937" t="str">
        <f>IFERROR(__xludf.DUMMYFUNCTION("GOOGLETRANSLATE(B4937, ""zh"", ""en"")"),"Something good, very satisfied. Something good, very satisfied.")</f>
        <v>Something good, very satisfied. Something good, very satisfied.</v>
      </c>
    </row>
    <row r="4938">
      <c r="A4938" s="1">
        <v>4.0</v>
      </c>
      <c r="B4938" s="1" t="s">
        <v>4919</v>
      </c>
      <c r="C4938" t="str">
        <f>IFERROR(__xludf.DUMMYFUNCTION("GOOGLETRANSLATE(B4938, ""zh"", ""en"")"),"Taste how a stock plastic taste quite heavy")</f>
        <v>Taste how a stock plastic taste quite heavy</v>
      </c>
    </row>
    <row r="4939">
      <c r="A4939" s="1">
        <v>4.0</v>
      </c>
      <c r="B4939" s="1" t="s">
        <v>4920</v>
      </c>
      <c r="C4939" t="str">
        <f>IFERROR(__xludf.DUMMYFUNCTION("GOOGLETRANSLATE(B4939, ""zh"", ""en"")"),"Feel-good hand, dial the right size, because my hand is fine, so it feels right size, unlike others ... and too little hand moves no one else to put it so exaggerated, his ear to listen to a voice, I'm on the bedside sleeping can be heard ... strap should"&amp;" say a little general, after all, something only a hundred blocks, wearing are not in a circle, feeling side is the straight side is the arc unless tighten close to the wrist, to a round ...")</f>
        <v>Feel-good hand, dial the right size, because my hand is fine, so it feels right size, unlike others ... and too little hand moves no one else to put it so exaggerated, his ear to listen to a voice, I'm on the bedside sleeping can be heard ... strap should say a little general, after all, something only a hundred blocks, wearing are not in a circle, feeling side is the straight side is the arc unless tighten close to the wrist, to a round ...</v>
      </c>
    </row>
    <row r="4940">
      <c r="A4940" s="1">
        <v>4.0</v>
      </c>
      <c r="B4940" s="1" t="s">
        <v>4921</v>
      </c>
      <c r="C4940" t="str">
        <f>IFERROR(__xludf.DUMMYFUNCTION("GOOGLETRANSLATE(B4940, ""zh"", ""en"")"),"More recommended this style to fairly fit, more recommended.")</f>
        <v>More recommended this style to fairly fit, more recommended.</v>
      </c>
    </row>
    <row r="4941">
      <c r="A4941" s="1">
        <v>4.0</v>
      </c>
      <c r="B4941" s="1" t="s">
        <v>4922</v>
      </c>
      <c r="C4941" t="str">
        <f>IFERROR(__xludf.DUMMYFUNCTION("GOOGLETRANSLATE(B4941, ""zh"", ""en"")"),"The right size shoe soles are hard, but fairly good-looking")</f>
        <v>The right size shoe soles are hard, but fairly good-looking</v>
      </c>
    </row>
    <row r="4942">
      <c r="A4942" s="1">
        <v>5.0</v>
      </c>
      <c r="B4942" s="1" t="s">
        <v>4923</v>
      </c>
      <c r="C4942" t="str">
        <f>IFERROR(__xludf.DUMMYFUNCTION("GOOGLETRANSLATE(B4942, ""zh"", ""en"")"),"This title is a need to own table and I bought together so a friend said he was satisfied like slightly, but I feel this is smaller than I am ....")</f>
        <v>This title is a need to own table and I bought together so a friend said he was satisfied like slightly, but I feel this is smaller than I am ....</v>
      </c>
    </row>
    <row r="4943">
      <c r="A4943" s="1">
        <v>5.0</v>
      </c>
      <c r="B4943" s="1" t="s">
        <v>4924</v>
      </c>
      <c r="C4943" t="str">
        <f>IFERROR(__xludf.DUMMYFUNCTION("GOOGLETRANSLATE(B4943, ""zh"", ""en"")"),"Zojirushi mug to buy a second, very insulation! very light! Color is also a sweet!")</f>
        <v>Zojirushi mug to buy a second, very insulation! very light! Color is also a sweet!</v>
      </c>
    </row>
    <row r="4944">
      <c r="A4944" s="1">
        <v>5.0</v>
      </c>
      <c r="B4944" s="1" t="s">
        <v>4925</v>
      </c>
      <c r="C4944" t="str">
        <f>IFERROR(__xludf.DUMMYFUNCTION("GOOGLETRANSLATE(B4944, ""zh"", ""en"")"),"goood cool")</f>
        <v>goood cool</v>
      </c>
    </row>
    <row r="4945">
      <c r="A4945" s="1">
        <v>5.0</v>
      </c>
      <c r="B4945" s="1" t="s">
        <v>4926</v>
      </c>
      <c r="C4945" t="str">
        <f>IFERROR(__xludf.DUMMYFUNCTION("GOOGLETRANSLATE(B4945, ""zh"", ""en"")"),"Configuration is very practical, the price is too good 150 Raindance hand shower water volume, select several models with a good sense of design Thermostat of science and technology is very fashion sense, but also when using the racks, key price is too go"&amp;"od high cost")</f>
        <v>Configuration is very practical, the price is too good 150 Raindance hand shower water volume, select several models with a good sense of design Thermostat of science and technology is very fashion sense, but also when using the racks, key price is too good high cost</v>
      </c>
    </row>
    <row r="4946">
      <c r="A4946" s="1">
        <v>5.0</v>
      </c>
      <c r="B4946" s="1" t="s">
        <v>4927</v>
      </c>
      <c r="C4946" t="str">
        <f>IFERROR(__xludf.DUMMYFUNCTION("GOOGLETRANSLATE(B4946, ""zh"", ""en"")"),"Water floss good, very light volume, with several brush, compared Lynx half the price, good")</f>
        <v>Water floss good, very light volume, with several brush, compared Lynx half the price, good</v>
      </c>
    </row>
    <row r="4947">
      <c r="A4947" s="1">
        <v>5.0</v>
      </c>
      <c r="B4947" s="1" t="s">
        <v>4928</v>
      </c>
      <c r="C4947" t="str">
        <f>IFERROR(__xludf.DUMMYFUNCTION("GOOGLETRANSLATE(B4947, ""zh"", ""en"")"),"General appearance, not the picture look good to help my sister to buy, she said very warm")</f>
        <v>General appearance, not the picture look good to help my sister to buy, she said very warm</v>
      </c>
    </row>
    <row r="4948">
      <c r="A4948" s="1">
        <v>5.0</v>
      </c>
      <c r="B4948" s="1" t="s">
        <v>4929</v>
      </c>
      <c r="C4948" t="str">
        <f>IFERROR(__xludf.DUMMYFUNCTION("GOOGLETRANSLATE(B4948, ""zh"", ""en"")"),"After the orders were satisfied six days arrived, logistics speed very satisfied. No instructions in Chinese, try to add a device with a US version of the omron connect, automatic pairing fails. Successful pairing with the Chinese version of Omron notes. "&amp;"Choose another device pairing, then select EVOLV. One thing not accustomed to the beginning of the measurement, the average blood pressure monitor is then slowly pressurized to a high pressure relief, pressure relief measure. And this model is just beginn"&amp;"ing to measure the pressure in the process, after the completion of the measurement instant relief.")</f>
        <v>After the orders were satisfied six days arrived, logistics speed very satisfied. No instructions in Chinese, try to add a device with a US version of the omron connect, automatic pairing fails. Successful pairing with the Chinese version of Omron notes. Choose another device pairing, then select EVOLV. One thing not accustomed to the beginning of the measurement, the average blood pressure monitor is then slowly pressurized to a high pressure relief, pressure relief measure. And this model is just beginning to measure the pressure in the process, after the completion of the measurement instant relief.</v>
      </c>
    </row>
    <row r="4949">
      <c r="A4949" s="1">
        <v>5.0</v>
      </c>
      <c r="B4949" s="1" t="s">
        <v>4930</v>
      </c>
      <c r="C4949" t="str">
        <f>IFERROR(__xludf.DUMMYFUNCTION("GOOGLETRANSLATE(B4949, ""zh"", ""en"")"),"Made in China Made in China show. Shipped from Germany. Sound quality is good.")</f>
        <v>Made in China Made in China show. Shipped from Germany. Sound quality is good.</v>
      </c>
    </row>
    <row r="4950">
      <c r="A4950" s="1">
        <v>5.0</v>
      </c>
      <c r="B4950" s="1" t="s">
        <v>4931</v>
      </c>
      <c r="C4950" t="str">
        <f>IFERROR(__xludf.DUMMYFUNCTION("GOOGLETRANSLATE(B4950, ""zh"", ""en"")"),"Quality shoes can be tried, well, not often wear, feel the quality can be.")</f>
        <v>Quality shoes can be tried, well, not often wear, feel the quality can be.</v>
      </c>
    </row>
    <row r="4951">
      <c r="A4951" s="1">
        <v>5.0</v>
      </c>
      <c r="B4951" s="1" t="s">
        <v>4932</v>
      </c>
      <c r="C4951" t="str">
        <f>IFERROR(__xludf.DUMMYFUNCTION("GOOGLETRANSLATE(B4951, ""zh"", ""en"")"),"Require a specialized power converters read other people say the country can be used directly to buy, and buy later has been placed today was opened for use. Only to find that simply can not be directly used! Domestic plug socket can indeed, but that simp"&amp;"ly would not have inserted the ground! ! ! No earth leakage, then you will get a shock! ! ! ! In the country to find a circle, are transferred abroad with German standard, he said Germany did not consider the subject of transit countries. Only one has a t"&amp;"reasure for fear of poor quality, did not dare to buy. Germany now only buy a converter to China to overseas! ! !")</f>
        <v>Require a specialized power converters read other people say the country can be used directly to buy, and buy later has been placed today was opened for use. Only to find that simply can not be directly used! Domestic plug socket can indeed, but that simply would not have inserted the ground! ! ! No earth leakage, then you will get a shock! ! ! ! In the country to find a circle, are transferred abroad with German standard, he said Germany did not consider the subject of transit countries. Only one has a treasure for fear of poor quality, did not dare to buy. Germany now only buy a converter to China to overseas! ! !</v>
      </c>
    </row>
    <row r="4952">
      <c r="A4952" s="1">
        <v>5.0</v>
      </c>
      <c r="B4952" s="1" t="s">
        <v>4933</v>
      </c>
      <c r="C4952" t="str">
        <f>IFERROR(__xludf.DUMMYFUNCTION("GOOGLETRANSLATE(B4952, ""zh"", ""en"")"),"Casual Pei-ling good better than the nike and so on, a bit sticky hair")</f>
        <v>Casual Pei-ling good better than the nike and so on, a bit sticky hair</v>
      </c>
    </row>
    <row r="4953">
      <c r="A4953" s="1">
        <v>5.0</v>
      </c>
      <c r="B4953" s="1" t="s">
        <v>4934</v>
      </c>
      <c r="C4953" t="str">
        <f>IFERROR(__xludf.DUMMYFUNCTION("GOOGLETRANSLATE(B4953, ""zh"", ""en"")"),"Sweater and a huge, fat man wearing my husband's 220 bigger number two, returns too much trouble also expensive, keep it casual Pei-ling, next time you know the size to be careful")</f>
        <v>Sweater and a huge, fat man wearing my husband's 220 bigger number two, returns too much trouble also expensive, keep it casual Pei-ling, next time you know the size to be careful</v>
      </c>
    </row>
    <row r="4954">
      <c r="A4954" s="1">
        <v>5.0</v>
      </c>
      <c r="B4954" s="1" t="s">
        <v>4935</v>
      </c>
      <c r="C4954" t="str">
        <f>IFERROR(__xludf.DUMMYFUNCTION("GOOGLETRANSLATE(B4954, ""zh"", ""en"")"),"Light breathable 172CM, 67.5KG, M code is appropriate. Running comfortable, it is the collar a little high points, but overall very satisfied!")</f>
        <v>Light breathable 172CM, 67.5KG, M code is appropriate. Running comfortable, it is the collar a little high points, but overall very satisfied!</v>
      </c>
    </row>
    <row r="4955">
      <c r="A4955" s="1">
        <v>5.0</v>
      </c>
      <c r="B4955" s="1" t="s">
        <v>4936</v>
      </c>
      <c r="C4955" t="str">
        <f>IFERROR(__xludf.DUMMYFUNCTION("GOOGLETRANSLATE(B4955, ""zh"", ""en"")"),"Standard size before buying consulted, the size is right, that is, legs too long - this is understandable, after all, is based on body foreigners do. Find a tailor to change under enough.")</f>
        <v>Standard size before buying consulted, the size is right, that is, legs too long - this is understandable, after all, is based on body foreigners do. Find a tailor to change under enough.</v>
      </c>
    </row>
    <row r="4956">
      <c r="A4956" s="1">
        <v>5.0</v>
      </c>
      <c r="B4956" s="1" t="s">
        <v>4937</v>
      </c>
      <c r="C4956" t="str">
        <f>IFERROR(__xludf.DUMMYFUNCTION("GOOGLETRANSLATE(B4956, ""zh"", ""en"")"),"Overall very fit, but the sleeves narrow fit, but the narrow sleeves, the shirt inside the jacket, relatively tight, I weight 76Kg, but more sturdy, body fat than the bottom, upper arm thick.")</f>
        <v>Overall very fit, but the sleeves narrow fit, but the narrow sleeves, the shirt inside the jacket, relatively tight, I weight 76Kg, but more sturdy, body fat than the bottom, upper arm thick.</v>
      </c>
    </row>
    <row r="4957">
      <c r="A4957" s="1">
        <v>5.0</v>
      </c>
      <c r="B4957" s="1" t="s">
        <v>4938</v>
      </c>
      <c r="C4957" t="str">
        <f>IFERROR(__xludf.DUMMYFUNCTION("GOOGLETRANSLATE(B4957, ""zh"", ""en"")"),"The domestic and bought the same acclaim. Favorable comment")</f>
        <v>The domestic and bought the same acclaim. Favorable comment</v>
      </c>
    </row>
    <row r="4958">
      <c r="A4958" s="1">
        <v>5.0</v>
      </c>
      <c r="B4958" s="1" t="s">
        <v>4939</v>
      </c>
      <c r="C4958" t="str">
        <f>IFERROR(__xludf.DUMMYFUNCTION("GOOGLETRANSLATE(B4958, ""zh"", ""en"")"),"Hate untimely although I did not buy this stuff ... If I do not burn earlier shelves with upgraded lines ... can buy some more classic cat biting play")</f>
        <v>Hate untimely although I did not buy this stuff ... If I do not burn earlier shelves with upgraded lines ... can buy some more classic cat biting play</v>
      </c>
    </row>
    <row r="4959">
      <c r="A4959" s="1">
        <v>5.0</v>
      </c>
      <c r="B4959" s="1" t="s">
        <v>4940</v>
      </c>
      <c r="C4959" t="str">
        <f>IFERROR(__xludf.DUMMYFUNCTION("GOOGLETRANSLATE(B4959, ""zh"", ""en"")"),"Well worth the high cost of buying good quality size is too large loose version plus velvet models feels very comfortable")</f>
        <v>Well worth the high cost of buying good quality size is too large loose version plus velvet models feels very comfortable</v>
      </c>
    </row>
    <row r="4960">
      <c r="A4960" s="1">
        <v>5.0</v>
      </c>
      <c r="B4960" s="1" t="s">
        <v>4941</v>
      </c>
      <c r="C4960" t="str">
        <f>IFERROR(__xludf.DUMMYFUNCTION("GOOGLETRANSLATE(B4960, ""zh"", ""en"")"),"Dea or a microwave oven from time to time before failure trustworthy, and later decided to buy enough mechanical microwave oven, and select Dea, appears to be the election of the already started, no problem, just do not know where the production, the orig"&amp;"inal estimate origin is China, because China is a printed manual, but the manual Russian, French, German, English did not wait for a lot of Chinese, it seems that it is not sold to China, the quality should be better, I would like to spend a little longer")</f>
        <v>Dea or a microwave oven from time to time before failure trustworthy, and later decided to buy enough mechanical microwave oven, and select Dea, appears to be the election of the already started, no problem, just do not know where the production, the original estimate origin is China, because China is a printed manual, but the manual Russian, French, German, English did not wait for a lot of Chinese, it seems that it is not sold to China, the quality should be better, I would like to spend a little longer</v>
      </c>
    </row>
    <row r="4961">
      <c r="A4961" s="1">
        <v>5.0</v>
      </c>
      <c r="B4961" s="1" t="s">
        <v>4942</v>
      </c>
      <c r="C4961" t="str">
        <f>IFERROR(__xludf.DUMMYFUNCTION("GOOGLETRANSLATE(B4961, ""zh"", ""en"")"),"Genuine Yes, yes.")</f>
        <v>Genuine Yes, yes.</v>
      </c>
    </row>
    <row r="4962">
      <c r="A4962" s="1">
        <v>5.0</v>
      </c>
      <c r="B4962" s="1" t="s">
        <v>4943</v>
      </c>
      <c r="C4962" t="str">
        <f>IFERROR(__xludf.DUMMYFUNCTION("GOOGLETRANSLATE(B4962, ""zh"", ""en"")"),"Calvin Klein Jeans lot cheaper abroad, more than 200 start with this stuff, super value. Why so expensive country?")</f>
        <v>Calvin Klein Jeans lot cheaper abroad, more than 200 start with this stuff, super value. Why so expensive country?</v>
      </c>
    </row>
    <row r="4963">
      <c r="A4963" s="1">
        <v>5.0</v>
      </c>
      <c r="B4963" s="1" t="s">
        <v>4944</v>
      </c>
      <c r="C4963" t="str">
        <f>IFERROR(__xludf.DUMMYFUNCTION("GOOGLETRANSLATE(B4963, ""zh"", ""en"")"),"Very low body fat comfortable 180 70kg slightly larger Athletic")</f>
        <v>Very low body fat comfortable 180 70kg slightly larger Athletic</v>
      </c>
    </row>
    <row r="4964">
      <c r="A4964" s="1">
        <v>2.0</v>
      </c>
      <c r="B4964" s="1" t="s">
        <v>4945</v>
      </c>
      <c r="C4964" t="str">
        <f>IFERROR(__xludf.DUMMYFUNCTION("GOOGLETRANSLATE(B4964, ""zh"", ""en"")"),"Do not mind the quality and speed of Oh! 1. buy things for their own use, not the pursuit of speed, make it through; not the pursuit of speed into the ah; 2. no good cheap goods, you pay for, not the pursuit of speed and services into; 3. buy things to lo"&amp;"ok at before look at the reviews, not necessarily wrong; 4 is not produced in the United States, it is recommended that the seller is not the place of origin plus? 5. It does not seem to domestic cargo service providers, overseas purchase Intuit high retu"&amp;"rn costs.")</f>
        <v>Do not mind the quality and speed of Oh! 1. buy things for their own use, not the pursuit of speed, make it through; not the pursuit of speed into the ah; 2. no good cheap goods, you pay for, not the pursuit of speed and services into; 3. buy things to look at before look at the reviews, not necessarily wrong; 4 is not produced in the United States, it is recommended that the seller is not the place of origin plus? 5. It does not seem to domestic cargo service providers, overseas purchase Intuit high return costs.</v>
      </c>
    </row>
    <row r="4965">
      <c r="A4965" s="1">
        <v>3.0</v>
      </c>
      <c r="B4965" s="1" t="s">
        <v>4946</v>
      </c>
      <c r="C4965" t="str">
        <f>IFERROR(__xludf.DUMMYFUNCTION("GOOGLETRANSLATE(B4965, ""zh"", ""en"")"),"Comments goods suitable size, better quality, style general feeling")</f>
        <v>Comments goods suitable size, better quality, style general feeling</v>
      </c>
    </row>
    <row r="4966">
      <c r="A4966" s="1">
        <v>3.0</v>
      </c>
      <c r="B4966" s="1" t="s">
        <v>4947</v>
      </c>
      <c r="C4966" t="str">
        <f>IFERROR(__xludf.DUMMYFUNCTION("GOOGLETRANSLATE(B4966, ""zh"", ""en"")"),"Thin, fade to one-third because of the right size, my waist 78cm, 32 Ma Department of recent normal, slightly loose, should be more winter wear no problem, the summer may need to punch. The other is the fade, if the exercise sweating, also wear light-colo"&amp;"red pants, do not tie the belt, or will ruin pants")</f>
        <v>Thin, fade to one-third because of the right size, my waist 78cm, 32 Ma Department of recent normal, slightly loose, should be more winter wear no problem, the summer may need to punch. The other is the fade, if the exercise sweating, also wear light-colored pants, do not tie the belt, or will ruin pants</v>
      </c>
    </row>
    <row r="4967">
      <c r="A4967" s="1">
        <v>3.0</v>
      </c>
      <c r="B4967" s="1" t="s">
        <v>4948</v>
      </c>
      <c r="C4967" t="str">
        <f>IFERROR(__xludf.DUMMYFUNCTION("GOOGLETRANSLATE(B4967, ""zh"", ""en"")"),"Cover not less than a week with a strong lid on the bad.")</f>
        <v>Cover not less than a week with a strong lid on the bad.</v>
      </c>
    </row>
    <row r="4968">
      <c r="A4968" s="1">
        <v>1.0</v>
      </c>
      <c r="B4968" s="1" t="s">
        <v>4949</v>
      </c>
      <c r="C4968" t="str">
        <f>IFERROR(__xludf.DUMMYFUNCTION("GOOGLETRANSLATE(B4968, ""zh"", ""en"")"),"Particularly bad quality pants especially particularly thin. Wearing a few days beginning from the ball, especially poor quality.")</f>
        <v>Particularly bad quality pants especially particularly thin. Wearing a few days beginning from the ball, especially poor quality.</v>
      </c>
    </row>
    <row r="4969">
      <c r="A4969" s="1">
        <v>1.0</v>
      </c>
      <c r="B4969" s="1" t="s">
        <v>4950</v>
      </c>
      <c r="C4969" t="str">
        <f>IFERROR(__xludf.DUMMYFUNCTION("GOOGLETRANSLATE(B4969, ""zh"", ""en"")"),"250ml green old, I feel used, and ready to return")</f>
        <v>250ml green old, I feel used, and ready to return</v>
      </c>
    </row>
    <row r="4970">
      <c r="A4970" s="1">
        <v>1.0</v>
      </c>
      <c r="B4970" s="1" t="s">
        <v>4951</v>
      </c>
      <c r="C4970" t="str">
        <f>IFERROR(__xludf.DUMMYFUNCTION("GOOGLETRANSLATE(B4970, ""zh"", ""en"")"),"Poor quality poor quality, wear one day he broke ass hole")</f>
        <v>Poor quality poor quality, wear one day he broke ass hole</v>
      </c>
    </row>
    <row r="4971">
      <c r="A4971" s="1">
        <v>4.0</v>
      </c>
      <c r="B4971" s="1" t="s">
        <v>4952</v>
      </c>
      <c r="C4971" t="str">
        <f>IFERROR(__xludf.DUMMYFUNCTION("GOOGLETRANSLATE(B4971, ""zh"", ""en"")"),"Why, packaging is always broken! The four corners of the box are deflated, which is something like bam bam! Inside the adapter 6.5mm, plated surface damage!")</f>
        <v>Why, packaging is always broken! The four corners of the box are deflated, which is something like bam bam! Inside the adapter 6.5mm, plated surface damage!</v>
      </c>
    </row>
    <row r="4972">
      <c r="A4972" s="1">
        <v>4.0</v>
      </c>
      <c r="B4972" s="1" t="s">
        <v>4953</v>
      </c>
      <c r="C4972" t="str">
        <f>IFERROR(__xludf.DUMMYFUNCTION("GOOGLETRANSLATE(B4972, ""zh"", ""en"")"),"Okay okay currently looking at, 7 days arrive, just do not know the authenticity!")</f>
        <v>Okay okay currently looking at, 7 days arrive, just do not know the authenticity!</v>
      </c>
    </row>
    <row r="4973">
      <c r="A4973" s="1">
        <v>4.0</v>
      </c>
      <c r="B4973" s="1" t="s">
        <v>4954</v>
      </c>
      <c r="C4973" t="str">
        <f>IFERROR(__xludf.DUMMYFUNCTION("GOOGLETRANSLATE(B4973, ""zh"", ""en"")"),"A little bit sorry Height 178 cm Weight 67 kg, the election of 29/30, length and waist are very fit, fabric thick rigid, suitable for autumn and winter wear. Than the domestic version of straight type slightly fat, I want to type. Work okay, but there is "&amp;"a big flaw addiction on the legs, it is somewhat disappointing.")</f>
        <v>A little bit sorry Height 178 cm Weight 67 kg, the election of 29/30, length and waist are very fit, fabric thick rigid, suitable for autumn and winter wear. Than the domestic version of straight type slightly fat, I want to type. Work okay, but there is a big flaw addiction on the legs, it is somewhat disappointing.</v>
      </c>
    </row>
    <row r="4974">
      <c r="A4974" s="1">
        <v>4.0</v>
      </c>
      <c r="B4974" s="1" t="s">
        <v>4955</v>
      </c>
      <c r="C4974" t="str">
        <f>IFERROR(__xludf.DUMMYFUNCTION("GOOGLETRANSLATE(B4974, ""zh"", ""en"")"),"CHAMPION Originals Men's genuine long-sleeved clothes and packaging intact Henry .. good quality")</f>
        <v>CHAMPION Originals Men's genuine long-sleeved clothes and packaging intact Henry .. good quality</v>
      </c>
    </row>
    <row r="4975">
      <c r="A4975" s="1">
        <v>4.0</v>
      </c>
      <c r="B4975" s="1" t="s">
        <v>4956</v>
      </c>
      <c r="C4975" t="str">
        <f>IFERROR(__xludf.DUMMYFUNCTION("GOOGLETRANSLATE(B4975, ""zh"", ""en"")"),"I am a clothing sizes around 179 76kg, thinner body, big-boned, m code it. But I found no tag, and 5 days to come, and soon.")</f>
        <v>I am a clothing sizes around 179 76kg, thinner body, big-boned, m code it. But I found no tag, and 5 days to come, and soon.</v>
      </c>
    </row>
    <row r="4976">
      <c r="A4976" s="1">
        <v>5.0</v>
      </c>
      <c r="B4976" s="1" t="s">
        <v>4957</v>
      </c>
      <c r="C4976" t="str">
        <f>IFERROR(__xludf.DUMMYFUNCTION("GOOGLETRANSLATE(B4976, ""zh"", ""en"")"),"Fitted to provide data for your reference, height 180, weight 104 kg, XL code fit, thin, flexible ~~")</f>
        <v>Fitted to provide data for your reference, height 180, weight 104 kg, XL code fit, thin, flexible ~~</v>
      </c>
    </row>
    <row r="4977">
      <c r="A4977" s="1">
        <v>5.0</v>
      </c>
      <c r="B4977" s="1" t="s">
        <v>4958</v>
      </c>
      <c r="C4977" t="str">
        <f>IFERROR(__xludf.DUMMYFUNCTION("GOOGLETRANSLATE(B4977, ""zh"", ""en"")"),"Exquisite fine pot, before preparations have taken a dislike to replace all.")</f>
        <v>Exquisite fine pot, before preparations have taken a dislike to replace all.</v>
      </c>
    </row>
    <row r="4978">
      <c r="A4978" s="1">
        <v>5.0</v>
      </c>
      <c r="B4978" s="1" t="s">
        <v>4959</v>
      </c>
      <c r="C4978" t="str">
        <f>IFERROR(__xludf.DUMMYFUNCTION("GOOGLETRANSLATE(B4978, ""zh"", ""en"")"),"180,90kg, xl too small, xxl more appropriate 180,90kg, xl too small, xxl more appropriate")</f>
        <v>180,90kg, xl too small, xxl more appropriate 180,90kg, xl too small, xxl more appropriate</v>
      </c>
    </row>
    <row r="4979">
      <c r="A4979" s="1">
        <v>5.0</v>
      </c>
      <c r="B4979" s="1" t="s">
        <v>4960</v>
      </c>
      <c r="C4979" t="str">
        <f>IFERROR(__xludf.DUMMYFUNCTION("GOOGLETRANSLATE(B4979, ""zh"", ""en"")"),"Good material is good material.")</f>
        <v>Good material is good material.</v>
      </c>
    </row>
    <row r="4980">
      <c r="A4980" s="1">
        <v>5.0</v>
      </c>
      <c r="B4980" s="1" t="s">
        <v>4961</v>
      </c>
      <c r="C4980" t="str">
        <f>IFERROR(__xludf.DUMMYFUNCTION("GOOGLETRANSLATE(B4980, ""zh"", ""en"")"),"Old audio brand, high color value, a pretty voice. Quality feel and mid similar active noise reduction function personal feeling is not obvious. After all, it is a veteran audio brand, high color value, a pretty voice. Whether the use of this feature acti"&amp;"ve noise reduction on any brand of headphones, feel is superfluous, is called selling points and gimmicks headset business, of course, this is a personal view.")</f>
        <v>Old audio brand, high color value, a pretty voice. Quality feel and mid similar active noise reduction function personal feeling is not obvious. After all, it is a veteran audio brand, high color value, a pretty voice. Whether the use of this feature active noise reduction on any brand of headphones, feel is superfluous, is called selling points and gimmicks headset business, of course, this is a personal view.</v>
      </c>
    </row>
    <row r="4981">
      <c r="A4981" s="1">
        <v>5.0</v>
      </c>
      <c r="B4981" s="1" t="s">
        <v>4962</v>
      </c>
      <c r="C4981" t="str">
        <f>IFERROR(__xludf.DUMMYFUNCTION("GOOGLETRANSLATE(B4981, ""zh"", ""en"")"),"Very good, good good, store goods in, not use")</f>
        <v>Very good, good good, store goods in, not use</v>
      </c>
    </row>
    <row r="4982">
      <c r="A4982" s="1">
        <v>5.0</v>
      </c>
      <c r="B4982" s="1" t="s">
        <v>1514</v>
      </c>
      <c r="C4982" t="str">
        <f>IFERROR(__xludf.DUMMYFUNCTION("GOOGLETRANSLATE(B4982, ""zh"", ""en"")"),"Good Good")</f>
        <v>Good Good</v>
      </c>
    </row>
    <row r="4983">
      <c r="A4983" s="1">
        <v>5.0</v>
      </c>
      <c r="B4983" s="1" t="s">
        <v>4963</v>
      </c>
      <c r="C4983" t="str">
        <f>IFERROR(__xludf.DUMMYFUNCTION("GOOGLETRANSLATE(B4983, ""zh"", ""en"")"),"Delivery speed well over fifty")</f>
        <v>Delivery speed well over fifty</v>
      </c>
    </row>
    <row r="4984">
      <c r="A4984" s="1">
        <v>5.0</v>
      </c>
      <c r="B4984" s="1" t="s">
        <v>4964</v>
      </c>
      <c r="C4984" t="str">
        <f>IFERROR(__xludf.DUMMYFUNCTION("GOOGLETRANSLATE(B4984, ""zh"", ""en"")"),"Why did domestic goods na I personally do not fit flat earplugs, because few minutes ear pain; ear is better, that is a long time to wear always feel a little itch. Or to find a circle with this type of lug, breathable, earphone unit is also large. Looks "&amp;"like ear style headphone product is very small. Headset feeling good, sound field larger than the vocal front, low frequency is there, much better than earplugs. Quality is very worthy of the price.")</f>
        <v>Why did domestic goods na I personally do not fit flat earplugs, because few minutes ear pain; ear is better, that is a long time to wear always feel a little itch. Or to find a circle with this type of lug, breathable, earphone unit is also large. Looks like ear style headphone product is very small. Headset feeling good, sound field larger than the vocal front, low frequency is there, much better than earplugs. Quality is very worthy of the price.</v>
      </c>
    </row>
    <row r="4985">
      <c r="A4985" s="1">
        <v>5.0</v>
      </c>
      <c r="B4985" s="1" t="s">
        <v>4965</v>
      </c>
      <c r="C4985" t="str">
        <f>IFERROR(__xludf.DUMMYFUNCTION("GOOGLETRANSLATE(B4985, ""zh"", ""en"")"),"Recommend cost-effective to buy two two bathrooms with more than six months of good water comfortable shape beautiful strong push")</f>
        <v>Recommend cost-effective to buy two two bathrooms with more than six months of good water comfortable shape beautiful strong push</v>
      </c>
    </row>
    <row r="4986">
      <c r="A4986" s="1">
        <v>5.0</v>
      </c>
      <c r="B4986" s="1" t="s">
        <v>4966</v>
      </c>
      <c r="C4986" t="str">
        <f>IFERROR(__xludf.DUMMYFUNCTION("GOOGLETRANSLATE(B4986, ""zh"", ""en"")"),"Le is not comfortable with a little, very comfortable, much cheaper than a treasure it")</f>
        <v>Le is not comfortable with a little, very comfortable, much cheaper than a treasure it</v>
      </c>
    </row>
    <row r="4987">
      <c r="A4987" s="1">
        <v>5.0</v>
      </c>
      <c r="B4987" s="1" t="s">
        <v>4967</v>
      </c>
      <c r="C4987" t="str">
        <f>IFERROR(__xludf.DUMMYFUNCTION("GOOGLETRANSLATE(B4987, ""zh"", ""en"")"),"There are not as dry eyes feel the effect after eating. I believe self Amazon")</f>
        <v>There are not as dry eyes feel the effect after eating. I believe self Amazon</v>
      </c>
    </row>
    <row r="4988">
      <c r="A4988" s="1">
        <v>5.0</v>
      </c>
      <c r="B4988" s="1" t="s">
        <v>4968</v>
      </c>
      <c r="C4988" t="str">
        <f>IFERROR(__xludf.DUMMYFUNCTION("GOOGLETRANSLATE(B4988, ""zh"", ""en"")"),"good quality!")</f>
        <v>good quality!</v>
      </c>
    </row>
    <row r="4989">
      <c r="A4989" s="1">
        <v>5.0</v>
      </c>
      <c r="B4989" s="1" t="s">
        <v>4969</v>
      </c>
      <c r="C4989" t="str">
        <f>IFERROR(__xludf.DUMMYFUNCTION("GOOGLETRANSLATE(B4989, ""zh"", ""en"")"),"Upper comfortable size is just the most comfortable shoes that fit the front upper instep of the foot feeling overall feeling slightly harder palm sports shoes but certainly not as good design sense to wear stylish plus price class delivery speed very sat"&amp;"isfied with the shopping")</f>
        <v>Upper comfortable size is just the most comfortable shoes that fit the front upper instep of the foot feeling overall feeling slightly harder palm sports shoes but certainly not as good design sense to wear stylish plus price class delivery speed very satisfied with the shopping</v>
      </c>
    </row>
    <row r="4990">
      <c r="A4990" s="1">
        <v>5.0</v>
      </c>
      <c r="B4990" s="1" t="s">
        <v>4970</v>
      </c>
      <c r="C4990" t="str">
        <f>IFERROR(__xludf.DUMMYFUNCTION("GOOGLETRANSLATE(B4990, ""zh"", ""en"")"),"Dial thick! good service! What goods did not say, is written above the thickness of 7 mm, and finally it seems, actually more than 11 mm, thick, and if you fancy thickness, you can detoxify a. However, Amazon's overseas purchase of speed and service point"&amp;" or praise, all five-star rating to the services, goods made reservations a review!")</f>
        <v>Dial thick! good service! What goods did not say, is written above the thickness of 7 mm, and finally it seems, actually more than 11 mm, thick, and if you fancy thickness, you can detoxify a. However, Amazon's overseas purchase of speed and service point or praise, all five-star rating to the services, goods made reservations a review!</v>
      </c>
    </row>
    <row r="4991">
      <c r="A4991" s="1">
        <v>5.0</v>
      </c>
      <c r="B4991" s="1" t="s">
        <v>4971</v>
      </c>
      <c r="C4991" t="str">
        <f>IFERROR(__xludf.DUMMYFUNCTION("GOOGLETRANSLATE(B4991, ""zh"", ""en"")"),"I bought for someone, not for myself i do not know how it looks like and what's the quality, but seems fine since no one complains about it")</f>
        <v>I bought for someone, not for myself i do not know how it looks like and what's the quality, but seems fine since no one complains about it</v>
      </c>
    </row>
    <row r="4992">
      <c r="A4992" s="1">
        <v>5.0</v>
      </c>
      <c r="B4992" s="1" t="s">
        <v>4972</v>
      </c>
      <c r="C4992" t="str">
        <f>IFERROR(__xludf.DUMMYFUNCTION("GOOGLETRANSLATE(B4992, ""zh"", ""en"")"),"Timberland Boots shoes strong durable, very good.")</f>
        <v>Timberland Boots shoes strong durable, very good.</v>
      </c>
    </row>
    <row r="4993">
      <c r="A4993" s="1">
        <v>5.0</v>
      </c>
      <c r="B4993" s="1" t="s">
        <v>4973</v>
      </c>
      <c r="C4993" t="str">
        <f>IFERROR(__xludf.DUMMYFUNCTION("GOOGLETRANSLATE(B4993, ""zh"", ""en"")"),"Goods quite satisfied, completely different too large, relatively satisfied with the recommended product, completely different too large, it is recommended")</f>
        <v>Goods quite satisfied, completely different too large, relatively satisfied with the recommended product, completely different too large, it is recommended</v>
      </c>
    </row>
    <row r="4994">
      <c r="A4994" s="1">
        <v>5.0</v>
      </c>
      <c r="B4994" s="1" t="s">
        <v>4974</v>
      </c>
      <c r="C4994" t="str">
        <f>IFERROR(__xludf.DUMMYFUNCTION("GOOGLETRANSLATE(B4994, ""zh"", ""en"")"),"Satisfied with the purchase of overseas work well, very satisfied. See details should not imitation, UK delivery flow display is shipped, it is determined to be authentic. The size of the words, height 180, weight 80Kg, bought L is the number of summer to"&amp;" try a little bit loose, winter wear would be more appropriate. Affordable, cheaper than the same style AIU hundreds, more cheaper than domestic, get the goods was relieved. 😊")</f>
        <v>Satisfied with the purchase of overseas work well, very satisfied. See details should not imitation, UK delivery flow display is shipped, it is determined to be authentic. The size of the words, height 180, weight 80Kg, bought L is the number of summer to try a little bit loose, winter wear would be more appropriate. Affordable, cheaper than the same style AIU hundreds, more cheaper than domestic, get the goods was relieved. 😊</v>
      </c>
    </row>
    <row r="4995">
      <c r="A4995" s="1">
        <v>5.0</v>
      </c>
      <c r="B4995" s="1" t="s">
        <v>4975</v>
      </c>
      <c r="C4995" t="str">
        <f>IFERROR(__xludf.DUMMYFUNCTION("GOOGLETRANSLATE(B4995, ""zh"", ""en"")"),"Okay not to wear, feeling very thick. And other wear again an additional evaluation of it.")</f>
        <v>Okay not to wear, feeling very thick. And other wear again an additional evaluation of it.</v>
      </c>
    </row>
    <row r="4996">
      <c r="A4996" s="1">
        <v>5.0</v>
      </c>
      <c r="B4996" s="1" t="s">
        <v>4976</v>
      </c>
      <c r="C4996" t="str">
        <f>IFERROR(__xludf.DUMMYFUNCTION("GOOGLETRANSLATE(B4996, ""zh"", ""en"")"),"Most worth having a very, very worthy shoes have, both the appearance and comfort are you most worth having")</f>
        <v>Most worth having a very, very worthy shoes have, both the appearance and comfort are you most worth having</v>
      </c>
    </row>
    <row r="4997">
      <c r="A4997" s="1">
        <v>5.0</v>
      </c>
      <c r="B4997" s="1" t="s">
        <v>4977</v>
      </c>
      <c r="C4997" t="str">
        <f>IFERROR(__xludf.DUMMYFUNCTION("GOOGLETRANSLATE(B4997, ""zh"", ""en"")"),"Then definitely buy a smaller size than the domestic to domestic wear M, to buy the S number. Or else to regret, the feeling will wear clothing with big pants")</f>
        <v>Then definitely buy a smaller size than the domestic to domestic wear M, to buy the S number. Or else to regret, the feeling will wear clothing with big pants</v>
      </c>
    </row>
    <row r="4998">
      <c r="A4998" s="1">
        <v>2.0</v>
      </c>
      <c r="B4998" s="1" t="s">
        <v>4978</v>
      </c>
      <c r="C4998" t="str">
        <f>IFERROR(__xludf.DUMMYFUNCTION("GOOGLETRANSLATE(B4998, ""zh"", ""en"")"),"Shoe laces good question, but I'm speechless laces")</f>
        <v>Shoe laces good question, but I'm speechless laces</v>
      </c>
    </row>
    <row r="4999">
      <c r="A4999" s="1">
        <v>3.0</v>
      </c>
      <c r="B4999" s="1" t="s">
        <v>4979</v>
      </c>
      <c r="C4999" t="str">
        <f>IFERROR(__xludf.DUMMYFUNCTION("GOOGLETRANSLATE(B4999, ""zh"", ""en"")"),"Smelly boots ever OMG, they are too smelly to wear.I have to put them outside to release the smell.I wonder why these expensive boot (made in USA) have such bad smell ....")</f>
        <v>Smelly boots ever OMG, they are too smelly to wear.I have to put them outside to release the smell.I wonder why these expensive boot (made in USA) have such bad smell ....</v>
      </c>
    </row>
    <row r="5000">
      <c r="A5000" s="1">
        <v>3.0</v>
      </c>
      <c r="B5000" s="1" t="s">
        <v>4980</v>
      </c>
      <c r="C5000" t="str">
        <f>IFERROR(__xludf.DUMMYFUNCTION("GOOGLETRANSLATE(B5000, ""zh"", ""en"")"),"I too purchased in the country is also in accordance with the size of the purchase lee, too big, you can install two of me. . . . . Fortunately, there are stores can change, after the very good. Mainly the waist and legs, too fat, this should be a Europea"&amp;"n version of the size of it")</f>
        <v>I too purchased in the country is also in accordance with the size of the purchase lee, too big, you can install two of me. . . . . Fortunately, there are stores can change, after the very good. Mainly the waist and legs, too fat, this should be a European version of the size of it</v>
      </c>
    </row>
    <row r="5001">
      <c r="A5001" s="1">
        <v>3.0</v>
      </c>
      <c r="B5001" s="1" t="s">
        <v>4981</v>
      </c>
      <c r="C5001" t="str">
        <f>IFERROR(__xludf.DUMMYFUNCTION("GOOGLETRANSLATE(B5001, ""zh"", ""en"")"),"Three in two different sizes, which one than the other two short codes are in accordance with the number of people standard, domestic wear L, I bought the M-code, opened it, inside as long as three two, one than the other two short, I doubt the authentici"&amp;"ty of this stuff, do not say overseas purchase on fidelity, I really do not believe there will be such a commodity, returns trouble, anyway, to wear, just short of a length.")</f>
        <v>Three in two different sizes, which one than the other two short codes are in accordance with the number of people standard, domestic wear L, I bought the M-code, opened it, inside as long as three two, one than the other two short, I doubt the authenticity of this stuff, do not say overseas purchase on fidelity, I really do not believe there will be such a commodity, returns trouble, anyway, to wear, just short of a length.</v>
      </c>
    </row>
    <row r="5002">
      <c r="A5002" s="1">
        <v>1.0</v>
      </c>
      <c r="B5002" s="1" t="s">
        <v>4982</v>
      </c>
      <c r="C5002" t="str">
        <f>IFERROR(__xludf.DUMMYFUNCTION("GOOGLETRANSLATE(B5002, ""zh"", ""en"")"),"Local serious pilling do not know what the reason, the rotational speed of 800 ordinary clothes, severe lower back from the ball, the body a little pilling. Laundry has always been so, it is this one special reduced.")</f>
        <v>Local serious pilling do not know what the reason, the rotational speed of 800 ordinary clothes, severe lower back from the ball, the body a little pilling. Laundry has always been so, it is this one special reduced.</v>
      </c>
    </row>
    <row r="5003">
      <c r="A5003" s="1">
        <v>1.0</v>
      </c>
      <c r="B5003" s="1" t="s">
        <v>4983</v>
      </c>
      <c r="C5003" t="str">
        <f>IFERROR(__xludf.DUMMYFUNCTION("GOOGLETRANSLATE(B5003, ""zh"", ""en"")"),"How much small yards XL with the domestic as large as it, unscrupulous wear, tragedy")</f>
        <v>How much small yards XL with the domestic as large as it, unscrupulous wear, tragedy</v>
      </c>
    </row>
    <row r="5004">
      <c r="A5004" s="1">
        <v>4.0</v>
      </c>
      <c r="B5004" s="1" t="s">
        <v>4984</v>
      </c>
      <c r="C5004" t="str">
        <f>IFERROR(__xludf.DUMMYFUNCTION("GOOGLETRANSLATE(B5004, ""zh"", ""en"")"),"Obviously something second-hand, was opened shell packaging is very old, there is no seal can be opened directly, something which is obviously already opened, and cardboard have been used to fix the shower is already torn, open the after the guarantee, ca"&amp;"rdboard directly fall out.")</f>
        <v>Obviously something second-hand, was opened shell packaging is very old, there is no seal can be opened directly, something which is obviously already opened, and cardboard have been used to fix the shower is already torn, open the after the guarantee, cardboard directly fall out.</v>
      </c>
    </row>
    <row r="5005">
      <c r="A5005" s="1">
        <v>4.0</v>
      </c>
      <c r="B5005" s="1" t="s">
        <v>4985</v>
      </c>
      <c r="C5005" t="str">
        <f>IFERROR(__xludf.DUMMYFUNCTION("GOOGLETRANSLATE(B5005, ""zh"", ""en"")"),"Shoes quality is good, packaging bad shoes quality is good, bad packaging, on a box, the arrival time have been broken. Fortunately, the shoes have not any problems.")</f>
        <v>Shoes quality is good, packaging bad shoes quality is good, bad packaging, on a box, the arrival time have been broken. Fortunately, the shoes have not any problems.</v>
      </c>
    </row>
    <row r="5006">
      <c r="A5006" s="1">
        <v>4.0</v>
      </c>
      <c r="B5006" s="1" t="s">
        <v>4986</v>
      </c>
      <c r="C5006" t="str">
        <f>IFERROR(__xludf.DUMMYFUNCTION("GOOGLETRANSLATE(B5006, ""zh"", ""en"")"),"Size is too large, the foot feels good to wear shoes foot feeling soft than normal shoes. Shoe size but too large, the anti-Kee Di 43 through 42 are large, it is estimated that 41 to wear. To buy time to be careful Size")</f>
        <v>Size is too large, the foot feels good to wear shoes foot feeling soft than normal shoes. Shoe size but too large, the anti-Kee Di 43 through 42 are large, it is estimated that 41 to wear. To buy time to be careful Size</v>
      </c>
    </row>
    <row r="5007">
      <c r="A5007" s="1">
        <v>4.0</v>
      </c>
      <c r="B5007" s="1" t="s">
        <v>4987</v>
      </c>
      <c r="C5007" t="str">
        <f>IFERROR(__xludf.DUMMYFUNCTION("GOOGLETRANSLATE(B5007, ""zh"", ""en"")"),"Chan is not a black matte feel, slippery, very good!")</f>
        <v>Chan is not a black matte feel, slippery, very good!</v>
      </c>
    </row>
    <row r="5008">
      <c r="A5008" s="1">
        <v>4.0</v>
      </c>
      <c r="B5008" s="1" t="s">
        <v>4988</v>
      </c>
      <c r="C5008" t="str">
        <f>IFERROR(__xludf.DUMMYFUNCTION("GOOGLETRANSLATE(B5008, ""zh"", ""en"")"),"Very good, very good too large, cheap, wear comfortable it can be considered")</f>
        <v>Very good, very good too large, cheap, wear comfortable it can be considered</v>
      </c>
    </row>
    <row r="5009">
      <c r="A5009" s="1">
        <v>5.0</v>
      </c>
      <c r="B5009" s="1" t="s">
        <v>4989</v>
      </c>
      <c r="C5009" t="str">
        <f>IFERROR(__xludf.DUMMYFUNCTION("GOOGLETRANSLATE(B5009, ""zh"", ""en"")"),"More than just fine filter, the filter is not so slow. He has several filters. Cost-effective")</f>
        <v>More than just fine filter, the filter is not so slow. He has several filters. Cost-effective</v>
      </c>
    </row>
    <row r="5010">
      <c r="A5010" s="1">
        <v>5.0</v>
      </c>
      <c r="B5010" s="1" t="s">
        <v>4990</v>
      </c>
      <c r="C5010" t="str">
        <f>IFERROR(__xludf.DUMMYFUNCTION("GOOGLETRANSLATE(B5010, ""zh"", ""en"")"),"Appearance, feel Like Graphite feel very good, clean screw cap rubber ring is very convenient mode, excellent insulation, although 600ml, but good feel bloated or side discharge bag.")</f>
        <v>Appearance, feel Like Graphite feel very good, clean screw cap rubber ring is very convenient mode, excellent insulation, although 600ml, but good feel bloated or side discharge bag.</v>
      </c>
    </row>
    <row r="5011">
      <c r="A5011" s="1">
        <v>5.0</v>
      </c>
      <c r="B5011" s="1" t="s">
        <v>4991</v>
      </c>
      <c r="C5011" t="str">
        <f>IFERROR(__xludf.DUMMYFUNCTION("GOOGLETRANSLATE(B5011, ""zh"", ""en"")"),"The small size compared to the same paragraph three all-black size too small to some.")</f>
        <v>The small size compared to the same paragraph three all-black size too small to some.</v>
      </c>
    </row>
    <row r="5012">
      <c r="A5012" s="1">
        <v>5.0</v>
      </c>
      <c r="B5012" s="1" t="s">
        <v>4992</v>
      </c>
      <c r="C5012" t="str">
        <f>IFERROR(__xludf.DUMMYFUNCTION("GOOGLETRANSLATE(B5012, ""zh"", ""en"")"),"Two tables do comparison can receive the same wave. Easy to full customer bought two thumbs up, forced to close after the second hand waves are the same. Very cheap. Trial membership only saving shipping costs and fast, but also domestic use of SF. Amoy t"&amp;"ransport than the sea I do not know how many times.")</f>
        <v>Two tables do comparison can receive the same wave. Easy to full customer bought two thumbs up, forced to close after the second hand waves are the same. Very cheap. Trial membership only saving shipping costs and fast, but also domestic use of SF. Amoy transport than the sea I do not know how many times.</v>
      </c>
    </row>
    <row r="5013">
      <c r="A5013" s="1">
        <v>5.0</v>
      </c>
      <c r="B5013" s="1" t="s">
        <v>4993</v>
      </c>
      <c r="C5013" t="str">
        <f>IFERROR(__xludf.DUMMYFUNCTION("GOOGLETRANSLATE(B5013, ""zh"", ""en"")"),"Low price cortex is very soft Pore, also looks beautiful than the figure, exceeded my expectations, the key is to grab the last pair of inventory, low ridiculously cheap prices are lower than domestic shoes, good fun, hope we can also do grab Special good"&amp;"s")</f>
        <v>Low price cortex is very soft Pore, also looks beautiful than the figure, exceeded my expectations, the key is to grab the last pair of inventory, low ridiculously cheap prices are lower than domestic shoes, good fun, hope we can also do grab Special goods</v>
      </c>
    </row>
    <row r="5014">
      <c r="A5014" s="1">
        <v>5.0</v>
      </c>
      <c r="B5014" s="1" t="s">
        <v>4994</v>
      </c>
      <c r="C5014" t="str">
        <f>IFERROR(__xludf.DUMMYFUNCTION("GOOGLETRANSLATE(B5014, ""zh"", ""en"")"),"The effect of good food for a few days, very good. But the price to buy it.")</f>
        <v>The effect of good food for a few days, very good. But the price to buy it.</v>
      </c>
    </row>
    <row r="5015">
      <c r="A5015" s="1">
        <v>5.0</v>
      </c>
      <c r="B5015" s="1" t="s">
        <v>4995</v>
      </c>
      <c r="C5015" t="str">
        <f>IFERROR(__xludf.DUMMYFUNCTION("GOOGLETRANSLATE(B5015, ""zh"", ""en"")"),"Mug worth buying very good, is easy to use. One-handed switch, drink plenty of water when driving very comfortable.")</f>
        <v>Mug worth buying very good, is easy to use. One-handed switch, drink plenty of water when driving very comfortable.</v>
      </c>
    </row>
    <row r="5016">
      <c r="A5016" s="1">
        <v>5.0</v>
      </c>
      <c r="B5016" s="1" t="s">
        <v>4996</v>
      </c>
      <c r="C5016" t="str">
        <f>IFERROR(__xludf.DUMMYFUNCTION("GOOGLETRANSLATE(B5016, ""zh"", ""en"")"),"Cheap and easy cheap and easy, but there is a delay discoloration.")</f>
        <v>Cheap and easy cheap and easy, but there is a delay discoloration.</v>
      </c>
    </row>
    <row r="5017">
      <c r="A5017" s="1">
        <v>5.0</v>
      </c>
      <c r="B5017" s="1" t="s">
        <v>4997</v>
      </c>
      <c r="C5017" t="str">
        <f>IFERROR(__xludf.DUMMYFUNCTION("GOOGLETRANSLATE(B5017, ""zh"", ""en"")"),"Very good heavy cast iron pot pot. Thick bottom heat slowly. Barbecue, pancakes do everything. Unfortunately, there is no lid available side. We wonder so many companies will not build a heavy cast-iron pot?")</f>
        <v>Very good heavy cast iron pot pot. Thick bottom heat slowly. Barbecue, pancakes do everything. Unfortunately, there is no lid available side. We wonder so many companies will not build a heavy cast-iron pot?</v>
      </c>
    </row>
    <row r="5018">
      <c r="A5018" s="1">
        <v>5.0</v>
      </c>
      <c r="B5018" s="1" t="s">
        <v>4998</v>
      </c>
      <c r="C5018" t="str">
        <f>IFERROR(__xludf.DUMMYFUNCTION("GOOGLETRANSLATE(B5018, ""zh"", ""en"")"),"For babies to help a friend buy, the result has been a big baby")</f>
        <v>For babies to help a friend buy, the result has been a big baby</v>
      </c>
    </row>
    <row r="5019">
      <c r="A5019" s="1">
        <v>5.0</v>
      </c>
      <c r="B5019" s="1" t="s">
        <v>4999</v>
      </c>
      <c r="C5019" t="str">
        <f>IFERROR(__xludf.DUMMYFUNCTION("GOOGLETRANSLATE(B5019, ""zh"", ""en"")"),"Good works, improvement of sleep")</f>
        <v>Good works, improvement of sleep</v>
      </c>
    </row>
    <row r="5020">
      <c r="A5020" s="1">
        <v>5.0</v>
      </c>
      <c r="B5020" s="1" t="s">
        <v>5000</v>
      </c>
      <c r="C5020" t="str">
        <f>IFERROR(__xludf.DUMMYFUNCTION("GOOGLETRANSLATE(B5020, ""zh"", ""en"")"),"Japan's high level of ink in Japan, which is similar to Chinese century-old ""Gains Court."" Gains Court ink, low prices, high cost. Representative products for the cloud head Yan, which is characterized, ink bright, rich and strong performance light ink,"&amp;" layered, colored shades, writing fluently and so on, fly in the ointment is the glue of the relatively large proportion of traditional craft glue (glue and water if the unbalance, easy expansion bottle, smelly ink), condensation below the freezing point "&amp;"Yi (0 ℃ readily coagulated into lumps). Suitable for general practice and work out with, is fancier work out of choice. Yun Tong reign, Japan ink produced. The price is high. Common market three products, reign (Xuan Ming) super-thick and black liquid, re"&amp;"ign (Xuan Ming) thick and black liquid and in the reign (Xuan Ming) ink. It is currently in circulation on the domestic market ink in the best products. Blackness strong sub-colored ink, strong sense of hierarchy, writing fluency, synthetic resin adhesive"&amp;", a suitable painting seasons, are advised to book mounted. Suitable for a general and valuable works with, is the best choice for professionals. Especially the super-thick and black liquid, by the calligrapher's favorite, in black with purple, color gorg"&amp;"eous noble.")</f>
        <v>Japan's high level of ink in Japan, which is similar to Chinese century-old "Gains Court." Gains Court ink, low prices, high cost. Representative products for the cloud head Yan, which is characterized, ink bright, rich and strong performance light ink, layered, colored shades, writing fluently and so on, fly in the ointment is the glue of the relatively large proportion of traditional craft glue (glue and water if the unbalance, easy expansion bottle, smelly ink), condensation below the freezing point Yi (0 ℃ readily coagulated into lumps). Suitable for general practice and work out with, is fancier work out of choice. Yun Tong reign, Japan ink produced. The price is high. Common market three products, reign (Xuan Ming) super-thick and black liquid, reign (Xuan Ming) thick and black liquid and in the reign (Xuan Ming) ink. It is currently in circulation on the domestic market ink in the best products. Blackness strong sub-colored ink, strong sense of hierarchy, writing fluency, synthetic resin adhesive, a suitable painting seasons, are advised to book mounted. Suitable for a general and valuable works with, is the best choice for professionals. Especially the super-thick and black liquid, by the calligrapher's favorite, in black with purple, color gorgeous noble.</v>
      </c>
    </row>
    <row r="5021">
      <c r="A5021" s="1">
        <v>5.0</v>
      </c>
      <c r="B5021" s="1" t="s">
        <v>5001</v>
      </c>
      <c r="C5021" t="str">
        <f>IFERROR(__xludf.DUMMYFUNCTION("GOOGLETRANSLATE(B5021, ""zh"", ""en"")"),"Good quality. Buy the largest number, fit, feeling very tight, birth then.")</f>
        <v>Good quality. Buy the largest number, fit, feeling very tight, birth then.</v>
      </c>
    </row>
    <row r="5022">
      <c r="A5022" s="1">
        <v>5.0</v>
      </c>
      <c r="B5022" s="1" t="s">
        <v>5002</v>
      </c>
      <c r="C5022" t="str">
        <f>IFERROR(__xludf.DUMMYFUNCTION("GOOGLETRANSLATE(B5022, ""zh"", ""en"")"),"zh well, not from the previous evaluation, I do not know how many wasted points, points can change money now know, they should look carefully evaluated, then I put these words to copy to go, both to earn points, but also save trouble, went to which copy w"&amp;"here, most importantly, do not seriously review, do not think how much worse word, sent directly to it, recommend it to everyone! !")</f>
        <v>zh well, not from the previous evaluation, I do not know how many wasted points, points can change money now know, they should look carefully evaluated, then I put these words to copy to go, both to earn points, but also save trouble, went to which copy where, most importantly, do not seriously review, do not think how much worse word, sent directly to it, recommend it to everyone! !</v>
      </c>
    </row>
    <row r="5023">
      <c r="A5023" s="1">
        <v>5.0</v>
      </c>
      <c r="B5023" s="1" t="s">
        <v>5003</v>
      </c>
      <c r="C5023" t="str">
        <f>IFERROR(__xludf.DUMMYFUNCTION("GOOGLETRANSLATE(B5023, ""zh"", ""en"")"),"You can also right should have the effect of ... who knows")</f>
        <v>You can also right should have the effect of ... who knows</v>
      </c>
    </row>
    <row r="5024">
      <c r="A5024" s="1">
        <v>5.0</v>
      </c>
      <c r="B5024" s="1" t="s">
        <v>5004</v>
      </c>
      <c r="C5024" t="str">
        <f>IFERROR(__xludf.DUMMYFUNCTION("GOOGLETRANSLATE(B5024, ""zh"", ""en"")"),"Good underwear is very comfortable, good quality.")</f>
        <v>Good underwear is very comfortable, good quality.</v>
      </c>
    </row>
    <row r="5025">
      <c r="A5025" s="1">
        <v>5.0</v>
      </c>
      <c r="B5025" s="1" t="s">
        <v>5005</v>
      </c>
      <c r="C5025" t="str">
        <f>IFERROR(__xludf.DUMMYFUNCTION("GOOGLETRANSLATE(B5025, ""zh"", ""en"")"),"Good shoes just the right size, wear more comfortable")</f>
        <v>Good shoes just the right size, wear more comfortable</v>
      </c>
    </row>
    <row r="5026">
      <c r="A5026" s="1">
        <v>5.0</v>
      </c>
      <c r="B5026" s="1" t="s">
        <v>5006</v>
      </c>
      <c r="C5026" t="str">
        <f>IFERROR(__xludf.DUMMYFUNCTION("GOOGLETRANSLATE(B5026, ""zh"", ""en"")"),"Just fine to buy a transformer, with the good, and other activities when to buy Cheers ~")</f>
        <v>Just fine to buy a transformer, with the good, and other activities when to buy Cheers ~</v>
      </c>
    </row>
    <row r="5027">
      <c r="A5027" s="1">
        <v>5.0</v>
      </c>
      <c r="B5027" s="1" t="s">
        <v>5007</v>
      </c>
      <c r="C5027" t="str">
        <f>IFERROR(__xludf.DUMMYFUNCTION("GOOGLETRANSLATE(B5027, ""zh"", ""en"")"),"Very good bottle of very good, baby I liked it, do not love yourself before grasping the bottle, with the future, you can love yourself caught")</f>
        <v>Very good bottle of very good, baby I liked it, do not love yourself before grasping the bottle, with the future, you can love yourself caught</v>
      </c>
    </row>
    <row r="5028">
      <c r="A5028" s="1">
        <v>5.0</v>
      </c>
      <c r="B5028" s="1" t="s">
        <v>5008</v>
      </c>
      <c r="C5028" t="str">
        <f>IFERROR(__xludf.DUMMYFUNCTION("GOOGLETRANSLATE(B5028, ""zh"", ""en"")"),"Bass flexibility is very good monitoring headphones had to buy 7506, but unfortunately prices, and to engage in this activity, see the comments that are basically the same voice, into this. Sony monitor headphones or monitor worthy of the word, sound redu"&amp;"ction is accurate, tough resolve, on a good bit of the decoded sound information very full, with the hands of the 1A compared to two completely style. This headset is very easy to drive, on the phone can also have a good effect. Baia 990pro overall style "&amp;"and relatively close, but the low-frequency elastic better, more sound ear, not the kind of 990 semi-open sense of space. HF is not stab people are like that, but this headset also has the obvious drawback is a little ear clips, ear slightly smaller, can "&amp;"not fully cover the ear, a long time uncomfortable pressure, and more than 990 poor not a little distance. . . But overall still good value for money.")</f>
        <v>Bass flexibility is very good monitoring headphones had to buy 7506, but unfortunately prices, and to engage in this activity, see the comments that are basically the same voice, into this. Sony monitor headphones or monitor worthy of the word, sound reduction is accurate, tough resolve, on a good bit of the decoded sound information very full, with the hands of the 1A compared to two completely style. This headset is very easy to drive, on the phone can also have a good effect. Baia 990pro overall style and relatively close, but the low-frequency elastic better, more sound ear, not the kind of 990 semi-open sense of space. HF is not stab people are like that, but this headset also has the obvious drawback is a little ear clips, ear slightly smaller, can not fully cover the ear, a long time uncomfortable pressure, and more than 990 poor not a little distance. . . But overall still good value for money.</v>
      </c>
    </row>
    <row r="5029">
      <c r="A5029" s="1">
        <v>5.0</v>
      </c>
      <c r="B5029" s="1" t="s">
        <v>5009</v>
      </c>
      <c r="C5029" t="str">
        <f>IFERROR(__xludf.DUMMYFUNCTION("GOOGLETRANSLATE(B5029, ""zh"", ""en"")"),"Something good Yo! ! Not use, habitual praise! !")</f>
        <v>Something good Yo! ! Not use, habitual praise! !</v>
      </c>
    </row>
    <row r="5030">
      <c r="A5030" s="1">
        <v>2.0</v>
      </c>
      <c r="B5030" s="1" t="s">
        <v>5010</v>
      </c>
      <c r="C5030" t="str">
        <f>IFERROR(__xludf.DUMMYFUNCTION("GOOGLETRANSLATE(B5030, ""zh"", ""en"")"),"Date 2020.3 months Maturity, such health care products are generally valid for a minimum of two years of it")</f>
        <v>Date 2020.3 months Maturity, such health care products are generally valid for a minimum of two years of it</v>
      </c>
    </row>
    <row r="5031">
      <c r="A5031" s="1">
        <v>3.0</v>
      </c>
      <c r="B5031" s="1" t="s">
        <v>5011</v>
      </c>
      <c r="C5031" t="str">
        <f>IFERROR(__xludf.DUMMYFUNCTION("GOOGLETRANSLATE(B5031, ""zh"", ""en"")"),"Generally a little skin tie, the version is also general")</f>
        <v>Generally a little skin tie, the version is also general</v>
      </c>
    </row>
    <row r="5032">
      <c r="A5032" s="1">
        <v>3.0</v>
      </c>
      <c r="B5032" s="1" t="s">
        <v>5012</v>
      </c>
      <c r="C5032" t="str">
        <f>IFERROR(__xludf.DUMMYFUNCTION("GOOGLETRANSLATE(B5032, ""zh"", ""en"")"),"Especially in light bracelet bracelet particularly light, what is the material? It is counterfeit?")</f>
        <v>Especially in light bracelet bracelet particularly light, what is the material? It is counterfeit?</v>
      </c>
    </row>
    <row r="5033">
      <c r="A5033" s="1">
        <v>1.0</v>
      </c>
      <c r="B5033" s="1" t="s">
        <v>5013</v>
      </c>
      <c r="C5033" t="str">
        <f>IFERROR(__xludf.DUMMYFUNCTION("GOOGLETRANSLATE(B5033, ""zh"", ""en"")"),"Poor quality, with five or six times on the bad, can not be switched. Poor quality, with five or six times on the bad, can not be switched.")</f>
        <v>Poor quality, with five or six times on the bad, can not be switched. Poor quality, with five or six times on the bad, can not be switched.</v>
      </c>
    </row>
    <row r="5034">
      <c r="A5034" s="1">
        <v>1.0</v>
      </c>
      <c r="B5034" s="1" t="s">
        <v>5014</v>
      </c>
      <c r="C5034" t="str">
        <f>IFERROR(__xludf.DUMMYFUNCTION("GOOGLETRANSLATE(B5034, ""zh"", ""en"")"),"Buy useless bought on the bad, and today with the discover was simply bad, transformers have to spend too. How return.")</f>
        <v>Buy useless bought on the bad, and today with the discover was simply bad, transformers have to spend too. How return.</v>
      </c>
    </row>
    <row r="5035">
      <c r="A5035" s="1">
        <v>1.0</v>
      </c>
      <c r="B5035" s="1" t="s">
        <v>5015</v>
      </c>
      <c r="C5035" t="str">
        <f>IFERROR(__xludf.DUMMYFUNCTION("GOOGLETRANSLATE(B5035, ""zh"", ""en"")"),"Style significant foot big foot after foot seem huge, the average person is difficult to manage. This style is only suitable for small feet big head.")</f>
        <v>Style significant foot big foot after foot seem huge, the average person is difficult to manage. This style is only suitable for small feet big head.</v>
      </c>
    </row>
    <row r="5036">
      <c r="A5036" s="1">
        <v>4.0</v>
      </c>
      <c r="B5036" s="1" t="s">
        <v>5016</v>
      </c>
      <c r="C5036" t="str">
        <f>IFERROR(__xludf.DUMMYFUNCTION("GOOGLETRANSLATE(B5036, ""zh"", ""en"")"),"Express rough, a little noise, the overall good by mail when the box has been a smash, crack a hole, but fortunately there is not broke commodities, so far with the good, that is a little noise")</f>
        <v>Express rough, a little noise, the overall good by mail when the box has been a smash, crack a hole, but fortunately there is not broke commodities, so far with the good, that is a little noise</v>
      </c>
    </row>
    <row r="5037">
      <c r="A5037" s="1">
        <v>4.0</v>
      </c>
      <c r="B5037" s="1" t="s">
        <v>5017</v>
      </c>
      <c r="C5037" t="str">
        <f>IFERROR(__xludf.DUMMYFUNCTION("GOOGLETRANSLATE(B5037, ""zh"", ""en"")"),"Many problems: 1: a total of around two purchases, credit card pre-authorization of the first two times, but called customer service found only once, in which the 2nd pre-authorization has been accounted for in the future I do not know Zeyang 2: the first"&amp;" purchase to get the test read 90mb / s write 90mb / s, but the second question card purchases actually cut in half, which is read 40mb / s write 40mb / s 3: why coincidence ? Repeat pre-authorization will get a high-speed card? 1 pre-authorization to rea"&amp;"d and write in half, I strongly suspect that Samsung's quality control and Amazon charges retaliatory action, we hope that the first prize, second prize instead")</f>
        <v>Many problems: 1: a total of around two purchases, credit card pre-authorization of the first two times, but called customer service found only once, in which the 2nd pre-authorization has been accounted for in the future I do not know Zeyang 2: the first purchase to get the test read 90mb / s write 90mb / s, but the second question card purchases actually cut in half, which is read 40mb / s write 40mb / s 3: why coincidence ? Repeat pre-authorization will get a high-speed card? 1 pre-authorization to read and write in half, I strongly suspect that Samsung's quality control and Amazon charges retaliatory action, we hope that the first prize, second prize instead</v>
      </c>
    </row>
    <row r="5038">
      <c r="A5038" s="1">
        <v>4.0</v>
      </c>
      <c r="B5038" s="1" t="s">
        <v>5018</v>
      </c>
      <c r="C5038" t="str">
        <f>IFERROR(__xludf.DUMMYFUNCTION("GOOGLETRANSLATE(B5038, ""zh"", ""en"")"),"Baby bottle is very good but do not accept this bottle sucked out more strenuous")</f>
        <v>Baby bottle is very good but do not accept this bottle sucked out more strenuous</v>
      </c>
    </row>
    <row r="5039">
      <c r="A5039" s="1">
        <v>4.0</v>
      </c>
      <c r="B5039" s="1" t="s">
        <v>5019</v>
      </c>
      <c r="C5039" t="str">
        <f>IFERROR(__xludf.DUMMYFUNCTION("GOOGLETRANSLATE(B5039, ""zh"", ""en"")"),"ecco more general series of shoes soles a little bit hard, not leather insole")</f>
        <v>ecco more general series of shoes soles a little bit hard, not leather insole</v>
      </c>
    </row>
    <row r="5040">
      <c r="A5040" s="1">
        <v>5.0</v>
      </c>
      <c r="B5040" s="1" t="s">
        <v>5020</v>
      </c>
      <c r="C5040" t="str">
        <f>IFERROR(__xludf.DUMMYFUNCTION("GOOGLETRANSLATE(B5040, ""zh"", ""en"")"),"Although previous cost-effective bic ballpoint sales ranked first but not used smooth writing very good cheap")</f>
        <v>Although previous cost-effective bic ballpoint sales ranked first but not used smooth writing very good cheap</v>
      </c>
    </row>
    <row r="5041">
      <c r="A5041" s="1">
        <v>5.0</v>
      </c>
      <c r="B5041" s="1" t="s">
        <v>5021</v>
      </c>
      <c r="C5041" t="str">
        <f>IFERROR(__xludf.DUMMYFUNCTION("GOOGLETRANSLATE(B5041, ""zh"", ""en"")"),"Very beautiful very light high color value, estimated not waterproof, warm and general")</f>
        <v>Very beautiful very light high color value, estimated not waterproof, warm and general</v>
      </c>
    </row>
    <row r="5042">
      <c r="A5042" s="1">
        <v>5.0</v>
      </c>
      <c r="B5042" s="1" t="s">
        <v>5022</v>
      </c>
      <c r="C5042" t="str">
        <f>IFERROR(__xludf.DUMMYFUNCTION("GOOGLETRANSLATE(B5042, ""zh"", ""en"")"),"Basically satisfied right size, fabric flexible, thin and light. Workmanship and materials are the property of supermarket goods. More than 200 yuan to buy a little bit worth. Lee belongs to the low-end products.")</f>
        <v>Basically satisfied right size, fabric flexible, thin and light. Workmanship and materials are the property of supermarket goods. More than 200 yuan to buy a little bit worth. Lee belongs to the low-end products.</v>
      </c>
    </row>
    <row r="5043">
      <c r="A5043" s="1">
        <v>5.0</v>
      </c>
      <c r="B5043" s="1" t="s">
        <v>5023</v>
      </c>
      <c r="C5043" t="str">
        <f>IFERROR(__xludf.DUMMYFUNCTION("GOOGLETRANSLATE(B5043, ""zh"", ""en"")"),"Looks on very big very big on looks, hair dryer some of the old packaging, should be the new")</f>
        <v>Looks on very big very big on looks, hair dryer some of the old packaging, should be the new</v>
      </c>
    </row>
    <row r="5044">
      <c r="A5044" s="1">
        <v>5.0</v>
      </c>
      <c r="B5044" s="1" t="s">
        <v>5024</v>
      </c>
      <c r="C5044" t="str">
        <f>IFERROR(__xludf.DUMMYFUNCTION("GOOGLETRANSLATE(B5044, ""zh"", ""en"")"),"Very comfortable feeling good color is not very fond of beautiful but now out of stock")</f>
        <v>Very comfortable feeling good color is not very fond of beautiful but now out of stock</v>
      </c>
    </row>
    <row r="5045">
      <c r="A5045" s="1">
        <v>5.0</v>
      </c>
      <c r="B5045" s="1" t="s">
        <v>5025</v>
      </c>
      <c r="C5045" t="str">
        <f>IFERROR(__xludf.DUMMYFUNCTION("GOOGLETRANSLATE(B5045, ""zh"", ""en"")"),"My first noise-canceling headphones have been able to buy an external sound isolation headphones, but there is no research on the headphones, check the internet for a long time, the original sub-passive noise reduction and active noise reduction, noise ha"&amp;"s been heard good BOSE but listen to the store, put on after bose, a kind of dizzy feeling, but there is no Sennheiser, the effect is good, although the high-frequency sound can not be completely isolated, also down a lot. Also tried QC20 BOSE, I feel goo"&amp;"d, but wired, without Bluetooth, finally chose Sennheiser.")</f>
        <v>My first noise-canceling headphones have been able to buy an external sound isolation headphones, but there is no research on the headphones, check the internet for a long time, the original sub-passive noise reduction and active noise reduction, noise has been heard good BOSE but listen to the store, put on after bose, a kind of dizzy feeling, but there is no Sennheiser, the effect is good, although the high-frequency sound can not be completely isolated, also down a lot. Also tried QC20 BOSE, I feel good, but wired, without Bluetooth, finally chose Sennheiser.</v>
      </c>
    </row>
    <row r="5046">
      <c r="A5046" s="1">
        <v>5.0</v>
      </c>
      <c r="B5046" s="1" t="s">
        <v>5026</v>
      </c>
      <c r="C5046" t="str">
        <f>IFERROR(__xludf.DUMMYFUNCTION("GOOGLETRANSLATE(B5046, ""zh"", ""en"")"),"Amazon satisfied with the most satisfying a pair of shoes just started has not been placed on the size of the collection in one day to see the results immediately have a size orders to buy the right size according to the usual normal size of this money ca"&amp;"n be very good with generous")</f>
        <v>Amazon satisfied with the most satisfying a pair of shoes just started has not been placed on the size of the collection in one day to see the results immediately have a size orders to buy the right size according to the usual normal size of this money can be very good with generous</v>
      </c>
    </row>
    <row r="5047">
      <c r="A5047" s="1">
        <v>5.0</v>
      </c>
      <c r="B5047" s="1" t="s">
        <v>5027</v>
      </c>
      <c r="C5047" t="str">
        <f>IFERROR(__xludf.DUMMYFUNCTION("GOOGLETRANSLATE(B5047, ""zh"", ""en"")"),"When the radio is very nice to watch the wave-normal, accurate travel time, the appearance of the atmosphere long grass finally pulled seven or eight years!")</f>
        <v>When the radio is very nice to watch the wave-normal, accurate travel time, the appearance of the atmosphere long grass finally pulled seven or eight years!</v>
      </c>
    </row>
    <row r="5048">
      <c r="A5048" s="1">
        <v>5.0</v>
      </c>
      <c r="B5048" s="1" t="s">
        <v>5028</v>
      </c>
      <c r="C5048" t="str">
        <f>IFERROR(__xludf.DUMMYFUNCTION("GOOGLETRANSLATE(B5048, ""zh"", ""en"")"),"Good quality good quality, like.")</f>
        <v>Good quality good quality, like.</v>
      </c>
    </row>
    <row r="5049">
      <c r="A5049" s="1">
        <v>5.0</v>
      </c>
      <c r="B5049" s="1" t="s">
        <v>5029</v>
      </c>
      <c r="C5049" t="str">
        <f>IFERROR(__xludf.DUMMYFUNCTION("GOOGLETRANSLATE(B5049, ""zh"", ""en"")"),"Minato good quality thick single buy, the quality is very good")</f>
        <v>Minato good quality thick single buy, the quality is very good</v>
      </c>
    </row>
    <row r="5050">
      <c r="A5050" s="1">
        <v>5.0</v>
      </c>
      <c r="B5050" s="1" t="s">
        <v>5030</v>
      </c>
      <c r="C5050" t="str">
        <f>IFERROR(__xludf.DUMMYFUNCTION("GOOGLETRANSLATE(B5050, ""zh"", ""en"")"),"Chan produced in Vietnam, usually 41 shoes, this number 40 are little freshman. Quality looks okay. Version handsome burst. Catch up with events, more than 900 hand. How short legs broken?")</f>
        <v>Chan produced in Vietnam, usually 41 shoes, this number 40 are little freshman. Quality looks okay. Version handsome burst. Catch up with events, more than 900 hand. How short legs broken?</v>
      </c>
    </row>
    <row r="5051">
      <c r="A5051" s="1">
        <v>5.0</v>
      </c>
      <c r="B5051" s="1" t="s">
        <v>5031</v>
      </c>
      <c r="C5051" t="str">
        <f>IFERROR(__xludf.DUMMYFUNCTION("GOOGLETRANSLATE(B5051, ""zh"", ""en"")"),"Well really easy to use! Rushing water is clean.")</f>
        <v>Well really easy to use! Rushing water is clean.</v>
      </c>
    </row>
    <row r="5052">
      <c r="A5052" s="1">
        <v>5.0</v>
      </c>
      <c r="B5052" s="1" t="s">
        <v>5032</v>
      </c>
      <c r="C5052" t="str">
        <f>IFERROR(__xludf.DUMMYFUNCTION("GOOGLETRANSLATE(B5052, ""zh"", ""en"")"),"Worth buying without run-in, the water smooth, pen peak thickness is moderate, perfect!")</f>
        <v>Worth buying without run-in, the water smooth, pen peak thickness is moderate, perfect!</v>
      </c>
    </row>
    <row r="5053">
      <c r="A5053" s="1">
        <v>5.0</v>
      </c>
      <c r="B5053" s="1" t="s">
        <v>5033</v>
      </c>
      <c r="C5053" t="str">
        <f>IFERROR(__xludf.DUMMYFUNCTION("GOOGLETRANSLATE(B5053, ""zh"", ""en"")"),"👞 shoes bottom very good very soft and very comfortable")</f>
        <v>👞 shoes bottom very good very soft and very comfortable</v>
      </c>
    </row>
    <row r="5054">
      <c r="A5054" s="1">
        <v>5.0</v>
      </c>
      <c r="B5054" s="1" t="s">
        <v>5034</v>
      </c>
      <c r="C5054" t="str">
        <f>IFERROR(__xludf.DUMMYFUNCTION("GOOGLETRANSLATE(B5054, ""zh"", ""en"")"),"I like the money is very good, I like the standard models, like the pants a little wide, long legs a little.")</f>
        <v>I like the money is very good, I like the standard models, like the pants a little wide, long legs a little.</v>
      </c>
    </row>
    <row r="5055">
      <c r="A5055" s="1">
        <v>5.0</v>
      </c>
      <c r="B5055" s="1" t="s">
        <v>5035</v>
      </c>
      <c r="C5055" t="str">
        <f>IFERROR(__xludf.DUMMYFUNCTION("GOOGLETRANSLATE(B5055, ""zh"", ""en"")"),"Okay long! But for the evening, the fit general")</f>
        <v>Okay long! But for the evening, the fit general</v>
      </c>
    </row>
    <row r="5056">
      <c r="A5056" s="1">
        <v>5.0</v>
      </c>
      <c r="B5056" s="1" t="s">
        <v>5036</v>
      </c>
      <c r="C5056" t="str">
        <f>IFERROR(__xludf.DUMMYFUNCTION("GOOGLETRANSLATE(B5056, ""zh"", ""en"")"),"Desert walking very wearable! good quality! Style special!")</f>
        <v>Desert walking very wearable! good quality! Style special!</v>
      </c>
    </row>
    <row r="5057">
      <c r="A5057" s="1">
        <v>5.0</v>
      </c>
      <c r="B5057" s="1" t="s">
        <v>5037</v>
      </c>
      <c r="C5057" t="str">
        <f>IFERROR(__xludf.DUMMYFUNCTION("GOOGLETRANSLATE(B5057, ""zh"", ""en"")"),"Banana Banana This design is very reasonable, the child will not be poked throat, and good grip")</f>
        <v>Banana Banana This design is very reasonable, the child will not be poked throat, and good grip</v>
      </c>
    </row>
    <row r="5058">
      <c r="A5058" s="1">
        <v>5.0</v>
      </c>
      <c r="B5058" s="1" t="s">
        <v>5038</v>
      </c>
      <c r="C5058" t="str">
        <f>IFERROR(__xludf.DUMMYFUNCTION("GOOGLETRANSLATE(B5058, ""zh"", ""en"")"),"Goods have been received, very satisfied! Goods have been received, very satisfied!")</f>
        <v>Goods have been received, very satisfied! Goods have been received, very satisfied!</v>
      </c>
    </row>
    <row r="5059">
      <c r="A5059" s="1">
        <v>5.0</v>
      </c>
      <c r="B5059" s="1" t="s">
        <v>5039</v>
      </c>
      <c r="C5059" t="str">
        <f>IFERROR(__xludf.DUMMYFUNCTION("GOOGLETRANSLATE(B5059, ""zh"", ""en"")"),"Very good very easy to use, to collapse, officials! Kind of want to buy this brand of home appliances impulse,")</f>
        <v>Very good very easy to use, to collapse, officials! Kind of want to buy this brand of home appliances impulse,</v>
      </c>
    </row>
    <row r="5060">
      <c r="A5060" s="1">
        <v>5.0</v>
      </c>
      <c r="B5060" s="1" t="s">
        <v>5040</v>
      </c>
      <c r="C5060" t="str">
        <f>IFERROR(__xludf.DUMMYFUNCTION("GOOGLETRANSLATE(B5060, ""zh"", ""en"")"),"Very good fit with the half and peacetime training. The usual recommendation for the election code of 0.5-1 sports shoes big yards")</f>
        <v>Very good fit with the half and peacetime training. The usual recommendation for the election code of 0.5-1 sports shoes big yards</v>
      </c>
    </row>
    <row r="5061">
      <c r="A5061" s="1">
        <v>5.0</v>
      </c>
      <c r="B5061" s="1" t="s">
        <v>5041</v>
      </c>
      <c r="C5061" t="str">
        <f>IFERROR(__xludf.DUMMYFUNCTION("GOOGLETRANSLATE(B5061, ""zh"", ""en"")"),"Clothes clothes good reviews, but I bought a big number one, do not want changed, trouble, just wear it.")</f>
        <v>Clothes clothes good reviews, but I bought a big number one, do not want changed, trouble, just wear it.</v>
      </c>
    </row>
    <row r="5062">
      <c r="A5062" s="1">
        <v>2.0</v>
      </c>
      <c r="B5062" s="1" t="s">
        <v>5042</v>
      </c>
      <c r="C5062" t="str">
        <f>IFERROR(__xludf.DUMMYFUNCTION("GOOGLETRANSLATE(B5062, ""zh"", ""en"")"),"Crimping something good, that is curling, it has been idle")</f>
        <v>Crimping something good, that is curling, it has been idle</v>
      </c>
    </row>
    <row r="5063">
      <c r="A5063" s="1">
        <v>3.0</v>
      </c>
      <c r="B5063" s="1" t="s">
        <v>5043</v>
      </c>
      <c r="C5063" t="str">
        <f>IFERROR(__xludf.DUMMYFUNCTION("GOOGLETRANSLATE(B5063, ""zh"", ""en"")"),"Small amount for each menstrual women. Look good, but as compared to sanitary napkins and other brands smaller size, but also much thinner, side leakage is easy, cost is not high.")</f>
        <v>Small amount for each menstrual women. Look good, but as compared to sanitary napkins and other brands smaller size, but also much thinner, side leakage is easy, cost is not high.</v>
      </c>
    </row>
    <row r="5064">
      <c r="A5064" s="1">
        <v>3.0</v>
      </c>
      <c r="B5064" s="1" t="s">
        <v>5044</v>
      </c>
      <c r="C5064" t="str">
        <f>IFERROR(__xludf.DUMMYFUNCTION("GOOGLETRANSLATE(B5064, ""zh"", ""en"")"),"Soles soles too thin, too thin soles, thin soles")</f>
        <v>Soles soles too thin, too thin soles, thin soles</v>
      </c>
    </row>
    <row r="5065">
      <c r="A5065" s="1">
        <v>3.0</v>
      </c>
      <c r="B5065" s="1" t="s">
        <v>5045</v>
      </c>
      <c r="C5065" t="str">
        <f>IFERROR(__xludf.DUMMYFUNCTION("GOOGLETRANSLATE(B5065, ""zh"", ""en"")"),"Too big, too big. Too, is 5'11 190 pounds, buy big One")</f>
        <v>Too big, too big. Too, is 5'11 190 pounds, buy big One</v>
      </c>
    </row>
    <row r="5066">
      <c r="A5066" s="1">
        <v>1.0</v>
      </c>
      <c r="B5066" s="1" t="s">
        <v>5046</v>
      </c>
      <c r="C5066" t="str">
        <f>IFERROR(__xludf.DUMMYFUNCTION("GOOGLETRANSLATE(B5066, ""zh"", ""en"")"),"Fakes here is very noble, called the replica! Too much bad, can point you in the apparent false? ! Armband it? When we are printing cracked the consumer is a fool?")</f>
        <v>Fakes here is very noble, called the replica! Too much bad, can point you in the apparent false? ! Armband it? When we are printing cracked the consumer is a fool?</v>
      </c>
    </row>
    <row r="5067">
      <c r="A5067" s="1">
        <v>1.0</v>
      </c>
      <c r="B5067" s="1" t="s">
        <v>5047</v>
      </c>
      <c r="C5067" t="str">
        <f>IFERROR(__xludf.DUMMYFUNCTION("GOOGLETRANSLATE(B5067, ""zh"", ""en"")"),"is this real? The packaging is opened, finding out the official website of this product that says Made In China shocked me on the box, I thought how evil American goods than on domestic tall it, who knows Huaqiang North is not a domestic manufacturing .")</f>
        <v>is this real? The packaging is opened, finding out the official website of this product that says Made In China shocked me on the box, I thought how evil American goods than on domestic tall it, who knows Huaqiang North is not a domestic manufacturing .</v>
      </c>
    </row>
    <row r="5068">
      <c r="A5068" s="1">
        <v>4.0</v>
      </c>
      <c r="B5068" s="1" t="s">
        <v>5048</v>
      </c>
      <c r="C5068" t="str">
        <f>IFERROR(__xludf.DUMMYFUNCTION("GOOGLETRANSLATE(B5068, ""zh"", ""en"")"),"The version is too large clothes a little thin, the United States and Asia to buy, the version is very large, the other okay! Black and white is not a place of production, feel a little different, the other better")</f>
        <v>The version is too large clothes a little thin, the United States and Asia to buy, the version is very large, the other okay! Black and white is not a place of production, feel a little different, the other better</v>
      </c>
    </row>
    <row r="5069">
      <c r="A5069" s="1">
        <v>4.0</v>
      </c>
      <c r="B5069" s="1" t="s">
        <v>5049</v>
      </c>
      <c r="C5069" t="str">
        <f>IFERROR(__xludf.DUMMYFUNCTION("GOOGLETRANSLATE(B5069, ""zh"", ""en"")"),"Write speed pretty fast the actual capacity of 3.6T, write speed, the United States purchased the Sea, also received some taxes, personal feel fairly cost-effective.")</f>
        <v>Write speed pretty fast the actual capacity of 3.6T, write speed, the United States purchased the Sea, also received some taxes, personal feel fairly cost-effective.</v>
      </c>
    </row>
    <row r="5070">
      <c r="A5070" s="1">
        <v>4.0</v>
      </c>
      <c r="B5070" s="1" t="s">
        <v>5050</v>
      </c>
      <c r="C5070" t="str">
        <f>IFERROR(__xludf.DUMMYFUNCTION("GOOGLETRANSLATE(B5070, ""zh"", ""en"")"),"Short Sleeve really meet the people inverted triangle figure, big belly on embarrassing. Height 178, weight 83, just")</f>
        <v>Short Sleeve really meet the people inverted triangle figure, big belly on embarrassing. Height 178, weight 83, just</v>
      </c>
    </row>
    <row r="5071">
      <c r="A5071" s="1">
        <v>4.0</v>
      </c>
      <c r="B5071" s="1" t="s">
        <v>5051</v>
      </c>
      <c r="C5071" t="str">
        <f>IFERROR(__xludf.DUMMYFUNCTION("GOOGLETRANSLATE(B5071, ""zh"", ""en"")"),"Decent foot 42 should buy 9.5us but also can wear 9us")</f>
        <v>Decent foot 42 should buy 9.5us but also can wear 9us</v>
      </c>
    </row>
    <row r="5072">
      <c r="A5072" s="1">
        <v>4.0</v>
      </c>
      <c r="B5072" s="1" t="s">
        <v>5052</v>
      </c>
      <c r="C5072" t="str">
        <f>IFERROR(__xludf.DUMMYFUNCTION("GOOGLETRANSLATE(B5072, ""zh"", ""en"")"),"Okay! More rigid. Grinding feet! Not very comfortable! Next time you buy a classic oxford bottom good! 250 feet, choose good 255")</f>
        <v>Okay! More rigid. Grinding feet! Not very comfortable! Next time you buy a classic oxford bottom good! 250 feet, choose good 255</v>
      </c>
    </row>
    <row r="5073">
      <c r="A5073" s="1">
        <v>5.0</v>
      </c>
      <c r="B5073" s="1" t="s">
        <v>5053</v>
      </c>
      <c r="C5073" t="str">
        <f>IFERROR(__xludf.DUMMYFUNCTION("GOOGLETRANSLATE(B5073, ""zh"", ""en"")"),"Thin denim clothing, fine thin section, the very type, I am 163cm, 55 kg, buy the S number, just right.")</f>
        <v>Thin denim clothing, fine thin section, the very type, I am 163cm, 55 kg, buy the S number, just right.</v>
      </c>
    </row>
    <row r="5074">
      <c r="A5074" s="1">
        <v>5.0</v>
      </c>
      <c r="B5074" s="1" t="s">
        <v>5054</v>
      </c>
      <c r="C5074" t="str">
        <f>IFERROR(__xludf.DUMMYFUNCTION("GOOGLETRANSLATE(B5074, ""zh"", ""en"")"),"Amazon self pretty good packaging is relatively simple, but the goods in good condition, very lucky. Read and write speeds satisfaction, basically no noise. Depressing is to buy bad timing, more than paid for.")</f>
        <v>Amazon self pretty good packaging is relatively simple, but the goods in good condition, very lucky. Read and write speeds satisfaction, basically no noise. Depressing is to buy bad timing, more than paid for.</v>
      </c>
    </row>
    <row r="5075">
      <c r="A5075" s="1">
        <v>5.0</v>
      </c>
      <c r="B5075" s="1" t="s">
        <v>5055</v>
      </c>
      <c r="C5075" t="str">
        <f>IFERROR(__xludf.DUMMYFUNCTION("GOOGLETRANSLATE(B5075, ""zh"", ""en"")"),"Great workmanship, texture, style, color and drop all Bang Bang! High cost of a product!")</f>
        <v>Great workmanship, texture, style, color and drop all Bang Bang! High cost of a product!</v>
      </c>
    </row>
    <row r="5076">
      <c r="A5076" s="1">
        <v>5.0</v>
      </c>
      <c r="B5076" s="1" t="s">
        <v>5056</v>
      </c>
      <c r="C5076" t="str">
        <f>IFERROR(__xludf.DUMMYFUNCTION("GOOGLETRANSLATE(B5076, ""zh"", ""en"")"),"Quality is very good quality is very good, it is on this platform the most satisfying time shopping")</f>
        <v>Quality is very good quality is very good, it is on this platform the most satisfying time shopping</v>
      </c>
    </row>
    <row r="5077">
      <c r="A5077" s="1">
        <v>5.0</v>
      </c>
      <c r="B5077" s="1" t="s">
        <v>5057</v>
      </c>
      <c r="C5077" t="str">
        <f>IFERROR(__xludf.DUMMYFUNCTION("GOOGLETRANSLATE(B5077, ""zh"", ""en"")"),"Something worth the price quite light, worth the price")</f>
        <v>Something worth the price quite light, worth the price</v>
      </c>
    </row>
    <row r="5078">
      <c r="A5078" s="1">
        <v>5.0</v>
      </c>
      <c r="B5078" s="1" t="s">
        <v>5058</v>
      </c>
      <c r="C5078" t="str">
        <f>IFERROR(__xludf.DUMMYFUNCTION("GOOGLETRANSLATE(B5078, ""zh"", ""en"")"),"danner value for money for the first time in the Amazon to buy his beloved long-baby danner workmanship did not let me down")</f>
        <v>danner value for money for the first time in the Amazon to buy his beloved long-baby danner workmanship did not let me down</v>
      </c>
    </row>
    <row r="5079">
      <c r="A5079" s="1">
        <v>5.0</v>
      </c>
      <c r="B5079" s="1" t="s">
        <v>5059</v>
      </c>
      <c r="C5079" t="str">
        <f>IFERROR(__xludf.DUMMYFUNCTION("GOOGLETRANSLATE(B5079, ""zh"", ""en"")"),"FIG style with this color error, the correct size. Commodity distribution map is wrong, not the picture of style. (Other color models) the right size (183/72), texture can. Or praise of 5 stars.")</f>
        <v>FIG style with this color error, the correct size. Commodity distribution map is wrong, not the picture of style. (Other color models) the right size (183/72), texture can. Or praise of 5 stars.</v>
      </c>
    </row>
    <row r="5080">
      <c r="A5080" s="1">
        <v>5.0</v>
      </c>
      <c r="B5080" s="1" t="s">
        <v>5060</v>
      </c>
      <c r="C5080" t="str">
        <f>IFERROR(__xludf.DUMMYFUNCTION("GOOGLETRANSLATE(B5080, ""zh"", ""en"")"),"Most people have little good two yards just fit, very thin, but cotton, sport can also be worn as pajamas, I was quite satisfied, slim body please consciously ignored, can not afford to hold clothes, and Ralph Lauren style like a code number! Robust even "&amp;"overweight people holding up! Good value for money, wear out nor sad ha ha ha ~ ~ cheap")</f>
        <v>Most people have little good two yards just fit, very thin, but cotton, sport can also be worn as pajamas, I was quite satisfied, slim body please consciously ignored, can not afford to hold clothes, and Ralph Lauren style like a code number! Robust even overweight people holding up! Good value for money, wear out nor sad ha ha ha ~ ~ cheap</v>
      </c>
    </row>
    <row r="5081">
      <c r="A5081" s="1">
        <v>5.0</v>
      </c>
      <c r="B5081" s="1" t="s">
        <v>5061</v>
      </c>
      <c r="C5081" t="str">
        <f>IFERROR(__xludf.DUMMYFUNCTION("GOOGLETRANSLATE(B5081, ""zh"", ""en"")"),"The value of the insulation effect is very good, very light")</f>
        <v>The value of the insulation effect is very good, very light</v>
      </c>
    </row>
    <row r="5082">
      <c r="A5082" s="1">
        <v>5.0</v>
      </c>
      <c r="B5082" s="1" t="s">
        <v>5062</v>
      </c>
      <c r="C5082" t="str">
        <f>IFERROR(__xludf.DUMMYFUNCTION("GOOGLETRANSLATE(B5082, ""zh"", ""en"")"),"Good cup very beautiful, easy to use. Good price")</f>
        <v>Good cup very beautiful, easy to use. Good price</v>
      </c>
    </row>
    <row r="5083">
      <c r="A5083" s="1">
        <v>5.0</v>
      </c>
      <c r="B5083" s="1" t="s">
        <v>5063</v>
      </c>
      <c r="C5083" t="str">
        <f>IFERROR(__xludf.DUMMYFUNCTION("GOOGLETRANSLATE(B5083, ""zh"", ""en"")"),"Yen value burst table is very beautiful, Yen value burst table, I liked it, the price can not buy at home thermostat, at least more than a thousand domestic start, very satisfied")</f>
        <v>Yen value burst table is very beautiful, Yen value burst table, I liked it, the price can not buy at home thermostat, at least more than a thousand domestic start, very satisfied</v>
      </c>
    </row>
    <row r="5084">
      <c r="A5084" s="1">
        <v>5.0</v>
      </c>
      <c r="B5084" s="1" t="s">
        <v>5064</v>
      </c>
      <c r="C5084" t="str">
        <f>IFERROR(__xludf.DUMMYFUNCTION("GOOGLETRANSLATE(B5084, ""zh"", ""en"")"),"Very nice shoes, wearing comfortable, brisk walking, really, really, good shoes, I am very satisfied, I give praise! Very nice shoes, wearing comfortable, brisk walking, really, really, good shoes, I am very satisfied, I give praise!")</f>
        <v>Very nice shoes, wearing comfortable, brisk walking, really, really, good shoes, I am very satisfied, I give praise! Very nice shoes, wearing comfortable, brisk walking, really, really, good shoes, I am very satisfied, I give praise!</v>
      </c>
    </row>
    <row r="5085">
      <c r="A5085" s="1">
        <v>5.0</v>
      </c>
      <c r="B5085" s="1" t="s">
        <v>5065</v>
      </c>
      <c r="C5085" t="str">
        <f>IFERROR(__xludf.DUMMYFUNCTION("GOOGLETRANSLATE(B5085, ""zh"", ""en"")"),"Good quality Amazon Germany direct mail, logistics and soon, after receiving very leading heavy, much heavier, body damping strong sense, better than the stuff made in China. Yan high value!")</f>
        <v>Good quality Amazon Germany direct mail, logistics and soon, after receiving very leading heavy, much heavier, body damping strong sense, better than the stuff made in China. Yan high value!</v>
      </c>
    </row>
    <row r="5086">
      <c r="A5086" s="1">
        <v>5.0</v>
      </c>
      <c r="B5086" s="1" t="s">
        <v>5066</v>
      </c>
      <c r="C5086" t="str">
        <f>IFERROR(__xludf.DUMMYFUNCTION("GOOGLETRANSLATE(B5086, ""zh"", ""en"")"),"Price fly, do not know why the overseas purchase will be cheaper than Jingdong enough to make so many ordinary use, but too big, too tight spring easily limp along, but also what is so cheap bike")</f>
        <v>Price fly, do not know why the overseas purchase will be cheaper than Jingdong enough to make so many ordinary use, but too big, too tight spring easily limp along, but also what is so cheap bike</v>
      </c>
    </row>
    <row r="5087">
      <c r="A5087" s="1">
        <v>5.0</v>
      </c>
      <c r="B5087" s="1" t="s">
        <v>5067</v>
      </c>
      <c r="C5087" t="str">
        <f>IFERROR(__xludf.DUMMYFUNCTION("GOOGLETRANSLATE(B5087, ""zh"", ""en"")"),"Can the quality is good, comes with a blue ink, there was still a bit expensive")</f>
        <v>Can the quality is good, comes with a blue ink, there was still a bit expensive</v>
      </c>
    </row>
    <row r="5088">
      <c r="A5088" s="1">
        <v>5.0</v>
      </c>
      <c r="B5088" s="1" t="s">
        <v>5068</v>
      </c>
      <c r="C5088" t="str">
        <f>IFERROR(__xludf.DUMMYFUNCTION("GOOGLETRANSLATE(B5088, ""zh"", ""en"")"),"Genuine is genuine, it is in use, very satisfied")</f>
        <v>Genuine is genuine, it is in use, very satisfied</v>
      </c>
    </row>
    <row r="5089">
      <c r="A5089" s="1">
        <v>5.0</v>
      </c>
      <c r="B5089" s="1" t="s">
        <v>5069</v>
      </c>
      <c r="C5089" t="str">
        <f>IFERROR(__xludf.DUMMYFUNCTION("GOOGLETRANSLATE(B5089, ""zh"", ""en"")"),"K Zhong little odor powder (that is, too much weight), the smell of other perfect")</f>
        <v>K Zhong little odor powder (that is, too much weight), the smell of other perfect</v>
      </c>
    </row>
    <row r="5090">
      <c r="A5090" s="1">
        <v>5.0</v>
      </c>
      <c r="B5090" s="1" t="s">
        <v>5070</v>
      </c>
      <c r="C5090" t="str">
        <f>IFERROR(__xludf.DUMMYFUNCTION("GOOGLETRANSLATE(B5090, ""zh"", ""en"")"),"The overall quality looks good out na box is not very pretty strange feeling ck handbag")</f>
        <v>The overall quality looks good out na box is not very pretty strange feeling ck handbag</v>
      </c>
    </row>
    <row r="5091">
      <c r="A5091" s="1">
        <v>5.0</v>
      </c>
      <c r="B5091" s="1" t="s">
        <v>5071</v>
      </c>
      <c r="C5091" t="str">
        <f>IFERROR(__xludf.DUMMYFUNCTION("GOOGLETRANSLATE(B5091, ""zh"", ""en"")"),"Genuine work very well, to produce back-up")</f>
        <v>Genuine work very well, to produce back-up</v>
      </c>
    </row>
    <row r="5092">
      <c r="A5092" s="1">
        <v>5.0</v>
      </c>
      <c r="B5092" s="1" t="s">
        <v>5072</v>
      </c>
      <c r="C5092" t="str">
        <f>IFERROR(__xludf.DUMMYFUNCTION("GOOGLETRANSLATE(B5092, ""zh"", ""en"")"),"Good fabric is very comfortable, the European version")</f>
        <v>Good fabric is very comfortable, the European version</v>
      </c>
    </row>
    <row r="5093">
      <c r="A5093" s="1">
        <v>5.0</v>
      </c>
      <c r="B5093" s="1" t="s">
        <v>5073</v>
      </c>
      <c r="C5093" t="str">
        <f>IFERROR(__xludf.DUMMYFUNCTION("GOOGLETRANSLATE(B5093, ""zh"", ""en"")"),"Comfortable and affordable comfortable shoes to walk very fast and not tired inside thin cashmere more than 500 buy at the mall this price can only buy a pair of brand-name instep little bit low")</f>
        <v>Comfortable and affordable comfortable shoes to walk very fast and not tired inside thin cashmere more than 500 buy at the mall this price can only buy a pair of brand-name instep little bit low</v>
      </c>
    </row>
    <row r="5094">
      <c r="A5094" s="1">
        <v>5.0</v>
      </c>
      <c r="B5094" s="1" t="s">
        <v>5074</v>
      </c>
      <c r="C5094" t="str">
        <f>IFERROR(__xludf.DUMMYFUNCTION("GOOGLETRANSLATE(B5094, ""zh"", ""en"")"),"Like pretty good, and imagination about the same.")</f>
        <v>Like pretty good, and imagination about the same.</v>
      </c>
    </row>
    <row r="5095">
      <c r="A5095" s="1">
        <v>2.0</v>
      </c>
      <c r="B5095" s="1" t="s">
        <v>5075</v>
      </c>
      <c r="C5095" t="str">
        <f>IFERROR(__xludf.DUMMYFUNCTION("GOOGLETRANSLATE(B5095, ""zh"", ""en"")"),"Good texture, good texture spoon it can meet the pursuit of texture")</f>
        <v>Good texture, good texture spoon it can meet the pursuit of texture</v>
      </c>
    </row>
    <row r="5096">
      <c r="A5096" s="1">
        <v>3.0</v>
      </c>
      <c r="B5096" s="1" t="s">
        <v>5076</v>
      </c>
      <c r="C5096" t="str">
        <f>IFERROR(__xludf.DUMMYFUNCTION("GOOGLETRANSLATE(B5096, ""zh"", ""en"")"),"Small one yard fit, but really thin the 178cm, 73.5kg, slightly fitness, m is the size just fit. But too thin? Thin to not believe this price. The advantage is this really comfortable fleece, the US version of the logo does not show whether personal, but "&amp;"my neck where contact is very soft, would like to think there is no personal problem. In short give a general evaluation of it all.")</f>
        <v>Small one yard fit, but really thin the 178cm, 73.5kg, slightly fitness, m is the size just fit. But too thin? Thin to not believe this price. The advantage is this really comfortable fleece, the US version of the logo does not show whether personal, but my neck where contact is very soft, would like to think there is no personal problem. In short give a general evaluation of it all.</v>
      </c>
    </row>
    <row r="5097">
      <c r="A5097" s="1">
        <v>3.0</v>
      </c>
      <c r="B5097" s="1" t="s">
        <v>5077</v>
      </c>
      <c r="C5097" t="str">
        <f>IFERROR(__xludf.DUMMYFUNCTION("GOOGLETRANSLATE(B5097, ""zh"", ""en"")"),"Legs too big, too wide trousers legs too big, too wide trousers ,,,,,,")</f>
        <v>Legs too big, too wide trousers legs too big, too wide trousers ,,,,,,</v>
      </c>
    </row>
    <row r="5098">
      <c r="A5098" s="1">
        <v>1.0</v>
      </c>
      <c r="B5098" s="1" t="s">
        <v>5078</v>
      </c>
      <c r="C5098" t="str">
        <f>IFERROR(__xludf.DUMMYFUNCTION("GOOGLETRANSLATE(B5098, ""zh"", ""en"")"),"Inappropriate large and long, usually wear 37, bought six yards, 37 yards longer than I a lot of shoes, feet and looked great! Shoes barrel is very small, they get to wear special strenuous, it took a long time to take off")</f>
        <v>Inappropriate large and long, usually wear 37, bought six yards, 37 yards longer than I a lot of shoes, feet and looked great! Shoes barrel is very small, they get to wear special strenuous, it took a long time to take off</v>
      </c>
    </row>
    <row r="5099">
      <c r="A5099" s="1">
        <v>1.0</v>
      </c>
      <c r="B5099" s="1" t="s">
        <v>5079</v>
      </c>
      <c r="C5099" t="str">
        <f>IFERROR(__xludf.DUMMYFUNCTION("GOOGLETRANSLATE(B5099, ""zh"", ""en"")"),"Speechless really very silent, then buy when he is generic, buy back only to find simply not the Internet, said the general, need adapters can find a lot of places do not match the adapter, suggested that the domestic people do not buy")</f>
        <v>Speechless really very silent, then buy when he is generic, buy back only to find simply not the Internet, said the general, need adapters can find a lot of places do not match the adapter, suggested that the domestic people do not buy</v>
      </c>
    </row>
    <row r="5100">
      <c r="A5100" s="1">
        <v>1.0</v>
      </c>
      <c r="B5100" s="1" t="s">
        <v>5080</v>
      </c>
      <c r="C5100" t="str">
        <f>IFERROR(__xludf.DUMMYFUNCTION("GOOGLETRANSLATE(B5100, ""zh"", ""en"")"),"I suspect true and false impurities, white unknown substance, before the Lynx's official website did not buy, and this giant sweet, serious doubts whether genuine.")</f>
        <v>I suspect true and false impurities, white unknown substance, before the Lynx's official website did not buy, and this giant sweet, serious doubts whether genuine.</v>
      </c>
    </row>
    <row r="5101">
      <c r="A5101" s="1">
        <v>4.0</v>
      </c>
      <c r="B5101" s="1" t="s">
        <v>5081</v>
      </c>
      <c r="C5101" t="str">
        <f>IFERROR(__xludf.DUMMYFUNCTION("GOOGLETRANSLATE(B5101, ""zh"", ""en"")"),"Okay Friday overseas purchase, and soon, the basic eight days hand. Not the cheapest, basic tax increases to more than 400 now, later found Jingdong cheaper, about 300 bar. Filter kettle is very small, the effect of filtered water is just fine, but undern"&amp;"eath there is a filter layer of water, this makes me very tangled. There is water, it must wait for the next drainage to go, worried and clean water purity, filter kettle if not a few days, then the consequences can not imagine, I think this is a bug in t"&amp;"he design")</f>
        <v>Okay Friday overseas purchase, and soon, the basic eight days hand. Not the cheapest, basic tax increases to more than 400 now, later found Jingdong cheaper, about 300 bar. Filter kettle is very small, the effect of filtered water is just fine, but underneath there is a filter layer of water, this makes me very tangled. There is water, it must wait for the next drainage to go, worried and clean water purity, filter kettle if not a few days, then the consequences can not imagine, I think this is a bug in the design</v>
      </c>
    </row>
    <row r="5102">
      <c r="A5102" s="1">
        <v>4.0</v>
      </c>
      <c r="B5102" s="1" t="s">
        <v>5082</v>
      </c>
      <c r="C5102" t="str">
        <f>IFERROR(__xludf.DUMMYFUNCTION("GOOGLETRANSLATE(B5102, ""zh"", ""en"")"),"Good quality very good, it should be leather.")</f>
        <v>Good quality very good, it should be leather.</v>
      </c>
    </row>
    <row r="5103">
      <c r="A5103" s="1">
        <v>4.0</v>
      </c>
      <c r="B5103" s="1" t="s">
        <v>5083</v>
      </c>
      <c r="C5103" t="str">
        <f>IFERROR(__xludf.DUMMYFUNCTION("GOOGLETRANSLATE(B5103, ""zh"", ""en"")"),"Four-star with imagination are not the same but very good")</f>
        <v>Four-star with imagination are not the same but very good</v>
      </c>
    </row>
    <row r="5104">
      <c r="A5104" s="1">
        <v>4.0</v>
      </c>
      <c r="B5104" s="1" t="s">
        <v>5084</v>
      </c>
      <c r="C5104" t="str">
        <f>IFERROR(__xludf.DUMMYFUNCTION("GOOGLETRANSLATE(B5104, ""zh"", ""en"")"),"Fifth disappointed shoebox always rotten, not a domestic origin Xiamen, quickly looked really not the details outsole and styling abrasive sealant incomplete, missing and potholes. Decorative beads also are not bright enough to look around the stomata ope"&amp;"n cortex, the rough skew even some suede. No problem insole, insole sealant on the car line too improvise, and you can buy cream smear uneven cake? Thai production hey, barely a four-star! The shoes I wear, but is expected to season!")</f>
        <v>Fifth disappointed shoebox always rotten, not a domestic origin Xiamen, quickly looked really not the details outsole and styling abrasive sealant incomplete, missing and potholes. Decorative beads also are not bright enough to look around the stomata open cortex, the rough skew even some suede. No problem insole, insole sealant on the car line too improvise, and you can buy cream smear uneven cake? Thai production hey, barely a four-star! The shoes I wear, but is expected to season!</v>
      </c>
    </row>
    <row r="5105">
      <c r="A5105" s="1">
        <v>4.0</v>
      </c>
      <c r="B5105" s="1" t="s">
        <v>5085</v>
      </c>
      <c r="C5105" t="str">
        <f>IFERROR(__xludf.DUMMYFUNCTION("GOOGLETRANSLATE(B5105, ""zh"", ""en"")"),"Verify to see written above is not how you send the bag did not verify that the goods of good quality assurance")</f>
        <v>Verify to see written above is not how you send the bag did not verify that the goods of good quality assurance</v>
      </c>
    </row>
    <row r="5106">
      <c r="A5106" s="1">
        <v>5.0</v>
      </c>
      <c r="B5106" s="1" t="s">
        <v>305</v>
      </c>
      <c r="C5106" t="str">
        <f>IFERROR(__xludf.DUMMYFUNCTION("GOOGLETRANSLATE(B5106, ""zh"", ""en"")"),"Comfortable very comfortable, no sense of restraint, like naked, is the effect I want")</f>
        <v>Comfortable very comfortable, no sense of restraint, like naked, is the effect I want</v>
      </c>
    </row>
    <row r="5107">
      <c r="A5107" s="1">
        <v>5.0</v>
      </c>
      <c r="B5107" s="1" t="s">
        <v>5086</v>
      </c>
      <c r="C5107" t="str">
        <f>IFERROR(__xludf.DUMMYFUNCTION("GOOGLETRANSLATE(B5107, ""zh"", ""en"")"),"Almost perfect this very cool boots, boots look better than rhubarb, 580 to start, and the value. Is the leather uppers, it is easy to scratch")</f>
        <v>Almost perfect this very cool boots, boots look better than rhubarb, 580 to start, and the value. Is the leather uppers, it is easy to scratch</v>
      </c>
    </row>
    <row r="5108">
      <c r="A5108" s="1">
        <v>5.0</v>
      </c>
      <c r="B5108" s="1" t="s">
        <v>5087</v>
      </c>
      <c r="C5108" t="str">
        <f>IFERROR(__xludf.DUMMYFUNCTION("GOOGLETRANSLATE(B5108, ""zh"", ""en"")"),"Good Bear sugar, raising baby necessary ah ha ha ha")</f>
        <v>Good Bear sugar, raising baby necessary ah ha ha ha</v>
      </c>
    </row>
    <row r="5109">
      <c r="A5109" s="1">
        <v>5.0</v>
      </c>
      <c r="B5109" s="1" t="s">
        <v>5088</v>
      </c>
      <c r="C5109" t="str">
        <f>IFERROR(__xludf.DUMMYFUNCTION("GOOGLETRANSLATE(B5109, ""zh"", ""en"")"),"Good shoes light and comfortable breathable, good shoes.")</f>
        <v>Good shoes light and comfortable breathable, good shoes.</v>
      </c>
    </row>
    <row r="5110">
      <c r="A5110" s="1">
        <v>5.0</v>
      </c>
      <c r="B5110" s="1" t="s">
        <v>5089</v>
      </c>
      <c r="C5110" t="str">
        <f>IFERROR(__xludf.DUMMYFUNCTION("GOOGLETRANSLATE(B5110, ""zh"", ""en"")"),"Suitable husband relatively strong, very thick body. Like 176 / 80kg, and has been in the United States wear L, this number is very appropriate.")</f>
        <v>Suitable husband relatively strong, very thick body. Like 176 / 80kg, and has been in the United States wear L, this number is very appropriate.</v>
      </c>
    </row>
    <row r="5111">
      <c r="A5111" s="1">
        <v>5.0</v>
      </c>
      <c r="B5111" s="1" t="s">
        <v>5090</v>
      </c>
      <c r="C5111" t="str">
        <f>IFERROR(__xludf.DUMMYFUNCTION("GOOGLETRANSLATE(B5111, ""zh"", ""en"")"),"Okay headphones, or can, is still so strong a sense of plastic ......")</f>
        <v>Okay headphones, or can, is still so strong a sense of plastic ......</v>
      </c>
    </row>
    <row r="5112">
      <c r="A5112" s="1">
        <v>5.0</v>
      </c>
      <c r="B5112" s="1" t="s">
        <v>5091</v>
      </c>
      <c r="C5112" t="str">
        <f>IFERROR(__xludf.DUMMYFUNCTION("GOOGLETRANSLATE(B5112, ""zh"", ""en"")"),"No smell, good! No smell, the material looks good! A little bit easy to stick hair. Downstairs a few times with a cart to go shopping, playing playing baby lost, two or three meters of the road may also go back and find can not find it, it should be peopl"&amp;"e picked it up.")</f>
        <v>No smell, good! No smell, the material looks good! A little bit easy to stick hair. Downstairs a few times with a cart to go shopping, playing playing baby lost, two or three meters of the road may also go back and find can not find it, it should be people picked it up.</v>
      </c>
    </row>
    <row r="5113">
      <c r="A5113" s="1">
        <v>5.0</v>
      </c>
      <c r="B5113" s="1" t="s">
        <v>5092</v>
      </c>
      <c r="C5113" t="str">
        <f>IFERROR(__xludf.DUMMYFUNCTION("GOOGLETRANSLATE(B5113, ""zh"", ""en"")"),"Okay! Night, forgive me casually took a cell phone with hundreds of pieces of ancient pixels. So it was something. Taobao than dozens of pieces of good points.")</f>
        <v>Okay! Night, forgive me casually took a cell phone with hundreds of pieces of ancient pixels. So it was something. Taobao than dozens of pieces of good points.</v>
      </c>
    </row>
    <row r="5114">
      <c r="A5114" s="1">
        <v>5.0</v>
      </c>
      <c r="B5114" s="1" t="s">
        <v>5093</v>
      </c>
      <c r="C5114" t="str">
        <f>IFERROR(__xludf.DUMMYFUNCTION("GOOGLETRANSLATE(B5114, ""zh"", ""en"")"),"Too big too big for too long, the US board. Low-1.75m trumpet are much larger. Good texture.")</f>
        <v>Too big too big for too long, the US board. Low-1.75m trumpet are much larger. Good texture.</v>
      </c>
    </row>
    <row r="5115">
      <c r="A5115" s="1">
        <v>5.0</v>
      </c>
      <c r="B5115" s="1" t="s">
        <v>5094</v>
      </c>
      <c r="C5115" t="str">
        <f>IFERROR(__xludf.DUMMYFUNCTION("GOOGLETRANSLATE(B5115, ""zh"", ""en"")"),"Beautiful daughter is like, I feel more atmospheric.")</f>
        <v>Beautiful daughter is like, I feel more atmospheric.</v>
      </c>
    </row>
    <row r="5116">
      <c r="A5116" s="1">
        <v>5.0</v>
      </c>
      <c r="B5116" s="1" t="s">
        <v>5095</v>
      </c>
      <c r="C5116" t="str">
        <f>IFERROR(__xludf.DUMMYFUNCTION("GOOGLETRANSLATE(B5116, ""zh"", ""en"")"),"Super good beautifully ha ha")</f>
        <v>Super good beautifully ha ha</v>
      </c>
    </row>
    <row r="5117">
      <c r="A5117" s="1">
        <v>5.0</v>
      </c>
      <c r="B5117" s="1" t="s">
        <v>5096</v>
      </c>
      <c r="C5117" t="str">
        <f>IFERROR(__xludf.DUMMYFUNCTION("GOOGLETRANSLATE(B5117, ""zh"", ""en"")"),"Comfortable to buy a fat mother, the maximum number suitable, she said to her through the most comfortable underwear")</f>
        <v>Comfortable to buy a fat mother, the maximum number suitable, she said to her through the most comfortable underwear</v>
      </c>
    </row>
    <row r="5118">
      <c r="A5118" s="1">
        <v>5.0</v>
      </c>
      <c r="B5118" s="1" t="s">
        <v>5097</v>
      </c>
      <c r="C5118" t="str">
        <f>IFERROR(__xludf.DUMMYFUNCTION("GOOGLETRANSLATE(B5118, ""zh"", ""en"")"),"Praise is great, super easy to use, a little taste did not see before, commented odor, kinda worried, after receiving sniffed a little taste and no, with a number of brands of baby bottles do not have this brand easy to use, Amazon is easy to purchase ove"&amp;"rseas, from order to receipt just ten days")</f>
        <v>Praise is great, super easy to use, a little taste did not see before, commented odor, kinda worried, after receiving sniffed a little taste and no, with a number of brands of baby bottles do not have this brand easy to use, Amazon is easy to purchase overseas, from order to receipt just ten days</v>
      </c>
    </row>
    <row r="5119">
      <c r="A5119" s="1">
        <v>5.0</v>
      </c>
      <c r="B5119" s="1" t="s">
        <v>5098</v>
      </c>
      <c r="C5119" t="str">
        <f>IFERROR(__xludf.DUMMYFUNCTION("GOOGLETRANSLATE(B5119, ""zh"", ""en"")"),"General General 172cm 75kg does not look like something the United States not long codes are different styles it may Origin El Salvador quality workmanship are also generally worth the price of")</f>
        <v>General General 172cm 75kg does not look like something the United States not long codes are different styles it may Origin El Salvador quality workmanship are also generally worth the price of</v>
      </c>
    </row>
    <row r="5120">
      <c r="A5120" s="1">
        <v>5.0</v>
      </c>
      <c r="B5120" s="1" t="s">
        <v>5099</v>
      </c>
      <c r="C5120" t="str">
        <f>IFERROR(__xludf.DUMMYFUNCTION("GOOGLETRANSLATE(B5120, ""zh"", ""en"")"),"Lexar Professional SDXC UHS-II Card black 32 GB ... has been received! Packaging carefully, arrive soon! Reasonable price, high tariffs!")</f>
        <v>Lexar Professional SDXC UHS-II Card black 32 GB ... has been received! Packaging carefully, arrive soon! Reasonable price, high tariffs!</v>
      </c>
    </row>
    <row r="5121">
      <c r="A5121" s="1">
        <v>5.0</v>
      </c>
      <c r="B5121" s="1" t="s">
        <v>5100</v>
      </c>
      <c r="C5121" t="str">
        <f>IFERROR(__xludf.DUMMYFUNCTION("GOOGLETRANSLATE(B5121, ""zh"", ""en"")"),"Satisfied with the price is right, shoe size and usually wear the same, try feeling pretty good.")</f>
        <v>Satisfied with the price is right, shoe size and usually wear the same, try feeling pretty good.</v>
      </c>
    </row>
    <row r="5122">
      <c r="A5122" s="1">
        <v>5.0</v>
      </c>
      <c r="B5122" s="1" t="s">
        <v>5101</v>
      </c>
      <c r="C5122" t="str">
        <f>IFERROR(__xludf.DUMMYFUNCTION("GOOGLETRANSLATE(B5122, ""zh"", ""en"")"),"Good very good, very appropriate 172,70 wear M")</f>
        <v>Good very good, very appropriate 172,70 wear M</v>
      </c>
    </row>
    <row r="5123">
      <c r="A5123" s="1">
        <v>5.0</v>
      </c>
      <c r="B5123" s="1" t="s">
        <v>5102</v>
      </c>
      <c r="C5123" t="str">
        <f>IFERROR(__xludf.DUMMYFUNCTION("GOOGLETRANSLATE(B5123, ""zh"", ""en"")"),"~ Satisfaction jeans very comfortable, appropriate, good elasticity.")</f>
        <v>~ Satisfaction jeans very comfortable, appropriate, good elasticity.</v>
      </c>
    </row>
    <row r="5124">
      <c r="A5124" s="1">
        <v>5.0</v>
      </c>
      <c r="B5124" s="1" t="s">
        <v>5103</v>
      </c>
      <c r="C5124" t="str">
        <f>IFERROR(__xludf.DUMMYFUNCTION("GOOGLETRANSLATE(B5124, ""zh"", ""en"")"),"Good workmanship, fabric texture are good, relatively thin")</f>
        <v>Good workmanship, fabric texture are good, relatively thin</v>
      </c>
    </row>
    <row r="5125">
      <c r="A5125" s="1">
        <v>5.0</v>
      </c>
      <c r="B5125" s="1" t="s">
        <v>5104</v>
      </c>
      <c r="C5125" t="str">
        <f>IFERROR(__xludf.DUMMYFUNCTION("GOOGLETRANSLATE(B5125, ""zh"", ""en"")"),"Green Label watching work well, the right size, is the subject of green.")</f>
        <v>Green Label watching work well, the right size, is the subject of green.</v>
      </c>
    </row>
    <row r="5126">
      <c r="A5126" s="1">
        <v>5.0</v>
      </c>
      <c r="B5126" s="1" t="s">
        <v>5105</v>
      </c>
      <c r="C5126" t="str">
        <f>IFERROR(__xludf.DUMMYFUNCTION("GOOGLETRANSLATE(B5126, ""zh"", ""en"")"),"Timberland boots Timberland boots, shoes very like, comfortable")</f>
        <v>Timberland boots Timberland boots, shoes very like, comfortable</v>
      </c>
    </row>
    <row r="5127">
      <c r="A5127" s="1">
        <v>5.0</v>
      </c>
      <c r="B5127" s="1" t="s">
        <v>5106</v>
      </c>
      <c r="C5127" t="str">
        <f>IFERROR(__xludf.DUMMYFUNCTION("GOOGLETRANSLATE(B5127, ""zh"", ""en"")"),"A satisfying shopping inexpensive. Color fashion.")</f>
        <v>A satisfying shopping inexpensive. Color fashion.</v>
      </c>
    </row>
    <row r="5128">
      <c r="A5128" s="1">
        <v>2.0</v>
      </c>
      <c r="B5128" s="1" t="s">
        <v>5107</v>
      </c>
      <c r="C5128" t="str">
        <f>IFERROR(__xludf.DUMMYFUNCTION("GOOGLETRANSLATE(B5128, ""zh"", ""en"")"),"A paper size wrong direction is marked on the pants 34 * 32, the plastic sheath is subject posted leg 32 * 34, 32 * 34 is the actual size. Foreigners or things do not fly very ...")</f>
        <v>A paper size wrong direction is marked on the pants 34 * 32, the plastic sheath is subject posted leg 32 * 34, 32 * 34 is the actual size. Foreigners or things do not fly very ...</v>
      </c>
    </row>
    <row r="5129">
      <c r="A5129" s="1">
        <v>3.0</v>
      </c>
      <c r="B5129" s="1" t="s">
        <v>5108</v>
      </c>
      <c r="C5129" t="str">
        <f>IFERROR(__xludf.DUMMYFUNCTION("GOOGLETRANSLATE(B5129, ""zh"", ""en"")"),"There are drawbacks, it still can buy before the price is slightly lower compared to Schneider BK402 pen, this pen coarse mad, write a little more biased, it is possible no water, pick the location, but still full of fluent writing")</f>
        <v>There are drawbacks, it still can buy before the price is slightly lower compared to Schneider BK402 pen, this pen coarse mad, write a little more biased, it is possible no water, pick the location, but still full of fluent writing</v>
      </c>
    </row>
    <row r="5130">
      <c r="A5130" s="1">
        <v>3.0</v>
      </c>
      <c r="B5130" s="1" t="s">
        <v>5109</v>
      </c>
      <c r="C5130" t="str">
        <f>IFERROR(__xludf.DUMMYFUNCTION("GOOGLETRANSLATE(B5130, ""zh"", ""en"")"),"Leak ah ah supposed bubbler where leaks can pull that section, bubbler matter how tight screw are leaking, do not tighten up the sleeve directly without leakage, really do not understand")</f>
        <v>Leak ah ah supposed bubbler where leaks can pull that section, bubbler matter how tight screw are leaking, do not tighten up the sleeve directly without leakage, really do not understand</v>
      </c>
    </row>
    <row r="5131">
      <c r="A5131" s="1">
        <v>1.0</v>
      </c>
      <c r="B5131" s="1" t="s">
        <v>5110</v>
      </c>
      <c r="C5131" t="str">
        <f>IFERROR(__xludf.DUMMYFUNCTION("GOOGLETRANSLATE(B5131, ""zh"", ""en"")"),"Amazon garbage left corner of the key problems. Wrapped hand obviously taken apart, without any explanation. China Amazon is garbage.")</f>
        <v>Amazon garbage left corner of the key problems. Wrapped hand obviously taken apart, without any explanation. China Amazon is garbage.</v>
      </c>
    </row>
    <row r="5132">
      <c r="A5132" s="1">
        <v>1.0</v>
      </c>
      <c r="B5132" s="1" t="s">
        <v>5111</v>
      </c>
      <c r="C5132" t="str">
        <f>IFERROR(__xludf.DUMMYFUNCTION("GOOGLETRANSLATE(B5132, ""zh"", ""en"")"),"A star! 88 hip wearing a little loose, comfortable fabric is very thin. In fact, this is not the focus, the focus is for them to say the reason, crotch with meat! Very uncomfortable, do not wear, even six dollars to buy a bargain, it will not so be it, to"&amp;"o disappointing.")</f>
        <v>A star! 88 hip wearing a little loose, comfortable fabric is very thin. In fact, this is not the focus, the focus is for them to say the reason, crotch with meat! Very uncomfortable, do not wear, even six dollars to buy a bargain, it will not so be it, too disappointing.</v>
      </c>
    </row>
    <row r="5133">
      <c r="A5133" s="1">
        <v>4.0</v>
      </c>
      <c r="B5133" s="1" t="s">
        <v>5112</v>
      </c>
      <c r="C5133" t="str">
        <f>IFERROR(__xludf.DUMMYFUNCTION("GOOGLETRANSLATE(B5133, ""zh"", ""en"")"),"If you want to wear loose points, you can buy a bigger size. If you want to wear loose points, you can buy a bigger size.")</f>
        <v>If you want to wear loose points, you can buy a bigger size. If you want to wear loose points, you can buy a bigger size.</v>
      </c>
    </row>
    <row r="5134">
      <c r="A5134" s="1">
        <v>4.0</v>
      </c>
      <c r="B5134" s="1" t="s">
        <v>5113</v>
      </c>
      <c r="C5134" t="str">
        <f>IFERROR(__xludf.DUMMYFUNCTION("GOOGLETRANSLATE(B5134, ""zh"", ""en"")"),"Suitable dimensions suitable size, according to available Ouma purchased abroad, 41 yards usually wear, the shoes of 7.5M (41 yards) long display shoe is 255mm, suitable; very comfortable to wear, the shoes slightly thinner walls, long in Harbin minus 20-"&amp;"degree cold should carefully look at the surface a little scratch, you can also glue, the overall impression is good; shoes made in china")</f>
        <v>Suitable dimensions suitable size, according to available Ouma purchased abroad, 41 yards usually wear, the shoes of 7.5M (41 yards) long display shoe is 255mm, suitable; very comfortable to wear, the shoes slightly thinner walls, long in Harbin minus 20-degree cold should carefully look at the surface a little scratch, you can also glue, the overall impression is good; shoes made in china</v>
      </c>
    </row>
    <row r="5135">
      <c r="A5135" s="1">
        <v>4.0</v>
      </c>
      <c r="B5135" s="1" t="s">
        <v>5114</v>
      </c>
      <c r="C5135" t="str">
        <f>IFERROR(__xludf.DUMMYFUNCTION("GOOGLETRANSLATE(B5135, ""zh"", ""en"")"),"Also hoping to improve under orders to get the goods on the same days with the domestic logistics a bit worried about is not genuine")</f>
        <v>Also hoping to improve under orders to get the goods on the same days with the domestic logistics a bit worried about is not genuine</v>
      </c>
    </row>
    <row r="5136">
      <c r="A5136" s="1">
        <v>4.0</v>
      </c>
      <c r="B5136" s="1" t="s">
        <v>5115</v>
      </c>
      <c r="C5136" t="str">
        <f>IFERROR(__xludf.DUMMYFUNCTION("GOOGLETRANSLATE(B5136, ""zh"", ""en"")"),"Inadequate, suspect is about to buy fake shoes Neither shoe is not the same, look at that position laces, shoelaces right oblique some of the obvious. Rubberized uppers is not very good")</f>
        <v>Inadequate, suspect is about to buy fake shoes Neither shoe is not the same, look at that position laces, shoelaces right oblique some of the obvious. Rubberized uppers is not very good</v>
      </c>
    </row>
    <row r="5137">
      <c r="A5137" s="1">
        <v>4.0</v>
      </c>
      <c r="B5137" s="1" t="s">
        <v>5116</v>
      </c>
      <c r="C5137" t="str">
        <f>IFERROR(__xludf.DUMMYFUNCTION("GOOGLETRANSLATE(B5137, ""zh"", ""en"")"),"Very plain jeans for the first time to buy LEE jeans, Sure to buy big, buy big 40 yards waistline 101, 38 just does not affect the use, to change to change can wear, to buy time to pay attention to is straight Slim, or loose and comfortable, the product o"&amp;"f the title is clearly written, to look carefully. Unremarkable pair of jeans, compare prices stood there")</f>
        <v>Very plain jeans for the first time to buy LEE jeans, Sure to buy big, buy big 40 yards waistline 101, 38 just does not affect the use, to change to change can wear, to buy time to pay attention to is straight Slim, or loose and comfortable, the product of the title is clearly written, to look carefully. Unremarkable pair of jeans, compare prices stood there</v>
      </c>
    </row>
    <row r="5138">
      <c r="A5138" s="1">
        <v>5.0</v>
      </c>
      <c r="B5138" s="1" t="s">
        <v>5117</v>
      </c>
      <c r="C5138" t="str">
        <f>IFERROR(__xludf.DUMMYFUNCTION("GOOGLETRANSLATE(B5138, ""zh"", ""en"")"),"First Tucao about very palatable bottle packaging, packaging or Amazon's elegant as always, if it is given away, it is probably more ugly distortion box. Of course, eventually to return to the quality of goods, really good, soft bottle, seal ring and nipp"&amp;"le shape, are well-designed.")</f>
        <v>First Tucao about very palatable bottle packaging, packaging or Amazon's elegant as always, if it is given away, it is probably more ugly distortion box. Of course, eventually to return to the quality of goods, really good, soft bottle, seal ring and nipple shape, are well-designed.</v>
      </c>
    </row>
    <row r="5139">
      <c r="A5139" s="1">
        <v>5.0</v>
      </c>
      <c r="B5139" s="1" t="s">
        <v>5118</v>
      </c>
      <c r="C5139" t="str">
        <f>IFERROR(__xludf.DUMMYFUNCTION("GOOGLETRANSLATE(B5139, ""zh"", ""en"")"),"Parent-child cap well, money can be used with children with parent-child")</f>
        <v>Parent-child cap well, money can be used with children with parent-child</v>
      </c>
    </row>
    <row r="5140">
      <c r="A5140" s="1">
        <v>5.0</v>
      </c>
      <c r="B5140" s="1" t="s">
        <v>5119</v>
      </c>
      <c r="C5140" t="str">
        <f>IFERROR(__xludf.DUMMYFUNCTION("GOOGLETRANSLATE(B5140, ""zh"", ""en"")"),"k k I weight 140 high 165 pants to wear this just right, the length of the right size")</f>
        <v>k k I weight 140 high 165 pants to wear this just right, the length of the right size</v>
      </c>
    </row>
    <row r="5141">
      <c r="A5141" s="1">
        <v>5.0</v>
      </c>
      <c r="B5141" s="1" t="s">
        <v>5120</v>
      </c>
      <c r="C5141" t="str">
        <f>IFERROR(__xludf.DUMMYFUNCTION("GOOGLETRANSLATE(B5141, ""zh"", ""en"")"),"Yes, I 175CM, 86KG, fat people belong, belly large, L code is fit, except there a little tight belly a little bit. Quality is no problem, shirt three colors is also very good. Before I bought this with the same three-piece bottoming shirt XL code of CK, j"&amp;"ust buy big a yard.")</f>
        <v>Yes, I 175CM, 86KG, fat people belong, belly large, L code is fit, except there a little tight belly a little bit. Quality is no problem, shirt three colors is also very good. Before I bought this with the same three-piece bottoming shirt XL code of CK, just buy big a yard.</v>
      </c>
    </row>
    <row r="5142">
      <c r="A5142" s="1">
        <v>5.0</v>
      </c>
      <c r="B5142" s="1" t="s">
        <v>5121</v>
      </c>
      <c r="C5142" t="str">
        <f>IFERROR(__xludf.DUMMYFUNCTION("GOOGLETRANSLATE(B5142, ""zh"", ""en"")"),"Nice slim pants Slim pants type version, elastic, fabric soft and comfortable to wear, size is consistent with the country.")</f>
        <v>Nice slim pants Slim pants type version, elastic, fabric soft and comfortable to wear, size is consistent with the country.</v>
      </c>
    </row>
    <row r="5143">
      <c r="A5143" s="1">
        <v>5.0</v>
      </c>
      <c r="B5143" s="1" t="s">
        <v>5122</v>
      </c>
      <c r="C5143" t="str">
        <f>IFERROR(__xludf.DUMMYFUNCTION("GOOGLETRANSLATE(B5143, ""zh"", ""en"")"),"Value! Read reviews, deliberately bought a big yard and a half, the result was very appropriate, it is the Amazon to buy the fourth double puma. In addition to this there is a double scratch flaw, the other is perfect, it is understood shipped over across"&amp;" the sea, it is inevitable. In short really like this color double up! ! !")</f>
        <v>Value! Read reviews, deliberately bought a big yard and a half, the result was very appropriate, it is the Amazon to buy the fourth double puma. In addition to this there is a double scratch flaw, the other is perfect, it is understood shipped over across the sea, it is inevitable. In short really like this color double up! ! !</v>
      </c>
    </row>
    <row r="5144">
      <c r="A5144" s="1">
        <v>5.0</v>
      </c>
      <c r="B5144" s="1" t="s">
        <v>5123</v>
      </c>
      <c r="C5144" t="str">
        <f>IFERROR(__xludf.DUMMYFUNCTION("GOOGLETRANSLATE(B5144, ""zh"", ""en"")"),"Pretty been using insulation pot Zojirushi, nice and insulation can")</f>
        <v>Pretty been using insulation pot Zojirushi, nice and insulation can</v>
      </c>
    </row>
    <row r="5145">
      <c r="A5145" s="1">
        <v>5.0</v>
      </c>
      <c r="B5145" s="1" t="s">
        <v>5124</v>
      </c>
      <c r="C5145" t="str">
        <f>IFERROR(__xludf.DUMMYFUNCTION("GOOGLETRANSLATE(B5145, ""zh"", ""en"")"),"Very satisfied with the shopping. Color models are like, very satisfied.")</f>
        <v>Very satisfied with the shopping. Color models are like, very satisfied.</v>
      </c>
    </row>
    <row r="5146">
      <c r="A5146" s="1">
        <v>5.0</v>
      </c>
      <c r="B5146" s="1" t="s">
        <v>5125</v>
      </c>
      <c r="C5146" t="str">
        <f>IFERROR(__xludf.DUMMYFUNCTION("GOOGLETRANSLATE(B5146, ""zh"", ""en"")"),"Writing fluency font thick, connecting screws loose pen, write up a little shake, but also very lightweight plastic pen, the writing of the total force big worry will damage the way, but such worries are unnecessary. The water is very fluent in uniform, w"&amp;"ith which I began this lazy to read and write up.")</f>
        <v>Writing fluency font thick, connecting screws loose pen, write up a little shake, but also very lightweight plastic pen, the writing of the total force big worry will damage the way, but such worries are unnecessary. The water is very fluent in uniform, with which I began this lazy to read and write up.</v>
      </c>
    </row>
    <row r="5147">
      <c r="A5147" s="1">
        <v>5.0</v>
      </c>
      <c r="B5147" s="1" t="s">
        <v>5126</v>
      </c>
      <c r="C5147" t="str">
        <f>IFERROR(__xludf.DUMMYFUNCTION("GOOGLETRANSLATE(B5147, ""zh"", ""en"")"),"Inexpensive foot feeling very good, specific look to wear down")</f>
        <v>Inexpensive foot feeling very good, specific look to wear down</v>
      </c>
    </row>
    <row r="5148">
      <c r="A5148" s="1">
        <v>5.0</v>
      </c>
      <c r="B5148" s="1" t="s">
        <v>5127</v>
      </c>
      <c r="C5148" t="str">
        <f>IFERROR(__xludf.DUMMYFUNCTION("GOOGLETRANSLATE(B5148, ""zh"", ""en"")"),"Thick, heavy! December 28 Kusakabe single, only to No. 15 January. Pants are very thick, very heavy, wear appropriate winter. Internal thread trousers slightly. Overall recommend the purchase.")</f>
        <v>Thick, heavy! December 28 Kusakabe single, only to No. 15 January. Pants are very thick, very heavy, wear appropriate winter. Internal thread trousers slightly. Overall recommend the purchase.</v>
      </c>
    </row>
    <row r="5149">
      <c r="A5149" s="1">
        <v>5.0</v>
      </c>
      <c r="B5149" s="1" t="s">
        <v>5128</v>
      </c>
      <c r="C5149" t="str">
        <f>IFERROR(__xludf.DUMMYFUNCTION("GOOGLETRANSLATE(B5149, ""zh"", ""en"")"),"Recommended to buy 918+ placed in use, less noise, much smaller than the enterprise disc sound, measured 160m / s or so. Accepted.")</f>
        <v>Recommended to buy 918+ placed in use, less noise, much smaller than the enterprise disc sound, measured 160m / s or so. Accepted.</v>
      </c>
    </row>
    <row r="5150">
      <c r="A5150" s="1">
        <v>5.0</v>
      </c>
      <c r="B5150" s="1" t="s">
        <v>5129</v>
      </c>
      <c r="C5150" t="str">
        <f>IFERROR(__xludf.DUMMYFUNCTION("GOOGLETRANSLATE(B5150, ""zh"", ""en"")"),"Very satisfied! like")</f>
        <v>Very satisfied! like</v>
      </c>
    </row>
    <row r="5151">
      <c r="A5151" s="1">
        <v>5.0</v>
      </c>
      <c r="B5151" s="1" t="s">
        <v>5130</v>
      </c>
      <c r="C5151" t="str">
        <f>IFERROR(__xludf.DUMMYFUNCTION("GOOGLETRANSLATE(B5151, ""zh"", ""en"")"),"Chinese need no instructions in Chinese, it is recommended to add")</f>
        <v>Chinese need no instructions in Chinese, it is recommended to add</v>
      </c>
    </row>
    <row r="5152">
      <c r="A5152" s="1">
        <v>5.0</v>
      </c>
      <c r="B5152" s="1" t="s">
        <v>5131</v>
      </c>
      <c r="C5152" t="str">
        <f>IFERROR(__xludf.DUMMYFUNCTION("GOOGLETRANSLATE(B5152, ""zh"", ""en"")"),"Good use to buy two, in which a box is opened, but the parts are sealed inside the host alone, so I left a very good use, affordable ~")</f>
        <v>Good use to buy two, in which a box is opened, but the parts are sealed inside the host alone, so I left a very good use, affordable ~</v>
      </c>
    </row>
    <row r="5153">
      <c r="A5153" s="1">
        <v>5.0</v>
      </c>
      <c r="B5153" s="1" t="s">
        <v>5132</v>
      </c>
      <c r="C5153" t="str">
        <f>IFERROR(__xludf.DUMMYFUNCTION("GOOGLETRANSLATE(B5153, ""zh"", ""en"")"),"Sleek, compact out more convenient to pay attention to the size of the price of doing little more than two hundred twenty Meng reference to you")</f>
        <v>Sleek, compact out more convenient to pay attention to the size of the price of doing little more than two hundred twenty Meng reference to you</v>
      </c>
    </row>
    <row r="5154">
      <c r="A5154" s="1">
        <v>5.0</v>
      </c>
      <c r="B5154" s="1" t="s">
        <v>5133</v>
      </c>
      <c r="C5154" t="str">
        <f>IFERROR(__xludf.DUMMYFUNCTION("GOOGLETRANSLATE(B5154, ""zh"", ""en"")"),"More cost-effective should be genuine, more cost-effective.")</f>
        <v>More cost-effective should be genuine, more cost-effective.</v>
      </c>
    </row>
    <row r="5155">
      <c r="A5155" s="1">
        <v>5.0</v>
      </c>
      <c r="B5155" s="1" t="s">
        <v>5134</v>
      </c>
      <c r="C5155" t="str">
        <f>IFERROR(__xludf.DUMMYFUNCTION("GOOGLETRANSLATE(B5155, ""zh"", ""en"")"),"Not only say that like a general store with a rare retreat is not the same")</f>
        <v>Not only say that like a general store with a rare retreat is not the same</v>
      </c>
    </row>
    <row r="5156">
      <c r="A5156" s="1">
        <v>5.0</v>
      </c>
      <c r="B5156" s="1" t="s">
        <v>5135</v>
      </c>
      <c r="C5156" t="str">
        <f>IFERROR(__xludf.DUMMYFUNCTION("GOOGLETRANSLATE(B5156, ""zh"", ""en"")"),"Very safe volume is particularly suited to carry, compared to the previous 1T, to sink some sense of security, it may rain.")</f>
        <v>Very safe volume is particularly suited to carry, compared to the previous 1T, to sink some sense of security, it may rain.</v>
      </c>
    </row>
    <row r="5157">
      <c r="A5157" s="1">
        <v>5.0</v>
      </c>
      <c r="B5157" s="1" t="s">
        <v>5136</v>
      </c>
      <c r="C5157" t="str">
        <f>IFERROR(__xludf.DUMMYFUNCTION("GOOGLETRANSLATE(B5157, ""zh"", ""en"")"),"Good things, like to thank the Amazon, to buy so cheap ecco, the right size")</f>
        <v>Good things, like to thank the Amazon, to buy so cheap ecco, the right size</v>
      </c>
    </row>
    <row r="5158">
      <c r="A5158" s="1">
        <v>5.0</v>
      </c>
      <c r="B5158" s="1" t="s">
        <v>5137</v>
      </c>
      <c r="C5158" t="str">
        <f>IFERROR(__xludf.DUMMYFUNCTION("GOOGLETRANSLATE(B5158, ""zh"", ""en"")"),"Packaging is not too simple packaging, so he came streaking across the seas. Fortunately, no damage, the filter is an upgraded version, the date is also fresh.")</f>
        <v>Packaging is not too simple packaging, so he came streaking across the seas. Fortunately, no damage, the filter is an upgraded version, the date is also fresh.</v>
      </c>
    </row>
    <row r="5159">
      <c r="A5159" s="1">
        <v>5.0</v>
      </c>
      <c r="B5159" s="1" t="s">
        <v>5138</v>
      </c>
      <c r="C5159" t="str">
        <f>IFERROR(__xludf.DUMMYFUNCTION("GOOGLETRANSLATE(B5159, ""zh"", ""en"")"),"Well my height 168, weight 50kg, Japanese version of the L code just right.")</f>
        <v>Well my height 168, weight 50kg, Japanese version of the L code just right.</v>
      </c>
    </row>
    <row r="5160">
      <c r="A5160" s="1">
        <v>2.0</v>
      </c>
      <c r="B5160" s="1" t="s">
        <v>5139</v>
      </c>
      <c r="C5160" t="str">
        <f>IFERROR(__xludf.DUMMYFUNCTION("GOOGLETRANSLATE(B5160, ""zh"", ""en"")"),"Product quality problems I wear for a day, the next day to see, there are quality problems, the box also lost!")</f>
        <v>Product quality problems I wear for a day, the next day to see, there are quality problems, the box also lost!</v>
      </c>
    </row>
    <row r="5161">
      <c r="A5161" s="1">
        <v>3.0</v>
      </c>
      <c r="B5161" s="1" t="s">
        <v>5140</v>
      </c>
      <c r="C5161" t="str">
        <f>IFERROR(__xludf.DUMMYFUNCTION("GOOGLETRANSLATE(B5161, ""zh"", ""en"")"),"Good shoes, a little flawed ideas on it. 1. The shoe is very good, but the official website of the Amazon to the size chart and size chart gives Timberland is not the same. I bought by Amazon, a big one centimeter wear feeling a little big, but think of t"&amp;"he return time, no problem, Minato live through it. Adidas shoes to wear 42, this time to buy the 9.5, 8.5 should buy. 2. Amazon's customer service is very good, but the expected date of delivery date is not accurate enough, because this late date I go ho"&amp;"me for two days, although the call to the back of the freight. So I said good customer service, I hope Amazon can refine perfect delivery. 3. thanks Amazon, even though there is some question, after all, provides us with a new shopping channel.")</f>
        <v>Good shoes, a little flawed ideas on it. 1. The shoe is very good, but the official website of the Amazon to the size chart and size chart gives Timberland is not the same. I bought by Amazon, a big one centimeter wear feeling a little big, but think of the return time, no problem, Minato live through it. Adidas shoes to wear 42, this time to buy the 9.5, 8.5 should buy. 2. Amazon's customer service is very good, but the expected date of delivery date is not accurate enough, because this late date I go home for two days, although the call to the back of the freight. So I said good customer service, I hope Amazon can refine perfect delivery. 3. thanks Amazon, even though there is some question, after all, provides us with a new shopping channel.</v>
      </c>
    </row>
    <row r="5162">
      <c r="A5162" s="1">
        <v>3.0</v>
      </c>
      <c r="B5162" s="1" t="s">
        <v>5141</v>
      </c>
      <c r="C5162" t="str">
        <f>IFERROR(__xludf.DUMMYFUNCTION("GOOGLETRANSLATE(B5162, ""zh"", ""en"")"),"Carlo Chi quality deteriorates to wear for a month or so, which has come unglued, and now Carlo Chi quality is really getting worse, large price high quality has declined, really disappointed!")</f>
        <v>Carlo Chi quality deteriorates to wear for a month or so, which has come unglued, and now Carlo Chi quality is really getting worse, large price high quality has declined, really disappointed!</v>
      </c>
    </row>
    <row r="5163">
      <c r="A5163" s="1">
        <v>1.0</v>
      </c>
      <c r="B5163" s="1" t="s">
        <v>5142</v>
      </c>
      <c r="C5163" t="str">
        <f>IFERROR(__xludf.DUMMYFUNCTION("GOOGLETRANSLATE(B5163, ""zh"", ""en"")"),"There are many flaws! Too lazy to hit the customer service phone ink! ! But Amazon's customer service really good! Serious flaw, several places rub skin! ! I do not understand, do not discount the Amazon to buy something you are defective have it? ? If it"&amp;" is not the sole clean, I would suspect someone else through! !")</f>
        <v>There are many flaws! Too lazy to hit the customer service phone ink! ! But Amazon's customer service really good! Serious flaw, several places rub skin! ! I do not understand, do not discount the Amazon to buy something you are defective have it? ? If it is not the sole clean, I would suspect someone else through! !</v>
      </c>
    </row>
    <row r="5164">
      <c r="A5164" s="1">
        <v>1.0</v>
      </c>
      <c r="B5164" s="1" t="s">
        <v>5143</v>
      </c>
      <c r="C5164" t="str">
        <f>IFERROR(__xludf.DUMMYFUNCTION("GOOGLETRANSLATE(B5164, ""zh"", ""en"")"),"Product description is inconsistent too simple, even a manual are not! I was given H70455133, the table is H704450, is not a mistake! For the first time here shopping, encountered such a thing!")</f>
        <v>Product description is inconsistent too simple, even a manual are not! I was given H70455133, the table is H704450, is not a mistake! For the first time here shopping, encountered such a thing!</v>
      </c>
    </row>
    <row r="5165">
      <c r="A5165" s="1">
        <v>1.0</v>
      </c>
      <c r="B5165" s="1" t="s">
        <v>5144</v>
      </c>
      <c r="C5165" t="str">
        <f>IFERROR(__xludf.DUMMYFUNCTION("GOOGLETRANSLATE(B5165, ""zh"", ""en"")"),"The pen is a real pen, and physical description does not match and there is no call boxes and carry bags, pen is packed in a very simple little box, then the direct use of paper bags wrapped gets here, what measures did not even shock, Pencil is pressed o"&amp;"ut of shape when sent. Poor Poor!")</f>
        <v>The pen is a real pen, and physical description does not match and there is no call boxes and carry bags, pen is packed in a very simple little box, then the direct use of paper bags wrapped gets here, what measures did not even shock, Pencil is pressed out of shape when sent. Poor Poor!</v>
      </c>
    </row>
    <row r="5166">
      <c r="A5166" s="1">
        <v>4.0</v>
      </c>
      <c r="B5166" s="1" t="s">
        <v>5145</v>
      </c>
      <c r="C5166" t="str">
        <f>IFERROR(__xludf.DUMMYFUNCTION("GOOGLETRANSLATE(B5166, ""zh"", ""en"")"),"Prefer simple and elegant, simple and elegant overall design, smooth writing. That is a little heavy, after changing the ink sac ink is delayed.")</f>
        <v>Prefer simple and elegant, simple and elegant overall design, smooth writing. That is a little heavy, after changing the ink sac ink is delayed.</v>
      </c>
    </row>
    <row r="5167">
      <c r="A5167" s="1">
        <v>4.0</v>
      </c>
      <c r="B5167" s="1" t="s">
        <v>5146</v>
      </c>
      <c r="C5167" t="str">
        <f>IFERROR(__xludf.DUMMYFUNCTION("GOOGLETRANSLATE(B5167, ""zh"", ""en"")"),"It stocking has been in use, although the line 180, but can hold about 240, and storage convenience than other! Flat put more space-saving!")</f>
        <v>It stocking has been in use, although the line 180, but can hold about 240, and storage convenience than other! Flat put more space-saving!</v>
      </c>
    </row>
    <row r="5168">
      <c r="A5168" s="1">
        <v>4.0</v>
      </c>
      <c r="B5168" s="1" t="s">
        <v>5147</v>
      </c>
      <c r="C5168" t="str">
        <f>IFERROR(__xludf.DUMMYFUNCTION("GOOGLETRANSLATE(B5168, ""zh"", ""en"")"),"Generally like a general, see comment Recommend buy")</f>
        <v>Generally like a general, see comment Recommend buy</v>
      </c>
    </row>
    <row r="5169">
      <c r="A5169" s="1">
        <v>4.0</v>
      </c>
      <c r="B5169" s="1" t="s">
        <v>5148</v>
      </c>
      <c r="C5169" t="str">
        <f>IFERROR(__xludf.DUMMYFUNCTION("GOOGLETRANSLATE(B5169, ""zh"", ""en"")"),"😊 42 Ma just good to wear very comfortable")</f>
        <v>😊 42 Ma just good to wear very comfortable</v>
      </c>
    </row>
    <row r="5170">
      <c r="A5170" s="1">
        <v>5.0</v>
      </c>
      <c r="B5170" s="1" t="s">
        <v>5149</v>
      </c>
      <c r="C5170" t="str">
        <f>IFERROR(__xludf.DUMMYFUNCTION("GOOGLETRANSLATE(B5170, ""zh"", ""en"")"),"Absolutely authentic stuff very satisfied with wearing very comfortable")</f>
        <v>Absolutely authentic stuff very satisfied with wearing very comfortable</v>
      </c>
    </row>
    <row r="5171">
      <c r="A5171" s="1">
        <v>5.0</v>
      </c>
      <c r="B5171" s="1" t="s">
        <v>5150</v>
      </c>
      <c r="C5171" t="str">
        <f>IFERROR(__xludf.DUMMYFUNCTION("GOOGLETRANSLATE(B5171, ""zh"", ""en"")"),"Small style OK &lt;div id = ""video-block-R1COVEMAXEE6CN"" class = ""a-section a-spacing-small a-spacing-top-mini video-block""&gt; &lt;div tabindex = ""0"" class = ""airy airy -svg vmin-unsupported airy-skin-beacon ""style ="" background-color: rgb (0, 0, 0); pos"&amp;"ition: relative; width: 100%; height: 100%; font-size: 0px; overflow: hidden ; outline: none; ""&gt; &lt;div class ="" airy-renderer-container ""style ="" position: relative; height: 100%; width: 100%; ""&gt; &lt;video id ="" 7 ""preload ="" auto ""src = ""https://im"&amp;"ages-cn.ssl-images-amazon.com/images/I/81XAPmkw1zS.mp4"" style = ""position: absolute; left: 0px; top: 0px; overflow: hidden; height: 1px; width : 1px; ""&gt; &lt;/ video&gt; &lt;/ div&gt; &lt;div id ="" airy-slate-preload ""style ="" background-color: rgb (0, 0, 0); backg"&amp;"round-image: url (&amp; quot; https: //images-cn.ssl-images-amazon.com/images/I/81o4974k4YS.png&amp;quot;); background-size: contain; background-position: center center; background-repeat: no-repeat; position: absolute; top : 0px; left: 0px; visibility: visible; "&amp;"width: 100%; height: 100%; ""&gt; &lt;/ div&gt; &lt;iframe scrolling = ""No"" frameborder = ""0"" src = ""about: blank"" style = ""display: none;""&gt; &lt;/ iframe&gt; &lt;div tabindex = ""- 1"" class = ""airy-controls-container"" style = ""opacity : 0; visibility: hidden; ""&gt; "&amp;"&lt;div tabindex ="" - 1 ""class ="" airy-screen-size-toggle airy-fullscreen ""&gt; &lt;/ div&gt; &lt;div tabindex ="" - 1 ""class ="" airy-container -bottom ""&gt; &lt;div tabindex ="" - 1 ""class ="" airy-track-bar-spacer-left ""style ="" width: 11px; ""&gt; &lt;/ div&gt; &lt;div tabin"&amp;"dex ="" - 1 ""class ="" airy -play-toggle airy-play ""style ="" width: 12px; margin-right: 12px; ""&gt; &lt;/ div&gt; &lt;div tabindex ="" - 1 ""class ="" airy-audio-elements ""style ="" float: right ; width: 34px; ""&gt; &lt;div tabindex ="" - 1 ""class ="" airy-audio-tog"&amp;"gle airy-on ""&gt; &lt;/ div&gt; &lt;div tabindex ="" - 1 ""class ="" airy-audio-container ""style = ""opacity: 0; visibility: hidden;""&gt; &lt;div tabindex = ""- 1"" class = ""airy-audio-track-bar"" style = ""height: 80%;""&gt; &lt;div tabindex = ""- 1"" class = ""airy-audio-s"&amp;"crubber-bar"" style = ""height: 85%;""&gt; &lt;/ div&gt; &lt;div tabindex = ""- 1"" class = ""airy-audio-scrubber"" style = ""height: 12px; bottom: 85%; ""&gt; &lt;/ div&gt; &lt;/ div&gt; &lt;/ div&gt; &lt;/ div&gt; &lt;div tabindex ="" - 1 ""class ="" airy-duration-label ""styl e = ""float: righ"&amp;"t; width: 26px; margin-right: 4px; text-align: center;""&gt; 0:05 &lt;/ div&gt; &lt;div tabindex = ""- 1"" class = ""airy-track-bar-spacer -right ""style ="" float: right; width: 11px; ""&gt; &lt;/ div&gt; &lt;div tabindex ="" - 1 ""class ="" airy-track-bar-container ""style ="""&amp;" margin-left: 35px; margin- right: 75px; ""&gt; &lt;div tabindex ="" - 1 ""class ="" airy-track-bar airy-vertical-centering-table ""&gt; &lt;div tabindex ="" - 1 ""class ="" airy-vertical-centering-table- cell ""&gt; &lt;div tabindex ="" - 1 ""class ="" airy-track-bar-elem"&amp;"ents ""&gt; &lt;div tabindex ="" - 1 ""class ="" airy-progress-bar ""style ="" width: 100%; ""&gt; &lt;/ div&gt; &lt;div tabindex = ""- 1"" class = ""airy-scrubber-bar""&gt; &lt;/ div&gt; &lt;div tabindex = ""- 1"" class = ""airy-scrubber""&gt; &lt;div tabindex = ""- 1"" class = ""airy-scru"&amp;"bber-icon""&gt; &lt;/ div&gt; &lt;div tabindex = ""- 1"" class = ""airy-adjusted-aui-tooltip"" style = ""opacity: 0; visibility: hidden;""&gt; &lt;div tabindex = ""-1"" class = ""airy-adjusted-aui-tooltip-inner""&gt; &lt;div tabindex = ""- 1"" class = ""airy-current-time-label"""&amp;"&gt; 0:00 &lt;/ div&gt; &lt;/ div&gt; &lt; div tabindex = ""- 1"" class = ""airy-adjusted-aui-arrow-border""&gt; &lt;div tabindex = ""- 1"" class = ""airy-adjusted-aui-arr ow ""&gt; &lt;/ div&gt; &lt;/ div&gt; &lt;/ div&gt; &lt;/ div&gt; &lt;/ div&gt; &lt;/ div&gt; &lt;/ div&gt; &lt;/ div&gt; &lt;/ div&gt; &lt;/ div&gt; &lt;div tabindex ="" - "&amp;"1 ""class ="" airy-age-gate airy-stage airy-vertical-centering-table airy-dialog ""style ="" opacity: 0; visibility: hidden; ""&gt; &lt;div tabindex ="" - 1 ""class ="" airy-age -gate-vertical-centering-table-cell airy-vertical-centering-table-cell ""&gt; &lt;div tab"&amp;"index ="" - 1 ""class ="" airy-vertical-centering-wrapper airy-age-gate-elements-wrapper ""&gt; &lt;div tabindex = ""- 1"" class = ""airy-age-gate-elements airy-dialog-elements""&gt; &lt;div tabindex = ""- 1"" class = ""airy-age-gate-prompt""&gt; This video is not inten"&amp;"ded . for all audiences What date were you born &lt;/ div&gt; &lt;div tabindex = ""- 1"" class = ""airy-age-gate-inputs airy-dialog-inner-elements""&gt;? &lt;select tabindex = ""- 1"" class = ""airy-age-gate-month""&gt; &lt;option value = ""1""&gt; January &lt;/ option&gt; &lt;option val"&amp;"ue = ""2""&gt; February &lt;/ option&gt; &lt;option value = ""3""&gt; March &lt;/ option&gt; &lt;option value = ""4""&gt; April &lt;/ option&gt; &lt;option value = ""5""&gt; May &lt;/ option&gt; &lt;option value = ""6""&gt; June &lt;/ option&gt; &lt;option value = ""7""&gt; July &lt;/ option&gt; &lt;option value = ""8""&gt; Augu"&amp;"st &lt;/ option&gt; &lt;option value = ""9""&gt; September &lt; / Option&gt; &lt;option value = ""10""&gt; October &lt;/ option&gt; &lt;option value = ""11""&gt; November &lt;/ option&gt; &lt;option value = ""12""&gt; December &lt;/ option&gt; &lt;/ select&gt; &lt;select tabindex = ""-1"" class = ""airy-age-gate-day"&amp;"""&gt; &lt;option value = ""1""&gt; 1 &lt;/ option&gt; &lt;option value = ""2""&gt; 2 &lt;/ option&gt; &lt;option value = ""3""&gt; 3 &lt;/ option&gt; &lt;option value = ""4""&gt; 4 &lt;/ option&gt; &lt;option value = ""5""&gt; 5 &lt;/ option&gt; &lt;option value = ""6""&gt; 6 &lt;/ option&gt; &lt;option value = ""7 ""&gt; 7 &lt;/ option"&amp;"&gt; &lt;option value ="" 8 ""&gt; 8 &lt;/ option&gt; &lt;option value ="" 9 ""&gt; 9 &lt;/ option&gt; &lt;option value ="" 10 ""&gt; 10 &lt;/ option&gt; &lt;option value = ""11""&gt; 11 &lt;/ option&gt; &lt;option value = ""12""&gt; 12 &lt;/ option&gt; &lt;option value = ""13""&gt; 13 &lt;/ option&gt; &lt;option value = ""14""&gt; 14"&amp;" &lt;/ option&gt; &lt;option value = ""15""&gt; 15 &lt;/ option&gt; &lt;option value = ""16""&gt; 16 &lt;/ option&gt; &lt;option value = ""17""&gt; 17 &lt;/ option&gt; &lt;option value = ""18""&gt; 18 &lt;/ option&gt; &lt;option value = ""19""&gt; 19 &lt;/ option&gt; &lt;option value = ""20""&gt; 20 &lt;/ option&gt; &lt;option value ="&amp;" ""21""&gt; 21 &lt;/ option&gt; &lt;option value = ""22""&gt; 22 &lt;/ option&gt; &lt;option value = ""23""&gt; 23 &lt;/ option&gt; &lt;option value = ""24""&gt; 24 &lt;/ option&gt; &lt;option value = ""25""&gt; 25 &lt;/ option&gt; &lt;option value = ""26""&gt; 26 &lt;/ option&gt; &lt;option value = ""27""&gt; 27 &lt;/ option&gt; &lt;opt"&amp;"ion value = ""28""&gt; 28 &lt;/ option&gt; &lt;optio n value = ""29""&gt; 29 &lt;/ option&gt; &lt;option value = ""30""&gt; 30 &lt;/ option&gt; &lt;option value = ""31""&gt; 31 &lt;/ option&gt; &lt;/ select&gt; &lt;select tabindex = ""- 1"" class = ""airy-age-gate-year""&gt; &lt;option value = ""2019""&gt; 2019 &lt;/ op"&amp;"tion&gt; &lt;option value = ""2018""&gt; 2018 &lt;/ option&gt; &lt;option value = ""2017""&gt; 2017 &lt;/ option &gt; &lt;option value = ""2016""&gt; ​​2016 &lt;/ option&gt; &lt;option value = ""2015""&gt; 2015 &lt;/ option&gt; &lt;option value = ""2014""&gt; 2014 &lt;/ option&gt; &lt;option value = ""2013""&gt; 2013 &lt; / o"&amp;"ption&gt; &lt;option value = ""2012""&gt; 2012 &lt;/ option&gt; &lt;option value = ""2011""&gt; 2011 &lt;/ option&gt; &lt;option value = ""2010""&gt; 2010 &lt;/ option&gt; &lt;option value = ""2009""&gt; 2009 &lt;/ option&gt; &lt;option value = ""2008""&gt; 2008 &lt;/ option&gt; &lt;option value = ""2007""&gt; 2007 &lt;/ opti"&amp;"on&gt; &lt;option value = ""2006""&gt; 2006 &lt;/ option&gt; &lt;option value = ""2005 ""&gt; 2005 &lt;/ option&gt; &lt;option value ="" 2004 ""&gt; 2004 &lt;/ option&gt; &lt;option value ="" 2003 ""&gt; 2003 &lt;/ option&gt; &lt;option value ="" 2002 ""&gt; 2002 &lt;/ option&gt; &lt;option value = ""2001""&gt; 2001 &lt;/ opt"&amp;"ion&gt; &lt;option value = ""2000""&gt; 2000 &lt;/ option&gt; &lt;option value = ""1999""&gt; 1999 &lt;/ option&gt; &lt;option value = ""1998""&gt; 1998 &lt;/ option&gt; &lt;option value = ""1997""&gt; 1997 &lt;/ option&gt; &lt;option value = ""1996""&gt; 1996 &lt;/ option&gt; &lt;option value = ""1995""&gt; 1995 &lt;/ option"&amp;"&gt; &lt;option value = ""1994""&gt; 1994 &lt;/ option&gt; &lt;option value = ""1993""&gt; 1993 &lt;/ option&gt; &lt;option value = ""1992""&gt; 1992 &lt;/ option&gt; &lt;option value = ""1991""&gt; 1991 &lt;/ option&gt; &lt;option value = ""1990""&gt; 1990 &lt;/ option&gt; &lt;option value = ""1989""&gt; 1989 &lt;/ option&gt; &lt;"&amp;"option value = ""1988""&gt; 1988 &lt;/ option&gt; &lt;option value = ""1987""&gt; 1987 &lt;/ option&gt; &lt;option value = ""1986""&gt; 1986 &lt;/ option&gt; &lt;option value = ""1985""&gt; 1985 &lt;/ option&gt; &lt;option value = ""1984""&gt; 1984 &lt;/ option&gt; &lt;option value = ""1983""&gt; 1983 &lt;/ option&gt; &lt;opt"&amp;"ion value = ""1982""&gt; 1982 &lt;/ option&gt; &lt;option value = ""1981""&gt; 1981 &lt;/ option&gt; &lt;option value = ""1980""&gt; 1980 &lt;/ option&gt; &lt;option value = ""1979"" &gt; 1979 &lt;/ option&gt; &lt;option value = ""1978""&gt; 1978 &lt;/ option&gt; &lt;option value = ""1977""&gt; 1977 &lt;/ option&gt; &lt;optio"&amp;"n value = ""1976""&gt; 1976 &lt;/ option&gt; &lt;option value = "" 1975 ""&gt; 1975 &lt;/ option&gt; &lt;option value ="" 1974 ""&gt; 1974 &lt;/ option&gt; &lt;option value ="" 1973 ""&gt; 1973 &lt;/ option&gt; &lt;option value ="" 1972 ""&gt; 1972 &lt;/ option&gt; &lt;option value = ""1971""&gt; 1971 &lt;/ option&gt; &lt;opt"&amp;"ion value = ""1970""&gt; 1970 &lt;/ option&gt; &lt;option value = ""1969""&gt; 1969 &lt;/ option&gt; &lt;option value = ""1968""&gt; 1968 &lt;/ option&gt; &lt; option value = ""1967""&gt; 1967 &lt;/ option&gt; &lt;option value = ""1966""&gt; 1966 &lt;/ option&gt; &lt;option value = ""1965""&gt; 1 965 &lt;/ option&gt; &lt;opti"&amp;"on value = ""1964""&gt; 1964 &lt;/ option&gt; &lt;option value = ""1963""&gt; 1963 &lt;/ option&gt; &lt;option value = ""1962""&gt; 1962 &lt;/ option&gt; &lt;option value = ""1961 ""&gt; 1961 &lt;/ option&gt; &lt;option value ="" 1960 ""&gt; 1960 &lt;/ option&gt; &lt;option value ="" 1959 ""&gt; 1959 &lt;/ option&gt; &lt;opti"&amp;"on value ="" 1958 ""&gt; 1958 &lt;/ option&gt; &lt;option value = ""1957""&gt; 1957 &lt;/ option&gt; &lt;option value = ""1956""&gt; 1956 &lt;/ option&gt; &lt;option value = ""1955""&gt; 1955 &lt;/ option&gt; &lt;option value = ""1954""&gt; 1954 &lt;/ option&gt; &lt;option value = ""1953""&gt; 1953 &lt;/ option&gt; &lt;option"&amp;" value = ""1952""&gt; 1952 &lt;/ option&gt; &lt;option value = ""1951""&gt; 1951 &lt;/ option&gt; &lt;option value = ""1950""&gt; 1950 &lt;/ option&gt; &lt;option value = ""1949""&gt; 1949 &lt;/ option&gt; &lt;option value = ""1948""&gt; 1948 &lt;/ option&gt; &lt;option value = ""1947""&gt; 1947 &lt;/ option&gt; &lt;option va"&amp;"lue = ""1946""&gt; 1946 &lt;/ option&gt; &lt;option value = ""1945""&gt; 1945 &lt;/ option&gt; &lt;option value = ""1944""&gt; 1944 &lt;/ option&gt; &lt;option value = ""1943""&gt; 1943 &lt;/ option&gt; &lt;option value = ""1942""&gt; 1942 &lt;/ option&gt; &lt;option value = ""1941""&gt; 1941 &lt;/ option&gt; &lt;option value"&amp;" = ""1940""&gt; 1940 &lt;/ option&gt; &lt;option value = ""1939""&gt; 1939 &lt;/ option&gt; &lt;option value = ""1938"" &gt; 1938 &lt;/ option&gt; &lt;option value = ""1937""&gt; 1937 &lt;/ option&gt; &lt;option value = ""1936""&gt; 1936 &lt;/ option&gt; &lt;o ption value = ""1935""&gt; 1935 &lt;/ option&gt; &lt;option value "&amp;"= ""1934""&gt; 1934 &lt;/ option&gt; &lt;option value = ""1933""&gt; 1933 &lt;/ option&gt; &lt;option value = ""1932""&gt; 1932 &lt;/ option &gt; &lt;option value = ""1931""&gt; 1931 &lt;/ option&gt; &lt;option value = ""1930""&gt; 1930 &lt;/ option&gt; &lt;option value = ""1929""&gt; 1929 &lt;/ option&gt; &lt;option value = "&amp;"""1928""&gt; 1928 &lt; / option&gt; &lt;option value = ""1927""&gt; 1927 &lt;/ option&gt; &lt;option value = ""1926""&gt; 1926 &lt;/ option&gt; &lt;option value = ""1925""&gt; 1925 &lt;/ option&gt; &lt;option value = ""1924""&gt; 1924 &lt;/ option&gt; &lt;option value = ""1923""&gt; 1923 &lt;/ option&gt; &lt;option value = """&amp;"1922""&gt; 1922 &lt;/ option&gt; &lt;option value = ""1921""&gt; 1921 &lt;/ option&gt; &lt;option value = ""1920 ""&gt; 1920 &lt;/ option&gt; &lt;option value ="" 1919 ""&gt; 1919 &lt;/ option&gt; &lt;option value ="" 1918 ""&gt; 1918 &lt;/ option&gt; &lt;option value ="" 1917 ""&gt; 1917 &lt;/ option&gt; &lt;option value = "&amp;"""1916""&gt; 1916 &lt;/ option&gt; &lt;option value = ""1915""&gt; 1915 &lt;/ option&gt; &lt;option value = ""1914""&gt; 1914 &lt;/ option&gt; &lt;option value = ""1913""&gt; 1913 &lt;/ option&gt; &lt;option value = ""1912""&gt; 1912 &lt;/ option&gt; &lt;option value = ""1911""&gt; 1911 &lt;/ option&gt; &lt;option value = ""1"&amp;"910""&gt; 1910 &lt;/ option&gt; &lt;option value = ""1909""&gt; 1909 &lt;/ option&gt; &lt;option value = ""1908""&gt; 1908 &lt;/ option&gt; &lt;option value = ""1907""&gt; 1907 &lt;/ option&gt; &lt;option value = ""1 906 ""&gt; 1906 &lt;/ option&gt; &lt;option value ="" 1905 ""&gt; 1905 &lt;/ option&gt; &lt;option value ="" 1"&amp;"904 ""&gt; 1904 &lt;/ option&gt; &lt;option value ="" 1903 ""&gt; 1903 &lt;/ option&gt; &lt;option value = ""1902""&gt; 1902 &lt;/ option&gt; &lt;option value = ""1901""&gt; 1901 &lt;/ option&gt; &lt;option value = ""1900""&gt; 1900 &lt;/ option&gt; &lt;/ select&gt; &lt;div tabindex = ""- 1"" class = ""airy-age-gate-sub"&amp;"mit airy-submit airy-button airy-submit-disabled""&gt; Submit &lt;/ div&gt; &lt;/ div&gt; &lt;/ div&gt; &lt;/ div&gt; &lt;/ div&gt; &lt;/ div&gt; &lt;div tabindex = ""-1"" class = ""airy-install-flash-dialog airy-stage airy-vertical-centering-table airy-dialog airy-denied"" style = ""opacity: 0; "&amp;"visibility: hidden;""&gt; &lt;div tabindex = ""- 1 ""class ="" airy-install-flash-vertical-centering-table-cell airy-vertical-centering-table-cell ""&gt; &lt;div tabindex ="" - 1 ""class ="" airy-vertical-centering-wrapper airy-install -flash-elements-wrapper ""&gt; &lt;di"&amp;"v tabindex ="" - 1 ""class ="" airy-install-flash-elements airy-dialog-elements ""&gt; &lt;div tabindex ="" - 1 ""class ="" airy-install-flash- prompt ""&gt; Adobe Flash Player is required to watch this video &lt;/ div&gt; &lt;div tabindex =."" - 1 ""class ="" airy-install"&amp;"-flash-button-wrapper airy-dialog-inner-elemen ts ""&gt; &lt;div tabindex ="" - 1 ""class ="" airy-install-flash-button airy-button ""&gt; Install Flash Player &lt;/ div&gt; &lt;/ div&gt; &lt;/ div&gt; &lt;/ div&gt; &lt;/ div&gt; &lt; / div&gt; &lt;div tabindex = ""- 1"" class = ""airy-video-unsupporte"&amp;"d-dialog airy-stage airy-vertical-centering-table airy-dialog airy-denied"" style = ""opacity: 0; visibility: hidden;"" &gt; &lt;div tabindex = ""- 1"" class = ""airy-video-unsupported-vertical-centering-table-cell airy-vertical-centering-table-cell""&gt; &lt;div tab"&amp;"index = ""- 1"" class = ""airy-vertical -centering-wrapper airy-video-unsupported-elements-wrapper ""&gt; &lt;div tabindex ="" - 1 ""class ="" airy-video-unsupported-elements airy-dialog-elements ""&gt; &lt;div tabindex ="" - 1 ""class = ""airy-video-unsupported-prom"&amp;"pt""&gt; &lt;/ div&gt; &lt;/ div&gt; &lt;/ div&gt; &lt;/ div&gt; &lt;/ div&gt; &lt;div tabindex = ""- 1"" class = ""airy-loading-spinner-stage airy- stage ""&gt; &lt;div tabindex ="" - 1 ""class ="" airy-loading-spinner-vertical-centering-table-cell airy-vertical-centering-table-cell ""&gt; &lt;div tab"&amp;"index ="" - 1 ""class ="" airy -loading-spinner-container airy-scalable-hint-container ""&gt; &lt;div tabindex ="" - 1 ""class ="" airy-loading-spinner-dummy airy-scalable- dummy ""&gt; &lt;/ div&gt; &lt;div tabindex ="" - 1 ""class ="" airy-loading-spinner airy-hint ""sty"&amp;"le ="" visibility: hidden; ""&gt; &lt;/ div&gt; &lt;/ div&gt; &lt;/ div&gt; &lt;/ div&gt; &lt;div tabindex = ""- 1"" class = ""airy-ads-screen-size-toggle airy-screen-size-toggle airy-fullscreen"" style = ""visibility: hidden;""&gt; &lt;/ div&gt; &lt;div tabindex = ""-1"" class = ""airy-ad-prompt"&amp;"-container"" style = ""visibility: hidden;""&gt; &lt;div tabindex = ""- 1"" class = ""airy-ad-prompt-vertical-centering-table airy-vertical- centering-table ""&gt; &lt;div tabindex ="" - 1 ""class ="" airy-ad-prompt-vertical-centering-table-cell airy-vertical-centeri"&amp;"ng-table-cell ""&gt; &lt;div tabindex ="" - 1 ""class = ""airy-ad-prompt-label""&gt; &lt;/ div&gt; &lt;/ div&gt; &lt;/ div&gt; &lt;/ div&gt; &lt;div tabindex = ""- 1"" class = ""airy-ads-controls-container"" style = ""visibility: hidden; ""&gt; &lt;div tabindex ="" - 1 ""class ="" airy-ads-audio-"&amp;"toggle airy-audio-toggle airy-on ""style ="" visibility: hidden; ""&gt; &lt;/ div&gt; &lt;div tabindex ="" - 1 ""class ="" airy-time-remaining-label-container ""&gt; &lt;div tabindex ="" - 1 ""class ="" airy-time-remaining-vertical-centering-table airy-vertical-centering-t"&amp;"able ""&gt; &lt;div tabindex = ""- 1"" class = ""airy-time -remaining-vertical-centering-table-cell airy-vertical-centering-table-cell ""&gt; &lt;div tabindex ="" - 1 ""class ="" airy-vertical-centering-wrapper airy-time-remaining-label-wrapper ""&gt; &lt;div tabindex = """&amp;"- 1"" class = ""airy-time-remaining-label"" style = ""visibility: hidden;""&gt; &lt;/ div&gt; &lt;div tabindex = ""- 1"" class = ""airy-ad-skip"" style = ""visibility: hidden;""&gt; &lt;/ div&gt; &lt;div tabindex = ""- 1"" class = ""airy-ad-end"" style = ""visibility: hidden;""&gt;"&amp;" &lt;/ div&gt; &lt;/ div&gt; &lt;/ div&gt; &lt;/ div&gt; &lt;/ div&gt; &lt;div tabindex = ""- 1"" class = ""airy-learn-more"" style = ""visibility: hidden;""&gt; &lt;/ div&gt; &lt;/ div&gt; &lt;div tabindex = ""- 1"" class = ""airy-play-toggle-hint-stage airy-stage airy-cursor""&gt; &lt;div tabindex = ""- 1"" c"&amp;"lass = ""airy-play-toggle-hint-vertical-centering-table-cell airy-vertical- centering-table-cell airy-cursor ""&gt; &lt;div tabindex ="" - 1 ""class ="" airy-play-toggle-hint-container airy-scalable-hint-container ""&gt; &lt;div tabindex ="" - 1 ""class ="" airy-play"&amp;"-toggle-hint-dummy airy-scalable-dummy ""&gt; &lt;/ div&gt; &lt;div tabindex ="" - 1 ""class ="" airy-play-toggle-hint airy-hint airy-play-hint ""style ="" opacity: 1; visibility: visible; ""&gt; &lt; / Div&gt; &lt;/ div&gt; &lt;/ div&gt; &lt;/ div&gt; &lt;div tabindex = ""- 1"" class = ""airy-re"&amp;"play-hint-stage airy-stage"" style = ""visibility: hidden;""&gt; &lt;div tabindex = ""-1"" class = ""airy-replay-hint-vertical-centering-table-cell airy-vertical-centering-table-cell airy-cursor""&gt; &lt;div tabindex = ""- 1"" class = ""airy-replay-hint -container a"&amp;"iry-scalable-hint-container ""&gt; &lt;div tabindex ="" - 1 ""class ="" airy-replay-hint-dummy airy-scalable-dummy ""&gt; &lt;/ div&gt; &lt;div tabindex ="" - 1 ""class = ""airy-replay-hint airy-hint""&gt; &lt;/ div&gt; &lt;/ div&gt; &lt;/ div&gt; &lt;/ div&gt; &lt;div tabindex = ""- 1"" class = ""airy"&amp;"-autoplay-hint-stage airy-stage"" style = ""visibility: hidden;""&gt; &lt;div tabindex = ""- 1"" class = ""airy-autoplay-hint-vertical-centering-table-cell airy-vertical-centering-table-cell airy-cursor""&gt; &lt;div tabindex = ""-1"" class = ""airy-autoplay-hint-con"&amp;"tainer airy-scalable-hint-container""&gt; &lt;div tabindex = ""- 1"" class = ""airy-autoplay-hint-dummy airy-scalable-dummy""&gt; &lt;/ div&gt; &lt;/ div&gt; &lt;/ div&gt; &lt;/ div&gt; &lt;/ div&gt; &lt;/ div&gt; &lt;input type = ""hidden"" name = """" value = ""https: //images-cn.ssl-images-amazon. c"&amp;"om / images / I / 81XAPmkw1zS.mp4 ""class ="" video-url ""&gt; &lt;in put type = ""hidden"" name = """" value = ""https://images-cn.ssl-images-amazon.com/images/I/81o4974k4YS.png"" class = ""video-slate-img-url""&gt; &amp; nbsp ; Buy 172 normal m small stature will be"&amp;" better 170-175 l Buy")</f>
        <v>Small style OK &lt;div id = "video-block-R1COVEMAXEE6CN" class = "a-section a-spacing-small a-spacing-top-mini video-block"&gt; &lt;div tabindex = "0" class = "airy airy -svg vmin-unsupported airy-skin-beacon "style =" background-color: rgb (0, 0, 0); position: relative; width: 100%; height: 100%; font-size: 0px; overflow: hidden ; outline: none; "&gt; &lt;div class =" airy-renderer-container "style =" position: relative; height: 100%; width: 100%; "&gt; &lt;video id =" 7 "preload =" auto "src = "https://images-cn.ssl-images-amazon.com/images/I/81XAPmkw1zS.mp4" style = "position: absolute; left: 0px; top: 0px; overflow: hidden; height: 1px; width : 1px; "&gt; &lt;/ video&gt; &lt;/ div&gt; &lt;div id =" airy-slate-preload "style =" background-color: rgb (0, 0, 0); background-image: url (&amp; quot; https: //images-cn.ssl-images-amazon.com/images/I/81o4974k4YS.png&amp;quot;); background-size: contain; background-position: center center; background-repeat: no-repeat; position: absolute; top : 0px; left: 0px; visibility: visible; width: 100%; height: 100%; "&gt; &lt;/ div&gt; &lt;iframe scrolling = "No" frameborder = "0" src = "about: blank" style = "display: none;"&gt; &lt;/ iframe&gt; &lt;div tabindex = "- 1" class = "airy-controls-container" style = "opacity : 0; visibility: hidden; "&gt; &lt;div tabindex =" - 1 "class =" airy-screen-size-toggle airy-fullscreen "&gt; &lt;/ div&gt; &lt;div tabindex =" - 1 "class =" airy-container -bottom "&gt; &lt;div tabindex =" - 1 "class =" airy-track-bar-spacer-left "style =" width: 11px; "&gt; &lt;/ div&gt; &lt;div tabindex =" - 1 "class =" airy -play-toggle airy-play "style =" width: 12px; margin-right: 12px; "&gt; &lt;/ div&gt; &lt;div tabindex =" - 1 "class =" airy-audio-elements "style =" float: right ; width: 34px; "&gt; &lt;div tabindex =" - 1 "class =" airy-audio-toggle airy-on "&gt; &lt;/ div&gt; &lt;div tabindex =" - 1 "class =" airy-audio-container "style = "opacity: 0; visibility: hidden;"&gt; &lt;div tabindex = "- 1" class = "airy-audio-track-bar" style = "height: 80%;"&gt; &lt;div tabindex = "- 1" class = "airy-audio-scrubber-bar" style = "height: 85%;"&gt; &lt;/ div&gt; &lt;div tabindex = "- 1" class = "airy-audio-scrubber" style = "height: 12px; bottom: 85%; "&gt; &lt;/ div&gt; &lt;/ div&gt; &lt;/ div&gt; &lt;/ div&gt; &lt;div tabindex =" - 1 "class =" airy-duration-label "styl e = "float: right; width: 26px; margin-right: 4px; text-align: center;"&gt; 0:05 &lt;/ div&gt; &lt;div tabindex = "- 1" class = "airy-track-bar-spacer -right "style =" float: right; width: 11px; "&gt; &lt;/ div&gt; &lt;div tabindex =" - 1 "class =" airy-track-bar-container "style =" margin-left: 35px; margin- right: 75px; "&gt; &lt;div tabindex =" - 1 "class =" airy-track-bar airy-vertical-centering-table "&gt; &lt;div tabindex =" - 1 "class =" airy-vertical-centering-table- cell "&gt; &lt;div tabindex =" - 1 "class =" airy-track-bar-elements "&gt; &lt;div tabindex =" - 1 "class =" airy-progress-bar "style =" width: 100%; "&gt; &lt;/ div&gt; &lt;div tabindex = "- 1" class = "airy-scrubber-bar"&gt; &lt;/ div&gt; &lt;div tabindex = "- 1" class = "airy-scrubber"&gt; &lt;div tabindex = "- 1" class = "airy-scrubber-icon"&gt; &lt;/ div&gt; &lt;div tabindex = "- 1" class = "airy-adjusted-aui-tooltip" style = "opacity: 0; visibility: hidden;"&gt; &lt;div tabindex = "-1" class = "airy-adjusted-aui-tooltip-inner"&gt; &lt;div tabindex = "- 1" class = "airy-current-time-label"&gt; 0:00 &lt;/ div&gt; &lt;/ div&gt; &lt; div tabindex = "- 1" class = "airy-adjusted-aui-arrow-border"&gt; &lt;div tabindex = "- 1" class = "airy-adjusted-aui-arr ow "&gt; &lt;/ div&gt; &lt;/ div&gt; &lt;/ div&gt; &lt;/ div&gt; &lt;/ div&gt; &lt;/ div&gt; &lt;/ div&gt; &lt;/ div&gt; &lt;/ div&gt; &lt;/ div&gt; &lt;div tabindex =" - 1 "class =" airy-age-gate airy-stage airy-vertical-centering-table airy-dialog "style =" opacity: 0; visibility: hidden; "&gt; &lt;div tabindex =" - 1 "class =" airy-age -gate-vertical-centering-table-cell airy-vertical-centering-table-cell "&gt; &lt;div tabindex =" - 1 "class =" airy-vertical-centering-wrapper airy-age-gate-elements-wrapper "&gt; &lt;div tabindex = "- 1" class = "airy-age-gate-elements airy-dialog-elements"&gt; &lt;div tabindex = "- 1" class = "airy-age-gate-prompt"&gt; This video is not intended . for all audiences What date were you born &lt;/ div&gt; &lt;div tabindex = "- 1" class = "airy-age-gate-inputs airy-dialog-inner-elements"&gt;? &lt;select tabindex = "- 1" class = "airy-age-gate-month"&gt; &lt;option value = "1"&gt; January &lt;/ option&gt; &lt;option value = "2"&gt; February &lt;/ option&gt; &lt;option value = "3"&gt; March &lt;/ option&gt; &lt;option value = "4"&gt; April &lt;/ option&gt; &lt;option value = "5"&gt; May &lt;/ option&gt; &lt;option value = "6"&gt; June &lt;/ option&gt; &lt;option value = "7"&gt; July &lt;/ option&gt; &lt;option value = "8"&gt; August &lt;/ option&gt; &lt;option value = "9"&gt; September &lt; / Option&gt; &lt;option value = "10"&gt; October &lt;/ option&gt; &lt;option value = "11"&gt; November &lt;/ option&gt; &lt;option value = "12"&gt; December &lt;/ option&gt; &lt;/ select&gt; &lt;select tabindex = "-1" class = "airy-age-gate-day"&gt; &lt;option value = "1"&gt; 1 &lt;/ option&gt; &lt;option value = "2"&gt; 2 &lt;/ option&gt; &lt;option value = "3"&gt; 3 &lt;/ option&gt; &lt;option value = "4"&gt; 4 &lt;/ option&gt; &lt;option value = "5"&gt; 5 &lt;/ option&gt; &lt;option value = "6"&gt; 6 &lt;/ option&gt; &lt;option value = "7 "&gt; 7 &lt;/ option&gt; &lt;option value =" 8 "&gt; 8 &lt;/ option&gt; &lt;option value =" 9 "&gt; 9 &lt;/ option&gt; &lt;option value =" 10 "&gt; 10 &lt;/ option&gt; &lt;option value = "11"&gt; 11 &lt;/ option&gt; &lt;option value = "12"&gt; 12 &lt;/ option&gt; &lt;option value = "13"&gt; 13 &lt;/ option&gt; &lt;option value = "14"&gt; 14 &lt;/ option&gt; &lt;option value = "15"&gt; 15 &lt;/ option&gt; &lt;option value = "16"&gt; 16 &lt;/ option&gt; &lt;option value = "17"&gt; 17 &lt;/ option&gt; &lt;option value = "18"&gt; 18 &lt;/ option&gt; &lt;option value = "19"&gt;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 n value = "29"&gt; 29 &lt;/ option&gt; &lt;option value = "30"&gt; 30 &lt;/ option&gt; &lt;option value = "31"&gt; 31 &lt;/ option&gt; &lt;/ select&gt; &lt;select tabindex = "- 1" class = "airy-age-gate-year"&gt; &lt;option value = "2019"&gt; 2019 &lt;/ option&gt; &lt;option value = "2018"&gt; 2018 &lt;/ option&gt; &lt;option value = "2017"&gt; 2017 &lt;/ option &gt; &lt;option value = "2016"&gt; ​​2016 &lt;/ option&gt; &lt;option value = "2015"&gt; 2015 &lt;/ option&gt; &lt;option value = "2014"&gt; 2014 &lt;/ option&gt; &lt;option value = "2013"&gt; 2013 &lt; / option&gt; &lt;option value = "2012"&gt; 2012 &lt;/ option&gt; &lt;option value = "2011"&gt; 2011 &lt;/ option&gt; &lt;option value = "2010"&gt; 2010 &lt;/ option&gt; &lt;option value = "2009"&gt; 2009 &lt;/ option&gt; &lt;option value = "2008"&gt; 2008 &lt;/ option&gt; &lt;option value = "2007"&gt; 2007 &lt;/ option&gt; &lt;option value = "2006"&gt; 2006 &lt;/ option&gt; &lt;option value = "2005 "&gt; 2005 &lt;/ option&gt; &lt;option value =" 2004 "&gt; 2004 &lt;/ option&gt; &lt;option value =" 2003 "&gt; 2003 &lt;/ option&gt; &lt;option value =" 2002 "&gt; 2002 &lt;/ option&gt; &lt;option value = "2001"&gt; 2001 &lt;/ option&gt; &lt;option value = "2000"&gt;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"1989"&gt; 1989 &lt;/ option&gt; &lt;option value = "1988"&gt; 1988 &lt;/ option&gt; &lt;option value = "1987"&gt; 1987 &lt;/ option&gt; &lt;option value = "1986"&gt; 1986 &lt;/ option&gt; &lt;option value = "1985"&gt; 1985 &lt;/ option&gt; &lt;option value = "1984"&gt; 1984 &lt;/ option&gt; &lt;option value = "1983"&gt; 1983 &lt;/ option&gt; &lt;option value = "1982"&gt; 1982 &lt;/ option&gt; &lt;option value = "1981"&gt; 1981 &lt;/ option&gt; &lt;option value = "1980"&gt; 1980 &lt;/ option&gt; &lt;option value = "1979" &gt; 1979 &lt;/ option&gt; &lt;option value = "1978"&gt; 1978 &lt;/ option&gt; &lt;option value = "1977"&gt; 1977 &lt;/ option&gt; &lt;option value = "1976"&gt; 1976 &lt;/ option&gt; &lt;option value = " 1975 "&gt; 1975 &lt;/ option&gt; &lt;option value =" 1974 "&gt; 1974 &lt;/ option&gt; &lt;option value =" 1973 "&gt; 1973 &lt;/ option&gt; &lt;option value =" 1972 "&gt; 1972 &lt;/ option&gt; &lt;option value = "1971"&gt; 1971 &lt;/ option&gt; &lt;option value = "1970"&gt; 1970 &lt;/ option&gt; &lt;option value = "1969"&gt; 1969 &lt;/ option&gt; &lt;option value = "1968"&gt; 1968 &lt;/ option&gt; &lt; option value = "1967"&gt; 1967 &lt;/ option&gt; &lt;option value = "1966"&gt; 1966 &lt;/ option&gt; &lt;option value = "1965"&gt; 1 965 &lt;/ option&gt; &lt;option value = "1964"&gt; 1964 &lt;/ option&gt; &lt;option value = "1963"&gt; 1963 &lt;/ option&gt; &lt;option value = "1962"&gt; 1962 &lt;/ option&gt; &lt;option value = "1961 "&gt; 1961 &lt;/ option&gt; &lt;option value =" 1960 "&gt; 1960 &lt;/ option&gt; &lt;option value =" 1959 "&gt; 1959 &lt;/ option&gt; &lt;option value =" 1958 "&gt; 1958 &lt;/ option&gt; &lt;option value = "1957"&gt; 1957 &lt;/ option&gt; &lt;option value = "1956"&gt; 1956 &lt;/ option&gt; &lt;option value = "1955"&gt; 1955 &lt;/ option&gt; &lt;option value = "1954"&gt; 1954 &lt;/ option&gt; &lt;option value = "1953"&gt; 1953 &lt;/ option&gt; &lt;option value = "1952"&gt; 1952 &lt;/ option&gt; &lt;option value = "1951"&gt; 1951 &lt;/ option&gt; &lt;option value = "1950"&gt; 1950 &lt;/ option&gt; &lt;option value = "1949"&gt; 1949 &lt;/ option&gt; &lt;option value = "1948"&gt; 1948 &lt;/ option&gt; &lt;option value = "1947"&gt; 1947 &lt;/ option&gt; &lt;option value = "1946"&gt; 1946 &lt;/ option&gt; &lt;option value = "1945"&gt; 1945 &lt;/ option&gt; &lt;option value = "1944"&gt; 1944 &lt;/ option&gt; &lt;option value = "1943"&gt; 1943 &lt;/ option&gt; &lt;option value = "1942"&gt; 1942 &lt;/ option&gt; &lt;option value = "1941"&gt; 1941 &lt;/ option&gt; &lt;option value = "1940"&gt; 1940 &lt;/ option&gt; &lt;option value = "1939"&gt; 1939 &lt;/ option&gt; &lt;option value = "1938" &gt; 1938 &lt;/ option&gt; &lt;option value = "1937"&gt; 1937 &lt;/ option&gt; &lt;option value = "1936"&gt; 1936 &lt;/ option&gt; &lt;o ption value = "1935"&gt; 1935 &lt;/ option&gt; &lt;option value = "1934"&gt; 1934 &lt;/ option&gt; &lt;option value = "1933"&gt; 1933 &lt;/ option&gt; &lt;option value = "1932"&gt; 1932 &lt;/ option &gt; &lt;option value = "1931"&gt; 1931 &lt;/ option&gt; &lt;option value = "1930"&gt; 1930 &lt;/ option&gt; &lt;option value = "1929"&gt; 1929 &lt;/ option&gt; &lt;option value = "1928"&gt; 1928 &lt; /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 "&gt; 1920 &lt;/ option&gt; &lt;option value =" 1919 "&gt; 1919 &lt;/ option&gt; &lt;option value =" 1918 "&gt; 1918 &lt;/ option&gt; &lt;option value =" 1917 "&gt; 1917 &lt;/ option&gt; &lt;option value = "1916"&gt; 1916 &lt;/ option&gt; &lt;option value = "1915"&gt; 1915 &lt;/ option&gt; &lt;option value = "1914"&gt; 1914 &lt;/ option&gt; &lt;option value = "1913"&gt; 1913 &lt;/ option&gt; &lt;option value = "1912"&gt; 1912 &lt;/ option&gt; &lt;option value = "1911"&gt; 1911 &lt;/ option&gt; &lt;option value = "1910"&gt; 1910 &lt;/ option&gt; &lt;option value = "1909"&gt; 1909 &lt;/ option&gt; &lt;option value = "1908"&gt; 1908 &lt;/ option&gt; &lt;option value = "1907"&gt; 1907 &lt;/ option&gt; &lt;option value = "1 906 "&gt; 1906 &lt;/ option&gt; &lt;option value =" 1905 "&gt; 1905 &lt;/ option&gt; &lt;option value =" 1904 "&gt; 1904 &lt;/ option&gt; &lt;option value =" 1903 "&gt; 1903 &lt;/ option&gt; &lt;option value = "1902"&gt; 1902 &lt;/ option&gt; &lt;option value = "1901"&gt; 1901 &lt;/ option&gt; &lt;option value = "1900"&gt; 1900 &lt;/ option&gt; &lt;/ select&gt; &lt;div tabindex = "- 1" class = "airy-age-gate-submit airy-submit airy-button airy-submit-disabled"&gt; Submit &lt;/ div&gt; &lt;/ div&gt; &lt;/ div&gt; &lt;/ div&gt; &lt;/ div&gt; &lt;/ div&gt; &lt;div tabindex = "-1" class = "airy-install-flash-dialog airy-stage airy-vertical-centering-table airy-dialog airy-denied" style = "opacity: 0; visibility: hidden;"&gt; &lt;div tabindex = "- 1 "class =" airy-install-flash-vertical-centering-table-cell airy-vertical-centering-table-cell "&gt; &lt;div tabindex =" - 1 "class =" airy-vertical-centering-wrapper airy-install -flash-elements-wrapper "&gt; &lt;div tabindex =" - 1 "class =" airy-install-flash-elements airy-dialog-elements "&gt; &lt;div tabindex =" - 1 "class =" airy-install-flash- prompt "&gt; Adobe Flash Player is required to watch this video &lt;/ div&gt; &lt;div tabindex =." - 1 "class =" airy-install-flash-button-wrapper airy-dialog-inner-elemen ts "&gt; &lt;div tabindex =" - 1 "class =" airy-install-flash-button airy-button "&gt; Install Flash Player &lt;/ div&gt; &lt;/ div&gt; &lt;/ div&gt; &lt;/ div&gt; &lt;/ div&gt; &lt; / div&gt; &lt;div tabindex = "- 1" class = "airy-video-unsupported-dialog airy-stage airy-vertical-centering-table airy-dialog airy-denied" style = "opacity: 0; visibility: hidden;" &gt; &lt;div tabindex = "- 1" class = "airy-video-unsupported-vertical-centering-table-cell airy-vertical-centering-table-cell"&gt; &lt;div tabindex = "- 1" class = "airy-vertical -centering-wrapper airy-video-unsupported-elements-wrapper "&gt; &lt;div tabindex =" - 1 "class =" airy-video-unsupported-elements airy-dialog-elements "&gt; &lt;div tabindex =" - 1 "class = "airy-video-unsupported-prompt"&gt; &lt;/ div&gt; &lt;/ div&gt; &lt;/ div&gt; &lt;/ div&gt; &lt;/ div&gt; &lt;div tabindex = "- 1" class = "airy-loading-spinner-stage airy- stage "&gt; &lt;div tabindex =" - 1 "class =" airy-loading-spinner-vertical-centering-table-cell airy-vertical-centering-table-cell "&gt; &lt;div tabindex =" - 1 "class =" airy -loading-spinner-container airy-scalable-hint-container "&gt; &lt;div tabindex =" - 1 "class =" airy-loading-spinner-dummy airy-scalable- dummy "&gt; &lt;/ div&gt; &lt;div tabindex =" - 1 "class =" airy-loading-spinner airy-hint "style =" visibility: hidden; "&gt; &lt;/ div&gt; &lt;/ div&gt; &lt;/ div&gt; &lt;/ div&gt; &lt;div tabindex = "- 1" class = "airy-ads-screen-size-toggle airy-screen-size-toggle airy-fullscreen" style = "visibility: hidden;"&gt; &lt;/ div&gt; &lt;div tabindex = "-1" class = "airy-ad-prompt-container" style = "visibility: hidden;"&gt; &lt;div tabindex = "- 1" class = "airy-ad-prompt-vertical-centering-table airy-vertical-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airy-time-remaining-vertical-centering-table airy-vertical-centering-table "&gt; &lt;div tabindex = "- 1" class = "airy-time -remaining-vertical-centering-table-cell airy-vertical-centering-table-cell "&gt; &lt;div tabindex =" - 1 "class =" airy-vertical-centering-wrapper airy-time-remaining-label-wrapper "&gt; &lt;div tabindex = "- 1" class = "airy-time-remaining-label" style = "visibility: hidden;"&gt; &lt;/ div&gt; &lt;div tabindex = "- 1" class = "airy-ad-skip" style = "visibility: hidden;"&gt; &lt;/ div&gt; &lt;div tabindex = "- 1" class = "airy-ad-end" style = "visibility: hidden;"&gt; &lt;/ div&gt; &lt;/ div&gt; &lt;/ div&gt; &lt;/ div&gt; &lt;/ div&gt; &lt;div tabindex = "- 1" class = "airy-learn-more" style = "visibility: hidden;"&gt; &lt;/ div&gt; &lt;/ div&gt; &lt;div tabindex = "- 1" class = "airy-play-toggle-hint-stage airy-stage airy-cursor"&gt; &lt;div tabindex = "- 1" class = "airy-play-toggle-hint-vertical-centering-table-cell airy-vertical- centering-table-cell airy-cursor "&gt; &lt;div tabindex =" - 1 "class =" airy-play-toggle-hint-container airy-scalable-hint-container "&gt; &lt;div tabindex =" - 1 "class =" airy-play-toggle-hint-dummy airy-scalable-dummy "&gt; &lt;/ div&gt; &lt;div tabindex =" - 1 "class =" airy-play-toggle-hint airy-hint airy-play-hint "style =" opacity: 1; visibility: visible; "&gt; &lt; / Div&gt; &lt;/ div&gt; &lt;/ div&gt; &lt;/ div&gt; &lt;div tabindex = "- 1" class = "airy-replay-hint-stage airy-stage" style = "visibility: hidden;"&gt; &lt;div tabindex = "-1" class = "airy-replay-hint-vertical-centering-table-cell airy-vertical-centering-table-cell airy-cursor"&gt; &lt;div tabindex = "- 1" class = "airy-replay-hint -container airy-scalable-hint-container "&gt; &lt;div tabindex =" - 1 "class =" airy-replay-hint-dummy airy-scalable-dummy "&gt; &lt;/ div&gt; &lt;div tabindex =" - 1 "class = "airy-replay-hint airy-hint"&gt; &lt;/ div&gt; &lt;/ div&gt; &lt;/ div&gt; &lt;/ div&gt; &lt;div tabindex = "- 1" class = "airy-autoplay-hint-stage airy-stage" style = "visibility: hidden;"&gt; &lt;div tabindex = "- 1" class = "airy-autoplay-hint-vertical-centering-table-cell airy-vertical-centering-table-cell airy-cursor"&gt; &lt;div tabindex = "-1" class = "airy-autoplay-hint-container airy-scalable-hint-container"&gt; &lt;div tabindex = "- 1" class = "airy-autoplay-hint-dummy airy-scalable-dummy"&gt; &lt;/ div&gt; &lt;/ div&gt; &lt;/ div&gt; &lt;/ div&gt; &lt;/ div&gt; &lt;/ div&gt; &lt;input type = "hidden" name = "" value = "https: //images-cn.ssl-images-amazon. com / images / I / 81XAPmkw1zS.mp4 "class =" video-url "&gt; &lt;in put type = "hidden" name = "" value = "https://images-cn.ssl-images-amazon.com/images/I/81o4974k4YS.png" class = "video-slate-img-url"&gt; &amp; nbsp ; Buy 172 normal m small stature will be better 170-175 l Buy</v>
      </c>
    </row>
    <row r="5172">
      <c r="A5172" s="1">
        <v>5.0</v>
      </c>
      <c r="B5172" s="1" t="s">
        <v>5151</v>
      </c>
      <c r="C5172" t="str">
        <f>IFERROR(__xludf.DUMMYFUNCTION("GOOGLETRANSLATE(B5172, ""zh"", ""en"")"),"comfortable to wear. Wear comfortable shoes.")</f>
        <v>comfortable to wear. Wear comfortable shoes.</v>
      </c>
    </row>
    <row r="5173">
      <c r="A5173" s="1">
        <v>5.0</v>
      </c>
      <c r="B5173" s="1" t="s">
        <v>5152</v>
      </c>
      <c r="C5173" t="str">
        <f>IFERROR(__xludf.DUMMYFUNCTION("GOOGLETRANSLATE(B5173, ""zh"", ""en"")"),"Affordable, authentic Portuguese production, good good")</f>
        <v>Affordable, authentic Portuguese production, good good</v>
      </c>
    </row>
    <row r="5174">
      <c r="A5174" s="1">
        <v>5.0</v>
      </c>
      <c r="B5174" s="1" t="s">
        <v>5153</v>
      </c>
      <c r="C5174" t="str">
        <f>IFERROR(__xludf.DUMMYFUNCTION("GOOGLETRANSLATE(B5174, ""zh"", ""en"")"),"Rapid and sound great! Received a week! Than forecast several days in advance! The right size, affordable, waiting to go out to play it!")</f>
        <v>Rapid and sound great! Received a week! Than forecast several days in advance! The right size, affordable, waiting to go out to play it!</v>
      </c>
    </row>
    <row r="5175">
      <c r="A5175" s="1">
        <v>5.0</v>
      </c>
      <c r="B5175" s="1" t="s">
        <v>5154</v>
      </c>
      <c r="C5175" t="str">
        <f>IFERROR(__xludf.DUMMYFUNCTION("GOOGLETRANSLATE(B5175, ""zh"", ""en"")"),"Recommended more than a year long-distance running shoes ever, ran for about 200 kilometers, or like-new, remember to buy freshman yards, my feet 255, this election must be 41.5, long-distance running would have been swollen feet Oh!")</f>
        <v>Recommended more than a year long-distance running shoes ever, ran for about 200 kilometers, or like-new, remember to buy freshman yards, my feet 255, this election must be 41.5, long-distance running would have been swollen feet Oh!</v>
      </c>
    </row>
    <row r="5176">
      <c r="A5176" s="1">
        <v>5.0</v>
      </c>
      <c r="B5176" s="1" t="s">
        <v>5155</v>
      </c>
      <c r="C5176" t="str">
        <f>IFERROR(__xludf.DUMMYFUNCTION("GOOGLETRANSLATE(B5176, ""zh"", ""en"")"),"Dea happy time shopping super satisfied, for the first time Amazon shopping and overseas Dea purchase, so far, the machine intact. But also five parts, great, I gave the family bought one, hope the same machine sent to me received. Amazon will continue sh"&amp;"opping.")</f>
        <v>Dea happy time shopping super satisfied, for the first time Amazon shopping and overseas Dea purchase, so far, the machine intact. But also five parts, great, I gave the family bought one, hope the same machine sent to me received. Amazon will continue shopping.</v>
      </c>
    </row>
    <row r="5177">
      <c r="A5177" s="1">
        <v>5.0</v>
      </c>
      <c r="B5177" s="1" t="s">
        <v>5156</v>
      </c>
      <c r="C5177" t="str">
        <f>IFERROR(__xludf.DUMMYFUNCTION("GOOGLETRANSLATE(B5177, ""zh"", ""en"")"),"Orange orange dress clothes is not an ordinary yellow larger one yards recommended")</f>
        <v>Orange orange dress clothes is not an ordinary yellow larger one yards recommended</v>
      </c>
    </row>
    <row r="5178">
      <c r="A5178" s="1">
        <v>5.0</v>
      </c>
      <c r="B5178" s="1" t="s">
        <v>5157</v>
      </c>
      <c r="C5178" t="str">
        <f>IFERROR(__xludf.DUMMYFUNCTION("GOOGLETRANSLATE(B5178, ""zh"", ""en"")"),"Met children like the taste of playing on the break to buy, children liked the taste")</f>
        <v>Met children like the taste of playing on the break to buy, children liked the taste</v>
      </c>
    </row>
    <row r="5179">
      <c r="A5179" s="1">
        <v>5.0</v>
      </c>
      <c r="B5179" s="1" t="s">
        <v>5158</v>
      </c>
      <c r="C5179" t="str">
        <f>IFERROR(__xludf.DUMMYFUNCTION("GOOGLETRANSLATE(B5179, ""zh"", ""en"")"),"It is silver, is what I want, very satisfied, Pa Mak necessary. Transparent, restore my lovely singing. Pa Mak necessary, I start with Z 714 seconds, after friends to the reference price, workmanship is very good, I think writing is MADE IN Germany. All i"&amp;"n all, had always wanted to buy, Amazon's price spike to buy, satisfaction! Very satisfied!")</f>
        <v>It is silver, is what I want, very satisfied, Pa Mak necessary. Transparent, restore my lovely singing. Pa Mak necessary, I start with Z 714 seconds, after friends to the reference price, workmanship is very good, I think writing is MADE IN Germany. All in all, had always wanted to buy, Amazon's price spike to buy, satisfaction! Very satisfied!</v>
      </c>
    </row>
    <row r="5180">
      <c r="A5180" s="1">
        <v>5.0</v>
      </c>
      <c r="B5180" s="1" t="s">
        <v>5159</v>
      </c>
      <c r="C5180" t="str">
        <f>IFERROR(__xludf.DUMMYFUNCTION("GOOGLETRANSLATE(B5180, ""zh"", ""en"")"),"Good daughter liked was cheap")</f>
        <v>Good daughter liked was cheap</v>
      </c>
    </row>
    <row r="5181">
      <c r="A5181" s="1">
        <v>5.0</v>
      </c>
      <c r="B5181" s="1" t="s">
        <v>5160</v>
      </c>
      <c r="C5181" t="str">
        <f>IFERROR(__xludf.DUMMYFUNCTION("GOOGLETRANSLATE(B5181, ""zh"", ""en"")"),"Satisfied! Easy to use! Cheap! like!")</f>
        <v>Satisfied! Easy to use! Cheap! like!</v>
      </c>
    </row>
    <row r="5182">
      <c r="A5182" s="1">
        <v>5.0</v>
      </c>
      <c r="B5182" s="1" t="s">
        <v>5161</v>
      </c>
      <c r="C5182" t="str">
        <f>IFERROR(__xludf.DUMMYFUNCTION("GOOGLETRANSLATE(B5182, ""zh"", ""en"")"),"Good super easy to use! Like, especially color, too fond of")</f>
        <v>Good super easy to use! Like, especially color, too fond of</v>
      </c>
    </row>
    <row r="5183">
      <c r="A5183" s="1">
        <v>5.0</v>
      </c>
      <c r="B5183" s="1" t="s">
        <v>5162</v>
      </c>
      <c r="C5183" t="str">
        <f>IFERROR(__xludf.DUMMYFUNCTION("GOOGLETRANSLATE(B5183, ""zh"", ""en"")"),"The sole is comfortable ah ~ support good better than Martin boots, are particularly good, very good outstanding")</f>
        <v>The sole is comfortable ah ~ support good better than Martin boots, are particularly good, very good outstanding</v>
      </c>
    </row>
    <row r="5184">
      <c r="A5184" s="1">
        <v>5.0</v>
      </c>
      <c r="B5184" s="1" t="s">
        <v>5163</v>
      </c>
      <c r="C5184" t="str">
        <f>IFERROR(__xludf.DUMMYFUNCTION("GOOGLETRANSLATE(B5184, ""zh"", ""en"")"),"Good Good quality stuff, good ventilation. It is a little small.")</f>
        <v>Good Good quality stuff, good ventilation. It is a little small.</v>
      </c>
    </row>
    <row r="5185">
      <c r="A5185" s="1">
        <v>5.0</v>
      </c>
      <c r="B5185" s="1" t="s">
        <v>5164</v>
      </c>
      <c r="C5185" t="str">
        <f>IFERROR(__xludf.DUMMYFUNCTION("GOOGLETRANSLATE(B5185, ""zh"", ""en"")"),"Super comfortable support not tight, super comfortable")</f>
        <v>Super comfortable support not tight, super comfortable</v>
      </c>
    </row>
    <row r="5186">
      <c r="A5186" s="1">
        <v>5.0</v>
      </c>
      <c r="B5186" s="1" t="s">
        <v>5165</v>
      </c>
      <c r="C5186" t="str">
        <f>IFERROR(__xludf.DUMMYFUNCTION("GOOGLETRANSLATE(B5186, ""zh"", ""en"")"),"Leather, leather did not think that value for money, really value for money! Is a little bit smaller. Only a little bigger than a4 paper.")</f>
        <v>Leather, leather did not think that value for money, really value for money! Is a little bit smaller. Only a little bigger than a4 paper.</v>
      </c>
    </row>
    <row r="5187">
      <c r="A5187" s="1">
        <v>5.0</v>
      </c>
      <c r="B5187" s="1" t="s">
        <v>5166</v>
      </c>
      <c r="C5187" t="str">
        <f>IFERROR(__xludf.DUMMYFUNCTION("GOOGLETRANSLATE(B5187, ""zh"", ""en"")"),"Size just 43 yards, and the number of regular wear shoes code consistent, good quality, clear cache soles, a very successful shopping experience overseas")</f>
        <v>Size just 43 yards, and the number of regular wear shoes code consistent, good quality, clear cache soles, a very successful shopping experience overseas</v>
      </c>
    </row>
    <row r="5188">
      <c r="A5188" s="1">
        <v>5.0</v>
      </c>
      <c r="B5188" s="1" t="s">
        <v>5167</v>
      </c>
      <c r="C5188" t="str">
        <f>IFERROR(__xludf.DUMMYFUNCTION("GOOGLETRANSLATE(B5188, ""zh"", ""en"")"),"Very good very good insulation pot pot")</f>
        <v>Very good very good insulation pot pot</v>
      </c>
    </row>
    <row r="5189">
      <c r="A5189" s="1">
        <v>5.0</v>
      </c>
      <c r="B5189" s="1" t="s">
        <v>5168</v>
      </c>
      <c r="C5189" t="str">
        <f>IFERROR(__xludf.DUMMYFUNCTION("GOOGLETRANSLATE(B5189, ""zh"", ""en"")"),"Good insulation, and better than Tiger, color is also")</f>
        <v>Good insulation, and better than Tiger, color is also</v>
      </c>
    </row>
    <row r="5190">
      <c r="A5190" s="1">
        <v>5.0</v>
      </c>
      <c r="B5190" s="1" t="s">
        <v>5169</v>
      </c>
      <c r="C5190" t="str">
        <f>IFERROR(__xludf.DUMMYFUNCTION("GOOGLETRANSLATE(B5190, ""zh"", ""en"")"),"Very satisfied with the goods! Good quality, worth having!")</f>
        <v>Very satisfied with the goods! Good quality, worth having!</v>
      </c>
    </row>
    <row r="5191">
      <c r="A5191" s="1">
        <v>2.0</v>
      </c>
      <c r="B5191" s="1" t="s">
        <v>5170</v>
      </c>
      <c r="C5191" t="str">
        <f>IFERROR(__xludf.DUMMYFUNCTION("GOOGLETRANSLATE(B5191, ""zh"", ""en"")"),"Packaging bad too simple, does not have the box pot, Amazon except simple cardboard sheath, there is no compression of the protective padding, so too irresponsible transportation, thanks pot without deformation")</f>
        <v>Packaging bad too simple, does not have the box pot, Amazon except simple cardboard sheath, there is no compression of the protective padding, so too irresponsible transportation, thanks pot without deformation</v>
      </c>
    </row>
    <row r="5192">
      <c r="A5192" s="1">
        <v>3.0</v>
      </c>
      <c r="B5192" s="1" t="s">
        <v>5171</v>
      </c>
      <c r="C5192" t="str">
        <f>IFERROR(__xludf.DUMMYFUNCTION("GOOGLETRANSLATE(B5192, ""zh"", ""en"")"),"Personally feel too light too light, I feel okay, not as good as expected! that's it!")</f>
        <v>Personally feel too light too light, I feel okay, not as good as expected! that's it!</v>
      </c>
    </row>
    <row r="5193">
      <c r="A5193" s="1">
        <v>3.0</v>
      </c>
      <c r="B5193" s="1" t="s">
        <v>5172</v>
      </c>
      <c r="C5193" t="str">
        <f>IFERROR(__xludf.DUMMYFUNCTION("GOOGLETRANSLATE(B5193, ""zh"", ""en"")"),"Cuffs with scratch quality can be, it is to get the cuffs after scratches. Do not know can not be repaired")</f>
        <v>Cuffs with scratch quality can be, it is to get the cuffs after scratches. Do not know can not be repaired</v>
      </c>
    </row>
    <row r="5194">
      <c r="A5194" s="1">
        <v>3.0</v>
      </c>
      <c r="B5194" s="1" t="s">
        <v>5173</v>
      </c>
      <c r="C5194" t="str">
        <f>IFERROR(__xludf.DUMMYFUNCTION("GOOGLETRANSLATE(B5194, ""zh"", ""en"")"),"We did not send a full line of accessories also")</f>
        <v>We did not send a full line of accessories also</v>
      </c>
    </row>
    <row r="5195">
      <c r="A5195" s="1">
        <v>1.0</v>
      </c>
      <c r="B5195" s="1" t="s">
        <v>5174</v>
      </c>
      <c r="C5195" t="str">
        <f>IFERROR(__xludf.DUMMYFUNCTION("GOOGLETRANSLATE(B5195, ""zh"", ""en"")"),"Amazon bought the garbage on the use of the pen by mail envelopes, I have received crushed. Go back to pay more than 400 freight, after the acceptance of the gift card to return to form, and the program requires 1-2 months! Obviously their own problems bu"&amp;"t also to customers to bear the loss! Never buy! Rubbish!")</f>
        <v>Amazon bought the garbage on the use of the pen by mail envelopes, I have received crushed. Go back to pay more than 400 freight, after the acceptance of the gift card to return to form, and the program requires 1-2 months! Obviously their own problems but also to customers to bear the loss! Never buy! Rubbish!</v>
      </c>
    </row>
    <row r="5196">
      <c r="A5196" s="1">
        <v>1.0</v>
      </c>
      <c r="B5196" s="1" t="s">
        <v>5175</v>
      </c>
      <c r="C5196" t="str">
        <f>IFERROR(__xludf.DUMMYFUNCTION("GOOGLETRANSLATE(B5196, ""zh"", ""en"")"),"Good quality stuff, inside the chest pad ran out. Do not buy the")</f>
        <v>Good quality stuff, inside the chest pad ran out. Do not buy the</v>
      </c>
    </row>
    <row r="5197">
      <c r="A5197" s="1">
        <v>4.0</v>
      </c>
      <c r="B5197" s="1" t="s">
        <v>5176</v>
      </c>
      <c r="C5197" t="str">
        <f>IFERROR(__xludf.DUMMYFUNCTION("GOOGLETRANSLATE(B5197, ""zh"", ""en"")"),"Not like solar, small dial")</f>
        <v>Not like solar, small dial</v>
      </c>
    </row>
    <row r="5198">
      <c r="A5198" s="1">
        <v>4.0</v>
      </c>
      <c r="B5198" s="1" t="s">
        <v>5177</v>
      </c>
      <c r="C5198" t="str">
        <f>IFERROR(__xludf.DUMMYFUNCTION("GOOGLETRANSLATE(B5198, ""zh"", ""en"")"),"6.5 37 yards just right! Nice nice version does a little bit, but not significantly large feet does not get in the way too")</f>
        <v>6.5 37 yards just right! Nice nice version does a little bit, but not significantly large feet does not get in the way too</v>
      </c>
    </row>
    <row r="5199">
      <c r="A5199" s="1">
        <v>4.0</v>
      </c>
      <c r="B5199" s="1" t="s">
        <v>5178</v>
      </c>
      <c r="C5199" t="str">
        <f>IFERROR(__xludf.DUMMYFUNCTION("GOOGLETRANSLATE(B5199, ""zh"", ""en"")"),"Okay, not as good as imagined okay, not imagined so good")</f>
        <v>Okay, not as good as imagined okay, not imagined so good</v>
      </c>
    </row>
    <row r="5200">
      <c r="A5200" s="1">
        <v>4.0</v>
      </c>
      <c r="B5200" s="1" t="s">
        <v>5179</v>
      </c>
      <c r="C5200" t="str">
        <f>IFERROR(__xludf.DUMMYFUNCTION("GOOGLETRANSLATE(B5200, ""zh"", ""en"")"),"The material is not the same as before the previously bought, bought two sets of the members of the date, you receive the material found is not the same as before, thinner! But it is still very comfortable to wear")</f>
        <v>The material is not the same as before the previously bought, bought two sets of the members of the date, you receive the material found is not the same as before, thinner! But it is still very comfortable to wear</v>
      </c>
    </row>
    <row r="5201">
      <c r="A5201" s="1">
        <v>4.0</v>
      </c>
      <c r="B5201" s="1" t="s">
        <v>5180</v>
      </c>
      <c r="C5201" t="str">
        <f>IFERROR(__xludf.DUMMYFUNCTION("GOOGLETRANSLATE(B5201, ""zh"", ""en"")"),"Nothing special to say, but did not feel the whole quite stick. Nothing special to say.")</f>
        <v>Nothing special to say, but did not feel the whole quite stick. Nothing special to say.</v>
      </c>
    </row>
    <row r="5202">
      <c r="A5202" s="1">
        <v>5.0</v>
      </c>
      <c r="B5202" s="1" t="s">
        <v>5181</v>
      </c>
      <c r="C5202" t="str">
        <f>IFERROR(__xludf.DUMMYFUNCTION("GOOGLETRANSLATE(B5202, ""zh"", ""en"")"),"Good good, a little hard, but possible")</f>
        <v>Good good, a little hard, but possible</v>
      </c>
    </row>
    <row r="5203">
      <c r="A5203" s="1">
        <v>5.0</v>
      </c>
      <c r="B5203" s="1" t="s">
        <v>5182</v>
      </c>
      <c r="C5203" t="str">
        <f>IFERROR(__xludf.DUMMYFUNCTION("GOOGLETRANSLATE(B5203, ""zh"", ""en"")"),"Feeling good write speed is generally 70 to 80M, vary depending on the file type. Still pretty fast, quality can feel")</f>
        <v>Feeling good write speed is generally 70 to 80M, vary depending on the file type. Still pretty fast, quality can feel</v>
      </c>
    </row>
    <row r="5204">
      <c r="A5204" s="1">
        <v>5.0</v>
      </c>
      <c r="B5204" s="1" t="s">
        <v>5183</v>
      </c>
      <c r="C5204" t="str">
        <f>IFERROR(__xludf.DUMMYFUNCTION("GOOGLETRANSLATE(B5204, ""zh"", ""en"")"),"OK, alright")</f>
        <v>OK, alright</v>
      </c>
    </row>
    <row r="5205">
      <c r="A5205" s="1">
        <v>5.0</v>
      </c>
      <c r="B5205" s="1" t="s">
        <v>5184</v>
      </c>
      <c r="C5205" t="str">
        <f>IFERROR(__xludf.DUMMYFUNCTION("GOOGLETRANSLATE(B5205, ""zh"", ""en"")"),"Inexpensive! it is good! Inexpensive! And is the brand name! Purchase overseas and domestic things do not consider!")</f>
        <v>Inexpensive! it is good! Inexpensive! And is the brand name! Purchase overseas and domestic things do not consider!</v>
      </c>
    </row>
    <row r="5206">
      <c r="A5206" s="1">
        <v>5.0</v>
      </c>
      <c r="B5206" s="1" t="s">
        <v>5185</v>
      </c>
      <c r="C5206" t="str">
        <f>IFERROR(__xludf.DUMMYFUNCTION("GOOGLETRANSLATE(B5206, ""zh"", ""en"")"),"Philips electric toothbrush well by express very fast! Electric toothbrush very good use! Two years Warranty! Worth at ease! Brushing teeth turned white! A hand!")</f>
        <v>Philips electric toothbrush well by express very fast! Electric toothbrush very good use! Two years Warranty! Worth at ease! Brushing teeth turned white! A hand!</v>
      </c>
    </row>
    <row r="5207">
      <c r="A5207" s="1">
        <v>5.0</v>
      </c>
      <c r="B5207" s="1" t="s">
        <v>5186</v>
      </c>
      <c r="C5207" t="str">
        <f>IFERROR(__xludf.DUMMYFUNCTION("GOOGLETRANSLATE(B5207, ""zh"", ""en"")"),"Desktop Seagate Seagate desktop drives, low-light sound temperature, but lower speed than 7200 rpm.")</f>
        <v>Desktop Seagate Seagate desktop drives, low-light sound temperature, but lower speed than 7200 rpm.</v>
      </c>
    </row>
    <row r="5208">
      <c r="A5208" s="1">
        <v>5.0</v>
      </c>
      <c r="B5208" s="1" t="s">
        <v>5187</v>
      </c>
      <c r="C5208" t="str">
        <f>IFERROR(__xludf.DUMMYFUNCTION("GOOGLETRANSLATE(B5208, ""zh"", ""en"")"),"Attractive rates and quality is very good, the price is half of the country. Strong power, and the surface, the value of color stable atmosphere.")</f>
        <v>Attractive rates and quality is very good, the price is half of the country. Strong power, and the surface, the value of color stable atmosphere.</v>
      </c>
    </row>
    <row r="5209">
      <c r="A5209" s="1">
        <v>5.0</v>
      </c>
      <c r="B5209" s="1" t="s">
        <v>5188</v>
      </c>
      <c r="C5209" t="str">
        <f>IFERROR(__xludf.DUMMYFUNCTION("GOOGLETRANSLATE(B5209, ""zh"", ""en"")"),"nice shoes It's really a great shopping experience, this pair of shoes is wonderful, highly recommend to everyone who wants it!")</f>
        <v>nice shoes It's really a great shopping experience, this pair of shoes is wonderful, highly recommend to everyone who wants it!</v>
      </c>
    </row>
    <row r="5210">
      <c r="A5210" s="1">
        <v>5.0</v>
      </c>
      <c r="B5210" s="1" t="s">
        <v>5189</v>
      </c>
      <c r="C5210" t="str">
        <f>IFERROR(__xludf.DUMMYFUNCTION("GOOGLETRANSLATE(B5210, ""zh"", ""en"")"),"Satisfaction Cool! ! ! This is necessary! Very suitable for young people newly recruited! Express soon, a week earlier than expected!")</f>
        <v>Satisfaction Cool! ! ! This is necessary! Very suitable for young people newly recruited! Express soon, a week earlier than expected!</v>
      </c>
    </row>
    <row r="5211">
      <c r="A5211" s="1">
        <v>5.0</v>
      </c>
      <c r="B5211" s="1" t="s">
        <v>5190</v>
      </c>
      <c r="C5211" t="str">
        <f>IFERROR(__xludf.DUMMYFUNCTION("GOOGLETRANSLATE(B5211, ""zh"", ""en"")"),"Recommended to buy really good! 50 kg, height 162 through S exactly. Besides quality, comfortable cotton.")</f>
        <v>Recommended to buy really good! 50 kg, height 162 through S exactly. Besides quality, comfortable cotton.</v>
      </c>
    </row>
    <row r="5212">
      <c r="A5212" s="1">
        <v>5.0</v>
      </c>
      <c r="B5212" s="1" t="s">
        <v>5191</v>
      </c>
      <c r="C5212" t="str">
        <f>IFERROR(__xludf.DUMMYFUNCTION("GOOGLETRANSLATE(B5212, ""zh"", ""en"")"),"Has been wearing good quality, swimming, bathing wearing.")</f>
        <v>Has been wearing good quality, swimming, bathing wearing.</v>
      </c>
    </row>
    <row r="5213">
      <c r="A5213" s="1">
        <v>5.0</v>
      </c>
      <c r="B5213" s="1" t="s">
        <v>5192</v>
      </c>
      <c r="C5213" t="str">
        <f>IFERROR(__xludf.DUMMYFUNCTION("GOOGLETRANSLATE(B5213, ""zh"", ""en"")"),"Worth buying price is right, logistics and soon, 34 feet, buy UK3 this code, it is appropriate, that just got finished on the price of what a ghost")</f>
        <v>Worth buying price is right, logistics and soon, 34 feet, buy UK3 this code, it is appropriate, that just got finished on the price of what a ghost</v>
      </c>
    </row>
    <row r="5214">
      <c r="A5214" s="1">
        <v>5.0</v>
      </c>
      <c r="B5214" s="1" t="s">
        <v>5193</v>
      </c>
      <c r="C5214" t="str">
        <f>IFERROR(__xludf.DUMMYFUNCTION("GOOGLETRANSLATE(B5214, ""zh"", ""en"")"),"Genuine, not fake ah easy to use, and send official store to buy an electric toothbrush toothbrush head is like ... a lot of people are spraying font honest I do not know how the font, the font is not clear frosted and no firm would not fade what I think "&amp;"you can say it ugly but just to have this font it is a little hard to describe the quality and fake before sending the official website of the same brush anyway, I have no problem with the")</f>
        <v>Genuine, not fake ah easy to use, and send official store to buy an electric toothbrush toothbrush head is like ... a lot of people are spraying font honest I do not know how the font, the font is not clear frosted and no firm would not fade what I think you can say it ugly but just to have this font it is a little hard to describe the quality and fake before sending the official website of the same brush anyway, I have no problem with the</v>
      </c>
    </row>
    <row r="5215">
      <c r="A5215" s="1">
        <v>5.0</v>
      </c>
      <c r="B5215" s="1" t="s">
        <v>5194</v>
      </c>
      <c r="C5215" t="str">
        <f>IFERROR(__xludf.DUMMYFUNCTION("GOOGLETRANSLATE(B5215, ""zh"", ""en"")"),"Travel prospective, quasi hard hit when the table to go, dial size suitable for thin hands.")</f>
        <v>Travel prospective, quasi hard hit when the table to go, dial size suitable for thin hands.</v>
      </c>
    </row>
    <row r="5216">
      <c r="A5216" s="1">
        <v>5.0</v>
      </c>
      <c r="B5216" s="1" t="s">
        <v>5195</v>
      </c>
      <c r="C5216" t="str">
        <f>IFERROR(__xludf.DUMMYFUNCTION("GOOGLETRANSLATE(B5216, ""zh"", ""en"")"),"Good quality comfortable quality much better than the domestic, the second purchase")</f>
        <v>Good quality comfortable quality much better than the domestic, the second purchase</v>
      </c>
    </row>
    <row r="5217">
      <c r="A5217" s="1">
        <v>5.0</v>
      </c>
      <c r="B5217" s="1" t="s">
        <v>5196</v>
      </c>
      <c r="C5217" t="str">
        <f>IFERROR(__xludf.DUMMYFUNCTION("GOOGLETRANSLATE(B5217, ""zh"", ""en"")"),"Something good stuff is very good, after all, the price is suitable.")</f>
        <v>Something good stuff is very good, after all, the price is suitable.</v>
      </c>
    </row>
    <row r="5218">
      <c r="A5218" s="1">
        <v>5.0</v>
      </c>
      <c r="B5218" s="1" t="s">
        <v>5197</v>
      </c>
      <c r="C5218" t="str">
        <f>IFERROR(__xludf.DUMMYFUNCTION("GOOGLETRANSLATE(B5218, ""zh"", ""en"")"),"Comfortable right size, a lot lighter than 21")</f>
        <v>Comfortable right size, a lot lighter than 21</v>
      </c>
    </row>
    <row r="5219">
      <c r="A5219" s="1">
        <v>5.0</v>
      </c>
      <c r="B5219" s="1" t="s">
        <v>5198</v>
      </c>
      <c r="C5219" t="str">
        <f>IFERROR(__xludf.DUMMYFUNCTION("GOOGLETRANSLATE(B5219, ""zh"", ""en"")"),"Are like children to school every day, very good-looking and practical")</f>
        <v>Are like children to school every day, very good-looking and practical</v>
      </c>
    </row>
    <row r="5220">
      <c r="A5220" s="1">
        <v>5.0</v>
      </c>
      <c r="B5220" s="1" t="s">
        <v>5199</v>
      </c>
      <c r="C5220" t="str">
        <f>IFERROR(__xludf.DUMMYFUNCTION("GOOGLETRANSLATE(B5220, ""zh"", ""en"")"),"Size 180,70 kg, sleeves and hem are slightly shorter. High can be appropriately overweight. Quality did not have to say")</f>
        <v>Size 180,70 kg, sleeves and hem are slightly shorter. High can be appropriately overweight. Quality did not have to say</v>
      </c>
    </row>
    <row r="5221">
      <c r="A5221" s="1">
        <v>5.0</v>
      </c>
      <c r="B5221" s="1" t="s">
        <v>5200</v>
      </c>
      <c r="C5221" t="str">
        <f>IFERROR(__xludf.DUMMYFUNCTION("GOOGLETRANSLATE(B5221, ""zh"", ""en"")"),"Love like this bra comfortable. Chest 94 xl suitable net. Not tight. Made in China.")</f>
        <v>Love like this bra comfortable. Chest 94 xl suitable net. Not tight. Made in China.</v>
      </c>
    </row>
    <row r="5222">
      <c r="A5222" s="1">
        <v>5.0</v>
      </c>
      <c r="B5222" s="1" t="s">
        <v>5201</v>
      </c>
      <c r="C5222" t="str">
        <f>IFERROR(__xludf.DUMMYFUNCTION("GOOGLETRANSLATE(B5222, ""zh"", ""en"")"),"Good cotton pants plus velvet warm and good")</f>
        <v>Good cotton pants plus velvet warm and good</v>
      </c>
    </row>
    <row r="5223">
      <c r="A5223" s="1">
        <v>5.0</v>
      </c>
      <c r="B5223" s="1" t="s">
        <v>5202</v>
      </c>
      <c r="C5223" t="str">
        <f>IFERROR(__xludf.DUMMYFUNCTION("GOOGLETRANSLATE(B5223, ""zh"", ""en"")"),"Cost-effective. 1T version, bought 512G before version. Cost-effective!")</f>
        <v>Cost-effective. 1T version, bought 512G before version. Cost-effective!</v>
      </c>
    </row>
    <row r="5224">
      <c r="A5224" s="1">
        <v>2.0</v>
      </c>
      <c r="B5224" s="1" t="s">
        <v>5203</v>
      </c>
      <c r="C5224" t="str">
        <f>IFERROR(__xludf.DUMMYFUNCTION("GOOGLETRANSLATE(B5224, ""zh"", ""en"")"),"With only two, three intermediate holes do not move with only two, three intermediate apertures do not move. Scale worse then it would not be so fast")</f>
        <v>With only two, three intermediate holes do not move with only two, three intermediate apertures do not move. Scale worse then it would not be so fast</v>
      </c>
    </row>
    <row r="5225">
      <c r="A5225" s="1">
        <v>3.0</v>
      </c>
      <c r="B5225" s="1" t="s">
        <v>5204</v>
      </c>
      <c r="C5225" t="str">
        <f>IFERROR(__xludf.DUMMYFUNCTION("GOOGLETRANSLATE(B5225, ""zh"", ""en"")"),"Noise reduction overall appearance quality is fairly good, sound quality is also good can listen to music, noise reduction effect is not obvious.")</f>
        <v>Noise reduction overall appearance quality is fairly good, sound quality is also good can listen to music, noise reduction effect is not obvious.</v>
      </c>
    </row>
    <row r="5226">
      <c r="A5226" s="1">
        <v>3.0</v>
      </c>
      <c r="B5226" s="1" t="s">
        <v>5205</v>
      </c>
      <c r="C5226" t="str">
        <f>IFERROR(__xludf.DUMMYFUNCTION("GOOGLETRANSLATE(B5226, ""zh"", ""en"")"),"It can also be heavy with, but slightly shorter spoon handle, good texture that is not used in IKEA")</f>
        <v>It can also be heavy with, but slightly shorter spoon handle, good texture that is not used in IKEA</v>
      </c>
    </row>
    <row r="5227">
      <c r="A5227" s="1">
        <v>1.0</v>
      </c>
      <c r="B5227" s="1" t="s">
        <v>5206</v>
      </c>
      <c r="C5227" t="str">
        <f>IFERROR(__xludf.DUMMYFUNCTION("GOOGLETRANSLATE(B5227, ""zh"", ""en"")"),"There are leather wear and tear on overseas shopping, too lazy to change, something touches of leather")</f>
        <v>There are leather wear and tear on overseas shopping, too lazy to change, something touches of leather</v>
      </c>
    </row>
    <row r="5228">
      <c r="A5228" s="1">
        <v>1.0</v>
      </c>
      <c r="B5228" s="1" t="s">
        <v>5207</v>
      </c>
      <c r="C5228" t="str">
        <f>IFERROR(__xludf.DUMMYFUNCTION("GOOGLETRANSLATE(B5228, ""zh"", ""en"")"),"There are obvious scratches obvious scratches")</f>
        <v>There are obvious scratches obvious scratches</v>
      </c>
    </row>
    <row r="5229">
      <c r="A5229" s="1">
        <v>1.0</v>
      </c>
      <c r="B5229" s="1" t="s">
        <v>5208</v>
      </c>
      <c r="C5229" t="str">
        <f>IFERROR(__xludf.DUMMYFUNCTION("GOOGLETRANSLATE(B5229, ""zh"", ""en"")"),"Severe squeeze Poor Poor Poor foot, foot to buy the normal code, the foot too tight, worn out work in the morning, an hour Le feet can not stand too, does not pay the freight back, can not keep wearing, it is tasteless, can not wait to go barefoot off")</f>
        <v>Severe squeeze Poor Poor Poor foot, foot to buy the normal code, the foot too tight, worn out work in the morning, an hour Le feet can not stand too, does not pay the freight back, can not keep wearing, it is tasteless, can not wait to go barefoot off</v>
      </c>
    </row>
    <row r="5230">
      <c r="A5230" s="1">
        <v>4.0</v>
      </c>
      <c r="B5230" s="1" t="s">
        <v>5209</v>
      </c>
      <c r="C5230" t="str">
        <f>IFERROR(__xludf.DUMMYFUNCTION("GOOGLETRANSLATE(B5230, ""zh"", ""en"")"),"OK quality can, L 180 wear slightly loose")</f>
        <v>OK quality can, L 180 wear slightly loose</v>
      </c>
    </row>
    <row r="5231">
      <c r="A5231" s="1">
        <v>4.0</v>
      </c>
      <c r="B5231" s="1" t="s">
        <v>5210</v>
      </c>
      <c r="C5231" t="str">
        <f>IFERROR(__xludf.DUMMYFUNCTION("GOOGLETRANSLATE(B5231, ""zh"", ""en"")"),"Packaging very good (✪ ▽ ✪) I thought it would be crushed cartons shipped over no results, good packaging protection. Refill really well (✪ ▽ ✪)")</f>
        <v>Packaging very good (✪ ▽ ✪) I thought it would be crushed cartons shipped over no results, good packaging protection. Refill really well (✪ ▽ ✪)</v>
      </c>
    </row>
    <row r="5232">
      <c r="A5232" s="1">
        <v>4.0</v>
      </c>
      <c r="B5232" s="1" t="s">
        <v>5211</v>
      </c>
      <c r="C5232" t="str">
        <f>IFERROR(__xludf.DUMMYFUNCTION("GOOGLETRANSLATE(B5232, ""zh"", ""en"")"),"158,53 relatively thick, the right length, but a little thin. Very warm.")</f>
        <v>158,53 relatively thick, the right length, but a little thin. Very warm.</v>
      </c>
    </row>
    <row r="5233">
      <c r="A5233" s="1">
        <v>4.0</v>
      </c>
      <c r="B5233" s="1" t="s">
        <v>5212</v>
      </c>
      <c r="C5233" t="str">
        <f>IFERROR(__xludf.DUMMYFUNCTION("GOOGLETRANSLATE(B5233, ""zh"", ""en"")"),"With a very good, price is not high enough to use what is good, I am feeling more expensive, on product design and the use of point of view, is not nothing special.")</f>
        <v>With a very good, price is not high enough to use what is good, I am feeling more expensive, on product design and the use of point of view, is not nothing special.</v>
      </c>
    </row>
    <row r="5234">
      <c r="A5234" s="1">
        <v>4.0</v>
      </c>
      <c r="B5234" s="1" t="s">
        <v>5213</v>
      </c>
      <c r="C5234" t="str">
        <f>IFERROR(__xludf.DUMMYFUNCTION("GOOGLETRANSLATE(B5234, ""zh"", ""en"")"),"Take out something good, but photographed after payment out of stock, and so on for two weeks")</f>
        <v>Take out something good, but photographed after payment out of stock, and so on for two weeks</v>
      </c>
    </row>
    <row r="5235">
      <c r="A5235" s="1">
        <v>5.0</v>
      </c>
      <c r="B5235" s="1" t="s">
        <v>5214</v>
      </c>
      <c r="C5235" t="str">
        <f>IFERROR(__xludf.DUMMYFUNCTION("GOOGLETRANSLATE(B5235, ""zh"", ""en"")"),"Bright colors perfect, no damage, beautiful color, very much")</f>
        <v>Bright colors perfect, no damage, beautiful color, very much</v>
      </c>
    </row>
    <row r="5236">
      <c r="A5236" s="1">
        <v>5.0</v>
      </c>
      <c r="B5236" s="1" t="s">
        <v>5215</v>
      </c>
      <c r="C5236" t="str">
        <f>IFERROR(__xludf.DUMMYFUNCTION("GOOGLETRANSLATE(B5236, ""zh"", ""en"")"),"Good Very satisfied")</f>
        <v>Good Very satisfied</v>
      </c>
    </row>
    <row r="5237">
      <c r="A5237" s="1">
        <v>5.0</v>
      </c>
      <c r="B5237" s="1" t="s">
        <v>5216</v>
      </c>
      <c r="C5237" t="str">
        <f>IFERROR(__xludf.DUMMYFUNCTION("GOOGLETRANSLATE(B5237, ""zh"", ""en"")"),"I bought a big One 177,75kg, estimated that a relatively lean, the results of a large number of 36, have their own drilling, buy 34 or 32 is perfect")</f>
        <v>I bought a big One 177,75kg, estimated that a relatively lean, the results of a large number of 36, have their own drilling, buy 34 or 32 is perfect</v>
      </c>
    </row>
    <row r="5238">
      <c r="A5238" s="1">
        <v>5.0</v>
      </c>
      <c r="B5238" s="1" t="s">
        <v>5217</v>
      </c>
      <c r="C5238" t="str">
        <f>IFERROR(__xludf.DUMMYFUNCTION("GOOGLETRANSLATE(B5238, ""zh"", ""en"")"),"The size of the right size, very comfortable after a few days running, sports shoes 44. 43.5 outdoor shoes, I hope you find these helpful")</f>
        <v>The size of the right size, very comfortable after a few days running, sports shoes 44. 43.5 outdoor shoes, I hope you find these helpful</v>
      </c>
    </row>
    <row r="5239">
      <c r="A5239" s="1">
        <v>5.0</v>
      </c>
      <c r="B5239" s="1" t="s">
        <v>5218</v>
      </c>
      <c r="C5239" t="str">
        <f>IFERROR(__xludf.DUMMYFUNCTION("GOOGLETRANSLATE(B5239, ""zh"", ""en"")"),"German quality &lt;div id = ""video-block-R3P0UJ1U05OUNK"" class = ""a-section a-spacing-small a-spacing-top-mini video-block""&gt; &lt;/ div&gt; &lt;input type = ""hidden"" name = "" ""value ="" https://images-cn.ssl-images-amazon.com/images/I/81b3697yK0S.mp4 ""class ="&amp;""" video-url ""&gt; &lt;input type ="" hidden ""name ="" ""value ="" https://images-cn.ssl-images-amazon.com/images/I/71AMQ0eY+7S.png ""class ="" video-slate-img-url ""&gt; &amp; nbsp; something good, beautifully packaged. Germany shipped home. Domestic pot and buy al"&amp;"l the same! Focus is on the filter is new, no black grinding mill, the disadvantage is I want to buy after buying a time, the price increased by nearly 300! Such resistance is not high price")</f>
        <v>German quality &lt;div id = "video-block-R3P0UJ1U05OUNK" class = "a-section a-spacing-small a-spacing-top-mini video-block"&gt; &lt;/ div&gt; &lt;input type = "hidden" name = " "value =" https://images-cn.ssl-images-amazon.com/images/I/81b3697yK0S.mp4 "class =" video-url "&gt; &lt;input type =" hidden "name =" "value =" https://images-cn.ssl-images-amazon.com/images/I/71AMQ0eY+7S.png "class =" video-slate-img-url "&gt; &amp; nbsp; something good, beautifully packaged. Germany shipped home. Domestic pot and buy all the same! Focus is on the filter is new, no black grinding mill, the disadvantage is I want to buy after buying a time, the price increased by nearly 300! Such resistance is not high price</v>
      </c>
    </row>
    <row r="5240">
      <c r="A5240" s="1">
        <v>5.0</v>
      </c>
      <c r="B5240" s="1" t="s">
        <v>5219</v>
      </c>
      <c r="C5240" t="str">
        <f>IFERROR(__xludf.DUMMYFUNCTION("GOOGLETRANSLATE(B5240, ""zh"", ""en"")"),"Long-term use as a daily maintenance is still very effective.")</f>
        <v>Long-term use as a daily maintenance is still very effective.</v>
      </c>
    </row>
    <row r="5241">
      <c r="A5241" s="1">
        <v>5.0</v>
      </c>
      <c r="B5241" s="1" t="s">
        <v>5220</v>
      </c>
      <c r="C5241" t="str">
        <f>IFERROR(__xludf.DUMMYFUNCTION("GOOGLETRANSLATE(B5241, ""zh"", ""en"")"),"Value for money lighter than expected and appeared very thin legs not be great right size Color is also very wild buy most activities did not give a good deal of freight")</f>
        <v>Value for money lighter than expected and appeared very thin legs not be great right size Color is also very wild buy most activities did not give a good deal of freight</v>
      </c>
    </row>
    <row r="5242">
      <c r="A5242" s="1">
        <v>5.0</v>
      </c>
      <c r="B5242" s="1" t="s">
        <v>5221</v>
      </c>
      <c r="C5242" t="str">
        <f>IFERROR(__xludf.DUMMYFUNCTION("GOOGLETRANSLATE(B5242, ""zh"", ""en"")"),"Silicone like there will be contacted before the normal production of silicone so that it taste sour taste point within the normal range feels very soft and super soft pacifier to the baby when hope can accept")</f>
        <v>Silicone like there will be contacted before the normal production of silicone so that it taste sour taste point within the normal range feels very soft and super soft pacifier to the baby when hope can accept</v>
      </c>
    </row>
    <row r="5243">
      <c r="A5243" s="1">
        <v>5.0</v>
      </c>
      <c r="B5243" s="1" t="s">
        <v>5222</v>
      </c>
      <c r="C5243" t="str">
        <f>IFERROR(__xludf.DUMMYFUNCTION("GOOGLETRANSLATE(B5243, ""zh"", ""en"")"),"Good sound quality with a small number of good quality")</f>
        <v>Good sound quality with a small number of good quality</v>
      </c>
    </row>
    <row r="5244">
      <c r="A5244" s="1">
        <v>5.0</v>
      </c>
      <c r="B5244" s="1" t="s">
        <v>5223</v>
      </c>
      <c r="C5244" t="str">
        <f>IFERROR(__xludf.DUMMYFUNCTION("GOOGLETRANSLATE(B5244, ""zh"", ""en"")"),"Sound quality is very good sound quality is very good, for the first time to hear their own voice so clearly")</f>
        <v>Sound quality is very good sound quality is very good, for the first time to hear their own voice so clearly</v>
      </c>
    </row>
    <row r="5245">
      <c r="A5245" s="1">
        <v>5.0</v>
      </c>
      <c r="B5245" s="1" t="s">
        <v>5224</v>
      </c>
      <c r="C5245" t="str">
        <f>IFERROR(__xludf.DUMMYFUNCTION("GOOGLETRANSLATE(B5245, ""zh"", ""en"")"),"Haha other colors want to buy a pretty color, the version is also very good, 162cm50 kg, waist 64-65, hip 89, just right, next to the skin, but I feel a little long.")</f>
        <v>Haha other colors want to buy a pretty color, the version is also very good, 162cm50 kg, waist 64-65, hip 89, just right, next to the skin, but I feel a little long.</v>
      </c>
    </row>
    <row r="5246">
      <c r="A5246" s="1">
        <v>5.0</v>
      </c>
      <c r="B5246" s="1" t="s">
        <v>5225</v>
      </c>
      <c r="C5246" t="str">
        <f>IFERROR(__xludf.DUMMYFUNCTION("GOOGLETRANSLATE(B5246, ""zh"", ""en"")"),"Let me talk about the use of feelings people use, but if not often travel related needs, it is recommended to buy the home version, at least bigger tank. Between my teeth and wide, this product can effectively clean up the residual after eating nuts, meat"&amp;", rice slag foam, but after eating foods like rice produced is not formed, almost mushy side of adhering to the teeth substance and a bit inadequate, need to floss / floss pick water after cleaning the mirror finishing to floss")</f>
        <v>Let me talk about the use of feelings people use, but if not often travel related needs, it is recommended to buy the home version, at least bigger tank. Between my teeth and wide, this product can effectively clean up the residual after eating nuts, meat, rice slag foam, but after eating foods like rice produced is not formed, almost mushy side of adhering to the teeth substance and a bit inadequate, need to floss / floss pick water after cleaning the mirror finishing to floss</v>
      </c>
    </row>
    <row r="5247">
      <c r="A5247" s="1">
        <v>5.0</v>
      </c>
      <c r="B5247" s="1" t="s">
        <v>5226</v>
      </c>
      <c r="C5247" t="str">
        <f>IFERROR(__xludf.DUMMYFUNCTION("GOOGLETRANSLATE(B5247, ""zh"", ""en"")"),"Breakfast usually very good product with a very convenient.")</f>
        <v>Breakfast usually very good product with a very convenient.</v>
      </c>
    </row>
    <row r="5248">
      <c r="A5248" s="1">
        <v>5.0</v>
      </c>
      <c r="B5248" s="1" t="s">
        <v>5227</v>
      </c>
      <c r="C5248" t="str">
        <f>IFERROR(__xludf.DUMMYFUNCTION("GOOGLETRANSLATE(B5248, ""zh"", ""en"")"),"Very, very good, as always, good. Amazon is great.")</f>
        <v>Very, very good, as always, good. Amazon is great.</v>
      </c>
    </row>
    <row r="5249">
      <c r="A5249" s="1">
        <v>5.0</v>
      </c>
      <c r="B5249" s="1" t="s">
        <v>5228</v>
      </c>
      <c r="C5249" t="str">
        <f>IFERROR(__xludf.DUMMYFUNCTION("GOOGLETRANSLATE(B5249, ""zh"", ""en"")"),"So small that a 24-color which has at least 14 colors in 48 colors which are there, I went to buy a white, expensive, and also so multi-colored, really a waste, although very good quality, really, painting portraits particularly good")</f>
        <v>So small that a 24-color which has at least 14 colors in 48 colors which are there, I went to buy a white, expensive, and also so multi-colored, really a waste, although very good quality, really, painting portraits particularly good</v>
      </c>
    </row>
    <row r="5250">
      <c r="A5250" s="1">
        <v>5.0</v>
      </c>
      <c r="B5250" s="1" t="s">
        <v>5229</v>
      </c>
      <c r="C5250" t="str">
        <f>IFERROR(__xludf.DUMMYFUNCTION("GOOGLETRANSLATE(B5250, ""zh"", ""en"")"),"Good wearing very comfortable")</f>
        <v>Good wearing very comfortable</v>
      </c>
    </row>
    <row r="5251">
      <c r="A5251" s="1">
        <v>5.0</v>
      </c>
      <c r="B5251" s="1" t="s">
        <v>5230</v>
      </c>
      <c r="C5251" t="str">
        <f>IFERROR(__xludf.DUMMYFUNCTION("GOOGLETRANSLATE(B5251, ""zh"", ""en"")"),"feedback size material are ok, there was a mark there is a local, small flaws.")</f>
        <v>feedback size material are ok, there was a mark there is a local, small flaws.</v>
      </c>
    </row>
    <row r="5252">
      <c r="A5252" s="1">
        <v>5.0</v>
      </c>
      <c r="B5252" s="1" t="s">
        <v>5231</v>
      </c>
      <c r="C5252" t="str">
        <f>IFERROR(__xludf.DUMMYFUNCTION("GOOGLETRANSLATE(B5252, ""zh"", ""en"")"),"Price fit my height 178, weight 200 pounds, just right")</f>
        <v>Price fit my height 178, weight 200 pounds, just right</v>
      </c>
    </row>
    <row r="5253">
      <c r="A5253" s="1">
        <v>5.0</v>
      </c>
      <c r="B5253" s="1" t="s">
        <v>5232</v>
      </c>
      <c r="C5253" t="str">
        <f>IFERROR(__xludf.DUMMYFUNCTION("GOOGLETRANSLATE(B5253, ""zh"", ""en"")"),"Suitable, not only can the feet, the price is right shoes")</f>
        <v>Suitable, not only can the feet, the price is right shoes</v>
      </c>
    </row>
    <row r="5254">
      <c r="A5254" s="1">
        <v>5.0</v>
      </c>
      <c r="B5254" s="1" t="s">
        <v>5233</v>
      </c>
      <c r="C5254" t="str">
        <f>IFERROR(__xludf.DUMMYFUNCTION("GOOGLETRANSLATE(B5254, ""zh"", ""en"")"),"US version, slightly larger than the material soft and comfortable, good upper body significantly spirit height 186, 150 pounds, clothes Shoulder 47 Bust 120 Length 65,")</f>
        <v>US version, slightly larger than the material soft and comfortable, good upper body significantly spirit height 186, 150 pounds, clothes Shoulder 47 Bust 120 Length 65,</v>
      </c>
    </row>
    <row r="5255">
      <c r="A5255" s="1">
        <v>5.0</v>
      </c>
      <c r="B5255" s="1" t="s">
        <v>5234</v>
      </c>
      <c r="C5255" t="str">
        <f>IFERROR(__xludf.DUMMYFUNCTION("GOOGLETRANSLATE(B5255, ""zh"", ""en"")"),"Price right size from the United States to use quite fast for a week")</f>
        <v>Price right size from the United States to use quite fast for a week</v>
      </c>
    </row>
    <row r="5256">
      <c r="A5256" s="1">
        <v>5.0</v>
      </c>
      <c r="B5256" s="1" t="s">
        <v>5235</v>
      </c>
      <c r="C5256" t="str">
        <f>IFERROR(__xludf.DUMMYFUNCTION("GOOGLETRANSLATE(B5256, ""zh"", ""en"")"),"In addition to very comfortable the shoes a bit heavy, others are perfect.")</f>
        <v>In addition to very comfortable the shoes a bit heavy, others are perfect.</v>
      </c>
    </row>
    <row r="5257">
      <c r="A5257" s="1">
        <v>2.0</v>
      </c>
      <c r="B5257" s="1" t="s">
        <v>5236</v>
      </c>
      <c r="C5257" t="str">
        <f>IFERROR(__xludf.DUMMYFUNCTION("GOOGLETRANSLATE(B5257, ""zh"", ""en"")"),"Quality of the card can not be trusted, I think not genuine SanDisk CF card in your shop I bought a SanDisk 32G160 / 150MCF card and two SanDisk 32G126 / 60CF card, recently taken out to use, find 32G160 / 150CF card to the computer Type the photos at a r"&amp;"ate of about 80M, a 32G120 / 60CF card to the computer input photos at a rate of about 90M, another 32G120 / 60CF card to the computer input photos at a rate of about 50M, then take a closer look at CF label card posted, cut crooked, compared to my origin"&amp;"al buy genuine SanDisk CF card, it is very obvious.")</f>
        <v>Quality of the card can not be trusted, I think not genuine SanDisk CF card in your shop I bought a SanDisk 32G160 / 150MCF card and two SanDisk 32G126 / 60CF card, recently taken out to use, find 32G160 / 150CF card to the computer Type the photos at a rate of about 80M, a 32G120 / 60CF card to the computer input photos at a rate of about 90M, another 32G120 / 60CF card to the computer input photos at a rate of about 50M, then take a closer look at CF label card posted, cut crooked, compared to my original buy genuine SanDisk CF card, it is very obvious.</v>
      </c>
    </row>
    <row r="5258">
      <c r="A5258" s="1">
        <v>3.0</v>
      </c>
      <c r="B5258" s="1" t="s">
        <v>5237</v>
      </c>
      <c r="C5258" t="str">
        <f>IFERROR(__xludf.DUMMYFUNCTION("GOOGLETRANSLATE(B5258, ""zh"", ""en"")"),"Fuzzy quality patterns are completely beyond the expected difference, too lazy to return the")</f>
        <v>Fuzzy quality patterns are completely beyond the expected difference, too lazy to return the</v>
      </c>
    </row>
    <row r="5259">
      <c r="A5259" s="1">
        <v>3.0</v>
      </c>
      <c r="B5259" s="1" t="s">
        <v>5238</v>
      </c>
      <c r="C5259" t="str">
        <f>IFERROR(__xludf.DUMMYFUNCTION("GOOGLETRANSLATE(B5259, ""zh"", ""en"")"),"Tongue, not the same as buying please join considered appropriate. Also like shoes, size feeling positive. In line with tooling boots feel. Comfort can also compare safety shoes, sneakers and certainly not the same. But the tongue of the shoe is also no b"&amp;"ig difference, right, Shoe time to see, really Naogua Zi pain.")</f>
        <v>Tongue, not the same as buying please join considered appropriate. Also like shoes, size feeling positive. In line with tooling boots feel. Comfort can also compare safety shoes, sneakers and certainly not the same. But the tongue of the shoe is also no big difference, right, Shoe time to see, really Naogua Zi pain.</v>
      </c>
    </row>
    <row r="5260">
      <c r="A5260" s="1">
        <v>3.0</v>
      </c>
      <c r="B5260" s="1" t="s">
        <v>5239</v>
      </c>
      <c r="C5260" t="str">
        <f>IFERROR(__xludf.DUMMYFUNCTION("GOOGLETRANSLATE(B5260, ""zh"", ""en"")"),"L pants usually wear pants big results buy the L number of large and super-long")</f>
        <v>L pants usually wear pants big results buy the L number of large and super-long</v>
      </c>
    </row>
    <row r="5261">
      <c r="A5261" s="1">
        <v>1.0</v>
      </c>
      <c r="B5261" s="1" t="s">
        <v>5240</v>
      </c>
      <c r="C5261" t="str">
        <f>IFERROR(__xludf.DUMMYFUNCTION("GOOGLETRANSLATE(B5261, ""zh"", ""en"")"),"Men's? Are you kidding me? It is made men's shirts .M code to the men wear are big")</f>
        <v>Men's? Are you kidding me? It is made men's shirts .M code to the men wear are big</v>
      </c>
    </row>
    <row r="5262">
      <c r="A5262" s="1">
        <v>1.0</v>
      </c>
      <c r="B5262" s="1" t="s">
        <v>5241</v>
      </c>
      <c r="C5262" t="str">
        <f>IFERROR(__xludf.DUMMYFUNCTION("GOOGLETRANSLATE(B5262, ""zh"", ""en"")"),"Version right size too large. Can not wear")</f>
        <v>Version right size too large. Can not wear</v>
      </c>
    </row>
    <row r="5263">
      <c r="A5263" s="1">
        <v>4.0</v>
      </c>
      <c r="B5263" s="1" t="s">
        <v>5242</v>
      </c>
      <c r="C5263" t="str">
        <f>IFERROR(__xludf.DUMMYFUNCTION("GOOGLETRANSLATE(B5263, ""zh"", ""en"")"),"It can also be relaxed version of the sweat pants, loose,")</f>
        <v>It can also be relaxed version of the sweat pants, loose,</v>
      </c>
    </row>
    <row r="5264">
      <c r="A5264" s="1">
        <v>4.0</v>
      </c>
      <c r="B5264" s="1" t="s">
        <v>5243</v>
      </c>
      <c r="C5264" t="str">
        <f>IFERROR(__xludf.DUMMYFUNCTION("GOOGLETRANSLATE(B5264, ""zh"", ""en"")"),"Europe is not suitable for body type, not suitable for Asians")</f>
        <v>Europe is not suitable for body type, not suitable for Asians</v>
      </c>
    </row>
    <row r="5265">
      <c r="A5265" s="1">
        <v>4.0</v>
      </c>
      <c r="B5265" s="1" t="s">
        <v>5244</v>
      </c>
      <c r="C5265" t="str">
        <f>IFERROR(__xludf.DUMMYFUNCTION("GOOGLETRANSLATE(B5265, ""zh"", ""en"")"),"Honduras acceptable production, cheap, quality also considered worthy of the price.")</f>
        <v>Honduras acceptable production, cheap, quality also considered worthy of the price.</v>
      </c>
    </row>
    <row r="5266">
      <c r="A5266" s="1">
        <v>4.0</v>
      </c>
      <c r="B5266" s="1" t="s">
        <v>5245</v>
      </c>
      <c r="C5266" t="str">
        <f>IFERROR(__xludf.DUMMYFUNCTION("GOOGLETRANSLATE(B5266, ""zh"", ""en"")"),"Capacity size is appropriate, easy to carry travel belongings")</f>
        <v>Capacity size is appropriate, easy to carry travel belongings</v>
      </c>
    </row>
    <row r="5267">
      <c r="A5267" s="1">
        <v>4.0</v>
      </c>
      <c r="B5267" s="1" t="s">
        <v>5246</v>
      </c>
      <c r="C5267" t="str">
        <f>IFERROR(__xludf.DUMMYFUNCTION("GOOGLETRANSLATE(B5267, ""zh"", ""en"")"),"Slightly larger size to try on and then carefully read the table, the United Kingdom and Germany 🇩🇪 shipments of merchandise slight difference in size, the same 3.5, slightly larger than Germany's. Chinese sports shoes 36, this 3.5uk, need a cushion ins"&amp;"ole job. Footwear plate, the reason is too large. Big will not Genjiao.")</f>
        <v>Slightly larger size to try on and then carefully read the table, the United Kingdom and Germany 🇩🇪 shipments of merchandise slight difference in size, the same 3.5, slightly larger than Germany's. Chinese sports shoes 36, this 3.5uk, need a cushion insole job. Footwear plate, the reason is too large. Big will not Genjiao.</v>
      </c>
    </row>
    <row r="5268">
      <c r="A5268" s="1">
        <v>5.0</v>
      </c>
      <c r="B5268" s="1" t="s">
        <v>5247</v>
      </c>
      <c r="C5268" t="str">
        <f>IFERROR(__xludf.DUMMYFUNCTION("GOOGLETRANSLATE(B5268, ""zh"", ""en"")"),"Currently the use of a very good start to my win7 can not identify, to use software Bahrain usb drive to normal use, arrived, the packaging is very bad feeling used, which may loom very new, currently good, thicker than 1t hard drive, but length and width"&amp;" is smaller")</f>
        <v>Currently the use of a very good start to my win7 can not identify, to use software Bahrain usb drive to normal use, arrived, the packaging is very bad feeling used, which may loom very new, currently good, thicker than 1t hard drive, but length and width is smaller</v>
      </c>
    </row>
    <row r="5269">
      <c r="A5269" s="1">
        <v>5.0</v>
      </c>
      <c r="B5269" s="1" t="s">
        <v>5248</v>
      </c>
      <c r="C5269" t="str">
        <f>IFERROR(__xludf.DUMMYFUNCTION("GOOGLETRANSLATE(B5269, ""zh"", ""en"")"),"Well the rare models, installation is not complicated.")</f>
        <v>Well the rare models, installation is not complicated.</v>
      </c>
    </row>
    <row r="5270">
      <c r="A5270" s="1">
        <v>5.0</v>
      </c>
      <c r="B5270" s="1" t="s">
        <v>5249</v>
      </c>
      <c r="C5270" t="str">
        <f>IFERROR(__xludf.DUMMYFUNCTION("GOOGLETRANSLATE(B5270, ""zh"", ""en"")"),"Satisfied with the good, but shoe size is too large.")</f>
        <v>Satisfied with the good, but shoe size is too large.</v>
      </c>
    </row>
    <row r="5271">
      <c r="A5271" s="1">
        <v>5.0</v>
      </c>
      <c r="B5271" s="1" t="s">
        <v>5250</v>
      </c>
      <c r="C5271" t="str">
        <f>IFERROR(__xludf.DUMMYFUNCTION("GOOGLETRANSLATE(B5271, ""zh"", ""en"")"),"Accurate sound field, mellow sound, listen to good lossless sound field is accurate, mellow sound, listen to MP3 lossless nice to listen to ordinary general effect is likely to be the reason I'm the front-line of notebook")</f>
        <v>Accurate sound field, mellow sound, listen to good lossless sound field is accurate, mellow sound, listen to MP3 lossless nice to listen to ordinary general effect is likely to be the reason I'm the front-line of notebook</v>
      </c>
    </row>
    <row r="5272">
      <c r="A5272" s="1">
        <v>5.0</v>
      </c>
      <c r="B5272" s="1" t="s">
        <v>5251</v>
      </c>
      <c r="C5272" t="str">
        <f>IFERROR(__xludf.DUMMYFUNCTION("GOOGLETRANSLATE(B5272, ""zh"", ""en"")"),"Origin China, high-quality shoes. Codons is very standard, usually wear is too many yards, to buy much; Chinese origin, high-quality shoes.")</f>
        <v>Origin China, high-quality shoes. Codons is very standard, usually wear is too many yards, to buy much; Chinese origin, high-quality shoes.</v>
      </c>
    </row>
    <row r="5273">
      <c r="A5273" s="1">
        <v>5.0</v>
      </c>
      <c r="B5273" s="1" t="s">
        <v>5252</v>
      </c>
      <c r="C5273" t="str">
        <f>IFERROR(__xludf.DUMMYFUNCTION("GOOGLETRANSLATE(B5273, ""zh"", ""en"")"),"Inexpensive my first time to buy things on Amazon, read many times before in the store, and tried attendants are tired 😭 but my friends really think this shoe spent 2,000 yuan to buy a little luxury. Thankfully, Amazon ah, direct reduction of more than h"&amp;"alf the money, you must buy. Also just started to do a month of preparation, I did not expect only two weeks, but also a pleasant surprise. Extremely good")</f>
        <v>Inexpensive my first time to buy things on Amazon, read many times before in the store, and tried attendants are tired 😭 but my friends really think this shoe spent 2,000 yuan to buy a little luxury. Thankfully, Amazon ah, direct reduction of more than half the money, you must buy. Also just started to do a month of preparation, I did not expect only two weeks, but also a pleasant surprise. Extremely good</v>
      </c>
    </row>
    <row r="5274">
      <c r="A5274" s="1">
        <v>5.0</v>
      </c>
      <c r="B5274" s="1" t="s">
        <v>5253</v>
      </c>
      <c r="C5274" t="str">
        <f>IFERROR(__xludf.DUMMYFUNCTION("GOOGLETRANSLATE(B5274, ""zh"", ""en"")"),"Experience with a baby just, good, oh!")</f>
        <v>Experience with a baby just, good, oh!</v>
      </c>
    </row>
    <row r="5275">
      <c r="A5275" s="1">
        <v>5.0</v>
      </c>
      <c r="B5275" s="1" t="s">
        <v>5254</v>
      </c>
      <c r="C5275" t="str">
        <f>IFERROR(__xludf.DUMMYFUNCTION("GOOGLETRANSLATE(B5275, ""zh"", ""en"")"),"The very type of pants is very good, very type. Fabric is also very suitable for spring and autumn and winter wear thick")</f>
        <v>The very type of pants is very good, very type. Fabric is also very suitable for spring and autumn and winter wear thick</v>
      </c>
    </row>
    <row r="5276">
      <c r="A5276" s="1">
        <v>5.0</v>
      </c>
      <c r="B5276" s="1" t="s">
        <v>5255</v>
      </c>
      <c r="C5276" t="str">
        <f>IFERROR(__xludf.DUMMYFUNCTION("GOOGLETRANSLATE(B5276, ""zh"", ""en"")"),"Very good is also good, 165,62M code quite right.")</f>
        <v>Very good is also good, 165,62M code quite right.</v>
      </c>
    </row>
    <row r="5277">
      <c r="A5277" s="1">
        <v>5.0</v>
      </c>
      <c r="B5277" s="1" t="s">
        <v>5256</v>
      </c>
      <c r="C5277" t="str">
        <f>IFERROR(__xludf.DUMMYFUNCTION("GOOGLETRANSLATE(B5277, ""zh"", ""en"")"),"Can be very good quality, the children love it.")</f>
        <v>Can be very good quality, the children love it.</v>
      </c>
    </row>
    <row r="5278">
      <c r="A5278" s="1">
        <v>5.0</v>
      </c>
      <c r="B5278" s="1" t="s">
        <v>5257</v>
      </c>
      <c r="C5278" t="str">
        <f>IFERROR(__xludf.DUMMYFUNCTION("GOOGLETRANSLATE(B5278, ""zh"", ""en"")"),"Separator beige powder beige color well, is the natural state of the leg closest to the color of friends. This brand of stockings Needless to say, after passing through, cupboard other stockings do not want to wear it.")</f>
        <v>Separator beige powder beige color well, is the natural state of the leg closest to the color of friends. This brand of stockings Needless to say, after passing through, cupboard other stockings do not want to wear it.</v>
      </c>
    </row>
    <row r="5279">
      <c r="A5279" s="1">
        <v>5.0</v>
      </c>
      <c r="B5279" s="1" t="s">
        <v>5258</v>
      </c>
      <c r="C5279" t="str">
        <f>IFERROR(__xludf.DUMMYFUNCTION("GOOGLETRANSLATE(B5279, ""zh"", ""en"")"),"Very satisfied with a pair of pants, highly recommended! With Amazon's overseas purchase, never again to go OUTLETS, the swindling of a lot. The very fit trousers, size precision, appropriate fabric thickness, spring and winter Laid preparation for wearin"&amp;"g; pants work well, especially after the addition of 41% Polyester / 2% Spandex, significantly improved wrinkle resistance, without washing after the initial addition of an appropriate amount of white vinegar soaked fading phenomenon, big love! I height 1"&amp;"83cm, 80Kg, bought 36X32 as tailored as appropriate, for your reference! Strongly recommend you buy!")</f>
        <v>Very satisfied with a pair of pants, highly recommended! With Amazon's overseas purchase, never again to go OUTLETS, the swindling of a lot. The very fit trousers, size precision, appropriate fabric thickness, spring and winter Laid preparation for wearing; pants work well, especially after the addition of 41% Polyester / 2% Spandex, significantly improved wrinkle resistance, without washing after the initial addition of an appropriate amount of white vinegar soaked fading phenomenon, big love! I height 183cm, 80Kg, bought 36X32 as tailored as appropriate, for your reference! Strongly recommend you buy!</v>
      </c>
    </row>
    <row r="5280">
      <c r="A5280" s="1">
        <v>5.0</v>
      </c>
      <c r="B5280" s="1" t="s">
        <v>5259</v>
      </c>
      <c r="C5280" t="str">
        <f>IFERROR(__xludf.DUMMYFUNCTION("GOOGLETRANSLATE(B5280, ""zh"", ""en"")"),"Clark's men's Vietnamese origin, the quality is very good, and foot comfort; layered soles, may improve air circulation inside the shoe to be worn for some time before additional comment. In short, the first feeling is praise.")</f>
        <v>Clark's men's Vietnamese origin, the quality is very good, and foot comfort; layered soles, may improve air circulation inside the shoe to be worn for some time before additional comment. In short, the first feeling is praise.</v>
      </c>
    </row>
    <row r="5281">
      <c r="A5281" s="1">
        <v>5.0</v>
      </c>
      <c r="B5281" s="1" t="s">
        <v>5260</v>
      </c>
      <c r="C5281" t="str">
        <f>IFERROR(__xludf.DUMMYFUNCTION("GOOGLETRANSLATE(B5281, ""zh"", ""en"")"),"Worth buying 26 Kusakabe single, 10 days of receipt, feeling such a long time, but fortunately, hand packing items in good condition. Test various functions properly, it is worth starting a classic watch.")</f>
        <v>Worth buying 26 Kusakabe single, 10 days of receipt, feeling such a long time, but fortunately, hand packing items in good condition. Test various functions properly, it is worth starting a classic watch.</v>
      </c>
    </row>
    <row r="5282">
      <c r="A5282" s="1">
        <v>5.0</v>
      </c>
      <c r="B5282" s="1" t="s">
        <v>5261</v>
      </c>
      <c r="C5282" t="str">
        <f>IFERROR(__xludf.DUMMYFUNCTION("GOOGLETRANSLATE(B5282, ""zh"", ""en"")"),"Well 180mm70kg, 32 * 34 waist and slightly fat, the right length, gratifying price")</f>
        <v>Well 180mm70kg, 32 * 34 waist and slightly fat, the right length, gratifying price</v>
      </c>
    </row>
    <row r="5283">
      <c r="A5283" s="1">
        <v>5.0</v>
      </c>
      <c r="B5283" s="1" t="s">
        <v>5262</v>
      </c>
      <c r="C5283" t="str">
        <f>IFERROR(__xludf.DUMMYFUNCTION("GOOGLETRANSLATE(B5283, ""zh"", ""en"")"),"A little long to buy time did not see the pants a little long, the other is okay")</f>
        <v>A little long to buy time did not see the pants a little long, the other is okay</v>
      </c>
    </row>
    <row r="5284">
      <c r="A5284" s="1">
        <v>5.0</v>
      </c>
      <c r="B5284" s="1" t="s">
        <v>5263</v>
      </c>
      <c r="C5284" t="str">
        <f>IFERROR(__xludf.DUMMYFUNCTION("GOOGLETRANSLATE(B5284, ""zh"", ""en"")"),"Upper start wearing a little tight upper bit tight.")</f>
        <v>Upper start wearing a little tight upper bit tight.</v>
      </c>
    </row>
    <row r="5285">
      <c r="A5285" s="1">
        <v>5.0</v>
      </c>
      <c r="B5285" s="1" t="s">
        <v>5264</v>
      </c>
      <c r="C5285" t="str">
        <f>IFERROR(__xludf.DUMMYFUNCTION("GOOGLETRANSLATE(B5285, ""zh"", ""en"")"),"Somewhat unworthy of the name, but still very fond of the country in recent years seems to champion the brand was underway to recover a wave of unrest, all kinds of hoodies and T-shirts can be seen everywhere in the street, but the domestic price of some "&amp;"high indeed, so hit from the sea Amoy idea; proximal real pick, champion of the event with a lot of clothes, buy cheap overseas, shipping over 200 members plus prime, starting price is really good; maintain a consistent speed of receipt on time, about a w"&amp;"eek , found that hand with quality reputation somewhat unequal, but also not bad to go, the other models are also really good, inside fleece lining also provided some warmth, worn in the winter is also very appropriate occasion, overall, still very satisf"&amp;"ied.")</f>
        <v>Somewhat unworthy of the name, but still very fond of the country in recent years seems to champion the brand was underway to recover a wave of unrest, all kinds of hoodies and T-shirts can be seen everywhere in the street, but the domestic price of some high indeed, so hit from the sea Amoy idea; proximal real pick, champion of the event with a lot of clothes, buy cheap overseas, shipping over 200 members plus prime, starting price is really good; maintain a consistent speed of receipt on time, about a week , found that hand with quality reputation somewhat unequal, but also not bad to go, the other models are also really good, inside fleece lining also provided some warmth, worn in the winter is also very appropriate occasion, overall, still very satisfied.</v>
      </c>
    </row>
    <row r="5286">
      <c r="A5286" s="1">
        <v>5.0</v>
      </c>
      <c r="B5286" s="1" t="s">
        <v>5265</v>
      </c>
      <c r="C5286" t="str">
        <f>IFERROR(__xludf.DUMMYFUNCTION("GOOGLETRANSLATE(B5286, ""zh"", ""en"")"),"Good quality children liked good quality")</f>
        <v>Good quality children liked good quality</v>
      </c>
    </row>
    <row r="5287">
      <c r="A5287" s="1">
        <v>5.0</v>
      </c>
      <c r="B5287" s="1" t="s">
        <v>5266</v>
      </c>
      <c r="C5287" t="str">
        <f>IFERROR(__xludf.DUMMYFUNCTION("GOOGLETRANSLATE(B5287, ""zh"", ""en"")"),"Fit, light. Very light, very good to wear.")</f>
        <v>Fit, light. Very light, very good to wear.</v>
      </c>
    </row>
    <row r="5288">
      <c r="A5288" s="1">
        <v>5.0</v>
      </c>
      <c r="B5288" s="1" t="s">
        <v>5267</v>
      </c>
      <c r="C5288" t="str">
        <f>IFERROR(__xludf.DUMMYFUNCTION("GOOGLETRANSLATE(B5288, ""zh"", ""en"")"),"After teeth whitening, brighten up. Yesterday afternoon received in this red teeth at night I started to use. Red teeth the flow momentum is not small, less skilled hand control, often numb tongue dash. This morning re-use, the use of ordinary sprinklers,"&amp;" mid-range speed of each tooth are rinsed again, it took about two minutes more. Tooth cleaner.")</f>
        <v>After teeth whitening, brighten up. Yesterday afternoon received in this red teeth at night I started to use. Red teeth the flow momentum is not small, less skilled hand control, often numb tongue dash. This morning re-use, the use of ordinary sprinklers, mid-range speed of each tooth are rinsed again, it took about two minutes more. Tooth cleaner.</v>
      </c>
    </row>
    <row r="5289">
      <c r="A5289" s="1">
        <v>5.0</v>
      </c>
      <c r="B5289" s="1" t="s">
        <v>5268</v>
      </c>
      <c r="C5289" t="str">
        <f>IFERROR(__xludf.DUMMYFUNCTION("GOOGLETRANSLATE(B5289, ""zh"", ""en"")"),"186. 178 I heavy high height 186 cm, weight 178 kg, 110 cm bust, waist 99 centimeters! Buy L code! To this effect, not bad! ! !")</f>
        <v>186. 178 I heavy high height 186 cm, weight 178 kg, 110 cm bust, waist 99 centimeters! Buy L code! To this effect, not bad! ! !</v>
      </c>
    </row>
    <row r="5290">
      <c r="A5290" s="1">
        <v>2.0</v>
      </c>
      <c r="B5290" s="1" t="s">
        <v>5269</v>
      </c>
      <c r="C5290" t="str">
        <f>IFERROR(__xludf.DUMMYFUNCTION("GOOGLETRANSLATE(B5290, ""zh"", ""en"")"),"Easy to use the very texture of glass material can accept children")</f>
        <v>Easy to use the very texture of glass material can accept children</v>
      </c>
    </row>
    <row r="5291">
      <c r="A5291" s="1">
        <v>3.0</v>
      </c>
      <c r="B5291" s="1" t="s">
        <v>5270</v>
      </c>
      <c r="C5291" t="str">
        <f>IFERROR(__xludf.DUMMYFUNCTION("GOOGLETRANSLATE(B5291, ""zh"", ""en"")"),"Very good size very appropriate, very thin after wearing, fit well, that there is no effect on the breast shape modification")</f>
        <v>Very good size very appropriate, very thin after wearing, fit well, that there is no effect on the breast shape modification</v>
      </c>
    </row>
    <row r="5292">
      <c r="A5292" s="1">
        <v>3.0</v>
      </c>
      <c r="B5292" s="1" t="s">
        <v>5271</v>
      </c>
      <c r="C5292" t="str">
        <f>IFERROR(__xludf.DUMMYFUNCTION("GOOGLETRANSLATE(B5292, ""zh"", ""en"")"),"Comfortable, not gather the fabric is very comfortable, like a lot of people say, with no wear to wear the same, really only suitable for wearing a T-shirt to wear when.")</f>
        <v>Comfortable, not gather the fabric is very comfortable, like a lot of people say, with no wear to wear the same, really only suitable for wearing a T-shirt to wear when.</v>
      </c>
    </row>
    <row r="5293">
      <c r="A5293" s="1">
        <v>1.0</v>
      </c>
      <c r="B5293" s="1" t="s">
        <v>5272</v>
      </c>
      <c r="C5293" t="str">
        <f>IFERROR(__xludf.DUMMYFUNCTION("GOOGLETRANSLATE(B5293, ""zh"", ""en"")"),"Not recommended to buy quality really do not ye drop, lower beam port where it wide to wear a few do not know what")</f>
        <v>Not recommended to buy quality really do not ye drop, lower beam port where it wide to wear a few do not know what</v>
      </c>
    </row>
    <row r="5294">
      <c r="A5294" s="1">
        <v>1.0</v>
      </c>
      <c r="B5294" s="1" t="s">
        <v>5273</v>
      </c>
      <c r="C5294" t="str">
        <f>IFERROR(__xludf.DUMMYFUNCTION("GOOGLETRANSLATE(B5294, ""zh"", ""en"")"),"Do not order! Buy regret! Sent when there is a tear in the sleeve! Exchange this, called customer to 8 fold, to reclaim the trouble, which is the first time wearing a white shirt cup. .")</f>
        <v>Do not order! Buy regret! Sent when there is a tear in the sleeve! Exchange this, called customer to 8 fold, to reclaim the trouble, which is the first time wearing a white shirt cup. .</v>
      </c>
    </row>
    <row r="5295">
      <c r="A5295" s="1">
        <v>1.0</v>
      </c>
      <c r="B5295" s="1" t="s">
        <v>5274</v>
      </c>
      <c r="C5295" t="str">
        <f>IFERROR(__xludf.DUMMYFUNCTION("GOOGLETRANSLATE(B5295, ""zh"", ""en"")"),"Refuse to work very very disappointed with the texture of the slag is not as my mother could not bear to look myself")</f>
        <v>Refuse to work very very disappointed with the texture of the slag is not as my mother could not bear to look myself</v>
      </c>
    </row>
    <row r="5296">
      <c r="A5296" s="1">
        <v>4.0</v>
      </c>
      <c r="B5296" s="1" t="s">
        <v>5275</v>
      </c>
      <c r="C5296" t="str">
        <f>IFERROR(__xludf.DUMMYFUNCTION("GOOGLETRANSLATE(B5296, ""zh"", ""en"")"),"Good quality, but a little larger good quality, good cut version, but slightly larger.")</f>
        <v>Good quality, but a little larger good quality, good cut version, but slightly larger.</v>
      </c>
    </row>
    <row r="5297">
      <c r="A5297" s="1">
        <v>4.0</v>
      </c>
      <c r="B5297" s="1" t="s">
        <v>5276</v>
      </c>
      <c r="C5297" t="str">
        <f>IFERROR(__xludf.DUMMYFUNCTION("GOOGLETRANSLATE(B5297, ""zh"", ""en"")"),"Cute cute, fork and spoon handle is relatively thick, the children's hand is not very good grasp ~")</f>
        <v>Cute cute, fork and spoon handle is relatively thick, the children's hand is not very good grasp ~</v>
      </c>
    </row>
    <row r="5298">
      <c r="A5298" s="1">
        <v>4.0</v>
      </c>
      <c r="B5298" s="1" t="s">
        <v>5277</v>
      </c>
      <c r="C5298" t="str">
        <f>IFERROR(__xludf.DUMMYFUNCTION("GOOGLETRANSLATE(B5298, ""zh"", ""en"")"),"171 cm 63kg fit 171 cm 63kg fit, legs a little bit long, relatively thin")</f>
        <v>171 cm 63kg fit 171 cm 63kg fit, legs a little bit long, relatively thin</v>
      </c>
    </row>
    <row r="5299">
      <c r="A5299" s="1">
        <v>4.0</v>
      </c>
      <c r="B5299" s="1" t="s">
        <v>5278</v>
      </c>
      <c r="C5299" t="str">
        <f>IFERROR(__xludf.DUMMYFUNCTION("GOOGLETRANSLATE(B5299, ""zh"", ""en"")"),"999 buy, considered value for money it work very well; the sound still can not get rid of the box small speakers, but also normal, good treble, bass or powerless; 999 start, considered to be very good")</f>
        <v>999 buy, considered value for money it work very well; the sound still can not get rid of the box small speakers, but also normal, good treble, bass or powerless; 999 start, considered to be very good</v>
      </c>
    </row>
    <row r="5300">
      <c r="A5300" s="1">
        <v>5.0</v>
      </c>
      <c r="B5300" s="1" t="s">
        <v>5279</v>
      </c>
      <c r="C5300" t="str">
        <f>IFERROR(__xludf.DUMMYFUNCTION("GOOGLETRANSLATE(B5300, ""zh"", ""en"")"),"Read reviews before writing fluency, that bought the wrong. Get our hands found that in addition to smaller outside pen, writing is very smooth, even better than Ling US. Although the nib is M, but no problem writing daily.")</f>
        <v>Read reviews before writing fluency, that bought the wrong. Get our hands found that in addition to smaller outside pen, writing is very smooth, even better than Ling US. Although the nib is M, but no problem writing daily.</v>
      </c>
    </row>
    <row r="5301">
      <c r="A5301" s="1">
        <v>5.0</v>
      </c>
      <c r="B5301" s="1" t="s">
        <v>5280</v>
      </c>
      <c r="C5301" t="str">
        <f>IFERROR(__xludf.DUMMYFUNCTION("GOOGLETRANSLATE(B5301, ""zh"", ""en"")"),"Comfort comfortable to wear, do not know what the fabric, a little easier to James Gray. Other better.")</f>
        <v>Comfort comfortable to wear, do not know what the fabric, a little easier to James Gray. Other better.</v>
      </c>
    </row>
    <row r="5302">
      <c r="A5302" s="1">
        <v>5.0</v>
      </c>
      <c r="B5302" s="1" t="s">
        <v>5281</v>
      </c>
      <c r="C5302" t="str">
        <f>IFERROR(__xludf.DUMMYFUNCTION("GOOGLETRANSLATE(B5302, ""zh"", ""en"")"),"LEE LEE pants pants is good or bad, after all, is a professional to do the pants, other than his trusted category")</f>
        <v>LEE LEE pants pants is good or bad, after all, is a professional to do the pants, other than his trusted category</v>
      </c>
    </row>
    <row r="5303">
      <c r="A5303" s="1">
        <v>5.0</v>
      </c>
      <c r="B5303" s="1" t="s">
        <v>5282</v>
      </c>
      <c r="C5303" t="str">
        <f>IFERROR(__xludf.DUMMYFUNCTION("GOOGLETRANSLATE(B5303, ""zh"", ""en"")"),"Good good good")</f>
        <v>Good good good</v>
      </c>
    </row>
    <row r="5304">
      <c r="A5304" s="1">
        <v>5.0</v>
      </c>
      <c r="B5304" s="1" t="s">
        <v>5283</v>
      </c>
      <c r="C5304" t="str">
        <f>IFERROR(__xludf.DUMMYFUNCTION("GOOGLETRANSLATE(B5304, ""zh"", ""en"")"),"Very satisfied orders before Christmas, late delivery point, the United States issued Amazon UPS courier, received on time. During several contact customer service, customer service and professional and the heart must be like the Amazon as a service point"&amp;". Relatives to buy, do not eat, do not know how it works.")</f>
        <v>Very satisfied orders before Christmas, late delivery point, the United States issued Amazon UPS courier, received on time. During several contact customer service, customer service and professional and the heart must be like the Amazon as a service point. Relatives to buy, do not eat, do not know how it works.</v>
      </c>
    </row>
    <row r="5305">
      <c r="A5305" s="1">
        <v>5.0</v>
      </c>
      <c r="B5305" s="1" t="s">
        <v>5284</v>
      </c>
      <c r="C5305" t="str">
        <f>IFERROR(__xludf.DUMMYFUNCTION("GOOGLETRANSLATE(B5305, ""zh"", ""en"")"),"Retro styling, very wild first double clarks, look good, just started a little foot wear, it is recommended to wear two pairs of socks, shoes might be a little big, you can buy less than half yards, the color looks good, and very durable, the future will "&amp;"continue to focus on We will continue to buy.")</f>
        <v>Retro styling, very wild first double clarks, look good, just started a little foot wear, it is recommended to wear two pairs of socks, shoes might be a little big, you can buy less than half yards, the color looks good, and very durable, the future will continue to focus on We will continue to buy.</v>
      </c>
    </row>
    <row r="5306">
      <c r="A5306" s="1">
        <v>5.0</v>
      </c>
      <c r="B5306" s="1" t="s">
        <v>5285</v>
      </c>
      <c r="C5306" t="str">
        <f>IFERROR(__xludf.DUMMYFUNCTION("GOOGLETRANSLATE(B5306, ""zh"", ""en"")"),"Easy to use, very easy to use non-stick, a little non-stick, non-stick cast iron pot to first boil hot, add the oil, a little non-stick. Great")</f>
        <v>Easy to use, very easy to use non-stick, a little non-stick, non-stick cast iron pot to first boil hot, add the oil, a little non-stick. Great</v>
      </c>
    </row>
    <row r="5307">
      <c r="A5307" s="1">
        <v>5.0</v>
      </c>
      <c r="B5307" s="1" t="s">
        <v>5286</v>
      </c>
      <c r="C5307" t="str">
        <f>IFERROR(__xludf.DUMMYFUNCTION("GOOGLETRANSLATE(B5307, ""zh"", ""en"")"),"Standard is a standard size, 173,70 kg, just waist 86,32 * 30, a length 30 of about 100 cm.")</f>
        <v>Standard is a standard size, 173,70 kg, just waist 86,32 * 30, a length 30 of about 100 cm.</v>
      </c>
    </row>
    <row r="5308">
      <c r="A5308" s="1">
        <v>5.0</v>
      </c>
      <c r="B5308" s="1" t="s">
        <v>5287</v>
      </c>
      <c r="C5308" t="str">
        <f>IFERROR(__xludf.DUMMYFUNCTION("GOOGLETRANSLATE(B5308, ""zh"", ""en"")"),"Wide buy more rigid, narrow version of the hair, hard soles")</f>
        <v>Wide buy more rigid, narrow version of the hair, hard soles</v>
      </c>
    </row>
    <row r="5309">
      <c r="A5309" s="1">
        <v>5.0</v>
      </c>
      <c r="B5309" s="1" t="s">
        <v>5288</v>
      </c>
      <c r="C5309" t="str">
        <f>IFERROR(__xludf.DUMMYFUNCTION("GOOGLETRANSLATE(B5309, ""zh"", ""en"")"),"Pencil pencil very good, both beautiful and practical, are rare on Taobao.")</f>
        <v>Pencil pencil very good, both beautiful and practical, are rare on Taobao.</v>
      </c>
    </row>
    <row r="5310">
      <c r="A5310" s="1">
        <v>5.0</v>
      </c>
      <c r="B5310" s="1" t="s">
        <v>5289</v>
      </c>
      <c r="C5310" t="str">
        <f>IFERROR(__xludf.DUMMYFUNCTION("GOOGLETRANSLATE(B5310, ""zh"", ""en"")"),"Like compact. It is like ....")</f>
        <v>Like compact. It is like ....</v>
      </c>
    </row>
    <row r="5311">
      <c r="A5311" s="1">
        <v>5.0</v>
      </c>
      <c r="B5311" s="1" t="s">
        <v>5290</v>
      </c>
      <c r="C5311" t="str">
        <f>IFERROR(__xludf.DUMMYFUNCTION("GOOGLETRANSLATE(B5311, ""zh"", ""en"")"),"I 177 68KG size quite right thigh leg width and length trousers are also suitable loose waist slightly biased point may be because foreigners are relatively thick waist because it tied to the belt so it will not cause illness a pleasant shopping")</f>
        <v>I 177 68KG size quite right thigh leg width and length trousers are also suitable loose waist slightly biased point may be because foreigners are relatively thick waist because it tied to the belt so it will not cause illness a pleasant shopping</v>
      </c>
    </row>
    <row r="5312">
      <c r="A5312" s="1">
        <v>5.0</v>
      </c>
      <c r="B5312" s="1" t="s">
        <v>5291</v>
      </c>
      <c r="C5312" t="str">
        <f>IFERROR(__xludf.DUMMYFUNCTION("GOOGLETRANSLATE(B5312, ""zh"", ""en"")"),"This convenience is very convenient, a lot of use, maximum use directly used to do a food supplement machine")</f>
        <v>This convenience is very convenient, a lot of use, maximum use directly used to do a food supplement machine</v>
      </c>
    </row>
    <row r="5313">
      <c r="A5313" s="1">
        <v>5.0</v>
      </c>
      <c r="B5313" s="1" t="s">
        <v>5292</v>
      </c>
      <c r="C5313" t="str">
        <f>IFERROR(__xludf.DUMMYFUNCTION("GOOGLETRANSLATE(B5313, ""zh"", ""en"")"),"Recommended commodity good shopping experience, the right size, and time is very fast, did not wait too long.")</f>
        <v>Recommended commodity good shopping experience, the right size, and time is very fast, did not wait too long.</v>
      </c>
    </row>
    <row r="5314">
      <c r="A5314" s="1">
        <v>5.0</v>
      </c>
      <c r="B5314" s="1" t="s">
        <v>5293</v>
      </c>
      <c r="C5314" t="str">
        <f>IFERROR(__xludf.DUMMYFUNCTION("GOOGLETRANSLATE(B5314, ""zh"", ""en"")"),"The thickness also bought a black, black is actually inside the pile, or the gray wear comfortable ah, material and guess gap Levi's and so no big difference")</f>
        <v>The thickness also bought a black, black is actually inside the pile, or the gray wear comfortable ah, material and guess gap Levi's and so no big difference</v>
      </c>
    </row>
    <row r="5315">
      <c r="A5315" s="1">
        <v>5.0</v>
      </c>
      <c r="B5315" s="1" t="s">
        <v>5294</v>
      </c>
      <c r="C5315" t="str">
        <f>IFERROR(__xludf.DUMMYFUNCTION("GOOGLETRANSLATE(B5315, ""zh"", ""en"")"),"Cheaper Very good quality, cheaper than China store")</f>
        <v>Cheaper Very good quality, cheaper than China store</v>
      </c>
    </row>
    <row r="5316">
      <c r="A5316" s="1">
        <v>5.0</v>
      </c>
      <c r="B5316" s="1" t="s">
        <v>5295</v>
      </c>
      <c r="C5316" t="str">
        <f>IFERROR(__xludf.DUMMYFUNCTION("GOOGLETRANSLATE(B5316, ""zh"", ""en"")"),"Evaluate bought two, left the Hong Kong warehouse is the right of self import and Japan. White and left with the money to buy my behalf in the United States are the same length in the fabric label, Honduras production, but the price is cheaper than purcha"&amp;"sing half. Japanese version of the right side of the fabric a little thin, a little better version than US version, made in China.")</f>
        <v>Evaluate bought two, left the Hong Kong warehouse is the right of self import and Japan. White and left with the money to buy my behalf in the United States are the same length in the fabric label, Honduras production, but the price is cheaper than purchasing half. Japanese version of the right side of the fabric a little thin, a little better version than US version, made in China.</v>
      </c>
    </row>
    <row r="5317">
      <c r="A5317" s="1">
        <v>5.0</v>
      </c>
      <c r="B5317" s="1" t="s">
        <v>5296</v>
      </c>
      <c r="C5317" t="str">
        <f>IFERROR(__xludf.DUMMYFUNCTION("GOOGLETRANSLATE(B5317, ""zh"", ""en"")"),"Great stuff! Well, not from the previous evaluation, I do not know how many wasted points, points can change money now know, they should look carefully evaluated, then I put these words to copy to go, both to earn points, but also the easy way, where are "&amp;"copy where, most importantly, do not seriously review, do not think how much worse word, sent directly to it, recommend it to everyone")</f>
        <v>Great stuff! Well, not from the previous evaluation, I do not know how many wasted points, points can change money now know, they should look carefully evaluated, then I put these words to copy to go, both to earn points, but also the easy way, where are copy where, most importantly, do not seriously review, do not think how much worse word, sent directly to it, recommend it to everyone</v>
      </c>
    </row>
    <row r="5318">
      <c r="A5318" s="1">
        <v>5.0</v>
      </c>
      <c r="B5318" s="1" t="s">
        <v>5297</v>
      </c>
      <c r="C5318" t="str">
        <f>IFERROR(__xludf.DUMMYFUNCTION("GOOGLETRANSLATE(B5318, ""zh"", ""en"")"),"Is genuine, the price is reasonable, the effect to be seen. Is genuine, the price is reasonable, the effect to be seen.")</f>
        <v>Is genuine, the price is reasonable, the effect to be seen. Is genuine, the price is reasonable, the effect to be seen.</v>
      </c>
    </row>
    <row r="5319">
      <c r="A5319" s="1">
        <v>5.0</v>
      </c>
      <c r="B5319" s="1" t="s">
        <v>5298</v>
      </c>
      <c r="C5319" t="str">
        <f>IFERROR(__xludf.DUMMYFUNCTION("GOOGLETRANSLATE(B5319, ""zh"", ""en"")"),"Can also be a good belt, the price is cheap.")</f>
        <v>Can also be a good belt, the price is cheap.</v>
      </c>
    </row>
    <row r="5320">
      <c r="A5320" s="1">
        <v>5.0</v>
      </c>
      <c r="B5320" s="1" t="s">
        <v>5299</v>
      </c>
      <c r="C5320" t="str">
        <f>IFERROR(__xludf.DUMMYFUNCTION("GOOGLETRANSLATE(B5320, ""zh"", ""en"")"),"A cost-effective price of one pair of treasure, which engage in a triple-double. Wearing shoes of their music, others do not like to wear")</f>
        <v>A cost-effective price of one pair of treasure, which engage in a triple-double. Wearing shoes of their music, others do not like to wear</v>
      </c>
    </row>
    <row r="5321">
      <c r="A5321" s="1">
        <v>5.0</v>
      </c>
      <c r="B5321" s="1" t="s">
        <v>5300</v>
      </c>
      <c r="C5321" t="str">
        <f>IFERROR(__xludf.DUMMYFUNCTION("GOOGLETRANSLATE(B5321, ""zh"", ""en"")"),"Dr. Grips are my favorite pens. I think I found my new favorite pen! I love the regular Pilot Dr. Grip pen! Try out the Pilot Dr. Grip pen but did not really like it just from the first impression of holding it . Now the Pilot Dr. Grip is first grip love."&amp;" The weight to it feels very good in the hand not too light or not too heavy just perfect amount of weight. The Grip handle part is soft and easy on the hand. Is it worth it? In my opinion if you work require to have client to give signature this pen give"&amp;"s a more luxury and premium feeling to it. I believe the regular Pilot Dr. Grip works just as well as this pen.")</f>
        <v>Dr. Grips are my favorite pens. I think I found my new favorite pen! I love the regular Pilot Dr. Grip pen! Try out the Pilot Dr. Grip pen but did not really like it just from the first impression of holding it . Now the Pilot Dr. Grip is first grip love. The weight to it feels very good in the hand not too light or not too heavy just perfect amount of weight. The Grip handle part is soft and easy on the hand. Is it worth it? In my opinion if you work require to have client to give signature this pen gives a more luxury and premium feeling to it. I believe the regular Pilot Dr. Grip works just as well as this pen.</v>
      </c>
    </row>
    <row r="5322">
      <c r="A5322" s="1">
        <v>2.0</v>
      </c>
      <c r="B5322" s="1" t="s">
        <v>5301</v>
      </c>
      <c r="C5322" t="str">
        <f>IFERROR(__xludf.DUMMYFUNCTION("GOOGLETRANSLATE(B5322, ""zh"", ""en"")"),"A general, does not recommend a general, not recommended. Bangladesh yield, 55% cotton fabric, the fiber 45. Work in general, in particular the collar. Size is too large, I bought the S code, 62 kg, 170 height, but also a large circle. Well, reclaim, and "&amp;"save trouble, ready to give relatives.")</f>
        <v>A general, does not recommend a general, not recommended. Bangladesh yield, 55% cotton fabric, the fiber 45. Work in general, in particular the collar. Size is too large, I bought the S code, 62 kg, 170 height, but also a large circle. Well, reclaim, and save trouble, ready to give relatives.</v>
      </c>
    </row>
    <row r="5323">
      <c r="A5323" s="1">
        <v>3.0</v>
      </c>
      <c r="B5323" s="1" t="s">
        <v>5302</v>
      </c>
      <c r="C5323" t="str">
        <f>IFERROR(__xludf.DUMMYFUNCTION("GOOGLETRANSLATE(B5323, ""zh"", ""en"")"),"Down to twenty boys also line a little mature, do not choose this, and something good, fashion is.")</f>
        <v>Down to twenty boys also line a little mature, do not choose this, and something good, fashion is.</v>
      </c>
    </row>
    <row r="5324">
      <c r="A5324" s="1">
        <v>3.0</v>
      </c>
      <c r="B5324" s="1" t="s">
        <v>5303</v>
      </c>
      <c r="C5324" t="str">
        <f>IFERROR(__xludf.DUMMYFUNCTION("GOOGLETRANSLATE(B5324, ""zh"", ""en"")"),"Initial results of an attempt to get something, try a little, holding six hours, is basically considered a bit hot, twelve hours insulation effect is good, not too hot when drinking. , Twenty-four hours, basically there is no temperature, and")</f>
        <v>Initial results of an attempt to get something, try a little, holding six hours, is basically considered a bit hot, twelve hours insulation effect is good, not too hot when drinking. , Twenty-four hours, basically there is no temperature, and</v>
      </c>
    </row>
    <row r="5325">
      <c r="A5325" s="1">
        <v>3.0</v>
      </c>
      <c r="B5325" s="1" t="s">
        <v>5304</v>
      </c>
      <c r="C5325" t="str">
        <f>IFERROR(__xludf.DUMMYFUNCTION("GOOGLETRANSLATE(B5325, ""zh"", ""en"")"),"Unfortunately, this package from the inside out a sign and nameplate are not, can we say it is a three free products. . .")</f>
        <v>Unfortunately, this package from the inside out a sign and nameplate are not, can we say it is a three free products. . .</v>
      </c>
    </row>
    <row r="5326">
      <c r="A5326" s="1">
        <v>1.0</v>
      </c>
      <c r="B5326" s="1" t="s">
        <v>5305</v>
      </c>
      <c r="C5326" t="str">
        <f>IFERROR(__xludf.DUMMYFUNCTION("GOOGLETRANSLATE(B5326, ""zh"", ""en"")"),"The fabric is too hard, uncomfortable, not slim, inelastic. The fabric is too hard, uncomfortable, not slim, inelastic.")</f>
        <v>The fabric is too hard, uncomfortable, not slim, inelastic. The fabric is too hard, uncomfortable, not slim, inelastic.</v>
      </c>
    </row>
    <row r="5327">
      <c r="A5327" s="1">
        <v>1.0</v>
      </c>
      <c r="B5327" s="1" t="s">
        <v>5306</v>
      </c>
      <c r="C5327" t="str">
        <f>IFERROR(__xludf.DUMMYFUNCTION("GOOGLETRANSLATE(B5327, ""zh"", ""en"")"),"Poor workmanship is poor. Comfortable fabric, but not self-cultivation, poor workmanship.")</f>
        <v>Poor workmanship is poor. Comfortable fabric, but not self-cultivation, poor workmanship.</v>
      </c>
    </row>
    <row r="5328">
      <c r="A5328" s="1">
        <v>4.0</v>
      </c>
      <c r="B5328" s="1" t="s">
        <v>5307</v>
      </c>
      <c r="C5328" t="str">
        <f>IFERROR(__xludf.DUMMYFUNCTION("GOOGLETRANSLATE(B5328, ""zh"", ""en"")"),"Medium size my height 171 weight 108 kg S code is appropriate to buy a slim and slightly loose, can wear relatively thin section Spring.")</f>
        <v>Medium size my height 171 weight 108 kg S code is appropriate to buy a slim and slightly loose, can wear relatively thin section Spring.</v>
      </c>
    </row>
    <row r="5329">
      <c r="A5329" s="1">
        <v>4.0</v>
      </c>
      <c r="B5329" s="1" t="s">
        <v>5308</v>
      </c>
      <c r="C5329" t="str">
        <f>IFERROR(__xludf.DUMMYFUNCTION("GOOGLETRANSLATE(B5329, ""zh"", ""en"")"),"Talk about two months, say little, the overall feeling of value for money, good, workmanship are passable, as we say in the time allowed to not pay attention, I think the time people with this table are still not accurate I came to the second, to only buy"&amp;" it, not fooled and feel regret.")</f>
        <v>Talk about two months, say little, the overall feeling of value for money, good, workmanship are passable, as we say in the time allowed to not pay attention, I think the time people with this table are still not accurate I came to the second, to only buy it, not fooled and feel regret.</v>
      </c>
    </row>
    <row r="5330">
      <c r="A5330" s="1">
        <v>4.0</v>
      </c>
      <c r="B5330" s="1" t="s">
        <v>5309</v>
      </c>
      <c r="C5330" t="str">
        <f>IFERROR(__xludf.DUMMYFUNCTION("GOOGLETRANSLATE(B5330, ""zh"", ""en"")"),"ecco shoes generally too large good, buy big, want to return, too much trouble, leave it.")</f>
        <v>ecco shoes generally too large good, buy big, want to return, too much trouble, leave it.</v>
      </c>
    </row>
    <row r="5331">
      <c r="A5331" s="1">
        <v>4.0</v>
      </c>
      <c r="B5331" s="1" t="s">
        <v>5310</v>
      </c>
      <c r="C5331" t="str">
        <f>IFERROR(__xludf.DUMMYFUNCTION("GOOGLETRANSLATE(B5331, ""zh"", ""en"")"),"I have too much height 172 weight 158 ​​is too big, just a smaller size")</f>
        <v>I have too much height 172 weight 158 ​​is too big, just a smaller size</v>
      </c>
    </row>
    <row r="5332">
      <c r="A5332" s="1">
        <v>4.0</v>
      </c>
      <c r="B5332" s="1" t="s">
        <v>5311</v>
      </c>
      <c r="C5332" t="str">
        <f>IFERROR(__xludf.DUMMYFUNCTION("GOOGLETRANSLATE(B5332, ""zh"", ""en"")"),"The overall fit, but a little fat legs 178cm 95 Gongjin year round fitness, not obese stature. Pants are resilient, long pants very appropriate, but also very comfortable not the kind of crotch crotch pants arrived, but the leg was a bit fat. But winter w"&amp;"ear pants inside the set of a pretty appropriate.")</f>
        <v>The overall fit, but a little fat legs 178cm 95 Gongjin year round fitness, not obese stature. Pants are resilient, long pants very appropriate, but also very comfortable not the kind of crotch crotch pants arrived, but the leg was a bit fat. But winter wear pants inside the set of a pretty appropriate.</v>
      </c>
    </row>
    <row r="5333">
      <c r="A5333" s="1">
        <v>5.0</v>
      </c>
      <c r="B5333" s="1" t="s">
        <v>5312</v>
      </c>
      <c r="C5333" t="str">
        <f>IFERROR(__xludf.DUMMYFUNCTION("GOOGLETRANSLATE(B5333, ""zh"", ""en"")"),"Very satisfied ECCO shoes is very good, both light and breathable, less than a thousand hand when key concessions, size is normal code")</f>
        <v>Very satisfied ECCO shoes is very good, both light and breathable, less than a thousand hand when key concessions, size is normal code</v>
      </c>
    </row>
    <row r="5334">
      <c r="A5334" s="1">
        <v>5.0</v>
      </c>
      <c r="B5334" s="1" t="s">
        <v>5313</v>
      </c>
      <c r="C5334" t="str">
        <f>IFERROR(__xludf.DUMMYFUNCTION("GOOGLETRANSLATE(B5334, ""zh"", ""en"")"),"looks good. Good small ah. I hope really good!")</f>
        <v>looks good. Good small ah. I hope really good!</v>
      </c>
    </row>
    <row r="5335">
      <c r="A5335" s="1">
        <v>5.0</v>
      </c>
      <c r="B5335" s="1" t="s">
        <v>5314</v>
      </c>
      <c r="C5335" t="str">
        <f>IFERROR(__xludf.DUMMYFUNCTION("GOOGLETRANSLATE(B5335, ""zh"", ""en"")"),"3x buy a good baby, and no domestic goods, a good fit. No experience is authentic")</f>
        <v>3x buy a good baby, and no domestic goods, a good fit. No experience is authentic</v>
      </c>
    </row>
    <row r="5336">
      <c r="A5336" s="1">
        <v>5.0</v>
      </c>
      <c r="B5336" s="1" t="s">
        <v>5315</v>
      </c>
      <c r="C5336" t="str">
        <f>IFERROR(__xludf.DUMMYFUNCTION("GOOGLETRANSLATE(B5336, ""zh"", ""en"")"),"Amazon Shopping Experience would have been like the red, white was observed after a few days the price that the price is right to start with white. Prices found just received a red, really sorry! You can now buy at current prices and buy your favorite col"&amp;"or! In addition, get the goods, tariffs dropped by half white, I do not know why? Buy early is not worth the price! But use good use, do not direct plug adapter, China proper voltage, the voltage of the machine is 230V, rest assured to buy, it is to buy w"&amp;"hen the prices and tariffs than to choose cost-effective is a wide range of people's needs. Personal experience that, I wonder if there is no help for you!")</f>
        <v>Amazon Shopping Experience would have been like the red, white was observed after a few days the price that the price is right to start with white. Prices found just received a red, really sorry! You can now buy at current prices and buy your favorite color! In addition, get the goods, tariffs dropped by half white, I do not know why? Buy early is not worth the price! But use good use, do not direct plug adapter, China proper voltage, the voltage of the machine is 230V, rest assured to buy, it is to buy when the prices and tariffs than to choose cost-effective is a wide range of people's needs. Personal experience that, I wonder if there is no help for you!</v>
      </c>
    </row>
    <row r="5337">
      <c r="A5337" s="1">
        <v>5.0</v>
      </c>
      <c r="B5337" s="1" t="s">
        <v>5316</v>
      </c>
      <c r="C5337" t="str">
        <f>IFERROR(__xludf.DUMMYFUNCTION("GOOGLETRANSLATE(B5337, ""zh"", ""en"")"),"With very tight elastic fit, regardless of the size or length")</f>
        <v>With very tight elastic fit, regardless of the size or length</v>
      </c>
    </row>
    <row r="5338">
      <c r="A5338" s="1">
        <v>5.0</v>
      </c>
      <c r="B5338" s="1" t="s">
        <v>5317</v>
      </c>
      <c r="C5338" t="str">
        <f>IFERROR(__xludf.DUMMYFUNCTION("GOOGLETRANSLATE(B5338, ""zh"", ""en"")"),"Comfortable liked to wear for so long did not play ball, but also very sexy low-cut, color is not very nice, if white or black, or other colors look a little better to perfect.")</f>
        <v>Comfortable liked to wear for so long did not play ball, but also very sexy low-cut, color is not very nice, if white or black, or other colors look a little better to perfect.</v>
      </c>
    </row>
    <row r="5339">
      <c r="A5339" s="1">
        <v>5.0</v>
      </c>
      <c r="B5339" s="1" t="s">
        <v>5318</v>
      </c>
      <c r="C5339" t="str">
        <f>IFERROR(__xludf.DUMMYFUNCTION("GOOGLETRANSLATE(B5339, ""zh"", ""en"")"),"Water temperature stability easy to use and maintain the set temperature")</f>
        <v>Water temperature stability easy to use and maintain the set temperature</v>
      </c>
    </row>
    <row r="5340">
      <c r="A5340" s="1">
        <v>5.0</v>
      </c>
      <c r="B5340" s="1" t="s">
        <v>5319</v>
      </c>
      <c r="C5340" t="str">
        <f>IFERROR(__xludf.DUMMYFUNCTION("GOOGLETRANSLATE(B5340, ""zh"", ""en"")"),"Like very satisfied with the counter, same counter, comfortable")</f>
        <v>Like very satisfied with the counter, same counter, comfortable</v>
      </c>
    </row>
    <row r="5341">
      <c r="A5341" s="1">
        <v>5.0</v>
      </c>
      <c r="B5341" s="1" t="s">
        <v>5320</v>
      </c>
      <c r="C5341" t="str">
        <f>IFERROR(__xludf.DUMMYFUNCTION("GOOGLETRANSLATE(B5341, ""zh"", ""en"")"),"Length appropriate, very good material a bit hard, hand feel fit, I usually * 34 jeans, just the excess out of a palm on the line, the material a bit hard, scrub pants feel a little lead")</f>
        <v>Length appropriate, very good material a bit hard, hand feel fit, I usually * 34 jeans, just the excess out of a palm on the line, the material a bit hard, scrub pants feel a little lead</v>
      </c>
    </row>
    <row r="5342">
      <c r="A5342" s="1">
        <v>5.0</v>
      </c>
      <c r="B5342" s="1" t="s">
        <v>5321</v>
      </c>
      <c r="C5342" t="str">
        <f>IFERROR(__xludf.DUMMYFUNCTION("GOOGLETRANSLATE(B5342, ""zh"", ""en"")"),"The first Baia headphones. Baia their first team, there is not enough good equipment to play to his ability.")</f>
        <v>The first Baia headphones. Baia their first team, there is not enough good equipment to play to his ability.</v>
      </c>
    </row>
    <row r="5343">
      <c r="A5343" s="1">
        <v>5.0</v>
      </c>
      <c r="B5343" s="1" t="s">
        <v>5322</v>
      </c>
      <c r="C5343" t="str">
        <f>IFERROR(__xludf.DUMMYFUNCTION("GOOGLETRANSLATE(B5343, ""zh"", ""en"")"),"My waist is too large waist with a tape measure the amount of their own 38 I own 38 next tape volume waist pants single 38 on the estimate of the actual behind some large orders should be almost 36 large one yards")</f>
        <v>My waist is too large waist with a tape measure the amount of their own 38 I own 38 next tape volume waist pants single 38 on the estimate of the actual behind some large orders should be almost 36 large one yards</v>
      </c>
    </row>
    <row r="5344">
      <c r="A5344" s="1">
        <v>5.0</v>
      </c>
      <c r="B5344" s="1" t="s">
        <v>5323</v>
      </c>
      <c r="C5344" t="str">
        <f>IFERROR(__xludf.DUMMYFUNCTION("GOOGLETRANSLATE(B5344, ""zh"", ""en"")"),"Recommendable look look to know for sure is a good thing for the sound quality, never before heard of a thousand dollars a headset, the first headset and the general feeling of difference is not large, but listening to the song, or could feel his qualitie"&amp;"s . Headset is recommended")</f>
        <v>Recommendable look look to know for sure is a good thing for the sound quality, never before heard of a thousand dollars a headset, the first headset and the general feeling of difference is not large, but listening to the song, or could feel his qualities . Headset is recommended</v>
      </c>
    </row>
    <row r="5345">
      <c r="A5345" s="1">
        <v>5.0</v>
      </c>
      <c r="B5345" s="1" t="s">
        <v>5324</v>
      </c>
      <c r="C5345" t="str">
        <f>IFERROR(__xludf.DUMMYFUNCTION("GOOGLETRANSLATE(B5345, ""zh"", ""en"")"),"Very practical utility, fitted out baby snacks, and good bubble nest very good")</f>
        <v>Very practical utility, fitted out baby snacks, and good bubble nest very good</v>
      </c>
    </row>
    <row r="5346">
      <c r="A5346" s="1">
        <v>5.0</v>
      </c>
      <c r="B5346" s="1" t="s">
        <v>5325</v>
      </c>
      <c r="C5346" t="str">
        <f>IFERROR(__xludf.DUMMYFUNCTION("GOOGLETRANSLATE(B5346, ""zh"", ""en"")"),"I am super kitchen appliances like a kitchen appliances!")</f>
        <v>I am super kitchen appliances like a kitchen appliances!</v>
      </c>
    </row>
    <row r="5347">
      <c r="A5347" s="1">
        <v>5.0</v>
      </c>
      <c r="B5347" s="1" t="s">
        <v>5326</v>
      </c>
      <c r="C5347" t="str">
        <f>IFERROR(__xludf.DUMMYFUNCTION("GOOGLETRANSLATE(B5347, ""zh"", ""en"")"),"Worth starting from Japan fairly quickly, received a few days, but did not give me the STO, lost rookie inn, and I pick them up, and this is considered a complaint it. As expected with headphones, the sound quality is as good, as chuck, as ugly ... Overal"&amp;"l satisfaction is also recommended not to hesitate to start being a man worth into. Another point is that two screws at the fixed headphone cable seems to be moving off, there are signs of moving off, I have the map, I wonder if there has been no friend t"&amp;"o start this is like.")</f>
        <v>Worth starting from Japan fairly quickly, received a few days, but did not give me the STO, lost rookie inn, and I pick them up, and this is considered a complaint it. As expected with headphones, the sound quality is as good, as chuck, as ugly ... Overall satisfaction is also recommended not to hesitate to start being a man worth into. Another point is that two screws at the fixed headphone cable seems to be moving off, there are signs of moving off, I have the map, I wonder if there has been no friend to start this is like.</v>
      </c>
    </row>
    <row r="5348">
      <c r="A5348" s="1">
        <v>5.0</v>
      </c>
      <c r="B5348" s="1" t="s">
        <v>5327</v>
      </c>
      <c r="C5348" t="str">
        <f>IFERROR(__xludf.DUMMYFUNCTION("GOOGLETRANSLATE(B5348, ""zh"", ""en"")"),"Comfortable to wear appropriate shoes, the right size")</f>
        <v>Comfortable to wear appropriate shoes, the right size</v>
      </c>
    </row>
    <row r="5349">
      <c r="A5349" s="1">
        <v>5.0</v>
      </c>
      <c r="B5349" s="1" t="s">
        <v>5328</v>
      </c>
      <c r="C5349" t="str">
        <f>IFERROR(__xludf.DUMMYFUNCTION("GOOGLETRANSLATE(B5349, ""zh"", ""en"")"),"Good, good cheap comfortable, cheap comfortable, worth buying")</f>
        <v>Good, good cheap comfortable, cheap comfortable, worth buying</v>
      </c>
    </row>
    <row r="5350">
      <c r="A5350" s="1">
        <v>5.0</v>
      </c>
      <c r="B5350" s="1" t="s">
        <v>5329</v>
      </c>
      <c r="C5350" t="str">
        <f>IFERROR(__xludf.DUMMYFUNCTION("GOOGLETRANSLATE(B5350, ""zh"", ""en"")"),"Germany Braun electric kettle will be very easy to purchase service is also very good delivery speed super fast")</f>
        <v>Germany Braun electric kettle will be very easy to purchase service is also very good delivery speed super fast</v>
      </c>
    </row>
    <row r="5351">
      <c r="A5351" s="1">
        <v>5.0</v>
      </c>
      <c r="B5351" s="1" t="s">
        <v>5330</v>
      </c>
      <c r="C5351" t="str">
        <f>IFERROR(__xludf.DUMMYFUNCTION("GOOGLETRANSLATE(B5351, ""zh"", ""en"")"),"Perfect mechanical pencil This is where I used a mechanical pencil, feel one of the best products. The only drawback is a little thick for me a little biased, but to write some get used to. Pen weight, center of gravity, function, texture are great, highl"&amp;"y recommended. And, although it has also knurled metal pen grip than Staedtler 925-25 to mellow a lot: 925-25 too difficult to handle a pen grip.")</f>
        <v>Perfect mechanical pencil This is where I used a mechanical pencil, feel one of the best products. The only drawback is a little thick for me a little biased, but to write some get used to. Pen weight, center of gravity, function, texture are great, highly recommended. And, although it has also knurled metal pen grip than Staedtler 925-25 to mellow a lot: 925-25 too difficult to handle a pen grip.</v>
      </c>
    </row>
    <row r="5352">
      <c r="A5352" s="1">
        <v>5.0</v>
      </c>
      <c r="B5352" s="1" t="s">
        <v>5331</v>
      </c>
      <c r="C5352" t="str">
        <f>IFERROR(__xludf.DUMMYFUNCTION("GOOGLETRANSLATE(B5352, ""zh"", ""en"")"),"Introduction can not Chinese, to be translated operation, good texture")</f>
        <v>Introduction can not Chinese, to be translated operation, good texture</v>
      </c>
    </row>
    <row r="5353">
      <c r="A5353" s="1">
        <v>5.0</v>
      </c>
      <c r="B5353" s="1" t="s">
        <v>5332</v>
      </c>
      <c r="C5353" t="str">
        <f>IFERROR(__xludf.DUMMYFUNCTION("GOOGLETRANSLATE(B5353, ""zh"", ""en"")"),"Also very light line, a large thickness, the actual capacity is relatively large. Height slightly less. Diagonal appropriate shoulder when embarrassing. Velcro bad, gloves grab a net fabric is wool.")</f>
        <v>Also very light line, a large thickness, the actual capacity is relatively large. Height slightly less. Diagonal appropriate shoulder when embarrassing. Velcro bad, gloves grab a net fabric is wool.</v>
      </c>
    </row>
    <row r="5354">
      <c r="A5354" s="1">
        <v>2.0</v>
      </c>
      <c r="B5354" s="1" t="s">
        <v>5333</v>
      </c>
      <c r="C5354" t="str">
        <f>IFERROR(__xludf.DUMMYFUNCTION("GOOGLETRANSLATE(B5354, ""zh"", ""en"")"),"Fortunately, quality, reasonable prices! Pants fabric elastic, very comfortable to wear! Mainly listened to everyone's opinion, size is very fit, my waist 2-foot-8, wearing just three W3, long pants does not matter, in short, is a sea Amoy happy!")</f>
        <v>Fortunately, quality, reasonable prices! Pants fabric elastic, very comfortable to wear! Mainly listened to everyone's opinion, size is very fit, my waist 2-foot-8, wearing just three W3, long pants does not matter, in short, is a sea Amoy happy!</v>
      </c>
    </row>
    <row r="5355">
      <c r="A5355" s="1">
        <v>3.0</v>
      </c>
      <c r="B5355" s="1" t="s">
        <v>5334</v>
      </c>
      <c r="C5355" t="str">
        <f>IFERROR(__xludf.DUMMYFUNCTION("GOOGLETRANSLATE(B5355, ""zh"", ""en"")"),"Belt is not worth too thin! Buy short 😭")</f>
        <v>Belt is not worth too thin! Buy short 😭</v>
      </c>
    </row>
    <row r="5356">
      <c r="A5356" s="1">
        <v>3.0</v>
      </c>
      <c r="B5356" s="1" t="s">
        <v>5335</v>
      </c>
      <c r="C5356" t="str">
        <f>IFERROR(__xludf.DUMMYFUNCTION("GOOGLETRANSLATE(B5356, ""zh"", ""en"")"),"General baby born to use it to drink milk, green taste heavy, this did not care")</f>
        <v>General baby born to use it to drink milk, green taste heavy, this did not care</v>
      </c>
    </row>
    <row r="5357">
      <c r="A5357" s="1">
        <v>1.0</v>
      </c>
      <c r="B5357" s="1" t="s">
        <v>5336</v>
      </c>
      <c r="C5357" t="str">
        <f>IFERROR(__xludf.DUMMYFUNCTION("GOOGLETRANSLATE(B5357, ""zh"", ""en"")"),"Rough work, cable head rough, the code is not very accurate, but the two are not the same waist 30 is large, Oh, bother to back.")</f>
        <v>Rough work, cable head rough, the code is not very accurate, but the two are not the same waist 30 is large, Oh, bother to back.</v>
      </c>
    </row>
    <row r="5358">
      <c r="A5358" s="1">
        <v>1.0</v>
      </c>
      <c r="B5358" s="1" t="s">
        <v>5337</v>
      </c>
      <c r="C5358" t="str">
        <f>IFERROR(__xludf.DUMMYFUNCTION("GOOGLETRANSLATE(B5358, ""zh"", ""en"")"),"Children do not like not practical")</f>
        <v>Children do not like not practical</v>
      </c>
    </row>
    <row r="5359">
      <c r="A5359" s="1">
        <v>1.0</v>
      </c>
      <c r="B5359" s="1" t="s">
        <v>5338</v>
      </c>
      <c r="C5359" t="str">
        <f>IFERROR(__xludf.DUMMYFUNCTION("GOOGLETRANSLATE(B5359, ""zh"", ""en"")"),"Overseas purchase of the package and its simple cause can not be used overseas to buy goods packaging simple and takes too long to receive when the memory card has been severely damaged! Too long to buy a card almost a month was received too lazy to retur"&amp;"n overseas purchase return too much trouble the rest of the Amazon kindle it will be used by the rest of the ease Jingdong not as slow return flow does not say a lot of trouble")</f>
        <v>Overseas purchase of the package and its simple cause can not be used overseas to buy goods packaging simple and takes too long to receive when the memory card has been severely damaged! Too long to buy a card almost a month was received too lazy to return overseas purchase return too much trouble the rest of the Amazon kindle it will be used by the rest of the ease Jingdong not as slow return flow does not say a lot of trouble</v>
      </c>
    </row>
    <row r="5360">
      <c r="A5360" s="1">
        <v>4.0</v>
      </c>
      <c r="B5360" s="1" t="s">
        <v>5339</v>
      </c>
      <c r="C5360" t="str">
        <f>IFERROR(__xludf.DUMMYFUNCTION("GOOGLETRANSLATE(B5360, ""zh"", ""en"")"),"Good shoes, good shoes, read reviews buy most of the code, I did not expect so much. Usually 39, did not feel too fat feet would like to buy positive yards.")</f>
        <v>Good shoes, good shoes, read reviews buy most of the code, I did not expect so much. Usually 39, did not feel too fat feet would like to buy positive yards.</v>
      </c>
    </row>
    <row r="5361">
      <c r="A5361" s="1">
        <v>4.0</v>
      </c>
      <c r="B5361" s="1" t="s">
        <v>5340</v>
      </c>
      <c r="C5361" t="str">
        <f>IFERROR(__xludf.DUMMYFUNCTION("GOOGLETRANSLATE(B5361, ""zh"", ""en"")"),"Listening ear while inflation should be said that this price spike 999 that did not sound very good pot had been good but the problem may be the source of the treble always felt something sharp no matter how small the volume of open ears to listen for a m"&amp;"oment think this is the legendary inflation is not Naiting it will usually listen to music I do not want to go out the front a monitor speaker or listener might not fit me.")</f>
        <v>Listening ear while inflation should be said that this price spike 999 that did not sound very good pot had been good but the problem may be the source of the treble always felt something sharp no matter how small the volume of open ears to listen for a moment think this is the legendary inflation is not Naiting it will usually listen to music I do not want to go out the front a monitor speaker or listener might not fit me.</v>
      </c>
    </row>
    <row r="5362">
      <c r="A5362" s="1">
        <v>4.0</v>
      </c>
      <c r="B5362" s="1" t="s">
        <v>5341</v>
      </c>
      <c r="C5362" t="str">
        <f>IFERROR(__xludf.DUMMYFUNCTION("GOOGLETRANSLATE(B5362, ""zh"", ""en"")"),"Satisfaction of 38 yards usually wear, the pad 7 may be very appropriate pairs of insoles. Transportation too far because of it, some scratches on the vamp.")</f>
        <v>Satisfaction of 38 yards usually wear, the pad 7 may be very appropriate pairs of insoles. Transportation too far because of it, some scratches on the vamp.</v>
      </c>
    </row>
    <row r="5363">
      <c r="A5363" s="1">
        <v>4.0</v>
      </c>
      <c r="B5363" s="1" t="s">
        <v>5342</v>
      </c>
      <c r="C5363" t="str">
        <f>IFERROR(__xludf.DUMMYFUNCTION("GOOGLETRANSLATE(B5363, ""zh"", ""en"")"),"Nice table, good price list is Hong Kong products. It looks like a fake, did not go to the counter, feeling good, fast day 10s. But stable. 3880 snapped up the value of the! Suitable table size, with handsome")</f>
        <v>Nice table, good price list is Hong Kong products. It looks like a fake, did not go to the counter, feeling good, fast day 10s. But stable. 3880 snapped up the value of the! Suitable table size, with handsome</v>
      </c>
    </row>
    <row r="5364">
      <c r="A5364" s="1">
        <v>4.0</v>
      </c>
      <c r="B5364" s="1" t="s">
        <v>5343</v>
      </c>
      <c r="C5364" t="str">
        <f>IFERROR(__xludf.DUMMYFUNCTION("GOOGLETRANSLATE(B5364, ""zh"", ""en"")"),"Can also be cotton quality, with colleagues from the United States bought the contrast too, feel the same. 170,60KG, buy XS, just right.")</f>
        <v>Can also be cotton quality, with colleagues from the United States bought the contrast too, feel the same. 170,60KG, buy XS, just right.</v>
      </c>
    </row>
    <row r="5365">
      <c r="A5365" s="1">
        <v>5.0</v>
      </c>
      <c r="B5365" s="1" t="s">
        <v>5344</v>
      </c>
      <c r="C5365" t="str">
        <f>IFERROR(__xludf.DUMMYFUNCTION("GOOGLETRANSLATE(B5365, ""zh"", ""en"")"),"Like extremely high cost, pure Global buys")</f>
        <v>Like extremely high cost, pure Global buys</v>
      </c>
    </row>
    <row r="5366">
      <c r="A5366" s="1">
        <v>5.0</v>
      </c>
      <c r="B5366" s="1" t="s">
        <v>5345</v>
      </c>
      <c r="C5366" t="str">
        <f>IFERROR(__xludf.DUMMYFUNCTION("GOOGLETRANSLATE(B5366, ""zh"", ""en"")"),"Foot feeling comfortable, breathable yak leather spotted the start, the price is quite appropriate. ecco wearing walking is not tired, very breathable, wear slightly thicker socks, no problem")</f>
        <v>Foot feeling comfortable, breathable yak leather spotted the start, the price is quite appropriate. ecco wearing walking is not tired, very breathable, wear slightly thicker socks, no problem</v>
      </c>
    </row>
    <row r="5367">
      <c r="A5367" s="1">
        <v>5.0</v>
      </c>
      <c r="B5367" s="1" t="s">
        <v>5346</v>
      </c>
      <c r="C5367" t="str">
        <f>IFERROR(__xludf.DUMMYFUNCTION("GOOGLETRANSLATE(B5367, ""zh"", ""en"")"),"My dad always believe Amazon to buy now buy such goods can only believe that Amazon ah! Post something to Shenyang, listen to my mom very well.")</f>
        <v>My dad always believe Amazon to buy now buy such goods can only believe that Amazon ah! Post something to Shenyang, listen to my mom very well.</v>
      </c>
    </row>
    <row r="5368">
      <c r="A5368" s="1">
        <v>5.0</v>
      </c>
      <c r="B5368" s="1" t="s">
        <v>5347</v>
      </c>
      <c r="C5368" t="str">
        <f>IFERROR(__xludf.DUMMYFUNCTION("GOOGLETRANSLATE(B5368, ""zh"", ""en"")"),"You can also good clothes, but the color is not so deep")</f>
        <v>You can also good clothes, but the color is not so deep</v>
      </c>
    </row>
    <row r="5369">
      <c r="A5369" s="1">
        <v>5.0</v>
      </c>
      <c r="B5369" s="1" t="s">
        <v>5348</v>
      </c>
      <c r="C5369" t="str">
        <f>IFERROR(__xludf.DUMMYFUNCTION("GOOGLETRANSLATE(B5369, ""zh"", ""en"")"),"Good taste kids love with his brother back to the United States, like son calcium, because they are able to adhere to good taste.")</f>
        <v>Good taste kids love with his brother back to the United States, like son calcium, because they are able to adhere to good taste.</v>
      </c>
    </row>
    <row r="5370">
      <c r="A5370" s="1">
        <v>5.0</v>
      </c>
      <c r="B5370" s="1" t="s">
        <v>5349</v>
      </c>
      <c r="C5370" t="str">
        <f>IFERROR(__xludf.DUMMYFUNCTION("GOOGLETRANSLATE(B5370, ""zh"", ""en"")"),"Sweater activity is too affordable, good quality genuine, can be worn next to the skin, too fond of.")</f>
        <v>Sweater activity is too affordable, good quality genuine, can be worn next to the skin, too fond of.</v>
      </c>
    </row>
    <row r="5371">
      <c r="A5371" s="1">
        <v>5.0</v>
      </c>
      <c r="B5371" s="1" t="s">
        <v>5350</v>
      </c>
      <c r="C5371" t="str">
        <f>IFERROR(__xludf.DUMMYFUNCTION("GOOGLETRANSLATE(B5371, ""zh"", ""en"")"),"Shoes are usually a little stuffiness 235, the appropriate socks size 23-25")</f>
        <v>Shoes are usually a little stuffiness 235, the appropriate socks size 23-25</v>
      </c>
    </row>
    <row r="5372">
      <c r="A5372" s="1">
        <v>5.0</v>
      </c>
      <c r="B5372" s="1" t="s">
        <v>5351</v>
      </c>
      <c r="C5372" t="str">
        <f>IFERROR(__xludf.DUMMYFUNCTION("GOOGLETRANSLATE(B5372, ""zh"", ""en"")"),"Ugly shoes just the right size, shoe size standard, but really ugly")</f>
        <v>Ugly shoes just the right size, shoe size standard, but really ugly</v>
      </c>
    </row>
    <row r="5373">
      <c r="A5373" s="1">
        <v>5.0</v>
      </c>
      <c r="B5373" s="1" t="s">
        <v>5352</v>
      </c>
      <c r="C5373" t="str">
        <f>IFERROR(__xludf.DUMMYFUNCTION("GOOGLETRANSLATE(B5373, ""zh"", ""en"")"),"Table value for money not to say, is this package, too old to pull the United States")</f>
        <v>Table value for money not to say, is this package, too old to pull the United States</v>
      </c>
    </row>
    <row r="5374">
      <c r="A5374" s="1">
        <v>5.0</v>
      </c>
      <c r="B5374" s="1" t="s">
        <v>5353</v>
      </c>
      <c r="C5374" t="str">
        <f>IFERROR(__xludf.DUMMYFUNCTION("GOOGLETRANSLATE(B5374, ""zh"", ""en"")"),"Good to buy my mother, my mother said good to eat, the calcium content enough, the legs do not cramp up.")</f>
        <v>Good to buy my mother, my mother said good to eat, the calcium content enough, the legs do not cramp up.</v>
      </c>
    </row>
    <row r="5375">
      <c r="A5375" s="1">
        <v>5.0</v>
      </c>
      <c r="B5375" s="1" t="s">
        <v>5354</v>
      </c>
      <c r="C5375" t="str">
        <f>IFERROR(__xludf.DUMMYFUNCTION("GOOGLETRANSLATE(B5375, ""zh"", ""en"")"),"Very satisfied, simple installation, particularly satisfied design science, is indeed the best-selling product, easy to install, and the design is very scientific, tune to hold down the hot water when the edge of the black and then the rotation, this desi"&amp;"gn also prevents children indiscriminately faucet , very scientific, in short, really satisfied, and the price is not expensive, and now domestic casually buy a faucet at this price it, the key is certainly not this good quality")</f>
        <v>Very satisfied, simple installation, particularly satisfied design science, is indeed the best-selling product, easy to install, and the design is very scientific, tune to hold down the hot water when the edge of the black and then the rotation, this design also prevents children indiscriminately faucet , very scientific, in short, really satisfied, and the price is not expensive, and now domestic casually buy a faucet at this price it, the key is certainly not this good quality</v>
      </c>
    </row>
    <row r="5376">
      <c r="A5376" s="1">
        <v>5.0</v>
      </c>
      <c r="B5376" s="1" t="s">
        <v>5355</v>
      </c>
      <c r="C5376" t="str">
        <f>IFERROR(__xludf.DUMMYFUNCTION("GOOGLETRANSLATE(B5376, ""zh"", ""en"")"),"Also good for spring and autumn wear, and another pair of ECCO me compared to the same code, the size is slightly larger")</f>
        <v>Also good for spring and autumn wear, and another pair of ECCO me compared to the same code, the size is slightly larger</v>
      </c>
    </row>
    <row r="5377">
      <c r="A5377" s="1">
        <v>5.0</v>
      </c>
      <c r="B5377" s="1" t="s">
        <v>5356</v>
      </c>
      <c r="C5377" t="str">
        <f>IFERROR(__xludf.DUMMYFUNCTION("GOOGLETRANSLATE(B5377, ""zh"", ""en"")"),"Booster effect is obvious, body feeling comfortable after flushing water fitted with a lot stronger, but very thin, so it will not have a tingling feeling. Water saving effect bad judgment, but really very comfortable with them. Japan Post took just over "&amp;"five days. Pleasant shopping experience. If you care about quality shower head, very recommend this nozzle. Personally I feel that a common set of pipes with the sprinklers, even better than the brand suite shower together with one or two thousand, the co"&amp;"st is much higher.")</f>
        <v>Booster effect is obvious, body feeling comfortable after flushing water fitted with a lot stronger, but very thin, so it will not have a tingling feeling. Water saving effect bad judgment, but really very comfortable with them. Japan Post took just over five days. Pleasant shopping experience. If you care about quality shower head, very recommend this nozzle. Personally I feel that a common set of pipes with the sprinklers, even better than the brand suite shower together with one or two thousand, the cost is much higher.</v>
      </c>
    </row>
    <row r="5378">
      <c r="A5378" s="1">
        <v>5.0</v>
      </c>
      <c r="B5378" s="1" t="s">
        <v>5357</v>
      </c>
      <c r="C5378" t="str">
        <f>IFERROR(__xludf.DUMMYFUNCTION("GOOGLETRANSLATE(B5378, ""zh"", ""en"")"),"title? Commodity little crease, but also, first bought a pair, scratches, dropped out and bought this pair, a little bit small, have just started running about")</f>
        <v>title? Commodity little crease, but also, first bought a pair, scratches, dropped out and bought this pair, a little bit small, have just started running about</v>
      </c>
    </row>
    <row r="5379">
      <c r="A5379" s="1">
        <v>5.0</v>
      </c>
      <c r="B5379" s="1" t="s">
        <v>5358</v>
      </c>
      <c r="C5379" t="str">
        <f>IFERROR(__xludf.DUMMYFUNCTION("GOOGLETRANSLATE(B5379, ""zh"", ""en"")"),"I liked it, good workmanship is great on foot, Western style color, no smell, thin cashmere, not cold northern winter")</f>
        <v>I liked it, good workmanship is great on foot, Western style color, no smell, thin cashmere, not cold northern winter</v>
      </c>
    </row>
    <row r="5380">
      <c r="A5380" s="1">
        <v>5.0</v>
      </c>
      <c r="B5380" s="1" t="s">
        <v>5359</v>
      </c>
      <c r="C5380" t="str">
        <f>IFERROR(__xludf.DUMMYFUNCTION("GOOGLETRANSLATE(B5380, ""zh"", ""en"")"),"Velvet warm velvet warm, not tight, 5 to 10 degrees is very suitable to wear!")</f>
        <v>Velvet warm velvet warm, not tight, 5 to 10 degrees is very suitable to wear!</v>
      </c>
    </row>
    <row r="5381">
      <c r="A5381" s="1">
        <v>5.0</v>
      </c>
      <c r="B5381" s="1" t="s">
        <v>5360</v>
      </c>
      <c r="C5381" t="str">
        <f>IFERROR(__xludf.DUMMYFUNCTION("GOOGLETRANSLATE(B5381, ""zh"", ""en"")"),"Like so comfortable ah 😌, summer wear this underwear, really be called without restraint!")</f>
        <v>Like so comfortable ah 😌, summer wear this underwear, really be called without restraint!</v>
      </c>
    </row>
    <row r="5382">
      <c r="A5382" s="1">
        <v>5.0</v>
      </c>
      <c r="B5382" s="1" t="s">
        <v>5361</v>
      </c>
      <c r="C5382" t="str">
        <f>IFERROR(__xludf.DUMMYFUNCTION("GOOGLETRANSLATE(B5382, ""zh"", ""en"")"),"No chest pad underwear! ! ! No chest pad! ! ! No chest pad! ! ! A very thin layer! ! ! We must be careful! ! Fan Zhen effect might as well buy Under Armor! I was really drunk! ! Is the kind of junior high school I used cloth bra! !")</f>
        <v>No chest pad underwear! ! ! No chest pad! ! ! No chest pad! ! ! A very thin layer! ! ! We must be careful! ! Fan Zhen effect might as well buy Under Armor! I was really drunk! ! Is the kind of junior high school I used cloth bra! !</v>
      </c>
    </row>
    <row r="5383">
      <c r="A5383" s="1">
        <v>5.0</v>
      </c>
      <c r="B5383" s="1" t="s">
        <v>5362</v>
      </c>
      <c r="C5383" t="str">
        <f>IFERROR(__xludf.DUMMYFUNCTION("GOOGLETRANSLATE(B5383, ""zh"", ""en"")"),"No high cost, I looked origin like Honduras, 80KG buy M-code, put on just right, good shopping experience.")</f>
        <v>No high cost, I looked origin like Honduras, 80KG buy M-code, put on just right, good shopping experience.</v>
      </c>
    </row>
    <row r="5384">
      <c r="A5384" s="1">
        <v>5.0</v>
      </c>
      <c r="B5384" s="1" t="s">
        <v>5363</v>
      </c>
      <c r="C5384" t="str">
        <f>IFERROR(__xludf.DUMMYFUNCTION("GOOGLETRANSLATE(B5384, ""zh"", ""en"")"),"Satisfied with good quality right size satisfaction")</f>
        <v>Satisfied with good quality right size satisfaction</v>
      </c>
    </row>
    <row r="5385">
      <c r="A5385" s="1">
        <v>5.0</v>
      </c>
      <c r="B5385" s="1" t="s">
        <v>5364</v>
      </c>
      <c r="C5385" t="str">
        <f>IFERROR(__xludf.DUMMYFUNCTION("GOOGLETRANSLATE(B5385, ""zh"", ""en"")"),"The effect of good standing in the house, ready to play for the elderly, the effect is very good.")</f>
        <v>The effect of good standing in the house, ready to play for the elderly, the effect is very good.</v>
      </c>
    </row>
    <row r="5386">
      <c r="A5386" s="1">
        <v>5.0</v>
      </c>
      <c r="B5386" s="1" t="s">
        <v>5365</v>
      </c>
      <c r="C5386" t="str">
        <f>IFERROR(__xludf.DUMMYFUNCTION("GOOGLETRANSLATE(B5386, ""zh"", ""en"")"),"Looks good, wear in the feet look good to buy when we must be optimistic about the shoe size, 7.5D equivalent to 40 yards")</f>
        <v>Looks good, wear in the feet look good to buy when we must be optimistic about the shoe size, 7.5D equivalent to 40 yards</v>
      </c>
    </row>
    <row r="5387">
      <c r="A5387" s="1">
        <v>2.0</v>
      </c>
      <c r="B5387" s="1" t="s">
        <v>5366</v>
      </c>
      <c r="C5387" t="str">
        <f>IFERROR(__xludf.DUMMYFUNCTION("GOOGLETRANSLATE(B5387, ""zh"", ""en"")"),"Quality problems in the United States and Asia to buy two WD 4 T red plate, spent more than two years, it has been used up to now no problem. But because at that time to pay customs duties, the procedures cumbersome. NAS machines with extended memory, and"&amp;" from the country this year to buy two of the same model WD 4T red disk, start no problem, but were damaged in six months and nine months later, really hell. Really authentic? No longer dare to believe.")</f>
        <v>Quality problems in the United States and Asia to buy two WD 4 T red plate, spent more than two years, it has been used up to now no problem. But because at that time to pay customs duties, the procedures cumbersome. NAS machines with extended memory, and from the country this year to buy two of the same model WD 4T red disk, start no problem, but were damaged in six months and nine months later, really hell. Really authentic? No longer dare to believe.</v>
      </c>
    </row>
    <row r="5388">
      <c r="A5388" s="1">
        <v>3.0</v>
      </c>
      <c r="B5388" s="1" t="s">
        <v>5367</v>
      </c>
      <c r="C5388" t="str">
        <f>IFERROR(__xludf.DUMMYFUNCTION("GOOGLETRANSLATE(B5388, ""zh"", ""en"")"),"Shoes styles are very good material, but not as big shoes two shoes are really nice, the material is very real, but the left and right foot size is inconsistent, silent, returns too much trouble, do not want to toss, and customer service to the point comp"&amp;"ensation")</f>
        <v>Shoes styles are very good material, but not as big shoes two shoes are really nice, the material is very real, but the left and right foot size is inconsistent, silent, returns too much trouble, do not want to toss, and customer service to the point compensation</v>
      </c>
    </row>
    <row r="5389">
      <c r="A5389" s="1">
        <v>3.0</v>
      </c>
      <c r="B5389" s="1" t="s">
        <v>5368</v>
      </c>
      <c r="C5389" t="str">
        <f>IFERROR(__xludf.DUMMYFUNCTION("GOOGLETRANSLATE(B5389, ""zh"", ""en"")"),"Work generally buy small, 17,677 should buy xl, return shipping is too high forget it, hoping to lose weight reduced wear his lifetime, ha ha ha ha ha ha. Material like a general")</f>
        <v>Work generally buy small, 17,677 should buy xl, return shipping is too high forget it, hoping to lose weight reduced wear his lifetime, ha ha ha ha ha ha. Material like a general</v>
      </c>
    </row>
    <row r="5390">
      <c r="A5390" s="1">
        <v>1.0</v>
      </c>
      <c r="B5390" s="1" t="s">
        <v>5369</v>
      </c>
      <c r="C5390" t="str">
        <f>IFERROR(__xludf.DUMMYFUNCTION("GOOGLETRANSLATE(B5390, ""zh"", ""en"")"),"Size really big, no access can only be given away.")</f>
        <v>Size really big, no access can only be given away.</v>
      </c>
    </row>
    <row r="5391">
      <c r="A5391" s="1">
        <v>1.0</v>
      </c>
      <c r="B5391" s="1" t="s">
        <v>5370</v>
      </c>
      <c r="C5391" t="str">
        <f>IFERROR(__xludf.DUMMYFUNCTION("GOOGLETRANSLATE(B5391, ""zh"", ""en"")"),"After the table of poor quality bought, Hitachi can not tune, tone at night, at noon always changing, sometimes minute hand jitter, which is a German product which, after Do not buy a 1,500 yuan, the file deceived")</f>
        <v>After the table of poor quality bought, Hitachi can not tune, tone at night, at noon always changing, sometimes minute hand jitter, which is a German product which, after Do not buy a 1,500 yuan, the file deceived</v>
      </c>
    </row>
    <row r="5392">
      <c r="A5392" s="1">
        <v>4.0</v>
      </c>
      <c r="B5392" s="1" t="s">
        <v>5371</v>
      </c>
      <c r="C5392" t="str">
        <f>IFERROR(__xludf.DUMMYFUNCTION("GOOGLETRANSLATE(B5392, ""zh"", ""en"")"),"That commodity thin thin, not what I want, but the quality is very good.")</f>
        <v>That commodity thin thin, not what I want, but the quality is very good.</v>
      </c>
    </row>
    <row r="5393">
      <c r="A5393" s="1">
        <v>4.0</v>
      </c>
      <c r="B5393" s="1" t="s">
        <v>5372</v>
      </c>
      <c r="C5393" t="str">
        <f>IFERROR(__xludf.DUMMYFUNCTION("GOOGLETRANSLATE(B5393, ""zh"", ""en"")"),"Handsome stiff boots 268MM feet 8UK size is appropriate, soles really comfortable in the boot of a very soft. But this is a little crusty boots foot wear though but high enough to wear no socks worn before they can take off your shoes shoes small mouth di"&amp;"fficult, high pressure foot instep Shenru.")</f>
        <v>Handsome stiff boots 268MM feet 8UK size is appropriate, soles really comfortable in the boot of a very soft. But this is a little crusty boots foot wear though but high enough to wear no socks worn before they can take off your shoes shoes small mouth difficult, high pressure foot instep Shenru.</v>
      </c>
    </row>
    <row r="5394">
      <c r="A5394" s="1">
        <v>4.0</v>
      </c>
      <c r="B5394" s="1" t="s">
        <v>5373</v>
      </c>
      <c r="C5394" t="str">
        <f>IFERROR(__xludf.DUMMYFUNCTION("GOOGLETRANSLATE(B5394, ""zh"", ""en"")"),"Good value for money one time sold six with a couple good solid look at Japan's cheaper than I")</f>
        <v>Good value for money one time sold six with a couple good solid look at Japan's cheaper than I</v>
      </c>
    </row>
    <row r="5395">
      <c r="A5395" s="1">
        <v>4.0</v>
      </c>
      <c r="B5395" s="1" t="s">
        <v>5374</v>
      </c>
      <c r="C5395" t="str">
        <f>IFERROR(__xludf.DUMMYFUNCTION("GOOGLETRANSLATE(B5395, ""zh"", ""en"")"),"I have the right size, is more rigid good, the right size I kind of fitness person, 70kg, just the right thigh, just big waist, no way, right waist pants, thigh plug does not go")</f>
        <v>I have the right size, is more rigid good, the right size I kind of fitness person, 70kg, just the right thigh, just big waist, no way, right waist pants, thigh plug does not go</v>
      </c>
    </row>
    <row r="5396">
      <c r="A5396" s="1">
        <v>4.0</v>
      </c>
      <c r="B5396" s="1" t="s">
        <v>5375</v>
      </c>
      <c r="C5396" t="str">
        <f>IFERROR(__xludf.DUMMYFUNCTION("GOOGLETRANSLATE(B5396, ""zh"", ""en"")"),"But the dish is very delicate work with several spent, it is not hard")</f>
        <v>But the dish is very delicate work with several spent, it is not hard</v>
      </c>
    </row>
    <row r="5397">
      <c r="A5397" s="1">
        <v>5.0</v>
      </c>
      <c r="B5397" s="1" t="s">
        <v>5376</v>
      </c>
      <c r="C5397" t="str">
        <f>IFERROR(__xludf.DUMMYFUNCTION("GOOGLETRANSLATE(B5397, ""zh"", ""en"")"),"Size is too large a friend to his family bought 180 cm 180 pounds, had to buy a small one yard, the result was a big two yards, the US version is really great")</f>
        <v>Size is too large a friend to his family bought 180 cm 180 pounds, had to buy a small one yard, the result was a big two yards, the US version is really great</v>
      </c>
    </row>
    <row r="5398">
      <c r="A5398" s="1">
        <v>5.0</v>
      </c>
      <c r="B5398" s="1" t="s">
        <v>5377</v>
      </c>
      <c r="C5398" t="str">
        <f>IFERROR(__xludf.DUMMYFUNCTION("GOOGLETRANSLATE(B5398, ""zh"", ""en"")"),"You can buy very appropriate, like children")</f>
        <v>You can buy very appropriate, like children</v>
      </c>
    </row>
    <row r="5399">
      <c r="A5399" s="1">
        <v>5.0</v>
      </c>
      <c r="B5399" s="1" t="s">
        <v>5378</v>
      </c>
      <c r="C5399" t="str">
        <f>IFERROR(__xludf.DUMMYFUNCTION("GOOGLETRANSLATE(B5399, ""zh"", ""en"")"),"Quality worthy of the price of the price should be worthy of its quality. This is not a leather wallet. But even synthetic leather, the quality is still sound.")</f>
        <v>Quality worthy of the price of the price should be worthy of its quality. This is not a leather wallet. But even synthetic leather, the quality is still sound.</v>
      </c>
    </row>
    <row r="5400">
      <c r="A5400" s="1">
        <v>5.0</v>
      </c>
      <c r="B5400" s="1" t="s">
        <v>5379</v>
      </c>
      <c r="C5400" t="str">
        <f>IFERROR(__xludf.DUMMYFUNCTION("GOOGLETRANSLATE(B5400, ""zh"", ""en"")"),"Buy big waist 34 should buy 36, buy big")</f>
        <v>Buy big waist 34 should buy 36, buy big</v>
      </c>
    </row>
    <row r="5401">
      <c r="A5401" s="1">
        <v>5.0</v>
      </c>
      <c r="B5401" s="1" t="s">
        <v>5380</v>
      </c>
      <c r="C5401" t="str">
        <f>IFERROR(__xludf.DUMMYFUNCTION("GOOGLETRANSLATE(B5401, ""zh"", ""en"")"),"Very good watch small dial, boys and girls can wear, work very well. Do not buy Citizen, the last picture is out of the ground once broke, do not pick a wash completely scrapped. Strap molting, no lugs, very ugly. Casio Citizen spike.")</f>
        <v>Very good watch small dial, boys and girls can wear, work very well. Do not buy Citizen, the last picture is out of the ground once broke, do not pick a wash completely scrapped. Strap molting, no lugs, very ugly. Casio Citizen spike.</v>
      </c>
    </row>
    <row r="5402">
      <c r="A5402" s="1">
        <v>5.0</v>
      </c>
      <c r="B5402" s="1" t="s">
        <v>5381</v>
      </c>
      <c r="C5402" t="str">
        <f>IFERROR(__xludf.DUMMYFUNCTION("GOOGLETRANSLATE(B5402, ""zh"", ""en"")"),"Beautiful, beautiful face value is high, the baby and the mother are like, but also upon the floor")</f>
        <v>Beautiful, beautiful face value is high, the baby and the mother are like, but also upon the floor</v>
      </c>
    </row>
    <row r="5403">
      <c r="A5403" s="1">
        <v>5.0</v>
      </c>
      <c r="B5403" s="1" t="s">
        <v>5382</v>
      </c>
      <c r="C5403" t="str">
        <f>IFERROR(__xludf.DUMMYFUNCTION("GOOGLETRANSLATE(B5403, ""zh"", ""en"")"),"Quality is good for the baby store goods, the quality looked very good, is said to good use for your baby small mouth or something, hope it can be practical, cost-effective members to buy very cheap")</f>
        <v>Quality is good for the baby store goods, the quality looked very good, is said to good use for your baby small mouth or something, hope it can be practical, cost-effective members to buy very cheap</v>
      </c>
    </row>
    <row r="5404">
      <c r="A5404" s="1">
        <v>5.0</v>
      </c>
      <c r="B5404" s="1" t="s">
        <v>5383</v>
      </c>
      <c r="C5404" t="str">
        <f>IFERROR(__xludf.DUMMYFUNCTION("GOOGLETRANSLATE(B5404, ""zh"", ""en"")"),"Favorite sports shoes have been bought with a lot of two-brand sports shoes, by comparison with other brands, proved to be the best option")</f>
        <v>Favorite sports shoes have been bought with a lot of two-brand sports shoes, by comparison with other brands, proved to be the best option</v>
      </c>
    </row>
    <row r="5405">
      <c r="A5405" s="1">
        <v>5.0</v>
      </c>
      <c r="B5405" s="1" t="s">
        <v>5384</v>
      </c>
      <c r="C5405" t="str">
        <f>IFERROR(__xludf.DUMMYFUNCTION("GOOGLETRANSLATE(B5405, ""zh"", ""en"")"),"Well as with South Korea duty-free shops to buy, Compare over 😄")</f>
        <v>Well as with South Korea duty-free shops to buy, Compare over 😄</v>
      </c>
    </row>
    <row r="5406">
      <c r="A5406" s="1">
        <v>5.0</v>
      </c>
      <c r="B5406" s="1" t="s">
        <v>5385</v>
      </c>
      <c r="C5406" t="str">
        <f>IFERROR(__xludf.DUMMYFUNCTION("GOOGLETRANSLATE(B5406, ""zh"", ""en"")"),"Comfortable fit cheap good workmanship, reasonable prices, good version of type, size is accurate. 178/83, the legs are longer than others, according to the web page recommendation to buy 33/32.")</f>
        <v>Comfortable fit cheap good workmanship, reasonable prices, good version of type, size is accurate. 178/83, the legs are longer than others, according to the web page recommendation to buy 33/32.</v>
      </c>
    </row>
    <row r="5407">
      <c r="A5407" s="1">
        <v>5.0</v>
      </c>
      <c r="B5407" s="1" t="s">
        <v>5386</v>
      </c>
      <c r="C5407" t="str">
        <f>IFERROR(__xludf.DUMMYFUNCTION("GOOGLETRANSLATE(B5407, ""zh"", ""en"")"),"Praise, 163/56 L particularly comfortable like wearing the same red is indeed the network section of the masses have sharp eyes 163/56 L code just to wear")</f>
        <v>Praise, 163/56 L particularly comfortable like wearing the same red is indeed the network section of the masses have sharp eyes 163/56 L code just to wear</v>
      </c>
    </row>
    <row r="5408">
      <c r="A5408" s="1">
        <v>5.0</v>
      </c>
      <c r="B5408" s="1" t="s">
        <v>5387</v>
      </c>
      <c r="C5408" t="str">
        <f>IFERROR(__xludf.DUMMYFUNCTION("GOOGLETRANSLATE(B5408, ""zh"", ""en"")"),"Very fond of pants to wear very comfortable, the right size, a great experience")</f>
        <v>Very fond of pants to wear very comfortable, the right size, a great experience</v>
      </c>
    </row>
    <row r="5409">
      <c r="A5409" s="1">
        <v>5.0</v>
      </c>
      <c r="B5409" s="1" t="s">
        <v>5388</v>
      </c>
      <c r="C5409" t="str">
        <f>IFERROR(__xludf.DUMMYFUNCTION("GOOGLETRANSLATE(B5409, ""zh"", ""en"")"),"Suitable pants fit, fabric why it so hard?")</f>
        <v>Suitable pants fit, fabric why it so hard?</v>
      </c>
    </row>
    <row r="5410">
      <c r="A5410" s="1">
        <v>5.0</v>
      </c>
      <c r="B5410" s="1" t="s">
        <v>5389</v>
      </c>
      <c r="C5410" t="str">
        <f>IFERROR(__xludf.DUMMYFUNCTION("GOOGLETRANSLATE(B5410, ""zh"", ""en"")"),"Baby likes large and cheap, give it away is also very good feedback!")</f>
        <v>Baby likes large and cheap, give it away is also very good feedback!</v>
      </c>
    </row>
    <row r="5411">
      <c r="A5411" s="1">
        <v>5.0</v>
      </c>
      <c r="B5411" s="1" t="s">
        <v>5390</v>
      </c>
      <c r="C5411" t="str">
        <f>IFERROR(__xludf.DUMMYFUNCTION("GOOGLETRANSLATE(B5411, ""zh"", ""en"")"),"Satisfied with the price is very good, but also fresh date")</f>
        <v>Satisfied with the price is very good, but also fresh date</v>
      </c>
    </row>
    <row r="5412">
      <c r="A5412" s="1">
        <v>5.0</v>
      </c>
      <c r="B5412" s="1" t="s">
        <v>5391</v>
      </c>
      <c r="C5412" t="str">
        <f>IFERROR(__xludf.DUMMYFUNCTION("GOOGLETRANSLATE(B5412, ""zh"", ""en"")"),"Like the store, but the price is a lot cheaper, like the store, but the price is a lot cheaper")</f>
        <v>Like the store, but the price is a lot cheaper, like the store, but the price is a lot cheaper</v>
      </c>
    </row>
    <row r="5413">
      <c r="A5413" s="1">
        <v>5.0</v>
      </c>
      <c r="B5413" s="1" t="s">
        <v>5392</v>
      </c>
      <c r="C5413" t="str">
        <f>IFERROR(__xludf.DUMMYFUNCTION("GOOGLETRANSLATE(B5413, ""zh"", ""en"")"),"Fast read and write, read and write 160 to achieve fast, basically reach 160M / s, and very stable! Copy it a hundred G over 20 minutes. Value for money!")</f>
        <v>Fast read and write, read and write 160 to achieve fast, basically reach 160M / s, and very stable! Copy it a hundred G over 20 minutes. Value for money!</v>
      </c>
    </row>
    <row r="5414">
      <c r="A5414" s="1">
        <v>5.0</v>
      </c>
      <c r="B5414" s="1" t="s">
        <v>5393</v>
      </c>
      <c r="C5414" t="str">
        <f>IFERROR(__xludf.DUMMYFUNCTION("GOOGLETRANSLATE(B5414, ""zh"", ""en"")"),"The insulation effect to start a lot, really useful, must-go!")</f>
        <v>The insulation effect to start a lot, really useful, must-go!</v>
      </c>
    </row>
    <row r="5415">
      <c r="A5415" s="1">
        <v>5.0</v>
      </c>
      <c r="B5415" s="1" t="s">
        <v>5394</v>
      </c>
      <c r="C5415" t="str">
        <f>IFERROR(__xludf.DUMMYFUNCTION("GOOGLETRANSLATE(B5415, ""zh"", ""en"")"),"Great very appropriate, very accurate size table, underwear thick, suitable for winter wear")</f>
        <v>Great very appropriate, very accurate size table, underwear thick, suitable for winter wear</v>
      </c>
    </row>
    <row r="5416">
      <c r="A5416" s="1">
        <v>5.0</v>
      </c>
      <c r="B5416" s="1" t="s">
        <v>5395</v>
      </c>
      <c r="C5416" t="str">
        <f>IFERROR(__xludf.DUMMYFUNCTION("GOOGLETRANSLATE(B5416, ""zh"", ""en"")"),"Very good shopping experience made in China, in April 2017 products. Cost-effective. Beautiful shoes waterproof.")</f>
        <v>Very good shopping experience made in China, in April 2017 products. Cost-effective. Beautiful shoes waterproof.</v>
      </c>
    </row>
    <row r="5417">
      <c r="A5417" s="1">
        <v>5.0</v>
      </c>
      <c r="B5417" s="1" t="s">
        <v>5396</v>
      </c>
      <c r="C5417" t="str">
        <f>IFERROR(__xludf.DUMMYFUNCTION("GOOGLETRANSLATE(B5417, ""zh"", ""en"")"),"A successful purchase has been looking to buy before the comment, for fear of buy big or have defective, hand try M code, height 180, weight 150 pounds, the kind of long legs, long pants until the right ankle, thigh, calf circumference appropriate")</f>
        <v>A successful purchase has been looking to buy before the comment, for fear of buy big or have defective, hand try M code, height 180, weight 150 pounds, the kind of long legs, long pants until the right ankle, thigh, calf circumference appropriate</v>
      </c>
    </row>
    <row r="5418">
      <c r="A5418" s="1">
        <v>5.0</v>
      </c>
      <c r="B5418" s="1" t="s">
        <v>5397</v>
      </c>
      <c r="C5418" t="str">
        <f>IFERROR(__xludf.DUMMYFUNCTION("GOOGLETRANSLATE(B5418, ""zh"", ""en"")"),"Good very good very beginning that there will be three brush heads, and later learned that received only one. 3.7 3.18 single hand, used once, and opened sensitive mode, the shock a little difficult, but the overall feeling is good brushing. Brushing can "&amp;"finally control their own time, have been previously lazy casual brush")</f>
        <v>Good very good very beginning that there will be three brush heads, and later learned that received only one. 3.7 3.18 single hand, used once, and opened sensitive mode, the shock a little difficult, but the overall feeling is good brushing. Brushing can finally control their own time, have been previously lazy casual brush</v>
      </c>
    </row>
    <row r="5419">
      <c r="A5419" s="1">
        <v>2.0</v>
      </c>
      <c r="B5419" s="1" t="s">
        <v>5398</v>
      </c>
      <c r="C5419" t="str">
        <f>IFERROR(__xludf.DUMMYFUNCTION("GOOGLETRANSLATE(B5419, ""zh"", ""en"")"),"General thin pants, the fabric is not very good ~")</f>
        <v>General thin pants, the fabric is not very good ~</v>
      </c>
    </row>
    <row r="5420">
      <c r="A5420" s="1">
        <v>3.0</v>
      </c>
      <c r="B5420" s="1" t="s">
        <v>5399</v>
      </c>
      <c r="C5420" t="str">
        <f>IFERROR(__xludf.DUMMYFUNCTION("GOOGLETRANSLATE(B5420, ""zh"", ""en"")"),"Fat pants super fat pants, very suitable for pregnant women to wear! Height 170 weight 57, M code can not control, that is, fat pants, buyers please choose carefully")</f>
        <v>Fat pants super fat pants, very suitable for pregnant women to wear! Height 170 weight 57, M code can not control, that is, fat pants, buyers please choose carefully</v>
      </c>
    </row>
    <row r="5421">
      <c r="A5421" s="1">
        <v>3.0</v>
      </c>
      <c r="B5421" s="1" t="s">
        <v>5400</v>
      </c>
      <c r="C5421" t="str">
        <f>IFERROR(__xludf.DUMMYFUNCTION("GOOGLETRANSLATE(B5421, ""zh"", ""en"")"),"Generally white version is not recommended to buy L code is not very large it is easy to dirty beige feeling will touch the dirty")</f>
        <v>Generally white version is not recommended to buy L code is not very large it is easy to dirty beige feeling will touch the dirty</v>
      </c>
    </row>
    <row r="5422">
      <c r="A5422" s="1">
        <v>1.0</v>
      </c>
      <c r="B5422" s="1" t="s">
        <v>5401</v>
      </c>
      <c r="C5422" t="str">
        <f>IFERROR(__xludf.DUMMYFUNCTION("GOOGLETRANSLATE(B5422, ""zh"", ""en"")"),"Right size the right size, the version is slim")</f>
        <v>Right size the right size, the version is slim</v>
      </c>
    </row>
    <row r="5423">
      <c r="A5423" s="1">
        <v>1.0</v>
      </c>
      <c r="B5423" s="1" t="s">
        <v>5402</v>
      </c>
      <c r="C5423" t="str">
        <f>IFERROR(__xludf.DUMMYFUNCTION("GOOGLETRANSLATE(B5423, ""zh"", ""en"")"),"Spread the goods, junk. This cotton clothes worse than domestic spread the goods, you can be killed the man. Amazon to buy a lot of things are also, on this, serious doubts fake, hit return shipping customer service said more than a hundred, I huh up. Neg"&amp;"ative Ratings. Negative Ratings. Negative Ratings.")</f>
        <v>Spread the goods, junk. This cotton clothes worse than domestic spread the goods, you can be killed the man. Amazon to buy a lot of things are also, on this, serious doubts fake, hit return shipping customer service said more than a hundred, I huh up. Negative Ratings. Negative Ratings. Negative Ratings.</v>
      </c>
    </row>
    <row r="5424">
      <c r="A5424" s="1">
        <v>1.0</v>
      </c>
      <c r="B5424" s="1" t="s">
        <v>5403</v>
      </c>
      <c r="C5424" t="str">
        <f>IFERROR(__xludf.DUMMYFUNCTION("GOOGLETRANSLATE(B5424, ""zh"", ""en"")"),"Leakage, not bought back several times, very good mouthwash. But this time one of the bottles leak, but fortunately there are plastic bags wrapped. I want to return, but not to retreat")</f>
        <v>Leakage, not bought back several times, very good mouthwash. But this time one of the bottles leak, but fortunately there are plastic bags wrapped. I want to return, but not to retreat</v>
      </c>
    </row>
    <row r="5425">
      <c r="A5425" s="1">
        <v>4.0</v>
      </c>
      <c r="B5425" s="1" t="s">
        <v>5404</v>
      </c>
      <c r="C5425" t="str">
        <f>IFERROR(__xludf.DUMMYFUNCTION("GOOGLETRANSLATE(B5425, ""zh"", ""en"")"),"Fortunately, shaving Fortunately, this is relatively low sound")</f>
        <v>Fortunately, shaving Fortunately, this is relatively low sound</v>
      </c>
    </row>
    <row r="5426">
      <c r="A5426" s="1">
        <v>4.0</v>
      </c>
      <c r="B5426" s="1" t="s">
        <v>5405</v>
      </c>
      <c r="C5426" t="str">
        <f>IFERROR(__xludf.DUMMYFUNCTION("GOOGLETRANSLATE(B5426, ""zh"", ""en"")"),"Okay with open water does not melt, do not know whether to put more. Use of cold water point.")</f>
        <v>Okay with open water does not melt, do not know whether to put more. Use of cold water point.</v>
      </c>
    </row>
    <row r="5427">
      <c r="A5427" s="1">
        <v>4.0</v>
      </c>
      <c r="B5427" s="1" t="s">
        <v>5406</v>
      </c>
      <c r="C5427" t="str">
        <f>IFERROR(__xludf.DUMMYFUNCTION("GOOGLETRANSLATE(B5427, ""zh"", ""en"")"),"Grasp the size is a technology live 1.75 m 60 kg, size is just right.")</f>
        <v>Grasp the size is a technology live 1.75 m 60 kg, size is just right.</v>
      </c>
    </row>
    <row r="5428">
      <c r="A5428" s="1">
        <v>4.0</v>
      </c>
      <c r="B5428" s="1" t="s">
        <v>5407</v>
      </c>
      <c r="C5428" t="str">
        <f>IFERROR(__xludf.DUMMYFUNCTION("GOOGLETRANSLATE(B5428, ""zh"", ""en"")"),"Large color color color difference is relatively large, the actual picture is not bright color is dark dark green, for some older people to wear")</f>
        <v>Large color color color difference is relatively large, the actual picture is not bright color is dark dark green, for some older people to wear</v>
      </c>
    </row>
    <row r="5429">
      <c r="A5429" s="1">
        <v>4.0</v>
      </c>
      <c r="B5429" s="1" t="s">
        <v>5408</v>
      </c>
      <c r="C5429" t="str">
        <f>IFERROR(__xludf.DUMMYFUNCTION("GOOGLETRANSLATE(B5429, ""zh"", ""en"")"),"It can also right when the price of the left ear a little wrinkled, work may be a problem, but can tolerate. Sound quality worthy of the price.")</f>
        <v>It can also right when the price of the left ear a little wrinkled, work may be a problem, but can tolerate. Sound quality worthy of the price.</v>
      </c>
    </row>
    <row r="5430">
      <c r="A5430" s="1">
        <v>5.0</v>
      </c>
      <c r="B5430" s="1" t="s">
        <v>5409</v>
      </c>
      <c r="C5430" t="str">
        <f>IFERROR(__xludf.DUMMYFUNCTION("GOOGLETRANSLATE(B5430, ""zh"", ""en"")"),"Lightweight, punctual, delicate good.")</f>
        <v>Lightweight, punctual, delicate good.</v>
      </c>
    </row>
    <row r="5431">
      <c r="A5431" s="1">
        <v>5.0</v>
      </c>
      <c r="B5431" s="1" t="s">
        <v>5410</v>
      </c>
      <c r="C5431" t="str">
        <f>IFERROR(__xludf.DUMMYFUNCTION("GOOGLETRANSLATE(B5431, ""zh"", ""en"")"),"Well a little bit wide, others are good")</f>
        <v>Well a little bit wide, others are good</v>
      </c>
    </row>
    <row r="5432">
      <c r="A5432" s="1">
        <v>5.0</v>
      </c>
      <c r="B5432" s="1" t="s">
        <v>5411</v>
      </c>
      <c r="C5432" t="str">
        <f>IFERROR(__xludf.DUMMYFUNCTION("GOOGLETRANSLATE(B5432, ""zh"", ""en"")"),"The high cost of jeans are just the size and layout, the color looks good, the price is extremely cost-effective, very satisfied.")</f>
        <v>The high cost of jeans are just the size and layout, the color looks good, the price is extremely cost-effective, very satisfied.</v>
      </c>
    </row>
    <row r="5433">
      <c r="A5433" s="1">
        <v>5.0</v>
      </c>
      <c r="B5433" s="1" t="s">
        <v>5412</v>
      </c>
      <c r="C5433" t="str">
        <f>IFERROR(__xludf.DUMMYFUNCTION("GOOGLETRANSLATE(B5433, ""zh"", ""en"")"),"Oblique backpack meticulous workmanship, very good")</f>
        <v>Oblique backpack meticulous workmanship, very good</v>
      </c>
    </row>
    <row r="5434">
      <c r="A5434" s="1">
        <v>5.0</v>
      </c>
      <c r="B5434" s="1" t="s">
        <v>5413</v>
      </c>
      <c r="C5434" t="str">
        <f>IFERROR(__xludf.DUMMYFUNCTION("GOOGLETRANSLATE(B5434, ""zh"", ""en"")"),"Good Very good, worth buying, cost-effective")</f>
        <v>Good Very good, worth buying, cost-effective</v>
      </c>
    </row>
    <row r="5435">
      <c r="A5435" s="1">
        <v>5.0</v>
      </c>
      <c r="B5435" s="1" t="s">
        <v>5414</v>
      </c>
      <c r="C5435" t="str">
        <f>IFERROR(__xludf.DUMMYFUNCTION("GOOGLETRANSLATE(B5435, ""zh"", ""en"")"),"Buy buy buy read 190, 120 write, simply was fantastic, Fantastic!")</f>
        <v>Buy buy buy read 190, 120 write, simply was fantastic, Fantastic!</v>
      </c>
    </row>
    <row r="5436">
      <c r="A5436" s="1">
        <v>5.0</v>
      </c>
      <c r="B5436" s="1" t="s">
        <v>5415</v>
      </c>
      <c r="C5436" t="str">
        <f>IFERROR(__xludf.DUMMYFUNCTION("GOOGLETRANSLATE(B5436, ""zh"", ""en"")"),"Good military quality, price to the force.")</f>
        <v>Good military quality, price to the force.</v>
      </c>
    </row>
    <row r="5437">
      <c r="A5437" s="1">
        <v>5.0</v>
      </c>
      <c r="B5437" s="1" t="s">
        <v>5416</v>
      </c>
      <c r="C5437" t="str">
        <f>IFERROR(__xludf.DUMMYFUNCTION("GOOGLETRANSLATE(B5437, ""zh"", ""en"")"),"It cost ten good deal less than the 190 hand 😄")</f>
        <v>It cost ten good deal less than the 190 hand 😄</v>
      </c>
    </row>
    <row r="5438">
      <c r="A5438" s="1">
        <v>5.0</v>
      </c>
      <c r="B5438" s="1" t="s">
        <v>5417</v>
      </c>
      <c r="C5438" t="str">
        <f>IFERROR(__xludf.DUMMYFUNCTION("GOOGLETRANSLATE(B5438, ""zh"", ""en"")"),"The high cost of jeans look great great pair of jeans, micro-bomb")</f>
        <v>The high cost of jeans look great great pair of jeans, micro-bomb</v>
      </c>
    </row>
    <row r="5439">
      <c r="A5439" s="1">
        <v>5.0</v>
      </c>
      <c r="B5439" s="1" t="s">
        <v>5418</v>
      </c>
      <c r="C5439" t="str">
        <f>IFERROR(__xludf.DUMMYFUNCTION("GOOGLETRANSLATE(B5439, ""zh"", ""en"")"),"Clementine serious five-star praise! Many details are doing very well, especially the color of blood stains, bloodsoaked direction, etc., is really hard to do the product. We hope to do more walking corpses surrounding.")</f>
        <v>Clementine serious five-star praise! Many details are doing very well, especially the color of blood stains, bloodsoaked direction, etc., is really hard to do the product. We hope to do more walking corpses surrounding.</v>
      </c>
    </row>
    <row r="5440">
      <c r="A5440" s="1">
        <v>5.0</v>
      </c>
      <c r="B5440" s="1" t="s">
        <v>5419</v>
      </c>
      <c r="C5440" t="str">
        <f>IFERROR(__xludf.DUMMYFUNCTION("GOOGLETRANSLATE(B5440, ""zh"", ""en"")"),"Pretty beautiful color than expected, very good, very light, than a lot of the Thermos")</f>
        <v>Pretty beautiful color than expected, very good, very light, than a lot of the Thermos</v>
      </c>
    </row>
    <row r="5441">
      <c r="A5441" s="1">
        <v>5.0</v>
      </c>
      <c r="B5441" s="1" t="s">
        <v>5420</v>
      </c>
      <c r="C5441" t="str">
        <f>IFERROR(__xludf.DUMMYFUNCTION("GOOGLETRANSLATE(B5441, ""zh"", ""en"")"),"Very thick, suitable for winter a little big, very thick, suitable for winter wear")</f>
        <v>Very thick, suitable for winter a little big, very thick, suitable for winter wear</v>
      </c>
    </row>
    <row r="5442">
      <c r="A5442" s="1">
        <v>5.0</v>
      </c>
      <c r="B5442" s="1" t="s">
        <v>5421</v>
      </c>
      <c r="C5442" t="str">
        <f>IFERROR(__xludf.DUMMYFUNCTION("GOOGLETRANSLATE(B5442, ""zh"", ""en"")"),"Good good, satisfactory, thank you")</f>
        <v>Good good, satisfactory, thank you</v>
      </c>
    </row>
    <row r="5443">
      <c r="A5443" s="1">
        <v>5.0</v>
      </c>
      <c r="B5443" s="1" t="s">
        <v>5422</v>
      </c>
      <c r="C5443" t="str">
        <f>IFERROR(__xludf.DUMMYFUNCTION("GOOGLETRANSLATE(B5443, ""zh"", ""en"")"),"Thin section shoulder-bandwidth, there will be no decline in the problem.")</f>
        <v>Thin section shoulder-bandwidth, there will be no decline in the problem.</v>
      </c>
    </row>
    <row r="5444">
      <c r="A5444" s="1">
        <v>5.0</v>
      </c>
      <c r="B5444" s="1" t="s">
        <v>5423</v>
      </c>
      <c r="C5444" t="str">
        <f>IFERROR(__xludf.DUMMYFUNCTION("GOOGLETRANSLATE(B5444, ""zh"", ""en"")"),"Suitable 165cm, 59kg S code just the right to buy")</f>
        <v>Suitable 165cm, 59kg S code just the right to buy</v>
      </c>
    </row>
    <row r="5445">
      <c r="A5445" s="1">
        <v>5.0</v>
      </c>
      <c r="B5445" s="1" t="s">
        <v>5424</v>
      </c>
      <c r="C5445" t="str">
        <f>IFERROR(__xludf.DUMMYFUNCTION("GOOGLETRANSLATE(B5445, ""zh"", ""en"")"),"Value for money thick enough for winter wear. ...")</f>
        <v>Value for money thick enough for winter wear. ...</v>
      </c>
    </row>
    <row r="5446">
      <c r="A5446" s="1">
        <v>5.0</v>
      </c>
      <c r="B5446" s="1" t="s">
        <v>5425</v>
      </c>
      <c r="C5446" t="str">
        <f>IFERROR(__xludf.DUMMYFUNCTION("GOOGLETRANSLATE(B5446, ""zh"", ""en"")"),"Winter wear very heat, warm, wearing a little bar attached.")</f>
        <v>Winter wear very heat, warm, wearing a little bar attached.</v>
      </c>
    </row>
    <row r="5447">
      <c r="A5447" s="1">
        <v>5.0</v>
      </c>
      <c r="B5447" s="1" t="s">
        <v>5426</v>
      </c>
      <c r="C5447" t="str">
        <f>IFERROR(__xludf.DUMMYFUNCTION("GOOGLETRANSLATE(B5447, ""zh"", ""en"")"),"Listen to the voices of worship also beautifully elegant DT240 PRO liked classical high school, college bought a second month thanks to the elegant entry-level headset. Work directly on the DT880, Mark Levine CD player, a play that is 10 years. To be hone"&amp;"st listening to pop ya shortcomings temperature worship, listen to music pure worship for non-Ya is not available. This 2-year bought a lot of top-level headphones, the three major European brands have. Not as good as the DT880 DT240 PRO sound field, in a"&amp;"ddition to addition, density resolving power, knot strength are remarkable, good. September 2018 bought DT240 PRO, take his son to listen to Eason Chan. The Value Price Amazon bought himself again to hear. Order No. 9, No. 14 hand, overseas purchase be sp"&amp;"eed. No. 17 can bring a business trip, thanks Amazon!")</f>
        <v>Listen to the voices of worship also beautifully elegant DT240 PRO liked classical high school, college bought a second month thanks to the elegant entry-level headset. Work directly on the DT880, Mark Levine CD player, a play that is 10 years. To be honest listening to pop ya shortcomings temperature worship, listen to music pure worship for non-Ya is not available. This 2-year bought a lot of top-level headphones, the three major European brands have. Not as good as the DT880 DT240 PRO sound field, in addition to addition, density resolving power, knot strength are remarkable, good. September 2018 bought DT240 PRO, take his son to listen to Eason Chan. The Value Price Amazon bought himself again to hear. Order No. 9, No. 14 hand, overseas purchase be speed. No. 17 can bring a business trip, thanks Amazon!</v>
      </c>
    </row>
    <row r="5448">
      <c r="A5448" s="1">
        <v>5.0</v>
      </c>
      <c r="B5448" s="1" t="s">
        <v>5427</v>
      </c>
      <c r="C5448" t="str">
        <f>IFERROR(__xludf.DUMMYFUNCTION("GOOGLETRANSLATE(B5448, ""zh"", ""en"")"),"Champion Men's T-shirt fabric comfortable, soft material, recently popular champion this brand, do not escape into the two, blue is my favorite, about my height 176, weight about 180, are relatively fat, big belly a bit to buy the L code, just right, good"&amp;".")</f>
        <v>Champion Men's T-shirt fabric comfortable, soft material, recently popular champion this brand, do not escape into the two, blue is my favorite, about my height 176, weight about 180, are relatively fat, big belly a bit to buy the L code, just right, good.</v>
      </c>
    </row>
    <row r="5449">
      <c r="A5449" s="1">
        <v>5.0</v>
      </c>
      <c r="B5449" s="1" t="s">
        <v>5428</v>
      </c>
      <c r="C5449" t="str">
        <f>IFERROR(__xludf.DUMMYFUNCTION("GOOGLETRANSLATE(B5449, ""zh"", ""en"")"),"Good solid materials also work as manual procedures and precautions written in great detail construction are written very clearly")</f>
        <v>Good solid materials also work as manual procedures and precautions written in great detail construction are written very clearly</v>
      </c>
    </row>
    <row r="5450">
      <c r="A5450" s="1">
        <v>5.0</v>
      </c>
      <c r="B5450" s="1" t="s">
        <v>5429</v>
      </c>
      <c r="C5450" t="str">
        <f>IFERROR(__xludf.DUMMYFUNCTION("GOOGLETRANSLATE(B5450, ""zh"", ""en"")"),"Very thick, very good points to close the calf a little back, a little bit tight. Other perfect.")</f>
        <v>Very thick, very good points to close the calf a little back, a little bit tight. Other perfect.</v>
      </c>
    </row>
    <row r="5451">
      <c r="A5451" s="1">
        <v>5.0</v>
      </c>
      <c r="B5451" s="1" t="s">
        <v>5430</v>
      </c>
      <c r="C5451" t="str">
        <f>IFERROR(__xludf.DUMMYFUNCTION("GOOGLETRANSLATE(B5451, ""zh"", ""en"")"),"Baia monitor headphones can sound level did not say, three-tone balanced, wearing a period of time, less clip ears.")</f>
        <v>Baia monitor headphones can sound level did not say, three-tone balanced, wearing a period of time, less clip ears.</v>
      </c>
    </row>
    <row r="5452">
      <c r="A5452" s="1">
        <v>2.0</v>
      </c>
      <c r="B5452" s="1" t="s">
        <v>5431</v>
      </c>
      <c r="C5452" t="str">
        <f>IFERROR(__xludf.DUMMYFUNCTION("GOOGLETRANSLATE(B5452, ""zh"", ""en"")"),"Size is too strange, right, S M is greater than many bought two, S code M code is larger than a lot of really no way out :) try when accidentally knocked off the tag also can not back QAQ")</f>
        <v>Size is too strange, right, S M is greater than many bought two, S code M code is larger than a lot of really no way out :) try when accidentally knocked off the tag also can not back QAQ</v>
      </c>
    </row>
    <row r="5453">
      <c r="A5453" s="1">
        <v>3.0</v>
      </c>
      <c r="B5453" s="1" t="s">
        <v>5432</v>
      </c>
      <c r="C5453" t="str">
        <f>IFERROR(__xludf.DUMMYFUNCTION("GOOGLETRANSLATE(B5453, ""zh"", ""en"")"),"Okay No. 17070 basic feeling of fitting slightly larger do not know the trumpet will be more general really fit material")</f>
        <v>Okay No. 17070 basic feeling of fitting slightly larger do not know the trumpet will be more general really fit material</v>
      </c>
    </row>
    <row r="5454">
      <c r="A5454" s="1">
        <v>3.0</v>
      </c>
      <c r="B5454" s="1" t="s">
        <v>5433</v>
      </c>
      <c r="C5454" t="str">
        <f>IFERROR(__xludf.DUMMYFUNCTION("GOOGLETRANSLATE(B5454, ""zh"", ""en"")"),"Or my V23SE good if not JBL entry to monitor domestic 3K one pair will not buy this, effects, and my light cavalry V23SE (5-inch, bought 500 yuan) compared to, or better light cavalry effect, E4.5 , too light, see wire heart is cold, rich or 5 inches, the"&amp;"n it has shrunk this relatively powerful,")</f>
        <v>Or my V23SE good if not JBL entry to monitor domestic 3K one pair will not buy this, effects, and my light cavalry V23SE (5-inch, bought 500 yuan) compared to, or better light cavalry effect, E4.5 , too light, see wire heart is cold, rich or 5 inches, then it has shrunk this relatively powerful,</v>
      </c>
    </row>
    <row r="5455">
      <c r="A5455" s="1">
        <v>3.0</v>
      </c>
      <c r="B5455" s="1" t="s">
        <v>5434</v>
      </c>
      <c r="C5455" t="str">
        <f>IFERROR(__xludf.DUMMYFUNCTION("GOOGLETRANSLATE(B5455, ""zh"", ""en"")"),"Function well, jitter serious shake severe, the machine can run the floor and when the plane back and forth")</f>
        <v>Function well, jitter serious shake severe, the machine can run the floor and when the plane back and forth</v>
      </c>
    </row>
    <row r="5456">
      <c r="A5456" s="1">
        <v>1.0</v>
      </c>
      <c r="B5456" s="1" t="s">
        <v>5435</v>
      </c>
      <c r="C5456" t="str">
        <f>IFERROR(__xludf.DUMMYFUNCTION("GOOGLETRANSLATE(B5456, ""zh"", ""en"")"),"Poor quality poor quality, as if years ago, the backlog of goods!")</f>
        <v>Poor quality poor quality, as if years ago, the backlog of goods!</v>
      </c>
    </row>
    <row r="5457">
      <c r="A5457" s="1">
        <v>1.0</v>
      </c>
      <c r="B5457" s="1" t="s">
        <v>5436</v>
      </c>
      <c r="C5457" t="str">
        <f>IFERROR(__xludf.DUMMYFUNCTION("GOOGLETRANSLATE(B5457, ""zh"", ""en"")"),"The probability of rollover vomiting blood! Apart, and installed on the computer, even the hosts are not open, life back! Shell also demolished bad! What d port power supply, 3 feet shielding are used, useless, stupid and now stood 8t of the two!")</f>
        <v>The probability of rollover vomiting blood! Apart, and installed on the computer, even the hosts are not open, life back! Shell also demolished bad! What d port power supply, 3 feet shielding are used, useless, stupid and now stood 8t of the two!</v>
      </c>
    </row>
    <row r="5458">
      <c r="A5458" s="1">
        <v>1.0</v>
      </c>
      <c r="B5458" s="1" t="s">
        <v>5437</v>
      </c>
      <c r="C5458" t="str">
        <f>IFERROR(__xludf.DUMMYFUNCTION("GOOGLETRANSLATE(B5458, ""zh"", ""en"")"),"Express has spread receive a package like this, right?")</f>
        <v>Express has spread receive a package like this, right?</v>
      </c>
    </row>
    <row r="5459">
      <c r="A5459" s="1">
        <v>4.0</v>
      </c>
      <c r="B5459" s="1" t="s">
        <v>5438</v>
      </c>
      <c r="C5459" t="str">
        <f>IFERROR(__xludf.DUMMYFUNCTION("GOOGLETRANSLATE(B5459, ""zh"", ""en"")"),"There vamp shoes stuttered a country has been 39, which is double 6uk, 39.5 shoes a little tight wearing only stockings, a long time instep little pressure, not belch foot, upper slightly flawed")</f>
        <v>There vamp shoes stuttered a country has been 39, which is double 6uk, 39.5 shoes a little tight wearing only stockings, a long time instep little pressure, not belch foot, upper slightly flawed</v>
      </c>
    </row>
    <row r="5460">
      <c r="A5460" s="1">
        <v>4.0</v>
      </c>
      <c r="B5460" s="1" t="s">
        <v>5439</v>
      </c>
      <c r="C5460" t="str">
        <f>IFERROR(__xludf.DUMMYFUNCTION("GOOGLETRANSLATE(B5460, ""zh"", ""en"")"),"Materials and comfortable to wear nice black wild foreigner may be integrated with the domestic not the same pants too large")</f>
        <v>Materials and comfortable to wear nice black wild foreigner may be integrated with the domestic not the same pants too large</v>
      </c>
    </row>
    <row r="5461">
      <c r="A5461" s="1">
        <v>4.0</v>
      </c>
      <c r="B5461" s="1" t="s">
        <v>5440</v>
      </c>
      <c r="C5461" t="str">
        <f>IFERROR(__xludf.DUMMYFUNCTION("GOOGLETRANSLATE(B5461, ""zh"", ""en"")"),"Small, buy CK jeans 2 or 4 before substantially no elasticity, the small, substantially no elastic")</f>
        <v>Small, buy CK jeans 2 or 4 before substantially no elasticity, the small, substantially no elastic</v>
      </c>
    </row>
    <row r="5462">
      <c r="A5462" s="1">
        <v>4.0</v>
      </c>
      <c r="B5462" s="1" t="s">
        <v>5441</v>
      </c>
      <c r="C5462" t="str">
        <f>IFERROR(__xludf.DUMMYFUNCTION("GOOGLETRANSLATE(B5462, ""zh"", ""en"")"),"Relatively high maintenance of good quality. But heavy. Use requires more attention. Feel should not buy. I use it to do the dishes. It does not seem to improve the taste of food.")</f>
        <v>Relatively high maintenance of good quality. But heavy. Use requires more attention. Feel should not buy. I use it to do the dishes. It does not seem to improve the taste of food.</v>
      </c>
    </row>
    <row r="5463">
      <c r="A5463" s="1">
        <v>5.0</v>
      </c>
      <c r="B5463" s="1" t="s">
        <v>5442</v>
      </c>
      <c r="C5463" t="str">
        <f>IFERROR(__xludf.DUMMYFUNCTION("GOOGLETRANSLATE(B5463, ""zh"", ""en"")"),"This high cost price, this capacity, fast delivery speed, what's not in it")</f>
        <v>This high cost price, this capacity, fast delivery speed, what's not in it</v>
      </c>
    </row>
    <row r="5464">
      <c r="A5464" s="1">
        <v>5.0</v>
      </c>
      <c r="B5464" s="1" t="s">
        <v>5443</v>
      </c>
      <c r="C5464" t="str">
        <f>IFERROR(__xludf.DUMMYFUNCTION("GOOGLETRANSLATE(B5464, ""zh"", ""en"")"),"Good value for money twenty-four hours water is warm, there is no leak, is good")</f>
        <v>Good value for money twenty-four hours water is warm, there is no leak, is good</v>
      </c>
    </row>
    <row r="5465">
      <c r="A5465" s="1">
        <v>5.0</v>
      </c>
      <c r="B5465" s="1" t="s">
        <v>5444</v>
      </c>
      <c r="C5465" t="str">
        <f>IFERROR(__xludf.DUMMYFUNCTION("GOOGLETRANSLATE(B5465, ""zh"", ""en"")"),"Items are very satisfied with the quality of the insulation effect is very good, very good quality cup, Japanese technology commendable")</f>
        <v>Items are very satisfied with the quality of the insulation effect is very good, very good quality cup, Japanese technology commendable</v>
      </c>
    </row>
    <row r="5466">
      <c r="A5466" s="1">
        <v>5.0</v>
      </c>
      <c r="B5466" s="1" t="s">
        <v>5445</v>
      </c>
      <c r="C5466" t="str">
        <f>IFERROR(__xludf.DUMMYFUNCTION("GOOGLETRANSLATE(B5466, ""zh"", ""en"")"),"Is too large, then you can feel a little number is too large, the material is also more comfortable")</f>
        <v>Is too large, then you can feel a little number is too large, the material is also more comfortable</v>
      </c>
    </row>
    <row r="5467">
      <c r="A5467" s="1">
        <v>5.0</v>
      </c>
      <c r="B5467" s="1" t="s">
        <v>5446</v>
      </c>
      <c r="C5467" t="str">
        <f>IFERROR(__xludf.DUMMYFUNCTION("GOOGLETRANSLATE(B5467, ""zh"", ""en"")"),"Satisfied, because the championship is long sleeves so I chose a larger size, you can set a dress to wear in spring and autumn inside. Like Mr. Blue decisively the order. Feel good hope not pilling")</f>
        <v>Satisfied, because the championship is long sleeves so I chose a larger size, you can set a dress to wear in spring and autumn inside. Like Mr. Blue decisively the order. Feel good hope not pilling</v>
      </c>
    </row>
    <row r="5468">
      <c r="A5468" s="1">
        <v>5.0</v>
      </c>
      <c r="B5468" s="1" t="s">
        <v>5447</v>
      </c>
      <c r="C5468" t="str">
        <f>IFERROR(__xludf.DUMMYFUNCTION("GOOGLETRANSLATE(B5468, ""zh"", ""en"")"),"Not good at shaping the nose strip, baby it is easy to fall down a talk, in general, still very good 👍")</f>
        <v>Not good at shaping the nose strip, baby it is easy to fall down a talk, in general, still very good 👍</v>
      </c>
    </row>
    <row r="5469">
      <c r="A5469" s="1">
        <v>5.0</v>
      </c>
      <c r="B5469" s="1" t="s">
        <v>5448</v>
      </c>
      <c r="C5469" t="str">
        <f>IFERROR(__xludf.DUMMYFUNCTION("GOOGLETRANSLATE(B5469, ""zh"", ""en"")"),"Amazon trust the quality is very good! So far away, only the original packaging of goods, there is no additional protection, but still intact! I really admire! The lowest whole network, but the product is really good, trust Amazon")</f>
        <v>Amazon trust the quality is very good! So far away, only the original packaging of goods, there is no additional protection, but still intact! I really admire! The lowest whole network, but the product is really good, trust Amazon</v>
      </c>
    </row>
    <row r="5470">
      <c r="A5470" s="1">
        <v>5.0</v>
      </c>
      <c r="B5470" s="1" t="s">
        <v>5449</v>
      </c>
      <c r="C5470" t="str">
        <f>IFERROR(__xludf.DUMMYFUNCTION("GOOGLETRANSLATE(B5470, ""zh"", ""en"")"),"It is worth to buy very favorable than the domestic price and reliable quality logistics fast ......")</f>
        <v>It is worth to buy very favorable than the domestic price and reliable quality logistics fast ......</v>
      </c>
    </row>
    <row r="5471">
      <c r="A5471" s="1">
        <v>5.0</v>
      </c>
      <c r="B5471" s="1" t="s">
        <v>5450</v>
      </c>
      <c r="C5471" t="str">
        <f>IFERROR(__xludf.DUMMYFUNCTION("GOOGLETRANSLATE(B5471, ""zh"", ""en"")"),"There are benefits for children heard people say that children need so buy!")</f>
        <v>There are benefits for children heard people say that children need so buy!</v>
      </c>
    </row>
    <row r="5472">
      <c r="A5472" s="1">
        <v>5.0</v>
      </c>
      <c r="B5472" s="1" t="s">
        <v>5451</v>
      </c>
      <c r="C5472" t="str">
        <f>IFERROR(__xludf.DUMMYFUNCTION("GOOGLETRANSLATE(B5472, ""zh"", ""en"")"),"Comfortable, comfortable cotton, wear very comfortable, especially the mid-range design, the second child ""bend"" easy out yo")</f>
        <v>Comfortable, comfortable cotton, wear very comfortable, especially the mid-range design, the second child "bend" easy out yo</v>
      </c>
    </row>
    <row r="5473">
      <c r="A5473" s="1">
        <v>5.0</v>
      </c>
      <c r="B5473" s="1" t="s">
        <v>5452</v>
      </c>
      <c r="C5473" t="str">
        <f>IFERROR(__xludf.DUMMYFUNCTION("GOOGLETRANSLATE(B5473, ""zh"", ""en"")"),"Comfortable, northern winter there is not thin cashmere, cashmere socks Japan is also very very thin kind, which will wear warm winter could not pass a northern winter")</f>
        <v>Comfortable, northern winter there is not thin cashmere, cashmere socks Japan is also very very thin kind, which will wear warm winter could not pass a northern winter</v>
      </c>
    </row>
    <row r="5474">
      <c r="A5474" s="1">
        <v>5.0</v>
      </c>
      <c r="B5474" s="1" t="s">
        <v>5453</v>
      </c>
      <c r="C5474" t="str">
        <f>IFERROR(__xludf.DUMMYFUNCTION("GOOGLETRANSLATE(B5474, ""zh"", ""en"")"),"Good is very fast, one week to one. Shoes quite bomb, good shock absorption. Have your truth ah")</f>
        <v>Good is very fast, one week to one. Shoes quite bomb, good shock absorption. Have your truth ah</v>
      </c>
    </row>
    <row r="5475">
      <c r="A5475" s="1">
        <v>5.0</v>
      </c>
      <c r="B5475" s="1" t="s">
        <v>5454</v>
      </c>
      <c r="C5475" t="str">
        <f>IFERROR(__xludf.DUMMYFUNCTION("GOOGLETRANSLATE(B5475, ""zh"", ""en"")"),"Narrow instep low comfortable shoes intolerance entire paragraph long, low models instep, foot wear seems very delicate. Wrapped feet very comfortable. 37.5 yards feet, wearing 4.5uk's completely different, length and forefoot are comfortable, just feel a"&amp;" little at Le instep. Comfortable walking home do not want to take off.")</f>
        <v>Narrow instep low comfortable shoes intolerance entire paragraph long, low models instep, foot wear seems very delicate. Wrapped feet very comfortable. 37.5 yards feet, wearing 4.5uk's completely different, length and forefoot are comfortable, just feel a little at Le instep. Comfortable walking home do not want to take off.</v>
      </c>
    </row>
    <row r="5476">
      <c r="A5476" s="1">
        <v>5.0</v>
      </c>
      <c r="B5476" s="1" t="s">
        <v>5455</v>
      </c>
      <c r="C5476" t="str">
        <f>IFERROR(__xludf.DUMMYFUNCTION("GOOGLETRANSLATE(B5476, ""zh"", ""en"")"),"Worth buying, and the same size shoes is very good, price concessions, classic style. Very good match")</f>
        <v>Worth buying, and the same size shoes is very good, price concessions, classic style. Very good match</v>
      </c>
    </row>
    <row r="5477">
      <c r="A5477" s="1">
        <v>5.0</v>
      </c>
      <c r="B5477" s="1" t="s">
        <v>5456</v>
      </c>
      <c r="C5477" t="str">
        <f>IFERROR(__xludf.DUMMYFUNCTION("GOOGLETRANSLATE(B5477, ""zh"", ""en"")"),"It looks okay wins at lightweight. General appearance, but very light. You can buy most of the code to one yards, soles hard, pad insole just one.")</f>
        <v>It looks okay wins at lightweight. General appearance, but very light. You can buy most of the code to one yards, soles hard, pad insole just one.</v>
      </c>
    </row>
    <row r="5478">
      <c r="A5478" s="1">
        <v>5.0</v>
      </c>
      <c r="B5478" s="1" t="s">
        <v>5457</v>
      </c>
      <c r="C5478" t="str">
        <f>IFERROR(__xludf.DUMMYFUNCTION("GOOGLETRANSLATE(B5478, ""zh"", ""en"")"),"Well, some large and long, thick cotton is considered pretty good, should be more wash more comfortable with it")</f>
        <v>Well, some large and long, thick cotton is considered pretty good, should be more wash more comfortable with it</v>
      </c>
    </row>
    <row r="5479">
      <c r="A5479" s="1">
        <v>5.0</v>
      </c>
      <c r="B5479" s="1" t="s">
        <v>5458</v>
      </c>
      <c r="C5479" t="str">
        <f>IFERROR(__xludf.DUMMYFUNCTION("GOOGLETRANSLATE(B5479, ""zh"", ""en"")"),"Underwear is very comfortable to wear on the body, but there is a problem cup")</f>
        <v>Underwear is very comfortable to wear on the body, but there is a problem cup</v>
      </c>
    </row>
    <row r="5480">
      <c r="A5480" s="1">
        <v>5.0</v>
      </c>
      <c r="B5480" s="1" t="s">
        <v>5459</v>
      </c>
      <c r="C5480" t="str">
        <f>IFERROR(__xludf.DUMMYFUNCTION("GOOGLETRANSLATE(B5480, ""zh"", ""en"")"),"Good code is very positive, wearing handsome shoes")</f>
        <v>Good code is very positive, wearing handsome shoes</v>
      </c>
    </row>
    <row r="5481">
      <c r="A5481" s="1">
        <v>5.0</v>
      </c>
      <c r="B5481" s="1" t="s">
        <v>5460</v>
      </c>
      <c r="C5481" t="str">
        <f>IFERROR(__xludf.DUMMYFUNCTION("GOOGLETRANSLATE(B5481, ""zh"", ""en"")"),"Very good very good, treble brightly lit.")</f>
        <v>Very good very good, treble brightly lit.</v>
      </c>
    </row>
    <row r="5482">
      <c r="A5482" s="1">
        <v>5.0</v>
      </c>
      <c r="B5482" s="1" t="s">
        <v>5461</v>
      </c>
      <c r="C5482" t="str">
        <f>IFERROR(__xludf.DUMMYFUNCTION("GOOGLETRANSLATE(B5482, ""zh"", ""en"")"),"Especially comfortable shoes especially comfortable shoes, foot feeling class, leather shoes is not very bright, a little wrinkled, do not look acceptable. 38 fat Ouma bought 37.5 feet, I feel very relaxed.")</f>
        <v>Especially comfortable shoes especially comfortable shoes, foot feeling class, leather shoes is not very bright, a little wrinkled, do not look acceptable. 38 fat Ouma bought 37.5 feet, I feel very relaxed.</v>
      </c>
    </row>
    <row r="5483">
      <c r="A5483" s="1">
        <v>5.0</v>
      </c>
      <c r="B5483" s="1" t="s">
        <v>5462</v>
      </c>
      <c r="C5483" t="str">
        <f>IFERROR(__xludf.DUMMYFUNCTION("GOOGLETRANSLATE(B5483, ""zh"", ""en"")"),"Very good very very very cute kind look better than the picture quality is also very good")</f>
        <v>Very good very very very cute kind look better than the picture quality is also very good</v>
      </c>
    </row>
    <row r="5484">
      <c r="A5484" s="1">
        <v>5.0</v>
      </c>
      <c r="B5484" s="1" t="s">
        <v>5463</v>
      </c>
      <c r="C5484" t="str">
        <f>IFERROR(__xludf.DUMMYFUNCTION("GOOGLETRANSLATE(B5484, ""zh"", ""en"")"),"Cold is easy to use regulations of Japan, Japan's mug provisions for children are cold. In fact mug on domestic ordinary sense. Winter child with a very convenient, not too cold water.")</f>
        <v>Cold is easy to use regulations of Japan, Japan's mug provisions for children are cold. In fact mug on domestic ordinary sense. Winter child with a very convenient, not too cold water.</v>
      </c>
    </row>
    <row r="5485">
      <c r="A5485" s="1">
        <v>2.0</v>
      </c>
      <c r="B5485" s="1" t="s">
        <v>5464</v>
      </c>
      <c r="C5485" t="str">
        <f>IFERROR(__xludf.DUMMYFUNCTION("GOOGLETRANSLATE(B5485, ""zh"", ""en"")"),"Defective shoes look great, but have been very happy! Why have to sit down only to find the side of the shoe toe is wrinkled! Ugly! Ugly uncomfortable simply defective A Xiba!")</f>
        <v>Defective shoes look great, but have been very happy! Why have to sit down only to find the side of the shoe toe is wrinkled! Ugly! Ugly uncomfortable simply defective A Xiba!</v>
      </c>
    </row>
    <row r="5486">
      <c r="A5486" s="1">
        <v>3.0</v>
      </c>
      <c r="B5486" s="1" t="s">
        <v>5465</v>
      </c>
      <c r="C5486" t="str">
        <f>IFERROR(__xludf.DUMMYFUNCTION("GOOGLETRANSLATE(B5486, ""zh"", ""en"")"),"Very good size okay, what the hell this wide belt tight, difficult to use, quality is like, if you buy 80 or less, the price is okay")</f>
        <v>Very good size okay, what the hell this wide belt tight, difficult to use, quality is like, if you buy 80 or less, the price is okay</v>
      </c>
    </row>
    <row r="5487">
      <c r="A5487" s="1">
        <v>3.0</v>
      </c>
      <c r="B5487" s="1" t="s">
        <v>5466</v>
      </c>
      <c r="C5487" t="str">
        <f>IFERROR(__xludf.DUMMYFUNCTION("GOOGLETRANSLATE(B5487, ""zh"", ""en"")"),"Bad bad has a very strong plastic smell, not recommended")</f>
        <v>Bad bad has a very strong plastic smell, not recommended</v>
      </c>
    </row>
    <row r="5488">
      <c r="A5488" s="1">
        <v>3.0</v>
      </c>
      <c r="B5488" s="1" t="s">
        <v>5467</v>
      </c>
      <c r="C5488" t="str">
        <f>IFERROR(__xludf.DUMMYFUNCTION("GOOGLETRANSLATE(B5488, ""zh"", ""en"")"),"Price overpaid, other possible price overpaid, the other can")</f>
        <v>Price overpaid, other possible price overpaid, the other can</v>
      </c>
    </row>
    <row r="5489">
      <c r="A5489" s="1">
        <v>1.0</v>
      </c>
      <c r="B5489" s="1" t="s">
        <v>5468</v>
      </c>
      <c r="C5489" t="str">
        <f>IFERROR(__xludf.DUMMYFUNCTION("GOOGLETRANSLATE(B5489, ""zh"", ""en"")"),"Color has been uneven size is too small to buy a brand here, but this really does not work, the colors are uneven, some places gray. LL bought the normal will not be small, a lot of these sections, more than 167 recommendations do not buy.")</f>
        <v>Color has been uneven size is too small to buy a brand here, but this really does not work, the colors are uneven, some places gray. LL bought the normal will not be small, a lot of these sections, more than 167 recommendations do not buy.</v>
      </c>
    </row>
    <row r="5490">
      <c r="A5490" s="1">
        <v>1.0</v>
      </c>
      <c r="B5490" s="1" t="s">
        <v>5469</v>
      </c>
      <c r="C5490" t="str">
        <f>IFERROR(__xludf.DUMMYFUNCTION("GOOGLETRANSLATE(B5490, ""zh"", ""en"")"),"Not easy to crack resin ah, good tail on the pen crack a very small cracks, so expensive stuff, M sharp or too thick, not recommended to buy")</f>
        <v>Not easy to crack resin ah, good tail on the pen crack a very small cracks, so expensive stuff, M sharp or too thick, not recommended to buy</v>
      </c>
    </row>
    <row r="5491">
      <c r="A5491" s="1">
        <v>4.0</v>
      </c>
      <c r="B5491" s="1" t="s">
        <v>5470</v>
      </c>
      <c r="C5491" t="str">
        <f>IFERROR(__xludf.DUMMYFUNCTION("GOOGLETRANSLATE(B5491, ""zh"", ""en"")"),"Style is also good too afraid to buy the S number, the result of wearing a little tight (but fortunately, the clothes a little elasticity), but fortunately, not buttoning a shirt, buttoned tight there is obviously out of line. High 160, weight 112, to be "&amp;"a reference. Pocket small enough to hold the phone (7p)")</f>
        <v>Style is also good too afraid to buy the S number, the result of wearing a little tight (but fortunately, the clothes a little elasticity), but fortunately, not buttoning a shirt, buttoned tight there is obviously out of line. High 160, weight 112, to be a reference. Pocket small enough to hold the phone (7p)</v>
      </c>
    </row>
    <row r="5492">
      <c r="A5492" s="1">
        <v>4.0</v>
      </c>
      <c r="B5492" s="1" t="s">
        <v>5471</v>
      </c>
      <c r="C5492" t="str">
        <f>IFERROR(__xludf.DUMMYFUNCTION("GOOGLETRANSLATE(B5492, ""zh"", ""en"")"),"Good price high quality, low price, good price")</f>
        <v>Good price high quality, low price, good price</v>
      </c>
    </row>
    <row r="5493">
      <c r="A5493" s="1">
        <v>4.0</v>
      </c>
      <c r="B5493" s="1" t="s">
        <v>5472</v>
      </c>
      <c r="C5493" t="str">
        <f>IFERROR(__xludf.DUMMYFUNCTION("GOOGLETRANSLATE(B5493, ""zh"", ""en"")"),"Shoes, texture is very good, very comfortable fabrics, soles a little thin")</f>
        <v>Shoes, texture is very good, very comfortable fabrics, soles a little thin</v>
      </c>
    </row>
    <row r="5494">
      <c r="A5494" s="1">
        <v>4.0</v>
      </c>
      <c r="B5494" s="1" t="s">
        <v>5473</v>
      </c>
      <c r="C5494" t="str">
        <f>IFERROR(__xludf.DUMMYFUNCTION("GOOGLETRANSLATE(B5494, ""zh"", ""en"")"),"Size allowed more fat because I bought this pair of jeans, but wear clothing with loose pants, the way to the Amazon the size is not very accurate, but what version are also very good plus replacement trouble on the left , it is recommended to buy a littl"&amp;"e small.")</f>
        <v>Size allowed more fat because I bought this pair of jeans, but wear clothing with loose pants, the way to the Amazon the size is not very accurate, but what version are also very good plus replacement trouble on the left , it is recommended to buy a little small.</v>
      </c>
    </row>
    <row r="5495">
      <c r="A5495" s="1">
        <v>4.0</v>
      </c>
      <c r="B5495" s="1" t="s">
        <v>5474</v>
      </c>
      <c r="C5495" t="str">
        <f>IFERROR(__xludf.DUMMYFUNCTION("GOOGLETRANSLATE(B5495, ""zh"", ""en"")"),"Good work flawed, knobs and body are misplaced, the base is also flawed, but much cheaper, it does not matter")</f>
        <v>Good work flawed, knobs and body are misplaced, the base is also flawed, but much cheaper, it does not matter</v>
      </c>
    </row>
    <row r="5496">
      <c r="A5496" s="1">
        <v>5.0</v>
      </c>
      <c r="B5496" s="1" t="s">
        <v>5475</v>
      </c>
      <c r="C5496" t="str">
        <f>IFERROR(__xludf.DUMMYFUNCTION("GOOGLETRANSLATE(B5496, ""zh"", ""en"")"),"~ Very good use for a year, is no problem.")</f>
        <v>~ Very good use for a year, is no problem.</v>
      </c>
    </row>
    <row r="5497">
      <c r="A5497" s="1">
        <v>5.0</v>
      </c>
      <c r="B5497" s="1" t="s">
        <v>5476</v>
      </c>
      <c r="C5497" t="str">
        <f>IFERROR(__xludf.DUMMYFUNCTION("GOOGLETRANSLATE(B5497, ""zh"", ""en"")"),"Very good very good, looking very strong.")</f>
        <v>Very good very good, looking very strong.</v>
      </c>
    </row>
    <row r="5498">
      <c r="A5498" s="1">
        <v>5.0</v>
      </c>
      <c r="B5498" s="1" t="s">
        <v>5477</v>
      </c>
      <c r="C5498" t="str">
        <f>IFERROR(__xludf.DUMMYFUNCTION("GOOGLETRANSLATE(B5498, ""zh"", ""en"")"),"Good fabric styles are very good pants, low rise, fall and winter wear no problem. It is sent too wrinkled")</f>
        <v>Good fabric styles are very good pants, low rise, fall and winter wear no problem. It is sent too wrinkled</v>
      </c>
    </row>
    <row r="5499">
      <c r="A5499" s="1">
        <v>5.0</v>
      </c>
      <c r="B5499" s="1" t="s">
        <v>5478</v>
      </c>
      <c r="C5499" t="str">
        <f>IFERROR(__xludf.DUMMYFUNCTION("GOOGLETRANSLATE(B5499, ""zh"", ""en"")"),"Very satisfied. Very satisfied. The domestic version of casual pants are tight, accidentally discovered the Amazon have my favorite style, the price is very cost-effective. 70KG, waist 89CM, Chinese long pants 106CM, 32 * 30 completely different very fit,"&amp;" the waist slightly larger (just like loose version of the type), just long pants. But I do not know why, a little sticky ash, while domestic non-stick gray cotton slacks.")</f>
        <v>Very satisfied. Very satisfied. The domestic version of casual pants are tight, accidentally discovered the Amazon have my favorite style, the price is very cost-effective. 70KG, waist 89CM, Chinese long pants 106CM, 32 * 30 completely different very fit, the waist slightly larger (just like loose version of the type), just long pants. But I do not know why, a little sticky ash, while domestic non-stick gray cotton slacks.</v>
      </c>
    </row>
    <row r="5500">
      <c r="A5500" s="1">
        <v>5.0</v>
      </c>
      <c r="B5500" s="1" t="s">
        <v>5479</v>
      </c>
      <c r="C5500" t="str">
        <f>IFERROR(__xludf.DUMMYFUNCTION("GOOGLETRANSLATE(B5500, ""zh"", ""en"")"),"Very good very good to go very accurate style is also good-looking")</f>
        <v>Very good very good to go very accurate style is also good-looking</v>
      </c>
    </row>
    <row r="5501">
      <c r="A5501" s="1">
        <v>5.0</v>
      </c>
      <c r="B5501" s="1" t="s">
        <v>5480</v>
      </c>
      <c r="C5501" t="str">
        <f>IFERROR(__xludf.DUMMYFUNCTION("GOOGLETRANSLATE(B5501, ""zh"", ""en"")"),"It is worth buying cheap, I buy two. And the quality of my G-SHOCK similar, but the price difference between a zero")</f>
        <v>It is worth buying cheap, I buy two. And the quality of my G-SHOCK similar, but the price difference between a zero</v>
      </c>
    </row>
    <row r="5502">
      <c r="A5502" s="1">
        <v>5.0</v>
      </c>
      <c r="B5502" s="1" t="s">
        <v>5481</v>
      </c>
      <c r="C5502" t="str">
        <f>IFERROR(__xludf.DUMMYFUNCTION("GOOGLETRANSLATE(B5502, ""zh"", ""en"")"),"Praise! Fit the description, but also super-fast delivery!")</f>
        <v>Praise! Fit the description, but also super-fast delivery!</v>
      </c>
    </row>
    <row r="5503">
      <c r="A5503" s="1">
        <v>5.0</v>
      </c>
      <c r="B5503" s="1" t="s">
        <v>5482</v>
      </c>
      <c r="C5503" t="str">
        <f>IFERROR(__xludf.DUMMYFUNCTION("GOOGLETRANSLATE(B5503, ""zh"", ""en"")"),"Very good thermal insulation effect, at least 6 hours or more to keep warm")</f>
        <v>Very good thermal insulation effect, at least 6 hours or more to keep warm</v>
      </c>
    </row>
    <row r="5504">
      <c r="A5504" s="1">
        <v>5.0</v>
      </c>
      <c r="B5504" s="1" t="s">
        <v>5483</v>
      </c>
      <c r="C5504" t="str">
        <f>IFERROR(__xludf.DUMMYFUNCTION("GOOGLETRANSLATE(B5504, ""zh"", ""en"")"),"Good to my father bought my father liked.")</f>
        <v>Good to my father bought my father liked.</v>
      </c>
    </row>
    <row r="5505">
      <c r="A5505" s="1">
        <v>5.0</v>
      </c>
      <c r="B5505" s="1" t="s">
        <v>5484</v>
      </c>
      <c r="C5505" t="str">
        <f>IFERROR(__xludf.DUMMYFUNCTION("GOOGLETRANSLATE(B5505, ""zh"", ""en"")"),"Stuff is good stuff is good very appropriate")</f>
        <v>Stuff is good stuff is good very appropriate</v>
      </c>
    </row>
    <row r="5506">
      <c r="A5506" s="1">
        <v>5.0</v>
      </c>
      <c r="B5506" s="1" t="s">
        <v>5485</v>
      </c>
      <c r="C5506" t="str">
        <f>IFERROR(__xludf.DUMMYFUNCTION("GOOGLETRANSLATE(B5506, ""zh"", ""en"")"),"Express package, the size of the bowl &lt;div id = ""video-block-R2P09B942TFCVF"" class = ""a-section a-spacing-small a-spacing-top-mini video-block""&gt; &lt;/ div&gt; &lt;input type = ""hidden ""name ="" ""value ="" https://images-cn.ssl-images-amazon.com/images/I/A18"&amp;"lkx5GgxS.mp4 ""class ="" video-url ""&gt; &lt;input type ="" hidden ""name ="" ""value ="" https://images-cn.ssl-images-amazon.com/images/I/71nUZ-BiXmS.png ""class ="" video-slate-img-url ""&gt; &amp; nbsp; the Lucy garden very fine bone china bowl. Courier packaging "&amp;"is very professional, no damage. Open the box, gift box is a cylindrical bowl on the inside, a lot of measures to prevent damage, very good. The bowl is very suitable to eat with, Wanbian wavy design, a bit modern design.")</f>
        <v>Express package, the size of the bowl &lt;div id = "video-block-R2P09B942TFCVF" class = "a-section a-spacing-small a-spacing-top-mini video-block"&gt; &lt;/ div&gt; &lt;input type = "hidden "name =" "value =" https://images-cn.ssl-images-amazon.com/images/I/A18lkx5GgxS.mp4 "class =" video-url "&gt; &lt;input type =" hidden "name =" "value =" https://images-cn.ssl-images-amazon.com/images/I/71nUZ-BiXmS.png "class =" video-slate-img-url "&gt; &amp; nbsp; the Lucy garden very fine bone china bowl. Courier packaging is very professional, no damage. Open the box, gift box is a cylindrical bowl on the inside, a lot of measures to prevent damage, very good. The bowl is very suitable to eat with, Wanbian wavy design, a bit modern design.</v>
      </c>
    </row>
    <row r="5507">
      <c r="A5507" s="1">
        <v>5.0</v>
      </c>
      <c r="B5507" s="1" t="s">
        <v>5486</v>
      </c>
      <c r="C5507" t="str">
        <f>IFERROR(__xludf.DUMMYFUNCTION("GOOGLETRANSLATE(B5507, ""zh"", ""en"")"),"Something very good, very good use. Just to see there are promotions, on the next one to buy, the price is very affordable, good quality stuff, very good!")</f>
        <v>Something very good, very good use. Just to see there are promotions, on the next one to buy, the price is very affordable, good quality stuff, very good!</v>
      </c>
    </row>
    <row r="5508">
      <c r="A5508" s="1">
        <v>5.0</v>
      </c>
      <c r="B5508" s="1" t="s">
        <v>5487</v>
      </c>
      <c r="C5508" t="str">
        <f>IFERROR(__xludf.DUMMYFUNCTION("GOOGLETRANSLATE(B5508, ""zh"", ""en"")"),"GOOD stockpile has not been in use, the US direct mail very fast and convenient, the price is very appropriate, but unfortunately can only buy a single one")</f>
        <v>GOOD stockpile has not been in use, the US direct mail very fast and convenient, the price is very appropriate, but unfortunately can only buy a single one</v>
      </c>
    </row>
    <row r="5509">
      <c r="A5509" s="1">
        <v>5.0</v>
      </c>
      <c r="B5509" s="1" t="s">
        <v>5488</v>
      </c>
      <c r="C5509" t="str">
        <f>IFERROR(__xludf.DUMMYFUNCTION("GOOGLETRANSLATE(B5509, ""zh"", ""en"")"),"It has been good every year to buy a few, really good, than many domestic brands much stronger, very comfortable")</f>
        <v>It has been good every year to buy a few, really good, than many domestic brands much stronger, very comfortable</v>
      </c>
    </row>
    <row r="5510">
      <c r="A5510" s="1">
        <v>5.0</v>
      </c>
      <c r="B5510" s="1" t="s">
        <v>5489</v>
      </c>
      <c r="C5510" t="str">
        <f>IFERROR(__xludf.DUMMYFUNCTION("GOOGLETRANSLATE(B5510, ""zh"", ""en"")"),"Clothes Clothes quality, workmanship are good. good looking")</f>
        <v>Clothes Clothes quality, workmanship are good. good looking</v>
      </c>
    </row>
    <row r="5511">
      <c r="A5511" s="1">
        <v>5.0</v>
      </c>
      <c r="B5511" s="1" t="s">
        <v>5490</v>
      </c>
      <c r="C5511" t="str">
        <f>IFERROR(__xludf.DUMMYFUNCTION("GOOGLETRANSLATE(B5511, ""zh"", ""en"")"),"Yes, when the QQ candy. . And his wife bought a snack to eat. .")</f>
        <v>Yes, when the QQ candy. . And his wife bought a snack to eat. .</v>
      </c>
    </row>
    <row r="5512">
      <c r="A5512" s="1">
        <v>5.0</v>
      </c>
      <c r="B5512" s="1" t="s">
        <v>5491</v>
      </c>
      <c r="C5512" t="str">
        <f>IFERROR(__xludf.DUMMYFUNCTION("GOOGLETRANSLATE(B5512, ""zh"", ""en"")"),"Nice casual cotton sweater line with introduction and commentary, in line with expectations. 176/60 kg, s code fit a little loose, thickness moderate, a good work style. Kind of chest standard is white pony, a little big contrast, inconsistent with the pi"&amp;"cture.")</f>
        <v>Nice casual cotton sweater line with introduction and commentary, in line with expectations. 176/60 kg, s code fit a little loose, thickness moderate, a good work style. Kind of chest standard is white pony, a little big contrast, inconsistent with the picture.</v>
      </c>
    </row>
    <row r="5513">
      <c r="A5513" s="1">
        <v>5.0</v>
      </c>
      <c r="B5513" s="1" t="s">
        <v>5492</v>
      </c>
      <c r="C5513" t="str">
        <f>IFERROR(__xludf.DUMMYFUNCTION("GOOGLETRANSLATE(B5513, ""zh"", ""en"")"),"Damping effect is very satisfied with the usual 75C, 34B this quite right, there is no picture beautiful color, wins in affordable, fidelity")</f>
        <v>Damping effect is very satisfied with the usual 75C, 34B this quite right, there is no picture beautiful color, wins in affordable, fidelity</v>
      </c>
    </row>
    <row r="5514">
      <c r="A5514" s="1">
        <v>5.0</v>
      </c>
      <c r="B5514" s="1" t="s">
        <v>5493</v>
      </c>
      <c r="C5514" t="str">
        <f>IFERROR(__xludf.DUMMYFUNCTION("GOOGLETRANSLATE(B5514, ""zh"", ""en"")"),"It can buy shoes a little big, it should be less than half yards right, I asked to find purchasing more than five hundred, five hundred on the daily Lotte is, Taobao Lynx is also more than four hundred or more, Amazon this is really affordable. No wonder "&amp;"sales of the first. I think it is because of increased curvature of the shoe is not very good, not as like other sports shoes more comfortable, but the memory insole is still possible, wear good-looking, but also easy to take the clothes. To be moved, the"&amp;"n buy another better, take this everyday clothes on it. It is recommended to buy")</f>
        <v>It can buy shoes a little big, it should be less than half yards right, I asked to find purchasing more than five hundred, five hundred on the daily Lotte is, Taobao Lynx is also more than four hundred or more, Amazon this is really affordable. No wonder sales of the first. I think it is because of increased curvature of the shoe is not very good, not as like other sports shoes more comfortable, but the memory insole is still possible, wear good-looking, but also easy to take the clothes. To be moved, then buy another better, take this everyday clothes on it. It is recommended to buy</v>
      </c>
    </row>
    <row r="5515">
      <c r="A5515" s="1">
        <v>5.0</v>
      </c>
      <c r="B5515" s="1" t="s">
        <v>5494</v>
      </c>
      <c r="C5515" t="str">
        <f>IFERROR(__xludf.DUMMYFUNCTION("GOOGLETRANSLATE(B5515, ""zh"", ""en"")"),"177,75 well, the right sleeve, shoulder width slightly smaller, no harm. Very comfortable to wear. Indonesia produced.")</f>
        <v>177,75 well, the right sleeve, shoulder width slightly smaller, no harm. Very comfortable to wear. Indonesia produced.</v>
      </c>
    </row>
    <row r="5516">
      <c r="A5516" s="1">
        <v>5.0</v>
      </c>
      <c r="B5516" s="1" t="s">
        <v>5495</v>
      </c>
      <c r="C5516" t="str">
        <f>IFERROR(__xludf.DUMMYFUNCTION("GOOGLETRANSLATE(B5516, ""zh"", ""en"")"),"A fine. At this price is a very good, quite prospective travel.")</f>
        <v>A fine. At this price is a very good, quite prospective travel.</v>
      </c>
    </row>
    <row r="5517">
      <c r="A5517" s="1">
        <v>2.0</v>
      </c>
      <c r="B5517" s="1" t="s">
        <v>5496</v>
      </c>
      <c r="C5517" t="str">
        <f>IFERROR(__xludf.DUMMYFUNCTION("GOOGLETRANSLATE(B5517, ""zh"", ""en"")"),"The fabric is thin, not thick, a little bit big, but fortunately, no fabric CK counters bought thick, is always what you pay for.")</f>
        <v>The fabric is thin, not thick, a little bit big, but fortunately, no fabric CK counters bought thick, is always what you pay for.</v>
      </c>
    </row>
    <row r="5518">
      <c r="A5518" s="1">
        <v>3.0</v>
      </c>
      <c r="B5518" s="1" t="s">
        <v>5497</v>
      </c>
      <c r="C5518" t="str">
        <f>IFERROR(__xludf.DUMMYFUNCTION("GOOGLETRANSLATE(B5518, ""zh"", ""en"")"),"Do not buy small face my face is too small, just right to give his wife, did not feel very good quality")</f>
        <v>Do not buy small face my face is too small, just right to give his wife, did not feel very good quality</v>
      </c>
    </row>
    <row r="5519">
      <c r="A5519" s="1">
        <v>3.0</v>
      </c>
      <c r="B5519" s="1" t="s">
        <v>5498</v>
      </c>
      <c r="C5519" t="str">
        <f>IFERROR(__xludf.DUMMYFUNCTION("GOOGLETRANSLATE(B5519, ""zh"", ""en"")"),"Just the right size to work a little rough, leather is very general, for the first time to buy this brand, is this brand of shoes is that right?")</f>
        <v>Just the right size to work a little rough, leather is very general, for the first time to buy this brand, is this brand of shoes is that right?</v>
      </c>
    </row>
    <row r="5520">
      <c r="A5520" s="1">
        <v>1.0</v>
      </c>
      <c r="B5520" s="1" t="s">
        <v>5499</v>
      </c>
      <c r="C5520" t="str">
        <f>IFERROR(__xludf.DUMMYFUNCTION("GOOGLETRANSLATE(B5520, ""zh"", ""en"")"),"Need rubbish sleeves deformation, did not feel like genuine, fade very serious, very poor workmanship, than domestic short of 29 dollars a T-shirt")</f>
        <v>Need rubbish sleeves deformation, did not feel like genuine, fade very serious, very poor workmanship, than domestic short of 29 dollars a T-shirt</v>
      </c>
    </row>
    <row r="5521">
      <c r="A5521" s="1">
        <v>1.0</v>
      </c>
      <c r="B5521" s="1" t="s">
        <v>5500</v>
      </c>
      <c r="C5521" t="str">
        <f>IFERROR(__xludf.DUMMYFUNCTION("GOOGLETRANSLATE(B5521, ""zh"", ""en"")"),"Not think that poor workmanship, not satisfied! !")</f>
        <v>Not think that poor workmanship, not satisfied! !</v>
      </c>
    </row>
    <row r="5522">
      <c r="A5522" s="1">
        <v>1.0</v>
      </c>
      <c r="B5522" s="1" t="s">
        <v>5501</v>
      </c>
      <c r="C5522" t="str">
        <f>IFERROR(__xludf.DUMMYFUNCTION("GOOGLETRANSLATE(B5522, ""zh"", ""en"")"),"Bad slender slim type, like bamboo can wear the same body")</f>
        <v>Bad slender slim type, like bamboo can wear the same body</v>
      </c>
    </row>
    <row r="5523">
      <c r="A5523" s="1">
        <v>4.0</v>
      </c>
      <c r="B5523" s="1" t="s">
        <v>5502</v>
      </c>
      <c r="C5523" t="str">
        <f>IFERROR(__xludf.DUMMYFUNCTION("GOOGLETRANSLATE(B5523, ""zh"", ""en"")"),"Short sleeve clothes too large, too large clothes as a whole, especially the shoulder")</f>
        <v>Short sleeve clothes too large, too large clothes as a whole, especially the shoulder</v>
      </c>
    </row>
    <row r="5524">
      <c r="A5524" s="1">
        <v>4.0</v>
      </c>
      <c r="B5524" s="1" t="s">
        <v>5503</v>
      </c>
      <c r="C5524" t="str">
        <f>IFERROR(__xludf.DUMMYFUNCTION("GOOGLETRANSLATE(B5524, ""zh"", ""en"")"),"General price felt a little high, nearly 100, you can buy a 64G, and not too troublesome return left.")</f>
        <v>General price felt a little high, nearly 100, you can buy a 64G, and not too troublesome return left.</v>
      </c>
    </row>
    <row r="5525">
      <c r="A5525" s="1">
        <v>4.0</v>
      </c>
      <c r="B5525" s="1" t="s">
        <v>5504</v>
      </c>
      <c r="C5525" t="str">
        <f>IFERROR(__xludf.DUMMYFUNCTION("GOOGLETRANSLATE(B5525, ""zh"", ""en"")"),"Not bad, but there are several Popi lid, do not know if I have bad influence, but there are several Popi lid, I do not know there is no effect")</f>
        <v>Not bad, but there are several Popi lid, do not know if I have bad influence, but there are several Popi lid, I do not know there is no effect</v>
      </c>
    </row>
    <row r="5526">
      <c r="A5526" s="1">
        <v>4.0</v>
      </c>
      <c r="B5526" s="1" t="s">
        <v>5505</v>
      </c>
      <c r="C5526" t="str">
        <f>IFERROR(__xludf.DUMMYFUNCTION("GOOGLETRANSLATE(B5526, ""zh"", ""en"")"),"General price generally felt, washed, some obvious deformation")</f>
        <v>General price generally felt, washed, some obvious deformation</v>
      </c>
    </row>
    <row r="5527">
      <c r="A5527" s="1">
        <v>4.0</v>
      </c>
      <c r="B5527" s="1" t="s">
        <v>5506</v>
      </c>
      <c r="C5527" t="str">
        <f>IFERROR(__xludf.DUMMYFUNCTION("GOOGLETRANSLATE(B5527, ""zh"", ""en"")"),"Beautiful than you buy a large two yards waistband belt packaging, inexpensive, waistband 29, bought 32 yards, was expected to be punctured, the results also a deduction until the last hole, slightly short of the point, for your reference")</f>
        <v>Beautiful than you buy a large two yards waistband belt packaging, inexpensive, waistband 29, bought 32 yards, was expected to be punctured, the results also a deduction until the last hole, slightly short of the point, for your reference</v>
      </c>
    </row>
    <row r="5528">
      <c r="A5528" s="1">
        <v>5.0</v>
      </c>
      <c r="B5528" s="1" t="s">
        <v>5507</v>
      </c>
      <c r="C5528" t="str">
        <f>IFERROR(__xludf.DUMMYFUNCTION("GOOGLETRANSLATE(B5528, ""zh"", ""en"")"),"Beautiful and comfortable high cost, the price is beautiful, the Amazon shopping very cost-effective.")</f>
        <v>Beautiful and comfortable high cost, the price is beautiful, the Amazon shopping very cost-effective.</v>
      </c>
    </row>
    <row r="5529">
      <c r="A5529" s="1">
        <v>5.0</v>
      </c>
      <c r="B5529" s="1" t="s">
        <v>5508</v>
      </c>
      <c r="C5529" t="str">
        <f>IFERROR(__xludf.DUMMYFUNCTION("GOOGLETRANSLATE(B5529, ""zh"", ""en"")"),"I just size 166 cm, 63 kg, waist circumference of about 80. Just 31 yards. Standard models of thick material, affordable.")</f>
        <v>I just size 166 cm, 63 kg, waist circumference of about 80. Just 31 yards. Standard models of thick material, affordable.</v>
      </c>
    </row>
    <row r="5530">
      <c r="A5530" s="1">
        <v>5.0</v>
      </c>
      <c r="B5530" s="1" t="s">
        <v>5509</v>
      </c>
      <c r="C5530" t="str">
        <f>IFERROR(__xludf.DUMMYFUNCTION("GOOGLETRANSLATE(B5530, ""zh"", ""en"")"),"Very, very good, soft light and very fast, usually wear 37 UK4, but do not lack these shoes, just to see the price of these shoes are too beautiful, decisive win, the hand 504 ah ...... took the UK5, because it is in to help, I do not feel great in the wi"&amp;"nter to add a fur insoles, wool socks to wear no burden,")</f>
        <v>Very, very good, soft light and very fast, usually wear 37 UK4, but do not lack these shoes, just to see the price of these shoes are too beautiful, decisive win, the hand 504 ah ...... took the UK5, because it is in to help, I do not feel great in the winter to add a fur insoles, wool socks to wear no burden,</v>
      </c>
    </row>
    <row r="5531">
      <c r="A5531" s="1">
        <v>5.0</v>
      </c>
      <c r="B5531" s="1" t="s">
        <v>5510</v>
      </c>
      <c r="C5531" t="str">
        <f>IFERROR(__xludf.DUMMYFUNCTION("GOOGLETRANSLATE(B5531, ""zh"", ""en"")"),"Shoes also good, careful to shoe size. Dad to buy, and 992,993 compared to the shoes a little thin. The elderly with age, the foot will be bigger, it is recommended to buy a large number, if feet wide, then go to the store a good test, buy, is the best. H"&amp;"is family's shoes, comfortable.")</f>
        <v>Shoes also good, careful to shoe size. Dad to buy, and 992,993 compared to the shoes a little thin. The elderly with age, the foot will be bigger, it is recommended to buy a large number, if feet wide, then go to the store a good test, buy, is the best. His family's shoes, comfortable.</v>
      </c>
    </row>
    <row r="5532">
      <c r="A5532" s="1">
        <v>5.0</v>
      </c>
      <c r="B5532" s="1" t="s">
        <v>5511</v>
      </c>
      <c r="C5532" t="str">
        <f>IFERROR(__xludf.DUMMYFUNCTION("GOOGLETRANSLATE(B5532, ""zh"", ""en"")"),"Good buy for her husband, a country can buy three 24 In this, I hope you can multi-activity")</f>
        <v>Good buy for her husband, a country can buy three 24 In this, I hope you can multi-activity</v>
      </c>
    </row>
    <row r="5533">
      <c r="A5533" s="1">
        <v>5.0</v>
      </c>
      <c r="B5533" s="1" t="s">
        <v>5512</v>
      </c>
      <c r="C5533" t="str">
        <f>IFERROR(__xludf.DUMMYFUNCTION("GOOGLETRANSLATE(B5533, ""zh"", ""en"")"),"There are good quality thick texture, thick texture")</f>
        <v>There are good quality thick texture, thick texture</v>
      </c>
    </row>
    <row r="5534">
      <c r="A5534" s="1">
        <v>5.0</v>
      </c>
      <c r="B5534" s="1" t="s">
        <v>5513</v>
      </c>
      <c r="C5534" t="str">
        <f>IFERROR(__xludf.DUMMYFUNCTION("GOOGLETRANSLATE(B5534, ""zh"", ""en"")"),"Very nice, I do not know whether there is a long time looking for female models simple design, but also a steel table in Milan, is a male form, I do not know whether there are female models.")</f>
        <v>Very nice, I do not know whether there is a long time looking for female models simple design, but also a steel table in Milan, is a male form, I do not know whether there are female models.</v>
      </c>
    </row>
    <row r="5535">
      <c r="A5535" s="1">
        <v>5.0</v>
      </c>
      <c r="B5535" s="1" t="s">
        <v>5514</v>
      </c>
      <c r="C5535" t="str">
        <f>IFERROR(__xludf.DUMMYFUNCTION("GOOGLETRANSLATE(B5535, ""zh"", ""en"")"),"I wear L 175/85 just right good, quality work is no problem, but it is very thin")</f>
        <v>I wear L 175/85 just right good, quality work is no problem, but it is very thin</v>
      </c>
    </row>
    <row r="5536">
      <c r="A5536" s="1">
        <v>5.0</v>
      </c>
      <c r="B5536" s="1" t="s">
        <v>5515</v>
      </c>
      <c r="C5536" t="str">
        <f>IFERROR(__xludf.DUMMYFUNCTION("GOOGLETRANSLATE(B5536, ""zh"", ""en"")"),"Praise praise praise praise")</f>
        <v>Praise praise praise praise</v>
      </c>
    </row>
    <row r="5537">
      <c r="A5537" s="1">
        <v>5.0</v>
      </c>
      <c r="B5537" s="1" t="s">
        <v>5516</v>
      </c>
      <c r="C5537" t="str">
        <f>IFERROR(__xludf.DUMMYFUNCTION("GOOGLETRANSLATE(B5537, ""zh"", ""en"")"),"Satisfaction very satisfied with inexpensive Bang Bang da")</f>
        <v>Satisfaction very satisfied with inexpensive Bang Bang da</v>
      </c>
    </row>
    <row r="5538">
      <c r="A5538" s="1">
        <v>5.0</v>
      </c>
      <c r="B5538" s="1" t="s">
        <v>5517</v>
      </c>
      <c r="C5538" t="str">
        <f>IFERROR(__xludf.DUMMYFUNCTION("GOOGLETRANSLATE(B5538, ""zh"", ""en"")"),"Very cost-effective earphone headset sound quality is very good, nothing like two hundred less than the price of mobile phones direct push is also good with a later interpolation line decoding amp sound better on a computer, had planned to buy out the way"&amp;" the phone is inserted I did not expect to hear a loud sound regardless of workmanship and are impressive, especially the low-frequency boom head is not clearly in place, better than four to five headphones is poor.")</f>
        <v>Very cost-effective earphone headset sound quality is very good, nothing like two hundred less than the price of mobile phones direct push is also good with a later interpolation line decoding amp sound better on a computer, had planned to buy out the way the phone is inserted I did not expect to hear a loud sound regardless of workmanship and are impressive, especially the low-frequency boom head is not clearly in place, better than four to five headphones is poor.</v>
      </c>
    </row>
    <row r="5539">
      <c r="A5539" s="1">
        <v>5.0</v>
      </c>
      <c r="B5539" s="1" t="s">
        <v>5518</v>
      </c>
      <c r="C5539" t="str">
        <f>IFERROR(__xludf.DUMMYFUNCTION("GOOGLETRANSLATE(B5539, ""zh"", ""en"")"),"Small beauty arrived too fast, orders D1, D3 receive, too rapid a. ,, good workmanship cooler color is, good looks, super like")</f>
        <v>Small beauty arrived too fast, orders D1, D3 receive, too rapid a. ,, good workmanship cooler color is, good looks, super like</v>
      </c>
    </row>
    <row r="5540">
      <c r="A5540" s="1">
        <v>5.0</v>
      </c>
      <c r="B5540" s="1" t="s">
        <v>5519</v>
      </c>
      <c r="C5540" t="str">
        <f>IFERROR(__xludf.DUMMYFUNCTION("GOOGLETRANSLATE(B5540, ""zh"", ""en"")"),"Cold cup cold cup good, though it is cold cup, but insulation, thermal insulation effect is also very good. Some simple courier packaging, carton packaging is somewhat distorted.")</f>
        <v>Cold cup cold cup good, though it is cold cup, but insulation, thermal insulation effect is also very good. Some simple courier packaging, carton packaging is somewhat distorted.</v>
      </c>
    </row>
    <row r="5541">
      <c r="A5541" s="1">
        <v>5.0</v>
      </c>
      <c r="B5541" s="1" t="s">
        <v>5520</v>
      </c>
      <c r="C5541" t="str">
        <f>IFERROR(__xludf.DUMMYFUNCTION("GOOGLETRANSLATE(B5541, ""zh"", ""en"")"),"Quality is good because of the height of Japan's tights for 170 people or less, so it feels smaller. Good quality. Prices slightly down, sometimes need to join in a single freight")</f>
        <v>Quality is good because of the height of Japan's tights for 170 people or less, so it feels smaller. Good quality. Prices slightly down, sometimes need to join in a single freight</v>
      </c>
    </row>
    <row r="5542">
      <c r="A5542" s="1">
        <v>5.0</v>
      </c>
      <c r="B5542" s="1" t="s">
        <v>1690</v>
      </c>
      <c r="C5542" t="str">
        <f>IFERROR(__xludf.DUMMYFUNCTION("GOOGLETRANSLATE(B5542, ""zh"", ""en"")"),"Good hard bristles did not imagine good")</f>
        <v>Good hard bristles did not imagine good</v>
      </c>
    </row>
    <row r="5543">
      <c r="A5543" s="1">
        <v>5.0</v>
      </c>
      <c r="B5543" s="1" t="s">
        <v>5521</v>
      </c>
      <c r="C5543" t="str">
        <f>IFERROR(__xludf.DUMMYFUNCTION("GOOGLETRANSLATE(B5543, ""zh"", ""en"")"),"Children can also be very good eating")</f>
        <v>Children can also be very good eating</v>
      </c>
    </row>
    <row r="5544">
      <c r="A5544" s="1">
        <v>5.0</v>
      </c>
      <c r="B5544" s="1" t="s">
        <v>5522</v>
      </c>
      <c r="C5544" t="str">
        <f>IFERROR(__xludf.DUMMYFUNCTION("GOOGLETRANSLATE(B5544, ""zh"", ""en"")"),"Watch a still very good, the second hand turn voice can be received, the strap is a bit hard, very good, logistics quickly to the week, the overall table is still very good 😊")</f>
        <v>Watch a still very good, the second hand turn voice can be received, the strap is a bit hard, very good, logistics quickly to the week, the overall table is still very good 😊</v>
      </c>
    </row>
    <row r="5545">
      <c r="A5545" s="1">
        <v>5.0</v>
      </c>
      <c r="B5545" s="1" t="s">
        <v>5523</v>
      </c>
      <c r="C5545" t="str">
        <f>IFERROR(__xludf.DUMMYFUNCTION("GOOGLETRANSLATE(B5545, ""zh"", ""en"")"),"I won my heart compact, suitable for portable, easy to drink water meeting")</f>
        <v>I won my heart compact, suitable for portable, easy to drink water meeting</v>
      </c>
    </row>
    <row r="5546">
      <c r="A5546" s="1">
        <v>5.0</v>
      </c>
      <c r="B5546" s="1" t="s">
        <v>5524</v>
      </c>
      <c r="C5546" t="str">
        <f>IFERROR(__xludf.DUMMYFUNCTION("GOOGLETRANSLATE(B5546, ""zh"", ""en"")"),"Pants simple, slightly larger size: waist, dark blue, elastic, size Look at the reviews buy, very fit. Much cheaper than domestic. Height 168cm, weight 68kg, 4 Ma just slightly wider comfortable. Autumn and winter Qiuku inside cover strip can, no pressure"&amp;". 9 pants feel.")</f>
        <v>Pants simple, slightly larger size: waist, dark blue, elastic, size Look at the reviews buy, very fit. Much cheaper than domestic. Height 168cm, weight 68kg, 4 Ma just slightly wider comfortable. Autumn and winter Qiuku inside cover strip can, no pressure. 9 pants feel.</v>
      </c>
    </row>
    <row r="5547">
      <c r="A5547" s="1">
        <v>5.0</v>
      </c>
      <c r="B5547" s="1" t="s">
        <v>5525</v>
      </c>
      <c r="C5547" t="str">
        <f>IFERROR(__xludf.DUMMYFUNCTION("GOOGLETRANSLATE(B5547, ""zh"", ""en"")"),"I help my colleagues to buy new spring 2018 which is, in the Adriatic outsourcing and Nichia synchronization on the line, my colleagues want to buy just two, so I helped him buy one gold and one red, one for his wife with another honor wife's mother, the "&amp;"threshold is quite fine. Said lower commodity bar, thermal insulation performance of the product than the HB55 has a small elevation, package essentially unchanged, Japan's packaging really can not pick thorns, Nichia delivery packaging is also extremely "&amp;"awesome, 100 percent intact hand, the key is the price cheap, the price is zero One shop to start. very good.")</f>
        <v>I help my colleagues to buy new spring 2018 which is, in the Adriatic outsourcing and Nichia synchronization on the line, my colleagues want to buy just two, so I helped him buy one gold and one red, one for his wife with another honor wife's mother, the threshold is quite fine. Said lower commodity bar, thermal insulation performance of the product than the HB55 has a small elevation, package essentially unchanged, Japan's packaging really can not pick thorns, Nichia delivery packaging is also extremely awesome, 100 percent intact hand, the key is the price cheap, the price is zero One shop to start. very good.</v>
      </c>
    </row>
    <row r="5548">
      <c r="A5548" s="1">
        <v>5.0</v>
      </c>
      <c r="B5548" s="1" t="s">
        <v>5526</v>
      </c>
      <c r="C5548" t="str">
        <f>IFERROR(__xludf.DUMMYFUNCTION("GOOGLETRANSLATE(B5548, ""zh"", ""en"")"),"Good summer wear well, it is worth enough to buy")</f>
        <v>Good summer wear well, it is worth enough to buy</v>
      </c>
    </row>
    <row r="5549">
      <c r="A5549" s="1">
        <v>5.0</v>
      </c>
      <c r="B5549" s="1" t="s">
        <v>5527</v>
      </c>
      <c r="C5549" t="str">
        <f>IFERROR(__xludf.DUMMYFUNCTION("GOOGLETRANSLATE(B5549, ""zh"", ""en"")"),"Well ...... very cheap, download swisse app checked, it is genuine, adhere to eat, look forward to the effect ~")</f>
        <v>Well ...... very cheap, download swisse app checked, it is genuine, adhere to eat, look forward to the effect ~</v>
      </c>
    </row>
    <row r="5550">
      <c r="A5550" s="1">
        <v>2.0</v>
      </c>
      <c r="B5550" s="1" t="s">
        <v>5528</v>
      </c>
      <c r="C5550" t="str">
        <f>IFERROR(__xludf.DUMMYFUNCTION("GOOGLETRANSLATE(B5550, ""zh"", ""en"")"),"Generally do not like the baby, breathe occasionally, but often away, a cry out")</f>
        <v>Generally do not like the baby, breathe occasionally, but often away, a cry out</v>
      </c>
    </row>
    <row r="5551">
      <c r="A5551" s="1">
        <v>3.0</v>
      </c>
      <c r="B5551" s="1" t="s">
        <v>5529</v>
      </c>
      <c r="C5551" t="str">
        <f>IFERROR(__xludf.DUMMYFUNCTION("GOOGLETRANSLATE(B5551, ""zh"", ""en"")"),"Fairly fit very narrow belt, before the explanation made no mention of width, misleading. Also look is relatively rough, do not meet the quality of the brand.")</f>
        <v>Fairly fit very narrow belt, before the explanation made no mention of width, misleading. Also look is relatively rough, do not meet the quality of the brand.</v>
      </c>
    </row>
    <row r="5552">
      <c r="A5552" s="1">
        <v>3.0</v>
      </c>
      <c r="B5552" s="1" t="s">
        <v>5530</v>
      </c>
      <c r="C5552" t="str">
        <f>IFERROR(__xludf.DUMMYFUNCTION("GOOGLETRANSLATE(B5552, ""zh"", ""en"")"),"Crack wear it for 2 months, it is so. The other more than this")</f>
        <v>Crack wear it for 2 months, it is so. The other more than this</v>
      </c>
    </row>
    <row r="5553">
      <c r="A5553" s="1">
        <v>3.0</v>
      </c>
      <c r="B5553" s="1" t="s">
        <v>5531</v>
      </c>
      <c r="C5553" t="str">
        <f>IFERROR(__xludf.DUMMYFUNCTION("GOOGLETRANSLATE(B5553, ""zh"", ""en"")"),"General sleeves too fat")</f>
        <v>General sleeves too fat</v>
      </c>
    </row>
    <row r="5554">
      <c r="A5554" s="1">
        <v>1.0</v>
      </c>
      <c r="B5554" s="1" t="s">
        <v>5532</v>
      </c>
      <c r="C5554" t="str">
        <f>IFERROR(__xludf.DUMMYFUNCTION("GOOGLETRANSLATE(B5554, ""zh"", ""en"")"),"Origin of false information in the product description is written Origin: made in Japan, but get the goods found to be made in Thailand. Why Amazon false description of the place of origin? !")</f>
        <v>Origin of false information in the product description is written Origin: made in Japan, but get the goods found to be made in Thailand. Why Amazon false description of the place of origin? !</v>
      </c>
    </row>
    <row r="5555">
      <c r="A5555" s="1">
        <v>1.0</v>
      </c>
      <c r="B5555" s="1" t="s">
        <v>5533</v>
      </c>
      <c r="C5555" t="str">
        <f>IFERROR(__xludf.DUMMYFUNCTION("GOOGLETRANSLATE(B5555, ""zh"", ""en"")"),"Poor quality &lt;div id = ""video-block-R36IVPU0ZF95M7"" class = ""a-section a-spacing-small a-spacing-top-mini video-block""&gt; &lt;div tabindex = ""0"" class = ""airy airy- svg vmin-supported airy-skin-beacon ""style ="" background-color: rgb (0, 0, 0); positio"&amp;"n: relative; width: 100%; height: 100%; font-size: 0px; overflow: hidden; outline: none; ""&gt; &lt;div class ="" airy-renderer-container ""style ="" position: relative; height: 100%; width: 100%; ""&gt; &lt;video id ="" 7 ""preload ="" auto ""src = ""https://images-"&amp;"cn.ssl-images-amazon.com/images/I/81oqrrtKBHS.mp4"" style = ""position: absolute; left: 0px; top: 0px; overflow: hidden; height: 1px; width: 1px; ""&gt; &lt;/ video&gt; &lt;/ div&gt; &lt;div id ="" airy-slate-preload ""style ="" background-color: rgb (0, 0, 0); background-"&amp;"image: url (&amp; quot; https: / /images-cn.ssl-images-amazon.com/images/I/91a+plmua+S.png&amp;quot;); background-size: contain; background-position: center center; background-repeat: no-repeat; position: absolute; top: 0px; left: 0px; visibility: visible; width:"&amp;" 100%; height: 100%; ""&gt; &lt;/ div&gt; &lt;iframe scrolling ="" no "" frameborder = ""0"" src = ""about: blank"" style = ""display: none;""&gt; &lt;/ iframe&gt; &lt;div tabindex = ""- 1"" class = ""airy-controls-container"" style = ""opacity: 0; visibility : hidden; ""&gt; &lt;div "&amp;"tabindex ="" - 1 ""class ="" airy-screen-size-toggle airy-fullscreen ""&gt; &lt;/ div&gt; &lt;div tabindex ="" - 1 ""class ="" airy-container-bottom ""&gt; &lt;div tabindex = ""- 1"" class = ""airy-track-bar-spacer-left"" style = ""width: 11px;""&gt; &lt;/ div&gt; &lt;div tabindex = "&amp;"""- 1"" class = ""airy-play-toggle airy-play ""style ="" width: 12px; margin-right: 12px; ""&gt; &lt;/ div&gt; &lt;div tabindex ="" - 1 ""class ="" airy-audio-elements ""style ="" float: right; width: 34px ; ""&gt; &lt;div tabindex ="" - 1 ""class ="" airy-audio-toggle air"&amp;"y-on ""&gt; &lt;/ div&gt; &lt;div tabindex ="" - 1 ""class ="" airy-audio-container ""style ="" opacity: 0; visibility: hidden; ""&gt; &lt;div tabindex ="" - 1 ""class ="" airy-audio-track-bar ""style ="" height: 80%; ""&gt; &lt;div tabindex ="" - 1 ""class ="" airy- audio-scrub"&amp;"ber-bar ""style ="" height: 85%; ""&gt; &lt;/ div&gt; &lt;div tabindex ="" - 1 ""class ="" airy-audio-scrubber ""style ="" height: 12px; bottom: 85%; "" &gt; &lt;/ div&gt; &lt;/ div&gt; &lt;/ div&gt; &lt;/ div&gt; &lt;div tabindex = ""- 1"" class = ""airy-duration-label"" style = ""fl oat: right;"&amp;" width: 26px; margin-right: 4px; text-align: center; ""&gt; 0:00 &lt;/ div&gt; &lt;div tabindex ="" - 1 ""class ="" airy-track-bar-spacer-right "" style = ""float: right; width: 11px;""&gt; &lt;/ div&gt; &lt;div tabindex = ""- 1"" class = ""airy-track-bar-container"" style = ""m"&amp;"argin-left: 35px; margin-right: 75px ; ""&gt; &lt;div tabindex ="" - 1 ""class ="" airy-track-bar airy-vertical-centering-table ""&gt; &lt;div tabindex ="" - 1 ""class ="" airy-vertical-centering-table-cell ""&gt; &lt;div tabindex = ""- 1"" class = ""airy-track-bar-element"&amp;"s""&gt; &lt;div tabindex = ""- 1"" class = ""airy-progress-bar""&gt; &lt;/ div&gt; &lt;div tabindex = ""- 1"" class = ""airy-scrubber-bar""&gt; &lt;/ div&gt; &lt;div tabindex = ""- 1"" class = ""airy-scrubber""&gt; &lt;div tabindex = ""- 1"" class = ""airy-scrubber-icon""&gt; &lt;/ div&gt; &lt;div tabi"&amp;"ndex = ""- 1"" class = ""airy-adjusted-aui-tooltip"" style = ""opacity: 0; visibility: hidden;""&gt; &lt;div tabindex = ""- 1"" class = ""airy-adjusted-aui -tooltip-inner ""&gt; &lt;div tabindex ="" - 1 ""class ="" airy-current-time-label ""&gt; 0:00 &lt;/ div&gt; &lt;/ div&gt; &lt;di"&amp;"v tabindex ="" - 1 ""class ="" airy- adjusted-aui-arrow-border ""&gt; &lt;div tabindex ="" - 1 ""class ="" airy-adjusted-aui-arrow ""&gt; &lt;/ div&gt; &lt;/ div&gt; &lt;/ div&gt; &lt;/ di v&gt; &lt;/ div&gt; &lt;/ div&gt; &lt;/ div&gt; &lt;/ div&gt; &lt;/ div&gt; &lt;/ div&gt; &lt;div tabindex = ""- 1"" class = ""airy-age-ga"&amp;"te airy-stage airy-vertical-centering -table airy-dialog ""style ="" opacity: 0; visibility: hidden; ""&gt; &lt;div tabindex ="" - 1 ""class ="" airy-age-gate-vertical-centering-table-cell airy-vertical-centering-table -cell ""&gt; &lt;div tabindex ="" - 1 ""class ="&amp;""" airy-vertical-centering-wrapper airy-age-gate-elements-wrapper ""&gt; &lt;div tabindex ="" - 1 ""class ="" airy-age-gate- elements airy-dialog-elements ""&gt; &lt;div tabindex ="" - 1 ""class ="" airy-age-gate-prompt ""&gt; This video is not intended for all audience"&amp;"s What date were you born &lt;/ div&gt; &lt;div tabindex.? = ""- 1"" class = ""airy-age-gate-inputs airy-dialog-inner-elements""&gt; &lt;select tabindex = ""- 1"" class = ""airy-age-gate-month""&gt; &lt;option value = ""1 ""&gt; January &lt;/ option&gt; &lt;option value ="" 2 ""&gt; Februar"&amp;"y &lt;/ option&gt; &lt;option value ="" 3 ""&gt; March &lt;/ option&gt; &lt;option value ="" 4 ""&gt; April &lt;/ option&gt; &lt;option value = ""5""&gt; May &lt;/ option&gt; &lt;option value = ""6""&gt; June &lt;/ option&gt; &lt;option value = ""7""&gt; July &lt;/ option&gt; &lt;option value = ""8""&gt; August &lt;/ option&gt; &lt;op"&amp;"tion value = ""9""&gt; September &lt;/ option&gt; &lt;option value = ""10"" &gt; October &lt;/ option&gt; &lt;option value = ""11""&gt; November &lt;/ option&gt; &lt;option value = ""12""&gt; December &lt;/ option&gt; &lt;/ select&gt; &lt;select tabindex = ""- 1"" class = ""airy-age -gate-day ""&gt; &lt;option val"&amp;"ue ="" 1 ""&gt; 1 &lt;/ option&gt; &lt;option value ="" 2 ""&gt; 2 &lt;/ option&gt; &lt;option value ="" 3 ""&gt; 3 &lt;/ option&gt; &lt;option value ="" 4 ""&gt; 4 &lt;/ option&gt; &lt;option value ="" 5 ""&gt; 5 &lt;/ option&gt; &lt;option value ="" 6 ""&gt; 6 &lt;/ option&gt; &lt;option value ="" 7 ""&gt; 7 &lt;/ option&gt; &lt;option"&amp;" value = ""8""&gt; 8 &lt;/ option&gt; &lt;option value = ""9""&gt; 9 &lt;/ option&gt; &lt;option value = ""10""&gt; 10 &lt;/ option&gt; &lt;option value = ""11""&gt; 11 &lt;/ option&gt; &lt; option value = ""12""&gt; 12 &lt;/ option&gt; &lt;option value = ""13""&gt; 13 &lt;/ option&gt; &lt;option value = ""14""&gt; 14 &lt;/ option&gt;"&amp;" &lt;option value = ""15""&gt; 15 &lt;/ option &gt; &lt;option value = ""16""&gt; 16 &lt;/ option&gt; &lt;option value = ""17""&gt; 17 &lt;/ option&gt; &lt;option value = ""18""&gt; 18 &lt;/ option&gt; &lt;option value = ""19""&gt; 19 &lt; / option&gt; &lt;option value = ""20""&gt; 20 &lt;/ option&gt; &lt;option value = ""21""&gt; "&amp;"21 &lt;/ option&gt; &lt;option value = ""22""&gt; 22 &lt;/ option&gt; &lt;option value = ""23""&gt; 23 &lt;/ option&gt; &lt;option value = ""24""&gt; 24 &lt;/ option&gt; &lt;option value = ""25""&gt; 25 &lt;/ option&gt; &lt;option value = ""26""&gt; 26 &lt;/ option&gt; &lt;option value = ""27 ""&gt; 27 &lt;/ option&gt; &lt;option valu"&amp;"e ="" 28 ""&gt; 28 &lt;/ option&gt; &lt;option value ="" 29 ""&gt; 29 &lt;/ option&gt; &lt;o ption value = ""30""&gt; 30 &lt;/ option&gt; &lt;option value = ""31""&gt; 31 &lt;/ option&gt; &lt;/ select&gt; &lt;select tabindex = ""- 1"" class = ""airy-age-gate-year""&gt; &lt; option value = ""2019""&gt; 2019 &lt;/ option&gt;"&amp;" &lt;option value = ""2018""&gt; 2018 &lt;/ option&gt; &lt;option value = ""2017""&gt; 2017 &lt;/ option&gt; &lt;option value = ""2016""&gt; ​​2016 &lt;/ option &gt; &lt;option value = ""2015""&gt; 2015 &lt;/ option&gt; &lt;option value = ""2014""&gt; 2014 &lt;/ option&gt; &lt;option value = ""2013""&gt; 2013 &lt;/ option&gt;"&amp;" &lt;option value = ""2012""&gt; 2012 &lt; / option&gt; &lt;option value = ""2011""&gt; 2011 &lt;/ option&gt; &lt;option value = ""2010""&gt; 2010 &lt;/ option&gt; &lt;option value = ""2009""&gt; 2009 &lt;/ option&gt; &lt;option value = ""2008""&gt; 2008 &lt;/ option&gt; &lt;option value = ""2007""&gt; 2007 &lt;/ option&gt; &lt;"&amp;"option value = ""2006""&gt; 2006 &lt;/ option&gt; &lt;option value = ""2005""&gt; 2005 &lt;/ option&gt; &lt;option value = ""2004 ""&gt; 2004 &lt;/ option&gt; &lt;option value ="" 2003 ""&gt; 2003 &lt;/ option&gt; &lt;option value ="" 2002 ""&gt; 2002 &lt;/ option&gt; &lt;option value ="" 2001 ""&gt; 2001 &lt;/ option&gt; "&amp;"&lt;option value = ""2000""&gt; 2000 &lt;/ option&gt; &lt;option value = ""1999""&gt; 1999 &lt;/ option&gt; &lt;option value = ""1998""&gt; 1998 &lt;/ option&gt; &lt;option value = ""1997""&gt; 1997 &lt;/ option&gt; &lt;option value = ""1996""&gt; 1996 &lt;/ option&gt; &lt;option value = ""1995""&gt; 1995 &lt;/ option&gt; &lt;op"&amp;"tion value = ""1994""&gt; 1994 &lt;/ option&gt; &lt;Option value = ""1993""&gt; 1993 &lt;/ option&gt; &lt;option value = ""1992""&gt; 1992 &lt;/ option&gt; &lt;option value = ""1991""&gt; 1991 &lt;/ option&gt; &lt;option value = ""1990""&gt; 1990 &lt;/ option&gt; &lt;option value = ""1989""&gt; 1989 &lt;/ option&gt; &lt;optio"&amp;"n value = ""1988""&gt; 1988 &lt;/ option&gt; &lt;option value = ""1987""&gt; 1987 &lt;/ option&gt; &lt;option value = ""1986""&gt; 1986 &lt;/ option&gt; &lt;option value = ""1985""&gt; 1985 &lt;/ option&gt; &lt;option value = ""1984""&gt; 1984 &lt;/ option&gt; &lt;option value = ""1983""&gt; 1983 &lt;/ option&gt; &lt;option v"&amp;"alue = ""1982"" &gt; 1982 &lt;/ option&gt; &lt;option value = ""1981""&gt; 1981 &lt;/ option&gt; &lt;option value = ""1980""&gt; 1980 &lt;/ option&gt; &lt;option value = ""1979""&gt; 1979 &lt;/ option&gt; &lt;option value = "" 1978 ""&gt; 1978 &lt;/ option&gt; &lt;option value ="" 1977 ""&gt; 1977 &lt;/ option&gt; &lt;option "&amp;"value ="" 1976 ""&gt; 1976 &lt;/ option&gt; &lt;option value ="" 1975 ""&gt; 1975 &lt;/ option&gt; &lt;option value = ""1974""&gt; 1974 &lt;/ option&gt; &lt;option value = ""1973""&gt; 1973 &lt;/ option&gt; &lt;option value = ""1972""&gt; 1972 &lt;/ option&gt; &lt;option value = ""1971""&gt; 1971 &lt;/ option&gt; &lt; option "&amp;"value = ""1970""&gt; 1970 &lt;/ option&gt; &lt;option value = ""1969""&gt; 1969 &lt;/ option&gt; &lt;option value = ""1968""&gt; 1968 &lt;/ option&gt; &lt;option value = ""1967""&gt; 1967 &lt;/ option &gt; &lt;option value = ""1966""&gt; 1966 &lt;/ option&gt; &lt;option value = ""1965""&gt; 1965 &lt;/ option&gt; &lt;option va"&amp;"lue = ""1964""&gt; 1964 &lt;/ option&gt; &lt;option value = ""1963""&gt; 1963 &lt;/ option&gt; &lt;option value = ""1962""&gt; 1962 &lt;/ option&gt; &lt;option value = ""1961""&gt; 1961 &lt;/ option&gt; &lt;option value = ""1960""&gt; 1960 &lt;/ option&gt; &lt;option value = ""1959""&gt; 1959 &lt;/ option&gt; &lt;option value"&amp;" = ""1958""&gt; 1958 &lt;/ option&gt; &lt;option value = ""1957""&gt; 1957 &lt;/ option&gt; &lt;option value = ""1956""&gt; 1956 &lt;/ option&gt; &lt;option value = ""1955""&gt; 1955 &lt;/ option&gt; &lt;option value = ""1954""&gt; 1954 &lt;/ option&gt; &lt;option value = ""1953""&gt; 1953 &lt;/ option&gt; &lt;option value = "&amp;"""1952""&gt; 1952 &lt;/ option&gt; &lt;option value = ""1951""&gt; 1951 &lt;/ option&gt; &lt;option value = ""1950""&gt; 1950 &lt;/ option&gt; &lt;option value = ""1949""&gt; 1949 &lt;/ option&gt; &lt;option value = ""1948""&gt; 1948 &lt;/ option&gt; &lt;option value = ""1947""&gt; 1947 &lt;/ option&gt; &lt;option value = ""1"&amp;"946""&gt; 1946 &lt;/ option&gt; &lt;option value = ""1945"" &gt; 1945 &lt;/ option&gt; &lt;option value = ""1944""&gt; 1944 &lt;/ option&gt; &lt;option value = ""1943""&gt; 1943 &lt;/ option&gt; &lt;option value = ""1942""&gt; 1942 &lt;/ option&gt; &lt;option value = "" 1941 ""&gt; 1941 &lt;/ option&gt; &lt;option value ="" 1"&amp;"940 ""&gt; 1940 &lt;/ option&gt; &lt;option value ="" 1939 ""&gt; 1939 &lt;/ option&gt; &lt;option value ="" 1938 ""&gt; 1938 &lt;/ option&gt; &lt;option value = ""1937""&gt; 1937 &lt;/ option&gt; &lt;option value = ""1936""&gt; 1936 &lt;/ option&gt; &lt;option value = ""1935""&gt; 1935 &lt;/ o ption&gt; &lt;option value = """&amp;"1934""&gt; 1934 &lt;/ option&gt; &lt;option value = ""1933""&gt; 1933 &lt;/ option&gt; &lt;option value = ""1932""&gt; 1932 &lt;/ option&gt; &lt;option value = ""1931""&gt; 1931 &lt;/ option&gt; &lt;option value = ""1930""&gt; 1930 &lt;/ option&gt; &lt;option value = ""1929""&gt; 1929 &lt;/ option&gt; &lt;option value = ""192"&amp;"8""&gt; 1928 &lt;/ option&gt; &lt;option value = ""1927"" &gt; 1927 &lt;/ option&gt; &lt;option value = ""1926""&gt; 1926 &lt;/ option&gt; &lt;option value = ""1925""&gt; 1925 &lt;/ option&gt; &lt;option value = ""1924""&gt; 1924 &lt;/ option&gt; &lt;option value = "" 1923 ""&gt; 1923 &lt;/ option&gt; &lt;option value ="" 192"&amp;"2 ""&gt; 1922 &lt;/ option&gt; &lt;option value ="" 1921 ""&gt; 1921 &lt;/ option&gt; &lt;option value ="" 1920 ""&gt; 1920 &lt;/ option&gt; &lt;option value = ""1919""&gt; 1919 &lt;/ option&gt; &lt;option value = ""1918""&gt; 1918 &lt;/ option&gt; &lt;option value = ""1917""&gt; 1917 &lt;/ option&gt; &lt;option value = ""191"&amp;"6""&gt; 1916 &lt;/ option&gt; &lt; option value = ""1915""&gt; 1915 &lt;/ option&gt; &lt;option value = ""1914""&gt; 1914 &lt;/ option&gt; &lt;option value = ""1913""&gt; 1913 &lt;/ option&gt; &lt;option value = ""1912""&gt; 1912 &lt;/ option &gt; &lt;option value = ""1911""&gt; 1911 &lt;/ option&gt; &lt;option value = ""1910"&amp;"""&gt; 1910 &lt;/ option&gt; &lt;option value = ""1909""&gt; 1909 &lt;/ option&gt; &lt;option value = ""1908""&gt; 1908 &lt; / option&gt; &lt;option value = ""1907""&gt; 1907 &lt;/ option&gt; &lt;option value = ""1906""&gt; 1906 &lt;/ option&gt; &lt;option value = ""1905""&gt; 1905 &lt;/ option&gt; &lt;option value = ""1904"""&amp;"&gt; 1904 &lt;/ option&gt; &lt;option value = ""1903""&gt; 1903 &lt;/ option&gt; &lt;option value = ""1902""&gt; 1902 &lt;/ option&gt; &lt;option value = ""1901""&gt; 1901 &lt;/ option&gt; &lt;option value = ""1900""&gt; 1900 &lt;/ option&gt; &lt;/ select&gt; &lt;div tabindex = ""- 1"" class = ""airy-age-gate-submit air"&amp;"y- submit airy-button airy-submit-disabled ""&gt; Submit &lt;/ div&gt; &lt;/ div&gt; &lt;/ div&gt; &lt;/ div&gt; &lt;/ div&gt; &lt;/ div&gt; &lt;div tabindex ="" - 1 ""class ="" airy-install -flash-dialog airy-stage airy-vertical-centering-table airy-dialog airy-denied ""style ="" opacity: 0; vis"&amp;"ibility: hidden; ""&gt; &lt;div tabindex ="" - 1 ""class ="" airy-install-flash -vertical-centering-table-cell airy-vertical-centering-table-cell ""&gt; &lt;div tabindex ="" - 1 ""class ="" airy-vertical-centering-wrapper airy-install-flash-elements-wrapper ""&gt; &lt;div "&amp;"tabindex = ""- 1"" class = ""airy-install-flash-elements airy-dialog-elements""&gt; &lt;div tabindex = ""- 1"" class = ""airy-install-flash-prompt""&gt; Adobe Flash Player is required to watch . this video &lt;/ div&gt; &lt;div tabindex = ""- 1"" class = ""airy-install-fla"&amp;"sh-button-wrapper airy-dialog-inner-elements""&gt; &lt;div tabindex = ""- 1"" cla ss = ""airy-install-flash-button airy-button""&gt; Install Flash Player &lt;/ div&gt; &lt;/ div&gt; &lt;/ div&gt; &lt;/ div&gt; &lt;/ div&gt; &lt;/ div&gt; &lt;div tabindex = ""- 1"" class = ""airy-video-unsupported-dialo"&amp;"g airy-stage airy-vertical-centering-table airy-dialog airy-denied"" style = ""opacity: 0; visibility: hidden;""&gt; &lt;div tabindex = ""- 1"" class = ""airy-video-unsupported-vertical-centering-table-cell airy-vertical-centering-table-cell""&gt; &lt;div tabindex = "&amp;"""- 1"" class = ""airy-vertical-centering-wrapper airy-video-unsupported-elements -wrapper ""&gt; &lt;div tabindex ="" - 1 ""class ="" airy-video-unsupported-elements airy-dialog-elements ""&gt; &lt;div tabindex ="" - 1 ""class ="" airy-video-unsupported-prompt ""&gt; &lt;"&amp;" / div&gt; &lt;/ div&gt; &lt;/ div&gt; &lt;/ div&gt; &lt;/ div&gt; &lt;div tabindex = ""- 1"" class = ""airy-loading-spinner-stage airy-stage""&gt; &lt;div tabindex = ""- 1"" class = ""airy-loading-spinner-vertical-centering-table-cell airy-vertical-centering-table-cell""&gt; &lt;div tabindex = "&amp;"""- 1"" class = ""airy-loading-spinner-container airy-scalable-hint -container ""&gt; &lt;div tabindex ="" - 1 ""class ="" airy-loading-spinner-dummy airy-scalable-dummy ""&gt; &lt;/ div&gt; &lt;div tabindex = ""- 1"" class = ""airy-loading-spinner airy-hint"" style = ""vi"&amp;"sibility: hidden;""&gt; &lt;/ div&gt; &lt;/ div&gt; &lt;/ div&gt; &lt;/ div&gt; &lt;div tabindex = ""- 1"" class = ""airy-ads-screen-size-toggle airy-screen-size-toggle airy-fullscreen"" style = ""visibility: hidden;""&gt; &lt;/ div&gt; &lt;div tabindex = ""- 1"" class = ""airy-ad -prompt-contain"&amp;"er ""style ="" visibility: hidden; ""&gt; &lt;div tabindex ="" - 1 ""class ="" airy-ad-prompt-vertical-centering-table airy-vertical-centering-table ""&gt; &lt;div tabindex ="" -1 ""class ="" airy-ad-prompt-vertical-centering-table-cell airy-vertical-centering-table-"&amp;"cell ""&gt; &lt;div tabindex ="" - 1 ""class ="" airy-ad-prompt-label ""&gt; &lt;/ div&gt; &lt;/ div&gt; &lt;/ div&gt; &lt;/ div&gt; &lt;div tabindex = ""- 1"" class = ""airy-ads-controls-container"" style = ""visibility: hidden;""&gt; &lt;div tabindex = ""- 1 ""class ="" airy-ads-audio-toggle ai"&amp;"ry-audio-toggle airy-on ""style ="" visibility: hidden; ""&gt; &lt;/ div&gt; &lt;div tabindex ="" - 1 ""class ="" airy-time-remaining -label-container ""&gt; &lt;div tabindex ="" - 1 ""class ="" airy-time-remaining-vertical-centering-table airy-vertical-centering-table ""&gt;"&amp;" &lt;div tabindex ="" - 1 ""class ="" airy- time-remaining-vertical-center ing-table-cell airy-vertical-centering-table-cell ""&gt; &lt;div tabindex ="" - 1 ""class ="" airy-vertical-centering-wrapper airy-time-remaining-label-wrapper ""&gt; &lt;div tabindex ="" -1 ""cl"&amp;"ass ="" airy-time-remaining-label ""style ="" visibility: hidden; ""&gt; &lt;/ div&gt; &lt;div tabindex ="" - 1 ""class ="" airy-ad-skip ""style ="" visibility: hidden ; ""&gt; &lt;/ div&gt; &lt;div tabindex ="" - 1 ""class ="" airy-ad-end ""style ="" visibility: hidden; ""&gt; &lt;/ "&amp;"div&gt; &lt;/ div&gt; &lt;/ div&gt; &lt;/ div&gt; &lt; / div&gt; &lt;div tabindex = ""- 1"" class = ""airy-learn-more"" style = ""visibility: hidden;""&gt; &lt;/ div&gt; &lt;/ div&gt; &lt;div tabindex = ""- 1"" class = ""airy- play-toggle-hint-stage airy-stage airy-cursor ""&gt; &lt;div tabindex ="" - 1 ""cl"&amp;"ass ="" airy-play-toggle-hint-vertical-centering-table-cell airy-vertical-centering-table-cell airy-cursor ""&gt; &lt;div tabindex ="" - 1 ""class ="" airy-play-toggle-hint-container airy-scalable-hint-container ""&gt; &lt;div tabindex ="" - 1 ""class ="" airy-play-t"&amp;"oggle -hint-dummy airy-scalable-dummy ""&gt; &lt;/ div&gt; &lt;div tabindex ="" - 1 ""class ="" airy-play-toggle-hint airy-hint airy-play-hint ""style ="" opacity: 1; visibility : visible; ""&gt; &lt;/ div&gt; &lt;/ div&gt; &lt;/ div&gt; &lt;/ div&gt; &lt;di v tabindex = ""- 1"" class = ""airy-re"&amp;"play-hint-stage airy-stage"" style = ""visibility: hidden;""&gt; &lt;div tabindex = ""- 1"" class = ""airy-replay-hint-vertical-centering -table-cell airy-vertical-centering-table-cell airy-cursor ""&gt; &lt;div tabindex ="" - 1 ""class ="" airy-replay-hint-container"&amp;" airy-scalable-hint-container ""&gt; &lt;div tabindex ="" -1 ""class ="" airy-replay-hint-dummy airy-scalable-dummy ""&gt; &lt;/ div&gt; &lt;div tabindex ="" - 1 ""class ="" airy-replay-hint airy-hint ""&gt; &lt;/ div&gt; &lt; / div&gt; &lt;/ div&gt; &lt;/ div&gt; &lt;div tabindex = ""- 1"" class = ""a"&amp;"iry-autoplay-hint-stage airy-stage"" style = ""visibility: hidden;""&gt; &lt;div tabindex = ""- 1"" class = ""airy-autoplay-hint-vertical-centering-table-cell airy-vertical-centering-table-cell airy-cursor""&gt; &lt;div tabindex = ""- 1"" class = ""airy-autoplay-hint"&amp;"-container airy- scalable-hint-container ""&gt; &lt;div tabindex ="" - 1 ""class ="" airy-autoplay-hint-dummy airy-scalable-dummy ""&gt; &lt;/ div&gt; &lt;/ div&gt; &lt;/ div&gt; &lt;/ div&gt; &lt;/ div&gt; &lt;/ div&gt; &lt;input type = ""hidden"" name = """" value = ""https://images-cn.ssl-images-ama"&amp;"zon.com/images/I/81oqrrtKBHS.mp4"" class = ""video-url ""&gt; &lt;input type ="" hidden ""name ="" "" value = ""https://images-cn.ssl-images-amazon.com/images/I/91a+plmua+S.png"" class = ""video-slate-img-url""&gt; &amp; nbsp; just open the package. One of them is bad"&amp;". Vibration amplitude is small")</f>
        <v>Poor quality &lt;div id = "video-block-R36IVPU0ZF95M7" class = "a-section a-spacing-small a-spacing-top-mini video-block"&gt; &lt;div tabindex = "0" class = "airy airy- svg vmin-supported airy-skin-beacon "style =" background-color: rgb (0, 0, 0); position: relative; width: 100%; height: 100%; font-size: 0px; overflow: hidden; outline: none; "&gt; &lt;div class =" airy-renderer-container "style =" position: relative; height: 100%; width: 100%; "&gt; &lt;video id =" 7 "preload =" auto "src = "https://images-cn.ssl-images-amazon.com/images/I/81oqrrtKBHS.mp4" style = "position: absolute; left: 0px; top: 0px; overflow: hidden; height: 1px; width: 1px; "&gt; &lt;/ video&gt; &lt;/ div&gt; &lt;div id =" airy-slate-preload "style =" background-color: rgb (0, 0, 0); background-image: url (&amp; quot; https: / /images-cn.ssl-images-amazon.com/images/I/91a+plmua+S.png&amp;quot;); background-size: contain; background-position: center center; background-repeat: no-repeat; position: absolute; top: 0px; left: 0px; visibility: visible; width: 100%; height: 100%; "&gt; &lt;/ div&gt; &lt;iframe scrolling =" no " frameborder = "0" src = "about: blank" style = "display: none;"&gt; &lt;/ iframe&gt; &lt;div tabindex = "- 1" class = "airy-controls-container" style = "opacity: 0; visibility : hidden; "&gt; &lt;div tabindex =" - 1 "class =" airy-screen-size-toggle airy-fullscreen "&gt; &lt;/ div&gt; &lt;div tabindex =" - 1 "class =" airy-container-bottom "&gt; &lt;div tabindex = "- 1" class = "airy-track-bar-spacer-left" style = "width: 11px;"&gt; &lt;/ div&gt; &lt;div tabindex = "- 1" class = "airy-play-toggle airy-play "style =" width: 12px; margin-right: 12px; "&gt; &lt;/ div&gt; &lt;div tabindex =" - 1 "class =" airy-audio-elements "style =" float: right; width: 34px ; "&gt; &lt;div tabindex =" - 1 "class =" airy-audio-toggle airy-on "&gt; &lt;/ div&gt; &lt;div tabindex =" - 1 "class =" airy-audio-container "style =" opacity: 0; visibility: hidden; "&gt; &lt;div tabindex =" - 1 "class =" airy-audio-track-bar "style =" height: 80%; "&gt; &lt;div tabindex =" - 1 "class =" airy- audio-scrubber-bar "style =" height: 85%; "&gt; &lt;/ div&gt; &lt;div tabindex =" - 1 "class =" airy-audio-scrubber "style =" height: 12px; bottom: 85%; " &gt; &lt;/ div&gt; &lt;/ div&gt; &lt;/ div&gt; &lt;/ div&gt; &lt;div tabindex = "- 1" class = "airy-duration-label" style = "fl oat: right; width: 26px; margin-right: 4px; text-align: center; "&gt; 0:00 &lt;/ div&gt; &lt;div tabindex =" - 1 "class =" airy-track-bar-spacer-right " style = "float: right; width: 11px;"&gt; &lt;/ div&gt; &lt;div tabindex = "- 1" class = "airy-track-bar-container" style = "margin-left: 35px; margin-right: 75px ; "&gt; &lt;div tabindex =" - 1 "class =" airy-track-bar airy-vertical-centering-table "&gt; &lt;div tabindex =" - 1 "class =" airy-vertical-centering-table-cell "&gt; &lt;div tabindex = "- 1" class = "airy-track-bar-elements"&gt; &lt;div tabindex = "- 1" class = "airy-progress-bar"&gt; &lt;/ div&gt; &lt;div tabindex = "- 1" class = "airy-scrubber-bar"&gt; &lt;/ div&gt; &lt;div tabindex = "- 1" class = "airy-scrubber"&gt; &lt;div tabindex = "- 1" class = "airy-scrubber-icon"&gt; &lt;/ div&gt; &lt;div tabindex = "- 1" class = "airy-adjusted-aui-tooltip" style = "opacity: 0; visibility: hidden;"&gt; &lt;div tabindex = "- 1" class = "airy-adjusted-aui -tooltip-inner "&gt; &lt;div tabindex =" - 1 "class =" airy-current-time-label "&gt; 0:00 &lt;/ div&gt; &lt;/ div&gt; &lt;div tabindex =" - 1 "class =" airy- adjusted-aui-arrow-border "&gt; &lt;div tabindex =" - 1 "class =" airy-adjusted-aui-arrow "&gt; &lt;/ div&gt; &lt;/ div&gt; &lt;/ div&gt; &lt;/ di v&gt; &lt;/ div&gt; &lt;/ div&gt; &lt;/ div&gt; &lt;/ div&gt; &lt;/ div&gt; &lt;/ div&gt; &lt;div tabindex = "- 1" class = "airy-age-gate airy-stage airy-vertical-centering -table airy-dialog "style =" opacity: 0; visibility: hidden; "&gt; &lt;div tabindex =" - 1 "class =" airy-age-gate-vertical-centering-table-cell airy-vertical-centering-table -cell "&gt; &lt;div tabindex =" - 1 "class =" airy-vertical-centering-wrapper airy-age-gate-elements-wrapper "&gt; &lt;div tabindex =" - 1 "class =" airy-age-gate- elements airy-dialog-elements "&gt; &lt;div tabindex =" - 1 "class =" airy-age-gate-prompt "&gt; This video is not intended for all audiences What date were you born &lt;/ div&gt; &lt;div tabindex.? = "- 1" class = "airy-age-gate-inputs airy-dialog-inner-elements"&gt; &lt;select tabindex = "- 1" class = "airy-age-gate-month"&gt; &lt;option value = "1 "&gt; January &lt;/ option&gt; &lt;option value =" 2 "&gt; February &lt;/ option&gt; &lt;option value =" 3 "&gt; March &lt;/ option&gt; &lt;option value =" 4 "&gt; April &lt;/ option&gt; &lt;option value = "5"&gt; May &lt;/ option&gt; &lt;option value = "6"&gt; June &lt;/ option&gt; &lt;option value = "7"&gt; July &lt;/ option&gt; &lt;option value = "8"&gt; August &lt;/ option&gt; &lt;option value = "9"&gt; September &lt;/ option&gt; &lt;option value = "10" &gt; October &lt;/ option&gt; &lt;option value = "11"&gt; November &lt;/ option&gt; &lt;option value = "12"&gt; December &lt;/ option&gt; &lt;/ select&gt; &lt;select tabindex = "- 1" class = "airy-age -gate-day "&gt; &lt;option value =" 1 "&gt; 1 &lt;/ option&gt; &lt;option value =" 2 "&gt; 2 &lt;/ option&gt; &lt;option value =" 3 "&gt; 3 &lt;/ option&gt; &lt;option value =" 4 "&gt; 4 &lt;/ option&gt; &lt;option value =" 5 "&gt; 5 &lt;/ option&gt; &lt;option value =" 6 "&gt; 6 &lt;/ option&gt; &lt;option value =" 7 "&gt; 7 &lt;/ option&gt; &lt;option value = "8"&gt; 8 &lt;/ option&gt; &lt;option value = "9"&gt; 9 &lt;/ option&gt; &lt;option value = "10"&gt; 10 &lt;/ option&gt; &lt;option value = "11"&gt; 11 &lt;/ option&gt; &lt; option value = "12"&gt; 12 &lt;/ option&gt; &lt;option value = "13"&gt; 13 &lt;/ option&gt; &lt;option value = "14"&gt; 14 &lt;/ option&gt; &lt;option value = "15"&gt; 15 &lt;/ option &gt; &lt;option value = "16"&gt; 16 &lt;/ option&gt; &lt;option value = "17"&gt; 17 &lt;/ option&gt; &lt;option value = "18"&gt; 18 &lt;/ option&gt; &lt;option value = "19"&gt; 19 &lt; /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 "&gt; 27 &lt;/ option&gt; &lt;option value =" 28 "&gt; 28 &lt;/ option&gt; &lt;option value =" 29 "&gt; 29 &lt;/ option&gt; &lt;o ption value = "30"&gt; 30 &lt;/ option&gt; &lt;option value = "31"&gt; 31 &lt;/ option&gt; &lt;/ select&gt; &lt;select tabindex = "- 1" class = "airy-age-gate-year"&gt; &lt; option value = "2019"&gt; 2019 &lt;/ option&gt; &lt;option value = "2018"&gt; 2018 &lt;/ option&gt; &lt;option value = "2017"&gt; 2017 &lt;/ option&gt; &lt;option value = "2016"&gt; ​​2016 &lt;/ option &gt; &lt;option value = "2015"&gt; 2015 &lt;/ option&gt; &lt;option value = "2014"&gt; 2014 &lt;/ option&gt; &lt;option value = "2013"&gt; 2013 &lt;/ option&gt; &lt;option value = "2012"&gt; 2012 &lt; / option&gt; &lt;option value = "2011"&gt; 2011 &lt;/ option&gt; &lt;option value = "2010"&gt; 2010 &lt;/ option&gt; &lt;option value = "2009"&gt; 2009 &lt;/ option&gt; &lt;option value = "2008"&gt; 2008 &lt;/ option&gt; &lt;option value = "2007"&gt; 2007 &lt;/ option&gt; &lt;option value = "2006"&gt; 2006 &lt;/ option&gt; &lt;option value = "2005"&gt; 2005 &lt;/ option&gt; &lt;option value = "2004 "&gt; 2004 &lt;/ option&gt; &lt;option value =" 2003 "&gt; 2003 &lt;/ option&gt; &lt;option value =" 2002 "&gt; 2002 &lt;/ option&gt; &lt;option value =" 2001 "&gt; 2001 &lt;/ option&gt; &lt;option value = "2000"&gt;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"1989"&gt; 1989 &lt;/ option&gt; &lt;option value = "1988"&gt; 1988 &lt;/ option&gt; &lt;option value = "1987"&gt; 1987 &lt;/ option&gt; &lt;option value = "1986"&gt; 1986 &lt;/ option&gt; &lt;option value = "1985"&gt; 1985 &lt;/ option&gt; &lt;option value = "1984"&gt; 1984 &lt;/ option&gt; &lt;option value = "1983"&gt; 1983 &lt;/ option&gt; &lt;option value = "1982" &gt; 1982 &lt;/ option&gt; &lt;option value = "1981"&gt; 1981 &lt;/ option&gt; &lt;option value = "1980"&gt; 1980 &lt;/ option&gt; &lt;option value = "1979"&gt; 1979 &lt;/ option&gt; &lt;option value = " 1978 "&gt; 1978 &lt;/ option&gt; &lt;option value =" 1977 "&gt; 1977 &lt;/ option&gt; &lt;option value =" 1976 "&gt; 1976 &lt;/ option&gt; &lt;option value =" 1975 "&gt; 1975 &lt;/ option&gt; &lt;option value = "1974"&gt; 1974 &lt;/ option&gt; &lt;option value = "1973"&gt; 1973 &lt;/ option&gt; &lt;option value = "1972"&gt; 1972 &lt;/ option&gt; &lt;option value = "1971"&gt; 1971 &lt;/ option&gt; &lt; option value = "1970"&gt; 1970 &lt;/ option&gt; &lt;option value = "1969"&gt; 1969 &lt;/ option&gt; &lt;option value = "1968"&gt; 1968 &lt;/ option&gt; &lt;option value = "1967"&gt; 1967 &lt;/ option &gt; &lt;option value = "1966"&gt; 1966 &lt;/ option&gt; &lt;option value = "1965"&gt; 1965 &lt;/ option&gt; &lt;option value = "1964"&gt; 1964 &lt;/ option&gt; &lt;option value = "1963"&gt; 1963 &lt;/ option&gt; &lt;option value = "1962"&gt; 1962 &lt;/ option&gt; &lt;option value = "1961"&gt; 1961 &lt;/ option&gt; &lt;option value = "1960"&gt; 1960 &lt;/ option&gt;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"1952"&gt; 1952 &lt;/ option&gt; &lt;option value = "1951"&gt; 1951 &lt;/ option&gt; &lt;option value = "1950"&gt; 1950 &lt;/ option&gt; &lt;option value = "1949"&gt; 1949 &lt;/ option&gt; &lt;option value = "1948"&gt; 1948 &lt;/ option&gt; &lt;option value = "1947"&gt; 1947 &lt;/ option&gt; &lt;option value = "1946"&gt; 1946 &lt;/ option&gt; &lt;option value = "1945" &gt; 1945 &lt;/ option&gt; &lt;option value = "1944"&gt; 1944 &lt;/ option&gt; &lt;option value = "1943"&gt; 1943 &lt;/ option&gt; &lt;option value = "1942"&gt; 1942 &lt;/ option&gt; &lt;option value = " 1941 "&gt; 1941 &lt;/ option&gt; &lt;option value =" 1940 "&gt; 1940 &lt;/ option&gt; &lt;option value =" 1939 "&gt; 1939 &lt;/ option&gt; &lt;option value =" 1938 "&gt; 1938 &lt;/ option&gt; &lt;option value = "1937"&gt; 1937 &lt;/ option&gt; &lt;option value = "1936"&gt; 1936 &lt;/ option&gt; &lt;option value = "1935"&gt; 1935 &lt;/ o ption&gt; &lt;option value = "1934"&gt; 1934 &lt;/ option&gt; &lt;option value = "1933"&gt; 1933 &lt;/ option&gt; &lt;option value = "1932"&gt; 1932 &lt;/ option&gt; &lt;option value = "1931"&gt; 1931 &lt;/ option&gt; &lt;option value = "1930"&gt; 1930 &lt;/ option&gt; &lt;option value = "1929"&gt; 1929 &lt;/ option&gt; &lt;option value = "1928"&gt; 1928 &lt;/ option&gt; &lt;option value = "1927" &gt; 1927 &lt;/ option&gt; &lt;option value = "1926"&gt; 1926 &lt;/ option&gt; &lt;option value = "1925"&gt; 1925 &lt;/ option&gt; &lt;option value = "1924"&gt; 1924 &lt;/ option&gt; &lt;option value = " 1923 "&gt; 1923 &lt;/ option&gt; &lt;option value =" 1922 "&gt; 1922 &lt;/ option&gt; &lt;option value =" 1921 "&gt; 1921 &lt;/ option&gt; &lt;option value =" 1920 "&gt; 1920 &lt;/ option&gt; &lt;option value = "1919"&gt; 1919 &lt;/ option&gt; &lt;option value = "1918"&gt; 1918 &lt;/ option&gt; &lt;option value = "1917"&gt; 1917 &lt;/ option&gt; &lt;option value = "1916"&gt; 1916 &lt;/ option&gt; &lt; option value = "1915"&gt; 1915 &lt;/ option&gt; &lt;option value = "1914"&gt; 1914 &lt;/ option&gt; &lt;option value = "1913"&gt; 1913 &lt;/ option&gt; &lt;option value = "1912"&gt; 1912 &lt;/ option &gt; &lt;option value = "1911"&gt; 1911 &lt;/ option&gt; &lt;option value = "1910"&gt; 1910 &lt;/ option&gt; &lt;option value = "1909"&gt; 1909 &lt;/ option&gt; &lt;option value = "1908"&gt; 1908 &lt; / option&gt; &lt;option value = "1907"&gt; 1907 &lt;/ option&gt; &lt;option value = "1906"&gt; 1906 &lt;/ option&gt; &lt;option value = "1905"&gt; 1905 &lt;/ option&gt; &lt;option value = "1904"&gt; 1904 &lt;/ option&gt; &lt;option value = "1903"&gt; 1903 &lt;/ option&gt; &lt;option value = "1902"&gt; 1902 &lt;/ option&gt; &lt;option value = "1901"&gt; 1901 &lt;/ option&gt; &lt;option value = "1900"&gt; 1900 &lt;/ option&gt; &lt;/ select&gt; &lt;div tabindex = "- 1" class = "airy-age-gate-submit airy- submit airy-button airy-submit-disabled "&gt; Submit &lt;/ div&gt; &lt;/ div&gt; &lt;/ div&gt; &lt;/ div&gt; &lt;/ div&gt; &lt;/ div&gt; &lt;div tabindex =" - 1 "class =" airy-install -flash-dialog airy-stage airy-vertical-centering-table airy-dialog airy-denied "style =" opacity: 0; visibility: hidden; "&gt; &lt;div tabindex =" - 1 "class =" airy-install-flash -vertical-centering-table-cell airy-vertical-centering-table-cell "&gt; &lt;div tabindex =" - 1 "class =" airy-vertical-centering-wrapper airy-install-flash-elements-wrapper "&gt; &lt;div tabindex = "- 1" class = "airy-install-flash-elements airy-dialog-elements"&gt; &lt;div tabindex = "- 1" class = "airy-install-flash-prompt"&gt; Adobe Flash Player is required to watch . this video &lt;/ div&gt; &lt;div tabindex = "- 1" class = "airy-install-flash-button-wrapper airy-dialog-inner-elements"&gt; &lt;div tabindex = "- 1" cla ss = "airy-install-flash-button airy-button"&gt; Install Flash Player &lt;/ div&gt; &lt;/ div&gt; &lt;/ div&gt; &lt;/ div&gt; &lt;/ div&gt; &lt;/ div&gt; &lt;div tabindex = "- 1" class = "airy-video-unsupported-dialog airy-stage airy-vertical-centering-table airy-dialog airy-denied" style = "opacity: 0; visibility: hidden;"&gt; &lt;div tabindex = "- 1" class = "airy-video-unsupported-vertical-centering-table-cell airy-vertical-centering-table-cell"&gt; &lt;div tabindex = "- 1" class = "airy-vertical-centering-wrapper airy-video-unsupported-elements -wrapper "&gt; &lt;div tabindex =" - 1 "class =" airy-video-unsupported-elements airy-dialog-elements "&gt; &lt;div tabindex =" - 1 "class =" airy-video-unsupported-prompt "&gt; &lt; / div&gt; &lt;/ div&gt; &lt;/ div&gt; &lt;/ div&gt; &lt;/ div&gt; &lt;div tabindex = "- 1" class = "airy-loading-spinner-stage airy-stage"&gt; &lt;div tabindex = "- 1" class = "airy-loading-spinner-vertical-centering-table-cell airy-vertical-centering-table-cell"&gt; &lt;div tabindex = "- 1" class = "airy-loading-spinner-container airy-scalable-hint -container "&gt; &lt;div tabindex =" - 1 "class =" airy-loading-spinner-dummy airy-scalable-dummy "&gt; &lt;/ div&gt; &lt;div tabindex = "- 1" class = "airy-loading-spinner airy-hint" style = "visibility: hidden;"&gt; &lt;/ div&gt; &lt;/ div&gt; &lt;/ div&gt; &lt;/ div&gt; &lt;div tabindex = "- 1" class = "airy-ads-screen-size-toggle airy-screen-size-toggle airy-fullscreen" style = "visibility: hidden;"&gt; &lt;/ div&gt; &lt;div tabindex = "- 1" class = "airy-ad -prompt-container "style =" visibility: hidden; "&gt; &lt;div tabindex =" - 1 "class =" airy-ad-prompt-vertical-centering-table airy-vertical-centering-table "&gt; &lt;div tabindex =" -1 "class =" airy-ad-prompt-vertical-centering-table-cell airy-vertical-centering-table-cell "&gt; &lt;div tabindex =" - 1 "class =" airy-ad-prompt-label "&gt; &lt;/ div&gt; &lt;/ div&gt; &lt;/ div&gt; &lt;/ div&gt; &lt;div tabindex = "- 1" class = "airy-ads-controls-container" style = "visibility: hidden;"&gt; &lt;div tabindex = "- 1 "class =" airy-ads-audio-toggle airy-audio-toggle airy-on "style =" visibility: hidden; "&gt; &lt;/ div&gt; &lt;div tabindex =" - 1 "class =" airy-time-remaining -label-container "&gt; &lt;div tabindex =" - 1 "class =" airy-time-remaining-vertical-centering-table airy-vertical-centering-table "&gt; &lt;div tabindex =" - 1 "class =" airy- time-remaining-vertical-center ing-table-cell airy-vertical-centering-table-cell "&gt; &lt;div tabindex =" - 1 "class =" airy-vertical-centering-wrapper airy-time-remaining-label-wrapper "&gt; &lt;div tabindex =" -1 "class =" airy-time-remaining-label "style =" visibility: hidden; "&gt; &lt;/ div&gt; &lt;div tabindex =" - 1 "class =" airy-ad-skip "style =" visibility: hidden ; "&gt; &lt;/ div&gt; &lt;div tabindex =" - 1 "class =" airy-ad-end "style =" visibility: hidden; "&gt; &lt;/ div&gt; &lt;/ div&gt; &lt;/ div&gt; &lt;/ div&gt; &lt; / div&gt; &lt;div tabindex = "- 1" class = "airy-learn-more" style = "visibility: hidden;"&gt; &lt;/ div&gt; &lt;/ div&gt; &lt;div tabindex = "- 1" class = "airy- play-toggle-hint-stage airy-stage airy-cursor "&gt; &lt;div tabindex =" - 1 "class =" airy-play-toggle-hint-vertical-centering-table-cell airy-vertical-centering-table-cell airy-cursor "&gt; &lt;div tabindex =" - 1 "class =" airy-play-toggle-hint-container airy-scalable-hint-container "&gt; &lt;div tabindex =" - 1 "class =" airy-play-toggle -hint-dummy airy-scalable-dummy "&gt; &lt;/ div&gt; &lt;div tabindex =" - 1 "class =" airy-play-toggle-hint airy-hint airy-play-hint "style =" opacity: 1; visibility : visible; "&gt; &lt;/ div&gt; &lt;/ div&gt; &lt;/ div&gt; &lt;/ div&gt; &lt;di v tabindex = "- 1" class = "airy-replay-hint-stage airy-stage" style = "visibility: hidden;"&gt; &lt;div tabindex = "- 1" class = "airy-replay-hint-vertical-centering -table-cell airy-vertical-centering-table-cell airy-cursor "&gt; &lt;div tabindex =" - 1 "class =" airy-replay-hint-container airy-scalable-hint-container "&gt; &lt;div tabindex =" -1 "class =" airy-replay-hint-dummy airy-scalable-dummy "&gt; &lt;/ div&gt; &lt;div tabindex =" - 1 "class =" airy-replay-hint airy-hint "&gt; &lt;/ div&gt; &lt; / div&gt; &lt;/ div&gt; &lt;/ div&gt; &lt;div tabindex = "- 1" class = "airy-autoplay-hint-stage airy-stage" style = "visibility: hidden;"&gt; &lt;div tabindex = "- 1" class = "airy-autoplay-hint-vertical-centering-table-cell airy-vertical-centering-table-cell airy-cursor"&gt; &lt;div tabindex = "- 1" class = "airy-autoplay-hint-container airy- scalable-hint-container "&gt; &lt;div tabindex =" - 1 "class =" airy-autoplay-hint-dummy airy-scalable-dummy "&gt; &lt;/ div&gt; &lt;/ div&gt; &lt;/ div&gt; &lt;/ div&gt; &lt;/ div&gt; &lt;/ div&gt; &lt;input type = "hidden" name = "" value = "https://images-cn.ssl-images-amazon.com/images/I/81oqrrtKBHS.mp4" class = "video-url "&gt; &lt;input type =" hidden "name =" " value = "https://images-cn.ssl-images-amazon.com/images/I/91a+plmua+S.png" class = "video-slate-img-url"&gt; &amp; nbsp; just open the package. One of them is bad. Vibration amplitude is small</v>
      </c>
    </row>
    <row r="5556">
      <c r="A5556" s="1">
        <v>4.0</v>
      </c>
      <c r="B5556" s="1" t="s">
        <v>5534</v>
      </c>
      <c r="C5556" t="str">
        <f>IFERROR(__xludf.DUMMYFUNCTION("GOOGLETRANSLATE(B5556, ""zh"", ""en"")"),"The old section of the smallest one with a lid &amp; gt; &amp; lt; old section that covered a minimum, the new not covered? Slightly disappointed")</f>
        <v>The old section of the smallest one with a lid &amp; gt; &amp; lt; old section that covered a minimum, the new not covered? Slightly disappointed</v>
      </c>
    </row>
    <row r="5557">
      <c r="A5557" s="1">
        <v>4.0</v>
      </c>
      <c r="B5557" s="1" t="s">
        <v>5535</v>
      </c>
      <c r="C5557" t="str">
        <f>IFERROR(__xludf.DUMMYFUNCTION("GOOGLETRANSLATE(B5557, ""zh"", ""en"")"),"Not so good, really bad left in cheap packaging, protection did not get our hands like Kaka found few seconds of shock moment, looked everyone's comments, seems to be a common problem, do not know will not hang, a little scared, shock big, kind of bigger "&amp;"than the desktop, quiet when he was buzzing, but fortunately, the country can turn newspaper")</f>
        <v>Not so good, really bad left in cheap packaging, protection did not get our hands like Kaka found few seconds of shock moment, looked everyone's comments, seems to be a common problem, do not know will not hang, a little scared, shock big, kind of bigger than the desktop, quiet when he was buzzing, but fortunately, the country can turn newspaper</v>
      </c>
    </row>
    <row r="5558">
      <c r="A5558" s="1">
        <v>4.0</v>
      </c>
      <c r="B5558" s="1" t="s">
        <v>5536</v>
      </c>
      <c r="C5558" t="str">
        <f>IFERROR(__xludf.DUMMYFUNCTION("GOOGLETRANSLATE(B5558, ""zh"", ""en"")"),"Good fine, no problem to use now")</f>
        <v>Good fine, no problem to use now</v>
      </c>
    </row>
    <row r="5559">
      <c r="A5559" s="1">
        <v>4.0</v>
      </c>
      <c r="B5559" s="1" t="s">
        <v>5537</v>
      </c>
      <c r="C5559" t="str">
        <f>IFERROR(__xludf.DUMMYFUNCTION("GOOGLETRANSLATE(B5559, ""zh"", ""en"")"),"em ...... I accept this brand of shoes do not come very expensive also knock feet never hit the bad review but not to accept the")</f>
        <v>em ...... I accept this brand of shoes do not come very expensive also knock feet never hit the bad review but not to accept the</v>
      </c>
    </row>
    <row r="5560">
      <c r="A5560" s="1">
        <v>4.0</v>
      </c>
      <c r="B5560" s="1" t="s">
        <v>5538</v>
      </c>
      <c r="C5560" t="str">
        <f>IFERROR(__xludf.DUMMYFUNCTION("GOOGLETRANSLATE(B5560, ""zh"", ""en"")"),"Very good 180,100KG. L just, a little tight")</f>
        <v>Very good 180,100KG. L just, a little tight</v>
      </c>
    </row>
    <row r="5561">
      <c r="A5561" s="1">
        <v>5.0</v>
      </c>
      <c r="B5561" s="1" t="s">
        <v>5539</v>
      </c>
      <c r="C5561" t="str">
        <f>IFERROR(__xludf.DUMMYFUNCTION("GOOGLETRANSLATE(B5561, ""zh"", ""en"")"),"More comfortable feeling tight chest a little tight texture is very comfortable")</f>
        <v>More comfortable feeling tight chest a little tight texture is very comfortable</v>
      </c>
    </row>
    <row r="5562">
      <c r="A5562" s="1">
        <v>5.0</v>
      </c>
      <c r="B5562" s="1" t="s">
        <v>5540</v>
      </c>
      <c r="C5562" t="str">
        <f>IFERROR(__xludf.DUMMYFUNCTION("GOOGLETRANSLATE(B5562, ""zh"", ""en"")"),"Pregnant mother is also very good use can wear a vest to sleep, very comfortable, clothing and body is a bit of a mesh, not warm very good. The wide chest, Ye Hao pregnant mother to wear, I was seven months, and still wear, praise ~!")</f>
        <v>Pregnant mother is also very good use can wear a vest to sleep, very comfortable, clothing and body is a bit of a mesh, not warm very good. The wide chest, Ye Hao pregnant mother to wear, I was seven months, and still wear, praise ~!</v>
      </c>
    </row>
    <row r="5563">
      <c r="A5563" s="1">
        <v>5.0</v>
      </c>
      <c r="B5563" s="1" t="s">
        <v>5541</v>
      </c>
      <c r="C5563" t="str">
        <f>IFERROR(__xludf.DUMMYFUNCTION("GOOGLETRANSLATE(B5563, ""zh"", ""en"")"),"Pen ink on a good reminder this is to be a single buy, I do not want domestic counter is ready. A blue ink bag")</f>
        <v>Pen ink on a good reminder this is to be a single buy, I do not want domestic counter is ready. A blue ink bag</v>
      </c>
    </row>
    <row r="5564">
      <c r="A5564" s="1">
        <v>5.0</v>
      </c>
      <c r="B5564" s="1" t="s">
        <v>5542</v>
      </c>
      <c r="C5564" t="str">
        <f>IFERROR(__xludf.DUMMYFUNCTION("GOOGLETRANSLATE(B5564, ""zh"", ""en"")"),"Small stethoscope slight effect, sound quality can be, the phone push the general effect. The price is good.")</f>
        <v>Small stethoscope slight effect, sound quality can be, the phone push the general effect. The price is good.</v>
      </c>
    </row>
    <row r="5565">
      <c r="A5565" s="1">
        <v>5.0</v>
      </c>
      <c r="B5565" s="1" t="s">
        <v>5543</v>
      </c>
      <c r="C5565" t="str">
        <f>IFERROR(__xludf.DUMMYFUNCTION("GOOGLETRANSLATE(B5565, ""zh"", ""en"")"),"UA fairly thick clothes domestic and Amazon still a bit of difference. Size small clothes on than the domestic one yard almost, I 172,69, m appropriate. A thin pile fabric, for 10-20 degree weather wear.")</f>
        <v>UA fairly thick clothes domestic and Amazon still a bit of difference. Size small clothes on than the domestic one yard almost, I 172,69, m appropriate. A thin pile fabric, for 10-20 degree weather wear.</v>
      </c>
    </row>
    <row r="5566">
      <c r="A5566" s="1">
        <v>5.0</v>
      </c>
      <c r="B5566" s="1" t="s">
        <v>5544</v>
      </c>
      <c r="C5566" t="str">
        <f>IFERROR(__xludf.DUMMYFUNCTION("GOOGLETRANSLATE(B5566, ""zh"", ""en"")"),"Great value! The cup is very beautiful, is the straw is hard plastic, not a hose, they are worthy of a cup sets, much cheaper than purchasing")</f>
        <v>Great value! The cup is very beautiful, is the straw is hard plastic, not a hose, they are worthy of a cup sets, much cheaper than purchasing</v>
      </c>
    </row>
    <row r="5567">
      <c r="A5567" s="1">
        <v>5.0</v>
      </c>
      <c r="B5567" s="1" t="s">
        <v>5545</v>
      </c>
      <c r="C5567" t="str">
        <f>IFERROR(__xludf.DUMMYFUNCTION("GOOGLETRANSLATE(B5567, ""zh"", ""en"")"),"Perfect son bought large domestic code buy good sea Amoy baby satisfied with the shopping is also good like this one will continue to Kazakhstan")</f>
        <v>Perfect son bought large domestic code buy good sea Amoy baby satisfied with the shopping is also good like this one will continue to Kazakhstan</v>
      </c>
    </row>
    <row r="5568">
      <c r="A5568" s="1">
        <v>5.0</v>
      </c>
      <c r="B5568" s="1" t="s">
        <v>5546</v>
      </c>
      <c r="C5568" t="str">
        <f>IFERROR(__xludf.DUMMYFUNCTION("GOOGLETRANSLATE(B5568, ""zh"", ""en"")"),"Very nice mug with Amazon prime, quite cheap to buy. Tiger this great bottle of paint, the feeling is not the kind of easy Diaoqi, bottle design is also good, although there is no lock, but on the bag will not inadvertently be opened; nice color, bright b"&amp;"ut not gaudy - the most important function is also holding out, the bottle is also very light, out of friends ~")</f>
        <v>Very nice mug with Amazon prime, quite cheap to buy. Tiger this great bottle of paint, the feeling is not the kind of easy Diaoqi, bottle design is also good, although there is no lock, but on the bag will not inadvertently be opened; nice color, bright but not gaudy - the most important function is also holding out, the bottle is also very light, out of friends ~</v>
      </c>
    </row>
    <row r="5569">
      <c r="A5569" s="1">
        <v>5.0</v>
      </c>
      <c r="B5569" s="1" t="s">
        <v>5547</v>
      </c>
      <c r="C5569" t="str">
        <f>IFERROR(__xludf.DUMMYFUNCTION("GOOGLETRANSLATE(B5569, ""zh"", ""en"")"),"Genuine good quality, authentic. I bought it for my friend.")</f>
        <v>Genuine good quality, authentic. I bought it for my friend.</v>
      </c>
    </row>
    <row r="5570">
      <c r="A5570" s="1">
        <v>5.0</v>
      </c>
      <c r="B5570" s="1" t="s">
        <v>5548</v>
      </c>
      <c r="C5570" t="str">
        <f>IFERROR(__xludf.DUMMYFUNCTION("GOOGLETRANSLATE(B5570, ""zh"", ""en"")"),"Cost-effective shoes quite right, the price was okay. It is produced to China, after China bought from Japan, really speechless.")</f>
        <v>Cost-effective shoes quite right, the price was okay. It is produced to China, after China bought from Japan, really speechless.</v>
      </c>
    </row>
    <row r="5571">
      <c r="A5571" s="1">
        <v>5.0</v>
      </c>
      <c r="B5571" s="1" t="s">
        <v>5549</v>
      </c>
      <c r="C5571" t="str">
        <f>IFERROR(__xludf.DUMMYFUNCTION("GOOGLETRANSLATE(B5571, ""zh"", ""en"")"),"Especially cost-effective six heads a good deal")</f>
        <v>Especially cost-effective six heads a good deal</v>
      </c>
    </row>
    <row r="5572">
      <c r="A5572" s="1">
        <v>5.0</v>
      </c>
      <c r="B5572" s="1" t="s">
        <v>5550</v>
      </c>
      <c r="C5572" t="str">
        <f>IFERROR(__xludf.DUMMYFUNCTION("GOOGLETRANSLATE(B5572, ""zh"", ""en"")"),"Good cotton, comfortable and breathable. it is good!")</f>
        <v>Good cotton, comfortable and breathable. it is good!</v>
      </c>
    </row>
    <row r="5573">
      <c r="A5573" s="1">
        <v>5.0</v>
      </c>
      <c r="B5573" s="1" t="s">
        <v>5551</v>
      </c>
      <c r="C5573" t="str">
        <f>IFERROR(__xludf.DUMMYFUNCTION("GOOGLETRANSLATE(B5573, ""zh"", ""en"")"),"SanDisk SanDisk is genuine, good will come back later")</f>
        <v>SanDisk SanDisk is genuine, good will come back later</v>
      </c>
    </row>
    <row r="5574">
      <c r="A5574" s="1">
        <v>5.0</v>
      </c>
      <c r="B5574" s="1" t="s">
        <v>5552</v>
      </c>
      <c r="C5574" t="str">
        <f>IFERROR(__xludf.DUMMYFUNCTION("GOOGLETRANSLATE(B5574, ""zh"", ""en"")"),"Well liked, very comfortable to wear")</f>
        <v>Well liked, very comfortable to wear</v>
      </c>
    </row>
    <row r="5575">
      <c r="A5575" s="1">
        <v>5.0</v>
      </c>
      <c r="B5575" s="1" t="s">
        <v>5553</v>
      </c>
      <c r="C5575" t="str">
        <f>IFERROR(__xludf.DUMMYFUNCTION("GOOGLETRANSLATE(B5575, ""zh"", ""en"")"),"Thrive cheap looking worse words")</f>
        <v>Thrive cheap looking worse words</v>
      </c>
    </row>
    <row r="5576">
      <c r="A5576" s="1">
        <v>5.0</v>
      </c>
      <c r="B5576" s="1" t="s">
        <v>5554</v>
      </c>
      <c r="C5576" t="str">
        <f>IFERROR(__xludf.DUMMYFUNCTION("GOOGLETRANSLATE(B5576, ""zh"", ""en"")"),"Good Very Good, men's 41 too difficult to buy, just good female models")</f>
        <v>Good Very Good, men's 41 too difficult to buy, just good female models</v>
      </c>
    </row>
    <row r="5577">
      <c r="A5577" s="1">
        <v>5.0</v>
      </c>
      <c r="B5577" s="1" t="s">
        <v>5555</v>
      </c>
      <c r="C5577" t="str">
        <f>IFERROR(__xludf.DUMMYFUNCTION("GOOGLETRANSLATE(B5577, ""zh"", ""en"")"),"Good used three brush brush, quite like this. Amazon much cheaper than other places! I'm not into the special tax of 108 when, for your reference! (Furthermore, it was mentioned to packaging, in fact, getting bigger tape pollution of the environment, I pe"&amp;"rsonally think the British-packaged very environmentally friendly, very good. And this lower cost than with tape and cardboard boxes ordinary cardboard boxes, do not think only use this to cut corners kinds of packaging. At least I bought no less than ten"&amp;" times, received the package are also in good condition.)")</f>
        <v>Good used three brush brush, quite like this. Amazon much cheaper than other places! I'm not into the special tax of 108 when, for your reference! (Furthermore, it was mentioned to packaging, in fact, getting bigger tape pollution of the environment, I personally think the British-packaged very environmentally friendly, very good. And this lower cost than with tape and cardboard boxes ordinary cardboard boxes, do not think only use this to cut corners kinds of packaging. At least I bought no less than ten times, received the package are also in good condition.)</v>
      </c>
    </row>
    <row r="5578">
      <c r="A5578" s="1">
        <v>5.0</v>
      </c>
      <c r="B5578" s="1" t="s">
        <v>3529</v>
      </c>
      <c r="C5578" t="str">
        <f>IFERROR(__xludf.DUMMYFUNCTION("GOOGLETRANSLATE(B5578, ""zh"", ""en"")"),"It can also be very good use. It can also be very good use.")</f>
        <v>It can also be very good use. It can also be very good use.</v>
      </c>
    </row>
    <row r="5579">
      <c r="A5579" s="1">
        <v>5.0</v>
      </c>
      <c r="B5579" s="1" t="s">
        <v>5556</v>
      </c>
      <c r="C5579" t="str">
        <f>IFERROR(__xludf.DUMMYFUNCTION("GOOGLETRANSLATE(B5579, ""zh"", ""en"")"),"Very good very good")</f>
        <v>Very good very good</v>
      </c>
    </row>
    <row r="5580">
      <c r="A5580" s="1">
        <v>5.0</v>
      </c>
      <c r="B5580" s="1" t="s">
        <v>5557</v>
      </c>
      <c r="C5580" t="str">
        <f>IFERROR(__xludf.DUMMYFUNCTION("GOOGLETRANSLATE(B5580, ""zh"", ""en"")"),"Soft and comfortable, generous, good quality worthy of the big brands, soft and comfortable fabric, models very significant figure, consistent size and expectations, very satisfied")</f>
        <v>Soft and comfortable, generous, good quality worthy of the big brands, soft and comfortable fabric, models very significant figure, consistent size and expectations, very satisfied</v>
      </c>
    </row>
    <row r="5581">
      <c r="A5581" s="1">
        <v>5.0</v>
      </c>
      <c r="B5581" s="1" t="s">
        <v>5558</v>
      </c>
      <c r="C5581" t="str">
        <f>IFERROR(__xludf.DUMMYFUNCTION("GOOGLETRANSLATE(B5581, ""zh"", ""en"")"),"Spoon work in general, but the price can also spoon work in general, but also cost-effective, relatively soft, really will change color when exposed to heat")</f>
        <v>Spoon work in general, but the price can also spoon work in general, but also cost-effective, relatively soft, really will change color when exposed to heat</v>
      </c>
    </row>
    <row r="5582">
      <c r="A5582" s="1">
        <v>5.0</v>
      </c>
      <c r="B5582" s="1" t="s">
        <v>5559</v>
      </c>
      <c r="C5582" t="str">
        <f>IFERROR(__xludf.DUMMYFUNCTION("GOOGLETRANSLATE(B5582, ""zh"", ""en"")"),"Casio Casio Men's AE-1000W-1AVDF Casio Casio Men's AE-1000W-1AVDF, ready to give the children a gift!")</f>
        <v>Casio Casio Men's AE-1000W-1AVDF Casio Casio Men's AE-1000W-1AVDF, ready to give the children a gift!</v>
      </c>
    </row>
    <row r="5583">
      <c r="A5583" s="1">
        <v>2.0</v>
      </c>
      <c r="B5583" s="1" t="s">
        <v>5560</v>
      </c>
      <c r="C5583" t="str">
        <f>IFERROR(__xludf.DUMMYFUNCTION("GOOGLETRANSLATE(B5583, ""zh"", ""en"")"),"Domestic goods without customs clearance of goods purchased overseas record feeling is not, there is no clearance record")</f>
        <v>Domestic goods without customs clearance of goods purchased overseas record feeling is not, there is no clearance record</v>
      </c>
    </row>
    <row r="5584">
      <c r="A5584" s="1">
        <v>3.0</v>
      </c>
      <c r="B5584" s="1" t="s">
        <v>5561</v>
      </c>
      <c r="C5584" t="str">
        <f>IFERROR(__xludf.DUMMYFUNCTION("GOOGLETRANSLATE(B5584, ""zh"", ""en"")"),"Not famous brand quality thread is not tight leg opening")</f>
        <v>Not famous brand quality thread is not tight leg opening</v>
      </c>
    </row>
    <row r="5585">
      <c r="A5585" s="1">
        <v>3.0</v>
      </c>
      <c r="B5585" s="1" t="s">
        <v>5562</v>
      </c>
      <c r="C5585" t="str">
        <f>IFERROR(__xludf.DUMMYFUNCTION("GOOGLETRANSLATE(B5585, ""zh"", ""en"")"),"The general quality of clothes too big, 178cm, 85kg, fat, but the clothes still very loose, ill-fitting, but the sleeves are too short, completely unable to wear, washing up on a shelf.")</f>
        <v>The general quality of clothes too big, 178cm, 85kg, fat, but the clothes still very loose, ill-fitting, but the sleeves are too short, completely unable to wear, washing up on a shelf.</v>
      </c>
    </row>
    <row r="5586">
      <c r="A5586" s="1">
        <v>1.0</v>
      </c>
      <c r="B5586" s="1" t="s">
        <v>5563</v>
      </c>
      <c r="C5586" t="str">
        <f>IFERROR(__xludf.DUMMYFUNCTION("GOOGLETRANSLATE(B5586, ""zh"", ""en"")"),"Too bad with regret, quickly rose cup of pregnancy, wearing a few times on the smaller, breast-feeding is not very convenient")</f>
        <v>Too bad with regret, quickly rose cup of pregnancy, wearing a few times on the smaller, breast-feeding is not very convenient</v>
      </c>
    </row>
    <row r="5587">
      <c r="A5587" s="1">
        <v>1.0</v>
      </c>
      <c r="B5587" s="1" t="s">
        <v>5564</v>
      </c>
      <c r="C5587" t="str">
        <f>IFERROR(__xludf.DUMMYFUNCTION("GOOGLETRANSLATE(B5587, ""zh"", ""en"")"),"Very thin, very bad times, pants, like, very thin. Description of goods a little unclear, directly pit.")</f>
        <v>Very thin, very bad times, pants, like, very thin. Description of goods a little unclear, directly pit.</v>
      </c>
    </row>
    <row r="5588">
      <c r="A5588" s="1">
        <v>1.0</v>
      </c>
      <c r="B5588" s="1" t="s">
        <v>5565</v>
      </c>
      <c r="C5588" t="str">
        <f>IFERROR(__xludf.DUMMYFUNCTION("GOOGLETRANSLATE(B5588, ""zh"", ""en"")"),"I used the most disgusting fountain pen, serious flying white! Serious white fly, no matter how clean are not used, the ink from the written music, white music, catfish has been switched to Pelikan, spared! The most funny is that comes with the ink sac fl"&amp;"y all white! Water intermittent, Parker fountain pens, ah, not as Pelikan steel tip ah! This quality is also bad!")</f>
        <v>I used the most disgusting fountain pen, serious flying white! Serious white fly, no matter how clean are not used, the ink from the written music, white music, catfish has been switched to Pelikan, spared! The most funny is that comes with the ink sac fly all white! Water intermittent, Parker fountain pens, ah, not as Pelikan steel tip ah! This quality is also bad!</v>
      </c>
    </row>
    <row r="5589">
      <c r="A5589" s="1">
        <v>4.0</v>
      </c>
      <c r="B5589" s="1" t="s">
        <v>5566</v>
      </c>
      <c r="C5589" t="str">
        <f>IFERROR(__xludf.DUMMYFUNCTION("GOOGLETRANSLATE(B5589, ""zh"", ""en"")"),"Good fabric feeling good, feeling very good quality, cotton material, very comfortable, size is too large, from single to start, from Wisconsin to me more than a week, the logistics is not bad")</f>
        <v>Good fabric feeling good, feeling very good quality, cotton material, very comfortable, size is too large, from single to start, from Wisconsin to me more than a week, the logistics is not bad</v>
      </c>
    </row>
    <row r="5590">
      <c r="A5590" s="1">
        <v>4.0</v>
      </c>
      <c r="B5590" s="1" t="s">
        <v>5567</v>
      </c>
      <c r="C5590" t="str">
        <f>IFERROR(__xludf.DUMMYFUNCTION("GOOGLETRANSLATE(B5590, ""zh"", ""en"")"),"Not picky optional price OK, 180,85kg, L Drawstring very simple, did not edging rubber band, it is estimated it will itch summer wear")</f>
        <v>Not picky optional price OK, 180,85kg, L Drawstring very simple, did not edging rubber band, it is estimated it will itch summer wear</v>
      </c>
    </row>
    <row r="5591">
      <c r="A5591" s="1">
        <v>4.0</v>
      </c>
      <c r="B5591" s="1" t="s">
        <v>5568</v>
      </c>
      <c r="C5591" t="str">
        <f>IFERROR(__xludf.DUMMYFUNCTION("GOOGLETRANSLATE(B5591, ""zh"", ""en"")"),"The basic shoes and almost expected, the color is a bit dark kind")</f>
        <v>The basic shoes and almost expected, the color is a bit dark kind</v>
      </c>
    </row>
    <row r="5592">
      <c r="A5592" s="1">
        <v>4.0</v>
      </c>
      <c r="B5592" s="1" t="s">
        <v>5569</v>
      </c>
      <c r="C5592" t="str">
        <f>IFERROR(__xludf.DUMMYFUNCTION("GOOGLETRANSLATE(B5592, ""zh"", ""en"")"),"Still prefer the slightly larger point, though, saying that the shoes are really heavy, ah, kind of deep color than the picture")</f>
        <v>Still prefer the slightly larger point, though, saying that the shoes are really heavy, ah, kind of deep color than the picture</v>
      </c>
    </row>
    <row r="5593">
      <c r="A5593" s="1">
        <v>5.0</v>
      </c>
      <c r="B5593" s="1" t="s">
        <v>5570</v>
      </c>
      <c r="C5593" t="str">
        <f>IFERROR(__xludf.DUMMYFUNCTION("GOOGLETRANSLATE(B5593, ""zh"", ""en"")"),"The fabric is very soft and comfortable fabrics, fine cotton, the feeling of Vietnamese origin version, not self-cultivation, liberal bias")</f>
        <v>The fabric is very soft and comfortable fabrics, fine cotton, the feeling of Vietnamese origin version, not self-cultivation, liberal bias</v>
      </c>
    </row>
    <row r="5594">
      <c r="A5594" s="1">
        <v>5.0</v>
      </c>
      <c r="B5594" s="1" t="s">
        <v>5571</v>
      </c>
      <c r="C5594" t="str">
        <f>IFERROR(__xludf.DUMMYFUNCTION("GOOGLETRANSLATE(B5594, ""zh"", ""en"")"),"Previously bought a nice dress particularly comfortable to walk foot is not tired of this event and see if there is an order to buy a pair a few days has received a pleasant shopping")</f>
        <v>Previously bought a nice dress particularly comfortable to walk foot is not tired of this event and see if there is an order to buy a pair a few days has received a pleasant shopping</v>
      </c>
    </row>
    <row r="5595">
      <c r="A5595" s="1">
        <v>5.0</v>
      </c>
      <c r="B5595" s="1" t="s">
        <v>5572</v>
      </c>
      <c r="C5595" t="str">
        <f>IFERROR(__xludf.DUMMYFUNCTION("GOOGLETRANSLATE(B5595, ""zh"", ""en"")"),"Really beautiful pots grade, really beautiful, with a really pleasant")</f>
        <v>Really beautiful pots grade, really beautiful, with a really pleasant</v>
      </c>
    </row>
    <row r="5596">
      <c r="A5596" s="1">
        <v>5.0</v>
      </c>
      <c r="B5596" s="1" t="s">
        <v>5573</v>
      </c>
      <c r="C5596" t="str">
        <f>IFERROR(__xludf.DUMMYFUNCTION("GOOGLETRANSLATE(B5596, ""zh"", ""en"")"),"Inexpensive very fit, the color is like")</f>
        <v>Inexpensive very fit, the color is like</v>
      </c>
    </row>
    <row r="5597">
      <c r="A5597" s="1">
        <v>5.0</v>
      </c>
      <c r="B5597" s="1" t="s">
        <v>5574</v>
      </c>
      <c r="C5597" t="str">
        <f>IFERROR(__xludf.DUMMYFUNCTION("GOOGLETRANSLATE(B5597, ""zh"", ""en"")"),"Strap a little stiff, time will not be cracked? Open the moment is very beautiful")</f>
        <v>Strap a little stiff, time will not be cracked? Open the moment is very beautiful</v>
      </c>
    </row>
    <row r="5598">
      <c r="A5598" s="1">
        <v>5.0</v>
      </c>
      <c r="B5598" s="1" t="s">
        <v>5575</v>
      </c>
      <c r="C5598" t="str">
        <f>IFERROR(__xludf.DUMMYFUNCTION("GOOGLETRANSLATE(B5598, ""zh"", ""en"")"),"Easy to use and can currently used the most comfortable brush clean toothbrush. It will repurchase.")</f>
        <v>Easy to use and can currently used the most comfortable brush clean toothbrush. It will repurchase.</v>
      </c>
    </row>
    <row r="5599">
      <c r="A5599" s="1">
        <v>5.0</v>
      </c>
      <c r="B5599" s="1" t="s">
        <v>5576</v>
      </c>
      <c r="C5599" t="str">
        <f>IFERROR(__xludf.DUMMYFUNCTION("GOOGLETRANSLATE(B5599, ""zh"", ""en"")"),"Good quality is good, the United States yards, two yards than usual to wear a small, just the right size!")</f>
        <v>Good quality is good, the United States yards, two yards than usual to wear a small, just the right size!</v>
      </c>
    </row>
    <row r="5600">
      <c r="A5600" s="1">
        <v>5.0</v>
      </c>
      <c r="B5600" s="1" t="s">
        <v>5577</v>
      </c>
      <c r="C5600" t="str">
        <f>IFERROR(__xludf.DUMMYFUNCTION("GOOGLETRANSLATE(B5600, ""zh"", ""en"")"),"Thousand dollars less than the monitor headphones, high cost. Receive the item very shocking, Amazon delivery is fast, 9:00 orders, 16:00 sent it. Beyerdynamic DT770 250 Euro originally difficult to push, push with Apple 5S, headphones sound better than a"&amp;" few hundred dollars a lot better, not harsh treble, prominent voices, three-dimensional sense of strong, although not bass dive deep but very soft, After listening particularly comfortable. If coupled with an amp online find a better reputation, about im"&amp;"itation A1 amp, five hundred. High cost.")</f>
        <v>Thousand dollars less than the monitor headphones, high cost. Receive the item very shocking, Amazon delivery is fast, 9:00 orders, 16:00 sent it. Beyerdynamic DT770 250 Euro originally difficult to push, push with Apple 5S, headphones sound better than a few hundred dollars a lot better, not harsh treble, prominent voices, three-dimensional sense of strong, although not bass dive deep but very soft, After listening particularly comfortable. If coupled with an amp online find a better reputation, about imitation A1 amp, five hundred. High cost.</v>
      </c>
    </row>
    <row r="5601">
      <c r="A5601" s="1">
        <v>5.0</v>
      </c>
      <c r="B5601" s="1" t="s">
        <v>5578</v>
      </c>
      <c r="C5601" t="str">
        <f>IFERROR(__xludf.DUMMYFUNCTION("GOOGLETRANSLATE(B5601, ""zh"", ""en"")"),"Worth buying shoes also good to see very light neutral section")</f>
        <v>Worth buying shoes also good to see very light neutral section</v>
      </c>
    </row>
    <row r="5602">
      <c r="A5602" s="1">
        <v>5.0</v>
      </c>
      <c r="B5602" s="1" t="s">
        <v>5579</v>
      </c>
      <c r="C5602" t="str">
        <f>IFERROR(__xludf.DUMMYFUNCTION("GOOGLETRANSLATE(B5602, ""zh"", ""en"")"),"Good clothes 170,70 kg, s good number, which can wear clothes thick point. Clothes fabric is very comfortable, soft. Collar and cuffs waist edge can not ball, very much.")</f>
        <v>Good clothes 170,70 kg, s good number, which can wear clothes thick point. Clothes fabric is very comfortable, soft. Collar and cuffs waist edge can not ball, very much.</v>
      </c>
    </row>
    <row r="5603">
      <c r="A5603" s="1">
        <v>5.0</v>
      </c>
      <c r="B5603" s="1" t="s">
        <v>5580</v>
      </c>
      <c r="C5603" t="str">
        <f>IFERROR(__xludf.DUMMYFUNCTION("GOOGLETRANSLATE(B5603, ""zh"", ""en"")"),"By Size Table minus 2 on the right to buy good shoes very comfortable 280 cm feet 10 yards shoes just right")</f>
        <v>By Size Table minus 2 on the right to buy good shoes very comfortable 280 cm feet 10 yards shoes just right</v>
      </c>
    </row>
    <row r="5604">
      <c r="A5604" s="1">
        <v>5.0</v>
      </c>
      <c r="B5604" s="1" t="s">
        <v>5581</v>
      </c>
      <c r="C5604" t="str">
        <f>IFERROR(__xludf.DUMMYFUNCTION("GOOGLETRANSLATE(B5604, ""zh"", ""en"")"),"Durable good to wear very nice, I liked it")</f>
        <v>Durable good to wear very nice, I liked it</v>
      </c>
    </row>
    <row r="5605">
      <c r="A5605" s="1">
        <v>5.0</v>
      </c>
      <c r="B5605" s="1" t="s">
        <v>5582</v>
      </c>
      <c r="C5605" t="str">
        <f>IFERROR(__xludf.DUMMYFUNCTION("GOOGLETRANSLATE(B5605, ""zh"", ""en"")"),"Color genuine good yesterday received, logistics beyond imagination, quality of the shoes with the same store, comfortable, nice color than the pictures")</f>
        <v>Color genuine good yesterday received, logistics beyond imagination, quality of the shoes with the same store, comfortable, nice color than the pictures</v>
      </c>
    </row>
    <row r="5606">
      <c r="A5606" s="1">
        <v>5.0</v>
      </c>
      <c r="B5606" s="1" t="s">
        <v>5583</v>
      </c>
      <c r="C5606" t="str">
        <f>IFERROR(__xludf.DUMMYFUNCTION("GOOGLETRANSLATE(B5606, ""zh"", ""en"")"),"Headphones feel very, very good, good workmanship")</f>
        <v>Headphones feel very, very good, good workmanship</v>
      </c>
    </row>
    <row r="5607">
      <c r="A5607" s="1">
        <v>5.0</v>
      </c>
      <c r="B5607" s="1" t="s">
        <v>5584</v>
      </c>
      <c r="C5607" t="str">
        <f>IFERROR(__xludf.DUMMYFUNCTION("GOOGLETRANSLATE(B5607, ""zh"", ""en"")"),"Liquid calcium, liquid calcium absorption is good, good absorption, high levels of vitamin D")</f>
        <v>Liquid calcium, liquid calcium absorption is good, good absorption, high levels of vitamin D</v>
      </c>
    </row>
    <row r="5608">
      <c r="A5608" s="1">
        <v>5.0</v>
      </c>
      <c r="B5608" s="1" t="s">
        <v>5585</v>
      </c>
      <c r="C5608" t="str">
        <f>IFERROR(__xludf.DUMMYFUNCTION("GOOGLETRANSLATE(B5608, ""zh"", ""en"")"),"This handy cup cup insulation effect is super good, very convenient to carry.")</f>
        <v>This handy cup cup insulation effect is super good, very convenient to carry.</v>
      </c>
    </row>
    <row r="5609">
      <c r="A5609" s="1">
        <v>5.0</v>
      </c>
      <c r="B5609" s="1" t="s">
        <v>5586</v>
      </c>
      <c r="C5609" t="str">
        <f>IFERROR(__xludf.DUMMYFUNCTION("GOOGLETRANSLATE(B5609, ""zh"", ""en"")"),"I do not know why a little surprised, this smell, but based on good insulation properties, the refundable")</f>
        <v>I do not know why a little surprised, this smell, but based on good insulation properties, the refundable</v>
      </c>
    </row>
    <row r="5610">
      <c r="A5610" s="1">
        <v>5.0</v>
      </c>
      <c r="B5610" s="1" t="s">
        <v>5587</v>
      </c>
      <c r="C5610" t="str">
        <f>IFERROR(__xludf.DUMMYFUNCTION("GOOGLETRANSLATE(B5610, ""zh"", ""en"")"),"As expected good-looking good-looking shoes, wear a little time board feet")</f>
        <v>As expected good-looking good-looking shoes, wear a little time board feet</v>
      </c>
    </row>
    <row r="5611">
      <c r="A5611" s="1">
        <v>5.0</v>
      </c>
      <c r="B5611" s="1" t="s">
        <v>5588</v>
      </c>
      <c r="C5611" t="str">
        <f>IFERROR(__xludf.DUMMYFUNCTION("GOOGLETRANSLATE(B5611, ""zh"", ""en"")"),"Very good vitamin is very good, taste good, children like.")</f>
        <v>Very good vitamin is very good, taste good, children like.</v>
      </c>
    </row>
    <row r="5612">
      <c r="A5612" s="1">
        <v>5.0</v>
      </c>
      <c r="B5612" s="1" t="s">
        <v>5589</v>
      </c>
      <c r="C5612" t="str">
        <f>IFERROR(__xludf.DUMMYFUNCTION("GOOGLETRANSLATE(B5612, ""zh"", ""en"")"),"No scattered no bump my second box Perak Malaysia this price really good price is almost half of the original price! Quality impress soft heart, beautiful color, smooth strokes that Americans packaging boast about ......")</f>
        <v>No scattered no bump my second box Perak Malaysia this price really good price is almost half of the original price! Quality impress soft heart, beautiful color, smooth strokes that Americans packaging boast about ......</v>
      </c>
    </row>
    <row r="5613">
      <c r="A5613" s="1">
        <v>5.0</v>
      </c>
      <c r="B5613" s="1" t="s">
        <v>5590</v>
      </c>
      <c r="C5613" t="str">
        <f>IFERROR(__xludf.DUMMYFUNCTION("GOOGLETRANSLATE(B5613, ""zh"", ""en"")"),"Good recently I bought a pen, writing music in addition to this other very popular. This waited more than a month before delivery, but still worth it, 21k flat top look pretty, writing Chinese characters to write good indeed, but relatively short stature,"&amp;" and the largest m800 hands compared to the thickness difference of just a few but long a lot of people estimate that a large hand with the effort. The pen seems not very good buy now, tb seems to have sold more than 900 but a very few, compared to the Am"&amp;"azon price is relatively affordable and secure.")</f>
        <v>Good recently I bought a pen, writing music in addition to this other very popular. This waited more than a month before delivery, but still worth it, 21k flat top look pretty, writing Chinese characters to write good indeed, but relatively short stature, and the largest m800 hands compared to the thickness difference of just a few but long a lot of people estimate that a large hand with the effort. The pen seems not very good buy now, tb seems to have sold more than 900 but a very few, compared to the Amazon price is relatively affordable and secure.</v>
      </c>
    </row>
    <row r="5614">
      <c r="A5614" s="1">
        <v>5.0</v>
      </c>
      <c r="B5614" s="1" t="s">
        <v>5591</v>
      </c>
      <c r="C5614" t="str">
        <f>IFERROR(__xludf.DUMMYFUNCTION("GOOGLETRANSLATE(B5614, ""zh"", ""en"")"),"Very good microphone with a completely different frame software can be used with two hundred singing online")</f>
        <v>Very good microphone with a completely different frame software can be used with two hundred singing online</v>
      </c>
    </row>
    <row r="5615">
      <c r="A5615" s="1">
        <v>2.0</v>
      </c>
      <c r="B5615" s="1" t="s">
        <v>5592</v>
      </c>
      <c r="C5615" t="str">
        <f>IFERROR(__xludf.DUMMYFUNCTION("GOOGLETRANSLATE(B5615, ""zh"", ""en"")"),"Two 🈚️ product? 🈚️ law bright display; 🈚️ Chinese manual (a serious shortage)")</f>
        <v>Two 🈚️ product? 🈚️ law bright display; 🈚️ Chinese manual (a serious shortage)</v>
      </c>
    </row>
    <row r="5616">
      <c r="A5616" s="1">
        <v>3.0</v>
      </c>
      <c r="B5616" s="1" t="s">
        <v>5593</v>
      </c>
      <c r="C5616" t="str">
        <f>IFERROR(__xludf.DUMMYFUNCTION("GOOGLETRANSLATE(B5616, ""zh"", ""en"")"),"The price drop, labels on things and buy when the price of 235 yuan is not the same numbers drop, labels on things and buy 235 yuan when the label is not the same, not the same quality is not it? ? ? ? ?")</f>
        <v>The price drop, labels on things and buy when the price of 235 yuan is not the same numbers drop, labels on things and buy 235 yuan when the label is not the same, not the same quality is not it? ? ? ? ?</v>
      </c>
    </row>
    <row r="5617">
      <c r="A5617" s="1">
        <v>3.0</v>
      </c>
      <c r="B5617" s="1" t="s">
        <v>5594</v>
      </c>
      <c r="C5617" t="str">
        <f>IFERROR(__xludf.DUMMYFUNCTION("GOOGLETRANSLATE(B5617, ""zh"", ""en"")"),"Generally like black, it had been washed, but there are still many wear black lint.")</f>
        <v>Generally like black, it had been washed, but there are still many wear black lint.</v>
      </c>
    </row>
    <row r="5618">
      <c r="A5618" s="1">
        <v>1.0</v>
      </c>
      <c r="B5618" s="1" t="s">
        <v>5595</v>
      </c>
      <c r="C5618" t="str">
        <f>IFERROR(__xludf.DUMMYFUNCTION("GOOGLETRANSLATE(B5618, ""zh"", ""en"")"),"Quality problems happily received courier, the results after the open found this dress actually no tag, collar and off-line, and Amazon returns trouble, really very silent")</f>
        <v>Quality problems happily received courier, the results after the open found this dress actually no tag, collar and off-line, and Amazon returns trouble, really very silent</v>
      </c>
    </row>
    <row r="5619">
      <c r="A5619" s="1">
        <v>1.0</v>
      </c>
      <c r="B5619" s="1" t="s">
        <v>5596</v>
      </c>
      <c r="C5619" t="str">
        <f>IFERROR(__xludf.DUMMYFUNCTION("GOOGLETRANSLATE(B5619, ""zh"", ""en"")"),"Poor quality of the right size, but this quality, this work is too rough it, very disappointed")</f>
        <v>Poor quality of the right size, but this quality, this work is too rough it, very disappointed</v>
      </c>
    </row>
    <row r="5620">
      <c r="A5620" s="1">
        <v>4.0</v>
      </c>
      <c r="B5620" s="1" t="s">
        <v>5597</v>
      </c>
      <c r="C5620" t="str">
        <f>IFERROR(__xludf.DUMMYFUNCTION("GOOGLETRANSLATE(B5620, ""zh"", ""en"")"),"Okay it did not smell plastic taste, not too thick")</f>
        <v>Okay it did not smell plastic taste, not too thick</v>
      </c>
    </row>
    <row r="5621">
      <c r="A5621" s="1">
        <v>4.0</v>
      </c>
      <c r="B5621" s="1" t="s">
        <v>5598</v>
      </c>
      <c r="C5621" t="str">
        <f>IFERROR(__xludf.DUMMYFUNCTION("GOOGLETRANSLATE(B5621, ""zh"", ""en"")"),"Satisfaction or 38.5 yards usually wear shoes 38, 38 for this code is not suitable for wide feet.")</f>
        <v>Satisfaction or 38.5 yards usually wear shoes 38, 38 for this code is not suitable for wide feet.</v>
      </c>
    </row>
    <row r="5622">
      <c r="A5622" s="1">
        <v>4.0</v>
      </c>
      <c r="B5622" s="1" t="s">
        <v>5599</v>
      </c>
      <c r="C5622" t="str">
        <f>IFERROR(__xludf.DUMMYFUNCTION("GOOGLETRANSLATE(B5622, ""zh"", ""en"")"),"Also quite lovely spoon handle very thick but the quality did not imagine a good friend of stainless steel spoon looked good packaging is not smooth")</f>
        <v>Also quite lovely spoon handle very thick but the quality did not imagine a good friend of stainless steel spoon looked good packaging is not smooth</v>
      </c>
    </row>
    <row r="5623">
      <c r="A5623" s="1">
        <v>4.0</v>
      </c>
      <c r="B5623" s="1" t="s">
        <v>5600</v>
      </c>
      <c r="C5623" t="str">
        <f>IFERROR(__xludf.DUMMYFUNCTION("GOOGLETRANSLATE(B5623, ""zh"", ""en"")"),"Good shoes, size 43 yards is too large or too big. Clarks shoe size is very unstable. Buy a lot of shoes, is not allowed to grasp. Usually buy shoes 42 yards, he had bought the same size of Clarks, small, had to change. This because overseas purchase, rep"&amp;"lacement trouble, bought 43 yards, feeling great not to go, the result of a tragedy! Such size, should buy 42 yards is appropriate, ~ hey")</f>
        <v>Good shoes, size 43 yards is too large or too big. Clarks shoe size is very unstable. Buy a lot of shoes, is not allowed to grasp. Usually buy shoes 42 yards, he had bought the same size of Clarks, small, had to change. This because overseas purchase, replacement trouble, bought 43 yards, feeling great not to go, the result of a tragedy! Such size, should buy 42 yards is appropriate, ~ hey</v>
      </c>
    </row>
    <row r="5624">
      <c r="A5624" s="1">
        <v>4.0</v>
      </c>
      <c r="B5624" s="1" t="s">
        <v>5601</v>
      </c>
      <c r="C5624" t="str">
        <f>IFERROR(__xludf.DUMMYFUNCTION("GOOGLETRANSLATE(B5624, ""zh"", ""en"")"),"Sound clip ear, sound good")</f>
        <v>Sound clip ear, sound good</v>
      </c>
    </row>
    <row r="5625">
      <c r="A5625" s="1">
        <v>5.0</v>
      </c>
      <c r="B5625" s="1" t="s">
        <v>5602</v>
      </c>
      <c r="C5625" t="str">
        <f>IFERROR(__xludf.DUMMYFUNCTION("GOOGLETRANSLATE(B5625, ""zh"", ""en"")"),"Praise, sea buy a lot cheaper than the domestic general alas open sound, listen to the next sound better slowly, only after listening to day, but also to burn down.")</f>
        <v>Praise, sea buy a lot cheaper than the domestic general alas open sound, listen to the next sound better slowly, only after listening to day, but also to burn down.</v>
      </c>
    </row>
    <row r="5626">
      <c r="A5626" s="1">
        <v>5.0</v>
      </c>
      <c r="B5626" s="1" t="s">
        <v>5603</v>
      </c>
      <c r="C5626" t="str">
        <f>IFERROR(__xludf.DUMMYFUNCTION("GOOGLETRANSLATE(B5626, ""zh"", ""en"")"),"Good, one thousand yuan price, direct push from the point of listening to music, the best big ears modeling drawback is too low, somewhat less comfort")</f>
        <v>Good, one thousand yuan price, direct push from the point of listening to music, the best big ears modeling drawback is too low, somewhat less comfort</v>
      </c>
    </row>
    <row r="5627">
      <c r="A5627" s="1">
        <v>5.0</v>
      </c>
      <c r="B5627" s="1" t="s">
        <v>5604</v>
      </c>
      <c r="C5627" t="str">
        <f>IFERROR(__xludf.DUMMYFUNCTION("GOOGLETRANSLATE(B5627, ""zh"", ""en"")"),"😜 like in the country to buy the right size, bought this, well, comfortable to wear, I think the size is just right, the addition of a new way to buy underwear heart")</f>
        <v>😜 like in the country to buy the right size, bought this, well, comfortable to wear, I think the size is just right, the addition of a new way to buy underwear heart</v>
      </c>
    </row>
    <row r="5628">
      <c r="A5628" s="1">
        <v>5.0</v>
      </c>
      <c r="B5628" s="1" t="s">
        <v>5605</v>
      </c>
      <c r="C5628" t="str">
        <f>IFERROR(__xludf.DUMMYFUNCTION("GOOGLETRANSLATE(B5628, ""zh"", ""en"")"),"AIU price really cheap, less than half of the country. Perfect shoes to wear men's shoes, usually wear Nike sneakers 40. The read a lot of comments, the final selection of 39 female models, is 8 yards wide version of the United States, a perfect fit, main"&amp;"ly because the minimum 40 male models are also big, only buy this one. Meyer then shipped very slow, to Beijing spent a total of 15 days to get half a month, shipments of which spent nine days, in fact, was the final hand operation for six days, and if ea"&amp;"rly delivery, already got. Then talk about the shoes, put an iron hand to take down the sign, because there is no, there is little difference between men and men of color, female models more yellowish. Initially not worn these shoes, feeling a little hard"&amp;", but wear two days would be much better, now very suitable, mostly with no pants look good, mainly to make the upper light out, good-looking, value of.")</f>
        <v>AIU price really cheap, less than half of the country. Perfect shoes to wear men's shoes, usually wear Nike sneakers 40. The read a lot of comments, the final selection of 39 female models, is 8 yards wide version of the United States, a perfect fit, mainly because the minimum 40 male models are also big, only buy this one. Meyer then shipped very slow, to Beijing spent a total of 15 days to get half a month, shipments of which spent nine days, in fact, was the final hand operation for six days, and if early delivery, already got. Then talk about the shoes, put an iron hand to take down the sign, because there is no, there is little difference between men and men of color, female models more yellowish. Initially not worn these shoes, feeling a little hard, but wear two days would be much better, now very suitable, mostly with no pants look good, mainly to make the upper light out, good-looking, value of.</v>
      </c>
    </row>
    <row r="5629">
      <c r="A5629" s="1">
        <v>5.0</v>
      </c>
      <c r="B5629" s="1" t="s">
        <v>5606</v>
      </c>
      <c r="C5629" t="str">
        <f>IFERROR(__xludf.DUMMYFUNCTION("GOOGLETRANSLATE(B5629, ""zh"", ""en"")"),"Good little expensive. My heart I am the only one")</f>
        <v>Good little expensive. My heart I am the only one</v>
      </c>
    </row>
    <row r="5630">
      <c r="A5630" s="1">
        <v>5.0</v>
      </c>
      <c r="B5630" s="1" t="s">
        <v>5607</v>
      </c>
      <c r="C5630" t="str">
        <f>IFERROR(__xludf.DUMMYFUNCTION("GOOGLETRANSLATE(B5630, ""zh"", ""en"")"),"Very good very thick, very comfortable to wear, very good.")</f>
        <v>Very good very thick, very comfortable to wear, very good.</v>
      </c>
    </row>
    <row r="5631">
      <c r="A5631" s="1">
        <v>5.0</v>
      </c>
      <c r="B5631" s="1" t="s">
        <v>5608</v>
      </c>
      <c r="C5631" t="str">
        <f>IFERROR(__xludf.DUMMYFUNCTION("GOOGLETRANSLATE(B5631, ""zh"", ""en"")"),"Cost-effective, good price much more cost-effective than the Lynx, compared with C store almost, but Amazon will be a complete victory in the sale, very good. Amazon's customer service response is very timely, five-star praise. Because it is scouring the "&amp;"sea, logistics will be a little lack of points, but also can understand.")</f>
        <v>Cost-effective, good price much more cost-effective than the Lynx, compared with C store almost, but Amazon will be a complete victory in the sale, very good. Amazon's customer service response is very timely, five-star praise. Because it is scouring the sea, logistics will be a little lack of points, but also can understand.</v>
      </c>
    </row>
    <row r="5632">
      <c r="A5632" s="1">
        <v>5.0</v>
      </c>
      <c r="B5632" s="1" t="s">
        <v>5609</v>
      </c>
      <c r="C5632" t="str">
        <f>IFERROR(__xludf.DUMMYFUNCTION("GOOGLETRANSLATE(B5632, ""zh"", ""en"")"),"SSD super good buy solid state drive black five activities a lot cheaper than domestic. Replace the existing traditional hard drives, Samsung's SSD speed is fast.")</f>
        <v>SSD super good buy solid state drive black five activities a lot cheaper than domestic. Replace the existing traditional hard drives, Samsung's SSD speed is fast.</v>
      </c>
    </row>
    <row r="5633">
      <c r="A5633" s="1">
        <v>5.0</v>
      </c>
      <c r="B5633" s="1" t="s">
        <v>5610</v>
      </c>
      <c r="C5633" t="str">
        <f>IFERROR(__xludf.DUMMYFUNCTION("GOOGLETRANSLATE(B5633, ""zh"", ""en"")"),"5.1 good good night given the goods on to the No. 2 shipping uncle attitude very good thing good watch dial is a clear plastic strap, but by no means the kind of low-grade goods on the kind of spread continues to support the outstanding ~~")</f>
        <v>5.1 good good night given the goods on to the No. 2 shipping uncle attitude very good thing good watch dial is a clear plastic strap, but by no means the kind of low-grade goods on the kind of spread continues to support the outstanding ~~</v>
      </c>
    </row>
    <row r="5634">
      <c r="A5634" s="1">
        <v>5.0</v>
      </c>
      <c r="B5634" s="1" t="s">
        <v>5611</v>
      </c>
      <c r="C5634" t="str">
        <f>IFERROR(__xludf.DUMMYFUNCTION("GOOGLETRANSLATE(B5634, ""zh"", ""en"")"),"Bag very good, is open taste a little big bag very good, is open taste a little big")</f>
        <v>Bag very good, is open taste a little big bag very good, is open taste a little big</v>
      </c>
    </row>
    <row r="5635">
      <c r="A5635" s="1">
        <v>5.0</v>
      </c>
      <c r="B5635" s="1" t="s">
        <v>5612</v>
      </c>
      <c r="C5635" t="str">
        <f>IFERROR(__xludf.DUMMYFUNCTION("GOOGLETRANSLATE(B5635, ""zh"", ""en"")"),"Sony headphones affordable, is genuine, very easy to use, battery life is very long, very satisfied")</f>
        <v>Sony headphones affordable, is genuine, very easy to use, battery life is very long, very satisfied</v>
      </c>
    </row>
    <row r="5636">
      <c r="A5636" s="1">
        <v>5.0</v>
      </c>
      <c r="B5636" s="1" t="s">
        <v>5613</v>
      </c>
      <c r="C5636" t="str">
        <f>IFERROR(__xludf.DUMMYFUNCTION("GOOGLETRANSLATE(B5636, ""zh"", ""en"")"),"Down clothes well, a few days ago to minus 5 degrees inside cashmere sweater, wearing it is not cold outside, like to buy the normal size, 160cm.53 kg to buy s number.")</f>
        <v>Down clothes well, a few days ago to minus 5 degrees inside cashmere sweater, wearing it is not cold outside, like to buy the normal size, 160cm.53 kg to buy s number.</v>
      </c>
    </row>
    <row r="5637">
      <c r="A5637" s="1">
        <v>5.0</v>
      </c>
      <c r="B5637" s="1" t="s">
        <v>5614</v>
      </c>
      <c r="C5637" t="str">
        <f>IFERROR(__xludf.DUMMYFUNCTION("GOOGLETRANSLATE(B5637, ""zh"", ""en"")"),"Can 180.90kg wear suitable, good color, degree of warmth to be tested, the British sent to Beijing six days, for reference")</f>
        <v>Can 180.90kg wear suitable, good color, degree of warmth to be tested, the British sent to Beijing six days, for reference</v>
      </c>
    </row>
    <row r="5638">
      <c r="A5638" s="1">
        <v>5.0</v>
      </c>
      <c r="B5638" s="1" t="s">
        <v>5615</v>
      </c>
      <c r="C5638" t="str">
        <f>IFERROR(__xludf.DUMMYFUNCTION("GOOGLETRANSLATE(B5638, ""zh"", ""en"")"),"The clothes are very satisfied with very good clothes, Bangladesh production, quality and appearance are very good, but a little fancy, a little old man wearing inappropriate us this half, suitable for young people to wear")</f>
        <v>The clothes are very satisfied with very good clothes, Bangladesh production, quality and appearance are very good, but a little fancy, a little old man wearing inappropriate us this half, suitable for young people to wear</v>
      </c>
    </row>
    <row r="5639">
      <c r="A5639" s="1">
        <v>5.0</v>
      </c>
      <c r="B5639" s="1" t="s">
        <v>5616</v>
      </c>
      <c r="C5639" t="str">
        <f>IFERROR(__xludf.DUMMYFUNCTION("GOOGLETRANSLATE(B5639, ""zh"", ""en"")"),"Shoes, the very type of good, did not buy the right size, buy a freshman code, the very type of shoes, like.")</f>
        <v>Shoes, the very type of good, did not buy the right size, buy a freshman code, the very type of shoes, like.</v>
      </c>
    </row>
    <row r="5640">
      <c r="A5640" s="1">
        <v>5.0</v>
      </c>
      <c r="B5640" s="1" t="s">
        <v>5617</v>
      </c>
      <c r="C5640" t="str">
        <f>IFERROR(__xludf.DUMMYFUNCTION("GOOGLETRANSLATE(B5640, ""zh"", ""en"")"),"Easy to replace easily replaced")</f>
        <v>Easy to replace easily replaced</v>
      </c>
    </row>
    <row r="5641">
      <c r="A5641" s="1">
        <v>5.0</v>
      </c>
      <c r="B5641" s="1" t="s">
        <v>5618</v>
      </c>
      <c r="C5641" t="str">
        <f>IFERROR(__xludf.DUMMYFUNCTION("GOOGLETRANSLATE(B5641, ""zh"", ""en"")"),"Overall good, a good fit to wear pajamas or inside the shirt quality, quite satisfactory, the fabric is thin, suitable for wear on the inside or when pajamas")</f>
        <v>Overall good, a good fit to wear pajamas or inside the shirt quality, quite satisfactory, the fabric is thin, suitable for wear on the inside or when pajamas</v>
      </c>
    </row>
    <row r="5642">
      <c r="A5642" s="1">
        <v>5.0</v>
      </c>
      <c r="B5642" s="1" t="s">
        <v>5619</v>
      </c>
      <c r="C5642" t="str">
        <f>IFERROR(__xludf.DUMMYFUNCTION("GOOGLETRANSLATE(B5642, ""zh"", ""en"")"),"Satisfaction appropriate, 164cm, 132 pounds, M workmanship Bimei version served good luck, and soon")</f>
        <v>Satisfaction appropriate, 164cm, 132 pounds, M workmanship Bimei version served good luck, and soon</v>
      </c>
    </row>
    <row r="5643">
      <c r="A5643" s="1">
        <v>5.0</v>
      </c>
      <c r="B5643" s="1" t="s">
        <v>5620</v>
      </c>
      <c r="C5643" t="str">
        <f>IFERROR(__xludf.DUMMYFUNCTION("GOOGLETRANSLATE(B5643, ""zh"", ""en"")"),"Insulation, light, really great to my family already four thermos, but only one can insulation. In order usually have to buy another easy to carry out this exercise, the main consideration is that the cap can not drink out of the bottle. Get our hands on "&amp;"with the, unexpected feeling good, but also keeps them warm and light. I do not accidentally fell on the concrete floor, actually did not see the dents, paint did not fall. Fame is not really true.")</f>
        <v>Insulation, light, really great to my family already four thermos, but only one can insulation. In order usually have to buy another easy to carry out this exercise, the main consideration is that the cap can not drink out of the bottle. Get our hands on with the, unexpected feeling good, but also keeps them warm and light. I do not accidentally fell on the concrete floor, actually did not see the dents, paint did not fall. Fame is not really true.</v>
      </c>
    </row>
    <row r="5644">
      <c r="A5644" s="1">
        <v>5.0</v>
      </c>
      <c r="B5644" s="1" t="s">
        <v>5621</v>
      </c>
      <c r="C5644" t="str">
        <f>IFERROR(__xludf.DUMMYFUNCTION("GOOGLETRANSLATE(B5644, ""zh"", ""en"")"),"Very satisfied with less than a week I received an unexpected, just right, good")</f>
        <v>Very satisfied with less than a week I received an unexpected, just right, good</v>
      </c>
    </row>
    <row r="5645">
      <c r="A5645" s="1">
        <v>5.0</v>
      </c>
      <c r="B5645" s="1" t="s">
        <v>5622</v>
      </c>
      <c r="C5645" t="str">
        <f>IFERROR(__xludf.DUMMYFUNCTION("GOOGLETRANSLATE(B5645, ""zh"", ""en"")"),"Compression clothing, good quality clothes this compression quality is very good, I 175/85, wearing some tight, as motivation to lose weight now! Quality good, very good")</f>
        <v>Compression clothing, good quality clothes this compression quality is very good, I 175/85, wearing some tight, as motivation to lose weight now! Quality good, very good</v>
      </c>
    </row>
    <row r="5646">
      <c r="A5646" s="1">
        <v>5.0</v>
      </c>
      <c r="B5646" s="1" t="s">
        <v>5623</v>
      </c>
      <c r="C5646" t="str">
        <f>IFERROR(__xludf.DUMMYFUNCTION("GOOGLETRANSLATE(B5646, ""zh"", ""en"")"),"Very comfortable, very comfortable slightly larger code, code slightly larger, can choose a smaller size")</f>
        <v>Very comfortable, very comfortable slightly larger code, code slightly larger, can choose a smaller size</v>
      </c>
    </row>
    <row r="5647">
      <c r="A5647" s="1">
        <v>2.0</v>
      </c>
      <c r="B5647" s="1" t="s">
        <v>5624</v>
      </c>
      <c r="C5647" t="str">
        <f>IFERROR(__xludf.DUMMYFUNCTION("GOOGLETRANSLATE(B5647, ""zh"", ""en"")"),"There are plastic cuffs! ! ! Double cuff part which has no choice but to open rustling plastic cuffs uncovered so much! ! ! Sticky side of the kind! ! ! What is work, how test? ! He urged Amazon to the argument! ! ! !")</f>
        <v>There are plastic cuffs! ! ! Double cuff part which has no choice but to open rustling plastic cuffs uncovered so much! ! ! Sticky side of the kind! ! ! What is work, how test? ! He urged Amazon to the argument! ! ! !</v>
      </c>
    </row>
    <row r="5648">
      <c r="A5648" s="1">
        <v>3.0</v>
      </c>
      <c r="B5648" s="1" t="s">
        <v>5625</v>
      </c>
      <c r="C5648" t="str">
        <f>IFERROR(__xludf.DUMMYFUNCTION("GOOGLETRANSLATE(B5648, ""zh"", ""en"")"),"One thing that the quality of the clothes on the line did not sew the bag part ......")</f>
        <v>One thing that the quality of the clothes on the line did not sew the bag part ......</v>
      </c>
    </row>
    <row r="5649">
      <c r="A5649" s="1">
        <v>3.0</v>
      </c>
      <c r="B5649" s="1" t="s">
        <v>5626</v>
      </c>
      <c r="C5649" t="str">
        <f>IFERROR(__xludf.DUMMYFUNCTION("GOOGLETRANSLATE(B5649, ""zh"", ""en"")"),"Fade dregs opened to wash, not just fade, is simply the dregs. Wash a lot of times the water was a light blue. India produced flattered by w")</f>
        <v>Fade dregs opened to wash, not just fade, is simply the dregs. Wash a lot of times the water was a light blue. India produced flattered by w</v>
      </c>
    </row>
    <row r="5650">
      <c r="A5650" s="1">
        <v>1.0</v>
      </c>
      <c r="B5650" s="1" t="s">
        <v>5627</v>
      </c>
      <c r="C5650" t="str">
        <f>IFERROR(__xludf.DUMMYFUNCTION("GOOGLETRANSLATE(B5650, ""zh"", ""en"")"),"Melted melted all")</f>
        <v>Melted melted all</v>
      </c>
    </row>
    <row r="5651">
      <c r="A5651" s="1">
        <v>1.0</v>
      </c>
      <c r="B5651" s="1" t="s">
        <v>5628</v>
      </c>
      <c r="C5651" t="str">
        <f>IFERROR(__xludf.DUMMYFUNCTION("GOOGLETRANSLATE(B5651, ""zh"", ""en"")"),"For the first time in the Amazon shopping Tete What trouble to buy big, I want to return re-buy, the result of too much trouble, even if the fight did not pick up the tab and take it to send people do not know where to send ... very dissatisfied,")</f>
        <v>For the first time in the Amazon shopping Tete What trouble to buy big, I want to return re-buy, the result of too much trouble, even if the fight did not pick up the tab and take it to send people do not know where to send ... very dissatisfied,</v>
      </c>
    </row>
    <row r="5652">
      <c r="A5652" s="1">
        <v>1.0</v>
      </c>
      <c r="B5652" s="1" t="s">
        <v>5629</v>
      </c>
      <c r="C5652" t="str">
        <f>IFERROR(__xludf.DUMMYFUNCTION("GOOGLETRANSLATE(B5652, ""zh"", ""en"")"),"Poor do not understand why this is a white ribbon, lining uncomfortable, stiff, feeling not wear")</f>
        <v>Poor do not understand why this is a white ribbon, lining uncomfortable, stiff, feeling not wear</v>
      </c>
    </row>
    <row r="5653">
      <c r="A5653" s="1">
        <v>4.0</v>
      </c>
      <c r="B5653" s="1" t="s">
        <v>5630</v>
      </c>
      <c r="C5653" t="str">
        <f>IFERROR(__xludf.DUMMYFUNCTION("GOOGLETRANSLATE(B5653, ""zh"", ""en"")"),"Dt880 classic, now 600 Euro price drop positioning, resolved with the price almost the best, better than k701, voice like a general, a little glitch high frequency, low frequency elastic good. To match the right front end of the job. There is a headset on"&amp;" both sides of the first beam line design is not good, feel easily broken, and it is difficult to arbitrarily fixed.")</f>
        <v>Dt880 classic, now 600 Euro price drop positioning, resolved with the price almost the best, better than k701, voice like a general, a little glitch high frequency, low frequency elastic good. To match the right front end of the job. There is a headset on both sides of the first beam line design is not good, feel easily broken, and it is difficult to arbitrarily fixed.</v>
      </c>
    </row>
    <row r="5654">
      <c r="A5654" s="1">
        <v>4.0</v>
      </c>
      <c r="B5654" s="1" t="s">
        <v>5631</v>
      </c>
      <c r="C5654" t="str">
        <f>IFERROR(__xludf.DUMMYFUNCTION("GOOGLETRANSLATE(B5654, ""zh"", ""en"")"),"No small number of big shoes small big shoes, shoes relatively thin, fat legs do not recommend buying")</f>
        <v>No small number of big shoes small big shoes, shoes relatively thin, fat legs do not recommend buying</v>
      </c>
    </row>
    <row r="5655">
      <c r="A5655" s="1">
        <v>4.0</v>
      </c>
      <c r="B5655" s="1" t="s">
        <v>5632</v>
      </c>
      <c r="C5655" t="str">
        <f>IFERROR(__xludf.DUMMYFUNCTION("GOOGLETRANSLATE(B5655, ""zh"", ""en"")"),"Like a general, I might feel it is a wood ear, feeling not as good as the sound I Meizu less than 100, may have been propaganda grass of the bar, buy earmuffs send headphones, individuals do not recommend")</f>
        <v>Like a general, I might feel it is a wood ear, feeling not as good as the sound I Meizu less than 100, may have been propaganda grass of the bar, buy earmuffs send headphones, individuals do not recommend</v>
      </c>
    </row>
    <row r="5656">
      <c r="A5656" s="1">
        <v>4.0</v>
      </c>
      <c r="B5656" s="1" t="s">
        <v>5633</v>
      </c>
      <c r="C5656" t="str">
        <f>IFERROR(__xludf.DUMMYFUNCTION("GOOGLETRANSLATE(B5656, ""zh"", ""en"")"),"After reading comments standard number that number is small, so I booked a big one yard. The results found that after receiving buy big, had to return. Shoes of good quality, comfortable to wear, to be purchased in accordance with the standard number.")</f>
        <v>After reading comments standard number that number is small, so I booked a big one yard. The results found that after receiving buy big, had to return. Shoes of good quality, comfortable to wear, to be purchased in accordance with the standard number.</v>
      </c>
    </row>
    <row r="5657">
      <c r="A5657" s="1">
        <v>4.0</v>
      </c>
      <c r="B5657" s="1" t="s">
        <v>5634</v>
      </c>
      <c r="C5657" t="str">
        <f>IFERROR(__xludf.DUMMYFUNCTION("GOOGLETRANSLATE(B5657, ""zh"", ""en"")"),"Comfortable comfortable, wear the strap may be loose after a long time, because similar lace material. Will repurchase")</f>
        <v>Comfortable comfortable, wear the strap may be loose after a long time, because similar lace material. Will repurchase</v>
      </c>
    </row>
    <row r="5658">
      <c r="A5658" s="1">
        <v>5.0</v>
      </c>
      <c r="B5658" s="1" t="s">
        <v>5635</v>
      </c>
      <c r="C5658" t="str">
        <f>IFERROR(__xludf.DUMMYFUNCTION("GOOGLETRANSLATE(B5658, ""zh"", ""en"")"),"Very good quality clothes, height 165 weight 65 kg M a large number of very good quality clothes, height 165 weight 65 kg M No. big.")</f>
        <v>Very good quality clothes, height 165 weight 65 kg M a large number of very good quality clothes, height 165 weight 65 kg M No. big.</v>
      </c>
    </row>
    <row r="5659">
      <c r="A5659" s="1">
        <v>5.0</v>
      </c>
      <c r="B5659" s="1" t="s">
        <v>5636</v>
      </c>
      <c r="C5659" t="str">
        <f>IFERROR(__xludf.DUMMYFUNCTION("GOOGLETRANSLATE(B5659, ""zh"", ""en"")"),"The sound is very balanced with my K702 compared, DT880 musical taste thicker, low and medium frequencies are better interpretation, but also easier to drive")</f>
        <v>The sound is very balanced with my K702 compared, DT880 musical taste thicker, low and medium frequencies are better interpretation, but also easier to drive</v>
      </c>
    </row>
    <row r="5660">
      <c r="A5660" s="1">
        <v>5.0</v>
      </c>
      <c r="B5660" s="1" t="s">
        <v>5637</v>
      </c>
      <c r="C5660" t="str">
        <f>IFERROR(__xludf.DUMMYFUNCTION("GOOGLETRANSLATE(B5660, ""zh"", ""en"")"),"I like something good, very comfortable to wear.")</f>
        <v>I like something good, very comfortable to wear.</v>
      </c>
    </row>
    <row r="5661">
      <c r="A5661" s="1">
        <v>5.0</v>
      </c>
      <c r="B5661" s="1" t="s">
        <v>5638</v>
      </c>
      <c r="C5661" t="str">
        <f>IFERROR(__xludf.DUMMYFUNCTION("GOOGLETRANSLATE(B5661, ""zh"", ""en"")"),"Shoes very good value for money, that is, from the pictures looks pretty wide, actually still quite narrow, higher than the value of color photos and more. A little pressure arch")</f>
        <v>Shoes very good value for money, that is, from the pictures looks pretty wide, actually still quite narrow, higher than the value of color photos and more. A little pressure arch</v>
      </c>
    </row>
    <row r="5662">
      <c r="A5662" s="1">
        <v>5.0</v>
      </c>
      <c r="B5662" s="1" t="s">
        <v>5639</v>
      </c>
      <c r="C5662" t="str">
        <f>IFERROR(__xludf.DUMMYFUNCTION("GOOGLETRANSLATE(B5662, ""zh"", ""en"")"),"Very, very good, it has been repurchased style")</f>
        <v>Very, very good, it has been repurchased style</v>
      </c>
    </row>
    <row r="5663">
      <c r="A5663" s="1">
        <v>5.0</v>
      </c>
      <c r="B5663" s="1" t="s">
        <v>5640</v>
      </c>
      <c r="C5663" t="str">
        <f>IFERROR(__xludf.DUMMYFUNCTION("GOOGLETRANSLATE(B5663, ""zh"", ""en"")"),"Satisfied with the logistics a bit slow, the price to the force, the production date quite new.")</f>
        <v>Satisfied with the logistics a bit slow, the price to the force, the production date quite new.</v>
      </c>
    </row>
    <row r="5664">
      <c r="A5664" s="1">
        <v>5.0</v>
      </c>
      <c r="B5664" s="1" t="s">
        <v>5641</v>
      </c>
      <c r="C5664" t="str">
        <f>IFERROR(__xludf.DUMMYFUNCTION("GOOGLETRANSLATE(B5664, ""zh"", ""en"")"),"Very good thing to buy a one-time buy than zero this strong too fragmented up.")</f>
        <v>Very good thing to buy a one-time buy than zero this strong too fragmented up.</v>
      </c>
    </row>
    <row r="5665">
      <c r="A5665" s="1">
        <v>5.0</v>
      </c>
      <c r="B5665" s="1" t="s">
        <v>5642</v>
      </c>
      <c r="C5665" t="str">
        <f>IFERROR(__xludf.DUMMYFUNCTION("GOOGLETRANSLATE(B5665, ""zh"", ""en"")"),"Worth buying shoes a bit heavy, for the first time to wear it too hard points, but in the face of its powerful waterproof function, which can be tolerated, rain and snow is simply the best footwear.")</f>
        <v>Worth buying shoes a bit heavy, for the first time to wear it too hard points, but in the face of its powerful waterproof function, which can be tolerated, rain and snow is simply the best footwear.</v>
      </c>
    </row>
    <row r="5666">
      <c r="A5666" s="1">
        <v>5.0</v>
      </c>
      <c r="B5666" s="1" t="s">
        <v>5643</v>
      </c>
      <c r="C5666" t="str">
        <f>IFERROR(__xludf.DUMMYFUNCTION("GOOGLETRANSLATE(B5666, ""zh"", ""en"")"),"It is worth quite good start")</f>
        <v>It is worth quite good start</v>
      </c>
    </row>
    <row r="5667">
      <c r="A5667" s="1">
        <v>5.0</v>
      </c>
      <c r="B5667" s="1" t="s">
        <v>5644</v>
      </c>
      <c r="C5667" t="str">
        <f>IFERROR(__xludf.DUMMYFUNCTION("GOOGLETRANSLATE(B5667, ""zh"", ""en"")"),"The cup is very light, very light color beautiful cups, color is very beautiful, but there are black spots in the cup mouth, wash off, think well, do not trouble to Amazon")</f>
        <v>The cup is very light, very light color beautiful cups, color is very beautiful, but there are black spots in the cup mouth, wash off, think well, do not trouble to Amazon</v>
      </c>
    </row>
    <row r="5668">
      <c r="A5668" s="1">
        <v>5.0</v>
      </c>
      <c r="B5668" s="1" t="s">
        <v>5645</v>
      </c>
      <c r="C5668" t="str">
        <f>IFERROR(__xludf.DUMMYFUNCTION("GOOGLETRANSLATE(B5668, ""zh"", ""en"")"),"Good merchandise very comfortable shoe on the foot control have liked to not work")</f>
        <v>Good merchandise very comfortable shoe on the foot control have liked to not work</v>
      </c>
    </row>
    <row r="5669">
      <c r="A5669" s="1">
        <v>5.0</v>
      </c>
      <c r="B5669" s="1" t="s">
        <v>5646</v>
      </c>
      <c r="C5669" t="str">
        <f>IFERROR(__xludf.DUMMYFUNCTION("GOOGLETRANSLATE(B5669, ""zh"", ""en"")"),"Yes, it is worth the purchase 190,86, xl is just right, the quality is superb models")</f>
        <v>Yes, it is worth the purchase 190,86, xl is just right, the quality is superb models</v>
      </c>
    </row>
    <row r="5670">
      <c r="A5670" s="1">
        <v>5.0</v>
      </c>
      <c r="B5670" s="1" t="s">
        <v>5647</v>
      </c>
      <c r="C5670" t="str">
        <f>IFERROR(__xludf.DUMMYFUNCTION("GOOGLETRANSLATE(B5670, ""zh"", ""en"")"),"Light energy to light seconds left, but also particularly quiet, unlike some American brand. More beautiful appearance also for leisure and outdoor, is also more suitable for young people")</f>
        <v>Light energy to light seconds left, but also particularly quiet, unlike some American brand. More beautiful appearance also for leisure and outdoor, is also more suitable for young people</v>
      </c>
    </row>
    <row r="5671">
      <c r="A5671" s="1">
        <v>5.0</v>
      </c>
      <c r="B5671" s="1" t="s">
        <v>5648</v>
      </c>
      <c r="C5671" t="str">
        <f>IFERROR(__xludf.DUMMYFUNCTION("GOOGLETRANSLATE(B5671, ""zh"", ""en"")"),"Quality is very good, the box can not find the origin of the quality is very good, very satisfied with the female adults, the price is affordable, not on the origin of the package and on the container, but we do not tangle, and recommended")</f>
        <v>Quality is very good, the box can not find the origin of the quality is very good, very satisfied with the female adults, the price is affordable, not on the origin of the package and on the container, but we do not tangle, and recommended</v>
      </c>
    </row>
    <row r="5672">
      <c r="A5672" s="1">
        <v>5.0</v>
      </c>
      <c r="B5672" s="1" t="s">
        <v>5649</v>
      </c>
      <c r="C5672" t="str">
        <f>IFERROR(__xludf.DUMMYFUNCTION("GOOGLETRANSLATE(B5672, ""zh"", ""en"")"),"Children will be able to effortlessly wipe very clean catch a child's obsessive-compulsive disorder, a wipe clean to burst crying. . . After using the Japanese rubber this situation improved a lot")</f>
        <v>Children will be able to effortlessly wipe very clean catch a child's obsessive-compulsive disorder, a wipe clean to burst crying. . . After using the Japanese rubber this situation improved a lot</v>
      </c>
    </row>
    <row r="5673">
      <c r="A5673" s="1">
        <v>5.0</v>
      </c>
      <c r="B5673" s="1" t="s">
        <v>5650</v>
      </c>
      <c r="C5673" t="str">
        <f>IFERROR(__xludf.DUMMYFUNCTION("GOOGLETRANSLATE(B5673, ""zh"", ""en"")"),"Loose and comfortable 162,45kg, loose and comfortable")</f>
        <v>Loose and comfortable 162,45kg, loose and comfortable</v>
      </c>
    </row>
    <row r="5674">
      <c r="A5674" s="1">
        <v>5.0</v>
      </c>
      <c r="B5674" s="1" t="s">
        <v>5651</v>
      </c>
      <c r="C5674" t="str">
        <f>IFERROR(__xludf.DUMMYFUNCTION("GOOGLETRANSLATE(B5674, ""zh"", ""en"")"),"Pants good quality! What to buy what to buy No. No.")</f>
        <v>Pants good quality! What to buy what to buy No. No.</v>
      </c>
    </row>
    <row r="5675">
      <c r="A5675" s="1">
        <v>5.0</v>
      </c>
      <c r="B5675" s="1" t="s">
        <v>5652</v>
      </c>
      <c r="C5675" t="str">
        <f>IFERROR(__xludf.DUMMYFUNCTION("GOOGLETRANSLATE(B5675, ""zh"", ""en"")"),"Quality good good quality! Not before the evaluation, I do not know how many wasted points, points can change money now know, they should look carefully evaluated, then I put the paragraph, then copy to go, not only earn points, but also save trouble, the"&amp;"y go where to copy, the most important thing is, do not seriously review, do not think how much worse word, sent directly to it, recommend it to everyone! !")</f>
        <v>Quality good good quality! Not before the evaluation, I do not know how many wasted points, points can change money now know, they should look carefully evaluated, then I put the paragraph, then copy to go, not only earn points, but also save trouble, they go where to copy, the most important thing is, do not seriously review, do not think how much worse word, sent directly to it, recommend it to everyone! !</v>
      </c>
    </row>
    <row r="5676">
      <c r="A5676" s="1">
        <v>5.0</v>
      </c>
      <c r="B5676" s="1" t="s">
        <v>5653</v>
      </c>
      <c r="C5676" t="str">
        <f>IFERROR(__xludf.DUMMYFUNCTION("GOOGLETRANSLATE(B5676, ""zh"", ""en"")"),"Large US version freshman code")</f>
        <v>Large US version freshman code</v>
      </c>
    </row>
    <row r="5677">
      <c r="A5677" s="1">
        <v>5.0</v>
      </c>
      <c r="B5677" s="1" t="s">
        <v>5654</v>
      </c>
      <c r="C5677" t="str">
        <f>IFERROR(__xludf.DUMMYFUNCTION("GOOGLETRANSLATE(B5677, ""zh"", ""en"")"),"Very appropriate right size, the ratio of domestic large one yards, good basic models, quality, washed, no shrinkage deformation")</f>
        <v>Very appropriate right size, the ratio of domestic large one yards, good basic models, quality, washed, no shrinkage deformation</v>
      </c>
    </row>
    <row r="5678">
      <c r="A5678" s="1">
        <v>5.0</v>
      </c>
      <c r="B5678" s="1" t="s">
        <v>5655</v>
      </c>
      <c r="C5678" t="str">
        <f>IFERROR(__xludf.DUMMYFUNCTION("GOOGLETRANSLATE(B5678, ""zh"", ""en"")"),"Nice try next, I feel good. It's very beautiful, I like it.")</f>
        <v>Nice try next, I feel good. It's very beautiful, I like it.</v>
      </c>
    </row>
    <row r="5679">
      <c r="A5679" s="1">
        <v>5.0</v>
      </c>
      <c r="B5679" s="1" t="s">
        <v>5656</v>
      </c>
      <c r="C5679" t="str">
        <f>IFERROR(__xludf.DUMMYFUNCTION("GOOGLETRANSLATE(B5679, ""zh"", ""en"")"),"Cost a little heavy and large, use good sense, cost-effective, but a long time will feel 3 shift force also is not enough, and soon no electricity ah")</f>
        <v>Cost a little heavy and large, use good sense, cost-effective, but a long time will feel 3 shift force also is not enough, and soon no electricity ah</v>
      </c>
    </row>
    <row r="5680">
      <c r="A5680" s="1">
        <v>2.0</v>
      </c>
      <c r="B5680" s="1" t="s">
        <v>5657</v>
      </c>
      <c r="C5680" t="str">
        <f>IFERROR(__xludf.DUMMYFUNCTION("GOOGLETRANSLATE(B5680, ""zh"", ""en"")"),"Leakage black powder cartridge is easy to use, but the black powder cartridges leak out ah, back to the filter, too, this water can not drink ah")</f>
        <v>Leakage black powder cartridge is easy to use, but the black powder cartridges leak out ah, back to the filter, too, this water can not drink ah</v>
      </c>
    </row>
    <row r="5681">
      <c r="A5681" s="1">
        <v>3.0</v>
      </c>
      <c r="B5681" s="1" t="s">
        <v>5658</v>
      </c>
      <c r="C5681" t="str">
        <f>IFERROR(__xludf.DUMMYFUNCTION("GOOGLETRANSLATE(B5681, ""zh"", ""en"")"),"Long sleeves fit, but the sleeves too long, thin cotton section, work in general, a lot of thread. 180cm, 85kg, big yards. Honduras production")</f>
        <v>Long sleeves fit, but the sleeves too long, thin cotton section, work in general, a lot of thread. 180cm, 85kg, big yards. Honduras production</v>
      </c>
    </row>
    <row r="5682">
      <c r="A5682" s="1">
        <v>3.0</v>
      </c>
      <c r="B5682" s="1" t="s">
        <v>5659</v>
      </c>
      <c r="C5682" t="str">
        <f>IFERROR(__xludf.DUMMYFUNCTION("GOOGLETRANSLATE(B5682, ""zh"", ""en"")"),"Severe fever plugged into the computer for a while, things do not copy, it is ironed. . .")</f>
        <v>Severe fever plugged into the computer for a while, things do not copy, it is ironed. . .</v>
      </c>
    </row>
    <row r="5683">
      <c r="A5683" s="1">
        <v>3.0</v>
      </c>
      <c r="B5683" s="1" t="s">
        <v>5660</v>
      </c>
      <c r="C5683" t="str">
        <f>IFERROR(__xludf.DUMMYFUNCTION("GOOGLETRANSLATE(B5683, ""zh"", ""en"")"),"Keep clear color have color, in-kind is not so pink, gray is the")</f>
        <v>Keep clear color have color, in-kind is not so pink, gray is the</v>
      </c>
    </row>
    <row r="5684">
      <c r="A5684" s="1">
        <v>1.0</v>
      </c>
      <c r="B5684" s="1" t="s">
        <v>5661</v>
      </c>
      <c r="C5684" t="str">
        <f>IFERROR(__xludf.DUMMYFUNCTION("GOOGLETRANSLATE(B5684, ""zh"", ""en"")"),"Too big, very big, the quality of workmanship is very general! Too large, too large, too big, the general quality of workmanship")</f>
        <v>Too big, very big, the quality of workmanship is very general! Too large, too large, too big, the general quality of workmanship</v>
      </c>
    </row>
    <row r="5685">
      <c r="A5685" s="1">
        <v>1.0</v>
      </c>
      <c r="B5685" s="1" t="s">
        <v>5662</v>
      </c>
      <c r="C5685" t="str">
        <f>IFERROR(__xludf.DUMMYFUNCTION("GOOGLETRANSLATE(B5685, ""zh"", ""en"")"),"There are serious quality problems the first to write a review, buy ps4 do to expand with a total of less than 30 hours, Kaka twice on the bad. Before commentary says five months or so bad. it is as expected.")</f>
        <v>There are serious quality problems the first to write a review, buy ps4 do to expand with a total of less than 30 hours, Kaka twice on the bad. Before commentary says five months or so bad. it is as expected.</v>
      </c>
    </row>
    <row r="5686">
      <c r="A5686" s="1">
        <v>4.0</v>
      </c>
      <c r="B5686" s="1" t="s">
        <v>5663</v>
      </c>
      <c r="C5686" t="str">
        <f>IFERROR(__xludf.DUMMYFUNCTION("GOOGLETRANSLATE(B5686, ""zh"", ""en"")"),"Straight conical tapered slacks straight version, elastic fabric, elastic waistband there, comfort, first-class quality, suitable for work and leisure, to add that, because of who then had to choose a Slim pants a little, ha ha")</f>
        <v>Straight conical tapered slacks straight version, elastic fabric, elastic waistband there, comfort, first-class quality, suitable for work and leisure, to add that, because of who then had to choose a Slim pants a little, ha ha</v>
      </c>
    </row>
    <row r="5687">
      <c r="A5687" s="1">
        <v>4.0</v>
      </c>
      <c r="B5687" s="1" t="s">
        <v>5664</v>
      </c>
      <c r="C5687" t="str">
        <f>IFERROR(__xludf.DUMMYFUNCTION("GOOGLETRANSLATE(B5687, ""zh"", ""en"")"),"Old style is very old-fashioned, for more than forty years old.")</f>
        <v>Old style is very old-fashioned, for more than forty years old.</v>
      </c>
    </row>
    <row r="5688">
      <c r="A5688" s="1">
        <v>4.0</v>
      </c>
      <c r="B5688" s="1" t="s">
        <v>2477</v>
      </c>
      <c r="C5688" t="str">
        <f>IFERROR(__xludf.DUMMYFUNCTION("GOOGLETRANSLATE(B5688, ""zh"", ""en"")"),"Not bad")</f>
        <v>Not bad</v>
      </c>
    </row>
    <row r="5689">
      <c r="A5689" s="1">
        <v>4.0</v>
      </c>
      <c r="B5689" s="1" t="s">
        <v>5665</v>
      </c>
      <c r="C5689" t="str">
        <f>IFERROR(__xludf.DUMMYFUNCTION("GOOGLETRANSLATE(B5689, ""zh"", ""en"")"),"4½ addition to expensive, cost is too general, shoe leather itself whether or shape are close to full, really good-looking.")</f>
        <v>4½ addition to expensive, cost is too general, shoe leather itself whether or shape are close to full, really good-looking.</v>
      </c>
    </row>
    <row r="5690">
      <c r="A5690" s="1">
        <v>4.0</v>
      </c>
      <c r="B5690" s="1" t="s">
        <v>5666</v>
      </c>
      <c r="C5690" t="str">
        <f>IFERROR(__xludf.DUMMYFUNCTION("GOOGLETRANSLATE(B5690, ""zh"", ""en"")"),"The right size color somewhat rare. Cheap land to buy two hundred.")</f>
        <v>The right size color somewhat rare. Cheap land to buy two hundred.</v>
      </c>
    </row>
    <row r="5691">
      <c r="A5691" s="1">
        <v>5.0</v>
      </c>
      <c r="B5691" s="1" t="s">
        <v>5667</v>
      </c>
      <c r="C5691" t="str">
        <f>IFERROR(__xludf.DUMMYFUNCTION("GOOGLETRANSLATE(B5691, ""zh"", ""en"")"),"Feel the effect, two elderly people at home are using genuine, Amazon import of goods has been very reliable. Two elderly people at home are using this broad basis Glucosamine, says one effect is obvious, a lot of joint pain relief. This alone is a friend"&amp;" recommended. Just received the goods, she also hopes to get the desired effect.")</f>
        <v>Feel the effect, two elderly people at home are using genuine, Amazon import of goods has been very reliable. Two elderly people at home are using this broad basis Glucosamine, says one effect is obvious, a lot of joint pain relief. This alone is a friend recommended. Just received the goods, she also hopes to get the desired effect.</v>
      </c>
    </row>
    <row r="5692">
      <c r="A5692" s="1">
        <v>5.0</v>
      </c>
      <c r="B5692" s="1" t="s">
        <v>5668</v>
      </c>
      <c r="C5692" t="str">
        <f>IFERROR(__xludf.DUMMYFUNCTION("GOOGLETRANSLATE(B5692, ""zh"", ""en"")"),"16 degrees with a good brush brush head is not very durable.")</f>
        <v>16 degrees with a good brush brush head is not very durable.</v>
      </c>
    </row>
    <row r="5693">
      <c r="A5693" s="1">
        <v>5.0</v>
      </c>
      <c r="B5693" s="1" t="s">
        <v>5669</v>
      </c>
      <c r="C5693" t="str">
        <f>IFERROR(__xludf.DUMMYFUNCTION("GOOGLETRANSLATE(B5693, ""zh"", ""en"")"),"Good upper body upper body good effect. Color is good.")</f>
        <v>Good upper body upper body good effect. Color is good.</v>
      </c>
    </row>
    <row r="5694">
      <c r="A5694" s="1">
        <v>5.0</v>
      </c>
      <c r="B5694" s="1" t="s">
        <v>5670</v>
      </c>
      <c r="C5694" t="str">
        <f>IFERROR(__xludf.DUMMYFUNCTION("GOOGLETRANSLATE(B5694, ""zh"", ""en"")"),"Good easy to use, bb asleep also easy to wear.")</f>
        <v>Good easy to use, bb asleep also easy to wear.</v>
      </c>
    </row>
    <row r="5695">
      <c r="A5695" s="1">
        <v>5.0</v>
      </c>
      <c r="B5695" s="1" t="s">
        <v>5671</v>
      </c>
      <c r="C5695" t="str">
        <f>IFERROR(__xludf.DUMMYFUNCTION("GOOGLETRANSLATE(B5695, ""zh"", ""en"")"),"Comfortable and good-looking. Comfortable and nice tooling boots, perfect. New Balance wear 8.5 2e, 8 2e wear this just right")</f>
        <v>Comfortable and good-looking. Comfortable and nice tooling boots, perfect. New Balance wear 8.5 2e, 8 2e wear this just right</v>
      </c>
    </row>
    <row r="5696">
      <c r="A5696" s="1">
        <v>5.0</v>
      </c>
      <c r="B5696" s="1" t="s">
        <v>5672</v>
      </c>
      <c r="C5696" t="str">
        <f>IFERROR(__xludf.DUMMYFUNCTION("GOOGLETRANSLATE(B5696, ""zh"", ""en"")"),"Comfortable to wear good clothes very comfortable, size fit, 161m.54kg.")</f>
        <v>Comfortable to wear good clothes very comfortable, size fit, 161m.54kg.</v>
      </c>
    </row>
    <row r="5697">
      <c r="A5697" s="1">
        <v>5.0</v>
      </c>
      <c r="B5697" s="1" t="s">
        <v>5673</v>
      </c>
      <c r="C5697" t="str">
        <f>IFERROR(__xludf.DUMMYFUNCTION("GOOGLETRANSLATE(B5697, ""zh"", ""en"")"),"Good, good workmanship, looks a fairly upscale look")</f>
        <v>Good, good workmanship, looks a fairly upscale look</v>
      </c>
    </row>
    <row r="5698">
      <c r="A5698" s="1">
        <v>5.0</v>
      </c>
      <c r="B5698" s="1" t="s">
        <v>5674</v>
      </c>
      <c r="C5698" t="str">
        <f>IFERROR(__xludf.DUMMYFUNCTION("GOOGLETRANSLATE(B5698, ""zh"", ""en"")"),"Good design good shoes. Very good design.")</f>
        <v>Good design good shoes. Very good design.</v>
      </c>
    </row>
    <row r="5699">
      <c r="A5699" s="1">
        <v>5.0</v>
      </c>
      <c r="B5699" s="1" t="s">
        <v>5675</v>
      </c>
      <c r="C5699" t="str">
        <f>IFERROR(__xludf.DUMMYFUNCTION("GOOGLETRANSLATE(B5699, ""zh"", ""en"")"),"Small one yards, freshman code must buy this pair Look at the reviews generally small one yards, this pair of Nike usually wear 44 to buy 45 just right, not necessarily feel Nike 44 large, it is necessary to buy the freshman code, most of the code absolut"&amp;"ely not enough.")</f>
        <v>Small one yards, freshman code must buy this pair Look at the reviews generally small one yards, this pair of Nike usually wear 44 to buy 45 just right, not necessarily feel Nike 44 large, it is necessary to buy the freshman code, most of the code absolutely not enough.</v>
      </c>
    </row>
    <row r="5700">
      <c r="A5700" s="1">
        <v>5.0</v>
      </c>
      <c r="B5700" s="1" t="s">
        <v>5676</v>
      </c>
      <c r="C5700" t="str">
        <f>IFERROR(__xludf.DUMMYFUNCTION("GOOGLETRANSLATE(B5700, ""zh"", ""en"")"),"Yummy yummy, eat two a day really could not help ah")</f>
        <v>Yummy yummy, eat two a day really could not help ah</v>
      </c>
    </row>
    <row r="5701">
      <c r="A5701" s="1">
        <v>5.0</v>
      </c>
      <c r="B5701" s="1" t="s">
        <v>5677</v>
      </c>
      <c r="C5701" t="str">
        <f>IFERROR(__xludf.DUMMYFUNCTION("GOOGLETRANSLATE(B5701, ""zh"", ""en"")"),"Satisfaction foot long 27mm, lean, 9uk just right, the shoes of good quality, relatively cover their feet, suitable for winter, wearing very comfortable. satisfaction")</f>
        <v>Satisfaction foot long 27mm, lean, 9uk just right, the shoes of good quality, relatively cover their feet, suitable for winter, wearing very comfortable. satisfaction</v>
      </c>
    </row>
    <row r="5702">
      <c r="A5702" s="1">
        <v>5.0</v>
      </c>
      <c r="B5702" s="1" t="s">
        <v>5678</v>
      </c>
      <c r="C5702" t="str">
        <f>IFERROR(__xludf.DUMMYFUNCTION("GOOGLETRANSLATE(B5702, ""zh"", ""en"")"),"Praise good, bought learn English")</f>
        <v>Praise good, bought learn English</v>
      </c>
    </row>
    <row r="5703">
      <c r="A5703" s="1">
        <v>5.0</v>
      </c>
      <c r="B5703" s="1" t="s">
        <v>5679</v>
      </c>
      <c r="C5703" t="str">
        <f>IFERROR(__xludf.DUMMYFUNCTION("GOOGLETRANSLATE(B5703, ""zh"", ""en"")"),"1111 good spoon, can not release water boiling inside, I let go of the water inside the head cook spoon a bit distorted.")</f>
        <v>1111 good spoon, can not release water boiling inside, I let go of the water inside the head cook spoon a bit distorted.</v>
      </c>
    </row>
    <row r="5704">
      <c r="A5704" s="1">
        <v>5.0</v>
      </c>
      <c r="B5704" s="1" t="s">
        <v>5680</v>
      </c>
      <c r="C5704" t="str">
        <f>IFERROR(__xludf.DUMMYFUNCTION("GOOGLETRANSLATE(B5704, ""zh"", ""en"")"),"Cold insulation effect is good, very good looking. Black looks good, but also cheaper than the mainland, cold insulation are good. Because I have used, so the picture in the inner wall of glass with condensation.")</f>
        <v>Cold insulation effect is good, very good looking. Black looks good, but also cheaper than the mainland, cold insulation are good. Because I have used, so the picture in the inner wall of glass with condensation.</v>
      </c>
    </row>
    <row r="5705">
      <c r="A5705" s="1">
        <v>5.0</v>
      </c>
      <c r="B5705" s="1" t="s">
        <v>5681</v>
      </c>
      <c r="C5705" t="str">
        <f>IFERROR(__xludf.DUMMYFUNCTION("GOOGLETRANSLATE(B5705, ""zh"", ""en"")"),"Shoe size just good, leather is very good, thin point on the bottom, the overall score.")</f>
        <v>Shoe size just good, leather is very good, thin point on the bottom, the overall score.</v>
      </c>
    </row>
    <row r="5706">
      <c r="A5706" s="1">
        <v>5.0</v>
      </c>
      <c r="B5706" s="1" t="s">
        <v>5682</v>
      </c>
      <c r="C5706" t="str">
        <f>IFERROR(__xludf.DUMMYFUNCTION("GOOGLETRANSLATE(B5706, ""zh"", ""en"")"),"It can also be satisfied with, rest assured overseas dog")</f>
        <v>It can also be satisfied with, rest assured overseas dog</v>
      </c>
    </row>
    <row r="5707">
      <c r="A5707" s="1">
        <v>5.0</v>
      </c>
      <c r="B5707" s="1" t="s">
        <v>5683</v>
      </c>
      <c r="C5707" t="str">
        <f>IFERROR(__xludf.DUMMYFUNCTION("GOOGLETRANSLATE(B5707, ""zh"", ""en"")"),"A bottle of very good drop, a three drops, the price is much cheaper than domestic, by the week, not bad")</f>
        <v>A bottle of very good drop, a three drops, the price is much cheaper than domestic, by the week, not bad</v>
      </c>
    </row>
    <row r="5708">
      <c r="A5708" s="1">
        <v>5.0</v>
      </c>
      <c r="B5708" s="1" t="s">
        <v>5684</v>
      </c>
      <c r="C5708" t="str">
        <f>IFERROR(__xludf.DUMMYFUNCTION("GOOGLETRANSLATE(B5708, ""zh"", ""en"")"),"Worth buying looks good, comfortable to wear!")</f>
        <v>Worth buying looks good, comfortable to wear!</v>
      </c>
    </row>
    <row r="5709">
      <c r="A5709" s="1">
        <v>5.0</v>
      </c>
      <c r="B5709" s="1" t="s">
        <v>5685</v>
      </c>
      <c r="C5709" t="str">
        <f>IFERROR(__xludf.DUMMYFUNCTION("GOOGLETRANSLATE(B5709, ""zh"", ""en"")"),"Good feeling can be, must be long-term eating right.")</f>
        <v>Good feeling can be, must be long-term eating right.</v>
      </c>
    </row>
    <row r="5710">
      <c r="A5710" s="1">
        <v>5.0</v>
      </c>
      <c r="B5710" s="1" t="s">
        <v>5686</v>
      </c>
      <c r="C5710" t="str">
        <f>IFERROR(__xludf.DUMMYFUNCTION("GOOGLETRANSLATE(B5710, ""zh"", ""en"")"),"Pretty good, my hand is too fine, hold live")</f>
        <v>Pretty good, my hand is too fine, hold live</v>
      </c>
    </row>
    <row r="5711">
      <c r="A5711" s="1">
        <v>5.0</v>
      </c>
      <c r="B5711" s="1" t="s">
        <v>5687</v>
      </c>
      <c r="C5711" t="str">
        <f>IFERROR(__xludf.DUMMYFUNCTION("GOOGLETRANSLATE(B5711, ""zh"", ""en"")"),"Required daily supplement children need to eat every day, overseas purchase very quickly and very at ease")</f>
        <v>Required daily supplement children need to eat every day, overseas purchase very quickly and very at ease</v>
      </c>
    </row>
    <row r="5712">
      <c r="A5712" s="1">
        <v>2.0</v>
      </c>
      <c r="B5712" s="1" t="s">
        <v>5688</v>
      </c>
      <c r="C5712" t="str">
        <f>IFERROR(__xludf.DUMMYFUNCTION("GOOGLETRANSLATE(B5712, ""zh"", ""en"")"),"Shoes shoes feel powerful bleaching bleaching powerful, has applied for return")</f>
        <v>Shoes shoes feel powerful bleaching bleaching powerful, has applied for return</v>
      </c>
    </row>
    <row r="5713">
      <c r="A5713" s="1">
        <v>3.0</v>
      </c>
      <c r="B5713" s="1" t="s">
        <v>5689</v>
      </c>
      <c r="C5713" t="str">
        <f>IFERROR(__xludf.DUMMYFUNCTION("GOOGLETRANSLATE(B5713, ""zh"", ""en"")"),"Speechless things okay, get our hands on a drop of 50! n n")</f>
        <v>Speechless things okay, get our hands on a drop of 50! n n</v>
      </c>
    </row>
    <row r="5714">
      <c r="A5714" s="1">
        <v>3.0</v>
      </c>
      <c r="B5714" s="1" t="s">
        <v>5690</v>
      </c>
      <c r="C5714" t="str">
        <f>IFERROR(__xludf.DUMMYFUNCTION("GOOGLETRANSLATE(B5714, ""zh"", ""en"")"),"Suspect is not genuine quite rough, looking like a genuine, buy carefully! First by Amazon 10,000 points of damage!")</f>
        <v>Suspect is not genuine quite rough, looking like a genuine, buy carefully! First by Amazon 10,000 points of damage!</v>
      </c>
    </row>
    <row r="5715">
      <c r="A5715" s="1">
        <v>1.0</v>
      </c>
      <c r="B5715" s="1" t="s">
        <v>5691</v>
      </c>
      <c r="C5715" t="str">
        <f>IFERROR(__xludf.DUMMYFUNCTION("GOOGLETRANSLATE(B5715, ""zh"", ""en"")"),"Fakes have been using this type of head, the United States and Asia with a different")</f>
        <v>Fakes have been using this type of head, the United States and Asia with a different</v>
      </c>
    </row>
    <row r="5716">
      <c r="A5716" s="1">
        <v>1.0</v>
      </c>
      <c r="B5716" s="1" t="s">
        <v>5692</v>
      </c>
      <c r="C5716" t="str">
        <f>IFERROR(__xludf.DUMMYFUNCTION("GOOGLETRANSLATE(B5716, ""zh"", ""en"")"),"Bought last year, this year's bad! Evaluation looked back, and I encountered no shortage of the same, are used for some time, ""write protected"", can not be used! It is really infuriating. Honestly speaking, Amazon's domestic aftermarket with other shopp"&amp;"ing sites is not an era of basic, low efficiency, poor level, the most frightening thing is very bureaucratic platform, do not consider the user's experience, in the long run, it is estimated that the second eBay.")</f>
        <v>Bought last year, this year's bad! Evaluation looked back, and I encountered no shortage of the same, are used for some time, "write protected", can not be used! It is really infuriating. Honestly speaking, Amazon's domestic aftermarket with other shopping sites is not an era of basic, low efficiency, poor level, the most frightening thing is very bureaucratic platform, do not consider the user's experience, in the long run, it is estimated that the second eBay.</v>
      </c>
    </row>
    <row r="5717">
      <c r="A5717" s="1">
        <v>1.0</v>
      </c>
      <c r="B5717" s="1" t="s">
        <v>5693</v>
      </c>
      <c r="C5717" t="str">
        <f>IFERROR(__xludf.DUMMYFUNCTION("GOOGLETRANSLATE(B5717, ""zh"", ""en"")"),"Garbage. 1 year not to, after the excess strap buckle buckle circle unglued out, find yourself shouting Amazon Amazon to find after-sales table, the sea Amoy buy it right I also went to Japan sale? Sale too bad, and more than Jingdong learn in the afterma"&amp;"rket. Learn from each other! Very poor after-sales experience. Table quality is also silent, actually hung himself unglued")</f>
        <v>Garbage. 1 year not to, after the excess strap buckle buckle circle unglued out, find yourself shouting Amazon Amazon to find after-sales table, the sea Amoy buy it right I also went to Japan sale? Sale too bad, and more than Jingdong learn in the aftermarket. Learn from each other! Very poor after-sales experience. Table quality is also silent, actually hung himself unglued</v>
      </c>
    </row>
    <row r="5718">
      <c r="A5718" s="1">
        <v>4.0</v>
      </c>
      <c r="B5718" s="1" t="s">
        <v>5694</v>
      </c>
      <c r="C5718" t="str">
        <f>IFERROR(__xludf.DUMMYFUNCTION("GOOGLETRANSLATE(B5718, ""zh"", ""en"")"),"No blotter with only the core of a blue ink, no ink absorber, but also to buy separately. But this price is worth it")</f>
        <v>No blotter with only the core of a blue ink, no ink absorber, but also to buy separately. But this price is worth it</v>
      </c>
    </row>
    <row r="5719">
      <c r="A5719" s="1">
        <v>4.0</v>
      </c>
      <c r="B5719" s="1" t="s">
        <v>5695</v>
      </c>
      <c r="C5719" t="str">
        <f>IFERROR(__xludf.DUMMYFUNCTION("GOOGLETRANSLATE(B5719, ""zh"", ""en"")"),"Electrostatic much cheap, warm, breathable but slightly worse, powerful static electricity")</f>
        <v>Electrostatic much cheap, warm, breathable but slightly worse, powerful static electricity</v>
      </c>
    </row>
    <row r="5720">
      <c r="A5720" s="1">
        <v>4.0</v>
      </c>
      <c r="B5720" s="1" t="s">
        <v>5696</v>
      </c>
      <c r="C5720" t="str">
        <f>IFERROR(__xludf.DUMMYFUNCTION("GOOGLETRANSLATE(B5720, ""zh"", ""en"")"),"Like logistics fast, good quality, details of the significant effort")</f>
        <v>Like logistics fast, good quality, details of the significant effort</v>
      </c>
    </row>
    <row r="5721">
      <c r="A5721" s="1">
        <v>4.0</v>
      </c>
      <c r="B5721" s="1" t="s">
        <v>5697</v>
      </c>
      <c r="C5721" t="str">
        <f>IFERROR(__xludf.DUMMYFUNCTION("GOOGLETRANSLATE(B5721, ""zh"", ""en"")"),"Pretty good also, I prefer this Wacoal, but my friends prefer Triumph.")</f>
        <v>Pretty good also, I prefer this Wacoal, but my friends prefer Triumph.</v>
      </c>
    </row>
    <row r="5722">
      <c r="A5722" s="1">
        <v>5.0</v>
      </c>
      <c r="B5722" s="1" t="s">
        <v>5698</v>
      </c>
      <c r="C5722" t="str">
        <f>IFERROR(__xludf.DUMMYFUNCTION("GOOGLETRANSLATE(B5722, ""zh"", ""en"")"),"Good three modes, namely, the three strands of water massage mode, normal mode direct injection and rain patterns, people like the rain patterns, red is very comfortable on the body. Son like three strands flow pattern.")</f>
        <v>Good three modes, namely, the three strands of water massage mode, normal mode direct injection and rain patterns, people like the rain patterns, red is very comfortable on the body. Son like three strands flow pattern.</v>
      </c>
    </row>
    <row r="5723">
      <c r="A5723" s="1">
        <v>5.0</v>
      </c>
      <c r="B5723" s="1" t="s">
        <v>5699</v>
      </c>
      <c r="C5723" t="str">
        <f>IFERROR(__xludf.DUMMYFUNCTION("GOOGLETRANSLATE(B5723, ""zh"", ""en"")"),"Yes great shirt, thin section, suitable for inside wear")</f>
        <v>Yes great shirt, thin section, suitable for inside wear</v>
      </c>
    </row>
    <row r="5724">
      <c r="A5724" s="1">
        <v>5.0</v>
      </c>
      <c r="B5724" s="1" t="s">
        <v>2854</v>
      </c>
      <c r="C5724" t="str">
        <f>IFERROR(__xludf.DUMMYFUNCTION("GOOGLETRANSLATE(B5724, ""zh"", ""en"")"),"good good")</f>
        <v>good good</v>
      </c>
    </row>
    <row r="5725">
      <c r="A5725" s="1">
        <v>5.0</v>
      </c>
      <c r="B5725" s="1" t="s">
        <v>5700</v>
      </c>
      <c r="C5725" t="str">
        <f>IFERROR(__xludf.DUMMYFUNCTION("GOOGLETRANSLATE(B5725, ""zh"", ""en"")"),"Fine shopping experience quite satisfactory, although there are velvet, but slightly thinner. Spring wear well.")</f>
        <v>Fine shopping experience quite satisfactory, although there are velvet, but slightly thinner. Spring wear well.</v>
      </c>
    </row>
    <row r="5726">
      <c r="A5726" s="1">
        <v>5.0</v>
      </c>
      <c r="B5726" s="1" t="s">
        <v>5701</v>
      </c>
      <c r="C5726" t="str">
        <f>IFERROR(__xludf.DUMMYFUNCTION("GOOGLETRANSLATE(B5726, ""zh"", ""en"")"),"Great good on very good taste, that is so exciting!")</f>
        <v>Great good on very good taste, that is so exciting!</v>
      </c>
    </row>
    <row r="5727">
      <c r="A5727" s="1">
        <v>5.0</v>
      </c>
      <c r="B5727" s="1" t="s">
        <v>5702</v>
      </c>
      <c r="C5727" t="str">
        <f>IFERROR(__xludf.DUMMYFUNCTION("GOOGLETRANSLATE(B5727, ""zh"", ""en"")"),"No problem requires easy to use voltage converter plug British revolution change the temperature and air flow switch is very creative damping little big looks good")</f>
        <v>No problem requires easy to use voltage converter plug British revolution change the temperature and air flow switch is very creative damping little big looks good</v>
      </c>
    </row>
    <row r="5728">
      <c r="A5728" s="1">
        <v>5.0</v>
      </c>
      <c r="B5728" s="1" t="s">
        <v>5703</v>
      </c>
      <c r="C5728" t="str">
        <f>IFERROR(__xludf.DUMMYFUNCTION("GOOGLETRANSLATE(B5728, ""zh"", ""en"")"),"I should start wearing a very light to wear for a long time do not wear the foot, although not very warm velvet is worth starting")</f>
        <v>I should start wearing a very light to wear for a long time do not wear the foot, although not very warm velvet is worth starting</v>
      </c>
    </row>
    <row r="5729">
      <c r="A5729" s="1">
        <v>5.0</v>
      </c>
      <c r="B5729" s="1" t="s">
        <v>5704</v>
      </c>
      <c r="C5729" t="str">
        <f>IFERROR(__xludf.DUMMYFUNCTION("GOOGLETRANSLATE(B5729, ""zh"", ""en"")"),"Really good really good like a good thing")</f>
        <v>Really good really good like a good thing</v>
      </c>
    </row>
    <row r="5730">
      <c r="A5730" s="1">
        <v>5.0</v>
      </c>
      <c r="B5730" s="1" t="s">
        <v>5705</v>
      </c>
      <c r="C5730" t="str">
        <f>IFERROR(__xludf.DUMMYFUNCTION("GOOGLETRANSLATE(B5730, ""zh"", ""en"")"),"Value for money, my height 176, less than 70 kg, M number just right. As expected, fabrics and workmanship can be, worthy of the price, while for sports and leisure wear, elastic band is weak, I feel very loose, missing tensioner force.")</f>
        <v>Value for money, my height 176, less than 70 kg, M number just right. As expected, fabrics and workmanship can be, worthy of the price, while for sports and leisure wear, elastic band is weak, I feel very loose, missing tensioner force.</v>
      </c>
    </row>
    <row r="5731">
      <c r="A5731" s="1">
        <v>5.0</v>
      </c>
      <c r="B5731" s="1" t="s">
        <v>5706</v>
      </c>
      <c r="C5731" t="str">
        <f>IFERROR(__xludf.DUMMYFUNCTION("GOOGLETRANSLATE(B5731, ""zh"", ""en"")"),"Love is love, not with the baby is 15 months. Love is love, is not used ......")</f>
        <v>Love is love, not with the baby is 15 months. Love is love, is not used ......</v>
      </c>
    </row>
    <row r="5732">
      <c r="A5732" s="1">
        <v>5.0</v>
      </c>
      <c r="B5732" s="1" t="s">
        <v>5707</v>
      </c>
      <c r="C5732" t="str">
        <f>IFERROR(__xludf.DUMMYFUNCTION("GOOGLETRANSLATE(B5732, ""zh"", ""en"")"),"Version great version of the design is great, great texture, the color is like.")</f>
        <v>Version great version of the design is great, great texture, the color is like.</v>
      </c>
    </row>
    <row r="5733">
      <c r="A5733" s="1">
        <v>5.0</v>
      </c>
      <c r="B5733" s="1" t="s">
        <v>5708</v>
      </c>
      <c r="C5733" t="str">
        <f>IFERROR(__xludf.DUMMYFUNCTION("GOOGLETRANSLATE(B5733, ""zh"", ""en"")"),"Satisfied with the sound quality is good, the cell can change, you can change the line, very satisfied!")</f>
        <v>Satisfied with the sound quality is good, the cell can change, you can change the line, very satisfied!</v>
      </c>
    </row>
    <row r="5734">
      <c r="A5734" s="1">
        <v>5.0</v>
      </c>
      <c r="B5734" s="1" t="s">
        <v>5709</v>
      </c>
      <c r="C5734" t="str">
        <f>IFERROR(__xludf.DUMMYFUNCTION("GOOGLETRANSLATE(B5734, ""zh"", ""en"")"),"Trustworthy, simple and easy to consider this better than the Medela cleaning, use can indeed pay attention to the angle and intensity of pressing a little depressed due Baoma this point can play a role with plastic milk storage bags, breast milk bottle f"&amp;"eeding is really now a lot easier Amazon also rely on overseas purchase, to domestic platform also how little concern")</f>
        <v>Trustworthy, simple and easy to consider this better than the Medela cleaning, use can indeed pay attention to the angle and intensity of pressing a little depressed due Baoma this point can play a role with plastic milk storage bags, breast milk bottle feeding is really now a lot easier Amazon also rely on overseas purchase, to domestic platform also how little concern</v>
      </c>
    </row>
    <row r="5735">
      <c r="A5735" s="1">
        <v>5.0</v>
      </c>
      <c r="B5735" s="1" t="s">
        <v>5710</v>
      </c>
      <c r="C5735" t="str">
        <f>IFERROR(__xludf.DUMMYFUNCTION("GOOGLETRANSLATE(B5735, ""zh"", ""en"")"),"Good to help my colleagues to buy, with a Philips electric toothbrush feel very good, old Amway to colleagues, Amazon also has activities, very good")</f>
        <v>Good to help my colleagues to buy, with a Philips electric toothbrush feel very good, old Amway to colleagues, Amazon also has activities, very good</v>
      </c>
    </row>
    <row r="5736">
      <c r="A5736" s="1">
        <v>5.0</v>
      </c>
      <c r="B5736" s="1" t="s">
        <v>5711</v>
      </c>
      <c r="C5736" t="str">
        <f>IFERROR(__xludf.DUMMYFUNCTION("GOOGLETRANSLATE(B5736, ""zh"", ""en"")"),"Plug adapter has grass, buy it back. The only inconvenience is to buy conversion head. Fortunately, a few ready when traveling abroad. When I buy optimistic, UK plug, the domestic incumbent converter")</f>
        <v>Plug adapter has grass, buy it back. The only inconvenience is to buy conversion head. Fortunately, a few ready when traveling abroad. When I buy optimistic, UK plug, the domestic incumbent converter</v>
      </c>
    </row>
    <row r="5737">
      <c r="A5737" s="1">
        <v>5.0</v>
      </c>
      <c r="B5737" s="1" t="s">
        <v>5712</v>
      </c>
      <c r="C5737" t="str">
        <f>IFERROR(__xludf.DUMMYFUNCTION("GOOGLETRANSLATE(B5737, ""zh"", ""en"")"),"Press out the hand sanitizer flowers can look at it like a child")</f>
        <v>Press out the hand sanitizer flowers can look at it like a child</v>
      </c>
    </row>
    <row r="5738">
      <c r="A5738" s="1">
        <v>5.0</v>
      </c>
      <c r="B5738" s="1" t="s">
        <v>5713</v>
      </c>
      <c r="C5738" t="str">
        <f>IFERROR(__xludf.DUMMYFUNCTION("GOOGLETRANSLATE(B5738, ""zh"", ""en"")"),"A good bottle of soft, hand feel good. 150ml just right for small baby.")</f>
        <v>A good bottle of soft, hand feel good. 150ml just right for small baby.</v>
      </c>
    </row>
    <row r="5739">
      <c r="A5739" s="1">
        <v>5.0</v>
      </c>
      <c r="B5739" s="1" t="s">
        <v>5714</v>
      </c>
      <c r="C5739" t="str">
        <f>IFERROR(__xludf.DUMMYFUNCTION("GOOGLETRANSLATE(B5739, ""zh"", ""en"")"),"Cool cool red, Dad wearing very fashionable. Sporty, very good.")</f>
        <v>Cool cool red, Dad wearing very fashionable. Sporty, very good.</v>
      </c>
    </row>
    <row r="5740">
      <c r="A5740" s="1">
        <v>5.0</v>
      </c>
      <c r="B5740" s="1" t="s">
        <v>5715</v>
      </c>
      <c r="C5740" t="str">
        <f>IFERROR(__xludf.DUMMYFUNCTION("GOOGLETRANSLATE(B5740, ""zh"", ""en"")"),"Oh good, oh ~ and the original is no different, the effect is very good logistics compared to the force")</f>
        <v>Oh good, oh ~ and the original is no different, the effect is very good logistics compared to the force</v>
      </c>
    </row>
    <row r="5741">
      <c r="A5741" s="1">
        <v>5.0</v>
      </c>
      <c r="B5741" s="1" t="s">
        <v>5716</v>
      </c>
      <c r="C5741" t="str">
        <f>IFERROR(__xludf.DUMMYFUNCTION("GOOGLETRANSLATE(B5741, ""zh"", ""en"")"),"Nice pants pretty good, not from the previous evaluation, I do not know how many wasted points, points can change money now know, they should look carefully evaluated, then I put these words to copy to go, both to earn points, but also save time, copy whe"&amp;"re they go, the most important thing is, do not seriously review, do not think how much worse word, sent directly to it, recommend it to everyone! !")</f>
        <v>Nice pants pretty good, not from the previous evaluation, I do not know how many wasted points, points can change money now know, they should look carefully evaluated, then I put these words to copy to go, both to earn points, but also save time, copy where they go, the most important thing is, do not seriously review, do not think how much worse word, sent directly to it, recommend it to everyone! !</v>
      </c>
    </row>
    <row r="5742">
      <c r="A5742" s="1">
        <v>5.0</v>
      </c>
      <c r="B5742" s="1" t="s">
        <v>5717</v>
      </c>
      <c r="C5742" t="str">
        <f>IFERROR(__xludf.DUMMYFUNCTION("GOOGLETRANSLATE(B5742, ""zh"", ""en"")"),"The price is relatively thick consistent, good workmanship, elastic waistband, can wear small one yard.")</f>
        <v>The price is relatively thick consistent, good workmanship, elastic waistband, can wear small one yard.</v>
      </c>
    </row>
    <row r="5743">
      <c r="A5743" s="1">
        <v>5.0</v>
      </c>
      <c r="B5743" s="1" t="s">
        <v>5718</v>
      </c>
      <c r="C5743" t="str">
        <f>IFERROR(__xludf.DUMMYFUNCTION("GOOGLETRANSLATE(B5743, ""zh"", ""en"")"),"Atmosphere beautiful appearance, there is no heavy installation, a very large, yet installed, the appearance is very beautiful")</f>
        <v>Atmosphere beautiful appearance, there is no heavy installation, a very large, yet installed, the appearance is very beautiful</v>
      </c>
    </row>
    <row r="5744">
      <c r="A5744" s="1">
        <v>2.0</v>
      </c>
      <c r="B5744" s="1" t="s">
        <v>5719</v>
      </c>
      <c r="C5744" t="str">
        <f>IFERROR(__xludf.DUMMYFUNCTION("GOOGLETRANSLATE(B5744, ""zh"", ""en"")"),"Comparison is too large, the clothes. 170CM 73KG buy forest green M, put on a big no, like singing.")</f>
        <v>Comparison is too large, the clothes. 170CM 73KG buy forest green M, put on a big no, like singing.</v>
      </c>
    </row>
    <row r="5745">
      <c r="A5745" s="1">
        <v>3.0</v>
      </c>
      <c r="B5745" s="1" t="s">
        <v>5720</v>
      </c>
      <c r="C5745" t="str">
        <f>IFERROR(__xludf.DUMMYFUNCTION("GOOGLETRANSLATE(B5745, ""zh"", ""en"")"),"? ? ? When I want to take note of is black Refill, how come white hair replacement installed?")</f>
        <v>? ? ? When I want to take note of is black Refill, how come white hair replacement installed?</v>
      </c>
    </row>
    <row r="5746">
      <c r="A5746" s="1">
        <v>3.0</v>
      </c>
      <c r="B5746" s="1" t="s">
        <v>5721</v>
      </c>
      <c r="C5746" t="str">
        <f>IFERROR(__xludf.DUMMYFUNCTION("GOOGLETRANSLATE(B5746, ""zh"", ""en"")"),"Domestic-made, not the pictures look, light skinned, black insole, leather general")</f>
        <v>Domestic-made, not the pictures look, light skinned, black insole, leather general</v>
      </c>
    </row>
    <row r="5747">
      <c r="A5747" s="1">
        <v>3.0</v>
      </c>
      <c r="B5747" s="1" t="s">
        <v>5722</v>
      </c>
      <c r="C5747" t="str">
        <f>IFERROR(__xludf.DUMMYFUNCTION("GOOGLETRANSLATE(B5747, ""zh"", ""en"")"),"Fade or fade! Very fast, just five days before saying to July 25 in order to receive, but received a No. 17 yesterday, last night to get back to wash under water discoloration found was amazing! I do not know is not genuine it! Hope is it, this is my firs"&amp;"t time to buy Amazon's sea clothes!")</f>
        <v>Fade or fade! Very fast, just five days before saying to July 25 in order to receive, but received a No. 17 yesterday, last night to get back to wash under water discoloration found was amazing! I do not know is not genuine it! Hope is it, this is my first time to buy Amazon's sea clothes!</v>
      </c>
    </row>
    <row r="5748">
      <c r="A5748" s="1">
        <v>1.0</v>
      </c>
      <c r="B5748" s="1" t="s">
        <v>5723</v>
      </c>
      <c r="C5748" t="str">
        <f>IFERROR(__xludf.DUMMYFUNCTION("GOOGLETRANSLATE(B5748, ""zh"", ""en"")"),"Style bad style too difficult to see, do not recommend buying")</f>
        <v>Style bad style too difficult to see, do not recommend buying</v>
      </c>
    </row>
    <row r="5749">
      <c r="A5749" s="1">
        <v>1.0</v>
      </c>
      <c r="B5749" s="1" t="s">
        <v>5724</v>
      </c>
      <c r="C5749" t="str">
        <f>IFERROR(__xludf.DUMMYFUNCTION("GOOGLETRANSLATE(B5749, ""zh"", ""en"")"),"We received the tip is crooked, uneven up and down good gas ah, have been too lazy to comment. When writing feels very strange, especially linked to the paper. Falling loud, just thought it was not running a pen handy like a few days later found nib is cr"&amp;"ooked, about two uneven. Nima is not deceptive thing. Even the sale, trouble is dead. Breaking his own hand a bit, he did not succeed. Later, with pliers, flew the Japanese pen is smooth, and smooth the almost my 88G. Deformation is difficult to see. Shen"&amp;"ru, bought a friend to see the tip to remember, there are problems on the back of it, do not trouble yourself. FIG not on, self-brain supplement")</f>
        <v>We received the tip is crooked, uneven up and down good gas ah, have been too lazy to comment. When writing feels very strange, especially linked to the paper. Falling loud, just thought it was not running a pen handy like a few days later found nib is crooked, about two uneven. Nima is not deceptive thing. Even the sale, trouble is dead. Breaking his own hand a bit, he did not succeed. Later, with pliers, flew the Japanese pen is smooth, and smooth the almost my 88G. Deformation is difficult to see. Shenru, bought a friend to see the tip to remember, there are problems on the back of it, do not trouble yourself. FIG not on, self-brain supplement</v>
      </c>
    </row>
    <row r="5750">
      <c r="A5750" s="1">
        <v>4.0</v>
      </c>
      <c r="B5750" s="1" t="s">
        <v>5725</v>
      </c>
      <c r="C5750" t="str">
        <f>IFERROR(__xludf.DUMMYFUNCTION("GOOGLETRANSLATE(B5750, ""zh"", ""en"")"),"Material more comfortable, and also stores the same size, in line with expectations material more comfortable, and also stores the same size, in line with expectations")</f>
        <v>Material more comfortable, and also stores the same size, in line with expectations material more comfortable, and also stores the same size, in line with expectations</v>
      </c>
    </row>
    <row r="5751">
      <c r="A5751" s="1">
        <v>4.0</v>
      </c>
      <c r="B5751" s="1" t="s">
        <v>5726</v>
      </c>
      <c r="C5751" t="str">
        <f>IFERROR(__xludf.DUMMYFUNCTION("GOOGLETRANSLATE(B5751, ""zh"", ""en"")"),"China OEM products Made in China! Originally thought to be the origin of Japan, did not think the final is made in China, all aspects of the design of this product feel pretty good, a few hours time-ear, the ear will not be painful! However, this product "&amp;"is generally noise!")</f>
        <v>China OEM products Made in China! Originally thought to be the origin of Japan, did not think the final is made in China, all aspects of the design of this product feel pretty good, a few hours time-ear, the ear will not be painful! However, this product is generally noise!</v>
      </c>
    </row>
    <row r="5752">
      <c r="A5752" s="1">
        <v>4.0</v>
      </c>
      <c r="B5752" s="1" t="s">
        <v>5727</v>
      </c>
      <c r="C5752" t="str">
        <f>IFERROR(__xludf.DUMMYFUNCTION("GOOGLETRANSLATE(B5752, ""zh"", ""en"")"),"Length and width are larger than one yard straight style fat. Version of design of the straight and the other section than 33 yards 32L large code length is also a full length one yard (Lee jeans) iron-free antifouling fabric. No better than cotton person"&amp;"al care! Code, if appropriate, should be very good to see.")</f>
        <v>Length and width are larger than one yard straight style fat. Version of design of the straight and the other section than 33 yards 32L large code length is also a full length one yard (Lee jeans) iron-free antifouling fabric. No better than cotton personal care! Code, if appropriate, should be very good to see.</v>
      </c>
    </row>
    <row r="5753">
      <c r="A5753" s="1">
        <v>4.0</v>
      </c>
      <c r="B5753" s="1" t="s">
        <v>5728</v>
      </c>
      <c r="C5753" t="str">
        <f>IFERROR(__xludf.DUMMYFUNCTION("GOOGLETRANSLATE(B5753, ""zh"", ""en"")"),"Also can order number 4 October under, the number of October 17 was received, time is too long. Things can still, very thin, especially like this because a friend was found with respect to the surface of the male form is still a little small, overall high"&amp;" cost, CASIO counters nor this, when the arrival of very affordable, but also look very simple.")</f>
        <v>Also can order number 4 October under, the number of October 17 was received, time is too long. Things can still, very thin, especially like this because a friend was found with respect to the surface of the male form is still a little small, overall high cost, CASIO counters nor this, when the arrival of very affordable, but also look very simple.</v>
      </c>
    </row>
    <row r="5754">
      <c r="A5754" s="1">
        <v>4.0</v>
      </c>
      <c r="B5754" s="1" t="s">
        <v>5729</v>
      </c>
      <c r="C5754" t="str">
        <f>IFERROR(__xludf.DUMMYFUNCTION("GOOGLETRANSLATE(B5754, ""zh"", ""en"")"),"The right size, the right size to wear good-looking, wearing a very pretty, is the slow arrival.")</f>
        <v>The right size, the right size to wear good-looking, wearing a very pretty, is the slow arrival.</v>
      </c>
    </row>
    <row r="5755">
      <c r="A5755" s="1">
        <v>5.0</v>
      </c>
      <c r="B5755" s="1" t="s">
        <v>5730</v>
      </c>
      <c r="C5755" t="str">
        <f>IFERROR(__xludf.DUMMYFUNCTION("GOOGLETRANSLATE(B5755, ""zh"", ""en"")"),"Classical to force, it is not suitable for listening to pop headphones to listen to classical buy, yes. May be his amp is not good enough, then use a laptop Musiland 06mx push dt880, but also much better than this on headphones hd439 in classical performa"&amp;"nce. However, in the case of this sound card Direct Push, pop is not as good as the hd439.")</f>
        <v>Classical to force, it is not suitable for listening to pop headphones to listen to classical buy, yes. May be his amp is not good enough, then use a laptop Musiland 06mx push dt880, but also much better than this on headphones hd439 in classical performance. However, in the case of this sound card Direct Push, pop is not as good as the hd439.</v>
      </c>
    </row>
    <row r="5756">
      <c r="A5756" s="1">
        <v>5.0</v>
      </c>
      <c r="B5756" s="1" t="s">
        <v>5731</v>
      </c>
      <c r="C5756" t="str">
        <f>IFERROR(__xludf.DUMMYFUNCTION("GOOGLETRANSLATE(B5756, ""zh"", ""en"")"),"Cheap value for money to the family")</f>
        <v>Cheap value for money to the family</v>
      </c>
    </row>
    <row r="5757">
      <c r="A5757" s="1">
        <v>5.0</v>
      </c>
      <c r="B5757" s="1" t="s">
        <v>5732</v>
      </c>
      <c r="C5757" t="str">
        <f>IFERROR(__xludf.DUMMYFUNCTION("GOOGLETRANSLATE(B5757, ""zh"", ""en"")"),"Difficult to reach quality not to say that children do not adapt. You need to try to buy a bottle.")</f>
        <v>Difficult to reach quality not to say that children do not adapt. You need to try to buy a bottle.</v>
      </c>
    </row>
    <row r="5758">
      <c r="A5758" s="1">
        <v>5.0</v>
      </c>
      <c r="B5758" s="1" t="s">
        <v>5733</v>
      </c>
      <c r="C5758" t="str">
        <f>IFERROR(__xludf.DUMMYFUNCTION("GOOGLETRANSLATE(B5758, ""zh"", ""en"")"),"Size just the right size")</f>
        <v>Size just the right size</v>
      </c>
    </row>
    <row r="5759">
      <c r="A5759" s="1">
        <v>5.0</v>
      </c>
      <c r="B5759" s="1" t="s">
        <v>5734</v>
      </c>
      <c r="C5759" t="str">
        <f>IFERROR(__xludf.DUMMYFUNCTION("GOOGLETRANSLATE(B5759, ""zh"", ""en"")"),"Comply with my request in addition to beginning to understand how to pick the time, there is now clear there are many features not fiddle")</f>
        <v>Comply with my request in addition to beginning to understand how to pick the time, there is now clear there are many features not fiddle</v>
      </c>
    </row>
    <row r="5760">
      <c r="A5760" s="1">
        <v>5.0</v>
      </c>
      <c r="B5760" s="1" t="s">
        <v>5735</v>
      </c>
      <c r="C5760" t="str">
        <f>IFERROR(__xludf.DUMMYFUNCTION("GOOGLETRANSLATE(B5760, ""zh"", ""en"")"),"Yan high value, high value small Yan, let go of the bag for")</f>
        <v>Yan high value, high value small Yan, let go of the bag for</v>
      </c>
    </row>
    <row r="5761">
      <c r="A5761" s="1">
        <v>5.0</v>
      </c>
      <c r="B5761" s="1" t="s">
        <v>5736</v>
      </c>
      <c r="C5761" t="str">
        <f>IFERROR(__xludf.DUMMYFUNCTION("GOOGLETRANSLATE(B5761, ""zh"", ""en"")"),"Comfortable and good ventilation comfortable permeability, has been to buy before")</f>
        <v>Comfortable and good ventilation comfortable permeability, has been to buy before</v>
      </c>
    </row>
    <row r="5762">
      <c r="A5762" s="1">
        <v>5.0</v>
      </c>
      <c r="B5762" s="1" t="s">
        <v>5737</v>
      </c>
      <c r="C5762" t="str">
        <f>IFERROR(__xludf.DUMMYFUNCTION("GOOGLETRANSLATE(B5762, ""zh"", ""en"")"),"Exterior light energy expensive quartz watches and table similar to FIG, fairly good-looking, lighter-weight table. Keep good time, it is worth buying.")</f>
        <v>Exterior light energy expensive quartz watches and table similar to FIG, fairly good-looking, lighter-weight table. Keep good time, it is worth buying.</v>
      </c>
    </row>
    <row r="5763">
      <c r="A5763" s="1">
        <v>5.0</v>
      </c>
      <c r="B5763" s="1" t="s">
        <v>5738</v>
      </c>
      <c r="C5763" t="str">
        <f>IFERROR(__xludf.DUMMYFUNCTION("GOOGLETRANSLATE(B5763, ""zh"", ""en"")"),"Good waistline, the length is good, easy to stick hair")</f>
        <v>Good waistline, the length is good, easy to stick hair</v>
      </c>
    </row>
    <row r="5764">
      <c r="A5764" s="1">
        <v>5.0</v>
      </c>
      <c r="B5764" s="1" t="s">
        <v>5739</v>
      </c>
      <c r="C5764" t="str">
        <f>IFERROR(__xludf.DUMMYFUNCTION("GOOGLETRANSLATE(B5764, ""zh"", ""en"")"),"Good comfort, warmth, fashion")</f>
        <v>Good comfort, warmth, fashion</v>
      </c>
    </row>
    <row r="5765">
      <c r="A5765" s="1">
        <v>5.0</v>
      </c>
      <c r="B5765" s="1" t="s">
        <v>5740</v>
      </c>
      <c r="C5765" t="str">
        <f>IFERROR(__xludf.DUMMYFUNCTION("GOOGLETRANSLATE(B5765, ""zh"", ""en"")"),"Material fresh, good-looking slim long style, texture and refreshing, especially for the summer sports wears outside. Slim long, lanky body to recommend! 160,60Kg Feishou M can wear, rather long, too long will appear in front of the fastener")</f>
        <v>Material fresh, good-looking slim long style, texture and refreshing, especially for the summer sports wears outside. Slim long, lanky body to recommend! 160,60Kg Feishou M can wear, rather long, too long will appear in front of the fastener</v>
      </c>
    </row>
    <row r="5766">
      <c r="A5766" s="1">
        <v>5.0</v>
      </c>
      <c r="B5766" s="1" t="s">
        <v>5741</v>
      </c>
      <c r="C5766" t="str">
        <f>IFERROR(__xludf.DUMMYFUNCTION("GOOGLETRANSLATE(B5766, ""zh"", ""en"")"),"219 buy, affordable, more than double 11, levis lower price usually wear 29/30, as the goods to do a little review of most of the code. Legs a little bigger, fabrics general. The price is not freight 219, the price did not say, affordable.")</f>
        <v>219 buy, affordable, more than double 11, levis lower price usually wear 29/30, as the goods to do a little review of most of the code. Legs a little bigger, fabrics general. The price is not freight 219, the price did not say, affordable.</v>
      </c>
    </row>
    <row r="5767">
      <c r="A5767" s="1">
        <v>5.0</v>
      </c>
      <c r="B5767" s="1" t="s">
        <v>5742</v>
      </c>
      <c r="C5767" t="str">
        <f>IFERROR(__xludf.DUMMYFUNCTION("GOOGLETRANSLATE(B5767, ""zh"", ""en"")"),"Satisfaction very good version of the type, size standard, overall satisfaction. Just look should stock a long time, if mind, do not chop hands.")</f>
        <v>Satisfaction very good version of the type, size standard, overall satisfaction. Just look should stock a long time, if mind, do not chop hands.</v>
      </c>
    </row>
    <row r="5768">
      <c r="A5768" s="1">
        <v>5.0</v>
      </c>
      <c r="B5768" s="1" t="s">
        <v>5743</v>
      </c>
      <c r="C5768" t="str">
        <f>IFERROR(__xludf.DUMMYFUNCTION("GOOGLETRANSLATE(B5768, ""zh"", ""en"")"),"0k something very good with several more heavy pot but get angry fast")</f>
        <v>0k something very good with several more heavy pot but get angry fast</v>
      </c>
    </row>
    <row r="5769">
      <c r="A5769" s="1">
        <v>5.0</v>
      </c>
      <c r="B5769" s="1" t="s">
        <v>5744</v>
      </c>
      <c r="C5769" t="str">
        <f>IFERROR(__xludf.DUMMYFUNCTION("GOOGLETRANSLATE(B5769, ""zh"", ""en"")"),"Good quality and good quality")</f>
        <v>Good quality and good quality</v>
      </c>
    </row>
    <row r="5770">
      <c r="A5770" s="1">
        <v>5.0</v>
      </c>
      <c r="B5770" s="1" t="s">
        <v>5745</v>
      </c>
      <c r="C5770" t="str">
        <f>IFERROR(__xludf.DUMMYFUNCTION("GOOGLETRANSLATE(B5770, ""zh"", ""en"")"),"Affordable logistics did not say, wind, wind, and fast, the same brand specifications, Amazon is the cheapest, but also 215 excluding tax NetEase koala, this just two single commodity Minato 201, paid only 24 bucks tariffs, very cost-effective. But for vi"&amp;"tamins, that was to eat long term, the older, or better maintenance and more maintenance")</f>
        <v>Affordable logistics did not say, wind, wind, and fast, the same brand specifications, Amazon is the cheapest, but also 215 excluding tax NetEase koala, this just two single commodity Minato 201, paid only 24 bucks tariffs, very cost-effective. But for vitamins, that was to eat long term, the older, or better maintenance and more maintenance</v>
      </c>
    </row>
    <row r="5771">
      <c r="A5771" s="1">
        <v>5.0</v>
      </c>
      <c r="B5771" s="1" t="s">
        <v>5746</v>
      </c>
      <c r="C5771" t="str">
        <f>IFERROR(__xludf.DUMMYFUNCTION("GOOGLETRANSLATE(B5771, ""zh"", ""en"")"),"High cost of products super comfortable, suitable for walking, arch support is very good, high cost, the key is the same size and domestic.")</f>
        <v>High cost of products super comfortable, suitable for walking, arch support is very good, high cost, the key is the same size and domestic.</v>
      </c>
    </row>
    <row r="5772">
      <c r="A5772" s="1">
        <v>5.0</v>
      </c>
      <c r="B5772" s="1" t="s">
        <v>5747</v>
      </c>
      <c r="C5772" t="str">
        <f>IFERROR(__xludf.DUMMYFUNCTION("GOOGLETRANSLATE(B5772, ""zh"", ""en"")"),"The high cost of a pants pants received, I think the cost is high, medium thickness, suitable for spring or early summer wear, the color is good, her husband 178,70 kg, a little Tripe, just waist, long pants a little long, but unfortunately no 32 * 31, ot"&amp;"herwise this size should be more appropriate.")</f>
        <v>The high cost of a pants pants received, I think the cost is high, medium thickness, suitable for spring or early summer wear, the color is good, her husband 178,70 kg, a little Tripe, just waist, long pants a little long, but unfortunately no 32 * 31, otherwise this size should be more appropriate.</v>
      </c>
    </row>
    <row r="5773">
      <c r="A5773" s="1">
        <v>5.0</v>
      </c>
      <c r="B5773" s="1" t="s">
        <v>5748</v>
      </c>
      <c r="C5773" t="str">
        <f>IFERROR(__xludf.DUMMYFUNCTION("GOOGLETRANSLATE(B5773, ""zh"", ""en"")"),"Satisfaction height 181cm, weight 115kg, XL right size. Cotton, soft and comfortable.")</f>
        <v>Satisfaction height 181cm, weight 115kg, XL right size. Cotton, soft and comfortable.</v>
      </c>
    </row>
    <row r="5774">
      <c r="A5774" s="1">
        <v>5.0</v>
      </c>
      <c r="B5774" s="1" t="s">
        <v>5749</v>
      </c>
      <c r="C5774" t="str">
        <f>IFERROR(__xludf.DUMMYFUNCTION("GOOGLETRANSLATE(B5774, ""zh"", ""en"")"),". Ever more beautiful, luminous function can be ignored, band to water the color tends to be dark ......")</f>
        <v>. Ever more beautiful, luminous function can be ignored, band to water the color tends to be dark ......</v>
      </c>
    </row>
    <row r="5775">
      <c r="A5775" s="1">
        <v>5.0</v>
      </c>
      <c r="B5775" s="1" t="s">
        <v>5750</v>
      </c>
      <c r="C5775" t="str">
        <f>IFERROR(__xludf.DUMMYFUNCTION("GOOGLETRANSLATE(B5775, ""zh"", ""en"")"),"Delivery speed, dial slightly thicker two-eleven to buy, very fast, overall quite satisfactory, strap removal is very convenient. Dial feel a little a little thick")</f>
        <v>Delivery speed, dial slightly thicker two-eleven to buy, very fast, overall quite satisfactory, strap removal is very convenient. Dial feel a little a little thick</v>
      </c>
    </row>
    <row r="5776">
      <c r="A5776" s="1">
        <v>5.0</v>
      </c>
      <c r="B5776" s="1" t="s">
        <v>5751</v>
      </c>
      <c r="C5776" t="str">
        <f>IFERROR(__xludf.DUMMYFUNCTION("GOOGLETRANSLATE(B5776, ""zh"", ""en"")"),"While a good pair before because the system is a problem the wrong number, but still bought a pair I am very satisfied, size is very accurate, Nike, Adidas how to wear to how to wear this, work is also good, worthy of recommendation")</f>
        <v>While a good pair before because the system is a problem the wrong number, but still bought a pair I am very satisfied, size is very accurate, Nike, Adidas how to wear to how to wear this, work is also good, worthy of recommendation</v>
      </c>
    </row>
    <row r="5777">
      <c r="A5777" s="1">
        <v>2.0</v>
      </c>
      <c r="B5777" s="1" t="s">
        <v>5752</v>
      </c>
      <c r="C5777" t="str">
        <f>IFERROR(__xludf.DUMMYFUNCTION("GOOGLETRANSLATE(B5777, ""zh"", ""en"")"),"A little sad to three years really is to have a smaller on the 1st, and the collar style is only suitable when the pajamas to wear do not go out")</f>
        <v>A little sad to three years really is to have a smaller on the 1st, and the collar style is only suitable when the pajamas to wear do not go out</v>
      </c>
    </row>
    <row r="5778">
      <c r="A5778" s="1">
        <v>3.0</v>
      </c>
      <c r="B5778" s="1" t="s">
        <v>5753</v>
      </c>
      <c r="C5778" t="str">
        <f>IFERROR(__xludf.DUMMYFUNCTION("GOOGLETRANSLATE(B5778, ""zh"", ""en"")"),"No color card is that true? Not distinguish between true and false, not even the color card, in addition to steel pen is outside, how the country there is a small description of what, for the first time to buy can not be seen between true and false ah!")</f>
        <v>No color card is that true? Not distinguish between true and false, not even the color card, in addition to steel pen is outside, how the country there is a small description of what, for the first time to buy can not be seen between true and false ah!</v>
      </c>
    </row>
    <row r="5779">
      <c r="A5779" s="1">
        <v>3.0</v>
      </c>
      <c r="B5779" s="1" t="s">
        <v>5754</v>
      </c>
      <c r="C5779" t="str">
        <f>IFERROR(__xludf.DUMMYFUNCTION("GOOGLETRANSLATE(B5779, ""zh"", ""en"")"),"Americans work too poor things work is also bad, there are glitches accessories, machine slot, simple packaging.")</f>
        <v>Americans work too poor things work is also bad, there are glitches accessories, machine slot, simple packaging.</v>
      </c>
    </row>
    <row r="5780">
      <c r="A5780" s="1">
        <v>1.0</v>
      </c>
      <c r="B5780" s="1" t="s">
        <v>5755</v>
      </c>
      <c r="C5780" t="str">
        <f>IFERROR(__xludf.DUMMYFUNCTION("GOOGLETRANSLATE(B5780, ""zh"", ""en"")"),"Recommended big change, too large a lot of big M code actually a lot of, ah not recommended")</f>
        <v>Recommended big change, too large a lot of big M code actually a lot of, ah not recommended</v>
      </c>
    </row>
    <row r="5781">
      <c r="A5781" s="1">
        <v>1.0</v>
      </c>
      <c r="B5781" s="1" t="s">
        <v>5756</v>
      </c>
      <c r="C5781" t="str">
        <f>IFERROR(__xludf.DUMMYFUNCTION("GOOGLETRANSLATE(B5781, ""zh"", ""en"")"),"Too Slim very thin, wearing no law bowed")</f>
        <v>Too Slim very thin, wearing no law bowed</v>
      </c>
    </row>
    <row r="5782">
      <c r="A5782" s="1">
        <v>1.0</v>
      </c>
      <c r="B5782" s="1" t="s">
        <v>5757</v>
      </c>
      <c r="C5782" t="str">
        <f>IFERROR(__xludf.DUMMYFUNCTION("GOOGLETRANSLATE(B5782, ""zh"", ""en"")"),"Flavored, unhappy before buying pacifiers that have no smell, a son of the queen of rubber smell, depressed")</f>
        <v>Flavored, unhappy before buying pacifiers that have no smell, a son of the queen of rubber smell, depressed</v>
      </c>
    </row>
    <row r="5783">
      <c r="A5783" s="1">
        <v>4.0</v>
      </c>
      <c r="B5783" s="1" t="s">
        <v>5758</v>
      </c>
      <c r="C5783" t="str">
        <f>IFERROR(__xludf.DUMMYFUNCTION("GOOGLETRANSLATE(B5783, ""zh"", ""en"")"),"Nene little dissatisfied paste through a few on the loose, good comfortable material")</f>
        <v>Nene little dissatisfied paste through a few on the loose, good comfortable material</v>
      </c>
    </row>
    <row r="5784">
      <c r="A5784" s="1">
        <v>4.0</v>
      </c>
      <c r="B5784" s="1" t="s">
        <v>5759</v>
      </c>
      <c r="C5784" t="str">
        <f>IFERROR(__xludf.DUMMYFUNCTION("GOOGLETRANSLATE(B5784, ""zh"", ""en"")"),"champion Japanese version and US version of the Japanese version of the relative difference between the US version, better texture, slightly smaller size, for reference.")</f>
        <v>champion Japanese version and US version of the Japanese version of the relative difference between the US version, better texture, slightly smaller size, for reference.</v>
      </c>
    </row>
    <row r="5785">
      <c r="A5785" s="1">
        <v>4.0</v>
      </c>
      <c r="B5785" s="1" t="s">
        <v>5760</v>
      </c>
      <c r="C5785" t="str">
        <f>IFERROR(__xludf.DUMMYFUNCTION("GOOGLETRANSLATE(B5785, ""zh"", ""en"")"),"Before using the brush will fade fade, do not know why this would not fade.")</f>
        <v>Before using the brush will fade fade, do not know why this would not fade.</v>
      </c>
    </row>
    <row r="5786">
      <c r="A5786" s="1">
        <v>4.0</v>
      </c>
      <c r="B5786" s="1" t="s">
        <v>5761</v>
      </c>
      <c r="C5786" t="str">
        <f>IFERROR(__xludf.DUMMYFUNCTION("GOOGLETRANSLATE(B5786, ""zh"", ""en"")"),"Size is too small, good quality shoes do not fit completely different too, I want to return too much trouble.")</f>
        <v>Size is too small, good quality shoes do not fit completely different too, I want to return too much trouble.</v>
      </c>
    </row>
    <row r="5787">
      <c r="A5787" s="1">
        <v>4.0</v>
      </c>
      <c r="B5787" s="1" t="s">
        <v>5762</v>
      </c>
      <c r="C5787" t="str">
        <f>IFERROR(__xludf.DUMMYFUNCTION("GOOGLETRANSLATE(B5787, ""zh"", ""en"")"),"Not bad cheaper than Jingdong, the arrival time should be much longer. Copy speed of about 20M, the actual capacity of 1.8T, in fact, parameters can see Jingdong ~ cheese are not in a hurry to change the hard disk can be considered Kazakhstan.")</f>
        <v>Not bad cheaper than Jingdong, the arrival time should be much longer. Copy speed of about 20M, the actual capacity of 1.8T, in fact, parameters can see Jingdong ~ cheese are not in a hurry to change the hard disk can be considered Kazakhstan.</v>
      </c>
    </row>
    <row r="5788">
      <c r="A5788" s="1">
        <v>5.0</v>
      </c>
      <c r="B5788" s="1" t="s">
        <v>5763</v>
      </c>
      <c r="C5788" t="str">
        <f>IFERROR(__xludf.DUMMYFUNCTION("GOOGLETRANSLATE(B5788, ""zh"", ""en"")"),"Look commented that proper foot wearing thin is better, my feet not fat is not too thin, dressed in a positive fit, that is, if a long walk will be tired feet, a little wear small toe. A word very significant foot thin, very beautiful shoes, after a pair "&amp;"of shoes on klarks")</f>
        <v>Look commented that proper foot wearing thin is better, my feet not fat is not too thin, dressed in a positive fit, that is, if a long walk will be tired feet, a little wear small toe. A word very significant foot thin, very beautiful shoes, after a pair of shoes on klarks</v>
      </c>
    </row>
    <row r="5789">
      <c r="A5789" s="1">
        <v>5.0</v>
      </c>
      <c r="B5789" s="1" t="s">
        <v>5764</v>
      </c>
      <c r="C5789" t="str">
        <f>IFERROR(__xludf.DUMMYFUNCTION("GOOGLETRANSLATE(B5789, ""zh"", ""en"")"),"Very satisfied 35 yards feet, general sports shoes will buy 35.5 of this buy 4.5 yards a little bit loose, soft soles and uppers comparison, on foot more comfortable")</f>
        <v>Very satisfied 35 yards feet, general sports shoes will buy 35.5 of this buy 4.5 yards a little bit loose, soft soles and uppers comparison, on foot more comfortable</v>
      </c>
    </row>
    <row r="5790">
      <c r="A5790" s="1">
        <v>5.0</v>
      </c>
      <c r="B5790" s="1" t="s">
        <v>5765</v>
      </c>
      <c r="C5790" t="str">
        <f>IFERROR(__xludf.DUMMYFUNCTION("GOOGLETRANSLATE(B5790, ""zh"", ""en"")"),"😊 170 125 79 good waist slim size suitable chromatic aberration is not tight, but the range of the expected")</f>
        <v>😊 170 125 79 good waist slim size suitable chromatic aberration is not tight, but the range of the expected</v>
      </c>
    </row>
    <row r="5791">
      <c r="A5791" s="1">
        <v>5.0</v>
      </c>
      <c r="B5791" s="1" t="s">
        <v>5766</v>
      </c>
      <c r="C5791" t="str">
        <f>IFERROR(__xludf.DUMMYFUNCTION("GOOGLETRANSLATE(B5791, ""zh"", ""en"")"),"Well with good use")</f>
        <v>Well with good use</v>
      </c>
    </row>
    <row r="5792">
      <c r="A5792" s="1">
        <v>5.0</v>
      </c>
      <c r="B5792" s="1" t="s">
        <v>5767</v>
      </c>
      <c r="C5792" t="str">
        <f>IFERROR(__xludf.DUMMYFUNCTION("GOOGLETRANSLATE(B5792, ""zh"", ""en"")"),"I ordered inexpensive thin, but also worthy of the price")</f>
        <v>I ordered inexpensive thin, but also worthy of the price</v>
      </c>
    </row>
    <row r="5793">
      <c r="A5793" s="1">
        <v>5.0</v>
      </c>
      <c r="B5793" s="1" t="s">
        <v>5768</v>
      </c>
      <c r="C5793" t="str">
        <f>IFERROR(__xludf.DUMMYFUNCTION("GOOGLETRANSLATE(B5793, ""zh"", ""en"")"),"The first charge very good use, the indicator light flashes a few times and then has been steady.")</f>
        <v>The first charge very good use, the indicator light flashes a few times and then has been steady.</v>
      </c>
    </row>
    <row r="5794">
      <c r="A5794" s="1">
        <v>5.0</v>
      </c>
      <c r="B5794" s="1" t="s">
        <v>5769</v>
      </c>
      <c r="C5794" t="str">
        <f>IFERROR(__xludf.DUMMYFUNCTION("GOOGLETRANSLATE(B5794, ""zh"", ""en"")"),"Affordable comfortable, affordable and comfortable to wear this material is still very comfortable")</f>
        <v>Affordable comfortable, affordable and comfortable to wear this material is still very comfortable</v>
      </c>
    </row>
    <row r="5795">
      <c r="A5795" s="1">
        <v>5.0</v>
      </c>
      <c r="B5795" s="1" t="s">
        <v>5770</v>
      </c>
      <c r="C5795" t="str">
        <f>IFERROR(__xludf.DUMMYFUNCTION("GOOGLETRANSLATE(B5795, ""zh"", ""en"")"),"Satisfaction of purchasing to help my colleagues, very satisfied")</f>
        <v>Satisfaction of purchasing to help my colleagues, very satisfied</v>
      </c>
    </row>
    <row r="5796">
      <c r="A5796" s="1">
        <v>5.0</v>
      </c>
      <c r="B5796" s="1" t="s">
        <v>5771</v>
      </c>
      <c r="C5796" t="str">
        <f>IFERROR(__xludf.DUMMYFUNCTION("GOOGLETRANSLATE(B5796, ""zh"", ""en"")"),"Genuine, very good courier quickly, just in time to buy a membership, although after day drop of 80 dollars, but still feel more value, sneakers yardage freshman yards than usual to wear a little bit of summer burning feet")</f>
        <v>Genuine, very good courier quickly, just in time to buy a membership, although after day drop of 80 dollars, but still feel more value, sneakers yardage freshman yards than usual to wear a little bit of summer burning feet</v>
      </c>
    </row>
    <row r="5797">
      <c r="A5797" s="1">
        <v>5.0</v>
      </c>
      <c r="B5797" s="1" t="s">
        <v>5772</v>
      </c>
      <c r="C5797" t="str">
        <f>IFERROR(__xludf.DUMMYFUNCTION("GOOGLETRANSLATE(B5797, ""zh"", ""en"")"),"Four days of arrival. . . . A big box inside, a good small bottle, orders arrive four days, I did not expect the United States to China so fast")</f>
        <v>Four days of arrival. . . . A big box inside, a good small bottle, orders arrive four days, I did not expect the United States to China so fast</v>
      </c>
    </row>
    <row r="5798">
      <c r="A5798" s="1">
        <v>5.0</v>
      </c>
      <c r="B5798" s="1" t="s">
        <v>5773</v>
      </c>
      <c r="C5798" t="str">
        <f>IFERROR(__xludf.DUMMYFUNCTION("GOOGLETRANSLATE(B5798, ""zh"", ""en"")"),"Good good very good, almost like the original feeling")</f>
        <v>Good good very good, almost like the original feeling</v>
      </c>
    </row>
    <row r="5799">
      <c r="A5799" s="1">
        <v>5.0</v>
      </c>
      <c r="B5799" s="1" t="s">
        <v>5774</v>
      </c>
      <c r="C5799" t="str">
        <f>IFERROR(__xludf.DUMMYFUNCTION("GOOGLETRANSLATE(B5799, ""zh"", ""en"")"),"The size of the right size, is genuine, classic style")</f>
        <v>The size of the right size, is genuine, classic style</v>
      </c>
    </row>
    <row r="5800">
      <c r="A5800" s="1">
        <v>5.0</v>
      </c>
      <c r="B5800" s="1" t="s">
        <v>5775</v>
      </c>
      <c r="C5800" t="str">
        <f>IFERROR(__xludf.DUMMYFUNCTION("GOOGLETRANSLATE(B5800, ""zh"", ""en"")"),"Martin really invincible discomfort Hefei foot, wearing shoes take a meal of effort")</f>
        <v>Martin really invincible discomfort Hefei foot, wearing shoes take a meal of effort</v>
      </c>
    </row>
    <row r="5801">
      <c r="A5801" s="1">
        <v>5.0</v>
      </c>
      <c r="B5801" s="1" t="s">
        <v>5776</v>
      </c>
      <c r="C5801" t="str">
        <f>IFERROR(__xludf.DUMMYFUNCTION("GOOGLETRANSLATE(B5801, ""zh"", ""en"")"),"Value for money very handsome! I 162,112 pounds, the election XS code, just good, did not feel long sleeves, but the sleeve is really fat. This thickness is sufficient for the winter in Guangzhou. Not specifically match, how to wear all look good. Some cr"&amp;"itics say there take hoodies, hoodies take me feel bloated.")</f>
        <v>Value for money very handsome! I 162,112 pounds, the election XS code, just good, did not feel long sleeves, but the sleeve is really fat. This thickness is sufficient for the winter in Guangzhou. Not specifically match, how to wear all look good. Some critics say there take hoodies, hoodies take me feel bloated.</v>
      </c>
    </row>
    <row r="5802">
      <c r="A5802" s="1">
        <v>5.0</v>
      </c>
      <c r="B5802" s="1" t="s">
        <v>5777</v>
      </c>
      <c r="C5802" t="str">
        <f>IFERROR(__xludf.DUMMYFUNCTION("GOOGLETRANSLATE(B5802, ""zh"", ""en"")"),"A sub-price goods a sub-price goods ... really easy to use than a horse card ... ah ... a lot of delicate color easily and praise!")</f>
        <v>A sub-price goods a sub-price goods ... really easy to use than a horse card ... ah ... a lot of delicate color easily and praise!</v>
      </c>
    </row>
    <row r="5803">
      <c r="A5803" s="1">
        <v>5.0</v>
      </c>
      <c r="B5803" s="1" t="s">
        <v>5778</v>
      </c>
      <c r="C5803" t="str">
        <f>IFERROR(__xludf.DUMMYFUNCTION("GOOGLETRANSLATE(B5803, ""zh"", ""en"")"),"Baby use to store goods in! bb is still small, with a small!")</f>
        <v>Baby use to store goods in! bb is still small, with a small!</v>
      </c>
    </row>
    <row r="5804">
      <c r="A5804" s="1">
        <v>5.0</v>
      </c>
      <c r="B5804" s="1" t="s">
        <v>5779</v>
      </c>
      <c r="C5804" t="str">
        <f>IFERROR(__xludf.DUMMYFUNCTION("GOOGLETRANSLATE(B5804, ""zh"", ""en"")"),"A little large 180cm / 90kg It looks good except a little large, the price is OK")</f>
        <v>A little large 180cm / 90kg It looks good except a little large, the price is OK</v>
      </c>
    </row>
    <row r="5805">
      <c r="A5805" s="1">
        <v>5.0</v>
      </c>
      <c r="B5805" s="1" t="s">
        <v>5780</v>
      </c>
      <c r="C5805" t="str">
        <f>IFERROR(__xludf.DUMMYFUNCTION("GOOGLETRANSLATE(B5805, ""zh"", ""en"")"),"Quality good quality workmanship are good, but can not withstand cold, wet winter in South China. In weather 5 degrees plus a pair of jeans still feel a little cold.")</f>
        <v>Quality good quality workmanship are good, but can not withstand cold, wet winter in South China. In weather 5 degrees plus a pair of jeans still feel a little cold.</v>
      </c>
    </row>
    <row r="5806">
      <c r="A5806" s="1">
        <v>5.0</v>
      </c>
      <c r="B5806" s="1" t="s">
        <v>5781</v>
      </c>
      <c r="C5806" t="str">
        <f>IFERROR(__xludf.DUMMYFUNCTION("GOOGLETRANSLATE(B5806, ""zh"", ""en"")"),"Good like feel good, not the kind of thick, thin underwear like this, it is estimated warm with good results")</f>
        <v>Good like feel good, not the kind of thick, thin underwear like this, it is estimated warm with good results</v>
      </c>
    </row>
    <row r="5807">
      <c r="A5807" s="1">
        <v>5.0</v>
      </c>
      <c r="B5807" s="1" t="s">
        <v>5782</v>
      </c>
      <c r="C5807" t="str">
        <f>IFERROR(__xludf.DUMMYFUNCTION("GOOGLETRANSLATE(B5807, ""zh"", ""en"")"),"Comfortable to wear comfortable, the second time to buy")</f>
        <v>Comfortable to wear comfortable, the second time to buy</v>
      </c>
    </row>
    <row r="5808">
      <c r="A5808" s="1">
        <v>5.0</v>
      </c>
      <c r="B5808" s="1" t="s">
        <v>5783</v>
      </c>
      <c r="C5808" t="str">
        <f>IFERROR(__xludf.DUMMYFUNCTION("GOOGLETRANSLATE(B5808, ""zh"", ""en"")"),"Not choked, easy to use this bbox of suction cups, is a favorite with my son, the least likely to choke the water, which is to buy a straw, to brush every day, often for")</f>
        <v>Not choked, easy to use this bbox of suction cups, is a favorite with my son, the least likely to choke the water, which is to buy a straw, to brush every day, often for</v>
      </c>
    </row>
    <row r="5809">
      <c r="A5809" s="1">
        <v>5.0</v>
      </c>
      <c r="B5809" s="1" t="s">
        <v>5784</v>
      </c>
      <c r="C5809" t="str">
        <f>IFERROR(__xludf.DUMMYFUNCTION("GOOGLETRANSLATE(B5809, ""zh"", ""en"")"),"Very very very satisfied with the good-looking comfortable version. Very cost-effective")</f>
        <v>Very very very satisfied with the good-looking comfortable version. Very cost-effective</v>
      </c>
    </row>
    <row r="5810">
      <c r="A5810" s="1">
        <v>2.0</v>
      </c>
      <c r="B5810" s="1" t="s">
        <v>5785</v>
      </c>
      <c r="C5810" t="str">
        <f>IFERROR(__xludf.DUMMYFUNCTION("GOOGLETRANSLATE(B5810, ""zh"", ""en"")"),"This very large brand identification is completed for fat is also a xs skins shorter than it would have been afraid of a collapse too tight in fact completely unnecessary")</f>
        <v>This very large brand identification is completed for fat is also a xs skins shorter than it would have been afraid of a collapse too tight in fact completely unnecessary</v>
      </c>
    </row>
    <row r="5811">
      <c r="A5811" s="1">
        <v>3.0</v>
      </c>
      <c r="B5811" s="1" t="s">
        <v>5786</v>
      </c>
      <c r="C5811" t="str">
        <f>IFERROR(__xludf.DUMMYFUNCTION("GOOGLETRANSLATE(B5811, ""zh"", ""en"")"),"Buy 64G, showing only 31.6G 17 August to buy 64G U disk (also on display socket 64G capacity), over half a year now plug the computer only to find that only 31.6G (formerly never pay attention), what is the situation. . . Software test also say it is not "&amp;"a disk expansion")</f>
        <v>Buy 64G, showing only 31.6G 17 August to buy 64G U disk (also on display socket 64G capacity), over half a year now plug the computer only to find that only 31.6G (formerly never pay attention), what is the situation. . . Software test also say it is not a disk expansion</v>
      </c>
    </row>
    <row r="5812">
      <c r="A5812" s="1">
        <v>3.0</v>
      </c>
      <c r="B5812" s="1" t="s">
        <v>5787</v>
      </c>
      <c r="C5812" t="str">
        <f>IFERROR(__xludf.DUMMYFUNCTION("GOOGLETRANSLATE(B5812, ""zh"", ""en"")"),"Cheap like a general, a single cheap nowadays.")</f>
        <v>Cheap like a general, a single cheap nowadays.</v>
      </c>
    </row>
    <row r="5813">
      <c r="A5813" s="1">
        <v>3.0</v>
      </c>
      <c r="B5813" s="1" t="s">
        <v>5788</v>
      </c>
      <c r="C5813" t="str">
        <f>IFERROR(__xludf.DUMMYFUNCTION("GOOGLETRANSLATE(B5813, ""zh"", ""en"")"),"Fleece Trousers is quite easy to walk Fleece Trousers type of relatively easy walking type")</f>
        <v>Fleece Trousers is quite easy to walk Fleece Trousers type of relatively easy walking type</v>
      </c>
    </row>
    <row r="5814">
      <c r="A5814" s="1">
        <v>1.0</v>
      </c>
      <c r="B5814" s="1" t="s">
        <v>5789</v>
      </c>
      <c r="C5814" t="str">
        <f>IFERROR(__xludf.DUMMYFUNCTION("GOOGLETRANSLATE(B5814, ""zh"", ""en"")"),"Spicy chicken spicy chicken hat, hat workmanship is very bad, crooked, really do not buy, spicy chicken in a chicken fight")</f>
        <v>Spicy chicken spicy chicken hat, hat workmanship is very bad, crooked, really do not buy, spicy chicken in a chicken fight</v>
      </c>
    </row>
    <row r="5815">
      <c r="A5815" s="1">
        <v>1.0</v>
      </c>
      <c r="B5815" s="1" t="s">
        <v>5790</v>
      </c>
      <c r="C5815" t="str">
        <f>IFERROR(__xludf.DUMMYFUNCTION("GOOGLETRANSLATE(B5815, ""zh"", ""en"")"),"Oversized pants, with sizes do not match. . . . . . Oversized pants, with sizes do not match. . . . . . Which sets long johns. Trousers. Maoku can wear inside. . . Above waist fee of 200 pounds wearing no problem")</f>
        <v>Oversized pants, with sizes do not match. . . . . . Oversized pants, with sizes do not match. . . . . . Which sets long johns. Trousers. Maoku can wear inside. . . Above waist fee of 200 pounds wearing no problem</v>
      </c>
    </row>
    <row r="5816">
      <c r="A5816" s="1">
        <v>4.0</v>
      </c>
      <c r="B5816" s="1" t="s">
        <v>5791</v>
      </c>
      <c r="C5816" t="str">
        <f>IFERROR(__xludf.DUMMYFUNCTION("GOOGLETRANSLATE(B5816, ""zh"", ""en"")"),"Help a friend buy, said good right size, help a friend buy")</f>
        <v>Help a friend buy, said good right size, help a friend buy</v>
      </c>
    </row>
    <row r="5817">
      <c r="A5817" s="1">
        <v>4.0</v>
      </c>
      <c r="B5817" s="1" t="s">
        <v>5792</v>
      </c>
      <c r="C5817" t="str">
        <f>IFERROR(__xludf.DUMMYFUNCTION("GOOGLETRANSLATE(B5817, ""zh"", ""en"")"),"And no legend so good buy and back, and there is no legend so good, personal feeling and not as sony 1000x KEF M500, but 1500 should be better than the headphones AKG")</f>
        <v>And no legend so good buy and back, and there is no legend so good, personal feeling and not as sony 1000x KEF M500, but 1500 should be better than the headphones AKG</v>
      </c>
    </row>
    <row r="5818">
      <c r="A5818" s="1">
        <v>4.0</v>
      </c>
      <c r="B5818" s="1" t="s">
        <v>5793</v>
      </c>
      <c r="C5818" t="str">
        <f>IFERROR(__xludf.DUMMYFUNCTION("GOOGLETRANSLATE(B5818, ""zh"", ""en"")"),"Good material pants good material, compared to the picture a little fat Kutong")</f>
        <v>Good material pants good material, compared to the picture a little fat Kutong</v>
      </c>
    </row>
    <row r="5819">
      <c r="A5819" s="1">
        <v>4.0</v>
      </c>
      <c r="B5819" s="1" t="s">
        <v>5794</v>
      </c>
      <c r="C5819" t="str">
        <f>IFERROR(__xludf.DUMMYFUNCTION("GOOGLETRANSLATE(B5819, ""zh"", ""en"")"),"Whole can, fast speed of delivery prices ah, 5.22 received a single 5.25, about 7.27T capacity, the maximum write speed 100MB / s, but less stable, fast off from time to time, the entire header is large and heavy the power supply is 100v ~ 240v AC, overal"&amp;"l fairly quiet, really erase the disk from time to time there are voices also receive, would like to spend a long time point of it.")</f>
        <v>Whole can, fast speed of delivery prices ah, 5.22 received a single 5.25, about 7.27T capacity, the maximum write speed 100MB / s, but less stable, fast off from time to time, the entire header is large and heavy the power supply is 100v ~ 240v AC, overall fairly quiet, really erase the disk from time to time there are voices also receive, would like to spend a long time point of it.</v>
      </c>
    </row>
    <row r="5820">
      <c r="A5820" s="1">
        <v>4.0</v>
      </c>
      <c r="B5820" s="1" t="s">
        <v>5795</v>
      </c>
      <c r="C5820" t="str">
        <f>IFERROR(__xludf.DUMMYFUNCTION("GOOGLETRANSLATE(B5820, ""zh"", ""en"")"),"Overall, there is still demand for water pressure was very comfortable, the direct effect is to take a bath more diligent ...... 😝")</f>
        <v>Overall, there is still demand for water pressure was very comfortable, the direct effect is to take a bath more diligent ...... 😝</v>
      </c>
    </row>
    <row r="5821">
      <c r="A5821" s="1">
        <v>5.0</v>
      </c>
      <c r="B5821" s="1" t="s">
        <v>5796</v>
      </c>
      <c r="C5821" t="str">
        <f>IFERROR(__xludf.DUMMYFUNCTION("GOOGLETRANSLATE(B5821, ""zh"", ""en"")"),"Overseas arrive as relatively fast, exquisite workmanship, feel comfortable, five-star praise first. Overseas arrive as relatively fast, exquisite workmanship, feel comfortable, five-star praise first.")</f>
        <v>Overseas arrive as relatively fast, exquisite workmanship, feel comfortable, five-star praise first. Overseas arrive as relatively fast, exquisite workmanship, feel comfortable, five-star praise first.</v>
      </c>
    </row>
    <row r="5822">
      <c r="A5822" s="1">
        <v>5.0</v>
      </c>
      <c r="B5822" s="1" t="s">
        <v>5797</v>
      </c>
      <c r="C5822" t="str">
        <f>IFERROR(__xludf.DUMMYFUNCTION("GOOGLETRANSLATE(B5822, ""zh"", ""en"")"),"Good quality is very good! very satisfied!")</f>
        <v>Good quality is very good! very satisfied!</v>
      </c>
    </row>
    <row r="5823">
      <c r="A5823" s="1">
        <v>5.0</v>
      </c>
      <c r="B5823" s="1" t="s">
        <v>5798</v>
      </c>
      <c r="C5823" t="str">
        <f>IFERROR(__xludf.DUMMYFUNCTION("GOOGLETRANSLATE(B5823, ""zh"", ""en"")"),"Use good use, the most basic style is enough, much cheaper than domestic")</f>
        <v>Use good use, the most basic style is enough, much cheaper than domestic</v>
      </c>
    </row>
    <row r="5824">
      <c r="A5824" s="1">
        <v>5.0</v>
      </c>
      <c r="B5824" s="1" t="s">
        <v>5799</v>
      </c>
      <c r="C5824" t="str">
        <f>IFERROR(__xludf.DUMMYFUNCTION("GOOGLETRANSLATE(B5824, ""zh"", ""en"")"),"Fully achieve the desired effect! Xue Ying cents a blue color too! Bass and surround effect on the sound quality is obvious, treble a bit weak, good sound insulation, at normal volume. Not too soft nor ear clip headset, cost-effective and have a high valu"&amp;"e of a color. Overseas purchase of courier boxes are also good to see! But this Lynx flagship store two-eleven to buy cheaper than on Amazon.")</f>
        <v>Fully achieve the desired effect! Xue Ying cents a blue color too! Bass and surround effect on the sound quality is obvious, treble a bit weak, good sound insulation, at normal volume. Not too soft nor ear clip headset, cost-effective and have a high value of a color. Overseas purchase of courier boxes are also good to see! But this Lynx flagship store two-eleven to buy cheaper than on Amazon.</v>
      </c>
    </row>
    <row r="5825">
      <c r="A5825" s="1">
        <v>5.0</v>
      </c>
      <c r="B5825" s="1" t="s">
        <v>5800</v>
      </c>
      <c r="C5825" t="str">
        <f>IFERROR(__xludf.DUMMYFUNCTION("GOOGLETRANSLATE(B5825, ""zh"", ""en"")"),"Logistics fast, appropriate code number eight days to come, has been concerned about the price of six hundred hand. Very appropriate size, usually wear 39 40 This does not squeeze the foot 8 yards to spare. Out")</f>
        <v>Logistics fast, appropriate code number eight days to come, has been concerned about the price of six hundred hand. Very appropriate size, usually wear 39 40 This does not squeeze the foot 8 yards to spare. Out</v>
      </c>
    </row>
    <row r="5826">
      <c r="A5826" s="1">
        <v>5.0</v>
      </c>
      <c r="B5826" s="1" t="s">
        <v>5801</v>
      </c>
      <c r="C5826" t="str">
        <f>IFERROR(__xludf.DUMMYFUNCTION("GOOGLETRANSLATE(B5826, ""zh"", ""en"")"),"Good and very good thermal insulation capacity of the insulation capacity to ensure long-term journey in a bowl of porridge a day")</f>
        <v>Good and very good thermal insulation capacity of the insulation capacity to ensure long-term journey in a bowl of porridge a day</v>
      </c>
    </row>
    <row r="5827">
      <c r="A5827" s="1">
        <v>5.0</v>
      </c>
      <c r="B5827" s="1" t="s">
        <v>5802</v>
      </c>
      <c r="C5827" t="str">
        <f>IFERROR(__xludf.DUMMYFUNCTION("GOOGLETRANSLATE(B5827, ""zh"", ""en"")"),"nice! &lt;Div id = ""video-block-R2XRVAQXX2UK7V"" class = ""a-section a-spacing-small a-spacing-top-mini video-block""&gt; &lt;/ div&gt; &lt;input type = ""hidden"" name = """" value = ""https://images-cn.ssl-images-amazon.com/images/I/91HW71oIqTS.mp4"" class = ""video-"&amp;"url""&gt; &lt;input type = ""hidden"" name = """" value = ""https: //images-cn.ssl-images-amazon.com/images/I/815MlwsOiBS.png ""class ="" video-slate-img-url ""&gt; &amp; nbsp; liked! Foam seal is very strong!")</f>
        <v>nice! &lt;Div id = "video-block-R2XRVAQXX2UK7V" class = "a-section a-spacing-small a-spacing-top-mini video-block"&gt; &lt;/ div&gt; &lt;input type = "hidden" name = "" value = "https://images-cn.ssl-images-amazon.com/images/I/91HW71oIqTS.mp4" class = "video-url"&gt; &lt;input type = "hidden" name = "" value = "https: //images-cn.ssl-images-amazon.com/images/I/815MlwsOiBS.png "class =" video-slate-img-url "&gt; &amp; nbsp; liked! Foam seal is very strong!</v>
      </c>
    </row>
    <row r="5828">
      <c r="A5828" s="1">
        <v>5.0</v>
      </c>
      <c r="B5828" s="1" t="s">
        <v>5803</v>
      </c>
      <c r="C5828" t="str">
        <f>IFERROR(__xludf.DUMMYFUNCTION("GOOGLETRANSLATE(B5828, ""zh"", ""en"")"),"Cheap Cheap")</f>
        <v>Cheap Cheap</v>
      </c>
    </row>
    <row r="5829">
      <c r="A5829" s="1">
        <v>5.0</v>
      </c>
      <c r="B5829" s="1" t="s">
        <v>5804</v>
      </c>
      <c r="C5829" t="str">
        <f>IFERROR(__xludf.DUMMYFUNCTION("GOOGLETRANSLATE(B5829, ""zh"", ""en"")"),"Very fit measure your waist and legs to control the size chart to buy, very fit")</f>
        <v>Very fit measure your waist and legs to control the size chart to buy, very fit</v>
      </c>
    </row>
    <row r="5830">
      <c r="A5830" s="1">
        <v>5.0</v>
      </c>
      <c r="B5830" s="1" t="s">
        <v>5805</v>
      </c>
      <c r="C5830" t="str">
        <f>IFERROR(__xludf.DUMMYFUNCTION("GOOGLETRANSLATE(B5830, ""zh"", ""en"")"),"It is very good pen long wanted to experience under the pen Schneider, a few days before my LAMY AL-star F sharp (also in Central Asia to buy, for several years) accidentally broke, just now Central Asia LAMY At that time a lot more expensive than it is t"&amp;"o start a direct only. Now that feeling under: 1, Schneider Packaging good, pencil cases, and more durable, but the legendary pen no; LAMY is a small tray, slightly larger than a pen, and very thin, very soft, remember to close when the goods have been sl"&amp;"ightly deformed. 2, Schneider had two gall ink, one ink; LAMY on standard ink, blue ink seems to have guts, too long not remember. 3, the appearance of good, Schneider is environmentally friendly plastics, LAMY metal is, of course, the price is twice as e"&amp;"xpensive. 4, this book Schneider pen and LAMY F sharp almost crude, to write relatively smooth, but LAMY more smoothly.")</f>
        <v>It is very good pen long wanted to experience under the pen Schneider, a few days before my LAMY AL-star F sharp (also in Central Asia to buy, for several years) accidentally broke, just now Central Asia LAMY At that time a lot more expensive than it is to start a direct only. Now that feeling under: 1, Schneider Packaging good, pencil cases, and more durable, but the legendary pen no; LAMY is a small tray, slightly larger than a pen, and very thin, very soft, remember to close when the goods have been slightly deformed. 2, Schneider had two gall ink, one ink; LAMY on standard ink, blue ink seems to have guts, too long not remember. 3, the appearance of good, Schneider is environmentally friendly plastics, LAMY metal is, of course, the price is twice as expensive. 4, this book Schneider pen and LAMY F sharp almost crude, to write relatively smooth, but LAMY more smoothly.</v>
      </c>
    </row>
    <row r="5831">
      <c r="A5831" s="1">
        <v>5.0</v>
      </c>
      <c r="B5831" s="1" t="s">
        <v>5806</v>
      </c>
      <c r="C5831" t="str">
        <f>IFERROR(__xludf.DUMMYFUNCTION("GOOGLETRANSLATE(B5831, ""zh"", ""en"")"),"Clarks shoe size to buy according to the usual comment was full of misleading the shoes on the word, usually clarks how much to buy, how much to buy this pair, do not press the buy sports shoes size.")</f>
        <v>Clarks shoe size to buy according to the usual comment was full of misleading the shoes on the word, usually clarks how much to buy, how much to buy this pair, do not press the buy sports shoes size.</v>
      </c>
    </row>
    <row r="5832">
      <c r="A5832" s="1">
        <v>5.0</v>
      </c>
      <c r="B5832" s="1" t="s">
        <v>5807</v>
      </c>
      <c r="C5832" t="str">
        <f>IFERROR(__xludf.DUMMYFUNCTION("GOOGLETRANSLATE(B5832, ""zh"", ""en"")"),"Well good, you can! This function is also OK")</f>
        <v>Well good, you can! This function is also OK</v>
      </c>
    </row>
    <row r="5833">
      <c r="A5833" s="1">
        <v>5.0</v>
      </c>
      <c r="B5833" s="1" t="s">
        <v>5808</v>
      </c>
      <c r="C5833" t="str">
        <f>IFERROR(__xludf.DUMMYFUNCTION("GOOGLETRANSLATE(B5833, ""zh"", ""en"")"),"Higher than expected! The next orders not yet shipped, see the first three commented adapter poor. I simply because SD adapter card before choosing to buy from overseas, because in tariff and freight is not the case, this has 64G TF card (red) more expens"&amp;"ive than the 2017 models of the state line, the performance is the same, or warranty problem. (2017 models, red, Chinese / US version without adapter; Japan found only version with adapter) I quickly went to Mayer looked at the evaluation, out of the trus"&amp;"t Samsung products, or waiting for arrived. I am just received the goods. TF origin Philippines, SD adapter card Origin China. USB3.0 card reader is a test of Kingston. Samsung 64G TF card, the default format is exFat, the available capacity of 59.5G. The"&amp;" test method is a 2G file twice, copied from the PC to the TF card. The first copy directly to TF, write speed of 65.6MB / s; the second time using a SD adapter, the write speed of 65.9MB / s; results show adapter did not pull down the performance of TF. "&amp;"(Note that when the second use Fastcopy, I chose to copy the last path, being given that can not be copied, startled me later discovered, for the first time directly TF card, my computer as the default disk F ; the second time when using SD card adapter, "&amp;"computer it replaced the E drive).")</f>
        <v>Higher than expected! The next orders not yet shipped, see the first three commented adapter poor. I simply because SD adapter card before choosing to buy from overseas, because in tariff and freight is not the case, this has 64G TF card (red) more expensive than the 2017 models of the state line, the performance is the same, or warranty problem. (2017 models, red, Chinese / US version without adapter; Japan found only version with adapter) I quickly went to Mayer looked at the evaluation, out of the trust Samsung products, or waiting for arrived. I am just received the goods. TF origin Philippines, SD adapter card Origin China. USB3.0 card reader is a test of Kingston. Samsung 64G TF card, the default format is exFat, the available capacity of 59.5G. The test method is a 2G file twice, copied from the PC to the TF card. The first copy directly to TF, write speed of 65.6MB / s; the second time using a SD adapter, the write speed of 65.9MB / s; results show adapter did not pull down the performance of TF. (Note that when the second use Fastcopy, I chose to copy the last path, being given that can not be copied, startled me later discovered, for the first time directly TF card, my computer as the default disk F ; the second time when using SD card adapter, computer it replaced the E drive).</v>
      </c>
    </row>
    <row r="5834">
      <c r="A5834" s="1">
        <v>5.0</v>
      </c>
      <c r="B5834" s="1" t="s">
        <v>5809</v>
      </c>
      <c r="C5834" t="str">
        <f>IFERROR(__xludf.DUMMYFUNCTION("GOOGLETRANSLATE(B5834, ""zh"", ""en"")"),"Relatively low-key color. Rose pink, relatively low-key color. Old aunt liked.")</f>
        <v>Relatively low-key color. Rose pink, relatively low-key color. Old aunt liked.</v>
      </c>
    </row>
    <row r="5835">
      <c r="A5835" s="1">
        <v>5.0</v>
      </c>
      <c r="B5835" s="1" t="s">
        <v>5810</v>
      </c>
      <c r="C5835" t="str">
        <f>IFERROR(__xludf.DUMMYFUNCTION("GOOGLETRANSLATE(B5835, ""zh"", ""en"")"),"not bad. Something good, that is not clearly stated hardware and software.")</f>
        <v>not bad. Something good, that is not clearly stated hardware and software.</v>
      </c>
    </row>
    <row r="5836">
      <c r="A5836" s="1">
        <v>5.0</v>
      </c>
      <c r="B5836" s="1" t="s">
        <v>5811</v>
      </c>
      <c r="C5836" t="str">
        <f>IFERROR(__xludf.DUMMYFUNCTION("GOOGLETRANSLATE(B5836, ""zh"", ""en"")"),"Very satisfied with the size just right, and try the same size, good quality, and the price is very affordable, it is recommended!")</f>
        <v>Very satisfied with the size just right, and try the same size, good quality, and the price is very affordable, it is recommended!</v>
      </c>
    </row>
    <row r="5837">
      <c r="A5837" s="1">
        <v>5.0</v>
      </c>
      <c r="B5837" s="1" t="s">
        <v>5812</v>
      </c>
      <c r="C5837" t="str">
        <f>IFERROR(__xludf.DUMMYFUNCTION("GOOGLETRANSLATE(B5837, ""zh"", ""en"")"),"Comfortable and very comfortable, and does not tighten.")</f>
        <v>Comfortable and very comfortable, and does not tighten.</v>
      </c>
    </row>
    <row r="5838">
      <c r="A5838" s="1">
        <v>5.0</v>
      </c>
      <c r="B5838" s="1" t="s">
        <v>5813</v>
      </c>
      <c r="C5838" t="str">
        <f>IFERROR(__xludf.DUMMYFUNCTION("GOOGLETRANSLATE(B5838, ""zh"", ""en"")"),"A lot cheaper to give as gifts to open my colleagues to buy basically no taste very good-looking cute")</f>
        <v>A lot cheaper to give as gifts to open my colleagues to buy basically no taste very good-looking cute</v>
      </c>
    </row>
    <row r="5839">
      <c r="A5839" s="1">
        <v>5.0</v>
      </c>
      <c r="B5839" s="1" t="s">
        <v>5814</v>
      </c>
      <c r="C5839" t="str">
        <f>IFERROR(__xludf.DUMMYFUNCTION("GOOGLETRANSLATE(B5839, ""zh"", ""en"")"),"Good quality trousers somewhat longer than domestic freshman code, the first black wash has faded a little.")</f>
        <v>Good quality trousers somewhat longer than domestic freshman code, the first black wash has faded a little.</v>
      </c>
    </row>
    <row r="5840">
      <c r="A5840" s="1">
        <v>5.0</v>
      </c>
      <c r="B5840" s="1" t="s">
        <v>5815</v>
      </c>
      <c r="C5840" t="str">
        <f>IFERROR(__xludf.DUMMYFUNCTION("GOOGLETRANSLATE(B5840, ""zh"", ""en"")"),"Import duty of good quality, holding your baby, your baby is not afraid to touch the pain, courier packaging is a bit shabby, Amazon is still very good, automatically import tax difference to me back here, like this one")</f>
        <v>Import duty of good quality, holding your baby, your baby is not afraid to touch the pain, courier packaging is a bit shabby, Amazon is still very good, automatically import tax difference to me back here, like this one</v>
      </c>
    </row>
    <row r="5841">
      <c r="A5841" s="1">
        <v>5.0</v>
      </c>
      <c r="B5841" s="1" t="s">
        <v>5816</v>
      </c>
      <c r="C5841" t="str">
        <f>IFERROR(__xludf.DUMMYFUNCTION("GOOGLETRANSLATE(B5841, ""zh"", ""en"")"),"Not embarrassing tights feel comfortable close, which was thin legs. In case of external hooked a hole, the hole will not spread, good pantyhose.")</f>
        <v>Not embarrassing tights feel comfortable close, which was thin legs. In case of external hooked a hole, the hole will not spread, good pantyhose.</v>
      </c>
    </row>
    <row r="5842">
      <c r="A5842" s="1">
        <v>5.0</v>
      </c>
      <c r="B5842" s="1" t="s">
        <v>5817</v>
      </c>
      <c r="C5842" t="str">
        <f>IFERROR(__xludf.DUMMYFUNCTION("GOOGLETRANSLATE(B5842, ""zh"", ""en"")"),"Mexico Mexico produced a pair of jeans LEE multiple purchases, 181CM weight 94 kg. 34/32 just right! It's just a pair of jeans, five-star!")</f>
        <v>Mexico Mexico produced a pair of jeans LEE multiple purchases, 181CM weight 94 kg. 34/32 just right! It's just a pair of jeans, five-star!</v>
      </c>
    </row>
    <row r="5843">
      <c r="A5843" s="1">
        <v>2.0</v>
      </c>
      <c r="B5843" s="1" t="s">
        <v>5818</v>
      </c>
      <c r="C5843" t="str">
        <f>IFERROR(__xludf.DUMMYFUNCTION("GOOGLETRANSLATE(B5843, ""zh"", ""en"")"),"Second hand stop and go this package is not who I did not so feel free to children watch it, but fortunately did not scratch, except a little glue on the back, the other second hand does not move how it always")</f>
        <v>Second hand stop and go this package is not who I did not so feel free to children watch it, but fortunately did not scratch, except a little glue on the back, the other second hand does not move how it always</v>
      </c>
    </row>
    <row r="5844">
      <c r="A5844" s="1">
        <v>3.0</v>
      </c>
      <c r="B5844" s="1" t="s">
        <v>5819</v>
      </c>
      <c r="C5844" t="str">
        <f>IFERROR(__xludf.DUMMYFUNCTION("GOOGLETRANSLATE(B5844, ""zh"", ""en"")"),"Long sleeves, high collar meter eighty zero, $ 140 five pounds, wearing s number can be. But the clothes long sleeves, collar is too high. I do not like.")</f>
        <v>Long sleeves, high collar meter eighty zero, $ 140 five pounds, wearing s number can be. But the clothes long sleeves, collar is too high. I do not like.</v>
      </c>
    </row>
    <row r="5845">
      <c r="A5845" s="1">
        <v>3.0</v>
      </c>
      <c r="B5845" s="1" t="s">
        <v>5820</v>
      </c>
      <c r="C5845" t="str">
        <f>IFERROR(__xludf.DUMMYFUNCTION("GOOGLETRANSLATE(B5845, ""zh"", ""en"")"),"mini sized with a small dishwasher")</f>
        <v>mini sized with a small dishwasher</v>
      </c>
    </row>
    <row r="5846">
      <c r="A5846" s="1">
        <v>1.0</v>
      </c>
      <c r="B5846" s="1" t="s">
        <v>5821</v>
      </c>
      <c r="C5846" t="str">
        <f>IFERROR(__xludf.DUMMYFUNCTION("GOOGLETRANSLATE(B5846, ""zh"", ""en"")"),"Others estimate the repair and replacement of the screws are screwed up for sale a speaker at the scene tweeter seems to have replaced the volume buttons are loose screws the other one is a distortion of the estimated replacement and repair others Nachula"&amp;"imai")</f>
        <v>Others estimate the repair and replacement of the screws are screwed up for sale a speaker at the scene tweeter seems to have replaced the volume buttons are loose screws the other one is a distortion of the estimated replacement and repair others Nachulaimai</v>
      </c>
    </row>
    <row r="5847">
      <c r="A5847" s="1">
        <v>1.0</v>
      </c>
      <c r="B5847" s="1" t="s">
        <v>5822</v>
      </c>
      <c r="C5847" t="str">
        <f>IFERROR(__xludf.DUMMYFUNCTION("GOOGLETRANSLATE(B5847, ""zh"", ""en"")"),"Serious suspected to be fake, two-dimensional code are printed crooked, and direct mail are shipped from Hong Kong to Africa, the US and Asia. Now Amazon's customer experience is getting worse, serious doubts are fake, two-dimensional code are printed cro"&amp;"oked, and Africa, the US and Asia are shipped from Hong Kong direct mail")</f>
        <v>Serious suspected to be fake, two-dimensional code are printed crooked, and direct mail are shipped from Hong Kong to Africa, the US and Asia. Now Amazon's customer experience is getting worse, serious doubts are fake, two-dimensional code are printed crooked, and Africa, the US and Asia are shipped from Hong Kong direct mail</v>
      </c>
    </row>
    <row r="5848">
      <c r="A5848" s="1">
        <v>1.0</v>
      </c>
      <c r="B5848" s="1" t="s">
        <v>5823</v>
      </c>
      <c r="C5848" t="str">
        <f>IFERROR(__xludf.DUMMYFUNCTION("GOOGLETRANSLATE(B5848, ""zh"", ""en"")"),"Quite how to tell the truth, fabrics ""very"" rough, ""very"" thick ""very"" uncomfortable ""very"" long, conscience evaluation")</f>
        <v>Quite how to tell the truth, fabrics "very" rough, "very" thick "very" uncomfortable "very" long, conscience evaluation</v>
      </c>
    </row>
    <row r="5849">
      <c r="A5849" s="1">
        <v>4.0</v>
      </c>
      <c r="B5849" s="1" t="s">
        <v>5824</v>
      </c>
      <c r="C5849" t="str">
        <f>IFERROR(__xludf.DUMMYFUNCTION("GOOGLETRANSLATE(B5849, ""zh"", ""en"")"),"Just the color, size small with a little color to match the description, I love it. The only drawback is a little round toe, type quite right. Wear a repeat.")</f>
        <v>Just the color, size small with a little color to match the description, I love it. The only drawback is a little round toe, type quite right. Wear a repeat.</v>
      </c>
    </row>
    <row r="5850">
      <c r="A5850" s="1">
        <v>4.0</v>
      </c>
      <c r="B5850" s="1" t="s">
        <v>5825</v>
      </c>
      <c r="C5850" t="str">
        <f>IFERROR(__xludf.DUMMYFUNCTION("GOOGLETRANSLATE(B5850, ""zh"", ""en"")"),"Good to wear a underwear, no shift, no curling, no pressure put on a good wear underwear, do not shift, not curling, put no pressure, very satisfied, right size, that is, this type of underwear to wear process is not too good to wear")</f>
        <v>Good to wear a underwear, no shift, no curling, no pressure put on a good wear underwear, do not shift, not curling, put no pressure, very satisfied, right size, that is, this type of underwear to wear process is not too good to wear</v>
      </c>
    </row>
    <row r="5851">
      <c r="A5851" s="1">
        <v>4.0</v>
      </c>
      <c r="B5851" s="1" t="s">
        <v>5826</v>
      </c>
      <c r="C5851" t="str">
        <f>IFERROR(__xludf.DUMMYFUNCTION("GOOGLETRANSLATE(B5851, ""zh"", ""en"")"),"Thin acceptable quality, is too large. Not from the previous evaluation, I do not know how many wasted points, points can change money now know, they should look carefully evaluated, then I put these words to copy to go, both to earn points, but also save"&amp;" trouble, they go where copy the most important thing is, do not seriously review, do not think how much worse word, sent directly to it, recommend it to everyone! !")</f>
        <v>Thin acceptable quality, is too large. Not from the previous evaluation, I do not know how many wasted points, points can change money now know, they should look carefully evaluated, then I put these words to copy to go, both to earn points, but also save trouble, they go where copy the most important thing is, do not seriously review, do not think how much worse word, sent directly to it, recommend it to everyone! !</v>
      </c>
    </row>
    <row r="5852">
      <c r="A5852" s="1">
        <v>4.0</v>
      </c>
      <c r="B5852" s="1" t="s">
        <v>5827</v>
      </c>
      <c r="C5852" t="str">
        <f>IFERROR(__xludf.DUMMYFUNCTION("GOOGLETRANSLATE(B5852, ""zh"", ""en"")"),"This is the second purchase second purchase, the total price changing, the election of a right price to buy. Very good quality, that is a bit hard, but do not feel put on.")</f>
        <v>This is the second purchase second purchase, the total price changing, the election of a right price to buy. Very good quality, that is a bit hard, but do not feel put on.</v>
      </c>
    </row>
    <row r="5853">
      <c r="A5853" s="1">
        <v>4.0</v>
      </c>
      <c r="B5853" s="1" t="s">
        <v>5828</v>
      </c>
      <c r="C5853" t="str">
        <f>IFERROR(__xludf.DUMMYFUNCTION("GOOGLETRANSLATE(B5853, ""zh"", ""en"")"),"Fairly OK demolished after packing a little wrinkled, washed do not know how.")</f>
        <v>Fairly OK demolished after packing a little wrinkled, washed do not know how.</v>
      </c>
    </row>
    <row r="5854">
      <c r="A5854" s="1">
        <v>5.0</v>
      </c>
      <c r="B5854" s="1" t="s">
        <v>5829</v>
      </c>
      <c r="C5854" t="str">
        <f>IFERROR(__xludf.DUMMYFUNCTION("GOOGLETRANSLATE(B5854, ""zh"", ""en"")"),"Size standard layout nice black pants is very positive, unlike some black hair black. Size standard, long pants and waist circumference are appropriate.")</f>
        <v>Size standard layout nice black pants is very positive, unlike some black hair black. Size standard, long pants and waist circumference are appropriate.</v>
      </c>
    </row>
    <row r="5855">
      <c r="A5855" s="1">
        <v>5.0</v>
      </c>
      <c r="B5855" s="1" t="s">
        <v>5830</v>
      </c>
      <c r="C5855" t="str">
        <f>IFERROR(__xludf.DUMMYFUNCTION("GOOGLETRANSLATE(B5855, ""zh"", ""en"")"),"Wear up feeling good right size, quality is really good, the price is not bad, unlimited repurchase merchandise.")</f>
        <v>Wear up feeling good right size, quality is really good, the price is not bad, unlimited repurchase merchandise.</v>
      </c>
    </row>
    <row r="5856">
      <c r="A5856" s="1">
        <v>5.0</v>
      </c>
      <c r="B5856" s="1" t="s">
        <v>5831</v>
      </c>
      <c r="C5856" t="str">
        <f>IFERROR(__xludf.DUMMYFUNCTION("GOOGLETRANSLATE(B5856, ""zh"", ""en"")"),"This table is very accurate travel time I am very satisfied, I will not be the picture")</f>
        <v>This table is very accurate travel time I am very satisfied, I will not be the picture</v>
      </c>
    </row>
    <row r="5857">
      <c r="A5857" s="1">
        <v>5.0</v>
      </c>
      <c r="B5857" s="1" t="s">
        <v>5832</v>
      </c>
      <c r="C5857" t="str">
        <f>IFERROR(__xludf.DUMMYFUNCTION("GOOGLETRANSLATE(B5857, ""zh"", ""en"")"),"Very comfortable fabric is very comfortable fabrics, Length slightly shorter, outweighed the bad ones.")</f>
        <v>Very comfortable fabric is very comfortable fabrics, Length slightly shorter, outweighed the bad ones.</v>
      </c>
    </row>
    <row r="5858">
      <c r="A5858" s="1">
        <v>5.0</v>
      </c>
      <c r="B5858" s="1" t="s">
        <v>5833</v>
      </c>
      <c r="C5858" t="str">
        <f>IFERROR(__xludf.DUMMYFUNCTION("GOOGLETRANSLATE(B5858, ""zh"", ""en"")"),"Recommended! 1333 hand, height 176, weight 76, bust 98, clothing bust 106cm, very thin and silky. Wearing just.")</f>
        <v>Recommended! 1333 hand, height 176, weight 76, bust 98, clothing bust 106cm, very thin and silky. Wearing just.</v>
      </c>
    </row>
    <row r="5859">
      <c r="A5859" s="1">
        <v>5.0</v>
      </c>
      <c r="B5859" s="1" t="s">
        <v>5834</v>
      </c>
      <c r="C5859" t="str">
        <f>IFERROR(__xludf.DUMMYFUNCTION("GOOGLETRANSLATE(B5859, ""zh"", ""en"")"),"Alpha Industries Thanks customer recommended size, 172 cm, 140 kg, S just the right number")</f>
        <v>Alpha Industries Thanks customer recommended size, 172 cm, 140 kg, S just the right number</v>
      </c>
    </row>
    <row r="5860">
      <c r="A5860" s="1">
        <v>5.0</v>
      </c>
      <c r="B5860" s="1" t="s">
        <v>5835</v>
      </c>
      <c r="C5860" t="str">
        <f>IFERROR(__xludf.DUMMYFUNCTION("GOOGLETRANSLATE(B5860, ""zh"", ""en"")"),"Good thick fabric, this brand is good")</f>
        <v>Good thick fabric, this brand is good</v>
      </c>
    </row>
    <row r="5861">
      <c r="A5861" s="1">
        <v>5.0</v>
      </c>
      <c r="B5861" s="1" t="s">
        <v>5836</v>
      </c>
      <c r="C5861" t="str">
        <f>IFERROR(__xludf.DUMMYFUNCTION("GOOGLETRANSLATE(B5861, ""zh"", ""en"")"),"Satisfied with the working-class, durable foot support, cost-effective, each version of the form to buy a total of three pairs, this pair of five hundred yuan on hand!")</f>
        <v>Satisfied with the working-class, durable foot support, cost-effective, each version of the form to buy a total of three pairs, this pair of five hundred yuan on hand!</v>
      </c>
    </row>
    <row r="5862">
      <c r="A5862" s="1">
        <v>5.0</v>
      </c>
      <c r="B5862" s="1" t="s">
        <v>5837</v>
      </c>
      <c r="C5862" t="str">
        <f>IFERROR(__xludf.DUMMYFUNCTION("GOOGLETRANSLATE(B5862, ""zh"", ""en"")"),"Something good for the baby Tuen milk is a manual labor. Every child suck your mother for a long time, a lot of the village.")</f>
        <v>Something good for the baby Tuen milk is a manual labor. Every child suck your mother for a long time, a lot of the village.</v>
      </c>
    </row>
    <row r="5863">
      <c r="A5863" s="1">
        <v>5.0</v>
      </c>
      <c r="B5863" s="1" t="s">
        <v>5838</v>
      </c>
      <c r="C5863" t="str">
        <f>IFERROR(__xludf.DUMMYFUNCTION("GOOGLETRANSLATE(B5863, ""zh"", ""en"")"),"Value for money is very good hand, it is worth buying")</f>
        <v>Value for money is very good hand, it is worth buying</v>
      </c>
    </row>
    <row r="5864">
      <c r="A5864" s="1">
        <v>5.0</v>
      </c>
      <c r="B5864" s="1" t="s">
        <v>5839</v>
      </c>
      <c r="C5864" t="str">
        <f>IFERROR(__xludf.DUMMYFUNCTION("GOOGLETRANSLATE(B5864, ""zh"", ""en"")"),"Value for money spent three or four days is my first time to buy things on Amazon, orders sent to the hands of a total of ten days. The cook machine grass for a long time, compared to the state line, purchasing, or where the most cost-effective assured, t"&amp;"he price is cheaper than the state line for more than half the purchase price abroad are synchronized, the Central Asian freight free trial membership so than in the United States and Asia buy cheap. Machine packaging integrity, no bad foam inside, the bo"&amp;"dy no scratches, rely on this machine, cook for the first time a film toast brushed well. Machine appearance of lines and beautiful grass and one of the reasons - very much in love. Sound can accept, kneading large resistance when a slight shaking head, e"&amp;"gg-based cream play and will not be stirred up. Lift the head adjustment screw head sinking below can reduce the maximum head case where vibrations, locked after the hook and latch fastening dough that is not the most compact, there is a certain gap, is n"&amp;"ot understand normal is so designed that when the dough hook and latch collision has bam bam sound, and other goods page written manual voltage 120v, contact customer service answer is 110v, 110v transformer I use the output. Inside the gear parts can bas"&amp;"ically buy online, open their own machine can also do basic maintenance, the feeling is good value for money.")</f>
        <v>Value for money spent three or four days is my first time to buy things on Amazon, orders sent to the hands of a total of ten days. The cook machine grass for a long time, compared to the state line, purchasing, or where the most cost-effective assured, the price is cheaper than the state line for more than half the purchase price abroad are synchronized, the Central Asian freight free trial membership so than in the United States and Asia buy cheap. Machine packaging integrity, no bad foam inside, the body no scratches, rely on this machine, cook for the first time a film toast brushed well. Machine appearance of lines and beautiful grass and one of the reasons - very much in love. Sound can accept, kneading large resistance when a slight shaking head, egg-based cream play and will not be stirred up. Lift the head adjustment screw head sinking below can reduce the maximum head case where vibrations, locked after the hook and latch fastening dough that is not the most compact, there is a certain gap, is not understand normal is so designed that when the dough hook and latch collision has bam bam sound, and other goods page written manual voltage 120v, contact customer service answer is 110v, 110v transformer I use the output. Inside the gear parts can basically buy online, open their own machine can also do basic maintenance, the feeling is good value for money.</v>
      </c>
    </row>
    <row r="5865">
      <c r="A5865" s="1">
        <v>5.0</v>
      </c>
      <c r="B5865" s="1" t="s">
        <v>5840</v>
      </c>
      <c r="C5865" t="str">
        <f>IFERROR(__xludf.DUMMYFUNCTION("GOOGLETRANSLATE(B5865, ""zh"", ""en"")"),"Especially like good smooth easy to clean water")</f>
        <v>Especially like good smooth easy to clean water</v>
      </c>
    </row>
    <row r="5866">
      <c r="A5866" s="1">
        <v>5.0</v>
      </c>
      <c r="B5866" s="1" t="s">
        <v>5841</v>
      </c>
      <c r="C5866" t="str">
        <f>IFERROR(__xludf.DUMMYFUNCTION("GOOGLETRANSLATE(B5866, ""zh"", ""en"")"),"Better than imagined entangled in E4.5 and E5, eventually start E4.5. Not their own fans, the E5, then to their own line, worthy of E5 think if they have at least with a iOne, even if E5 do add up these activities also ran 2000+ go. Into a E4.5, thousand "&amp;"Yuan stopped, and the effect is enough to use their own small table.")</f>
        <v>Better than imagined entangled in E4.5 and E5, eventually start E4.5. Not their own fans, the E5, then to their own line, worthy of E5 think if they have at least with a iOne, even if E5 do add up these activities also ran 2000+ go. Into a E4.5, thousand Yuan stopped, and the effect is enough to use their own small table.</v>
      </c>
    </row>
    <row r="5867">
      <c r="A5867" s="1">
        <v>5.0</v>
      </c>
      <c r="B5867" s="1" t="s">
        <v>5842</v>
      </c>
      <c r="C5867" t="str">
        <f>IFERROR(__xludf.DUMMYFUNCTION("GOOGLETRANSLATE(B5867, ""zh"", ""en"")"),"Line with comments like packing some simple, but is an upgraded version of the particulate filter once, twice, there is no, is a little high, but rest assured drink")</f>
        <v>Line with comments like packing some simple, but is an upgraded version of the particulate filter once, twice, there is no, is a little high, but rest assured drink</v>
      </c>
    </row>
    <row r="5868">
      <c r="A5868" s="1">
        <v>5.0</v>
      </c>
      <c r="B5868" s="1" t="s">
        <v>5843</v>
      </c>
      <c r="C5868" t="str">
        <f>IFERROR(__xludf.DUMMYFUNCTION("GOOGLETRANSLATE(B5868, ""zh"", ""en"")"),"Very good fit comparison, the length is right")</f>
        <v>Very good fit comparison, the length is right</v>
      </c>
    </row>
    <row r="5869">
      <c r="A5869" s="1">
        <v>5.0</v>
      </c>
      <c r="B5869" s="1" t="s">
        <v>5844</v>
      </c>
      <c r="C5869" t="str">
        <f>IFERROR(__xludf.DUMMYFUNCTION("GOOGLETRANSLATE(B5869, ""zh"", ""en"")"),"Cute little cups shaped like most of the previous milk bottle, feel good. Nichia package too well, and rub a little bump at all. Milk white very engaging. 350ml can not, okay with not too thirsty or inconvenient. Men on the mini too.")</f>
        <v>Cute little cups shaped like most of the previous milk bottle, feel good. Nichia package too well, and rub a little bump at all. Milk white very engaging. 350ml can not, okay with not too thirsty or inconvenient. Men on the mini too.</v>
      </c>
    </row>
    <row r="5870">
      <c r="A5870" s="1">
        <v>5.0</v>
      </c>
      <c r="B5870" s="1" t="s">
        <v>5845</v>
      </c>
      <c r="C5870" t="str">
        <f>IFERROR(__xludf.DUMMYFUNCTION("GOOGLETRANSLATE(B5870, ""zh"", ""en"")"),"like! Cheap and fully functional. Tax free shipping over 700 pieces, light waves have momentum, good-looking black and wild, the dial will not be much for me just fine. It can be said to be very satisfied with the very love it!")</f>
        <v>like! Cheap and fully functional. Tax free shipping over 700 pieces, light waves have momentum, good-looking black and wild, the dial will not be much for me just fine. It can be said to be very satisfied with the very love it!</v>
      </c>
    </row>
    <row r="5871">
      <c r="A5871" s="1">
        <v>5.0</v>
      </c>
      <c r="B5871" s="1" t="s">
        <v>5846</v>
      </c>
      <c r="C5871" t="str">
        <f>IFERROR(__xludf.DUMMYFUNCTION("GOOGLETRANSLATE(B5871, ""zh"", ""en"")"),"Very suitable for the second time to buy This is the second time to buy this size pants W32x29, shorter length for my body, do not change trousers, not easy to buy such a size.")</f>
        <v>Very suitable for the second time to buy This is the second time to buy this size pants W32x29, shorter length for my body, do not change trousers, not easy to buy such a size.</v>
      </c>
    </row>
    <row r="5872">
      <c r="A5872" s="1">
        <v>5.0</v>
      </c>
      <c r="B5872" s="1" t="s">
        <v>5847</v>
      </c>
      <c r="C5872" t="str">
        <f>IFERROR(__xludf.DUMMYFUNCTION("GOOGLETRANSLATE(B5872, ""zh"", ""en"")"),"Nice big bottle, really great. Fish oil not adhered occurs, relatively large particles, fishy. Cost pricey.")</f>
        <v>Nice big bottle, really great. Fish oil not adhered occurs, relatively large particles, fishy. Cost pricey.</v>
      </c>
    </row>
    <row r="5873">
      <c r="A5873" s="1">
        <v>5.0</v>
      </c>
      <c r="B5873" s="1" t="s">
        <v>4197</v>
      </c>
      <c r="C5873" t="str">
        <f>IFERROR(__xludf.DUMMYFUNCTION("GOOGLETRANSLATE(B5873, ""zh"", ""en"")"),"The right size, comfortable cheap, wife to say something, want to buy, waiting for prices to adjust to the appropriate time to start.")</f>
        <v>The right size, comfortable cheap, wife to say something, want to buy, waiting for prices to adjust to the appropriate time to start.</v>
      </c>
    </row>
    <row r="5874">
      <c r="A5874" s="1">
        <v>5.0</v>
      </c>
      <c r="B5874" s="1" t="s">
        <v>5848</v>
      </c>
      <c r="C5874" t="str">
        <f>IFERROR(__xludf.DUMMYFUNCTION("GOOGLETRANSLATE(B5874, ""zh"", ""en"")"),"Electric liked the kettle, and so on for a long time, or the price, it can not wait, buy!")</f>
        <v>Electric liked the kettle, and so on for a long time, or the price, it can not wait, buy!</v>
      </c>
    </row>
    <row r="5875">
      <c r="A5875" s="1">
        <v>2.0</v>
      </c>
      <c r="B5875" s="1" t="s">
        <v>5849</v>
      </c>
      <c r="C5875" t="str">
        <f>IFERROR(__xludf.DUMMYFUNCTION("GOOGLETRANSLATE(B5875, ""zh"", ""en"")"),"Pilling, ultra-thin pilling serious, wearing only twice, so")</f>
        <v>Pilling, ultra-thin pilling serious, wearing only twice, so</v>
      </c>
    </row>
    <row r="5876">
      <c r="A5876" s="1">
        <v>3.0</v>
      </c>
      <c r="B5876" s="1" t="s">
        <v>5850</v>
      </c>
      <c r="C5876" t="str">
        <f>IFERROR(__xludf.DUMMYFUNCTION("GOOGLETRANSLATE(B5876, ""zh"", ""en"")"),"Too large, do not recommend buying. Not really, inside the velvet off badly, wear a shirt with black hair above all, really rubbish, a washing machine, outside pilling slightly, suspected to be fake, the brand should not there are minimal yardage to buy s"&amp;"uch quality is still too large, the key is not quality, it is easy to pilling, and easy to James gray, estimated at about two pen directly washing can not wear, and a failed sea Amoy, I say really so, I did not feel better than the domestic price of the s"&amp;"weater,")</f>
        <v>Too large, do not recommend buying. Not really, inside the velvet off badly, wear a shirt with black hair above all, really rubbish, a washing machine, outside pilling slightly, suspected to be fake, the brand should not there are minimal yardage to buy such quality is still too large, the key is not quality, it is easy to pilling, and easy to James gray, estimated at about two pen directly washing can not wear, and a failed sea Amoy, I say really so, I did not feel better than the domestic price of the sweater,</v>
      </c>
    </row>
    <row r="5877">
      <c r="A5877" s="1">
        <v>3.0</v>
      </c>
      <c r="B5877" s="1" t="s">
        <v>5851</v>
      </c>
      <c r="C5877" t="str">
        <f>IFERROR(__xludf.DUMMYFUNCTION("GOOGLETRANSLATE(B5877, ""zh"", ""en"")"),"Too large a figure of 160,120 this code number waist pants big a yard big pants long thigh just right")</f>
        <v>Too large a figure of 160,120 this code number waist pants big a yard big pants long thigh just right</v>
      </c>
    </row>
    <row r="5878">
      <c r="A5878" s="1">
        <v>1.0</v>
      </c>
      <c r="B5878" s="1" t="s">
        <v>5852</v>
      </c>
      <c r="C5878" t="str">
        <f>IFERROR(__xludf.DUMMYFUNCTION("GOOGLETRANSLATE(B5878, ""zh"", ""en"")"),"A lie too, it is not two x is greater than 3 x")</f>
        <v>A lie too, it is not two x is greater than 3 x</v>
      </c>
    </row>
    <row r="5879">
      <c r="A5879" s="1">
        <v>1.0</v>
      </c>
      <c r="B5879" s="1" t="s">
        <v>5853</v>
      </c>
      <c r="C5879" t="str">
        <f>IFERROR(__xludf.DUMMYFUNCTION("GOOGLETRANSLATE(B5879, ""zh"", ""en"")"),"Protest bad indication of 105cm length hair but a 125cm gave me the label is torn off too much to put up on the other belt which is the Amazon it?")</f>
        <v>Protest bad indication of 105cm length hair but a 125cm gave me the label is torn off too much to put up on the other belt which is the Amazon it?</v>
      </c>
    </row>
    <row r="5880">
      <c r="A5880" s="1">
        <v>1.0</v>
      </c>
      <c r="B5880" s="1" t="s">
        <v>5854</v>
      </c>
      <c r="C5880" t="str">
        <f>IFERROR(__xludf.DUMMYFUNCTION("GOOGLETRANSLATE(B5880, ""zh"", ""en"")"),"Not satisfied with the place dirty underwear, do not check on delivery, the feeling is defective")</f>
        <v>Not satisfied with the place dirty underwear, do not check on delivery, the feeling is defective</v>
      </c>
    </row>
    <row r="5881">
      <c r="A5881" s="1">
        <v>4.0</v>
      </c>
      <c r="B5881" s="1" t="s">
        <v>5855</v>
      </c>
      <c r="C5881" t="str">
        <f>IFERROR(__xludf.DUMMYFUNCTION("GOOGLETRANSLATE(B5881, ""zh"", ""en"")"),"But less powerful than a wired portable. Floss good, portable, rechargeable cool. But not as a wired functionality and multi-gear, if the force is also smaller, and less water storage. Suitable for travel.")</f>
        <v>But less powerful than a wired portable. Floss good, portable, rechargeable cool. But not as a wired functionality and multi-gear, if the force is also smaller, and less water storage. Suitable for travel.</v>
      </c>
    </row>
    <row r="5882">
      <c r="A5882" s="1">
        <v>4.0</v>
      </c>
      <c r="B5882" s="1" t="s">
        <v>5856</v>
      </c>
      <c r="C5882" t="str">
        <f>IFERROR(__xludf.DUMMYFUNCTION("GOOGLETRANSLATE(B5882, ""zh"", ""en"")"),"Overall good things can be, inexpensive, almost a little level, mailed two weeks, okay")</f>
        <v>Overall good things can be, inexpensive, almost a little level, mailed two weeks, okay</v>
      </c>
    </row>
    <row r="5883">
      <c r="A5883" s="1">
        <v>4.0</v>
      </c>
      <c r="B5883" s="1" t="s">
        <v>5857</v>
      </c>
      <c r="C5883" t="str">
        <f>IFERROR(__xludf.DUMMYFUNCTION("GOOGLETRANSLATE(B5883, ""zh"", ""en"")"),"Thick winter shoes")</f>
        <v>Thick winter shoes</v>
      </c>
    </row>
    <row r="5884">
      <c r="A5884" s="1">
        <v>4.0</v>
      </c>
      <c r="B5884" s="1" t="s">
        <v>5858</v>
      </c>
      <c r="C5884" t="str">
        <f>IFERROR(__xludf.DUMMYFUNCTION("GOOGLETRANSLATE(B5884, ""zh"", ""en"")"),". Shoes can also, I called this pair of right foot finger at Morgan Stanley will collapse. . 43 feet uk8 on it, 8.5 is absolutely great.")</f>
        <v>. Shoes can also, I called this pair of right foot finger at Morgan Stanley will collapse. . 43 feet uk8 on it, 8.5 is absolutely great.</v>
      </c>
    </row>
    <row r="5885">
      <c r="A5885" s="1">
        <v>5.0</v>
      </c>
      <c r="B5885" s="1" t="s">
        <v>5859</v>
      </c>
      <c r="C5885" t="str">
        <f>IFERROR(__xludf.DUMMYFUNCTION("GOOGLETRANSLATE(B5885, ""zh"", ""en"")"),"Worth buying good quality")</f>
        <v>Worth buying good quality</v>
      </c>
    </row>
    <row r="5886">
      <c r="A5886" s="1">
        <v>5.0</v>
      </c>
      <c r="B5886" s="1" t="s">
        <v>5860</v>
      </c>
      <c r="C5886" t="str">
        <f>IFERROR(__xludf.DUMMYFUNCTION("GOOGLETRANSLATE(B5886, ""zh"", ""en"")"),"Good for her husband to buy, a fat man, the right size, the right trouser")</f>
        <v>Good for her husband to buy, a fat man, the right size, the right trouser</v>
      </c>
    </row>
    <row r="5887">
      <c r="A5887" s="1">
        <v>5.0</v>
      </c>
      <c r="B5887" s="1" t="s">
        <v>5861</v>
      </c>
      <c r="C5887" t="str">
        <f>IFERROR(__xludf.DUMMYFUNCTION("GOOGLETRANSLATE(B5887, ""zh"", ""en"")"),"Very thick version of the type of fabric slim, bottoming winter, then it is very good!")</f>
        <v>Very thick version of the type of fabric slim, bottoming winter, then it is very good!</v>
      </c>
    </row>
    <row r="5888">
      <c r="A5888" s="1">
        <v>5.0</v>
      </c>
      <c r="B5888" s="1" t="s">
        <v>5862</v>
      </c>
      <c r="C5888" t="str">
        <f>IFERROR(__xludf.DUMMYFUNCTION("GOOGLETRANSLATE(B5888, ""zh"", ""en"")"),"The version is very good to wear very comfortable, slightly larger;")</f>
        <v>The version is very good to wear very comfortable, slightly larger;</v>
      </c>
    </row>
    <row r="5889">
      <c r="A5889" s="1">
        <v>5.0</v>
      </c>
      <c r="B5889" s="1" t="s">
        <v>5863</v>
      </c>
      <c r="C5889" t="str">
        <f>IFERROR(__xludf.DUMMYFUNCTION("GOOGLETRANSLATE(B5889, ""zh"", ""en"")"),"Germany purchased, model HX6960, the blind can still choose to see is a common saying, but to buy time to be more expensive than before, price increases")</f>
        <v>Germany purchased, model HX6960, the blind can still choose to see is a common saying, but to buy time to be more expensive than before, price increases</v>
      </c>
    </row>
    <row r="5890">
      <c r="A5890" s="1">
        <v>5.0</v>
      </c>
      <c r="B5890" s="1" t="s">
        <v>5864</v>
      </c>
      <c r="C5890" t="str">
        <f>IFERROR(__xludf.DUMMYFUNCTION("GOOGLETRANSLATE(B5890, ""zh"", ""en"")"),"Work compared to be rough, of course, it is genuine. Price including tax two hundred newly hatched head should be fine")</f>
        <v>Work compared to be rough, of course, it is genuine. Price including tax two hundred newly hatched head should be fine</v>
      </c>
    </row>
    <row r="5891">
      <c r="A5891" s="1">
        <v>5.0</v>
      </c>
      <c r="B5891" s="1" t="s">
        <v>5865</v>
      </c>
      <c r="C5891" t="str">
        <f>IFERROR(__xludf.DUMMYFUNCTION("GOOGLETRANSLATE(B5891, ""zh"", ""en"")"),"Quite simple enough small, not wide, this is to follow the basic code number number number number pants to wear their usual freshman on the line to buy two")</f>
        <v>Quite simple enough small, not wide, this is to follow the basic code number number number number pants to wear their usual freshman on the line to buy two</v>
      </c>
    </row>
    <row r="5892">
      <c r="A5892" s="1">
        <v>5.0</v>
      </c>
      <c r="B5892" s="1" t="s">
        <v>5866</v>
      </c>
      <c r="C5892" t="str">
        <f>IFERROR(__xludf.DUMMYFUNCTION("GOOGLETRANSLATE(B5892, ""zh"", ""en"")"),"The high cost. Very very strong, better than HUB money.")</f>
        <v>The high cost. Very very strong, better than HUB money.</v>
      </c>
    </row>
    <row r="5893">
      <c r="A5893" s="1">
        <v>5.0</v>
      </c>
      <c r="B5893" s="1" t="s">
        <v>5867</v>
      </c>
      <c r="C5893" t="str">
        <f>IFERROR(__xludf.DUMMYFUNCTION("GOOGLETRANSLATE(B5893, ""zh"", ""en"")"),"Good to see the watch when finally understand why so many people say they are fundamentally the child watch - strap the child table to do, but .. worn on the hand and feel than the normal male form smaller size Fortunately, and strap no plastic taste, fle"&amp;"xibility is also very good (halo, actually said elastic strap good ..). The overall look is very delicate work, or very delicate. Which did not dig out of view, waiting for the test of time.")</f>
        <v>Good to see the watch when finally understand why so many people say they are fundamentally the child watch - strap the child table to do, but .. worn on the hand and feel than the normal male form smaller size Fortunately, and strap no plastic taste, flexibility is also very good (halo, actually said elastic strap good ..). The overall look is very delicate work, or very delicate. Which did not dig out of view, waiting for the test of time.</v>
      </c>
    </row>
    <row r="5894">
      <c r="A5894" s="1">
        <v>5.0</v>
      </c>
      <c r="B5894" s="1" t="s">
        <v>5868</v>
      </c>
      <c r="C5894" t="str">
        <f>IFERROR(__xludf.DUMMYFUNCTION("GOOGLETRANSLATE(B5894, ""zh"", ""en"")"),"Absolutely the best choice of seafood pot I always think to buy pots and pans must buy the best, such as the cool color within your budget. Although the price is relatively expensive, but by and other brand cast iron pot or stainless steel cookware contra"&amp;"st, you will definitely be glad you choice. Cool color that subsection seafood pot than sign his house Netherlands pot roast practical, because the seafood pot lid heavier cast iron, do not dry baked seafood when run gas, seafood cooking up authentic. It "&amp;"is more versatile than you might think: In addition to dry baked seafood, you can also do without water and salt baked chicken, paella, and even ...... only used to take pictures! Can be said that the more you use the more love. You must be on the table d"&amp;"irectly to the pot after cooking is completed, its high-level burst table Yen value will attract everyone's attention, so that you gain a large number of praise!")</f>
        <v>Absolutely the best choice of seafood pot I always think to buy pots and pans must buy the best, such as the cool color within your budget. Although the price is relatively expensive, but by and other brand cast iron pot or stainless steel cookware contrast, you will definitely be glad you choice. Cool color that subsection seafood pot than sign his house Netherlands pot roast practical, because the seafood pot lid heavier cast iron, do not dry baked seafood when run gas, seafood cooking up authentic. It is more versatile than you might think: In addition to dry baked seafood, you can also do without water and salt baked chicken, paella, and even ...... only used to take pictures! Can be said that the more you use the more love. You must be on the table directly to the pot after cooking is completed, its high-level burst table Yen value will attract everyone's attention, so that you gain a large number of praise!</v>
      </c>
    </row>
    <row r="5895">
      <c r="A5895" s="1">
        <v>5.0</v>
      </c>
      <c r="B5895" s="1" t="s">
        <v>5869</v>
      </c>
      <c r="C5895" t="str">
        <f>IFERROR(__xludf.DUMMYFUNCTION("GOOGLETRANSLATE(B5895, ""zh"", ""en"")"),"Imagine entirely consistent with normal wear resistant Kee Di 44 yards, a comprehensive review of each, sold 9UK, and would be able to put two fingers like, very suitable, more than loose, MADE in China, people very happy, because the comments large most "&amp;"say produced in Dominica, not to mention the quality of Chinese-made to be better. On delivery, 16 orders, 21 not wait until delivery, wondering for a long time, also played several telephone reminders, glad we did not ask me to communicate in English, or"&amp;" make me scratch gills grasping feet, until 20 at night in Cologne, Germany shipments, to have to think about how a few days, the results of No. 21 in the evening went to Shenzhen customs, and people stunned, No. 22 all formalities including customs clear"&amp;"ance are engaged over, noon to Guangzhou signing me getting goods, do not do much . The surface looks no quality problems any other comments say, even a lot of good-looking than the picture, it is fortunate or lucky it? True and false, then I think Amazon"&amp;" will not lie it, two or three times plus rent clearance transportation Express Flight 600 how to still earn less, right? In short now is the next day, everything is like, I have no confidence, no explosion took.")</f>
        <v>Imagine entirely consistent with normal wear resistant Kee Di 44 yards, a comprehensive review of each, sold 9UK, and would be able to put two fingers like, very suitable, more than loose, MADE in China, people very happy, because the comments large most say produced in Dominica, not to mention the quality of Chinese-made to be better. On delivery, 16 orders, 21 not wait until delivery, wondering for a long time, also played several telephone reminders, glad we did not ask me to communicate in English, or make me scratch gills grasping feet, until 20 at night in Cologne, Germany shipments, to have to think about how a few days, the results of No. 21 in the evening went to Shenzhen customs, and people stunned, No. 22 all formalities including customs clearance are engaged over, noon to Guangzhou signing me getting goods, do not do much . The surface looks no quality problems any other comments say, even a lot of good-looking than the picture, it is fortunate or lucky it? True and false, then I think Amazon will not lie it, two or three times plus rent clearance transportation Express Flight 600 how to still earn less, right? In short now is the next day, everything is like, I have no confidence, no explosion took.</v>
      </c>
    </row>
    <row r="5896">
      <c r="A5896" s="1">
        <v>5.0</v>
      </c>
      <c r="B5896" s="1" t="s">
        <v>5870</v>
      </c>
      <c r="C5896" t="str">
        <f>IFERROR(__xludf.DUMMYFUNCTION("GOOGLETRANSLATE(B5896, ""zh"", ""en"")"),"Cheap and easy watches inexpensive, battery life of ten years, also waterproof, can be very safe to use!")</f>
        <v>Cheap and easy watches inexpensive, battery life of ten years, also waterproof, can be very safe to use!</v>
      </c>
    </row>
    <row r="5897">
      <c r="A5897" s="1">
        <v>5.0</v>
      </c>
      <c r="B5897" s="1" t="s">
        <v>5871</v>
      </c>
      <c r="C5897" t="str">
        <f>IFERROR(__xludf.DUMMYFUNCTION("GOOGLETRANSLATE(B5897, ""zh"", ""en"")"),"Typical European style garment, the whole rather long 181cm, 80kg, m code Feishou appropriate shoulders suitable, longer sleeves, the clothes a little longer")</f>
        <v>Typical European style garment, the whole rather long 181cm, 80kg, m code Feishou appropriate shoulders suitable, longer sleeves, the clothes a little longer</v>
      </c>
    </row>
    <row r="5898">
      <c r="A5898" s="1">
        <v>5.0</v>
      </c>
      <c r="B5898" s="1" t="s">
        <v>5872</v>
      </c>
      <c r="C5898" t="str">
        <f>IFERROR(__xludf.DUMMYFUNCTION("GOOGLETRANSLATE(B5898, ""zh"", ""en"")"),"American pants, Cambodia produced right length, just belts. 174,70. Pants a little fat, there are warm layer, just good home for the holiday!")</f>
        <v>American pants, Cambodia produced right length, just belts. 174,70. Pants a little fat, there are warm layer, just good home for the holiday!</v>
      </c>
    </row>
    <row r="5899">
      <c r="A5899" s="1">
        <v>5.0</v>
      </c>
      <c r="B5899" s="1" t="s">
        <v>5873</v>
      </c>
      <c r="C5899" t="str">
        <f>IFERROR(__xludf.DUMMYFUNCTION("GOOGLETRANSLATE(B5899, ""zh"", ""en"")"),"Like polo shirts as big bust and Uniqlo thin version of the M code xl code")</f>
        <v>Like polo shirts as big bust and Uniqlo thin version of the M code xl code</v>
      </c>
    </row>
    <row r="5900">
      <c r="A5900" s="1">
        <v>5.0</v>
      </c>
      <c r="B5900" s="1" t="s">
        <v>5874</v>
      </c>
      <c r="C5900" t="str">
        <f>IFERROR(__xludf.DUMMYFUNCTION("GOOGLETRANSLATE(B5900, ""zh"", ""en"")"),"Good practical benefits particularly convenient out with good sealing performance Laid")</f>
        <v>Good practical benefits particularly convenient out with good sealing performance Laid</v>
      </c>
    </row>
    <row r="5901">
      <c r="A5901" s="1">
        <v>5.0</v>
      </c>
      <c r="B5901" s="1" t="s">
        <v>5875</v>
      </c>
      <c r="C5901" t="str">
        <f>IFERROR(__xludf.DUMMYFUNCTION("GOOGLETRANSLATE(B5901, ""zh"", ""en"")"),"Very nice and as good as before the trial at the counter, feel very light, heard the sound good, and slightly less than a symphony")</f>
        <v>Very nice and as good as before the trial at the counter, feel very light, heard the sound good, and slightly less than a symphony</v>
      </c>
    </row>
    <row r="5902">
      <c r="A5902" s="1">
        <v>5.0</v>
      </c>
      <c r="B5902" s="1" t="s">
        <v>5876</v>
      </c>
      <c r="C5902" t="str">
        <f>IFERROR(__xludf.DUMMYFUNCTION("GOOGLETRANSLATE(B5902, ""zh"", ""en"")"),"Buy a third bottle, the price premium to buy a third bottle, the price premium")</f>
        <v>Buy a third bottle, the price premium to buy a third bottle, the price premium</v>
      </c>
    </row>
    <row r="5903">
      <c r="A5903" s="1">
        <v>5.0</v>
      </c>
      <c r="B5903" s="1" t="s">
        <v>5877</v>
      </c>
      <c r="C5903" t="str">
        <f>IFERROR(__xludf.DUMMYFUNCTION("GOOGLETRANSLATE(B5903, ""zh"", ""en"")"),"Taste a little big cost-effective, affordable, much cheaper than some domestic brands, good quality, wear significantly older, cost-effective")</f>
        <v>Taste a little big cost-effective, affordable, much cheaper than some domestic brands, good quality, wear significantly older, cost-effective</v>
      </c>
    </row>
    <row r="5904">
      <c r="A5904" s="1">
        <v>5.0</v>
      </c>
      <c r="B5904" s="1" t="s">
        <v>5878</v>
      </c>
      <c r="C5904" t="str">
        <f>IFERROR(__xludf.DUMMYFUNCTION("GOOGLETRANSLATE(B5904, ""zh"", ""en"")"),"There have color beige color, not skin color, when not wearing pantyhose, must wear the inside, somewhat like a kind of gray beige, gray and beige interposed directly between")</f>
        <v>There have color beige color, not skin color, when not wearing pantyhose, must wear the inside, somewhat like a kind of gray beige, gray and beige interposed directly between</v>
      </c>
    </row>
    <row r="5905">
      <c r="A5905" s="1">
        <v>5.0</v>
      </c>
      <c r="B5905" s="1" t="s">
        <v>5879</v>
      </c>
      <c r="C5905" t="str">
        <f>IFERROR(__xludf.DUMMYFUNCTION("GOOGLETRANSLATE(B5905, ""zh"", ""en"")"),"I bought too large LL LL No. Really too big! Not for me to give my mother a long postpartum young enough to buy M and L")</f>
        <v>I bought too large LL LL No. Really too big! Not for me to give my mother a long postpartum young enough to buy M and L</v>
      </c>
    </row>
    <row r="5906">
      <c r="A5906" s="1">
        <v>5.0</v>
      </c>
      <c r="B5906" s="1" t="s">
        <v>5880</v>
      </c>
      <c r="C5906" t="str">
        <f>IFERROR(__xludf.DUMMYFUNCTION("GOOGLETRANSLATE(B5906, ""zh"", ""en"")"),"Amazon would have been trustworthy in the Amazon to buy a toothbrush head Oral-B's")</f>
        <v>Amazon would have been trustworthy in the Amazon to buy a toothbrush head Oral-B's</v>
      </c>
    </row>
    <row r="5907">
      <c r="A5907" s="1">
        <v>2.0</v>
      </c>
      <c r="B5907" s="1" t="s">
        <v>5881</v>
      </c>
      <c r="C5907" t="str">
        <f>IFERROR(__xludf.DUMMYFUNCTION("GOOGLETRANSLATE(B5907, ""zh"", ""en"")"),"After a pair of shoes is not in the Amazon, or go to the store now! There is no way to wear, wearing two hours. It is not 43 42, 400 dollars wasted, so the top of the foot.")</f>
        <v>After a pair of shoes is not in the Amazon, or go to the store now! There is no way to wear, wearing two hours. It is not 43 42, 400 dollars wasted, so the top of the foot.</v>
      </c>
    </row>
    <row r="5908">
      <c r="A5908" s="1">
        <v>3.0</v>
      </c>
      <c r="B5908" s="1" t="s">
        <v>5882</v>
      </c>
      <c r="C5908" t="str">
        <f>IFERROR(__xludf.DUMMYFUNCTION("GOOGLETRANSLATE(B5908, ""zh"", ""en"")"),"Fat pants good, is too fat, even fat than I expected, my 190 pounds wearing elephant legs were fat. Then there are the bad packaging, send over full of sand on pants")</f>
        <v>Fat pants good, is too fat, even fat than I expected, my 190 pounds wearing elephant legs were fat. Then there are the bad packaging, send over full of sand on pants</v>
      </c>
    </row>
    <row r="5909">
      <c r="A5909" s="1">
        <v>3.0</v>
      </c>
      <c r="B5909" s="1" t="s">
        <v>5883</v>
      </c>
      <c r="C5909" t="str">
        <f>IFERROR(__xludf.DUMMYFUNCTION("GOOGLETRANSLATE(B5909, ""zh"", ""en"")"),"Nike 43 Ma foot wear usually wear this little, wounded in the leg, too much trouble, did not apply for return")</f>
        <v>Nike 43 Ma foot wear usually wear this little, wounded in the leg, too much trouble, did not apply for return</v>
      </c>
    </row>
    <row r="5910">
      <c r="A5910" s="1">
        <v>3.0</v>
      </c>
      <c r="B5910" s="1" t="s">
        <v>5884</v>
      </c>
      <c r="C5910" t="str">
        <f>IFERROR(__xludf.DUMMYFUNCTION("GOOGLETRANSLATE(B5910, ""zh"", ""en"")"),"Very good is not recommended to buy such goods purchased overseas, particularly crisp crayons, the hand will be a great chance to break. Bought two boxes have a lot off.")</f>
        <v>Very good is not recommended to buy such goods purchased overseas, particularly crisp crayons, the hand will be a great chance to break. Bought two boxes have a lot off.</v>
      </c>
    </row>
    <row r="5911">
      <c r="A5911" s="1">
        <v>1.0</v>
      </c>
      <c r="B5911" s="1" t="s">
        <v>5885</v>
      </c>
      <c r="C5911" t="str">
        <f>IFERROR(__xludf.DUMMYFUNCTION("GOOGLETRANSLATE(B5911, ""zh"", ""en"")"),"Good movement is a good product, more sports fashion")</f>
        <v>Good movement is a good product, more sports fashion</v>
      </c>
    </row>
    <row r="5912">
      <c r="A5912" s="1">
        <v>1.0</v>
      </c>
      <c r="B5912" s="1" t="s">
        <v>5886</v>
      </c>
      <c r="C5912" t="str">
        <f>IFERROR(__xludf.DUMMYFUNCTION("GOOGLETRANSLATE(B5912, ""zh"", ""en"")"),"Leakage of milk bought 700 bags of milk leakage leak milk so depressed and after a return period")</f>
        <v>Leakage of milk bought 700 bags of milk leakage leak milk so depressed and after a return period</v>
      </c>
    </row>
    <row r="5913">
      <c r="A5913" s="1">
        <v>4.0</v>
      </c>
      <c r="B5913" s="1" t="s">
        <v>5887</v>
      </c>
      <c r="C5913" t="str">
        <f>IFERROR(__xludf.DUMMYFUNCTION("GOOGLETRANSLATE(B5913, ""zh"", ""en"")"),"Pictures are not the same color and the color is not so white like the picture, a little touch of purple, or picture look good. Insulation works well outside the paint is scratched me a piece")</f>
        <v>Pictures are not the same color and the color is not so white like the picture, a little touch of purple, or picture look good. Insulation works well outside the paint is scratched me a piece</v>
      </c>
    </row>
    <row r="5914">
      <c r="A5914" s="1">
        <v>4.0</v>
      </c>
      <c r="B5914" s="1" t="s">
        <v>5888</v>
      </c>
      <c r="C5914" t="str">
        <f>IFERROR(__xludf.DUMMYFUNCTION("GOOGLETRANSLATE(B5914, ""zh"", ""en"")"),"The first time you use the monitor speakers had intended to retire, because at the same time to buy E5 5SE5 and Presonus of SAMSON, but after being turned on a sound shocked to feel left")</f>
        <v>The first time you use the monitor speakers had intended to retire, because at the same time to buy E5 5SE5 and Presonus of SAMSON, but after being turned on a sound shocked to feel left</v>
      </c>
    </row>
    <row r="5915">
      <c r="A5915" s="1">
        <v>4.0</v>
      </c>
      <c r="B5915" s="1" t="s">
        <v>5889</v>
      </c>
      <c r="C5915" t="str">
        <f>IFERROR(__xludf.DUMMYFUNCTION("GOOGLETRANSLATE(B5915, ""zh"", ""en"")"),"Hard cloth, wash cloth or hard very hard, wash or hard")</f>
        <v>Hard cloth, wash cloth or hard very hard, wash or hard</v>
      </c>
    </row>
    <row r="5916">
      <c r="A5916" s="1">
        <v>4.0</v>
      </c>
      <c r="B5916" s="1" t="s">
        <v>5890</v>
      </c>
      <c r="C5916" t="str">
        <f>IFERROR(__xludf.DUMMYFUNCTION("GOOGLETRANSLATE(B5916, ""zh"", ""en"")"),"Ah niece has been in use, so buy store goods, should be just fine with, but that production in Guangdong over there, feeling the extra circle, also scouring the sea")</f>
        <v>Ah niece has been in use, so buy store goods, should be just fine with, but that production in Guangdong over there, feeling the extra circle, also scouring the sea</v>
      </c>
    </row>
    <row r="5917">
      <c r="A5917" s="1">
        <v>4.0</v>
      </c>
      <c r="B5917" s="1" t="s">
        <v>5891</v>
      </c>
      <c r="C5917" t="str">
        <f>IFERROR(__xludf.DUMMYFUNCTION("GOOGLETRANSLATE(B5917, ""zh"", ""en"")"),"Pretty good also, belong to the mast section, second time to buy")</f>
        <v>Pretty good also, belong to the mast section, second time to buy</v>
      </c>
    </row>
    <row r="5918">
      <c r="A5918" s="1">
        <v>5.0</v>
      </c>
      <c r="B5918" s="1" t="s">
        <v>5892</v>
      </c>
      <c r="C5918" t="str">
        <f>IFERROR(__xludf.DUMMYFUNCTION("GOOGLETRANSLATE(B5918, ""zh"", ""en"")"),"Made in China Japanese version is slightly thicker Japanese version, made in China, slightly thick, 176/68 better buy L code, wear comfortable in summer a little loose, embroidered standard is the standard, not scratchy, overall very nice.")</f>
        <v>Made in China Japanese version is slightly thicker Japanese version, made in China, slightly thick, 176/68 better buy L code, wear comfortable in summer a little loose, embroidered standard is the standard, not scratchy, overall very nice.</v>
      </c>
    </row>
    <row r="5919">
      <c r="A5919" s="1">
        <v>5.0</v>
      </c>
      <c r="B5919" s="1" t="s">
        <v>5893</v>
      </c>
      <c r="C5919" t="str">
        <f>IFERROR(__xludf.DUMMYFUNCTION("GOOGLETRANSLATE(B5919, ""zh"", ""en"")"),"Good good good good good shopping time shopping time")</f>
        <v>Good good good good good shopping time shopping time</v>
      </c>
    </row>
    <row r="5920">
      <c r="A5920" s="1">
        <v>5.0</v>
      </c>
      <c r="B5920" s="1" t="s">
        <v>5894</v>
      </c>
      <c r="C5920" t="str">
        <f>IFERROR(__xludf.DUMMYFUNCTION("GOOGLETRANSLATE(B5920, ""zh"", ""en"")"),"Fit for Dad to buy, 175cm, 72kg, just good, very fit.")</f>
        <v>Fit for Dad to buy, 175cm, 72kg, just good, very fit.</v>
      </c>
    </row>
    <row r="5921">
      <c r="A5921" s="1">
        <v>5.0</v>
      </c>
      <c r="B5921" s="1" t="s">
        <v>5895</v>
      </c>
      <c r="C5921" t="str">
        <f>IFERROR(__xludf.DUMMYFUNCTION("GOOGLETRANSLATE(B5921, ""zh"", ""en"")"),"Similarly good compression pants pants, good air permeability, 158 / 45kg wear s code, wear off a little bit tight, then the upper body is very suitable.")</f>
        <v>Similarly good compression pants pants, good air permeability, 158 / 45kg wear s code, wear off a little bit tight, then the upper body is very suitable.</v>
      </c>
    </row>
    <row r="5922">
      <c r="A5922" s="1">
        <v>5.0</v>
      </c>
      <c r="B5922" s="1" t="s">
        <v>5896</v>
      </c>
      <c r="C5922" t="str">
        <f>IFERROR(__xludf.DUMMYFUNCTION("GOOGLETRANSLATE(B5922, ""zh"", ""en"")"),"Satisfaction overseas purchase, transportation speed, the price is right, satisfaction")</f>
        <v>Satisfaction overseas purchase, transportation speed, the price is right, satisfaction</v>
      </c>
    </row>
    <row r="5923">
      <c r="A5923" s="1">
        <v>5.0</v>
      </c>
      <c r="B5923" s="1" t="s">
        <v>5897</v>
      </c>
      <c r="C5923" t="str">
        <f>IFERROR(__xludf.DUMMYFUNCTION("GOOGLETRANSLATE(B5923, ""zh"", ""en"")"),"Not bad for summer wear, appropriate. 179,150 pounds")</f>
        <v>Not bad for summer wear, appropriate. 179,150 pounds</v>
      </c>
    </row>
    <row r="5924">
      <c r="A5924" s="1">
        <v>5.0</v>
      </c>
      <c r="B5924" s="1" t="s">
        <v>5898</v>
      </c>
      <c r="C5924" t="str">
        <f>IFERROR(__xludf.DUMMYFUNCTION("GOOGLETRANSLATE(B5924, ""zh"", ""en"")"),"Like great home, before and after the baby to buy five cups, do not like to use, see the results of a put it down, grunt drank a large glass of water, finally liberated the mother's hands.")</f>
        <v>Like great home, before and after the baby to buy five cups, do not like to use, see the results of a put it down, grunt drank a large glass of water, finally liberated the mother's hands.</v>
      </c>
    </row>
    <row r="5925">
      <c r="A5925" s="1">
        <v>5.0</v>
      </c>
      <c r="B5925" s="1" t="s">
        <v>5899</v>
      </c>
      <c r="C5925" t="str">
        <f>IFERROR(__xludf.DUMMYFUNCTION("GOOGLETRANSLATE(B5925, ""zh"", ""en"")"),"Recommended is a thin section, not lining the, very good quality, a lot cheaper than domestic prices.")</f>
        <v>Recommended is a thin section, not lining the, very good quality, a lot cheaper than domestic prices.</v>
      </c>
    </row>
    <row r="5926">
      <c r="A5926" s="1">
        <v>5.0</v>
      </c>
      <c r="B5926" s="1" t="s">
        <v>2574</v>
      </c>
      <c r="C5926" t="str">
        <f>IFERROR(__xludf.DUMMYFUNCTION("GOOGLETRANSLATE(B5926, ""zh"", ""en"")"),"The right size, comfortable fabrics girlfriend really like, say very comfortable")</f>
        <v>The right size, comfortable fabrics girlfriend really like, say very comfortable</v>
      </c>
    </row>
    <row r="5927">
      <c r="A5927" s="1">
        <v>5.0</v>
      </c>
      <c r="B5927" s="1" t="s">
        <v>5900</v>
      </c>
      <c r="C5927" t="str">
        <f>IFERROR(__xludf.DUMMYFUNCTION("GOOGLETRANSLATE(B5927, ""zh"", ""en"")"),"No hot water shower try, but overall very satisfied!")</f>
        <v>No hot water shower try, but overall very satisfied!</v>
      </c>
    </row>
    <row r="5928">
      <c r="A5928" s="1">
        <v>5.0</v>
      </c>
      <c r="B5928" s="1" t="s">
        <v>5901</v>
      </c>
      <c r="C5928" t="str">
        <f>IFERROR(__xludf.DUMMYFUNCTION("GOOGLETRANSLATE(B5928, ""zh"", ""en"")"),"Casio Men's A168W-1 Stainless Steel Watch ... good friends this table, that is simple and elegant it, enjoyed it")</f>
        <v>Casio Men's A168W-1 Stainless Steel Watch ... good friends this table, that is simple and elegant it, enjoyed it</v>
      </c>
    </row>
    <row r="5929">
      <c r="A5929" s="1">
        <v>5.0</v>
      </c>
      <c r="B5929" s="1" t="s">
        <v>5902</v>
      </c>
      <c r="C5929" t="str">
        <f>IFERROR(__xludf.DUMMYFUNCTION("GOOGLETRANSLATE(B5929, ""zh"", ""en"")"),"Appease soft, a little taste, the key is Andy eat, did not play a pacifying effect")</f>
        <v>Appease soft, a little taste, the key is Andy eat, did not play a pacifying effect</v>
      </c>
    </row>
    <row r="5930">
      <c r="A5930" s="1">
        <v>5.0</v>
      </c>
      <c r="B5930" s="1" t="s">
        <v>5903</v>
      </c>
      <c r="C5930" t="str">
        <f>IFERROR(__xludf.DUMMYFUNCTION("GOOGLETRANSLATE(B5930, ""zh"", ""en"")"),"Very satisfied with the capacity of 3.7T, for large files if the monomer more speed can reach 350M +, the speed of large files in smaller files 20M +, good packaging, with backup, security, testing software. Praise!")</f>
        <v>Very satisfied with the capacity of 3.7T, for large files if the monomer more speed can reach 350M +, the speed of large files in smaller files 20M +, good packaging, with backup, security, testing software. Praise!</v>
      </c>
    </row>
    <row r="5931">
      <c r="A5931" s="1">
        <v>5.0</v>
      </c>
      <c r="B5931" s="1" t="s">
        <v>5904</v>
      </c>
      <c r="C5931" t="str">
        <f>IFERROR(__xludf.DUMMYFUNCTION("GOOGLETRANSLATE(B5931, ""zh"", ""en"")"),"Value, skin-friendly 1800 yen, 75 including tax, value for money, bought two, regret not buy some, Nissan, each pair comes with hanger")</f>
        <v>Value, skin-friendly 1800 yen, 75 including tax, value for money, bought two, regret not buy some, Nissan, each pair comes with hanger</v>
      </c>
    </row>
    <row r="5932">
      <c r="A5932" s="1">
        <v>5.0</v>
      </c>
      <c r="B5932" s="1" t="s">
        <v>5905</v>
      </c>
      <c r="C5932" t="str">
        <f>IFERROR(__xludf.DUMMYFUNCTION("GOOGLETRANSLATE(B5932, ""zh"", ""en"")"),"It has been used with")</f>
        <v>It has been used with</v>
      </c>
    </row>
    <row r="5933">
      <c r="A5933" s="1">
        <v>5.0</v>
      </c>
      <c r="B5933" s="1" t="s">
        <v>5906</v>
      </c>
      <c r="C5933" t="str">
        <f>IFERROR(__xludf.DUMMYFUNCTION("GOOGLETRANSLATE(B5933, ""zh"", ""en"")"),"Fitness essential very fast, genuine, tastes good to drink")</f>
        <v>Fitness essential very fast, genuine, tastes good to drink</v>
      </c>
    </row>
    <row r="5934">
      <c r="A5934" s="1">
        <v>5.0</v>
      </c>
      <c r="B5934" s="1" t="s">
        <v>5907</v>
      </c>
      <c r="C5934" t="str">
        <f>IFERROR(__xludf.DUMMYFUNCTION("GOOGLETRANSLATE(B5934, ""zh"", ""en"")"),". not bad")</f>
        <v>. not bad</v>
      </c>
    </row>
    <row r="5935">
      <c r="A5935" s="1">
        <v>5.0</v>
      </c>
      <c r="B5935" s="1" t="s">
        <v>5908</v>
      </c>
      <c r="C5935" t="str">
        <f>IFERROR(__xludf.DUMMYFUNCTION("GOOGLETRANSLATE(B5935, ""zh"", ""en"")"),"Delicate sprinkle feel super good! Just push the button to select a different form of shower can be achieved, switch the shower also just push the button, it is simply God. . . . . Is not dripping! Thermostat knob simple, gentle feeling, is indeed the red"&amp;" dot design competition award-winning products. . . . . Just a little expensive, I took a buddy 10,000 RMB. . . . . But value for money!")</f>
        <v>Delicate sprinkle feel super good! Just push the button to select a different form of shower can be achieved, switch the shower also just push the button, it is simply God. . . . . Is not dripping! Thermostat knob simple, gentle feeling, is indeed the red dot design competition award-winning products. . . . . Just a little expensive, I took a buddy 10,000 RMB. . . . . But value for money!</v>
      </c>
    </row>
    <row r="5936">
      <c r="A5936" s="1">
        <v>5.0</v>
      </c>
      <c r="B5936" s="1" t="s">
        <v>5909</v>
      </c>
      <c r="C5936" t="str">
        <f>IFERROR(__xludf.DUMMYFUNCTION("GOOGLETRANSLATE(B5936, ""zh"", ""en"")"),"Wear good shoes did not imagine the discomfort")</f>
        <v>Wear good shoes did not imagine the discomfort</v>
      </c>
    </row>
    <row r="5937">
      <c r="A5937" s="1">
        <v>5.0</v>
      </c>
      <c r="B5937" s="1" t="s">
        <v>5910</v>
      </c>
      <c r="C5937" t="str">
        <f>IFERROR(__xludf.DUMMYFUNCTION("GOOGLETRANSLATE(B5937, ""zh"", ""en"")"),"Like more than 570 start with, like, a Philips shaver for about five years, I hope this is also durable!")</f>
        <v>Like more than 570 start with, like, a Philips shaver for about five years, I hope this is also durable!</v>
      </c>
    </row>
    <row r="5938">
      <c r="A5938" s="1">
        <v>5.0</v>
      </c>
      <c r="B5938" s="1" t="s">
        <v>5911</v>
      </c>
      <c r="C5938" t="str">
        <f>IFERROR(__xludf.DUMMYFUNCTION("GOOGLETRANSLATE(B5938, ""zh"", ""en"")"),"Surprisingly very good design, very human, very suitable for feeding the baby")</f>
        <v>Surprisingly very good design, very human, very suitable for feeding the baby</v>
      </c>
    </row>
    <row r="5939">
      <c r="A5939" s="1">
        <v>5.0</v>
      </c>
      <c r="B5939" s="1" t="s">
        <v>5912</v>
      </c>
      <c r="C5939" t="str">
        <f>IFERROR(__xludf.DUMMYFUNCTION("GOOGLETRANSLATE(B5939, ""zh"", ""en"")"),"Insulation very, very good, effective insulation, lightweight")</f>
        <v>Insulation very, very good, effective insulation, lightweight</v>
      </c>
    </row>
    <row r="5940">
      <c r="A5940" s="1">
        <v>2.0</v>
      </c>
      <c r="B5940" s="1" t="s">
        <v>5913</v>
      </c>
      <c r="C5940" t="str">
        <f>IFERROR(__xludf.DUMMYFUNCTION("GOOGLETRANSLATE(B5940, ""zh"", ""en"")"),"Buy the need for caution left shoe surface scratches, a total of almost seven pitches. Crooked nuts nor the integrity of it?")</f>
        <v>Buy the need for caution left shoe surface scratches, a total of almost seven pitches. Crooked nuts nor the integrity of it?</v>
      </c>
    </row>
    <row r="5941">
      <c r="A5941" s="1">
        <v>3.0</v>
      </c>
      <c r="B5941" s="1" t="s">
        <v>5914</v>
      </c>
      <c r="C5941" t="str">
        <f>IFERROR(__xludf.DUMMYFUNCTION("GOOGLETRANSLATE(B5941, ""zh"", ""en"")"),"Some small flaws receipt when they think Amazon import of goods should not be a problem, they did not check the receipt, such as wearing a back found a scratch, I do not know whether there are still wearing the original after some? Amazon also made some c"&amp;"ompensation, but feel that this is the original, there should be a scratch, now do not know, remind you to seriously look at the time of receipt of the receipt again")</f>
        <v>Some small flaws receipt when they think Amazon import of goods should not be a problem, they did not check the receipt, such as wearing a back found a scratch, I do not know whether there are still wearing the original after some? Amazon also made some compensation, but feel that this is the original, there should be a scratch, now do not know, remind you to seriously look at the time of receipt of the receipt again</v>
      </c>
    </row>
    <row r="5942">
      <c r="A5942" s="1">
        <v>3.0</v>
      </c>
      <c r="B5942" s="1" t="s">
        <v>5915</v>
      </c>
      <c r="C5942" t="str">
        <f>IFERROR(__xludf.DUMMYFUNCTION("GOOGLETRANSLATE(B5942, ""zh"", ""en"")"),"Blue as blue as black as black, style is good, but not cotton, suitable for spring wear. For reference, 168cm &amp; amp; 59KG appropriate code is selected from S. Burly should be selected freshman yards.")</f>
        <v>Blue as blue as black as black, style is good, but not cotton, suitable for spring wear. For reference, 168cm &amp; amp; 59KG appropriate code is selected from S. Burly should be selected freshman yards.</v>
      </c>
    </row>
    <row r="5943">
      <c r="A5943" s="1">
        <v>1.0</v>
      </c>
      <c r="B5943" s="1" t="s">
        <v>5916</v>
      </c>
      <c r="C5943" t="str">
        <f>IFERROR(__xludf.DUMMYFUNCTION("GOOGLETRANSLATE(B5943, ""zh"", ""en"")"),"Spicy chicken Amazon surprisingly so garbage. . . I bought two one of them with a will no electricity. . Full does not take too long. . . He said that it was unable to return the goods. . . The line, will not come again")</f>
        <v>Spicy chicken Amazon surprisingly so garbage. . . I bought two one of them with a will no electricity. . Full does not take too long. . . He said that it was unable to return the goods. . . The line, will not come again</v>
      </c>
    </row>
    <row r="5944">
      <c r="A5944" s="1">
        <v>1.0</v>
      </c>
      <c r="B5944" s="1" t="s">
        <v>5917</v>
      </c>
      <c r="C5944" t="str">
        <f>IFERROR(__xludf.DUMMYFUNCTION("GOOGLETRANSLATE(B5944, ""zh"", ""en"")"),"Amazon has also selling fake lee jeans true and false identification: zipper - there must be ""LEE"" LOGO on the lee authentic jeans zipper (chain hoists), those who are not LOGO or ""YKK"" were fake! ""X"" play date line - Genuine lee specification stron"&amp;"g, fake or simply not true thin line. ""X"" play date line - Genuine lee specification strong, fake or simply not true thin line. ykk zipper do not know the truth! Did not how!")</f>
        <v>Amazon has also selling fake lee jeans true and false identification: zipper - there must be "LEE" LOGO on the lee authentic jeans zipper (chain hoists), those who are not LOGO or "YKK" were fake! "X" play date line - Genuine lee specification strong, fake or simply not true thin line. "X" play date line - Genuine lee specification strong, fake or simply not true thin line. ykk zipper do not know the truth! Did not how!</v>
      </c>
    </row>
    <row r="5945">
      <c r="A5945" s="1">
        <v>4.0</v>
      </c>
      <c r="B5945" s="1" t="s">
        <v>5918</v>
      </c>
      <c r="C5945" t="str">
        <f>IFERROR(__xludf.DUMMYFUNCTION("GOOGLETRANSLATE(B5945, ""zh"", ""en"")"),"Elastic fabric, more comfortable to wear pants overall good count satisfied. Color a little deeper than expected; considered appropriate size, flexible sake, after wearing a little loose, but it's more comfortable than home.")</f>
        <v>Elastic fabric, more comfortable to wear pants overall good count satisfied. Color a little deeper than expected; considered appropriate size, flexible sake, after wearing a little loose, but it's more comfortable than home.</v>
      </c>
    </row>
    <row r="5946">
      <c r="A5946" s="1">
        <v>4.0</v>
      </c>
      <c r="B5946" s="1" t="s">
        <v>5919</v>
      </c>
      <c r="C5946" t="str">
        <f>IFERROR(__xludf.DUMMYFUNCTION("GOOGLETRANSLATE(B5946, ""zh"", ""en"")"),"I do not like the color of the fabric. Because it is Oxford cloth, so not very comfortable to wear, the collar a little bit high. Bangladesh manufacturing, but the details of domestic production.")</f>
        <v>I do not like the color of the fabric. Because it is Oxford cloth, so not very comfortable to wear, the collar a little bit high. Bangladesh manufacturing, but the details of domestic production.</v>
      </c>
    </row>
    <row r="5947">
      <c r="A5947" s="1">
        <v>4.0</v>
      </c>
      <c r="B5947" s="1" t="s">
        <v>5920</v>
      </c>
      <c r="C5947" t="str">
        <f>IFERROR(__xludf.DUMMYFUNCTION("GOOGLETRANSLATE(B5947, ""zh"", ""en"")"),"Okay with kind still pretty big difference")</f>
        <v>Okay with kind still pretty big difference</v>
      </c>
    </row>
    <row r="5948">
      <c r="A5948" s="1">
        <v>4.0</v>
      </c>
      <c r="B5948" s="1" t="s">
        <v>5921</v>
      </c>
      <c r="C5948" t="str">
        <f>IFERROR(__xludf.DUMMYFUNCTION("GOOGLETRANSLATE(B5948, ""zh"", ""en"")"),"Too, the time of purchase to pay attention to 174cm / 85kg XXL too, for the first time to buy a European version of the clothes did not experience")</f>
        <v>Too, the time of purchase to pay attention to 174cm / 85kg XXL too, for the first time to buy a European version of the clothes did not experience</v>
      </c>
    </row>
    <row r="5949">
      <c r="A5949" s="1">
        <v>4.0</v>
      </c>
      <c r="B5949" s="1" t="s">
        <v>5922</v>
      </c>
      <c r="C5949" t="str">
        <f>IFERROR(__xludf.DUMMYFUNCTION("GOOGLETRANSLATE(B5949, ""zh"", ""en"")"),"Size is too large to buy the M size, still significantly large, fabric and theme are good.")</f>
        <v>Size is too large to buy the M size, still significantly large, fabric and theme are good.</v>
      </c>
    </row>
    <row r="5950">
      <c r="A5950" s="1">
        <v>5.0</v>
      </c>
      <c r="B5950" s="1" t="s">
        <v>5923</v>
      </c>
      <c r="C5950" t="str">
        <f>IFERROR(__xludf.DUMMYFUNCTION("GOOGLETRANSLATE(B5950, ""zh"", ""en"")"),"fast! Fast delivery. Recognition 7.4T, sounds slightly larger, Kaka Ka")</f>
        <v>fast! Fast delivery. Recognition 7.4T, sounds slightly larger, Kaka Ka</v>
      </c>
    </row>
    <row r="5951">
      <c r="A5951" s="1">
        <v>5.0</v>
      </c>
      <c r="B5951" s="1" t="s">
        <v>5924</v>
      </c>
      <c r="C5951" t="str">
        <f>IFERROR(__xludf.DUMMYFUNCTION("GOOGLETRANSLATE(B5951, ""zh"", ""en"")"),"Value value value quality awesome, nice decoration.")</f>
        <v>Value value value quality awesome, nice decoration.</v>
      </c>
    </row>
    <row r="5952">
      <c r="A5952" s="1">
        <v>5.0</v>
      </c>
      <c r="B5952" s="1" t="s">
        <v>5925</v>
      </c>
      <c r="C5952" t="str">
        <f>IFERROR(__xludf.DUMMYFUNCTION("GOOGLETRANSLATE(B5952, ""zh"", ""en"")"),"This genuine, like the store, worth buying")</f>
        <v>This genuine, like the store, worth buying</v>
      </c>
    </row>
    <row r="5953">
      <c r="A5953" s="1">
        <v>5.0</v>
      </c>
      <c r="B5953" s="1" t="s">
        <v>5926</v>
      </c>
      <c r="C5953" t="str">
        <f>IFERROR(__xludf.DUMMYFUNCTION("GOOGLETRANSLATE(B5953, ""zh"", ""en"")"),"Note dimensions not bought too short, blame themselves")</f>
        <v>Note dimensions not bought too short, blame themselves</v>
      </c>
    </row>
    <row r="5954">
      <c r="A5954" s="1">
        <v>5.0</v>
      </c>
      <c r="B5954" s="1" t="s">
        <v>5927</v>
      </c>
      <c r="C5954" t="str">
        <f>IFERROR(__xludf.DUMMYFUNCTION("GOOGLETRANSLATE(B5954, ""zh"", ""en"")"),"Just the size but also suitable than expected, cotton is very comfortable to wear.")</f>
        <v>Just the size but also suitable than expected, cotton is very comfortable to wear.</v>
      </c>
    </row>
    <row r="5955">
      <c r="A5955" s="1">
        <v>5.0</v>
      </c>
      <c r="B5955" s="1" t="s">
        <v>5928</v>
      </c>
      <c r="C5955" t="str">
        <f>IFERROR(__xludf.DUMMYFUNCTION("GOOGLETRANSLATE(B5955, ""zh"", ""en"")"),"Size just the right size, super-fast, up to a week, chose the 34/32 180,85KG")</f>
        <v>Size just the right size, super-fast, up to a week, chose the 34/32 180,85KG</v>
      </c>
    </row>
    <row r="5956">
      <c r="A5956" s="1">
        <v>5.0</v>
      </c>
      <c r="B5956" s="1" t="s">
        <v>5929</v>
      </c>
      <c r="C5956" t="str">
        <f>IFERROR(__xludf.DUMMYFUNCTION("GOOGLETRANSLATE(B5956, ""zh"", ""en"")"),"Shoes worth buying buy big, out to someone else. Shoes are worth buying.")</f>
        <v>Shoes worth buying buy big, out to someone else. Shoes are worth buying.</v>
      </c>
    </row>
    <row r="5957">
      <c r="A5957" s="1">
        <v>5.0</v>
      </c>
      <c r="B5957" s="1" t="s">
        <v>5930</v>
      </c>
      <c r="C5957" t="str">
        <f>IFERROR(__xludf.DUMMYFUNCTION("GOOGLETRANSLATE(B5957, ""zh"", ""en"")"),"Great buy in January, and now the child has been in use. No smell've been to many shopping malls have seen a lot of bottle, still feel this good. Soon to be a father, mother comrades can consider Oh!")</f>
        <v>Great buy in January, and now the child has been in use. No smell've been to many shopping malls have seen a lot of bottle, still feel this good. Soon to be a father, mother comrades can consider Oh!</v>
      </c>
    </row>
    <row r="5958">
      <c r="A5958" s="1">
        <v>5.0</v>
      </c>
      <c r="B5958" s="1" t="s">
        <v>5931</v>
      </c>
      <c r="C5958" t="str">
        <f>IFERROR(__xludf.DUMMYFUNCTION("GOOGLETRANSLATE(B5958, ""zh"", ""en"")"),"Satisfaction very pretty white shoes. Size slightly larger, but still recommended to buy the normal size. Good shock absorption, very comfortable.")</f>
        <v>Satisfaction very pretty white shoes. Size slightly larger, but still recommended to buy the normal size. Good shock absorption, very comfortable.</v>
      </c>
    </row>
    <row r="5959">
      <c r="A5959" s="1">
        <v>5.0</v>
      </c>
      <c r="B5959" s="1" t="s">
        <v>5932</v>
      </c>
      <c r="C5959" t="str">
        <f>IFERROR(__xludf.DUMMYFUNCTION("GOOGLETRANSLATE(B5959, ""zh"", ""en"")"),"Private choice material, feel good, worthy of recommendation")</f>
        <v>Private choice material, feel good, worthy of recommendation</v>
      </c>
    </row>
    <row r="5960">
      <c r="A5960" s="1">
        <v>5.0</v>
      </c>
      <c r="B5960" s="1" t="s">
        <v>5933</v>
      </c>
      <c r="C5960" t="str">
        <f>IFERROR(__xludf.DUMMYFUNCTION("GOOGLETRANSLATE(B5960, ""zh"", ""en"")"),"Good quality kids go out to buy milk foam, good insulation effect.")</f>
        <v>Good quality kids go out to buy milk foam, good insulation effect.</v>
      </c>
    </row>
    <row r="5961">
      <c r="A5961" s="1">
        <v>5.0</v>
      </c>
      <c r="B5961" s="1" t="s">
        <v>5934</v>
      </c>
      <c r="C5961" t="str">
        <f>IFERROR(__xludf.DUMMYFUNCTION("GOOGLETRANSLATE(B5961, ""zh"", ""en"")"),"Technological sense, color is also very good indeed very convenient, overheating becomes white, the baby will not be ironed")</f>
        <v>Technological sense, color is also very good indeed very convenient, overheating becomes white, the baby will not be ironed</v>
      </c>
    </row>
    <row r="5962">
      <c r="A5962" s="1">
        <v>5.0</v>
      </c>
      <c r="B5962" s="1" t="s">
        <v>5935</v>
      </c>
      <c r="C5962" t="str">
        <f>IFERROR(__xludf.DUMMYFUNCTION("GOOGLETRANSLATE(B5962, ""zh"", ""en"")"),"Some pen light, but very easy to use, it is recommended pen some light, but very easy to use, it is recommended")</f>
        <v>Some pen light, but very easy to use, it is recommended pen some light, but very easy to use, it is recommended</v>
      </c>
    </row>
    <row r="5963">
      <c r="A5963" s="1">
        <v>5.0</v>
      </c>
      <c r="B5963" s="1" t="s">
        <v>5936</v>
      </c>
      <c r="C5963" t="str">
        <f>IFERROR(__xludf.DUMMYFUNCTION("GOOGLETRANSLATE(B5963, ""zh"", ""en"")"),"Colors work very well the product is very good, overseas purchase price is much lower than the domestic, worth buying.")</f>
        <v>Colors work very well the product is very good, overseas purchase price is much lower than the domestic, worth buying.</v>
      </c>
    </row>
    <row r="5964">
      <c r="A5964" s="1">
        <v>5.0</v>
      </c>
      <c r="B5964" s="1" t="s">
        <v>5937</v>
      </c>
      <c r="C5964" t="str">
        <f>IFERROR(__xludf.DUMMYFUNCTION("GOOGLETRANSLATE(B5964, ""zh"", ""en"")"),"Good shoes! Instep high, then the shoes a little tight, but the tongue of the piece of cloth cut inside, these shoes will become perfect")</f>
        <v>Good shoes! Instep high, then the shoes a little tight, but the tongue of the piece of cloth cut inside, these shoes will become perfect</v>
      </c>
    </row>
    <row r="5965">
      <c r="A5965" s="1">
        <v>5.0</v>
      </c>
      <c r="B5965" s="1" t="s">
        <v>5938</v>
      </c>
      <c r="C5965" t="str">
        <f>IFERROR(__xludf.DUMMYFUNCTION("GOOGLETRANSLATE(B5965, ""zh"", ""en"")"),"good overall value for money is very good but it is better to buy a carton is also very effective")</f>
        <v>good overall value for money is very good but it is better to buy a carton is also very effective</v>
      </c>
    </row>
    <row r="5966">
      <c r="A5966" s="1">
        <v>5.0</v>
      </c>
      <c r="B5966" s="1" t="s">
        <v>5939</v>
      </c>
      <c r="C5966" t="str">
        <f>IFERROR(__xludf.DUMMYFUNCTION("GOOGLETRANSLATE(B5966, ""zh"", ""en"")"),"🍼 children very much, put it down")</f>
        <v>🍼 children very much, put it down</v>
      </c>
    </row>
    <row r="5967">
      <c r="A5967" s="1">
        <v>5.0</v>
      </c>
      <c r="B5967" s="1" t="s">
        <v>5940</v>
      </c>
      <c r="C5967" t="str">
        <f>IFERROR(__xludf.DUMMYFUNCTION("GOOGLETRANSLATE(B5967, ""zh"", ""en"")"),"Cheap Swiss watches is also good, since the price of the work.")</f>
        <v>Cheap Swiss watches is also good, since the price of the work.</v>
      </c>
    </row>
    <row r="5968">
      <c r="A5968" s="1">
        <v>5.0</v>
      </c>
      <c r="B5968" s="1" t="s">
        <v>5941</v>
      </c>
      <c r="C5968" t="str">
        <f>IFERROR(__xludf.DUMMYFUNCTION("GOOGLETRANSLATE(B5968, ""zh"", ""en"")"),"Repeatedly groping, find their own taste of the current cook two meals of rice, the first election of hard rice, over 40 minutes, completely delicious, and the second fine cooking mode, 72 minutes, rice taste q bomb, but there is no rice flavor, Sanyo's n"&amp;"ot home cooked delicious. Alas, disappointment. Menu options are many, I slowly explore it. Dayton Dayton third fourth mode with soft rice, boiled rice comes with the sweet, really good to eat them! I do not know who the flagship version of the rice cooke"&amp;"r to cook out what taste is not delicious even have to swallow the tongue")</f>
        <v>Repeatedly groping, find their own taste of the current cook two meals of rice, the first election of hard rice, over 40 minutes, completely delicious, and the second fine cooking mode, 72 minutes, rice taste q bomb, but there is no rice flavor, Sanyo's not home cooked delicious. Alas, disappointment. Menu options are many, I slowly explore it. Dayton Dayton third fourth mode with soft rice, boiled rice comes with the sweet, really good to eat them! I do not know who the flagship version of the rice cooker to cook out what taste is not delicious even have to swallow the tongue</v>
      </c>
    </row>
    <row r="5969">
      <c r="A5969" s="1">
        <v>5.0</v>
      </c>
      <c r="B5969" s="1" t="s">
        <v>5942</v>
      </c>
      <c r="C5969" t="str">
        <f>IFERROR(__xludf.DUMMYFUNCTION("GOOGLETRANSLATE(B5969, ""zh"", ""en"")"),"Good quality is the same as the expected quality and style, not very thick section, and 169 yards to wear appropriate height")</f>
        <v>Good quality is the same as the expected quality and style, not very thick section, and 169 yards to wear appropriate height</v>
      </c>
    </row>
    <row r="5970">
      <c r="A5970" s="1">
        <v>5.0</v>
      </c>
      <c r="B5970" s="1" t="s">
        <v>5943</v>
      </c>
      <c r="C5970" t="str">
        <f>IFERROR(__xludf.DUMMYFUNCTION("GOOGLETRANSLATE(B5970, ""zh"", ""en"")"),"Good 176CM 83KG wear L code just to buy a second time")</f>
        <v>Good 176CM 83KG wear L code just to buy a second time</v>
      </c>
    </row>
    <row r="5971">
      <c r="A5971" s="1">
        <v>5.0</v>
      </c>
      <c r="B5971" s="1" t="s">
        <v>5944</v>
      </c>
      <c r="C5971" t="str">
        <f>IFERROR(__xludf.DUMMYFUNCTION("GOOGLETRANSLATE(B5971, ""zh"", ""en"")"),"11080 hand, value for money, I did not know how long can carry, not domestic insured")</f>
        <v>11080 hand, value for money, I did not know how long can carry, not domestic insured</v>
      </c>
    </row>
    <row r="5972">
      <c r="A5972" s="1">
        <v>2.0</v>
      </c>
      <c r="B5972" s="1" t="s">
        <v>5945</v>
      </c>
      <c r="C5972" t="str">
        <f>IFERROR(__xludf.DUMMYFUNCTION("GOOGLETRANSLATE(B5972, ""zh"", ""en"")"),"There are plastic lid taste lid rubber smell bad smell, with blisters for two days did not alleviate. Generally we should not all have shares creamy taste it? But this really is the plastic taste. Insulation effect has not been tested.")</f>
        <v>There are plastic lid taste lid rubber smell bad smell, with blisters for two days did not alleviate. Generally we should not all have shares creamy taste it? But this really is the plastic taste. Insulation effect has not been tested.</v>
      </c>
    </row>
    <row r="5973">
      <c r="A5973" s="1">
        <v>3.0</v>
      </c>
      <c r="B5973" s="1" t="s">
        <v>5946</v>
      </c>
      <c r="C5973" t="str">
        <f>IFERROR(__xludf.DUMMYFUNCTION("GOOGLETRANSLATE(B5973, ""zh"", ""en"")"),"Taste slightly shorter length heavy, heavy flavor, do not know is not leather")</f>
        <v>Taste slightly shorter length heavy, heavy flavor, do not know is not leather</v>
      </c>
    </row>
    <row r="5974">
      <c r="A5974" s="1">
        <v>3.0</v>
      </c>
      <c r="B5974" s="1" t="s">
        <v>5947</v>
      </c>
      <c r="C5974" t="str">
        <f>IFERROR(__xludf.DUMMYFUNCTION("GOOGLETRANSLATE(B5974, ""zh"", ""en"")"),"Uh ~ ~ ~ good clothes, but wore twice and lost two buttons")</f>
        <v>Uh ~ ~ ~ good clothes, but wore twice and lost two buttons</v>
      </c>
    </row>
    <row r="5975">
      <c r="A5975" s="1">
        <v>1.0</v>
      </c>
      <c r="B5975" s="1" t="s">
        <v>5948</v>
      </c>
      <c r="C5975" t="str">
        <f>IFERROR(__xludf.DUMMYFUNCTION("GOOGLETRANSLATE(B5975, ""zh"", ""en"")"),"Packaging is not good. It is sandwiched between two cartons.")</f>
        <v>Packaging is not good. It is sandwiched between two cartons.</v>
      </c>
    </row>
    <row r="5976">
      <c r="A5976" s="1">
        <v>1.0</v>
      </c>
      <c r="B5976" s="1" t="s">
        <v>5272</v>
      </c>
      <c r="C5976" t="str">
        <f>IFERROR(__xludf.DUMMYFUNCTION("GOOGLETRANSLATE(B5976, ""zh"", ""en"")"),"Not recommended to buy quality really do not ye drop, lower beam port where it wide to wear a few do not know what")</f>
        <v>Not recommended to buy quality really do not ye drop, lower beam port where it wide to wear a few do not know what</v>
      </c>
    </row>
    <row r="5977">
      <c r="A5977" s="1">
        <v>1.0</v>
      </c>
      <c r="B5977" s="1" t="s">
        <v>5949</v>
      </c>
      <c r="C5977" t="str">
        <f>IFERROR(__xludf.DUMMYFUNCTION("GOOGLETRANSLATE(B5977, ""zh"", ""en"")"),"Too rough cloth fabric, worn on the body to rubbing friction it? When the cloth is also similar ...")</f>
        <v>Too rough cloth fabric, worn on the body to rubbing friction it? When the cloth is also similar ...</v>
      </c>
    </row>
    <row r="5978">
      <c r="A5978" s="1">
        <v>4.0</v>
      </c>
      <c r="B5978" s="1" t="s">
        <v>5950</v>
      </c>
      <c r="C5978" t="str">
        <f>IFERROR(__xludf.DUMMYFUNCTION("GOOGLETRANSLATE(B5978, ""zh"", ""en"")"),"This color really is bigger and picture color is not very like the color, the color can then do the real thing")</f>
        <v>This color really is bigger and picture color is not very like the color, the color can then do the real thing</v>
      </c>
    </row>
    <row r="5979">
      <c r="A5979" s="1">
        <v>4.0</v>
      </c>
      <c r="B5979" s="1" t="s">
        <v>5951</v>
      </c>
      <c r="C5979" t="str">
        <f>IFERROR(__xludf.DUMMYFUNCTION("GOOGLETRANSLATE(B5979, ""zh"", ""en"")"),"Black good-looking black very pretty, long sleeves")</f>
        <v>Black good-looking black very pretty, long sleeves</v>
      </c>
    </row>
    <row r="5980">
      <c r="A5980" s="1">
        <v>4.0</v>
      </c>
      <c r="B5980" s="1" t="s">
        <v>5952</v>
      </c>
      <c r="C5980" t="str">
        <f>IFERROR(__xludf.DUMMYFUNCTION("GOOGLETRANSLATE(B5980, ""zh"", ""en"")"),"Baby spoon can, colorful, neither hard nor soft, prepared baby food supplement used to store goods, to buy more than 30 fairly cost-effective, very light spoon")</f>
        <v>Baby spoon can, colorful, neither hard nor soft, prepared baby food supplement used to store goods, to buy more than 30 fairly cost-effective, very light spoon</v>
      </c>
    </row>
    <row r="5981">
      <c r="A5981" s="1">
        <v>4.0</v>
      </c>
      <c r="B5981" s="1" t="s">
        <v>5953</v>
      </c>
      <c r="C5981" t="str">
        <f>IFERROR(__xludf.DUMMYFUNCTION("GOOGLETRANSLATE(B5981, ""zh"", ""en"")"),"Now follow the trend of buying good massive publicity grape seed, middle-aged health is very popular, but also follow the trend of eating, say what effect, really did not.")</f>
        <v>Now follow the trend of buying good massive publicity grape seed, middle-aged health is very popular, but also follow the trend of eating, say what effect, really did not.</v>
      </c>
    </row>
    <row r="5982">
      <c r="A5982" s="1">
        <v>4.0</v>
      </c>
      <c r="B5982" s="1" t="s">
        <v>5954</v>
      </c>
      <c r="C5982" t="str">
        <f>IFERROR(__xludf.DUMMYFUNCTION("GOOGLETRANSLATE(B5982, ""zh"", ""en"")"),"Slightly larger, with a little bit different counter the counter to buy smaller, this big had to buy to give as gifts, the other thick, not suitable for summer wear")</f>
        <v>Slightly larger, with a little bit different counter the counter to buy smaller, this big had to buy to give as gifts, the other thick, not suitable for summer wear</v>
      </c>
    </row>
    <row r="5983">
      <c r="A5983" s="1">
        <v>5.0</v>
      </c>
      <c r="B5983" s="1" t="s">
        <v>5955</v>
      </c>
      <c r="C5983" t="str">
        <f>IFERROR(__xludf.DUMMYFUNCTION("GOOGLETRANSLATE(B5983, ""zh"", ""en"")"),"Easy to use easy to use a special, which is no longer eat, Amazon's price is also very to the force!")</f>
        <v>Easy to use easy to use a special, which is no longer eat, Amazon's price is also very to the force!</v>
      </c>
    </row>
    <row r="5984">
      <c r="A5984" s="1">
        <v>5.0</v>
      </c>
      <c r="B5984" s="1" t="s">
        <v>5956</v>
      </c>
      <c r="C5984" t="str">
        <f>IFERROR(__xludf.DUMMYFUNCTION("GOOGLETRANSLATE(B5984, ""zh"", ""en"")"),"Manufacturing UA coldgear China, work in general. UA is the coldgear, with velvet fabric. Suitable for winter wear. This paragraph is slightly self-cultivation. 174,70 s just wearing underwear.")</f>
        <v>Manufacturing UA coldgear China, work in general. UA is the coldgear, with velvet fabric. Suitable for winter wear. This paragraph is slightly self-cultivation. 174,70 s just wearing underwear.</v>
      </c>
    </row>
    <row r="5985">
      <c r="A5985" s="1">
        <v>5.0</v>
      </c>
      <c r="B5985" s="1" t="s">
        <v>5957</v>
      </c>
      <c r="C5985" t="str">
        <f>IFERROR(__xludf.DUMMYFUNCTION("GOOGLETRANSLATE(B5985, ""zh"", ""en"")"),"The number is too large, good quality. A little big, and I used to buy and that section 365 compared to stretch too small, basically no stretch. Wear for two days, a little annoyed, the underwear, do not stretch a little, as domestic CK, I think this is n"&amp;"ot a fake?")</f>
        <v>The number is too large, good quality. A little big, and I used to buy and that section 365 compared to stretch too small, basically no stretch. Wear for two days, a little annoyed, the underwear, do not stretch a little, as domestic CK, I think this is not a fake?</v>
      </c>
    </row>
    <row r="5986">
      <c r="A5986" s="1">
        <v>5.0</v>
      </c>
      <c r="B5986" s="1" t="s">
        <v>5958</v>
      </c>
      <c r="C5986" t="str">
        <f>IFERROR(__xludf.DUMMYFUNCTION("GOOGLETRANSLATE(B5986, ""zh"", ""en"")"),"Simple domineering uppers and soles moderate hardness, I have no research on the leather, the feeling is matte leather, with a strip narrow-leg pants to wear, a little rough air.")</f>
        <v>Simple domineering uppers and soles moderate hardness, I have no research on the leather, the feeling is matte leather, with a strip narrow-leg pants to wear, a little rough air.</v>
      </c>
    </row>
    <row r="5987">
      <c r="A5987" s="1">
        <v>5.0</v>
      </c>
      <c r="B5987" s="1" t="s">
        <v>5959</v>
      </c>
      <c r="C5987" t="str">
        <f>IFERROR(__xludf.DUMMYFUNCTION("GOOGLETRANSLATE(B5987, ""zh"", ""en"")"),"Good not wear it ,, give praise! ! !")</f>
        <v>Good not wear it ,, give praise! ! !</v>
      </c>
    </row>
    <row r="5988">
      <c r="A5988" s="1">
        <v>5.0</v>
      </c>
      <c r="B5988" s="1" t="s">
        <v>5960</v>
      </c>
      <c r="C5988" t="str">
        <f>IFERROR(__xludf.DUMMYFUNCTION("GOOGLETRANSLATE(B5988, ""zh"", ""en"")"),"it's a bargain! While PrimeDay activities to buy cost-effective than usual a lot of Tuen 10 can be used for a long time-saving convenience when")</f>
        <v>it's a bargain! While PrimeDay activities to buy cost-effective than usual a lot of Tuen 10 can be used for a long time-saving convenience when</v>
      </c>
    </row>
    <row r="5989">
      <c r="A5989" s="1">
        <v>5.0</v>
      </c>
      <c r="B5989" s="1" t="s">
        <v>5961</v>
      </c>
      <c r="C5989" t="str">
        <f>IFERROR(__xludf.DUMMYFUNCTION("GOOGLETRANSLATE(B5989, ""zh"", ""en"")"),"Very comfortable 17 September to buy only recently remembered to wear, looking very nice, but very comfortable to wear.")</f>
        <v>Very comfortable 17 September to buy only recently remembered to wear, looking very nice, but very comfortable to wear.</v>
      </c>
    </row>
    <row r="5990">
      <c r="A5990" s="1">
        <v>5.0</v>
      </c>
      <c r="B5990" s="1" t="s">
        <v>5962</v>
      </c>
      <c r="C5990" t="str">
        <f>IFERROR(__xludf.DUMMYFUNCTION("GOOGLETRANSLATE(B5990, ""zh"", ""en"")"),"It has been demolished, helium disk hand on the demolition, helium disk, external hard drive currently when used, sound can accept (possibly desktop too loud)")</f>
        <v>It has been demolished, helium disk hand on the demolition, helium disk, external hard drive currently when used, sound can accept (possibly desktop too loud)</v>
      </c>
    </row>
    <row r="5991">
      <c r="A5991" s="1">
        <v>5.0</v>
      </c>
      <c r="B5991" s="1" t="s">
        <v>5963</v>
      </c>
      <c r="C5991" t="str">
        <f>IFERROR(__xludf.DUMMYFUNCTION("GOOGLETRANSLATE(B5991, ""zh"", ""en"")"),"Okay okay, but I do not know where the origin Yes. Well ......, price cuts, down four, fifty dollars.")</f>
        <v>Okay okay, but I do not know where the origin Yes. Well ......, price cuts, down four, fifty dollars.</v>
      </c>
    </row>
    <row r="5992">
      <c r="A5992" s="1">
        <v>5.0</v>
      </c>
      <c r="B5992" s="1" t="s">
        <v>5964</v>
      </c>
      <c r="C5992" t="str">
        <f>IFERROR(__xludf.DUMMYFUNCTION("GOOGLETRANSLATE(B5992, ""zh"", ""en"")"),"Very comfortable fit, 36.5-37 wearing UK4-4.5, very comfortable")</f>
        <v>Very comfortable fit, 36.5-37 wearing UK4-4.5, very comfortable</v>
      </c>
    </row>
    <row r="5993">
      <c r="A5993" s="1">
        <v>5.0</v>
      </c>
      <c r="B5993" s="1" t="s">
        <v>5965</v>
      </c>
      <c r="C5993" t="str">
        <f>IFERROR(__xludf.DUMMYFUNCTION("GOOGLETRANSLATE(B5993, ""zh"", ""en"")"),"Very good upper body just the right size")</f>
        <v>Very good upper body just the right size</v>
      </c>
    </row>
    <row r="5994">
      <c r="A5994" s="1">
        <v>5.0</v>
      </c>
      <c r="B5994" s="1" t="s">
        <v>5966</v>
      </c>
      <c r="C5994" t="str">
        <f>IFERROR(__xludf.DUMMYFUNCTION("GOOGLETRANSLATE(B5994, ""zh"", ""en"")"),"Very very suitable sea Amoy return is not convenient, I try to be under review. This pair of ECCO style very well liked, and waited a week picked a relatively favorable price is still relatively cost-effective, I usually wear 39.5-40 yards shoes, this pai"&amp;"r bought 40 yards slightly larger than a little more than an empty one finger a little, but if the election is estimated to be 39 yards too tight, in general, 40 yards to tie the laces on it")</f>
        <v>Very very suitable sea Amoy return is not convenient, I try to be under review. This pair of ECCO style very well liked, and waited a week picked a relatively favorable price is still relatively cost-effective, I usually wear 39.5-40 yards shoes, this pair bought 40 yards slightly larger than a little more than an empty one finger a little, but if the election is estimated to be 39 yards too tight, in general, 40 yards to tie the laces on it</v>
      </c>
    </row>
    <row r="5995">
      <c r="A5995" s="1">
        <v>5.0</v>
      </c>
      <c r="B5995" s="1" t="s">
        <v>5967</v>
      </c>
      <c r="C5995" t="str">
        <f>IFERROR(__xludf.DUMMYFUNCTION("GOOGLETRANSLATE(B5995, ""zh"", ""en"")"),"Sound quality is clean, simple and comfortable to wear good quality workmanship, sound and clean, sufficient low frequency, high frequency sound is not broken, no clean vocals add, enough for daily use, the phone line is not as bulky imagined, compact, do"&amp;"es not affect the carry, praise!")</f>
        <v>Sound quality is clean, simple and comfortable to wear good quality workmanship, sound and clean, sufficient low frequency, high frequency sound is not broken, no clean vocals add, enough for daily use, the phone line is not as bulky imagined, compact, does not affect the carry, praise!</v>
      </c>
    </row>
    <row r="5996">
      <c r="A5996" s="1">
        <v>5.0</v>
      </c>
      <c r="B5996" s="1" t="s">
        <v>5968</v>
      </c>
      <c r="C5996" t="str">
        <f>IFERROR(__xludf.DUMMYFUNCTION("GOOGLETRANSLATE(B5996, ""zh"", ""en"")"),"Color stylish, good-looking, easy to take, casual sense of the full")</f>
        <v>Color stylish, good-looking, easy to take, casual sense of the full</v>
      </c>
    </row>
    <row r="5997">
      <c r="A5997" s="1">
        <v>5.0</v>
      </c>
      <c r="B5997" s="1" t="s">
        <v>5969</v>
      </c>
      <c r="C5997" t="str">
        <f>IFERROR(__xludf.DUMMYFUNCTION("GOOGLETRANSLATE(B5997, ""zh"", ""en"")"),"49. Bust 104. Shoulder well have stomach. XL wear loose, but not too large, should also line L")</f>
        <v>49. Bust 104. Shoulder well have stomach. XL wear loose, but not too large, should also line L</v>
      </c>
    </row>
    <row r="5998">
      <c r="A5998" s="1">
        <v>5.0</v>
      </c>
      <c r="B5998" s="1" t="s">
        <v>5970</v>
      </c>
      <c r="C5998" t="str">
        <f>IFERROR(__xludf.DUMMYFUNCTION("GOOGLETRANSLATE(B5998, ""zh"", ""en"")"),"Good product does not use a cardboard box packaged, directly use the original packing carton to come by mail, but did not indicate the origin, I do not know where to manufacture. German plug, but also to buy a converter plug to the domestic use of.")</f>
        <v>Good product does not use a cardboard box packaged, directly use the original packing carton to come by mail, but did not indicate the origin, I do not know where to manufacture. German plug, but also to buy a converter plug to the domestic use of.</v>
      </c>
    </row>
    <row r="5999">
      <c r="A5999" s="1">
        <v>5.0</v>
      </c>
      <c r="B5999" s="1" t="s">
        <v>5971</v>
      </c>
      <c r="C5999" t="str">
        <f>IFERROR(__xludf.DUMMYFUNCTION("GOOGLETRANSLATE(B5999, ""zh"", ""en"")"),"Heavy plastic feel, but the sound quality is very balanced balanced sound, the bass is relatively full, rather than the more prominent musical voice.")</f>
        <v>Heavy plastic feel, but the sound quality is very balanced balanced sound, the bass is relatively full, rather than the more prominent musical voice.</v>
      </c>
    </row>
    <row r="6000">
      <c r="A6000" s="1">
        <v>5.0</v>
      </c>
      <c r="B6000" s="1" t="s">
        <v>5972</v>
      </c>
      <c r="C6000" t="str">
        <f>IFERROR(__xludf.DUMMYFUNCTION("GOOGLETRANSLATE(B6000, ""zh"", ""en"")"),"Good shoes good shoes, a little bit flawed, there is a left toe about 1 millimeter point indelible white paint. The price is very cheap, good quality, more bad shoebox")</f>
        <v>Good shoes good shoes, a little bit flawed, there is a left toe about 1 millimeter point indelible white paint. The price is very cheap, good quality, more bad shoebox</v>
      </c>
    </row>
    <row r="6001">
      <c r="A6001" s="1">
        <v>5.0</v>
      </c>
      <c r="B6001" s="1" t="s">
        <v>5973</v>
      </c>
      <c r="C6001" t="str">
        <f>IFERROR(__xludf.DUMMYFUNCTION("GOOGLETRANSLATE(B6001, ""zh"", ""en"")"),"Very good very good product, packaging, product is very good")</f>
        <v>Very good very good product, packaging, product is very good</v>
      </c>
    </row>
    <row r="6002">
      <c r="A6002" s="1">
        <v>5.0</v>
      </c>
      <c r="B6002" s="1" t="s">
        <v>5974</v>
      </c>
      <c r="C6002" t="str">
        <f>IFERROR(__xludf.DUMMYFUNCTION("GOOGLETRANSLATE(B6002, ""zh"", ""en"")"),"Highly recommended spoon This is the second time to buy this to spoon. To be honest after the baby is born, bought seven or eight spoon, and many of them are sea Amoy hot money back, but only that the good use, highly recommended")</f>
        <v>Highly recommended spoon This is the second time to buy this to spoon. To be honest after the baby is born, bought seven or eight spoon, and many of them are sea Amoy hot money back, but only that the good use, highly recommended</v>
      </c>
    </row>
    <row r="6003">
      <c r="A6003" s="1">
        <v>5.0</v>
      </c>
      <c r="B6003" s="1" t="s">
        <v>5975</v>
      </c>
      <c r="C6003" t="str">
        <f>IFERROR(__xludf.DUMMYFUNCTION("GOOGLETRANSLATE(B6003, ""zh"", ""en"")"),"Good thermal effect is very good")</f>
        <v>Good thermal effect is very good</v>
      </c>
    </row>
    <row r="6004">
      <c r="A6004" s="1">
        <v>5.0</v>
      </c>
      <c r="B6004" s="1" t="s">
        <v>5976</v>
      </c>
      <c r="C6004" t="str">
        <f>IFERROR(__xludf.DUMMYFUNCTION("GOOGLETRANSLATE(B6004, ""zh"", ""en"")"),"Insulation effect is good buy for the little nephew, after the arrival of the next test, the insulation effect is good, but the price is appropriate Nichia, Ref 263, we went to Japan from the airport also bought 360 it")</f>
        <v>Insulation effect is good buy for the little nephew, after the arrival of the next test, the insulation effect is good, but the price is appropriate Nichia, Ref 263, we went to Japan from the airport also bought 360 it</v>
      </c>
    </row>
    <row r="6005">
      <c r="A6005" s="1">
        <v>2.0</v>
      </c>
      <c r="B6005" s="1" t="s">
        <v>5977</v>
      </c>
      <c r="C6005" t="str">
        <f>IFERROR(__xludf.DUMMYFUNCTION("GOOGLETRANSLATE(B6005, ""zh"", ""en"")"),"It is not worth the price to get the exhibits and photos show completely different, whether it is style or color. And looked like to spread the goods, we do not recommend you buy this!")</f>
        <v>It is not worth the price to get the exhibits and photos show completely different, whether it is style or color. And looked like to spread the goods, we do not recommend you buy this!</v>
      </c>
    </row>
    <row r="6006">
      <c r="A6006" s="1">
        <v>3.0</v>
      </c>
      <c r="B6006" s="1" t="s">
        <v>5978</v>
      </c>
      <c r="C6006" t="str">
        <f>IFERROR(__xludf.DUMMYFUNCTION("GOOGLETRANSLATE(B6006, ""zh"", ""en"")"),"Cost-effective height 168 weight 56, No. S just, in fact, a tight small one yard can look better, and the same picture, the high cost. recommend.")</f>
        <v>Cost-effective height 168 weight 56, No. S just, in fact, a tight small one yard can look better, and the same picture, the high cost. recommend.</v>
      </c>
    </row>
    <row r="6007">
      <c r="A6007" s="1">
        <v>3.0</v>
      </c>
      <c r="B6007" s="1" t="s">
        <v>5979</v>
      </c>
      <c r="C6007" t="str">
        <f>IFERROR(__xludf.DUMMYFUNCTION("GOOGLETRANSLATE(B6007, ""zh"", ""en"")"),"Packaging not satisfied with the packaging is not good, came seriously damaged, nor do any protective measures, but fortunately nothing to watch.")</f>
        <v>Packaging not satisfied with the packaging is not good, came seriously damaged, nor do any protective measures, but fortunately nothing to watch.</v>
      </c>
    </row>
    <row r="6008">
      <c r="A6008" s="1">
        <v>3.0</v>
      </c>
      <c r="B6008" s="1" t="s">
        <v>5980</v>
      </c>
      <c r="C6008" t="str">
        <f>IFERROR(__xludf.DUMMYFUNCTION("GOOGLETRANSLATE(B6008, ""zh"", ""en"")"),"Thigh root very tight, before the file smaller thigh root very tight, before the file smaller, to buy time to pay attention")</f>
        <v>Thigh root very tight, before the file smaller thigh root very tight, before the file smaller, to buy time to pay attention</v>
      </c>
    </row>
    <row r="6009">
      <c r="A6009" s="1">
        <v>1.0</v>
      </c>
      <c r="B6009" s="1" t="s">
        <v>5981</v>
      </c>
      <c r="C6009" t="str">
        <f>IFERROR(__xludf.DUMMYFUNCTION("GOOGLETRANSLATE(B6009, ""zh"", ""en"")"),"Poor quality, careful to buy! Poor quality, wearing less than a month, daily wear only, off the bottom of the phenomenon actually occurred, the first time in this life through his shoe off!")</f>
        <v>Poor quality, careful to buy! Poor quality, wearing less than a month, daily wear only, off the bottom of the phenomenon actually occurred, the first time in this life through his shoe off!</v>
      </c>
    </row>
    <row r="6010">
      <c r="A6010" s="1">
        <v>1.0</v>
      </c>
      <c r="B6010" s="1" t="s">
        <v>5982</v>
      </c>
      <c r="C6010" t="str">
        <f>IFERROR(__xludf.DUMMYFUNCTION("GOOGLETRANSLATE(B6010, ""zh"", ""en"")"),"Amazon also learned the Diandaqike. Super disappointed, scratches, there are some excess glue, and no elastic cushion clarks, while with the money to buy a pair of black there, poor quality control, and customer service just to scratch the compensation to"&amp;" 20%, completely this is not the same articles mention stubble, and 20% of compensation, but also just to give you a gift card. Or to send international express themselves to return the UK and then for the British side received, give you back the money an"&amp;"d goods advanced by international courier. The last time to buy shoes is particularly simple. Later in Central Asia or other overseas purchase, just look at the pre-tax price of the same section of the British in Asia are more than 400, he said that the B"&amp;"ritish-shipment but feel like the quality is not good defective products. Customer service mean is, you do not want to back ah, anyway, just do not recognize what a problem.")</f>
        <v>Amazon also learned the Diandaqike. Super disappointed, scratches, there are some excess glue, and no elastic cushion clarks, while with the money to buy a pair of black there, poor quality control, and customer service just to scratch the compensation to 20%, completely this is not the same articles mention stubble, and 20% of compensation, but also just to give you a gift card. Or to send international express themselves to return the UK and then for the British side received, give you back the money and goods advanced by international courier. The last time to buy shoes is particularly simple. Later in Central Asia or other overseas purchase, just look at the pre-tax price of the same section of the British in Asia are more than 400, he said that the British-shipment but feel like the quality is not good defective products. Customer service mean is, you do not want to back ah, anyway, just do not recognize what a problem.</v>
      </c>
    </row>
    <row r="6011">
      <c r="A6011" s="1">
        <v>1.0</v>
      </c>
      <c r="B6011" s="1" t="s">
        <v>5983</v>
      </c>
      <c r="C6011" t="str">
        <f>IFERROR(__xludf.DUMMYFUNCTION("GOOGLETRANSLATE(B6011, ""zh"", ""en"")"),"Serious quality problems, off-line! Quality problems, off-line! Although it is made in China, but the poor quality of it!")</f>
        <v>Serious quality problems, off-line! Quality problems, off-line! Although it is made in China, but the poor quality of it!</v>
      </c>
    </row>
    <row r="6012">
      <c r="A6012" s="1">
        <v>4.0</v>
      </c>
      <c r="B6012" s="1" t="s">
        <v>5984</v>
      </c>
      <c r="C6012" t="str">
        <f>IFERROR(__xludf.DUMMYFUNCTION("GOOGLETRANSLATE(B6012, ""zh"", ""en"")"),"Or buy a really big fat, overweight but not obese in the United States to buy the normal code on the line, do not like me, put on shoulder was not enough ...")</f>
        <v>Or buy a really big fat, overweight but not obese in the United States to buy the normal code on the line, do not like me, put on shoulder was not enough ...</v>
      </c>
    </row>
    <row r="6013">
      <c r="A6013" s="1">
        <v>4.0</v>
      </c>
      <c r="B6013" s="1" t="s">
        <v>5985</v>
      </c>
      <c r="C6013" t="str">
        <f>IFERROR(__xludf.DUMMYFUNCTION("GOOGLETRANSLATE(B6013, ""zh"", ""en"")"),"Recommended to buy Relaxed straight leg casual straight jeans, work is not fine, traces sloppy, more thread, legs too large, I like the loose points, you can, too fat are more suitable. Moderate size and do not need to loose points and Slim's proposed ele"&amp;"ction Regular fit type. Online shopping pants did not feel well before the United States to buy quality. . .")</f>
        <v>Recommended to buy Relaxed straight leg casual straight jeans, work is not fine, traces sloppy, more thread, legs too large, I like the loose points, you can, too fat are more suitable. Moderate size and do not need to loose points and Slim's proposed election Regular fit type. Online shopping pants did not feel well before the United States to buy quality. . .</v>
      </c>
    </row>
    <row r="6014">
      <c r="A6014" s="1">
        <v>4.0</v>
      </c>
      <c r="B6014" s="1" t="s">
        <v>5986</v>
      </c>
      <c r="C6014" t="str">
        <f>IFERROR(__xludf.DUMMYFUNCTION("GOOGLETRANSLATE(B6014, ""zh"", ""en"")"),"I do not know to Europe and China's clothing sizes, the best comparison. Good quality, comfortable to wear")</f>
        <v>I do not know to Europe and China's clothing sizes, the best comparison. Good quality, comfortable to wear</v>
      </c>
    </row>
    <row r="6015">
      <c r="A6015" s="1">
        <v>4.0</v>
      </c>
      <c r="B6015" s="1" t="s">
        <v>5987</v>
      </c>
      <c r="C6015" t="str">
        <f>IFERROR(__xludf.DUMMYFUNCTION("GOOGLETRANSLATE(B6015, ""zh"", ""en"")"),"Ha like a general quality clothes very appropriate for me")</f>
        <v>Ha like a general quality clothes very appropriate for me</v>
      </c>
    </row>
    <row r="6016">
      <c r="A6016" s="1">
        <v>4.0</v>
      </c>
      <c r="B6016" s="1" t="s">
        <v>5988</v>
      </c>
      <c r="C6016" t="str">
        <f>IFERROR(__xludf.DUMMYFUNCTION("GOOGLETRANSLATE(B6016, ""zh"", ""en"")"),"Line logistics also very slow, I heard that the US version to be bigger deliberately bought a small One good good")</f>
        <v>Line logistics also very slow, I heard that the US version to be bigger deliberately bought a small One good good</v>
      </c>
    </row>
    <row r="6017">
      <c r="A6017" s="1">
        <v>5.0</v>
      </c>
      <c r="B6017" s="1" t="s">
        <v>5989</v>
      </c>
      <c r="C6017" t="str">
        <f>IFERROR(__xludf.DUMMYFUNCTION("GOOGLETRANSLATE(B6017, ""zh"", ""en"")"),"Why have to be a title? But instead of writing long-winded! Buy this lest the streets with small red bags lion confused, effective insulation, straw lid can easily be breaking down, the back is also very easy, does not affect use.")</f>
        <v>Why have to be a title? But instead of writing long-winded! Buy this lest the streets with small red bags lion confused, effective insulation, straw lid can easily be breaking down, the back is also very easy, does not affect use.</v>
      </c>
    </row>
    <row r="6018">
      <c r="A6018" s="1">
        <v>5.0</v>
      </c>
      <c r="B6018" s="1" t="s">
        <v>5990</v>
      </c>
      <c r="C6018" t="str">
        <f>IFERROR(__xludf.DUMMYFUNCTION("GOOGLETRANSLATE(B6018, ""zh"", ""en"")"),"Size reference height 177 cm, weight 82 kg, a suitable positive number M")</f>
        <v>Size reference height 177 cm, weight 82 kg, a suitable positive number M</v>
      </c>
    </row>
    <row r="6019">
      <c r="A6019" s="1">
        <v>5.0</v>
      </c>
      <c r="B6019" s="1" t="s">
        <v>5991</v>
      </c>
      <c r="C6019" t="str">
        <f>IFERROR(__xludf.DUMMYFUNCTION("GOOGLETRANSLATE(B6019, ""zh"", ""en"")"),"So evidently could put two, packaging and AIU to buy is not the same")</f>
        <v>So evidently could put two, packaging and AIU to buy is not the same</v>
      </c>
    </row>
    <row r="6020">
      <c r="A6020" s="1">
        <v>5.0</v>
      </c>
      <c r="B6020" s="1" t="s">
        <v>5992</v>
      </c>
      <c r="C6020" t="str">
        <f>IFERROR(__xludf.DUMMYFUNCTION("GOOGLETRANSLATE(B6020, ""zh"", ""en"")"),"Very nice feel personally feel very comfortable, but people do not like to wear low waist. I have no way")</f>
        <v>Very nice feel personally feel very comfortable, but people do not like to wear low waist. I have no way</v>
      </c>
    </row>
    <row r="6021">
      <c r="A6021" s="1">
        <v>5.0</v>
      </c>
      <c r="B6021" s="1" t="s">
        <v>5993</v>
      </c>
      <c r="C6021" t="str">
        <f>IFERROR(__xludf.DUMMYFUNCTION("GOOGLETRANSLATE(B6021, ""zh"", ""en"")"),"Very good product for my mom to buy. Her leg joints is not very good. She ate more than a year that health care, and quite workable. At least less pain, walking is not so lame.")</f>
        <v>Very good product for my mom to buy. Her leg joints is not very good. She ate more than a year that health care, and quite workable. At least less pain, walking is not so lame.</v>
      </c>
    </row>
    <row r="6022">
      <c r="A6022" s="1">
        <v>5.0</v>
      </c>
      <c r="B6022" s="1" t="s">
        <v>5994</v>
      </c>
      <c r="C6022" t="str">
        <f>IFERROR(__xludf.DUMMYFUNCTION("GOOGLETRANSLATE(B6022, ""zh"", ""en"")"),"Things are very, very good stuff, very thick, very strong")</f>
        <v>Things are very, very good stuff, very thick, very strong</v>
      </c>
    </row>
    <row r="6023">
      <c r="A6023" s="1">
        <v>5.0</v>
      </c>
      <c r="B6023" s="1" t="s">
        <v>5995</v>
      </c>
      <c r="C6023" t="str">
        <f>IFERROR(__xludf.DUMMYFUNCTION("GOOGLETRANSLATE(B6023, ""zh"", ""en"")"),"Very thick, buy a small number of her husband very much, nice color, hair very warm, some lint normal, usual to buy a small number just")</f>
        <v>Very thick, buy a small number of her husband very much, nice color, hair very warm, some lint normal, usual to buy a small number just</v>
      </c>
    </row>
    <row r="6024">
      <c r="A6024" s="1">
        <v>5.0</v>
      </c>
      <c r="B6024" s="1" t="s">
        <v>5996</v>
      </c>
      <c r="C6024" t="str">
        <f>IFERROR(__xludf.DUMMYFUNCTION("GOOGLETRANSLATE(B6024, ""zh"", ""en"")"),"Praise? Delivery speed, heavy feel, good workmanship, praise.")</f>
        <v>Praise? Delivery speed, heavy feel, good workmanship, praise.</v>
      </c>
    </row>
    <row r="6025">
      <c r="A6025" s="1">
        <v>5.0</v>
      </c>
      <c r="B6025" s="1" t="s">
        <v>5997</v>
      </c>
      <c r="C6025" t="str">
        <f>IFERROR(__xludf.DUMMYFUNCTION("GOOGLETRANSLATE(B6025, ""zh"", ""en"")"),"The latest models, the standard number is comfortable to wear, is too often scrub, cheaper than the mall half")</f>
        <v>The latest models, the standard number is comfortable to wear, is too often scrub, cheaper than the mall half</v>
      </c>
    </row>
    <row r="6026">
      <c r="A6026" s="1">
        <v>5.0</v>
      </c>
      <c r="B6026" s="1" t="s">
        <v>5998</v>
      </c>
      <c r="C6026" t="str">
        <f>IFERROR(__xludf.DUMMYFUNCTION("GOOGLETRANSLATE(B6026, ""zh"", ""en"")"),"666 Nike to wear 43, read reviews buy 8.5M, still feeling a little wearing after a bit loose. Shoes are a lot of scratches, but harmless, tooling shoes nor delicate shoes.")</f>
        <v>666 Nike to wear 43, read reviews buy 8.5M, still feeling a little wearing after a bit loose. Shoes are a lot of scratches, but harmless, tooling shoes nor delicate shoes.</v>
      </c>
    </row>
    <row r="6027">
      <c r="A6027" s="1">
        <v>5.0</v>
      </c>
      <c r="B6027" s="1" t="s">
        <v>5999</v>
      </c>
      <c r="C6027" t="str">
        <f>IFERROR(__xludf.DUMMYFUNCTION("GOOGLETRANSLATE(B6027, ""zh"", ""en"")"),"Very nice hat hat exquisite workmanship. prime Member free shipping, SF go home, scouring the sea than their convenience too, for large bulky weight of the goods has a huge advantage.")</f>
        <v>Very nice hat hat exquisite workmanship. prime Member free shipping, SF go home, scouring the sea than their convenience too, for large bulky weight of the goods has a huge advantage.</v>
      </c>
    </row>
    <row r="6028">
      <c r="A6028" s="1">
        <v>5.0</v>
      </c>
      <c r="B6028" s="1" t="s">
        <v>6000</v>
      </c>
      <c r="C6028" t="str">
        <f>IFERROR(__xludf.DUMMYFUNCTION("GOOGLETRANSLATE(B6028, ""zh"", ""en"")"),"Something good baby has been purchased overseas in the Amazon, has been very at ease, very satisfied! Will continue, hoping as always, we remain authentic, to keep prices low!")</f>
        <v>Something good baby has been purchased overseas in the Amazon, has been very at ease, very satisfied! Will continue, hoping as always, we remain authentic, to keep prices low!</v>
      </c>
    </row>
    <row r="6029">
      <c r="A6029" s="1">
        <v>5.0</v>
      </c>
      <c r="B6029" s="1" t="s">
        <v>6001</v>
      </c>
      <c r="C6029" t="str">
        <f>IFERROR(__xludf.DUMMYFUNCTION("GOOGLETRANSLATE(B6029, ""zh"", ""en"")"),"High heel shoes very comfortable color very pretty, country code wear 37 yards, to buy US6.5, light wearing a little bit tight, wear stockings to wear proper .. appropriate heel height, walking for hours and not feel tired .")</f>
        <v>High heel shoes very comfortable color very pretty, country code wear 37 yards, to buy US6.5, light wearing a little bit tight, wear stockings to wear proper .. appropriate heel height, walking for hours and not feel tired .</v>
      </c>
    </row>
    <row r="6030">
      <c r="A6030" s="1">
        <v>5.0</v>
      </c>
      <c r="B6030" s="1" t="s">
        <v>6002</v>
      </c>
      <c r="C6030" t="str">
        <f>IFERROR(__xludf.DUMMYFUNCTION("GOOGLETRANSLATE(B6030, ""zh"", ""en"")"),"Pants 36 with a 40 pants belt 36 with a belt 40, a hole buckle in the innermost, it seems more appropriate next election 38. Work well, we did not find problems, produced in India.")</f>
        <v>Pants 36 with a 40 pants belt 36 with a belt 40, a hole buckle in the innermost, it seems more appropriate next election 38. Work well, we did not find problems, produced in India.</v>
      </c>
    </row>
    <row r="6031">
      <c r="A6031" s="1">
        <v>5.0</v>
      </c>
      <c r="B6031" s="1" t="s">
        <v>6003</v>
      </c>
      <c r="C6031" t="str">
        <f>IFERROR(__xludf.DUMMYFUNCTION("GOOGLETRANSLATE(B6031, ""zh"", ""en"")"),"Minato satisfaction single product, did not expect to see very good, very good use")</f>
        <v>Minato satisfaction single product, did not expect to see very good, very good use</v>
      </c>
    </row>
    <row r="6032">
      <c r="A6032" s="1">
        <v>5.0</v>
      </c>
      <c r="B6032" s="1" t="s">
        <v>6004</v>
      </c>
      <c r="C6032" t="str">
        <f>IFERROR(__xludf.DUMMYFUNCTION("GOOGLETRANSLATE(B6032, ""zh"", ""en"")"),"Individually wrapped praised individually wrapped, can prevent cross-infection, anti-haze should not, because they do not fit")</f>
        <v>Individually wrapped praised individually wrapped, can prevent cross-infection, anti-haze should not, because they do not fit</v>
      </c>
    </row>
    <row r="6033">
      <c r="A6033" s="1">
        <v>5.0</v>
      </c>
      <c r="B6033" s="1" t="s">
        <v>6005</v>
      </c>
      <c r="C6033" t="str">
        <f>IFERROR(__xludf.DUMMYFUNCTION("GOOGLETRANSLATE(B6033, ""zh"", ""en"")"),"Very affordable baby after a shopping hand than I expected small fine, usb3.0 very fast. When buying activity is very appropriate!")</f>
        <v>Very affordable baby after a shopping hand than I expected small fine, usb3.0 very fast. When buying activity is very appropriate!</v>
      </c>
    </row>
    <row r="6034">
      <c r="A6034" s="1">
        <v>5.0</v>
      </c>
      <c r="B6034" s="1" t="s">
        <v>6006</v>
      </c>
      <c r="C6034" t="str">
        <f>IFERROR(__xludf.DUMMYFUNCTION("GOOGLETRANSLATE(B6034, ""zh"", ""en"")"),"Purchase satisfaction satisfied sea")</f>
        <v>Purchase satisfaction satisfied sea</v>
      </c>
    </row>
    <row r="6035">
      <c r="A6035" s="1">
        <v>5.0</v>
      </c>
      <c r="B6035" s="1" t="s">
        <v>6007</v>
      </c>
      <c r="C6035" t="str">
        <f>IFERROR(__xludf.DUMMYFUNCTION("GOOGLETRANSLATE(B6035, ""zh"", ""en"")"),"Digital good, pretty easy to use. The key is a lot cheaper than a cat East")</f>
        <v>Digital good, pretty easy to use. The key is a lot cheaper than a cat East</v>
      </c>
    </row>
    <row r="6036">
      <c r="A6036" s="1">
        <v>5.0</v>
      </c>
      <c r="B6036" s="1" t="s">
        <v>6008</v>
      </c>
      <c r="C6036" t="str">
        <f>IFERROR(__xludf.DUMMYFUNCTION("GOOGLETRANSLATE(B6036, ""zh"", ""en"")"),"Size just right, affordable! Very appropriate, wear a few months, to take a picture for everyone to see.")</f>
        <v>Size just right, affordable! Very appropriate, wear a few months, to take a picture for everyone to see.</v>
      </c>
    </row>
    <row r="6037">
      <c r="A6037" s="1">
        <v>5.0</v>
      </c>
      <c r="B6037" s="1" t="s">
        <v>6009</v>
      </c>
      <c r="C6037" t="str">
        <f>IFERROR(__xludf.DUMMYFUNCTION("GOOGLETRANSLATE(B6037, ""zh"", ""en"")"),"Thick soles are not also buy big is optimistic about the level of sad")</f>
        <v>Thick soles are not also buy big is optimistic about the level of sad</v>
      </c>
    </row>
    <row r="6038">
      <c r="A6038" s="1">
        <v>2.0</v>
      </c>
      <c r="B6038" s="1" t="s">
        <v>6010</v>
      </c>
      <c r="C6038" t="str">
        <f>IFERROR(__xludf.DUMMYFUNCTION("GOOGLETRANSLATE(B6038, ""zh"", ""en"")"),"Too large a lot of not a little too large, Biliweisi lee of a whole bigger number two")</f>
        <v>Too large a lot of not a little too large, Biliweisi lee of a whole bigger number two</v>
      </c>
    </row>
    <row r="6039">
      <c r="A6039" s="1">
        <v>3.0</v>
      </c>
      <c r="B6039" s="1" t="s">
        <v>6011</v>
      </c>
      <c r="C6039" t="str">
        <f>IFERROR(__xludf.DUMMYFUNCTION("GOOGLETRANSLATE(B6039, ""zh"", ""en"")"),"Generally one can feel too loose, and length okay")</f>
        <v>Generally one can feel too loose, and length okay</v>
      </c>
    </row>
    <row r="6040">
      <c r="A6040" s="1">
        <v>3.0</v>
      </c>
      <c r="B6040" s="1" t="s">
        <v>6012</v>
      </c>
      <c r="C6040" t="str">
        <f>IFERROR(__xludf.DUMMYFUNCTION("GOOGLETRANSLATE(B6040, ""zh"", ""en"")"),"Too red is too red, thicker than the watermelon red")</f>
        <v>Too red is too red, thicker than the watermelon red</v>
      </c>
    </row>
    <row r="6041">
      <c r="A6041" s="1">
        <v>3.0</v>
      </c>
      <c r="B6041" s="1" t="s">
        <v>6013</v>
      </c>
      <c r="C6041" t="str">
        <f>IFERROR(__xludf.DUMMYFUNCTION("GOOGLETRANSLATE(B6041, ""zh"", ""en"")"),"Hair became a widened version! ! ! Too large! Buy 9uk, hair 9uk w widened version, wide sole thing like a big fish, reclaim, and trouble! Too large!")</f>
        <v>Hair became a widened version! ! ! Too large! Buy 9uk, hair 9uk w widened version, wide sole thing like a big fish, reclaim, and trouble! Too large!</v>
      </c>
    </row>
    <row r="6042">
      <c r="A6042" s="1">
        <v>1.0</v>
      </c>
      <c r="B6042" s="1" t="s">
        <v>6014</v>
      </c>
      <c r="C6042" t="str">
        <f>IFERROR(__xludf.DUMMYFUNCTION("GOOGLETRANSLATE(B6042, ""zh"", ""en"")"),"Poor quality poor quality, with very different than the original, the bristles will fall from time to time, did not run, do not want to use the")</f>
        <v>Poor quality poor quality, with very different than the original, the bristles will fall from time to time, did not run, do not want to use the</v>
      </c>
    </row>
    <row r="6043">
      <c r="A6043" s="1">
        <v>1.0</v>
      </c>
      <c r="B6043" s="1" t="s">
        <v>6015</v>
      </c>
      <c r="C6043" t="str">
        <f>IFERROR(__xludf.DUMMYFUNCTION("GOOGLETRANSLATE(B6043, ""zh"", ""en"")"),"The brown color simply do not buy too much! ! ! Do not buy brown! ! ! Do not buy brown! ! ! Because the arrival is green! ! !")</f>
        <v>The brown color simply do not buy too much! ! ! Do not buy brown! ! ! Do not buy brown! ! ! Because the arrival is green! ! !</v>
      </c>
    </row>
    <row r="6044">
      <c r="A6044" s="1">
        <v>4.0</v>
      </c>
      <c r="B6044" s="1" t="s">
        <v>6016</v>
      </c>
      <c r="C6044" t="str">
        <f>IFERROR(__xludf.DUMMYFUNCTION("GOOGLETRANSLATE(B6044, ""zh"", ""en"")"),"Tip correct the prompts to select M, just fit.")</f>
        <v>Tip correct the prompts to select M, just fit.</v>
      </c>
    </row>
    <row r="6045">
      <c r="A6045" s="1">
        <v>4.0</v>
      </c>
      <c r="B6045" s="1" t="s">
        <v>6017</v>
      </c>
      <c r="C6045" t="str">
        <f>IFERROR(__xludf.DUMMYFUNCTION("GOOGLETRANSLATE(B6045, ""zh"", ""en"")"),"Pattern is very cute, toy play when the children do not eat, huh, huh, that is, when the toy")</f>
        <v>Pattern is very cute, toy play when the children do not eat, huh, huh, that is, when the toy</v>
      </c>
    </row>
    <row r="6046">
      <c r="A6046" s="1">
        <v>4.0</v>
      </c>
      <c r="B6046" s="1" t="s">
        <v>6018</v>
      </c>
      <c r="C6046" t="str">
        <f>IFERROR(__xludf.DUMMYFUNCTION("GOOGLETRANSLATE(B6046, ""zh"", ""en"")"),"Very nice hat. Girls bring up valiant.")</f>
        <v>Very nice hat. Girls bring up valiant.</v>
      </c>
    </row>
    <row r="6047">
      <c r="A6047" s="1">
        <v>4.0</v>
      </c>
      <c r="B6047" s="1" t="s">
        <v>6019</v>
      </c>
      <c r="C6047" t="str">
        <f>IFERROR(__xludf.DUMMYFUNCTION("GOOGLETRANSLATE(B6047, ""zh"", ""en"")"),"The bomb ripped open ha ha ha")</f>
        <v>The bomb ripped open ha ha ha</v>
      </c>
    </row>
    <row r="6048">
      <c r="A6048" s="1">
        <v>5.0</v>
      </c>
      <c r="B6048" s="1" t="s">
        <v>1766</v>
      </c>
      <c r="C6048" t="str">
        <f>IFERROR(__xludf.DUMMYFUNCTION("GOOGLETRANSLATE(B6048, ""zh"", ""en"")"),"Good price very comfortable wife liked to wear very comfortable like wearing the same as what")</f>
        <v>Good price very comfortable wife liked to wear very comfortable like wearing the same as what</v>
      </c>
    </row>
    <row r="6049">
      <c r="A6049" s="1">
        <v>5.0</v>
      </c>
      <c r="B6049" s="1" t="s">
        <v>6020</v>
      </c>
      <c r="C6049" t="str">
        <f>IFERROR(__xludf.DUMMYFUNCTION("GOOGLETRANSLATE(B6049, ""zh"", ""en"")"),"Feel good, no smell. Feel good, I really have the feeling my mother. Buy much cheaper than domestic.")</f>
        <v>Feel good, no smell. Feel good, I really have the feeling my mother. Buy much cheaper than domestic.</v>
      </c>
    </row>
    <row r="6050">
      <c r="A6050" s="1">
        <v>5.0</v>
      </c>
      <c r="B6050" s="1" t="s">
        <v>6021</v>
      </c>
      <c r="C6050" t="str">
        <f>IFERROR(__xludf.DUMMYFUNCTION("GOOGLETRANSLATE(B6050, ""zh"", ""en"")"),"Long sleeves 170 60kg, xs upper body significantly large, very loose, with the same picture, not self-cultivation. Second, a little bit long sleeves, bodice and shorter. Lint and the like did not make, it should be relatively warm.")</f>
        <v>Long sleeves 170 60kg, xs upper body significantly large, very loose, with the same picture, not self-cultivation. Second, a little bit long sleeves, bodice and shorter. Lint and the like did not make, it should be relatively warm.</v>
      </c>
    </row>
    <row r="6051">
      <c r="A6051" s="1">
        <v>5.0</v>
      </c>
      <c r="B6051" s="1" t="s">
        <v>6022</v>
      </c>
      <c r="C6051" t="str">
        <f>IFERROR(__xludf.DUMMYFUNCTION("GOOGLETRANSLATE(B6051, ""zh"", ""en"")"),"Style just the right size, style is just the right size satisfaction, satisfaction")</f>
        <v>Style just the right size, style is just the right size satisfaction, satisfaction</v>
      </c>
    </row>
    <row r="6052">
      <c r="A6052" s="1">
        <v>5.0</v>
      </c>
      <c r="B6052" s="1" t="s">
        <v>6023</v>
      </c>
      <c r="C6052" t="str">
        <f>IFERROR(__xludf.DUMMYFUNCTION("GOOGLETRANSLATE(B6052, ""zh"", ""en"")"),"Cost-effective 618 days scouring spent a total of about 340, cheaper than the state line dozens of blocks. Waited for about ten days received the goods, packaging is very simple, but nothing missing. Listen for a while, feel pretty good quality, tri-band "&amp;"more balanced, some of the low-frequency, intermediate frequency is very full, Naiting. In short, still very good value")</f>
        <v>Cost-effective 618 days scouring spent a total of about 340, cheaper than the state line dozens of blocks. Waited for about ten days received the goods, packaging is very simple, but nothing missing. Listen for a while, feel pretty good quality, tri-band more balanced, some of the low-frequency, intermediate frequency is very full, Naiting. In short, still very good value</v>
      </c>
    </row>
    <row r="6053">
      <c r="A6053" s="1">
        <v>5.0</v>
      </c>
      <c r="B6053" s="1" t="s">
        <v>6024</v>
      </c>
      <c r="C6053" t="str">
        <f>IFERROR(__xludf.DUMMYFUNCTION("GOOGLETRANSLATE(B6053, ""zh"", ""en"")"),"Clothes did not have to say, good! But too great! Clothes did not have to say, good! But too great!")</f>
        <v>Clothes did not have to say, good! But too great! Clothes did not have to say, good! But too great!</v>
      </c>
    </row>
    <row r="6054">
      <c r="A6054" s="1">
        <v>5.0</v>
      </c>
      <c r="B6054" s="1" t="s">
        <v>6025</v>
      </c>
      <c r="C6054" t="str">
        <f>IFERROR(__xludf.DUMMYFUNCTION("GOOGLETRANSLATE(B6054, ""zh"", ""en"")"),"Fit fabric good, very appropriate sort of a small")</f>
        <v>Fit fabric good, very appropriate sort of a small</v>
      </c>
    </row>
    <row r="6055">
      <c r="A6055" s="1">
        <v>5.0</v>
      </c>
      <c r="B6055" s="1" t="s">
        <v>6026</v>
      </c>
      <c r="C6055" t="str">
        <f>IFERROR(__xludf.DUMMYFUNCTION("GOOGLETRANSLATE(B6055, ""zh"", ""en"")"),"Ok my side outside the box intact a seal on the inside of the box but did not seal the product is good, very satisfied, but also to start a beauty-just around the corner, ha ha")</f>
        <v>Ok my side outside the box intact a seal on the inside of the box but did not seal the product is good, very satisfied, but also to start a beauty-just around the corner, ha ha</v>
      </c>
    </row>
    <row r="6056">
      <c r="A6056" s="1">
        <v>5.0</v>
      </c>
      <c r="B6056" s="1" t="s">
        <v>6027</v>
      </c>
      <c r="C6056" t="str">
        <f>IFERROR(__xludf.DUMMYFUNCTION("GOOGLETRANSLATE(B6056, ""zh"", ""en"")"),"Lexar card reader and a very good test, although the transmission rate did not reach publicity 95M / S, but soon, this reader plus card, is really worth, good price.")</f>
        <v>Lexar card reader and a very good test, although the transmission rate did not reach publicity 95M / S, but soon, this reader plus card, is really worth, good price.</v>
      </c>
    </row>
    <row r="6057">
      <c r="A6057" s="1">
        <v>5.0</v>
      </c>
      <c r="B6057" s="1" t="s">
        <v>6028</v>
      </c>
      <c r="C6057" t="str">
        <f>IFERROR(__xludf.DUMMYFUNCTION("GOOGLETRANSLATE(B6057, ""zh"", ""en"")"),"Very satisfied with the texture of the rest of the family pot lost, for this set of very satisfied")</f>
        <v>Very satisfied with the texture of the rest of the family pot lost, for this set of very satisfied</v>
      </c>
    </row>
    <row r="6058">
      <c r="A6058" s="1">
        <v>5.0</v>
      </c>
      <c r="B6058" s="1" t="s">
        <v>6029</v>
      </c>
      <c r="C6058" t="str">
        <f>IFERROR(__xludf.DUMMYFUNCTION("GOOGLETRANSLATE(B6058, ""zh"", ""en"")"),"Things work very well, very beautiful, and very easy to use, the sound is not noisy things work very well, very beautiful, and very easy to use, the sound is not noisy, multiple gears and any adjustment. Much more convenient than hand hit!")</f>
        <v>Things work very well, very beautiful, and very easy to use, the sound is not noisy things work very well, very beautiful, and very easy to use, the sound is not noisy, multiple gears and any adjustment. Much more convenient than hand hit!</v>
      </c>
    </row>
    <row r="6059">
      <c r="A6059" s="1">
        <v>5.0</v>
      </c>
      <c r="B6059" s="1" t="s">
        <v>6030</v>
      </c>
      <c r="C6059" t="str">
        <f>IFERROR(__xludf.DUMMYFUNCTION("GOOGLETRANSLATE(B6059, ""zh"", ""en"")"),"Pretty nice comfortable basketball shoes, especially a big boy basketball shoes")</f>
        <v>Pretty nice comfortable basketball shoes, especially a big boy basketball shoes</v>
      </c>
    </row>
    <row r="6060">
      <c r="A6060" s="1">
        <v>5.0</v>
      </c>
      <c r="B6060" s="1" t="s">
        <v>6031</v>
      </c>
      <c r="C6060" t="str">
        <f>IFERROR(__xludf.DUMMYFUNCTION("GOOGLETRANSLATE(B6060, ""zh"", ""en"")"),"High speed color values ​​and conflict router speed, high color value, light, and power at the same time not get affected. Remind everyone that my situation appeared WIFI MAC can not connect, contact customer service after the completion of the investigat"&amp;"ion and found that USB router as the wave frequency, resulting in a disturbance, the router band from 2.5 do not insert into the top 5 or the USB connection on the router Can be solved.")</f>
        <v>High speed color values ​​and conflict router speed, high color value, light, and power at the same time not get affected. Remind everyone that my situation appeared WIFI MAC can not connect, contact customer service after the completion of the investigation and found that USB router as the wave frequency, resulting in a disturbance, the router band from 2.5 do not insert into the top 5 or the USB connection on the router Can be solved.</v>
      </c>
    </row>
    <row r="6061">
      <c r="A6061" s="1">
        <v>5.0</v>
      </c>
      <c r="B6061" s="1" t="s">
        <v>6032</v>
      </c>
      <c r="C6061" t="str">
        <f>IFERROR(__xludf.DUMMYFUNCTION("GOOGLETRANSLATE(B6061, ""zh"", ""en"")"),"The quality of color is very beautiful, good quality, but is also produced in China")</f>
        <v>The quality of color is very beautiful, good quality, but is also produced in China</v>
      </c>
    </row>
    <row r="6062">
      <c r="A6062" s="1">
        <v>5.0</v>
      </c>
      <c r="B6062" s="1" t="s">
        <v>2874</v>
      </c>
      <c r="C6062" t="str">
        <f>IFERROR(__xludf.DUMMYFUNCTION("GOOGLETRANSLATE(B6062, ""zh"", ""en"")"),"This very thin good elasticity, flexibility, size must be considered a good buy because of the size of foreign generally too large two yards.")</f>
        <v>This very thin good elasticity, flexibility, size must be considered a good buy because of the size of foreign generally too large two yards.</v>
      </c>
    </row>
    <row r="6063">
      <c r="A6063" s="1">
        <v>5.0</v>
      </c>
      <c r="B6063" s="1" t="s">
        <v>6033</v>
      </c>
      <c r="C6063" t="str">
        <f>IFERROR(__xludf.DUMMYFUNCTION("GOOGLETRANSLATE(B6063, ""zh"", ""en"")"),"Shelf life to 2020, very fresh. Shelf life to 2020, very fresh.")</f>
        <v>Shelf life to 2020, very fresh. Shelf life to 2020, very fresh.</v>
      </c>
    </row>
    <row r="6064">
      <c r="A6064" s="1">
        <v>5.0</v>
      </c>
      <c r="B6064" s="1" t="s">
        <v>6034</v>
      </c>
      <c r="C6064" t="str">
        <f>IFERROR(__xludf.DUMMYFUNCTION("GOOGLETRANSLATE(B6064, ""zh"", ""en"")"),"Yes, very good taste like this chewable tablets. Although we did not see significant results, but the baby love")</f>
        <v>Yes, very good taste like this chewable tablets. Although we did not see significant results, but the baby love</v>
      </c>
    </row>
    <row r="6065">
      <c r="A6065" s="1">
        <v>5.0</v>
      </c>
      <c r="B6065" s="1" t="s">
        <v>6035</v>
      </c>
      <c r="C6065" t="str">
        <f>IFERROR(__xludf.DUMMYFUNCTION("GOOGLETRANSLATE(B6065, ""zh"", ""en"")"),"Like good shoes, usually wear shoes 42, thought to be bigger abroad so it bought 41, the results a little small. 42 or appropriate. Shoes little expensive, very satisfied. Of course, a little back to buy again")</f>
        <v>Like good shoes, usually wear shoes 42, thought to be bigger abroad so it bought 41, the results a little small. 42 or appropriate. Shoes little expensive, very satisfied. Of course, a little back to buy again</v>
      </c>
    </row>
    <row r="6066">
      <c r="A6066" s="1">
        <v>5.0</v>
      </c>
      <c r="B6066" s="1" t="s">
        <v>6036</v>
      </c>
      <c r="C6066" t="str">
        <f>IFERROR(__xludf.DUMMYFUNCTION("GOOGLETRANSLATE(B6066, ""zh"", ""en"")"),"The effect is good buy for parents to use, it is said to very good effect")</f>
        <v>The effect is good buy for parents to use, it is said to very good effect</v>
      </c>
    </row>
    <row r="6067">
      <c r="A6067" s="1">
        <v>5.0</v>
      </c>
      <c r="B6067" s="1" t="s">
        <v>6037</v>
      </c>
      <c r="C6067" t="str">
        <f>IFERROR(__xludf.DUMMYFUNCTION("GOOGLETRANSLATE(B6067, ""zh"", ""en"")"),"The right size, exquisite workmanship, good fine, appropriate than this size")</f>
        <v>The right size, exquisite workmanship, good fine, appropriate than this size</v>
      </c>
    </row>
    <row r="6068">
      <c r="A6068" s="1">
        <v>5.0</v>
      </c>
      <c r="B6068" s="1" t="s">
        <v>6038</v>
      </c>
      <c r="C6068" t="str">
        <f>IFERROR(__xludf.DUMMYFUNCTION("GOOGLETRANSLATE(B6068, ""zh"", ""en"")"),"Great stainless steel WMF very good, good workmanship, a family of four kitchen very practical.")</f>
        <v>Great stainless steel WMF very good, good workmanship, a family of four kitchen very practical.</v>
      </c>
    </row>
    <row r="6069">
      <c r="A6069" s="1">
        <v>5.0</v>
      </c>
      <c r="B6069" s="1" t="s">
        <v>6039</v>
      </c>
      <c r="C6069" t="str">
        <f>IFERROR(__xludf.DUMMYFUNCTION("GOOGLETRANSLATE(B6069, ""zh"", ""en"")"),"Good food supplement cut a lot of people are using, more practical.")</f>
        <v>Good food supplement cut a lot of people are using, more practical.</v>
      </c>
    </row>
    <row r="6070">
      <c r="A6070" s="1">
        <v>2.0</v>
      </c>
      <c r="B6070" s="1" t="s">
        <v>6040</v>
      </c>
      <c r="C6070" t="str">
        <f>IFERROR(__xludf.DUMMYFUNCTION("GOOGLETRANSLATE(B6070, ""zh"", ""en"")"),"Open shoes for too long have not seen such open plastic shoes, buy the end of December 18, wear out is the spring of 19 years, because of relatively heavy, did not wear a few times, just found out, open plastic, rubber feet are open, this quality is bad.")</f>
        <v>Open shoes for too long have not seen such open plastic shoes, buy the end of December 18, wear out is the spring of 19 years, because of relatively heavy, did not wear a few times, just found out, open plastic, rubber feet are open, this quality is bad.</v>
      </c>
    </row>
    <row r="6071">
      <c r="A6071" s="1">
        <v>3.0</v>
      </c>
      <c r="B6071" s="1" t="s">
        <v>6041</v>
      </c>
      <c r="C6071" t="str">
        <f>IFERROR(__xludf.DUMMYFUNCTION("GOOGLETRANSLATE(B6071, ""zh"", ""en"")"),"The new than the old easy to flatulence new vitality points, but the air-guiding system really as good as the old models, but now the old models no goods to buy")</f>
        <v>The new than the old easy to flatulence new vitality points, but the air-guiding system really as good as the old models, but now the old models no goods to buy</v>
      </c>
    </row>
    <row r="6072">
      <c r="A6072" s="1">
        <v>3.0</v>
      </c>
      <c r="B6072" s="1" t="s">
        <v>6042</v>
      </c>
      <c r="C6072" t="str">
        <f>IFERROR(__xludf.DUMMYFUNCTION("GOOGLETRANSLATE(B6072, ""zh"", ""en"")"),"PUMA suede Well my wife wife really big shoe itself but still part of the standard codes usually wear 37 to buy did not pay attention directly remorse United States Code 8 38.5 yards a need I can turn oh")</f>
        <v>PUMA suede Well my wife wife really big shoe itself but still part of the standard codes usually wear 37 to buy did not pay attention directly remorse United States Code 8 38.5 yards a need I can turn oh</v>
      </c>
    </row>
    <row r="6073">
      <c r="A6073" s="1">
        <v>1.0</v>
      </c>
      <c r="B6073" s="1" t="s">
        <v>6043</v>
      </c>
      <c r="C6073" t="str">
        <f>IFERROR(__xludf.DUMMYFUNCTION("GOOGLETRANSLATE(B6073, ""zh"", ""en"")"),"Send the wrong goods, wearing only knew! Only throw")</f>
        <v>Send the wrong goods, wearing only knew! Only throw</v>
      </c>
    </row>
    <row r="6074">
      <c r="A6074" s="1">
        <v>1.0</v>
      </c>
      <c r="B6074" s="1" t="s">
        <v>6044</v>
      </c>
      <c r="C6074" t="str">
        <f>IFERROR(__xludf.DUMMYFUNCTION("GOOGLETRANSLATE(B6074, ""zh"", ""en"")"),"After this I took the watch, wrist at the skin adverse reactions occurred with the watch after this, my wrist appeared swollen symptoms")</f>
        <v>After this I took the watch, wrist at the skin adverse reactions occurred with the watch after this, my wrist appeared swollen symptoms</v>
      </c>
    </row>
    <row r="6075">
      <c r="A6075" s="1">
        <v>1.0</v>
      </c>
      <c r="B6075" s="1" t="s">
        <v>6045</v>
      </c>
      <c r="C6075" t="str">
        <f>IFERROR(__xludf.DUMMYFUNCTION("GOOGLETRANSLATE(B6075, ""zh"", ""en"")"),"Random packing, very professional, in total disregard of the interests of customers of Amazon very disappointed! Actually packed with women's bra is packaged in a file! If it is possible to fold the material no problem, but I'm not that lucky, this underw"&amp;"ear is clearly out of the fold marks, bark like the kind of marks to be broken! Amazon wish good luck! Even if such things are done, then lost that China's overseas shopping business is not surprising! Oh ~")</f>
        <v>Random packing, very professional, in total disregard of the interests of customers of Amazon very disappointed! Actually packed with women's bra is packaged in a file! If it is possible to fold the material no problem, but I'm not that lucky, this underwear is clearly out of the fold marks, bark like the kind of marks to be broken! Amazon wish good luck! Even if such things are done, then lost that China's overseas shopping business is not surprising! Oh ~</v>
      </c>
    </row>
    <row r="6076">
      <c r="A6076" s="1">
        <v>4.0</v>
      </c>
      <c r="B6076" s="1" t="s">
        <v>6046</v>
      </c>
      <c r="C6076" t="str">
        <f>IFERROR(__xludf.DUMMYFUNCTION("GOOGLETRANSLATE(B6076, ""zh"", ""en"")"),"Reference shoes size shoes very pretty, should refer to the size of shoes, buy big and cumbersome returned 😓 make do wear it")</f>
        <v>Reference shoes size shoes very pretty, should refer to the size of shoes, buy big and cumbersome returned 😓 make do wear it</v>
      </c>
    </row>
    <row r="6077">
      <c r="A6077" s="1">
        <v>4.0</v>
      </c>
      <c r="B6077" s="1" t="s">
        <v>6047</v>
      </c>
      <c r="C6077" t="str">
        <f>IFERROR(__xludf.DUMMYFUNCTION("GOOGLETRANSLATE(B6077, ""zh"", ""en"")"),"Put on a very good fit, looks very pretty!")</f>
        <v>Put on a very good fit, looks very pretty!</v>
      </c>
    </row>
    <row r="6078">
      <c r="A6078" s="1">
        <v>4.0</v>
      </c>
      <c r="B6078" s="1" t="s">
        <v>6048</v>
      </c>
      <c r="C6078" t="str">
        <f>IFERROR(__xludf.DUMMYFUNCTION("GOOGLETRANSLATE(B6078, ""zh"", ""en"")"),"Indonesia's production is also good, work can only say that in general, in several places, like leather cutting too rough like Gouken. Very comfortable to wear, size accurately. Overall recommended.")</f>
        <v>Indonesia's production is also good, work can only say that in general, in several places, like leather cutting too rough like Gouken. Very comfortable to wear, size accurately. Overall recommended.</v>
      </c>
    </row>
    <row r="6079">
      <c r="A6079" s="1">
        <v>4.0</v>
      </c>
      <c r="B6079" s="1" t="s">
        <v>6049</v>
      </c>
      <c r="C6079" t="str">
        <f>IFERROR(__xludf.DUMMYFUNCTION("GOOGLETRANSLATE(B6079, ""zh"", ""en"")"),"Although the model is good enough for three, still feel less than normal, the overall good 👍")</f>
        <v>Although the model is good enough for three, still feel less than normal, the overall good 👍</v>
      </c>
    </row>
    <row r="6080">
      <c r="A6080" s="1">
        <v>4.0</v>
      </c>
      <c r="B6080" s="1" t="s">
        <v>6050</v>
      </c>
      <c r="C6080" t="str">
        <f>IFERROR(__xludf.DUMMYFUNCTION("GOOGLETRANSLATE(B6080, ""zh"", ""en"")"),"Satisfaction table okay, that explanation can not read, full of Japanese")</f>
        <v>Satisfaction table okay, that explanation can not read, full of Japanese</v>
      </c>
    </row>
    <row r="6081">
      <c r="A6081" s="1">
        <v>5.0</v>
      </c>
      <c r="B6081" s="1" t="s">
        <v>6051</v>
      </c>
      <c r="C6081" t="str">
        <f>IFERROR(__xludf.DUMMYFUNCTION("GOOGLETRANSLATE(B6081, ""zh"", ""en"")"),"Suitable very appropriate, domestic wear 40")</f>
        <v>Suitable very appropriate, domestic wear 40</v>
      </c>
    </row>
    <row r="6082">
      <c r="A6082" s="1">
        <v>5.0</v>
      </c>
      <c r="B6082" s="1" t="s">
        <v>6052</v>
      </c>
      <c r="C6082" t="str">
        <f>IFERROR(__xludf.DUMMYFUNCTION("GOOGLETRANSLATE(B6082, ""zh"", ""en"")"),"Just right. The right size. Various colors. Baby likes.")</f>
        <v>Just right. The right size. Various colors. Baby likes.</v>
      </c>
    </row>
    <row r="6083">
      <c r="A6083" s="1">
        <v>5.0</v>
      </c>
      <c r="B6083" s="1" t="s">
        <v>6053</v>
      </c>
      <c r="C6083" t="str">
        <f>IFERROR(__xludf.DUMMYFUNCTION("GOOGLETRANSLATE(B6083, ""zh"", ""en"")"),"Should be genuine, it is worth buying a little bit flawed cup does not affect the use of")</f>
        <v>Should be genuine, it is worth buying a little bit flawed cup does not affect the use of</v>
      </c>
    </row>
    <row r="6084">
      <c r="A6084" s="1">
        <v>5.0</v>
      </c>
      <c r="B6084" s="1" t="s">
        <v>6054</v>
      </c>
      <c r="C6084" t="str">
        <f>IFERROR(__xludf.DUMMYFUNCTION("GOOGLETRANSLATE(B6084, ""zh"", ""en"")"),"Western Digital WD My Book 8TB very good, very satisfied.")</f>
        <v>Western Digital WD My Book 8TB very good, very satisfied.</v>
      </c>
    </row>
    <row r="6085">
      <c r="A6085" s="1">
        <v>5.0</v>
      </c>
      <c r="B6085" s="1" t="s">
        <v>6055</v>
      </c>
      <c r="C6085" t="str">
        <f>IFERROR(__xludf.DUMMYFUNCTION("GOOGLETRANSLATE(B6085, ""zh"", ""en"")"),"Good clothes this good quality clothes, cotton")</f>
        <v>Good clothes this good quality clothes, cotton</v>
      </c>
    </row>
    <row r="6086">
      <c r="A6086" s="1">
        <v>5.0</v>
      </c>
      <c r="B6086" s="1" t="s">
        <v>6056</v>
      </c>
      <c r="C6086" t="str">
        <f>IFERROR(__xludf.DUMMYFUNCTION("GOOGLETRANSLATE(B6086, ""zh"", ""en"")"),"Good good, good materials work. One day about five seconds faster.")</f>
        <v>Good good, good materials work. One day about five seconds faster.</v>
      </c>
    </row>
    <row r="6087">
      <c r="A6087" s="1">
        <v>5.0</v>
      </c>
      <c r="B6087" s="1" t="s">
        <v>6057</v>
      </c>
      <c r="C6087" t="str">
        <f>IFERROR(__xludf.DUMMYFUNCTION("GOOGLETRANSLATE(B6087, ""zh"", ""en"")"),"Value perennial wear this brand, equivalent to 40 yuan a cotton, very satisfied!")</f>
        <v>Value perennial wear this brand, equivalent to 40 yuan a cotton, very satisfied!</v>
      </c>
    </row>
    <row r="6088">
      <c r="A6088" s="1">
        <v>5.0</v>
      </c>
      <c r="B6088" s="1" t="s">
        <v>6058</v>
      </c>
      <c r="C6088" t="str">
        <f>IFERROR(__xludf.DUMMYFUNCTION("GOOGLETRANSLATE(B6088, ""zh"", ""en"")"),"Loose and comfortable classic buy a lot of pieces lee, good quality, not like with elastic.")</f>
        <v>Loose and comfortable classic buy a lot of pieces lee, good quality, not like with elastic.</v>
      </c>
    </row>
    <row r="6089">
      <c r="A6089" s="1">
        <v>5.0</v>
      </c>
      <c r="B6089" s="1" t="s">
        <v>6059</v>
      </c>
      <c r="C6089" t="str">
        <f>IFERROR(__xludf.DUMMYFUNCTION("GOOGLETRANSLATE(B6089, ""zh"", ""en"")"),"Very good, very accurate very good time, and time is very accurate, the difference of 15 seconds per day.")</f>
        <v>Very good, very accurate very good time, and time is very accurate, the difference of 15 seconds per day.</v>
      </c>
    </row>
    <row r="6090">
      <c r="A6090" s="1">
        <v>5.0</v>
      </c>
      <c r="B6090" s="1" t="s">
        <v>6060</v>
      </c>
      <c r="C6090" t="str">
        <f>IFERROR(__xludf.DUMMYFUNCTION("GOOGLETRANSLATE(B6090, ""zh"", ""en"")"),"Very well suited for very satisfied very satisfied")</f>
        <v>Very well suited for very satisfied very satisfied</v>
      </c>
    </row>
    <row r="6091">
      <c r="A6091" s="1">
        <v>5.0</v>
      </c>
      <c r="B6091" s="1" t="s">
        <v>6061</v>
      </c>
      <c r="C6091" t="str">
        <f>IFERROR(__xludf.DUMMYFUNCTION("GOOGLETRANSLATE(B6091, ""zh"", ""en"")"),"Stuff good stuff good, cost-effective, low noise, the computer can copy data to speed up more than 50 trillion.")</f>
        <v>Stuff good stuff good, cost-effective, low noise, the computer can copy data to speed up more than 50 trillion.</v>
      </c>
    </row>
    <row r="6092">
      <c r="A6092" s="1">
        <v>5.0</v>
      </c>
      <c r="B6092" s="1" t="s">
        <v>6062</v>
      </c>
      <c r="C6092" t="str">
        <f>IFERROR(__xludf.DUMMYFUNCTION("GOOGLETRANSLATE(B6092, ""zh"", ""en"")"),"Entry-level affordable disposable products")</f>
        <v>Entry-level affordable disposable products</v>
      </c>
    </row>
    <row r="6093">
      <c r="A6093" s="1">
        <v>5.0</v>
      </c>
      <c r="B6093" s="1" t="s">
        <v>6063</v>
      </c>
      <c r="C6093" t="str">
        <f>IFERROR(__xludf.DUMMYFUNCTION("GOOGLETRANSLATE(B6093, ""zh"", ""en"")"),"High cost originally intended to buy the cooking machine wmf stumbled on this functional similarity to send more than a cup of good material to get the goods very pleasantly surprised with a nice color conversion socket can be perfectly practical")</f>
        <v>High cost originally intended to buy the cooking machine wmf stumbled on this functional similarity to send more than a cup of good material to get the goods very pleasantly surprised with a nice color conversion socket can be perfectly practical</v>
      </c>
    </row>
    <row r="6094">
      <c r="A6094" s="1">
        <v>5.0</v>
      </c>
      <c r="B6094" s="1" t="s">
        <v>6064</v>
      </c>
      <c r="C6094" t="str">
        <f>IFERROR(__xludf.DUMMYFUNCTION("GOOGLETRANSLATE(B6094, ""zh"", ""en"")"),"Very good cost-effective high-quality full charge can be used 7-8 hours")</f>
        <v>Very good cost-effective high-quality full charge can be used 7-8 hours</v>
      </c>
    </row>
    <row r="6095">
      <c r="A6095" s="1">
        <v>5.0</v>
      </c>
      <c r="B6095" s="1" t="s">
        <v>6065</v>
      </c>
      <c r="C6095" t="str">
        <f>IFERROR(__xludf.DUMMYFUNCTION("GOOGLETRANSLATE(B6095, ""zh"", ""en"")"),"On behalf of the buy, is another favorite cut the road someone else to buy, it is like to buy, but has been cut to see another road, and we all like. The most important is the insulation effect, most most important thing is watertight")</f>
        <v>On behalf of the buy, is another favorite cut the road someone else to buy, it is like to buy, but has been cut to see another road, and we all like. The most important is the insulation effect, most most important thing is watertight</v>
      </c>
    </row>
    <row r="6096">
      <c r="A6096" s="1">
        <v>5.0</v>
      </c>
      <c r="B6096" s="1" t="s">
        <v>6066</v>
      </c>
      <c r="C6096" t="str">
        <f>IFERROR(__xludf.DUMMYFUNCTION("GOOGLETRANSLATE(B6096, ""zh"", ""en"")"),"5 stars praise indeed a very good brand quality assurance")</f>
        <v>5 stars praise indeed a very good brand quality assurance</v>
      </c>
    </row>
    <row r="6097">
      <c r="A6097" s="1">
        <v>5.0</v>
      </c>
      <c r="B6097" s="1" t="s">
        <v>6067</v>
      </c>
      <c r="C6097" t="str">
        <f>IFERROR(__xludf.DUMMYFUNCTION("GOOGLETRANSLATE(B6097, ""zh"", ""en"")"),"Full of praise my height 180, weight 80. Buy m number of very fit. Thin, is now very comfortable to wear.")</f>
        <v>Full of praise my height 180, weight 80. Buy m number of very fit. Thin, is now very comfortable to wear.</v>
      </c>
    </row>
    <row r="6098">
      <c r="A6098" s="1">
        <v>5.0</v>
      </c>
      <c r="B6098" s="1" t="s">
        <v>6068</v>
      </c>
      <c r="C6098" t="str">
        <f>IFERROR(__xludf.DUMMYFUNCTION("GOOGLETRANSLATE(B6098, ""zh"", ""en"")"),"Metal head is not very good quality very good, very good material, metal head, that will fade")</f>
        <v>Metal head is not very good quality very good, very good material, metal head, that will fade</v>
      </c>
    </row>
    <row r="6099">
      <c r="A6099" s="1">
        <v>5.0</v>
      </c>
      <c r="B6099" s="1" t="s">
        <v>6069</v>
      </c>
      <c r="C6099" t="str">
        <f>IFERROR(__xludf.DUMMYFUNCTION("GOOGLETRANSLATE(B6099, ""zh"", ""en"")"),"Good good is genuine")</f>
        <v>Good good is genuine</v>
      </c>
    </row>
    <row r="6100">
      <c r="A6100" s="1">
        <v>5.0</v>
      </c>
      <c r="B6100" s="1" t="s">
        <v>6070</v>
      </c>
      <c r="C6100" t="str">
        <f>IFERROR(__xludf.DUMMYFUNCTION("GOOGLETRANSLATE(B6100, ""zh"", ""en"")"),"Rapid delivery, the effect is obvious four days of arrival! Rapidly. After eating twice, because the knee pain caused by excessive movement of significant improvement!")</f>
        <v>Rapid delivery, the effect is obvious four days of arrival! Rapidly. After eating twice, because the knee pain caused by excessive movement of significant improvement!</v>
      </c>
    </row>
    <row r="6101">
      <c r="A6101" s="1">
        <v>5.0</v>
      </c>
      <c r="B6101" s="1" t="s">
        <v>6071</v>
      </c>
      <c r="C6101" t="str">
        <f>IFERROR(__xludf.DUMMYFUNCTION("GOOGLETRANSLATE(B6101, ""zh"", ""en"")"),"173cm 60kg would have the right to see the comments that have a large say small, but fortunately her husband 173cm 60kg (lean) wearing appropriate. Some of the girls may wear men, after all, the body, so the 50kg wear M is right, right = =")</f>
        <v>173cm 60kg would have the right to see the comments that have a large say small, but fortunately her husband 173cm 60kg (lean) wearing appropriate. Some of the girls may wear men, after all, the body, so the 50kg wear M is right, right = =</v>
      </c>
    </row>
    <row r="6102">
      <c r="A6102" s="1">
        <v>5.0</v>
      </c>
      <c r="B6102" s="1" t="s">
        <v>6072</v>
      </c>
      <c r="C6102" t="str">
        <f>IFERROR(__xludf.DUMMYFUNCTION("GOOGLETRANSLATE(B6102, ""zh"", ""en"")"),"Well satisfied, color saturation, easy to color.")</f>
        <v>Well satisfied, color saturation, easy to color.</v>
      </c>
    </row>
    <row r="6103">
      <c r="A6103" s="1">
        <v>2.0</v>
      </c>
      <c r="B6103" s="1" t="s">
        <v>6073</v>
      </c>
      <c r="C6103" t="str">
        <f>IFERROR(__xludf.DUMMYFUNCTION("GOOGLETRANSLATE(B6103, ""zh"", ""en"")"),"The general quality of the pen pen should be produced in Germany, write up feeling pretty good, and feel of plastic, fairly thick, no metal feeling. It depressed the day before I bought the next day the price more than 20, my favorite violet and even pric"&amp;"e cuts of about 50. Having said that, my whole people is not good, so to evaluate it, really, bad. You know, like this done, only belittle this brand, is it not sell it? Why play this promotion.")</f>
        <v>The general quality of the pen pen should be produced in Germany, write up feeling pretty good, and feel of plastic, fairly thick, no metal feeling. It depressed the day before I bought the next day the price more than 20, my favorite violet and even price cuts of about 50. Having said that, my whole people is not good, so to evaluate it, really, bad. You know, like this done, only belittle this brand, is it not sell it? Why play this promotion.</v>
      </c>
    </row>
    <row r="6104">
      <c r="A6104" s="1">
        <v>3.0</v>
      </c>
      <c r="B6104" s="1" t="s">
        <v>6074</v>
      </c>
      <c r="C6104" t="str">
        <f>IFERROR(__xludf.DUMMYFUNCTION("GOOGLETRANSLATE(B6104, ""zh"", ""en"")"),"Can only say that very general, but worthy of the price First, the arrival rate of almost than ever. To four days. Come to talk about this table. Dial is really small, so delicate, and feel that the girls would be more appropriate to wear. When I received"&amp;" the goods would want to give it cousin. And the size of the dial on top as in FIG. Diameter of 37mm, a thickness of 9mm. (Feel too small, specially volume a bit) then dial the lid is not so clear on the map. And Casio should be more than just a descripti"&amp;"on of it, and the specification is not doing well, it is a large full page. Watch the bag only a very ordinary listing. Packing a small box. I can only say general matter, but the Casio watches are still worthy of the price. I would recommend that girls c"&amp;"an buy this watch, especially at the primary 5, grade 6 or junior high school, put on the table this effect should be very good.")</f>
        <v>Can only say that very general, but worthy of the price First, the arrival rate of almost than ever. To four days. Come to talk about this table. Dial is really small, so delicate, and feel that the girls would be more appropriate to wear. When I received the goods would want to give it cousin. And the size of the dial on top as in FIG. Diameter of 37mm, a thickness of 9mm. (Feel too small, specially volume a bit) then dial the lid is not so clear on the map. And Casio should be more than just a description of it, and the specification is not doing well, it is a large full page. Watch the bag only a very ordinary listing. Packing a small box. I can only say general matter, but the Casio watches are still worthy of the price. I would recommend that girls can buy this watch, especially at the primary 5, grade 6 or junior high school, put on the table this effect should be very good.</v>
      </c>
    </row>
    <row r="6105">
      <c r="A6105" s="1">
        <v>3.0</v>
      </c>
      <c r="B6105" s="1" t="s">
        <v>6075</v>
      </c>
      <c r="C6105" t="str">
        <f>IFERROR(__xludf.DUMMYFUNCTION("GOOGLETRANSLATE(B6105, ""zh"", ""en"")"),"Suitable for cold weather wear shoes slender, feet wider to wear a little pinch, relatively hard soles, suitable for relatively warm winter wear")</f>
        <v>Suitable for cold weather wear shoes slender, feet wider to wear a little pinch, relatively hard soles, suitable for relatively warm winter wear</v>
      </c>
    </row>
    <row r="6106">
      <c r="A6106" s="1">
        <v>1.0</v>
      </c>
      <c r="B6106" s="1" t="s">
        <v>6076</v>
      </c>
      <c r="C6106" t="str">
        <f>IFERROR(__xludf.DUMMYFUNCTION("GOOGLETRANSLATE(B6106, ""zh"", ""en"")"),"Open plastic shoes bought back the time quite like the results of the first three months of wear on both sides of the open plastic shoes are what opened this quality?")</f>
        <v>Open plastic shoes bought back the time quite like the results of the first three months of wear on both sides of the open plastic shoes are what opened this quality?</v>
      </c>
    </row>
    <row r="6107">
      <c r="A6107" s="1">
        <v>1.0</v>
      </c>
      <c r="B6107" s="1" t="s">
        <v>6077</v>
      </c>
      <c r="C6107" t="str">
        <f>IFERROR(__xludf.DUMMYFUNCTION("GOOGLETRANSLATE(B6107, ""zh"", ""en"")"),"Product quality problems, the Amazon service is unreasonable product quality problems, suddenly can not charge, find customer service actually called themselves contact the US manufacturers, What does it mean, in the Amazon to buy things there is a proble"&amp;"m we should contact the manufacturers themselves, but also overseas manufacturers, this is bullying! Read comments that a lot of people have suffered similar problems. I hope you take this as a warning, and hope that Amazon can be responsible for overseas"&amp;" after-sale maintenance services.")</f>
        <v>Product quality problems, the Amazon service is unreasonable product quality problems, suddenly can not charge, find customer service actually called themselves contact the US manufacturers, What does it mean, in the Amazon to buy things there is a problem we should contact the manufacturers themselves, but also overseas manufacturers, this is bullying! Read comments that a lot of people have suffered similar problems. I hope you take this as a warning, and hope that Amazon can be responsible for overseas after-sale maintenance services.</v>
      </c>
    </row>
    <row r="6108">
      <c r="A6108" s="1">
        <v>4.0</v>
      </c>
      <c r="B6108" s="1" t="s">
        <v>6078</v>
      </c>
      <c r="C6108" t="str">
        <f>IFERROR(__xludf.DUMMYFUNCTION("GOOGLETRANSLATE(B6108, ""zh"", ""en"")"),"It's fine, I like it")</f>
        <v>It's fine, I like it</v>
      </c>
    </row>
    <row r="6109">
      <c r="A6109" s="1">
        <v>4.0</v>
      </c>
      <c r="B6109" s="1" t="s">
        <v>6079</v>
      </c>
      <c r="C6109" t="str">
        <f>IFERROR(__xludf.DUMMYFUNCTION("GOOGLETRANSLATE(B6109, ""zh"", ""en"")"),"Very thick shirt shirt thicker than I expected a lot, which makes me live in the northern winter feel good. But the shirt fabric seems too rough, probably the kind we used to call it plain cloth fabric. However, comparing domestic easily start 4-5 one hun"&amp;"dred shirts, the price is pretty good")</f>
        <v>Very thick shirt shirt thicker than I expected a lot, which makes me live in the northern winter feel good. But the shirt fabric seems too rough, probably the kind we used to call it plain cloth fabric. However, comparing domestic easily start 4-5 one hundred shirts, the price is pretty good</v>
      </c>
    </row>
    <row r="6110">
      <c r="A6110" s="1">
        <v>4.0</v>
      </c>
      <c r="B6110" s="1" t="s">
        <v>6080</v>
      </c>
      <c r="C6110" t="str">
        <f>IFERROR(__xludf.DUMMYFUNCTION("GOOGLETRANSLATE(B6110, ""zh"", ""en"")"),"Special cold! I did not write special cold! ! ! ! ! Who gave children and turbid water! ! ! ! Cup good-looking packaging Ye Hao is nothing wrong with the crazy cold")</f>
        <v>Special cold! I did not write special cold! ! ! ! ! Who gave children and turbid water! ! ! ! Cup good-looking packaging Ye Hao is nothing wrong with the crazy cold</v>
      </c>
    </row>
    <row r="6111">
      <c r="A6111" s="1">
        <v>4.0</v>
      </c>
      <c r="B6111" s="1" t="s">
        <v>6081</v>
      </c>
      <c r="C6111" t="str">
        <f>IFERROR(__xludf.DUMMYFUNCTION("GOOGLETRANSLATE(B6111, ""zh"", ""en"")"),"Quality basic models okay 168 / 65kg, s code slightly smaller")</f>
        <v>Quality basic models okay 168 / 65kg, s code slightly smaller</v>
      </c>
    </row>
    <row r="6112">
      <c r="A6112" s="1">
        <v>4.0</v>
      </c>
      <c r="B6112" s="1" t="s">
        <v>6082</v>
      </c>
      <c r="C6112" t="str">
        <f>IFERROR(__xludf.DUMMYFUNCTION("GOOGLETRANSLATE(B6112, ""zh"", ""en"")"),"Why is there a lack of laces with a long one short, the shoe is very good.")</f>
        <v>Why is there a lack of laces with a long one short, the shoe is very good.</v>
      </c>
    </row>
    <row r="6113">
      <c r="A6113" s="1">
        <v>5.0</v>
      </c>
      <c r="B6113" s="1" t="s">
        <v>6083</v>
      </c>
      <c r="C6113" t="str">
        <f>IFERROR(__xludf.DUMMYFUNCTION("GOOGLETRANSLATE(B6113, ""zh"", ""en"")"),"Good good shoes, wearing a very beautiful")</f>
        <v>Good good shoes, wearing a very beautiful</v>
      </c>
    </row>
    <row r="6114">
      <c r="A6114" s="1">
        <v>5.0</v>
      </c>
      <c r="B6114" s="1" t="s">
        <v>6084</v>
      </c>
      <c r="C6114" t="str">
        <f>IFERROR(__xludf.DUMMYFUNCTION("GOOGLETRANSLATE(B6114, ""zh"", ""en"")"),"Not change it, but it feels good not replaced, and filters together to buy, direct mail China")</f>
        <v>Not change it, but it feels good not replaced, and filters together to buy, direct mail China</v>
      </c>
    </row>
    <row r="6115">
      <c r="A6115" s="1">
        <v>5.0</v>
      </c>
      <c r="B6115" s="1" t="s">
        <v>6085</v>
      </c>
      <c r="C6115" t="str">
        <f>IFERROR(__xludf.DUMMYFUNCTION("GOOGLETRANSLATE(B6115, ""zh"", ""en"")"),"Suitable 174,78kg, m code just right, but this version of it where the old feel tight or too loose, there was no drill down")</f>
        <v>Suitable 174,78kg, m code just right, but this version of it where the old feel tight or too loose, there was no drill down</v>
      </c>
    </row>
    <row r="6116">
      <c r="A6116" s="1">
        <v>5.0</v>
      </c>
      <c r="B6116" s="1" t="s">
        <v>6086</v>
      </c>
      <c r="C6116" t="str">
        <f>IFERROR(__xludf.DUMMYFUNCTION("GOOGLETRANSLATE(B6116, ""zh"", ""en"")"),"nice umm")</f>
        <v>nice umm</v>
      </c>
    </row>
    <row r="6117">
      <c r="A6117" s="1">
        <v>5.0</v>
      </c>
      <c r="B6117" s="1" t="s">
        <v>6087</v>
      </c>
      <c r="C6117" t="str">
        <f>IFERROR(__xludf.DUMMYFUNCTION("GOOGLETRANSLATE(B6117, ""zh"", ""en"")"),"Number 160,98 pounds, wearing some big S, xs should buy good")</f>
        <v>Number 160,98 pounds, wearing some big S, xs should buy good</v>
      </c>
    </row>
    <row r="6118">
      <c r="A6118" s="1">
        <v>5.0</v>
      </c>
      <c r="B6118" s="1" t="s">
        <v>6088</v>
      </c>
      <c r="C6118" t="str">
        <f>IFERROR(__xludf.DUMMYFUNCTION("GOOGLETRANSLATE(B6118, ""zh"", ""en"")"),"Recommended! Nichia produced, simple design, fine workmanship, the right size, low-key and practical, it is recommended!")</f>
        <v>Recommended! Nichia produced, simple design, fine workmanship, the right size, low-key and practical, it is recommended!</v>
      </c>
    </row>
    <row r="6119">
      <c r="A6119" s="1">
        <v>5.0</v>
      </c>
      <c r="B6119" s="1" t="s">
        <v>6089</v>
      </c>
      <c r="C6119" t="str">
        <f>IFERROR(__xludf.DUMMYFUNCTION("GOOGLETRANSLATE(B6119, ""zh"", ""en"")"),"Ha ha ha ha ha ha good, just want a retro style")</f>
        <v>Ha ha ha ha ha ha good, just want a retro style</v>
      </c>
    </row>
    <row r="6120">
      <c r="A6120" s="1">
        <v>5.0</v>
      </c>
      <c r="B6120" s="1" t="s">
        <v>6090</v>
      </c>
      <c r="C6120" t="str">
        <f>IFERROR(__xludf.DUMMYFUNCTION("GOOGLETRANSLATE(B6120, ""zh"", ""en"")"),"Before bought pullovers very satisfied with this buy hoodies gave niece, she liked. I also want to buy one")</f>
        <v>Before bought pullovers very satisfied with this buy hoodies gave niece, she liked. I also want to buy one</v>
      </c>
    </row>
    <row r="6121">
      <c r="A6121" s="1">
        <v>5.0</v>
      </c>
      <c r="B6121" s="1" t="s">
        <v>6091</v>
      </c>
      <c r="C6121" t="str">
        <f>IFERROR(__xludf.DUMMYFUNCTION("GOOGLETRANSLATE(B6121, ""zh"", ""en"")"),"Cost-effective high cost, and the country did not sell, the Japanese domestic version, that I did not own a good amount of size, a little big, suggest that they try to counter Wacoal good buy")</f>
        <v>Cost-effective high cost, and the country did not sell, the Japanese domestic version, that I did not own a good amount of size, a little big, suggest that they try to counter Wacoal good buy</v>
      </c>
    </row>
    <row r="6122">
      <c r="A6122" s="1">
        <v>5.0</v>
      </c>
      <c r="B6122" s="1" t="s">
        <v>6092</v>
      </c>
      <c r="C6122" t="str">
        <f>IFERROR(__xludf.DUMMYFUNCTION("GOOGLETRANSLATE(B6122, ""zh"", ""en"")"),"Praised by product label size to buy, right size standard, quality pants unexpected value for money for wearing this season, 80% cotton and comfortable to wear easy movement recommendation")</f>
        <v>Praised by product label size to buy, right size standard, quality pants unexpected value for money for wearing this season, 80% cotton and comfortable to wear easy movement recommendation</v>
      </c>
    </row>
    <row r="6123">
      <c r="A6123" s="1">
        <v>5.0</v>
      </c>
      <c r="B6123" s="1" t="s">
        <v>6093</v>
      </c>
      <c r="C6123" t="str">
        <f>IFERROR(__xludf.DUMMYFUNCTION("GOOGLETRANSLATE(B6123, ""zh"", ""en"")"),"Fidelity, a special treasure Zhendian price, cheaper than the sea Amoy Australia, more important is fidelity, do not worry about fakes, Amazon's advantage is purchased abroad, do not have to personally scouring the sea")</f>
        <v>Fidelity, a special treasure Zhendian price, cheaper than the sea Amoy Australia, more important is fidelity, do not worry about fakes, Amazon's advantage is purchased abroad, do not have to personally scouring the sea</v>
      </c>
    </row>
    <row r="6124">
      <c r="A6124" s="1">
        <v>5.0</v>
      </c>
      <c r="B6124" s="1" t="s">
        <v>6094</v>
      </c>
      <c r="C6124" t="str">
        <f>IFERROR(__xludf.DUMMYFUNCTION("GOOGLETRANSLATE(B6124, ""zh"", ""en"")"),"Entirely appropriate. very good! Is genuine, solid.")</f>
        <v>Entirely appropriate. very good! Is genuine, solid.</v>
      </c>
    </row>
    <row r="6125">
      <c r="A6125" s="1">
        <v>5.0</v>
      </c>
      <c r="B6125" s="1" t="s">
        <v>6095</v>
      </c>
      <c r="C6125" t="str">
        <f>IFERROR(__xludf.DUMMYFUNCTION("GOOGLETRANSLATE(B6125, ""zh"", ""en"")"),"Feeling comfortable quality first! Very comfortable! Good color")</f>
        <v>Feeling comfortable quality first! Very comfortable! Good color</v>
      </c>
    </row>
    <row r="6126">
      <c r="A6126" s="1">
        <v>5.0</v>
      </c>
      <c r="B6126" s="1" t="s">
        <v>6096</v>
      </c>
      <c r="C6126" t="str">
        <f>IFERROR(__xludf.DUMMYFUNCTION("GOOGLETRANSLATE(B6126, ""zh"", ""en"")"),"Quality can; good price! According to the waist and legs to buy clothes is still very appropriate.")</f>
        <v>Quality can; good price! According to the waist and legs to buy clothes is still very appropriate.</v>
      </c>
    </row>
    <row r="6127">
      <c r="A6127" s="1">
        <v>5.0</v>
      </c>
      <c r="B6127" s="1" t="s">
        <v>6097</v>
      </c>
      <c r="C6127" t="str">
        <f>IFERROR(__xludf.DUMMYFUNCTION("GOOGLETRANSLATE(B6127, ""zh"", ""en"")"),"Good quality baby is now seven months, bought two, with the first six months, boiled disinfection, now with a second, good quality")</f>
        <v>Good quality baby is now seven months, bought two, with the first six months, boiled disinfection, now with a second, good quality</v>
      </c>
    </row>
    <row r="6128">
      <c r="A6128" s="1">
        <v>5.0</v>
      </c>
      <c r="B6128" s="1" t="s">
        <v>6098</v>
      </c>
      <c r="C6128" t="str">
        <f>IFERROR(__xludf.DUMMYFUNCTION("GOOGLETRANSLATE(B6128, ""zh"", ""en"")"),"Well being, thicker than imagined previously not evaluated from, I do not know how many wasted points, points can change money now know, they should look carefully evaluated")</f>
        <v>Well being, thicker than imagined previously not evaluated from, I do not know how many wasted points, points can change money now know, they should look carefully evaluated</v>
      </c>
    </row>
    <row r="6129">
      <c r="A6129" s="1">
        <v>5.0</v>
      </c>
      <c r="B6129" s="1" t="s">
        <v>6099</v>
      </c>
      <c r="C6129" t="str">
        <f>IFERROR(__xludf.DUMMYFUNCTION("GOOGLETRANSLATE(B6129, ""zh"", ""en"")"),"Great shopping experience a great baby, had been concerned about the Citizen's range of products, including exceed etc., this has my favorite dial and luminous! ! It will produce a little scratch, but this will have little sense. A great shopping experien"&amp;"ce. Express is also quite good friends")</f>
        <v>Great shopping experience a great baby, had been concerned about the Citizen's range of products, including exceed etc., this has my favorite dial and luminous! ! It will produce a little scratch, but this will have little sense. A great shopping experience. Express is also quite good friends</v>
      </c>
    </row>
    <row r="6130">
      <c r="A6130" s="1">
        <v>5.0</v>
      </c>
      <c r="B6130" s="1" t="s">
        <v>6100</v>
      </c>
      <c r="C6130" t="str">
        <f>IFERROR(__xludf.DUMMYFUNCTION("GOOGLETRANSLATE(B6130, ""zh"", ""en"")"),"Effective insulation, high light and good-looking face value, the insulation is too. Seventy-eight hours, the water still can not drink hot, just the next day just to drink. It is also possible now because of the summer.")</f>
        <v>Effective insulation, high light and good-looking face value, the insulation is too. Seventy-eight hours, the water still can not drink hot, just the next day just to drink. It is also possible now because of the summer.</v>
      </c>
    </row>
    <row r="6131">
      <c r="A6131" s="1">
        <v>5.0</v>
      </c>
      <c r="B6131" s="1" t="s">
        <v>6101</v>
      </c>
      <c r="C6131" t="str">
        <f>IFERROR(__xludf.DUMMYFUNCTION("GOOGLETRANSLATE(B6131, ""zh"", ""en"")"),"Good clothes to wear clothes of good quality, comfortable to wear, height 173,67kg, m number is just right, clothes thin, recommendations weather 10-20 degrees")</f>
        <v>Good clothes to wear clothes of good quality, comfortable to wear, height 173,67kg, m number is just right, clothes thin, recommendations weather 10-20 degrees</v>
      </c>
    </row>
    <row r="6132">
      <c r="A6132" s="1">
        <v>5.0</v>
      </c>
      <c r="B6132" s="1" t="s">
        <v>6102</v>
      </c>
      <c r="C6132" t="str">
        <f>IFERROR(__xludf.DUMMYFUNCTION("GOOGLETRANSLATE(B6132, ""zh"", ""en"")"),"I handed down the enamel pot from a decade ago with Staub, Staub and a family has two LC enamel pot. Compared LC fresh vibrant colors, Staub basically biased calm tones. And heavy cast iron perfect match, in full compliance evaluation to Japanese chef Ats"&amp;"ushi Tsuchiya Staub on its blog: ""Men pot."" Enamel pot manufacturing process are molded into the molten iron sand, a sand mold after cooling destroyed, then trimmed and polished enamel coating. In this sense, each enamel cast iron pot is unique. Amazon "&amp;"and transport the goods with very perfect.")</f>
        <v>I handed down the enamel pot from a decade ago with Staub, Staub and a family has two LC enamel pot. Compared LC fresh vibrant colors, Staub basically biased calm tones. And heavy cast iron perfect match, in full compliance evaluation to Japanese chef Atsushi Tsuchiya Staub on its blog: "Men pot." Enamel pot manufacturing process are molded into the molten iron sand, a sand mold after cooling destroyed, then trimmed and polished enamel coating. In this sense, each enamel cast iron pot is unique. Amazon and transport the goods with very perfect.</v>
      </c>
    </row>
    <row r="6133">
      <c r="A6133" s="1">
        <v>5.0</v>
      </c>
      <c r="B6133" s="1" t="s">
        <v>6103</v>
      </c>
      <c r="C6133" t="str">
        <f>IFERROR(__xludf.DUMMYFUNCTION("GOOGLETRANSLATE(B6133, ""zh"", ""en"")"),"Upper body effect is praise pants upper body very first type, 3D cutting very comfortable, slightly larger size, I 172/66, usually wear w30L30, this time chose W29L30 fit, do not wear the waist belt feels a little loose for your reference! UK warehouse de"&amp;"livery, magic almost ten days of receiving, logistics OK")</f>
        <v>Upper body effect is praise pants upper body very first type, 3D cutting very comfortable, slightly larger size, I 172/66, usually wear w30L30, this time chose W29L30 fit, do not wear the waist belt feels a little loose for your reference! UK warehouse delivery, magic almost ten days of receiving, logistics OK</v>
      </c>
    </row>
    <row r="6134">
      <c r="A6134" s="1">
        <v>5.0</v>
      </c>
      <c r="B6134" s="1" t="s">
        <v>6104</v>
      </c>
      <c r="C6134" t="str">
        <f>IFERROR(__xludf.DUMMYFUNCTION("GOOGLETRANSLATE(B6134, ""zh"", ""en"")"),"Pregnancy stockpile think that we should Tuen a glass bottle, Pigeon is that many mothers recommended, very good reputation ~ ~ ~ ~ ~ ~ ~")</f>
        <v>Pregnancy stockpile think that we should Tuen a glass bottle, Pigeon is that many mothers recommended, very good reputation ~ ~ ~ ~ ~ ~ ~</v>
      </c>
    </row>
    <row r="6135">
      <c r="A6135" s="1">
        <v>2.0</v>
      </c>
      <c r="B6135" s="1" t="s">
        <v>6105</v>
      </c>
      <c r="C6135" t="str">
        <f>IFERROR(__xludf.DUMMYFUNCTION("GOOGLETRANSLATE(B6135, ""zh"", ""en"")"),"Fake feeling is fake, rust, before bought in other places, does not rust very good, bought a couple of days this rust")</f>
        <v>Fake feeling is fake, rust, before bought in other places, does not rust very good, bought a couple of days this rust</v>
      </c>
    </row>
    <row r="6136">
      <c r="A6136" s="1">
        <v>3.0</v>
      </c>
      <c r="B6136" s="1" t="s">
        <v>6106</v>
      </c>
      <c r="C6136" t="str">
        <f>IFERROR(__xludf.DUMMYFUNCTION("GOOGLETRANSLATE(B6136, ""zh"", ""en"")"),"Not so satisfied! Some poor quality, plus velvet fabric is very good, the best is a sleeve embroidery!")</f>
        <v>Not so satisfied! Some poor quality, plus velvet fabric is very good, the best is a sleeve embroidery!</v>
      </c>
    </row>
    <row r="6137">
      <c r="A6137" s="1">
        <v>3.0</v>
      </c>
      <c r="B6137" s="1" t="s">
        <v>6107</v>
      </c>
      <c r="C6137" t="str">
        <f>IFERROR(__xludf.DUMMYFUNCTION("GOOGLETRANSLATE(B6137, ""zh"", ""en"")"),"I do not know the truth I do not know true and false, after all, the first time to buy, because it is a shop, so I do not dare to eat")</f>
        <v>I do not know the truth I do not know true and false, after all, the first time to buy, because it is a shop, so I do not dare to eat</v>
      </c>
    </row>
    <row r="6138">
      <c r="A6138" s="1">
        <v>1.0</v>
      </c>
      <c r="B6138" s="1" t="s">
        <v>6108</v>
      </c>
      <c r="C6138" t="str">
        <f>IFERROR(__xludf.DUMMYFUNCTION("GOOGLETRANSLATE(B6138, ""zh"", ""en"")"),"Color quality is bad bad size will do, is to wear less than a month on the bad, the quality of a little bad, so I am very disappointed that the future can not buy things at the official website of the Amazon")</f>
        <v>Color quality is bad bad size will do, is to wear less than a month on the bad, the quality of a little bad, so I am very disappointed that the future can not buy things at the official website of the Amazon</v>
      </c>
    </row>
    <row r="6139">
      <c r="A6139" s="1">
        <v>1.0</v>
      </c>
      <c r="B6139" s="1" t="s">
        <v>6109</v>
      </c>
      <c r="C6139" t="str">
        <f>IFERROR(__xludf.DUMMYFUNCTION("GOOGLETRANSLATE(B6139, ""zh"", ""en"")"),"Will run with, not wearing a super good to wear, suspenders two sides will run down. Bust are appropriate, why would run with? Super offensive, can not wear, wasted.")</f>
        <v>Will run with, not wearing a super good to wear, suspenders two sides will run down. Bust are appropriate, why would run with? Super offensive, can not wear, wasted.</v>
      </c>
    </row>
    <row r="6140">
      <c r="A6140" s="1">
        <v>1.0</v>
      </c>
      <c r="B6140" s="1" t="s">
        <v>6110</v>
      </c>
      <c r="C6140" t="str">
        <f>IFERROR(__xludf.DUMMYFUNCTION("GOOGLETRANSLATE(B6140, ""zh"", ""en"")"),"Hard and not hard and not easy to use and easy to use, really bought most garbage belt, compared with pictures, objects too much difference")</f>
        <v>Hard and not hard and not easy to use and easy to use, really bought most garbage belt, compared with pictures, objects too much difference</v>
      </c>
    </row>
    <row r="6141">
      <c r="A6141" s="1">
        <v>4.0</v>
      </c>
      <c r="B6141" s="1" t="s">
        <v>6111</v>
      </c>
      <c r="C6141" t="str">
        <f>IFERROR(__xludf.DUMMYFUNCTION("GOOGLETRANSLATE(B6141, ""zh"", ""en"")"),"A little bit dissatisfied that is a bit short. I am more lean, about 173 year-round 58kg, wearing the clothes? s code sleeves just right, no problem, that is a little short clothes, l do not know what to buy is not appropriate? L buy the right clothes and"&amp;" long sleeves, right? Now more than 800 of the non-tax when I bought 560 excluding tax so not forget the return.")</f>
        <v>A little bit dissatisfied that is a bit short. I am more lean, about 173 year-round 58kg, wearing the clothes? s code sleeves just right, no problem, that is a little short clothes, l do not know what to buy is not appropriate? L buy the right clothes and long sleeves, right? Now more than 800 of the non-tax when I bought 560 excluding tax so not forget the return.</v>
      </c>
    </row>
    <row r="6142">
      <c r="A6142" s="1">
        <v>4.0</v>
      </c>
      <c r="B6142" s="1" t="s">
        <v>6112</v>
      </c>
      <c r="C6142" t="str">
        <f>IFERROR(__xludf.DUMMYFUNCTION("GOOGLETRANSLATE(B6142, ""zh"", ""en"")"),"From this affordable price point of view this headset can be considered good")</f>
        <v>From this affordable price point of view this headset can be considered good</v>
      </c>
    </row>
    <row r="6143">
      <c r="A6143" s="1">
        <v>4.0</v>
      </c>
      <c r="B6143" s="1" t="s">
        <v>6113</v>
      </c>
      <c r="C6143" t="str">
        <f>IFERROR(__xludf.DUMMYFUNCTION("GOOGLETRANSLATE(B6143, ""zh"", ""en"")"),"1.67 / 70 kg M fit, longer 1.67 / 70 kg M fitting, long, is very significant figure that does not cover the meat")</f>
        <v>1.67 / 70 kg M fit, longer 1.67 / 70 kg M fitting, long, is very significant figure that does not cover the meat</v>
      </c>
    </row>
    <row r="6144">
      <c r="A6144" s="1">
        <v>4.0</v>
      </c>
      <c r="B6144" s="1" t="s">
        <v>6114</v>
      </c>
      <c r="C6144" t="str">
        <f>IFERROR(__xludf.DUMMYFUNCTION("GOOGLETRANSLATE(B6144, ""zh"", ""en"")"),"Ge instep. Overall nothing wrong. I have high arches or shoes design is low? Ge instep quite sore. From New Jersey to send over, or made in China, of sorts.")</f>
        <v>Ge instep. Overall nothing wrong. I have high arches or shoes design is low? Ge instep quite sore. From New Jersey to send over, or made in China, of sorts.</v>
      </c>
    </row>
    <row r="6145">
      <c r="A6145" s="1">
        <v>4.0</v>
      </c>
      <c r="B6145" s="1" t="s">
        <v>6115</v>
      </c>
      <c r="C6145" t="str">
        <f>IFERROR(__xludf.DUMMYFUNCTION("GOOGLETRANSLATE(B6145, ""zh"", ""en"")"),"Electric hey really warm, but too much static electricity.")</f>
        <v>Electric hey really warm, but too much static electricity.</v>
      </c>
    </row>
    <row r="6146">
      <c r="A6146" s="1">
        <v>5.0</v>
      </c>
      <c r="B6146" s="1" t="s">
        <v>6116</v>
      </c>
      <c r="C6146" t="str">
        <f>IFERROR(__xludf.DUMMYFUNCTION("GOOGLETRANSLATE(B6146, ""zh"", ""en"")"),"Material, and wear comfortable height 171, weight 77KG, bought W33L30. Just waist, legs slightly longer. Overall satisfaction")</f>
        <v>Material, and wear comfortable height 171, weight 77KG, bought W33L30. Just waist, legs slightly longer. Overall satisfaction</v>
      </c>
    </row>
    <row r="6147">
      <c r="A6147" s="1">
        <v>5.0</v>
      </c>
      <c r="B6147" s="1" t="s">
        <v>6117</v>
      </c>
      <c r="C6147" t="str">
        <f>IFERROR(__xludf.DUMMYFUNCTION("GOOGLETRANSLATE(B6147, ""zh"", ""en"")"),"Good clothes is very good, very cheap!")</f>
        <v>Good clothes is very good, very cheap!</v>
      </c>
    </row>
    <row r="6148">
      <c r="A6148" s="1">
        <v>5.0</v>
      </c>
      <c r="B6148" s="1" t="s">
        <v>6118</v>
      </c>
      <c r="C6148" t="str">
        <f>IFERROR(__xludf.DUMMYFUNCTION("GOOGLETRANSLATE(B6148, ""zh"", ""en"")"),"Very good size very accurate, the foot is very comfortable, faster than expected rate. After ecco shoes bought on Amazon")</f>
        <v>Very good size very accurate, the foot is very comfortable, faster than expected rate. After ecco shoes bought on Amazon</v>
      </c>
    </row>
    <row r="6149">
      <c r="A6149" s="1">
        <v>5.0</v>
      </c>
      <c r="B6149" s="1" t="s">
        <v>6119</v>
      </c>
      <c r="C6149" t="str">
        <f>IFERROR(__xludf.DUMMYFUNCTION("GOOGLETRANSLATE(B6149, ""zh"", ""en"")"),"Okay origin is Mexico. Thick fabric, suitable for winter wear, cost-effective.")</f>
        <v>Okay origin is Mexico. Thick fabric, suitable for winter wear, cost-effective.</v>
      </c>
    </row>
    <row r="6150">
      <c r="A6150" s="1">
        <v>5.0</v>
      </c>
      <c r="B6150" s="1" t="s">
        <v>6120</v>
      </c>
      <c r="C6150" t="str">
        <f>IFERROR(__xludf.DUMMYFUNCTION("GOOGLETRANSLATE(B6150, ""zh"", ""en"")"),"Very right price the price is right, logistics quickly, a new, non-powered, helium disk drive, three-year warranty.")</f>
        <v>Very right price the price is right, logistics quickly, a new, non-powered, helium disk drive, three-year warranty.</v>
      </c>
    </row>
    <row r="6151">
      <c r="A6151" s="1">
        <v>5.0</v>
      </c>
      <c r="B6151" s="1" t="s">
        <v>6121</v>
      </c>
      <c r="C6151" t="str">
        <f>IFERROR(__xludf.DUMMYFUNCTION("GOOGLETRANSLATE(B6151, ""zh"", ""en"")"),"Some try to experience the magic! The first try, five kilometers pace, average pace have broken the record.")</f>
        <v>Some try to experience the magic! The first try, five kilometers pace, average pace have broken the record.</v>
      </c>
    </row>
    <row r="6152">
      <c r="A6152" s="1">
        <v>5.0</v>
      </c>
      <c r="B6152" s="1" t="s">
        <v>6122</v>
      </c>
      <c r="C6152" t="str">
        <f>IFERROR(__xludf.DUMMYFUNCTION("GOOGLETRANSLATE(B6152, ""zh"", ""en"")"),"A little too large, commented that before looked too large, then I buy the normal, then indeed little too large, and almost Levi")</f>
        <v>A little too large, commented that before looked too large, then I buy the normal, then indeed little too large, and almost Levi</v>
      </c>
    </row>
    <row r="6153">
      <c r="A6153" s="1">
        <v>5.0</v>
      </c>
      <c r="B6153" s="1" t="s">
        <v>6123</v>
      </c>
      <c r="C6153" t="str">
        <f>IFERROR(__xludf.DUMMYFUNCTION("GOOGLETRANSLATE(B6153, ""zh"", ""en"")"),"The right of the right size can be quite great")</f>
        <v>The right of the right size can be quite great</v>
      </c>
    </row>
    <row r="6154">
      <c r="A6154" s="1">
        <v>5.0</v>
      </c>
      <c r="B6154" s="1" t="s">
        <v>6124</v>
      </c>
      <c r="C6154" t="str">
        <f>IFERROR(__xludf.DUMMYFUNCTION("GOOGLETRANSLATE(B6154, ""zh"", ""en"")"),"Quality may also be 180 centimeters tall weight 75kg wear L small. Daughter height 172 cm, weight 60kg wear this positive good")</f>
        <v>Quality may also be 180 centimeters tall weight 75kg wear L small. Daughter height 172 cm, weight 60kg wear this positive good</v>
      </c>
    </row>
    <row r="6155">
      <c r="A6155" s="1">
        <v>5.0</v>
      </c>
      <c r="B6155" s="1" t="s">
        <v>6125</v>
      </c>
      <c r="C6155" t="str">
        <f>IFERROR(__xludf.DUMMYFUNCTION("GOOGLETRANSLATE(B6155, ""zh"", ""en"")"),"Large one yard big one yards of it, okay quality, affordable.")</f>
        <v>Large one yard big one yards of it, okay quality, affordable.</v>
      </c>
    </row>
    <row r="6156">
      <c r="A6156" s="1">
        <v>5.0</v>
      </c>
      <c r="B6156" s="1" t="s">
        <v>6126</v>
      </c>
      <c r="C6156" t="str">
        <f>IFERROR(__xludf.DUMMYFUNCTION("GOOGLETRANSLATE(B6156, ""zh"", ""en"")"),"Very comfortable very comfortable, flexible, suitable for spring and autumn")</f>
        <v>Very comfortable very comfortable, flexible, suitable for spring and autumn</v>
      </c>
    </row>
    <row r="6157">
      <c r="A6157" s="1">
        <v>5.0</v>
      </c>
      <c r="B6157" s="1" t="s">
        <v>6127</v>
      </c>
      <c r="C6157" t="str">
        <f>IFERROR(__xludf.DUMMYFUNCTION("GOOGLETRANSLATE(B6157, ""zh"", ""en"")"),"Recommendable than the average champion Wei pants quality was much better quality is very good, because the fabric weaving process more comfortable than the average Wei pants, high waist and is designed to lengthen the leg, if you say Disadvantages: not o"&amp;"nly is the waist rope, I felt wide belt is a little loose, but does not affect the wear. Recommended autumn and winter wear, velvet")</f>
        <v>Recommendable than the average champion Wei pants quality was much better quality is very good, because the fabric weaving process more comfortable than the average Wei pants, high waist and is designed to lengthen the leg, if you say Disadvantages: not only is the waist rope, I felt wide belt is a little loose, but does not affect the wear. Recommended autumn and winter wear, velvet</v>
      </c>
    </row>
    <row r="6158">
      <c r="A6158" s="1">
        <v>5.0</v>
      </c>
      <c r="B6158" s="1" t="s">
        <v>6128</v>
      </c>
      <c r="C6158" t="str">
        <f>IFERROR(__xludf.DUMMYFUNCTION("GOOGLETRANSLATE(B6158, ""zh"", ""en"")"),"Very satisfied with the amount of time shopping thick material, wear, fine, I 185 tall, 190 pounds, just the neck, but the bust is too large for your reference")</f>
        <v>Very satisfied with the amount of time shopping thick material, wear, fine, I 185 tall, 190 pounds, just the neck, but the bust is too large for your reference</v>
      </c>
    </row>
    <row r="6159">
      <c r="A6159" s="1">
        <v>5.0</v>
      </c>
      <c r="B6159" s="1" t="s">
        <v>6129</v>
      </c>
      <c r="C6159" t="str">
        <f>IFERROR(__xludf.DUMMYFUNCTION("GOOGLETRANSLATE(B6159, ""zh"", ""en"")"),"Very flexible, the version is also very good quality, high cost, very like, 172cm, 70kg, buy 31w * 32L, being fit!")</f>
        <v>Very flexible, the version is also very good quality, high cost, very like, 172cm, 70kg, buy 31w * 32L, being fit!</v>
      </c>
    </row>
    <row r="6160">
      <c r="A6160" s="1">
        <v>5.0</v>
      </c>
      <c r="B6160" s="1" t="s">
        <v>6130</v>
      </c>
      <c r="C6160" t="str">
        <f>IFERROR(__xludf.DUMMYFUNCTION("GOOGLETRANSLATE(B6160, ""zh"", ""en"")"),"Very good cotton T-shirt, code number just right")</f>
        <v>Very good cotton T-shirt, code number just right</v>
      </c>
    </row>
    <row r="6161">
      <c r="A6161" s="1">
        <v>5.0</v>
      </c>
      <c r="B6161" s="1" t="s">
        <v>6131</v>
      </c>
      <c r="C6161" t="str">
        <f>IFERROR(__xludf.DUMMYFUNCTION("GOOGLETRANSLATE(B6161, ""zh"", ""en"")"),"Very good, nice table very good, not dial for fine men's wrists, time to go very accurate, really good.")</f>
        <v>Very good, nice table very good, not dial for fine men's wrists, time to go very accurate, really good.</v>
      </c>
    </row>
    <row r="6162">
      <c r="A6162" s="1">
        <v>5.0</v>
      </c>
      <c r="B6162" s="1" t="s">
        <v>6132</v>
      </c>
      <c r="C6162" t="str">
        <f>IFERROR(__xludf.DUMMYFUNCTION("GOOGLETRANSLATE(B6162, ""zh"", ""en"")"),"10tb hard high cost good, 1180 received, cost-effective, Amazon customer service also to the force.")</f>
        <v>10tb hard high cost good, 1180 received, cost-effective, Amazon customer service also to the force.</v>
      </c>
    </row>
    <row r="6163">
      <c r="A6163" s="1">
        <v>5.0</v>
      </c>
      <c r="B6163" s="1" t="s">
        <v>5904</v>
      </c>
      <c r="C6163" t="str">
        <f>IFERROR(__xludf.DUMMYFUNCTION("GOOGLETRANSLATE(B6163, ""zh"", ""en"")"),"Value, skin-friendly 1800 yen, 75 including tax, value for money, bought two, regret not buy some, Nissan, each pair comes with hanger")</f>
        <v>Value, skin-friendly 1800 yen, 75 including tax, value for money, bought two, regret not buy some, Nissan, each pair comes with hanger</v>
      </c>
    </row>
    <row r="6164">
      <c r="A6164" s="1">
        <v>5.0</v>
      </c>
      <c r="B6164" s="1" t="s">
        <v>6133</v>
      </c>
      <c r="C6164" t="str">
        <f>IFERROR(__xludf.DUMMYFUNCTION("GOOGLETRANSLATE(B6164, ""zh"", ""en"")"),"Something good to thank the Amazon platform, no matter how you like your business, I will continue to support the domestic platform is not one of the most trusted")</f>
        <v>Something good to thank the Amazon platform, no matter how you like your business, I will continue to support the domestic platform is not one of the most trusted</v>
      </c>
    </row>
    <row r="6165">
      <c r="A6165" s="1">
        <v>5.0</v>
      </c>
      <c r="B6165" s="1" t="s">
        <v>6134</v>
      </c>
      <c r="C6165" t="str">
        <f>IFERROR(__xludf.DUMMYFUNCTION("GOOGLETRANSLATE(B6165, ""zh"", ""en"")"),"M is not the original M? Need to buy L! Beware of numbers! Now I do not know what the reason, BOSS numbers suddenly become smaller, the original buy the right number M, L, need to buy now!")</f>
        <v>M is not the original M? Need to buy L! Beware of numbers! Now I do not know what the reason, BOSS numbers suddenly become smaller, the original buy the right number M, L, need to buy now!</v>
      </c>
    </row>
    <row r="6166">
      <c r="A6166" s="1">
        <v>5.0</v>
      </c>
      <c r="B6166" s="1" t="s">
        <v>6135</v>
      </c>
      <c r="C6166" t="str">
        <f>IFERROR(__xludf.DUMMYFUNCTION("GOOGLETRANSLATE(B6166, ""zh"", ""en"")"),"Meng good clothes, collar is relatively large, acceptable.")</f>
        <v>Meng good clothes, collar is relatively large, acceptable.</v>
      </c>
    </row>
    <row r="6167">
      <c r="A6167" s="1">
        <v>5.0</v>
      </c>
      <c r="B6167" s="1" t="s">
        <v>6136</v>
      </c>
      <c r="C6167" t="str">
        <f>IFERROR(__xludf.DUMMYFUNCTION("GOOGLETRANSLATE(B6167, ""zh"", ""en"")"),"Yes ah 175cm75kg wear M code just, I shoulder is wide, if the clothes a little fat point the better, sooner or later running through the high cost.")</f>
        <v>Yes ah 175cm75kg wear M code just, I shoulder is wide, if the clothes a little fat point the better, sooner or later running through the high cost.</v>
      </c>
    </row>
    <row r="6168">
      <c r="A6168" s="1">
        <v>2.0</v>
      </c>
      <c r="B6168" s="1" t="s">
        <v>6137</v>
      </c>
      <c r="C6168" t="str">
        <f>IFERROR(__xludf.DUMMYFUNCTION("GOOGLETRANSLATE(B6168, ""zh"", ""en"")"),"Comparison shopping failed once, unlike standard Atsugi little stretch, size larger than the L-LL general Japanese, so wear next to the skin will not wrinkle. Also the color is really drunk, so-called color is probably the kind of figure skater will wear "&amp;"yellow.")</f>
        <v>Comparison shopping failed once, unlike standard Atsugi little stretch, size larger than the L-LL general Japanese, so wear next to the skin will not wrinkle. Also the color is really drunk, so-called color is probably the kind of figure skater will wear yellow.</v>
      </c>
    </row>
    <row r="6169">
      <c r="A6169" s="1">
        <v>3.0</v>
      </c>
      <c r="B6169" s="1" t="s">
        <v>6138</v>
      </c>
      <c r="C6169" t="str">
        <f>IFERROR(__xludf.DUMMYFUNCTION("GOOGLETRANSLATE(B6169, ""zh"", ""en"")"),"Too big too big! Generally you can also do the sweater! Too big to take to change! Reluctantly excellent too small! There are great salvation")</f>
        <v>Too big too big! Generally you can also do the sweater! Too big to take to change! Reluctantly excellent too small! There are great salvation</v>
      </c>
    </row>
    <row r="6170">
      <c r="A6170" s="1">
        <v>3.0</v>
      </c>
      <c r="B6170" s="1" t="s">
        <v>6139</v>
      </c>
      <c r="C6170" t="str">
        <f>IFERROR(__xludf.DUMMYFUNCTION("GOOGLETRANSLATE(B6170, ""zh"", ""en"")"),"Something good, logistics and packaging methods need to be improved. Things are good, but after the arrival of the packaging are all rotten, and can not discern is not all new. Although customer service attitude is very good given compensation, but still "&amp;"hope Amazon can greatly improve international logistics and packaging problems, such increased consumer satisfaction, and reducing business losses and improve efficiency.")</f>
        <v>Something good, logistics and packaging methods need to be improved. Things are good, but after the arrival of the packaging are all rotten, and can not discern is not all new. Although customer service attitude is very good given compensation, but still hope Amazon can greatly improve international logistics and packaging problems, such increased consumer satisfaction, and reducing business losses and improve efficiency.</v>
      </c>
    </row>
    <row r="6171">
      <c r="A6171" s="1">
        <v>3.0</v>
      </c>
      <c r="B6171" s="1" t="s">
        <v>6140</v>
      </c>
      <c r="C6171" t="str">
        <f>IFERROR(__xludf.DUMMYFUNCTION("GOOGLETRANSLATE(B6171, ""zh"", ""en"")"),"On the way, you pay for all pictures, black hair removal is a sticky, gray hair came on the damage, but also said something that would increase the clothes fit well, but the quality and thus, the price put it there, is the kind of home service, not on the"&amp;" grade, do not count on it,")</f>
        <v>On the way, you pay for all pictures, black hair removal is a sticky, gray hair came on the damage, but also said something that would increase the clothes fit well, but the quality and thus, the price put it there, is the kind of home service, not on the grade, do not count on it,</v>
      </c>
    </row>
    <row r="6172">
      <c r="A6172" s="1">
        <v>1.0</v>
      </c>
      <c r="B6172" s="1" t="s">
        <v>6141</v>
      </c>
      <c r="C6172" t="str">
        <f>IFERROR(__xludf.DUMMYFUNCTION("GOOGLETRANSLATE(B6172, ""zh"", ""en"")"),"Embroidery, embroidered shoulder is not up, posted up is not very good quality in general, very thin, pink powder is also not very nice, looks like the supermarket to buy two thirty T-shirt. logo is embroidered shoulder, but not directly show on the cloth"&amp;"es, the pattern is the same as chest paste up, looks fake.")</f>
        <v>Embroidery, embroidered shoulder is not up, posted up is not very good quality in general, very thin, pink powder is also not very nice, looks like the supermarket to buy two thirty T-shirt. logo is embroidered shoulder, but not directly show on the clothes, the pattern is the same as chest paste up, looks fake.</v>
      </c>
    </row>
    <row r="6173">
      <c r="A6173" s="1">
        <v>1.0</v>
      </c>
      <c r="B6173" s="1" t="s">
        <v>6142</v>
      </c>
      <c r="C6173" t="str">
        <f>IFERROR(__xludf.DUMMYFUNCTION("GOOGLETRANSLATE(B6173, ""zh"", ""en"")"),"General domestic freshman code quality ratio, the quality is very general.")</f>
        <v>General domestic freshman code quality ratio, the quality is very general.</v>
      </c>
    </row>
    <row r="6174">
      <c r="A6174" s="1">
        <v>1.0</v>
      </c>
      <c r="B6174" s="1" t="s">
        <v>6143</v>
      </c>
      <c r="C6174" t="str">
        <f>IFERROR(__xludf.DUMMYFUNCTION("GOOGLETRANSLATE(B6174, ""zh"", ""en"")"),"Difficult to use, buy a home, then 200 on it only with a large orange, little orange juice 2 cups if you can not shut down the overheating protection. And work materials that is not worth the price.")</f>
        <v>Difficult to use, buy a home, then 200 on it only with a large orange, little orange juice 2 cups if you can not shut down the overheating protection. And work materials that is not worth the price.</v>
      </c>
    </row>
    <row r="6175">
      <c r="A6175" s="1">
        <v>4.0</v>
      </c>
      <c r="B6175" s="1" t="s">
        <v>6144</v>
      </c>
      <c r="C6175" t="str">
        <f>IFERROR(__xludf.DUMMYFUNCTION("GOOGLETRANSLATE(B6175, ""zh"", ""en"")"),"Clothes evaluation does not smell, inside suede, very thick, it is a short paragraph")</f>
        <v>Clothes evaluation does not smell, inside suede, very thick, it is a short paragraph</v>
      </c>
    </row>
    <row r="6176">
      <c r="A6176" s="1">
        <v>4.0</v>
      </c>
      <c r="B6176" s="1" t="s">
        <v>6145</v>
      </c>
      <c r="C6176" t="str">
        <f>IFERROR(__xludf.DUMMYFUNCTION("GOOGLETRANSLATE(B6176, ""zh"", ""en"")"),"Body plastic look cheap cheapest pointer light wave table. The room on the wave-line sometimes and sometimes not receive.")</f>
        <v>Body plastic look cheap cheapest pointer light wave table. The room on the wave-line sometimes and sometimes not receive.</v>
      </c>
    </row>
    <row r="6177">
      <c r="A6177" s="1">
        <v>4.0</v>
      </c>
      <c r="B6177" s="1" t="s">
        <v>6146</v>
      </c>
      <c r="C6177" t="str">
        <f>IFERROR(__xludf.DUMMYFUNCTION("GOOGLETRANSLATE(B6177, ""zh"", ""en"")"),"Okay this to be slightly larger than the other size, the fabric is good, not like the waist broadside of materials, a little hard.")</f>
        <v>Okay this to be slightly larger than the other size, the fabric is good, not like the waist broadside of materials, a little hard.</v>
      </c>
    </row>
    <row r="6178">
      <c r="A6178" s="1">
        <v>4.0</v>
      </c>
      <c r="B6178" s="1" t="s">
        <v>6147</v>
      </c>
      <c r="C6178" t="str">
        <f>IFERROR(__xludf.DUMMYFUNCTION("GOOGLETRANSLATE(B6178, ""zh"", ""en"")"),"Comments general feeling, code number is too large, big chest a little pocket live.")</f>
        <v>Comments general feeling, code number is too large, big chest a little pocket live.</v>
      </c>
    </row>
    <row r="6179">
      <c r="A6179" s="1">
        <v>4.0</v>
      </c>
      <c r="B6179" s="1" t="s">
        <v>6148</v>
      </c>
      <c r="C6179" t="str">
        <f>IFERROR(__xludf.DUMMYFUNCTION("GOOGLETRANSLATE(B6179, ""zh"", ""en"")"),"Note size! ! ! US8 bought UK8, a full 42 ah! ! ! I have outgrown my wife only wear, ha ha")</f>
        <v>Note size! ! ! US8 bought UK8, a full 42 ah! ! ! I have outgrown my wife only wear, ha ha</v>
      </c>
    </row>
    <row r="6180">
      <c r="A6180" s="1">
        <v>5.0</v>
      </c>
      <c r="B6180" s="1" t="s">
        <v>6149</v>
      </c>
      <c r="C6180" t="str">
        <f>IFERROR(__xludf.DUMMYFUNCTION("GOOGLETRANSLATE(B6180, ""zh"", ""en"")"),"Great shoes sneakers usually wear 43 this buy UK 8 perfect")</f>
        <v>Great shoes sneakers usually wear 43 this buy UK 8 perfect</v>
      </c>
    </row>
    <row r="6181">
      <c r="A6181" s="1">
        <v>5.0</v>
      </c>
      <c r="B6181" s="1" t="s">
        <v>6150</v>
      </c>
      <c r="C6181" t="str">
        <f>IFERROR(__xludf.DUMMYFUNCTION("GOOGLETRANSLATE(B6181, ""zh"", ""en"")"),"Please be careful to buy this product there is not much flexibility, and wearing a relatively loose, cotton fabrics, and looked very pretty.")</f>
        <v>Please be careful to buy this product there is not much flexibility, and wearing a relatively loose, cotton fabrics, and looked very pretty.</v>
      </c>
    </row>
    <row r="6182">
      <c r="A6182" s="1">
        <v>5.0</v>
      </c>
      <c r="B6182" s="1" t="s">
        <v>6151</v>
      </c>
      <c r="C6182" t="str">
        <f>IFERROR(__xludf.DUMMYFUNCTION("GOOGLETRANSLATE(B6182, ""zh"", ""en"")"),"Moderate hardness, cost-effective. Moderate hardness, cost-effective.")</f>
        <v>Moderate hardness, cost-effective. Moderate hardness, cost-effective.</v>
      </c>
    </row>
    <row r="6183">
      <c r="A6183" s="1">
        <v>5.0</v>
      </c>
      <c r="B6183" s="1" t="s">
        <v>6152</v>
      </c>
      <c r="C6183" t="str">
        <f>IFERROR(__xludf.DUMMYFUNCTION("GOOGLETRANSLATE(B6183, ""zh"", ""en"")"),"Good pen smooth writing pen is good. Is simple packaging boxes are crushed.")</f>
        <v>Good pen smooth writing pen is good. Is simple packaging boxes are crushed.</v>
      </c>
    </row>
    <row r="6184">
      <c r="A6184" s="1">
        <v>5.0</v>
      </c>
      <c r="B6184" s="1" t="s">
        <v>6153</v>
      </c>
      <c r="C6184" t="str">
        <f>IFERROR(__xludf.DUMMYFUNCTION("GOOGLETRANSLATE(B6184, ""zh"", ""en"")"),"Cheap! Cheap! General household backup, then it is worth a buy back up your photos saved, did not specifically measured speed, but a spot check no bad sectors. The feeling of not slow transmission, the sound is not great, mainly cheap ah.")</f>
        <v>Cheap! Cheap! General household backup, then it is worth a buy back up your photos saved, did not specifically measured speed, but a spot check no bad sectors. The feeling of not slow transmission, the sound is not great, mainly cheap ah.</v>
      </c>
    </row>
    <row r="6185">
      <c r="A6185" s="1">
        <v>5.0</v>
      </c>
      <c r="B6185" s="1" t="s">
        <v>6154</v>
      </c>
      <c r="C6185" t="str">
        <f>IFERROR(__xludf.DUMMYFUNCTION("GOOGLETRANSLATE(B6185, ""zh"", ""en"")"),"Whey protein powder is a genuine, very good! Very good time shopping")</f>
        <v>Whey protein powder is a genuine, very good! Very good time shopping</v>
      </c>
    </row>
    <row r="6186">
      <c r="A6186" s="1">
        <v>5.0</v>
      </c>
      <c r="B6186" s="1" t="s">
        <v>6155</v>
      </c>
      <c r="C6186" t="str">
        <f>IFERROR(__xludf.DUMMYFUNCTION("GOOGLETRANSLATE(B6186, ""zh"", ""en"")"),"Promising to buy a good size, very comfortable loose version of the type, style, good")</f>
        <v>Promising to buy a good size, very comfortable loose version of the type, style, good</v>
      </c>
    </row>
    <row r="6187">
      <c r="A6187" s="1">
        <v>5.0</v>
      </c>
      <c r="B6187" s="1" t="s">
        <v>6156</v>
      </c>
      <c r="C6187" t="str">
        <f>IFERROR(__xludf.DUMMYFUNCTION("GOOGLETRANSLATE(B6187, ""zh"", ""en"")"),"Bang Bang shirt good quality very close, very comfortable to wear")</f>
        <v>Bang Bang shirt good quality very close, very comfortable to wear</v>
      </c>
    </row>
    <row r="6188">
      <c r="A6188" s="1">
        <v>5.0</v>
      </c>
      <c r="B6188" s="1" t="s">
        <v>6157</v>
      </c>
      <c r="C6188" t="str">
        <f>IFERROR(__xludf.DUMMYFUNCTION("GOOGLETRANSLATE(B6188, ""zh"", ""en"")"),"Affordable clothes very soft, wear very stylish - like Amazon is to force ~")</f>
        <v>Affordable clothes very soft, wear very stylish - like Amazon is to force ~</v>
      </c>
    </row>
    <row r="6189">
      <c r="A6189" s="1">
        <v>5.0</v>
      </c>
      <c r="B6189" s="1" t="s">
        <v>6158</v>
      </c>
      <c r="C6189" t="str">
        <f>IFERROR(__xludf.DUMMYFUNCTION("GOOGLETRANSLATE(B6189, ""zh"", ""en"")"),"Very comfortable very comfortable, no problem straps slipping off.")</f>
        <v>Very comfortable very comfortable, no problem straps slipping off.</v>
      </c>
    </row>
    <row r="6190">
      <c r="A6190" s="1">
        <v>5.0</v>
      </c>
      <c r="B6190" s="1" t="s">
        <v>6159</v>
      </c>
      <c r="C6190" t="str">
        <f>IFERROR(__xludf.DUMMYFUNCTION("GOOGLETRANSLATE(B6190, ""zh"", ""en"")"),"Yes, the logistics soon logistics faster than imagined, the very type of pants, the United States is quite big yards S code equivalent to the domestic M")</f>
        <v>Yes, the logistics soon logistics faster than imagined, the very type of pants, the United States is quite big yards S code equivalent to the domestic M</v>
      </c>
    </row>
    <row r="6191">
      <c r="A6191" s="1">
        <v>5.0</v>
      </c>
      <c r="B6191" s="1" t="s">
        <v>6160</v>
      </c>
      <c r="C6191" t="str">
        <f>IFERROR(__xludf.DUMMYFUNCTION("GOOGLETRANSLATE(B6191, ""zh"", ""en"")"),"Very comfortable can be said to be very comfortable! Bra light could be so thin so ~")</f>
        <v>Very comfortable can be said to be very comfortable! Bra light could be so thin so ~</v>
      </c>
    </row>
    <row r="6192">
      <c r="A6192" s="1">
        <v>5.0</v>
      </c>
      <c r="B6192" s="1" t="s">
        <v>6161</v>
      </c>
      <c r="C6192" t="str">
        <f>IFERROR(__xludf.DUMMYFUNCTION("GOOGLETRANSLATE(B6192, ""zh"", ""en"")"),"Too should buy s number, hips too")</f>
        <v>Too should buy s number, hips too</v>
      </c>
    </row>
    <row r="6193">
      <c r="A6193" s="1">
        <v>5.0</v>
      </c>
      <c r="B6193" s="1" t="s">
        <v>6162</v>
      </c>
      <c r="C6193" t="str">
        <f>IFERROR(__xludf.DUMMYFUNCTION("GOOGLETRANSLATE(B6193, ""zh"", ""en"")"),"The second generation of new products, good price new generation of filter, good results")</f>
        <v>The second generation of new products, good price new generation of filter, good results</v>
      </c>
    </row>
    <row r="6194">
      <c r="A6194" s="1">
        <v>5.0</v>
      </c>
      <c r="B6194" s="1" t="s">
        <v>6163</v>
      </c>
      <c r="C6194" t="str">
        <f>IFERROR(__xludf.DUMMYFUNCTION("GOOGLETRANSLATE(B6194, ""zh"", ""en"")"),"Fast delivery, very fit this time to buy a satisfactory product, fast delivery, very fit")</f>
        <v>Fast delivery, very fit this time to buy a satisfactory product, fast delivery, very fit</v>
      </c>
    </row>
    <row r="6195">
      <c r="A6195" s="1">
        <v>5.0</v>
      </c>
      <c r="B6195" s="1" t="s">
        <v>6164</v>
      </c>
      <c r="C6195" t="str">
        <f>IFERROR(__xludf.DUMMYFUNCTION("GOOGLETRANSLATE(B6195, ""zh"", ""en"")"),"Fit very fit, logistics is also very fast, it is the color a bit like we say work, I own choice, not blame others.")</f>
        <v>Fit very fit, logistics is also very fast, it is the color a bit like we say work, I own choice, not blame others.</v>
      </c>
    </row>
    <row r="6196">
      <c r="A6196" s="1">
        <v>5.0</v>
      </c>
      <c r="B6196" s="1" t="s">
        <v>6165</v>
      </c>
      <c r="C6196" t="str">
        <f>IFERROR(__xludf.DUMMYFUNCTION("GOOGLETRANSLATE(B6196, ""zh"", ""en"")"),"Good work easy to use 2 phase plug and voltage can be common in the country work very good. Accessory and a magnetic pot including the specification of a detecting material for the stickers. Manual is in German but can not read the text panel buttons mark"&amp;"ed in English so it can quickly get started with. Posts can be sucked magnetic material can be applied to the bottom of the pot cooker this stuff more intimate and detailed. 12 files fire temperature control of the timing gear 12 and a maximum of 180 minu"&amp;"tes. I have been able to meet the control requirements. very satisfied.")</f>
        <v>Good work easy to use 2 phase plug and voltage can be common in the country work very good. Accessory and a magnetic pot including the specification of a detecting material for the stickers. Manual is in German but can not read the text panel buttons marked in English so it can quickly get started with. Posts can be sucked magnetic material can be applied to the bottom of the pot cooker this stuff more intimate and detailed. 12 files fire temperature control of the timing gear 12 and a maximum of 180 minutes. I have been able to meet the control requirements. very satisfied.</v>
      </c>
    </row>
    <row r="6197">
      <c r="A6197" s="1">
        <v>5.0</v>
      </c>
      <c r="B6197" s="1" t="s">
        <v>6166</v>
      </c>
      <c r="C6197" t="str">
        <f>IFERROR(__xludf.DUMMYFUNCTION("GOOGLETRANSLATE(B6197, ""zh"", ""en"")"),"Size small 168,120kg, l just, oversize want to buy the US version of Japan's size is too small, the Amazon is not the pills delivered to your door")</f>
        <v>Size small 168,120kg, l just, oversize want to buy the US version of Japan's size is too small, the Amazon is not the pills delivered to your door</v>
      </c>
    </row>
    <row r="6198">
      <c r="A6198" s="1">
        <v>5.0</v>
      </c>
      <c r="B6198" s="1" t="s">
        <v>6167</v>
      </c>
      <c r="C6198" t="str">
        <f>IFERROR(__xludf.DUMMYFUNCTION("GOOGLETRANSLATE(B6198, ""zh"", ""en"")"),"very satisfied! I I I am very satisfied ah ah! !")</f>
        <v>very satisfied! I I I am very satisfied ah ah! !</v>
      </c>
    </row>
    <row r="6199">
      <c r="A6199" s="1">
        <v>5.0</v>
      </c>
      <c r="B6199" s="1" t="s">
        <v>6168</v>
      </c>
      <c r="C6199" t="str">
        <f>IFERROR(__xludf.DUMMYFUNCTION("GOOGLETRANSLATE(B6199, ""zh"", ""en"")"),"Is genuine! Height 172cm, weight 62kg. The clothes sleeves a bit longer, other very good fit very satisfied.")</f>
        <v>Is genuine! Height 172cm, weight 62kg. The clothes sleeves a bit longer, other very good fit very satisfied.</v>
      </c>
    </row>
    <row r="6200">
      <c r="A6200" s="1">
        <v>5.0</v>
      </c>
      <c r="B6200" s="1" t="s">
        <v>6169</v>
      </c>
      <c r="C6200" t="str">
        <f>IFERROR(__xludf.DUMMYFUNCTION("GOOGLETRANSLATE(B6200, ""zh"", ""en"")"),"Mom said something good taste very good")</f>
        <v>Mom said something good taste very good</v>
      </c>
    </row>
    <row r="6201">
      <c r="A6201" s="1">
        <v>2.0</v>
      </c>
      <c r="B6201" s="1" t="s">
        <v>6170</v>
      </c>
      <c r="C6201" t="str">
        <f>IFERROR(__xludf.DUMMYFUNCTION("GOOGLETRANSLATE(B6201, ""zh"", ""en"")"),"Good quality can be, it is easy to James Gray")</f>
        <v>Good quality can be, it is easy to James Gray</v>
      </c>
    </row>
    <row r="6202">
      <c r="A6202" s="1">
        <v>3.0</v>
      </c>
      <c r="B6202" s="1" t="s">
        <v>6171</v>
      </c>
      <c r="C6202" t="str">
        <f>IFERROR(__xludf.DUMMYFUNCTION("GOOGLETRANSLATE(B6202, ""zh"", ""en"")"),"Relatively small buy 2-7 year-old still felt very short ah, my baby now more than six months it, do not wear it so much")</f>
        <v>Relatively small buy 2-7 year-old still felt very short ah, my baby now more than six months it, do not wear it so much</v>
      </c>
    </row>
    <row r="6203">
      <c r="A6203" s="1">
        <v>3.0</v>
      </c>
      <c r="B6203" s="1" t="s">
        <v>6172</v>
      </c>
      <c r="C6203" t="str">
        <f>IFERROR(__xludf.DUMMYFUNCTION("GOOGLETRANSLATE(B6203, ""zh"", ""en"")"),"Size standard size standard, rather long sleeves, very ordinary t, Waichuan to be careful.")</f>
        <v>Size standard size standard, rather long sleeves, very ordinary t, Waichuan to be careful.</v>
      </c>
    </row>
    <row r="6204">
      <c r="A6204" s="1">
        <v>3.0</v>
      </c>
      <c r="B6204" s="1" t="s">
        <v>6173</v>
      </c>
      <c r="C6204" t="str">
        <f>IFERROR(__xludf.DUMMYFUNCTION("GOOGLETRANSLATE(B6204, ""zh"", ""en"")"),"Heavy shoes shoes to wear for two days, has started the next afternoon foot pain, a bit hard soles, walking more tired feet, the entire foot is very obvious wrong, comfort is not strong")</f>
        <v>Heavy shoes shoes to wear for two days, has started the next afternoon foot pain, a bit hard soles, walking more tired feet, the entire foot is very obvious wrong, comfort is not strong</v>
      </c>
    </row>
    <row r="6205">
      <c r="A6205" s="1">
        <v>1.0</v>
      </c>
      <c r="B6205" s="1" t="s">
        <v>6174</v>
      </c>
      <c r="C6205" t="str">
        <f>IFERROR(__xludf.DUMMYFUNCTION("GOOGLETRANSLATE(B6205, ""zh"", ""en"")"),"Packaging is very good, but the goods are not recommended for yourself, feeling and pictures gap is too big, the material looks very low")</f>
        <v>Packaging is very good, but the goods are not recommended for yourself, feeling and pictures gap is too big, the material looks very low</v>
      </c>
    </row>
    <row r="6206">
      <c r="A6206" s="1">
        <v>1.0</v>
      </c>
      <c r="B6206" s="1" t="s">
        <v>6175</v>
      </c>
      <c r="C6206" t="str">
        <f>IFERROR(__xludf.DUMMYFUNCTION("GOOGLETRANSLATE(B6206, ""zh"", ""en"")"),"Size really big ...... a little size allowed.")</f>
        <v>Size really big ...... a little size allowed.</v>
      </c>
    </row>
    <row r="6207">
      <c r="A6207" s="1">
        <v>4.0</v>
      </c>
      <c r="B6207" s="1" t="s">
        <v>6176</v>
      </c>
      <c r="C6207" t="str">
        <f>IFERROR(__xludf.DUMMYFUNCTION("GOOGLETRANSLATE(B6207, ""zh"", ""en"")"),"Pretty good material is too large, but still very fat ...... deliberately bought a small two yards, I 183 75kg more like overalls, but I have no color")</f>
        <v>Pretty good material is too large, but still very fat ...... deliberately bought a small two yards, I 183 75kg more like overalls, but I have no color</v>
      </c>
    </row>
    <row r="6208">
      <c r="A6208" s="1">
        <v>4.0</v>
      </c>
      <c r="B6208" s="1" t="s">
        <v>6177</v>
      </c>
      <c r="C6208" t="str">
        <f>IFERROR(__xludf.DUMMYFUNCTION("GOOGLETRANSLATE(B6208, ""zh"", ""en"")"),"Strange is not sealed, do not know is not normal")</f>
        <v>Strange is not sealed, do not know is not normal</v>
      </c>
    </row>
    <row r="6209">
      <c r="A6209" s="1">
        <v>4.0</v>
      </c>
      <c r="B6209" s="1" t="s">
        <v>6178</v>
      </c>
      <c r="C6209" t="str">
        <f>IFERROR(__xludf.DUMMYFUNCTION("GOOGLETRANSLATE(B6209, ""zh"", ""en"")"),"Untitled also can wear when swimming trunks.")</f>
        <v>Untitled also can wear when swimming trunks.</v>
      </c>
    </row>
    <row r="6210">
      <c r="A6210" s="1">
        <v>4.0</v>
      </c>
      <c r="B6210" s="1" t="s">
        <v>6179</v>
      </c>
      <c r="C6210" t="str">
        <f>IFERROR(__xludf.DUMMYFUNCTION("GOOGLETRANSLATE(B6210, ""zh"", ""en"")"),"Fortunately, there are scratches, after Dayou basically gone, and it scratches out of the cortex too easy, comfortable or very comfortable")</f>
        <v>Fortunately, there are scratches, after Dayou basically gone, and it scratches out of the cortex too easy, comfortable or very comfortable</v>
      </c>
    </row>
    <row r="6211">
      <c r="A6211" s="1">
        <v>5.0</v>
      </c>
      <c r="B6211" s="1" t="s">
        <v>6180</v>
      </c>
      <c r="C6211" t="str">
        <f>IFERROR(__xludf.DUMMYFUNCTION("GOOGLETRANSLATE(B6211, ""zh"", ""en"")"),"Very satisfied with very thick, relatively large, genuine, very satisfied")</f>
        <v>Very satisfied with very thick, relatively large, genuine, very satisfied</v>
      </c>
    </row>
    <row r="6212">
      <c r="A6212" s="1">
        <v>5.0</v>
      </c>
      <c r="B6212" s="1" t="s">
        <v>6181</v>
      </c>
      <c r="C6212" t="str">
        <f>IFERROR(__xludf.DUMMYFUNCTION("GOOGLETRANSLATE(B6212, ""zh"", ""en"")"),"Slim version 1.83 weight 78 kg choose exactly the size")</f>
        <v>Slim version 1.83 weight 78 kg choose exactly the size</v>
      </c>
    </row>
    <row r="6213">
      <c r="A6213" s="1">
        <v>5.0</v>
      </c>
      <c r="B6213" s="1" t="s">
        <v>6182</v>
      </c>
      <c r="C6213" t="str">
        <f>IFERROR(__xludf.DUMMYFUNCTION("GOOGLETRANSLATE(B6213, ""zh"", ""en"")"),"Fat Shenru should buy m, the clothes do not fit the fat, but also the Loose")</f>
        <v>Fat Shenru should buy m, the clothes do not fit the fat, but also the Loose</v>
      </c>
    </row>
    <row r="6214">
      <c r="A6214" s="1">
        <v>5.0</v>
      </c>
      <c r="B6214" s="1" t="s">
        <v>6183</v>
      </c>
      <c r="C6214" t="str">
        <f>IFERROR(__xludf.DUMMYFUNCTION("GOOGLETRANSLATE(B6214, ""zh"", ""en"")"),"Like general can also be right, look and see.")</f>
        <v>Like general can also be right, look and see.</v>
      </c>
    </row>
    <row r="6215">
      <c r="A6215" s="1">
        <v>5.0</v>
      </c>
      <c r="B6215" s="1" t="s">
        <v>6184</v>
      </c>
      <c r="C6215" t="str">
        <f>IFERROR(__xludf.DUMMYFUNCTION("GOOGLETRANSLATE(B6215, ""zh"", ""en"")"),"Also can belt feels very soft coating does not have to distinguish is not to use pure skin with a little bit of a taste to see if there are no comments written so exaggerated taste great leather goods are generally a little taste of it")</f>
        <v>Also can belt feels very soft coating does not have to distinguish is not to use pure skin with a little bit of a taste to see if there are no comments written so exaggerated taste great leather goods are generally a little taste of it</v>
      </c>
    </row>
    <row r="6216">
      <c r="A6216" s="1">
        <v>5.0</v>
      </c>
      <c r="B6216" s="1" t="s">
        <v>6185</v>
      </c>
      <c r="C6216" t="str">
        <f>IFERROR(__xludf.DUMMYFUNCTION("GOOGLETRANSLATE(B6216, ""zh"", ""en"")"),"Hanes black sweater 18575 buy L is very appropriate. A little bit of lint, overall very comfortable, simple atmosphere")</f>
        <v>Hanes black sweater 18575 buy L is very appropriate. A little bit of lint, overall very comfortable, simple atmosphere</v>
      </c>
    </row>
    <row r="6217">
      <c r="A6217" s="1">
        <v>5.0</v>
      </c>
      <c r="B6217" s="1" t="s">
        <v>6186</v>
      </c>
      <c r="C6217" t="str">
        <f>IFERROR(__xludf.DUMMYFUNCTION("GOOGLETRANSLATE(B6217, ""zh"", ""en"")"),"Satisfaction bought clothes pants shoes, the most satisfactory is this pair of shoes, put on just right")</f>
        <v>Satisfaction bought clothes pants shoes, the most satisfactory is this pair of shoes, put on just right</v>
      </c>
    </row>
    <row r="6218">
      <c r="A6218" s="1">
        <v>5.0</v>
      </c>
      <c r="B6218" s="1" t="s">
        <v>6187</v>
      </c>
      <c r="C6218" t="str">
        <f>IFERROR(__xludf.DUMMYFUNCTION("GOOGLETRANSLATE(B6218, ""zh"", ""en"")"),"Recommended comfortable, good-looking, inexpensive, my wife liked.")</f>
        <v>Recommended comfortable, good-looking, inexpensive, my wife liked.</v>
      </c>
    </row>
    <row r="6219">
      <c r="A6219" s="1">
        <v>5.0</v>
      </c>
      <c r="B6219" s="1" t="s">
        <v>6188</v>
      </c>
      <c r="C6219" t="str">
        <f>IFERROR(__xludf.DUMMYFUNCTION("GOOGLETRANSLATE(B6219, ""zh"", ""en"")"),"Super easy to use bottle super easy to use bottles, used a few brands, the most practical, real cow Amazon distribution, the US direct mail, order to delivery, 6 days")</f>
        <v>Super easy to use bottle super easy to use bottles, used a few brands, the most practical, real cow Amazon distribution, the US direct mail, order to delivery, 6 days</v>
      </c>
    </row>
    <row r="6220">
      <c r="A6220" s="1">
        <v>5.0</v>
      </c>
      <c r="B6220" s="1" t="s">
        <v>6189</v>
      </c>
      <c r="C6220" t="str">
        <f>IFERROR(__xludf.DUMMYFUNCTION("GOOGLETRANSLATE(B6220, ""zh"", ""en"")"),"Easy to use looks good, adequate power, I bought a second home to one simple package, open-ended")</f>
        <v>Easy to use looks good, adequate power, I bought a second home to one simple package, open-ended</v>
      </c>
    </row>
    <row r="6221">
      <c r="A6221" s="1">
        <v>5.0</v>
      </c>
      <c r="B6221" s="1" t="s">
        <v>6190</v>
      </c>
      <c r="C6221" t="str">
        <f>IFERROR(__xludf.DUMMYFUNCTION("GOOGLETRANSLATE(B6221, ""zh"", ""en"")"),"Good shoes look great")</f>
        <v>Good shoes look great</v>
      </c>
    </row>
    <row r="6222">
      <c r="A6222" s="1">
        <v>5.0</v>
      </c>
      <c r="B6222" s="1" t="s">
        <v>6191</v>
      </c>
      <c r="C6222" t="str">
        <f>IFERROR(__xludf.DUMMYFUNCTION("GOOGLETRANSLATE(B6222, ""zh"", ""en"")"),"Really like! With a good, big promotion price is also very good, really like ah! ! ! Just start to feel vibration, but with a few days after feeling brush super clean, especially the manual brush hard place! !")</f>
        <v>Really like! With a good, big promotion price is also very good, really like ah! ! ! Just start to feel vibration, but with a few days after feeling brush super clean, especially the manual brush hard place! !</v>
      </c>
    </row>
    <row r="6223">
      <c r="A6223" s="1">
        <v>5.0</v>
      </c>
      <c r="B6223" s="1" t="s">
        <v>6192</v>
      </c>
      <c r="C6223" t="str">
        <f>IFERROR(__xludf.DUMMYFUNCTION("GOOGLETRANSLATE(B6223, ""zh"", ""en"")"),"Good is to force the courier, the next single the next day to a two-eleven. The headset is great, do not wear to the chuck, sound is also very good")</f>
        <v>Good is to force the courier, the next single the next day to a two-eleven. The headset is great, do not wear to the chuck, sound is also very good</v>
      </c>
    </row>
    <row r="6224">
      <c r="A6224" s="1">
        <v>5.0</v>
      </c>
      <c r="B6224" s="1" t="s">
        <v>6193</v>
      </c>
      <c r="C6224" t="str">
        <f>IFERROR(__xludf.DUMMYFUNCTION("GOOGLETRANSLATE(B6224, ""zh"", ""en"")"),"Pretty good for me so size appropriate, and, over the shoulder bag bottom to go to my navel (175)")</f>
        <v>Pretty good for me so size appropriate, and, over the shoulder bag bottom to go to my navel (175)</v>
      </c>
    </row>
    <row r="6225">
      <c r="A6225" s="1">
        <v>5.0</v>
      </c>
      <c r="B6225" s="1" t="s">
        <v>6194</v>
      </c>
      <c r="C6225" t="str">
        <f>IFERROR(__xludf.DUMMYFUNCTION("GOOGLETRANSLATE(B6225, ""zh"", ""en"")"),"With good quality, rest assured, not a fake.")</f>
        <v>With good quality, rest assured, not a fake.</v>
      </c>
    </row>
    <row r="6226">
      <c r="A6226" s="1">
        <v>5.0</v>
      </c>
      <c r="B6226" s="1" t="s">
        <v>6195</v>
      </c>
      <c r="C6226" t="str">
        <f>IFERROR(__xludf.DUMMYFUNCTION("GOOGLETRANSLATE(B6226, ""zh"", ""en"")"),"Very good with easy to use, child brushing easier, cleaner and brush")</f>
        <v>Very good with easy to use, child brushing easier, cleaner and brush</v>
      </c>
    </row>
    <row r="6227">
      <c r="A6227" s="1">
        <v>5.0</v>
      </c>
      <c r="B6227" s="1" t="s">
        <v>6196</v>
      </c>
      <c r="C6227" t="str">
        <f>IFERROR(__xludf.DUMMYFUNCTION("GOOGLETRANSLATE(B6227, ""zh"", ""en"")"),"Good high levels")</f>
        <v>Good high levels</v>
      </c>
    </row>
    <row r="6228">
      <c r="A6228" s="1">
        <v>5.0</v>
      </c>
      <c r="B6228" s="1" t="s">
        <v>6197</v>
      </c>
      <c r="C6228" t="str">
        <f>IFERROR(__xludf.DUMMYFUNCTION("GOOGLETRANSLATE(B6228, ""zh"", ""en"")"),"Very, very good, cheaper than the domestic half the price.")</f>
        <v>Very, very good, cheaper than the domestic half the price.</v>
      </c>
    </row>
    <row r="6229">
      <c r="A6229" s="1">
        <v>5.0</v>
      </c>
      <c r="B6229" s="1" t="s">
        <v>6198</v>
      </c>
      <c r="C6229" t="str">
        <f>IFERROR(__xludf.DUMMYFUNCTION("GOOGLETRANSLATE(B6229, ""zh"", ""en"")"),"After the October good good very good inside the pants can be worn with a domesticated hen")</f>
        <v>After the October good good very good inside the pants can be worn with a domesticated hen</v>
      </c>
    </row>
    <row r="6230">
      <c r="A6230" s="1">
        <v>5.0</v>
      </c>
      <c r="B6230" s="1" t="s">
        <v>6199</v>
      </c>
      <c r="C6230" t="str">
        <f>IFERROR(__xludf.DUMMYFUNCTION("GOOGLETRANSLATE(B6230, ""zh"", ""en"")"),"The version is very good pair of jeans, value! Sanford jeans than cheaper probably my waist fat than I sea Amoy Levi waist 30 matters a little bit, but the version is really nice pants, reluctant to change 31 yards, I want to lose weight")</f>
        <v>The version is very good pair of jeans, value! Sanford jeans than cheaper probably my waist fat than I sea Amoy Levi waist 30 matters a little bit, but the version is really nice pants, reluctant to change 31 yards, I want to lose weight</v>
      </c>
    </row>
    <row r="6231">
      <c r="A6231" s="1">
        <v>5.0</v>
      </c>
      <c r="B6231" s="1" t="s">
        <v>6200</v>
      </c>
      <c r="C6231" t="str">
        <f>IFERROR(__xludf.DUMMYFUNCTION("GOOGLETRANSLATE(B6231, ""zh"", ""en"")"),"Wonderful work of British-packaging Guards price. Love-hate relationship 107 excluding tax, a good price, it is that the bulk of the package. . . It has been crushed when sent. I heard that the British installed a small box a few pounds, comrades will for"&amp;"give them, you also really expensive")</f>
        <v>Wonderful work of British-packaging Guards price. Love-hate relationship 107 excluding tax, a good price, it is that the bulk of the package. . . It has been crushed when sent. I heard that the British installed a small box a few pounds, comrades will forgive them, you also really expensive</v>
      </c>
    </row>
    <row r="6232">
      <c r="A6232" s="1">
        <v>5.0</v>
      </c>
      <c r="B6232" s="1" t="s">
        <v>6201</v>
      </c>
      <c r="C6232" t="str">
        <f>IFERROR(__xludf.DUMMYFUNCTION("GOOGLETRANSLATE(B6232, ""zh"", ""en"")"),"Color is not bad not bad, relatively soft cup body")</f>
        <v>Color is not bad not bad, relatively soft cup body</v>
      </c>
    </row>
    <row r="6233">
      <c r="A6233" s="1">
        <v>2.0</v>
      </c>
      <c r="B6233" s="1" t="s">
        <v>6202</v>
      </c>
      <c r="C6233" t="str">
        <f>IFERROR(__xludf.DUMMYFUNCTION("GOOGLETRANSLATE(B6233, ""zh"", ""en"")"),"Shoes too large, too much weight, footrest. Code number is too large number of shoes half, and heavy sucker, and a little footrest. Wear a shoe on the land I do not want to wear. Not recommended to start.")</f>
        <v>Shoes too large, too much weight, footrest. Code number is too large number of shoes half, and heavy sucker, and a little footrest. Wear a shoe on the land I do not want to wear. Not recommended to start.</v>
      </c>
    </row>
    <row r="6234">
      <c r="A6234" s="1">
        <v>3.0</v>
      </c>
      <c r="B6234" s="1" t="s">
        <v>6203</v>
      </c>
      <c r="C6234" t="str">
        <f>IFERROR(__xludf.DUMMYFUNCTION("GOOGLETRANSLATE(B6234, ""zh"", ""en"")"),"Good shoes, shoes are very beautiful, especially just a few days on foot, glittering, but also that too pull the wind, so the dirty brush on the return to ordinary. Solid materials, which is leather, comfortable, a day or two because of heavy adaptation p"&amp;"eriod, stepped out very impressive. There is not satisfied with a few days to open two bruised skin, and also has a small slit open plastic, but no water, does not affect the wear, how long can grind is long.")</f>
        <v>Good shoes, shoes are very beautiful, especially just a few days on foot, glittering, but also that too pull the wind, so the dirty brush on the return to ordinary. Solid materials, which is leather, comfortable, a day or two because of heavy adaptation period, stepped out very impressive. There is not satisfied with a few days to open two bruised skin, and also has a small slit open plastic, but no water, does not affect the wear, how long can grind is long.</v>
      </c>
    </row>
    <row r="6235">
      <c r="A6235" s="1">
        <v>3.0</v>
      </c>
      <c r="B6235" s="1" t="s">
        <v>6204</v>
      </c>
      <c r="C6235" t="str">
        <f>IFERROR(__xludf.DUMMYFUNCTION("GOOGLETRANSLATE(B6235, ""zh"", ""en"")"),"No packaging, no box, streaking to, and it is drunk.")</f>
        <v>No packaging, no box, streaking to, and it is drunk.</v>
      </c>
    </row>
    <row r="6236">
      <c r="A6236" s="1">
        <v>1.0</v>
      </c>
      <c r="B6236" s="1" t="s">
        <v>6205</v>
      </c>
      <c r="C6236" t="str">
        <f>IFERROR(__xludf.DUMMYFUNCTION("GOOGLETRANSLATE(B6236, ""zh"", ""en"")"),"Do not like to throw my dad, I feel too rough")</f>
        <v>Do not like to throw my dad, I feel too rough</v>
      </c>
    </row>
    <row r="6237">
      <c r="A6237" s="1">
        <v>1.0</v>
      </c>
      <c r="B6237" s="1" t="s">
        <v>6206</v>
      </c>
      <c r="C6237" t="str">
        <f>IFERROR(__xludf.DUMMYFUNCTION("GOOGLETRANSLATE(B6237, ""zh"", ""en"")"),"Microphone is not compatible iphone6 ​​and macbook pro 2017 harvest took seven more days, logistics is still relatively satisfied. Quality feel fooled, iphone6 ​​occasionally use the microphone, macbookpro is not fully used, doubt advertisement compatible"&amp;" apple device is not the most original of apple products. I may be bad ear, headphones and listen to how this 99 yuan millet piston headphones so what's the difference, but the work is far better than millet headphones, design is wonderful, full extension"&amp;" cord is cumbersome. May buy sale Taobao and Jingdong easier. Return too much trouble, only Renzai, later need to buy can refer to.")</f>
        <v>Microphone is not compatible iphone6 ​​and macbook pro 2017 harvest took seven more days, logistics is still relatively satisfied. Quality feel fooled, iphone6 ​​occasionally use the microphone, macbookpro is not fully used, doubt advertisement compatible apple device is not the most original of apple products. I may be bad ear, headphones and listen to how this 99 yuan millet piston headphones so what's the difference, but the work is far better than millet headphones, design is wonderful, full extension cord is cumbersome. May buy sale Taobao and Jingdong easier. Return too much trouble, only Renzai, later need to buy can refer to.</v>
      </c>
    </row>
    <row r="6238">
      <c r="A6238" s="1">
        <v>4.0</v>
      </c>
      <c r="B6238" s="1" t="s">
        <v>6207</v>
      </c>
      <c r="C6238" t="str">
        <f>IFERROR(__xludf.DUMMYFUNCTION("GOOGLETRANSLATE(B6238, ""zh"", ""en"")"),"Very pretty, is too large a very good looking, is too large a")</f>
        <v>Very pretty, is too large a very good looking, is too large a</v>
      </c>
    </row>
    <row r="6239">
      <c r="A6239" s="1">
        <v>4.0</v>
      </c>
      <c r="B6239" s="1" t="s">
        <v>6208</v>
      </c>
      <c r="C6239" t="str">
        <f>IFERROR(__xludf.DUMMYFUNCTION("GOOGLETRANSLATE(B6239, ""zh"", ""en"")"),"Good is warm, put it unnatural to walk")</f>
        <v>Good is warm, put it unnatural to walk</v>
      </c>
    </row>
    <row r="6240">
      <c r="A6240" s="1">
        <v>4.0</v>
      </c>
      <c r="B6240" s="1" t="s">
        <v>6209</v>
      </c>
      <c r="C6240" t="str">
        <f>IFERROR(__xludf.DUMMYFUNCTION("GOOGLETRANSLATE(B6240, ""zh"", ""en"")"),"Scouring the sea for the first time, I feel pretty good shoes more appropriate, walking very comfortable, but slightly behind the right foot wear foot, left foot, but nothing yet, maybe the problem is my feet. . Scouring the sea for the first time, I feel"&amp;" very good! After scouring the sea on to Amazon myself")</f>
        <v>Scouring the sea for the first time, I feel pretty good shoes more appropriate, walking very comfortable, but slightly behind the right foot wear foot, left foot, but nothing yet, maybe the problem is my feet. . Scouring the sea for the first time, I feel very good! After scouring the sea on to Amazon myself</v>
      </c>
    </row>
    <row r="6241">
      <c r="A6241" s="1">
        <v>4.0</v>
      </c>
      <c r="B6241" s="1" t="s">
        <v>6210</v>
      </c>
      <c r="C6241" t="str">
        <f>IFERROR(__xludf.DUMMYFUNCTION("GOOGLETRANSLATE(B6241, ""zh"", ""en"")"),"Comfort package good, naked wearing comfort 👌.")</f>
        <v>Comfort package good, naked wearing comfort 👌.</v>
      </c>
    </row>
    <row r="6242">
      <c r="A6242" s="1">
        <v>4.0</v>
      </c>
      <c r="B6242" s="1" t="s">
        <v>6211</v>
      </c>
      <c r="C6242" t="str">
        <f>IFERROR(__xludf.DUMMYFUNCTION("GOOGLETRANSLATE(B6242, ""zh"", ""en"")"),"Overall okay Box USB port there is a problem, could not get the hard disk is helium, okay, do not know specifically what performance")</f>
        <v>Overall okay Box USB port there is a problem, could not get the hard disk is helium, okay, do not know specifically what performance</v>
      </c>
    </row>
    <row r="6243">
      <c r="A6243" s="1">
        <v>5.0</v>
      </c>
      <c r="B6243" s="1" t="s">
        <v>6212</v>
      </c>
      <c r="C6243" t="str">
        <f>IFERROR(__xludf.DUMMYFUNCTION("GOOGLETRANSLATE(B6243, ""zh"", ""en"")"),"Cost-effective domestic counter sales 1599, this money belongs to the classic, small discount, and now a good deal")</f>
        <v>Cost-effective domestic counter sales 1599, this money belongs to the classic, small discount, and now a good deal</v>
      </c>
    </row>
    <row r="6244">
      <c r="A6244" s="1">
        <v>5.0</v>
      </c>
      <c r="B6244" s="1" t="s">
        <v>6213</v>
      </c>
      <c r="C6244" t="str">
        <f>IFERROR(__xludf.DUMMYFUNCTION("GOOGLETRANSLATE(B6244, ""zh"", ""en"")"),"High cost, very satisfied with the fast delivery, genuine. . . Very satisfied")</f>
        <v>High cost, very satisfied with the fast delivery, genuine. . . Very satisfied</v>
      </c>
    </row>
    <row r="6245">
      <c r="A6245" s="1">
        <v>5.0</v>
      </c>
      <c r="B6245" s="1" t="s">
        <v>6214</v>
      </c>
      <c r="C6245" t="str">
        <f>IFERROR(__xludf.DUMMYFUNCTION("GOOGLETRANSLATE(B6245, ""zh"", ""en"")"),"Skid resistance good shoes to wear very comfortable, very good slip resistance rainy day, listening to friends say ecco shoes slip is very good, well-deserved reputation.")</f>
        <v>Skid resistance good shoes to wear very comfortable, very good slip resistance rainy day, listening to friends say ecco shoes slip is very good, well-deserved reputation.</v>
      </c>
    </row>
    <row r="6246">
      <c r="A6246" s="1">
        <v>5.0</v>
      </c>
      <c r="B6246" s="1" t="s">
        <v>6215</v>
      </c>
      <c r="C6246" t="str">
        <f>IFERROR(__xludf.DUMMYFUNCTION("GOOGLETRANSLATE(B6246, ""zh"", ""en"")"),"A little tight but also good quality, is that it can also be a bit tight")</f>
        <v>A little tight but also good quality, is that it can also be a bit tight</v>
      </c>
    </row>
    <row r="6247">
      <c r="A6247" s="1">
        <v>5.0</v>
      </c>
      <c r="B6247" s="1" t="s">
        <v>6216</v>
      </c>
      <c r="C6247" t="str">
        <f>IFERROR(__xludf.DUMMYFUNCTION("GOOGLETRANSLATE(B6247, ""zh"", ""en"")"),"Size is too large, but on the other comfortable before I quite like the United States and Asia transport back this ratio, N, repurchased.")</f>
        <v>Size is too large, but on the other comfortable before I quite like the United States and Asia transport back this ratio, N, repurchased.</v>
      </c>
    </row>
    <row r="6248">
      <c r="A6248" s="1">
        <v>5.0</v>
      </c>
      <c r="B6248" s="1" t="s">
        <v>6217</v>
      </c>
      <c r="C6248" t="str">
        <f>IFERROR(__xludf.DUMMYFUNCTION("GOOGLETRANSLATE(B6248, ""zh"", ""en"")"),"worth buying. Amazon's quality is guaranteed, as is the latest plus customs duties, than some East, a cat cheaper. Foot fat man's proposal to buy most of the code. Because it is standard shoes, no money 4E comfortable, a little bit tight.")</f>
        <v>worth buying. Amazon's quality is guaranteed, as is the latest plus customs duties, than some East, a cat cheaper. Foot fat man's proposal to buy most of the code. Because it is standard shoes, no money 4E comfortable, a little bit tight.</v>
      </c>
    </row>
    <row r="6249">
      <c r="A6249" s="1">
        <v>5.0</v>
      </c>
      <c r="B6249" s="1" t="s">
        <v>6218</v>
      </c>
      <c r="C6249" t="str">
        <f>IFERROR(__xludf.DUMMYFUNCTION("GOOGLETRANSLATE(B6249, ""zh"", ""en"")"),"Well, often buy something good, very good")</f>
        <v>Well, often buy something good, very good</v>
      </c>
    </row>
    <row r="6250">
      <c r="A6250" s="1">
        <v>5.0</v>
      </c>
      <c r="B6250" s="1" t="s">
        <v>6219</v>
      </c>
      <c r="C6250" t="str">
        <f>IFERROR(__xludf.DUMMYFUNCTION("GOOGLETRANSLATE(B6250, ""zh"", ""en"")"),"From not been evaluated previously in use, I do not know how many points wasted, but once saw evaluation, integration know can change money, particularly to evaluate to evaluate the. Can change money you can attract a lot of users.")</f>
        <v>From not been evaluated previously in use, I do not know how many points wasted, but once saw evaluation, integration know can change money, particularly to evaluate to evaluate the. Can change money you can attract a lot of users.</v>
      </c>
    </row>
    <row r="6251">
      <c r="A6251" s="1">
        <v>5.0</v>
      </c>
      <c r="B6251" s="1" t="s">
        <v>6220</v>
      </c>
      <c r="C6251" t="str">
        <f>IFERROR(__xludf.DUMMYFUNCTION("GOOGLETRANSLATE(B6251, ""zh"", ""en"")"),"Buy small, good stuff. Buy small, the stuff is good, thick, wear this winter is not cold, and buy smaller on the 1st, ready to give as gifts to buy one, very much.")</f>
        <v>Buy small, good stuff. Buy small, the stuff is good, thick, wear this winter is not cold, and buy smaller on the 1st, ready to give as gifts to buy one, very much.</v>
      </c>
    </row>
    <row r="6252">
      <c r="A6252" s="1">
        <v>5.0</v>
      </c>
      <c r="B6252" s="1" t="s">
        <v>6221</v>
      </c>
      <c r="C6252" t="str">
        <f>IFERROR(__xludf.DUMMYFUNCTION("GOOGLETRANSLATE(B6252, ""zh"", ""en"")"),"Fast it is to have a little bit of stick together")</f>
        <v>Fast it is to have a little bit of stick together</v>
      </c>
    </row>
    <row r="6253">
      <c r="A6253" s="1">
        <v>5.0</v>
      </c>
      <c r="B6253" s="1" t="s">
        <v>6222</v>
      </c>
      <c r="C6253" t="str">
        <f>IFERROR(__xludf.DUMMYFUNCTION("GOOGLETRANSLATE(B6253, ""zh"", ""en"")"),"Good shoes, style is superb, is too small a little bit ~ recommend everyone to buy oh well, never went before the evaluation, I do not know how many points wasted, now know that integration can change money necessary to properly evaluate it good shoes, st"&amp;"yle is superb is a little too small oh ~ recommend everyone to buy")</f>
        <v>Good shoes, style is superb, is too small a little bit ~ recommend everyone to buy oh well, never went before the evaluation, I do not know how many points wasted, now know that integration can change money necessary to properly evaluate it good shoes, style is superb is a little too small oh ~ recommend everyone to buy</v>
      </c>
    </row>
    <row r="6254">
      <c r="A6254" s="1">
        <v>5.0</v>
      </c>
      <c r="B6254" s="1" t="s">
        <v>6223</v>
      </c>
      <c r="C6254" t="str">
        <f>IFERROR(__xludf.DUMMYFUNCTION("GOOGLETRANSLATE(B6254, ""zh"", ""en"")"),"Clean clean, easy storage")</f>
        <v>Clean clean, easy storage</v>
      </c>
    </row>
    <row r="6255">
      <c r="A6255" s="1">
        <v>5.0</v>
      </c>
      <c r="B6255" s="1" t="s">
        <v>6224</v>
      </c>
      <c r="C6255" t="str">
        <f>IFERROR(__xludf.DUMMYFUNCTION("GOOGLETRANSLATE(B6255, ""zh"", ""en"")"),"Straight trousers big! ! ! 178 70kg waist 84cm, 32 × 30 exactly, which can wear Qiuku article. One boss color slightly darker, which was old-fashioned, and second legs straight, legs around 40cm, if it is trapped leg version should be able to better point"&amp;".")</f>
        <v>Straight trousers big! ! ! 178 70kg waist 84cm, 32 × 30 exactly, which can wear Qiuku article. One boss color slightly darker, which was old-fashioned, and second legs straight, legs around 40cm, if it is trapped leg version should be able to better point.</v>
      </c>
    </row>
    <row r="6256">
      <c r="A6256" s="1">
        <v>5.0</v>
      </c>
      <c r="B6256" s="1" t="s">
        <v>6225</v>
      </c>
      <c r="C6256" t="str">
        <f>IFERROR(__xludf.DUMMYFUNCTION("GOOGLETRANSLATE(B6256, ""zh"", ""en"")"),"Cost-effective to beyond imagination! Cheaper than the counter more than half of all! Genuine!")</f>
        <v>Cost-effective to beyond imagination! Cheaper than the counter more than half of all! Genuine!</v>
      </c>
    </row>
    <row r="6257">
      <c r="A6257" s="1">
        <v>5.0</v>
      </c>
      <c r="B6257" s="1" t="s">
        <v>6226</v>
      </c>
      <c r="C6257" t="str">
        <f>IFERROR(__xludf.DUMMYFUNCTION("GOOGLETRANSLATE(B6257, ""zh"", ""en"")"),"Like headphones finally arrived, and could not wait to fully charged, the charge is very fast, sound quality is very good, very clear voice, in addition to a weaker bass Diudiu, others are very good. Really like.")</f>
        <v>Like headphones finally arrived, and could not wait to fully charged, the charge is very fast, sound quality is very good, very clear voice, in addition to a weaker bass Diudiu, others are very good. Really like.</v>
      </c>
    </row>
    <row r="6258">
      <c r="A6258" s="1">
        <v>5.0</v>
      </c>
      <c r="B6258" s="1" t="s">
        <v>6227</v>
      </c>
      <c r="C6258" t="str">
        <f>IFERROR(__xludf.DUMMYFUNCTION("GOOGLETRANSLATE(B6258, ""zh"", ""en"")"),"Good store food supplement very convenient, is generally stored under, eat hot soup, when put like a microwave oven to store food supplement very convenient, is generally stored in the stock class, eat, when put under microwave heat")</f>
        <v>Good store food supplement very convenient, is generally stored under, eat hot soup, when put like a microwave oven to store food supplement very convenient, is generally stored in the stock class, eat, when put under microwave heat</v>
      </c>
    </row>
    <row r="6259">
      <c r="A6259" s="1">
        <v>5.0</v>
      </c>
      <c r="B6259" s="1" t="s">
        <v>6228</v>
      </c>
      <c r="C6259" t="str">
        <f>IFERROR(__xludf.DUMMYFUNCTION("GOOGLETRANSLATE(B6259, ""zh"", ""en"")"),"Good bowl of very good quality, complete specifications, design intimate")</f>
        <v>Good bowl of very good quality, complete specifications, design intimate</v>
      </c>
    </row>
    <row r="6260">
      <c r="A6260" s="1">
        <v>5.0</v>
      </c>
      <c r="B6260" s="1" t="s">
        <v>6229</v>
      </c>
      <c r="C6260" t="str">
        <f>IFERROR(__xludf.DUMMYFUNCTION("GOOGLETRANSLATE(B6260, ""zh"", ""en"")"),"Comfortable to wear very pleasant surprise, pantyhose solid color is not very rigid, but interwoven by a gray, gray-blue, yellow, purple together to form the elegant gray. This is just a few days late spring, but fortunately bought in advance now put. I i"&amp;"ntend to buy a few, after the cool spring and autumn weather when you can wear. In addition courier for a week early than we expected.")</f>
        <v>Comfortable to wear very pleasant surprise, pantyhose solid color is not very rigid, but interwoven by a gray, gray-blue, yellow, purple together to form the elegant gray. This is just a few days late spring, but fortunately bought in advance now put. I intend to buy a few, after the cool spring and autumn weather when you can wear. In addition courier for a week early than we expected.</v>
      </c>
    </row>
    <row r="6261">
      <c r="A6261" s="1">
        <v>5.0</v>
      </c>
      <c r="B6261" s="1" t="s">
        <v>6230</v>
      </c>
      <c r="C6261" t="str">
        <f>IFERROR(__xludf.DUMMYFUNCTION("GOOGLETRANSLATE(B6261, ""zh"", ""en"")"),"Good global voltage, the global supply voltage from 110 to 240, but the charging voltage of 5.2 V Indeed, it seems a nickel-hydrogen rechargeable battery 2.4.")</f>
        <v>Good global voltage, the global supply voltage from 110 to 240, but the charging voltage of 5.2 V Indeed, it seems a nickel-hydrogen rechargeable battery 2.4.</v>
      </c>
    </row>
    <row r="6262">
      <c r="A6262" s="1">
        <v>5.0</v>
      </c>
      <c r="B6262" s="1" t="s">
        <v>6231</v>
      </c>
      <c r="C6262" t="str">
        <f>IFERROR(__xludf.DUMMYFUNCTION("GOOGLETRANSLATE(B6262, ""zh"", ""en"")"),"Packaging intact logistics ultrafast single week received the goods, packaging intact, not damaged or pinched. Shelf life Exp0723 do not know whether to July this year, to get the day started taking, flatulence and ran regulate the purchase, follow-catchi"&amp;"ng comment. ps eat when there are shares creamy, not hate, like yogurt. Comments on taking a month to recover, more thorough defecation, do not they stay, and shaping. ✌")</f>
        <v>Packaging intact logistics ultrafast single week received the goods, packaging intact, not damaged or pinched. Shelf life Exp0723 do not know whether to July this year, to get the day started taking, flatulence and ran regulate the purchase, follow-catching comment. ps eat when there are shares creamy, not hate, like yogurt. Comments on taking a month to recover, more thorough defecation, do not they stay, and shaping. ✌</v>
      </c>
    </row>
    <row r="6263">
      <c r="A6263" s="1">
        <v>5.0</v>
      </c>
      <c r="B6263" s="1" t="s">
        <v>6232</v>
      </c>
      <c r="C6263" t="str">
        <f>IFERROR(__xludf.DUMMYFUNCTION("GOOGLETRANSLATE(B6263, ""zh"", ""en"")"),"200 less than very good fast may put forward a Citizen Eco-Drive, the Foreign Secretary is very good value, but the exact texture much like toys, QQ brand is not worth a look, consider ah, Casio still the same person can not see out of the low end of the "&amp;"price")</f>
        <v>200 less than very good fast may put forward a Citizen Eco-Drive, the Foreign Secretary is very good value, but the exact texture much like toys, QQ brand is not worth a look, consider ah, Casio still the same person can not see out of the low end of the price</v>
      </c>
    </row>
    <row r="6264">
      <c r="A6264" s="1">
        <v>5.0</v>
      </c>
      <c r="B6264" s="1" t="s">
        <v>6233</v>
      </c>
      <c r="C6264" t="str">
        <f>IFERROR(__xludf.DUMMYFUNCTION("GOOGLETRANSLATE(B6264, ""zh"", ""en"")"),"Good pen. Easy, fluent, spring feel good. 0.5 personal feeling a little bit rough, it may be better 0.3 or 0.38.")</f>
        <v>Good pen. Easy, fluent, spring feel good. 0.5 personal feeling a little bit rough, it may be better 0.3 or 0.38.</v>
      </c>
    </row>
    <row r="6265">
      <c r="A6265" s="1">
        <v>2.0</v>
      </c>
      <c r="B6265" s="1" t="s">
        <v>6234</v>
      </c>
      <c r="C6265" t="str">
        <f>IFERROR(__xludf.DUMMYFUNCTION("GOOGLETRANSLATE(B6265, ""zh"", ""en"")"),"Shoes have nothing to say, is to Tucao shopping experience. . . Very good quality shoes, that is too small. . . Just length, but it is too narrow width, can not wear, wear to the father. . . Here have Tucao sea outsourcing experience it, you buy abroad is"&amp;" not like a treasure in a east, there is a small two Han Han's shopping guide, the quality and size of the different manufacturers of shoes I can only review by other customers as a reference. . . The results bought, or even too small a. . . Too small to "&amp;"small, I need a replacement, you want to freshman code, but replacement return the United States want to return the goods warehouse and shipping to be out by the customer. . . I checked under freight from China to the United States. . . Nearly three hundr"&amp;"ed yuan ah! ! I buy shoes only more than four! ! You let me how to change, how back? ? There is no better solution? Currently I am sure this will not be a pair of shoes in the Amazon it. . . Why not have a transit warehouse in the country do? I sent this "&amp;"interim storage, shipping out ah I can, you focus on the Amazon once again return to the United States ah. . . Moreover, these products made in china ah. . .")</f>
        <v>Shoes have nothing to say, is to Tucao shopping experience. . . Very good quality shoes, that is too small. . . Just length, but it is too narrow width, can not wear, wear to the father. . . Here have Tucao sea outsourcing experience it, you buy abroad is not like a treasure in a east, there is a small two Han Han's shopping guide, the quality and size of the different manufacturers of shoes I can only review by other customers as a reference. . . The results bought, or even too small a. . . Too small to small, I need a replacement, you want to freshman code, but replacement return the United States want to return the goods warehouse and shipping to be out by the customer. . . I checked under freight from China to the United States. . . Nearly three hundred yuan ah! ! I buy shoes only more than four! ! You let me how to change, how back? ? There is no better solution? Currently I am sure this will not be a pair of shoes in the Amazon it. . . Why not have a transit warehouse in the country do? I sent this interim storage, shipping out ah I can, you focus on the Amazon once again return to the United States ah. . . Moreover, these products made in china ah. . .</v>
      </c>
    </row>
    <row r="6266">
      <c r="A6266" s="1">
        <v>3.0</v>
      </c>
      <c r="B6266" s="1" t="s">
        <v>6235</v>
      </c>
      <c r="C6266" t="str">
        <f>IFERROR(__xludf.DUMMYFUNCTION("GOOGLETRANSLATE(B6266, ""zh"", ""en"")"),"Look good, but flawed shoes are very light, very attached legs, put on feeling very good, and almost Suokang Ni lightweight, but some of the more wrapped feet. However, the biggest problem is, before skirting the location of this subsection shoes is a lit"&amp;"tle hard and hold up after two days when walking through it is easy to fold up, so that the toes are against the very uncomfortable, need to remove the shoe again push up , very depressed, but why has not passed through after the return.")</f>
        <v>Look good, but flawed shoes are very light, very attached legs, put on feeling very good, and almost Suokang Ni lightweight, but some of the more wrapped feet. However, the biggest problem is, before skirting the location of this subsection shoes is a little hard and hold up after two days when walking through it is easy to fold up, so that the toes are against the very uncomfortable, need to remove the shoe again push up , very depressed, but why has not passed through after the return.</v>
      </c>
    </row>
    <row r="6267">
      <c r="A6267" s="1">
        <v>3.0</v>
      </c>
      <c r="B6267" s="1" t="s">
        <v>6236</v>
      </c>
      <c r="C6267" t="str">
        <f>IFERROR(__xludf.DUMMYFUNCTION("GOOGLETRANSLATE(B6267, ""zh"", ""en"")"),"Unlike genuine disappointment clothes, early last year, worse than the United States and Asia transshipment of goods, do not feel good, hip fluff, the key is the fade very serious.")</f>
        <v>Unlike genuine disappointment clothes, early last year, worse than the United States and Asia transshipment of goods, do not feel good, hip fluff, the key is the fade very serious.</v>
      </c>
    </row>
    <row r="6268">
      <c r="A6268" s="1">
        <v>1.0</v>
      </c>
      <c r="B6268" s="1" t="s">
        <v>6237</v>
      </c>
      <c r="C6268" t="str">
        <f>IFERROR(__xludf.DUMMYFUNCTION("GOOGLETRANSLATE(B6268, ""zh"", ""en"")"),"Poor workmanship mess, not quite like really, pants zipper inside all thread")</f>
        <v>Poor workmanship mess, not quite like really, pants zipper inside all thread</v>
      </c>
    </row>
    <row r="6269">
      <c r="A6269" s="1">
        <v>1.0</v>
      </c>
      <c r="B6269" s="1" t="s">
        <v>6238</v>
      </c>
      <c r="C6269" t="str">
        <f>IFERROR(__xludf.DUMMYFUNCTION("GOOGLETRANSLATE(B6269, ""zh"", ""en"")"),"# # Poor serious internal problems as fleece fiber quality clothes off seriously affect the normal dress! The return of four days! I can not wait I need a return trip! Give a bad review.")</f>
        <v># # Poor serious internal problems as fleece fiber quality clothes off seriously affect the normal dress! The return of four days! I can not wait I need a return trip! Give a bad review.</v>
      </c>
    </row>
    <row r="6270">
      <c r="A6270" s="1">
        <v>1.0</v>
      </c>
      <c r="B6270" s="1" t="s">
        <v>1458</v>
      </c>
      <c r="C6270" t="str">
        <f>IFERROR(__xludf.DUMMYFUNCTION("GOOGLETRANSLATE(B6270, ""zh"", ""en"")"),"so so. A lie is too large. The fabric is not the same with photos. Not worth! Prices are subject to change? When I bought 350, now 318? Big loss!")</f>
        <v>so so. A lie is too large. The fabric is not the same with photos. Not worth! Prices are subject to change? When I bought 350, now 318? Big loss!</v>
      </c>
    </row>
    <row r="6271">
      <c r="A6271" s="1">
        <v>4.0</v>
      </c>
      <c r="B6271" s="1" t="s">
        <v>6239</v>
      </c>
      <c r="C6271" t="str">
        <f>IFERROR(__xludf.DUMMYFUNCTION("GOOGLETRANSLATE(B6271, ""zh"", ""en"")"),"General size too small, a little tight, hot days cover their feet, did not imagine the soft soles")</f>
        <v>General size too small, a little tight, hot days cover their feet, did not imagine the soft soles</v>
      </c>
    </row>
    <row r="6272">
      <c r="A6272" s="1">
        <v>4.0</v>
      </c>
      <c r="B6272" s="1" t="s">
        <v>6240</v>
      </c>
      <c r="C6272" t="str">
        <f>IFERROR(__xludf.DUMMYFUNCTION("GOOGLETRANSLATE(B6272, ""zh"", ""en"")"),"Very smooth but thick nib, like Parker pen quite satisfactory it. See other domestic electronic business platform to sell a minimum of Waterman pens have to play seven or eight hundred block, this block as long as a hundred very cheap. But it said the gra"&amp;"duate model is made in China. Specific feel I have made in the last photo. The water is smooth smooth, no scratch paper. But nothing elastic thick pen, can only write ligatures running script can be. Not suitable for Chinese characters used to write hard "&amp;"brush calligraphy. With Japanese pen nib that immeasurably, not a concept. If you just bring something usually record, the pursuit of writing fast and smooth, do not pay attention to write calligraphy Gonggongzhengzheng block letters, it does not matter. "&amp;"Tried it, you can plug Schneider pen on ink.")</f>
        <v>Very smooth but thick nib, like Parker pen quite satisfactory it. See other domestic electronic business platform to sell a minimum of Waterman pens have to play seven or eight hundred block, this block as long as a hundred very cheap. But it said the graduate model is made in China. Specific feel I have made in the last photo. The water is smooth smooth, no scratch paper. But nothing elastic thick pen, can only write ligatures running script can be. Not suitable for Chinese characters used to write hard brush calligraphy. With Japanese pen nib that immeasurably, not a concept. If you just bring something usually record, the pursuit of writing fast and smooth, do not pay attention to write calligraphy Gonggongzhengzheng block letters, it does not matter. Tried it, you can plug Schneider pen on ink.</v>
      </c>
    </row>
    <row r="6273">
      <c r="A6273" s="1">
        <v>4.0</v>
      </c>
      <c r="B6273" s="1" t="s">
        <v>6241</v>
      </c>
      <c r="C6273" t="str">
        <f>IFERROR(__xludf.DUMMYFUNCTION("GOOGLETRANSLATE(B6273, ""zh"", ""en"")"),"Wait for a good table, polished skills, good texture, thick, logistics is too slow, waited a month")</f>
        <v>Wait for a good table, polished skills, good texture, thick, logistics is too slow, waited a month</v>
      </c>
    </row>
    <row r="6274">
      <c r="A6274" s="1">
        <v>4.0</v>
      </c>
      <c r="B6274" s="1" t="s">
        <v>6242</v>
      </c>
      <c r="C6274" t="str">
        <f>IFERROR(__xludf.DUMMYFUNCTION("GOOGLETRANSLATE(B6274, ""zh"", ""en"")"),"Yes the price is good, quality okay")</f>
        <v>Yes the price is good, quality okay</v>
      </c>
    </row>
    <row r="6275">
      <c r="A6275" s="1">
        <v>4.0</v>
      </c>
      <c r="B6275" s="1" t="s">
        <v>6243</v>
      </c>
      <c r="C6275" t="str">
        <f>IFERROR(__xludf.DUMMYFUNCTION("GOOGLETRANSLATE(B6275, ""zh"", ""en"")"),"Good sound quality headphones received today, packaging is very simple! Is burning machine, so far, the sound quality is like, defeat BEATS-ear Bluetooth headset, iron absorption is good design, easy storage! Unfortunately, not equipped with storage box, "&amp;"with no soft silicone earphone plug! Expected effect after the burn is completed!")</f>
        <v>Good sound quality headphones received today, packaging is very simple! Is burning machine, so far, the sound quality is like, defeat BEATS-ear Bluetooth headset, iron absorption is good design, easy storage! Unfortunately, not equipped with storage box, with no soft silicone earphone plug! Expected effect after the burn is completed!</v>
      </c>
    </row>
    <row r="6276">
      <c r="A6276" s="1">
        <v>5.0</v>
      </c>
      <c r="B6276" s="1" t="s">
        <v>6244</v>
      </c>
      <c r="C6276" t="str">
        <f>IFERROR(__xludf.DUMMYFUNCTION("GOOGLETRANSLATE(B6276, ""zh"", ""en"")"),"Very beautiful bone china bowl set of different series of five small bowl filled with bone china patterns of five servings of fruits, looked feel fresh, slightly outside the lines weave a sense of the level, does not slip in his hand good clean, good-look"&amp;"ing and practical design, perfect.")</f>
        <v>Very beautiful bone china bowl set of different series of five small bowl filled with bone china patterns of five servings of fruits, looked feel fresh, slightly outside the lines weave a sense of the level, does not slip in his hand good clean, good-looking and practical design, perfect.</v>
      </c>
    </row>
    <row r="6277">
      <c r="A6277" s="1">
        <v>5.0</v>
      </c>
      <c r="B6277" s="1" t="s">
        <v>6245</v>
      </c>
      <c r="C6277" t="str">
        <f>IFERROR(__xludf.DUMMYFUNCTION("GOOGLETRANSLATE(B6277, ""zh"", ""en"")"),"No problem how plastic taste ah Weighs We have been using this with a very good milk storage bags can not use your heating is not the right way?")</f>
        <v>No problem how plastic taste ah Weighs We have been using this with a very good milk storage bags can not use your heating is not the right way?</v>
      </c>
    </row>
    <row r="6278">
      <c r="A6278" s="1">
        <v>5.0</v>
      </c>
      <c r="B6278" s="1" t="s">
        <v>6246</v>
      </c>
      <c r="C6278" t="str">
        <f>IFERROR(__xludf.DUMMYFUNCTION("GOOGLETRANSLATE(B6278, ""zh"", ""en"")"),"Very, very good big face plate invincible large, with more than just a fist, this is easy to transport fully booked, with ups speed immeasurably, but this did not come naked ......")</f>
        <v>Very, very good big face plate invincible large, with more than just a fist, this is easy to transport fully booked, with ups speed immeasurably, but this did not come naked ......</v>
      </c>
    </row>
    <row r="6279">
      <c r="A6279" s="1">
        <v>5.0</v>
      </c>
      <c r="B6279" s="1" t="s">
        <v>6247</v>
      </c>
      <c r="C6279" t="str">
        <f>IFERROR(__xludf.DUMMYFUNCTION("GOOGLETRANSLATE(B6279, ""zh"", ""en"")"),"Other than a little bit under pressure most of the code instep, estimated to wear a wear like, other perfect!")</f>
        <v>Other than a little bit under pressure most of the code instep, estimated to wear a wear like, other perfect!</v>
      </c>
    </row>
    <row r="6280">
      <c r="A6280" s="1">
        <v>5.0</v>
      </c>
      <c r="B6280" s="1" t="s">
        <v>6248</v>
      </c>
      <c r="C6280" t="str">
        <f>IFERROR(__xludf.DUMMYFUNCTION("GOOGLETRANSLATE(B6280, ""zh"", ""en"")"),"They eat their own food")</f>
        <v>They eat their own food</v>
      </c>
    </row>
    <row r="6281">
      <c r="A6281" s="1">
        <v>5.0</v>
      </c>
      <c r="B6281" s="1" t="s">
        <v>6249</v>
      </c>
      <c r="C6281" t="str">
        <f>IFERROR(__xludf.DUMMYFUNCTION("GOOGLETRANSLATE(B6281, ""zh"", ""en"")"),"Not bad something good, for the first time to buy such a large capacity, about the actual 7.2tb.")</f>
        <v>Not bad something good, for the first time to buy such a large capacity, about the actual 7.2tb.</v>
      </c>
    </row>
    <row r="6282">
      <c r="A6282" s="1">
        <v>5.0</v>
      </c>
      <c r="B6282" s="1" t="s">
        <v>6250</v>
      </c>
      <c r="C6282" t="str">
        <f>IFERROR(__xludf.DUMMYFUNCTION("GOOGLETRANSLATE(B6282, ""zh"", ""en"")"),"Well today received immediately squeezed orange juice, light sound, juice rate. Affordable tax-total 267 yuan")</f>
        <v>Well today received immediately squeezed orange juice, light sound, juice rate. Affordable tax-total 267 yuan</v>
      </c>
    </row>
    <row r="6283">
      <c r="A6283" s="1">
        <v>5.0</v>
      </c>
      <c r="B6283" s="1" t="s">
        <v>6251</v>
      </c>
      <c r="C6283" t="str">
        <f>IFERROR(__xludf.DUMMYFUNCTION("GOOGLETRANSLATE(B6283, ""zh"", ""en"")"),"Pants have elastic 158,54 kg, buy the appropriate code, in accordance with hip buy more appropriate, because the waist is elastic, elastic waist varies, I like to have a certain sense of tight.")</f>
        <v>Pants have elastic 158,54 kg, buy the appropriate code, in accordance with hip buy more appropriate, because the waist is elastic, elastic waist varies, I like to have a certain sense of tight.</v>
      </c>
    </row>
    <row r="6284">
      <c r="A6284" s="1">
        <v>5.0</v>
      </c>
      <c r="B6284" s="1" t="s">
        <v>6252</v>
      </c>
      <c r="C6284" t="str">
        <f>IFERROR(__xludf.DUMMYFUNCTION("GOOGLETRANSLATE(B6284, ""zh"", ""en"")"),"Clothes suit you fine clothes")</f>
        <v>Clothes suit you fine clothes</v>
      </c>
    </row>
    <row r="6285">
      <c r="A6285" s="1">
        <v>5.0</v>
      </c>
      <c r="B6285" s="1" t="s">
        <v>6253</v>
      </c>
      <c r="C6285" t="str">
        <f>IFERROR(__xludf.DUMMYFUNCTION("GOOGLETRANSLATE(B6285, ""zh"", ""en"")"),"Lamor I tell you roar, really can be, is raising")</f>
        <v>Lamor I tell you roar, really can be, is raising</v>
      </c>
    </row>
    <row r="6286">
      <c r="A6286" s="1">
        <v>5.0</v>
      </c>
      <c r="B6286" s="1" t="s">
        <v>6254</v>
      </c>
      <c r="C6286" t="str">
        <f>IFERROR(__xludf.DUMMYFUNCTION("GOOGLETRANSLATE(B6286, ""zh"", ""en"")"),"Pretty cool feeling fine shoe color dark brown, calm, soft leather, feel super good, appearance handsome, generous, classic, comfortable, slightly larger than the standard code, at least half cheaper than the store, a highly recommended.")</f>
        <v>Pretty cool feeling fine shoe color dark brown, calm, soft leather, feel super good, appearance handsome, generous, classic, comfortable, slightly larger than the standard code, at least half cheaper than the store, a highly recommended.</v>
      </c>
    </row>
    <row r="6287">
      <c r="A6287" s="1">
        <v>5.0</v>
      </c>
      <c r="B6287" s="1" t="s">
        <v>6255</v>
      </c>
      <c r="C6287" t="str">
        <f>IFERROR(__xludf.DUMMYFUNCTION("GOOGLETRANSLATE(B6287, ""zh"", ""en"")"),"Good hard disk has been in use, good speed 1")</f>
        <v>Good hard disk has been in use, good speed 1</v>
      </c>
    </row>
    <row r="6288">
      <c r="A6288" s="1">
        <v>5.0</v>
      </c>
      <c r="B6288" s="1" t="s">
        <v>6256</v>
      </c>
      <c r="C6288" t="str">
        <f>IFERROR(__xludf.DUMMYFUNCTION("GOOGLETRANSLATE(B6288, ""zh"", ""en"")"),"Straw mug good for the children to use, it can not have been particularly insulation, which is the basic common sense to buy the insulation lid section, write cold also for security reasons, do not see the past, some people still do not understand the bli"&amp;"nd review. Product is very good very satisfied")</f>
        <v>Straw mug good for the children to use, it can not have been particularly insulation, which is the basic common sense to buy the insulation lid section, write cold also for security reasons, do not see the past, some people still do not understand the blind review. Product is very good very satisfied</v>
      </c>
    </row>
    <row r="6289">
      <c r="A6289" s="1">
        <v>5.0</v>
      </c>
      <c r="B6289" s="1" t="s">
        <v>6257</v>
      </c>
      <c r="C6289" t="str">
        <f>IFERROR(__xludf.DUMMYFUNCTION("GOOGLETRANSLATE(B6289, ""zh"", ""en"")"),"Very satisfied with my wife bought, she said very suitable (height 167cm weight 116 pounds) hope to give newcomers to reference")</f>
        <v>Very satisfied with my wife bought, she said very suitable (height 167cm weight 116 pounds) hope to give newcomers to reference</v>
      </c>
    </row>
    <row r="6290">
      <c r="A6290" s="1">
        <v>5.0</v>
      </c>
      <c r="B6290" s="1" t="s">
        <v>6258</v>
      </c>
      <c r="C6290" t="str">
        <f>IFERROR(__xludf.DUMMYFUNCTION("GOOGLETRANSLATE(B6290, ""zh"", ""en"")"),"About 42.5 shoe sports shoes, 41 shoes, buy 7.5UK wearing just right. Very comfortable, but not suitable for the northern winter wear, now wearing a little cold")</f>
        <v>About 42.5 shoe sports shoes, 41 shoes, buy 7.5UK wearing just right. Very comfortable, but not suitable for the northern winter wear, now wearing a little cold</v>
      </c>
    </row>
    <row r="6291">
      <c r="A6291" s="1">
        <v>5.0</v>
      </c>
      <c r="B6291" s="1" t="s">
        <v>6259</v>
      </c>
      <c r="C6291" t="str">
        <f>IFERROR(__xludf.DUMMYFUNCTION("GOOGLETRANSLATE(B6291, ""zh"", ""en"")"),"Satisfied Asics 42.5, nike.ad42. This 41 (7.5uk, 7U s) appropriate size. The new shoe press instep, heel foot wear, thick insoles other shoe to step change in return for a few days and then the problem goes away, comfort and appearance. GTX rain ten minut"&amp;"es without pressure, thick leather, style in general, work fair (slight excess glue), 20 degrees for wear. Thick soles thick insoles, have increased the effect :). for reference only")</f>
        <v>Satisfied Asics 42.5, nike.ad42. This 41 (7.5uk, 7U s) appropriate size. The new shoe press instep, heel foot wear, thick insoles other shoe to step change in return for a few days and then the problem goes away, comfort and appearance. GTX rain ten minutes without pressure, thick leather, style in general, work fair (slight excess glue), 20 degrees for wear. Thick soles thick insoles, have increased the effect :). for reference only</v>
      </c>
    </row>
    <row r="6292">
      <c r="A6292" s="1">
        <v>5.0</v>
      </c>
      <c r="B6292" s="1" t="s">
        <v>6260</v>
      </c>
      <c r="C6292" t="str">
        <f>IFERROR(__xludf.DUMMYFUNCTION("GOOGLETRANSLATE(B6292, ""zh"", ""en"")"),"Okay too large")</f>
        <v>Okay too large</v>
      </c>
    </row>
    <row r="6293">
      <c r="A6293" s="1">
        <v>5.0</v>
      </c>
      <c r="B6293" s="1" t="s">
        <v>6261</v>
      </c>
      <c r="C6293" t="str">
        <f>IFERROR(__xludf.DUMMYFUNCTION("GOOGLETRANSLATE(B6293, ""zh"", ""en"")"),"Very thin, I kick Ta")</f>
        <v>Very thin, I kick Ta</v>
      </c>
    </row>
    <row r="6294">
      <c r="A6294" s="1">
        <v>5.0</v>
      </c>
      <c r="B6294" s="1" t="s">
        <v>6262</v>
      </c>
      <c r="C6294" t="str">
        <f>IFERROR(__xludf.DUMMYFUNCTION("GOOGLETRANSLATE(B6294, ""zh"", ""en"")"),"Good to wear, comfortable! Very comfortable shoes, the soles of his house is new technology, very satisfied!")</f>
        <v>Good to wear, comfortable! Very comfortable shoes, the soles of his house is new technology, very satisfied!</v>
      </c>
    </row>
    <row r="6295">
      <c r="A6295" s="1">
        <v>5.0</v>
      </c>
      <c r="B6295" s="1" t="s">
        <v>6263</v>
      </c>
      <c r="C6295" t="str">
        <f>IFERROR(__xludf.DUMMYFUNCTION("GOOGLETRANSLATE(B6295, ""zh"", ""en"")"),"Convenient shopping baby to eat a long high-convenience shopping baby eat a long high")</f>
        <v>Convenient shopping baby to eat a long high-convenience shopping baby eat a long high</v>
      </c>
    </row>
    <row r="6296">
      <c r="A6296" s="1">
        <v>5.0</v>
      </c>
      <c r="B6296" s="1" t="s">
        <v>6264</v>
      </c>
      <c r="C6296" t="str">
        <f>IFERROR(__xludf.DUMMYFUNCTION("GOOGLETRANSLATE(B6296, ""zh"", ""en"")"),"Very good quality, 41 yards, 8D (M) suitable, very light shoes.")</f>
        <v>Very good quality, 41 yards, 8D (M) suitable, very light shoes.</v>
      </c>
    </row>
    <row r="6297">
      <c r="A6297" s="1">
        <v>5.0</v>
      </c>
      <c r="B6297" s="1" t="s">
        <v>6265</v>
      </c>
      <c r="C6297" t="str">
        <f>IFERROR(__xludf.DUMMYFUNCTION("GOOGLETRANSLATE(B6297, ""zh"", ""en"")"),"Comfortable pants comfortable to wear, 165cm. 51kg wear two on the line.")</f>
        <v>Comfortable pants comfortable to wear, 165cm. 51kg wear two on the line.</v>
      </c>
    </row>
    <row r="6298">
      <c r="A6298" s="1">
        <v>2.0</v>
      </c>
      <c r="B6298" s="1" t="s">
        <v>6266</v>
      </c>
      <c r="C6298" t="str">
        <f>IFERROR(__xludf.DUMMYFUNCTION("GOOGLETRANSLATE(B6298, ""zh"", ""en"")"),"I only want to buy quality shoes origin of the product can also be felt, but unfortunately not the Danish origin of products, the overseas purchase, from thousands of miles away in Germany but sent the shoes are made in China, let me down, against my purc"&amp;"hase the original intention of the origin of imported shoes.")</f>
        <v>I only want to buy quality shoes origin of the product can also be felt, but unfortunately not the Danish origin of products, the overseas purchase, from thousands of miles away in Germany but sent the shoes are made in China, let me down, against my purchase the original intention of the origin of imported shoes.</v>
      </c>
    </row>
    <row r="6299">
      <c r="A6299" s="1">
        <v>3.0</v>
      </c>
      <c r="B6299" s="1" t="s">
        <v>6267</v>
      </c>
      <c r="C6299" t="str">
        <f>IFERROR(__xludf.DUMMYFUNCTION("GOOGLETRANSLATE(B6299, ""zh"", ""en"")"),"OK bit thick material, a lot more cuff material, height and weight 97 kg 186 Chest 106 cm, suitable")</f>
        <v>OK bit thick material, a lot more cuff material, height and weight 97 kg 186 Chest 106 cm, suitable</v>
      </c>
    </row>
    <row r="6300">
      <c r="A6300" s="1">
        <v>3.0</v>
      </c>
      <c r="B6300" s="1" t="s">
        <v>6268</v>
      </c>
      <c r="C6300" t="str">
        <f>IFERROR(__xludf.DUMMYFUNCTION("GOOGLETRANSLATE(B6300, ""zh"", ""en"")"),"Too many flaws! Part of the cortex toe cracking! Amazon let me down this time too! This quality can think of clarks now seems a little better, but so are so many flaws!")</f>
        <v>Too many flaws! Part of the cortex toe cracking! Amazon let me down this time too! This quality can think of clarks now seems a little better, but so are so many flaws!</v>
      </c>
    </row>
    <row r="6301">
      <c r="A6301" s="1">
        <v>3.0</v>
      </c>
      <c r="B6301" s="1" t="s">
        <v>6269</v>
      </c>
      <c r="C6301" t="str">
        <f>IFERROR(__xludf.DUMMYFUNCTION("GOOGLETRANSLATE(B6301, ""zh"", ""en"")"),"Overall good, origin Bangladesh, the surface a little flaw! The version is not bad, is the country of origin Bangladesh, details of the deal to be less production in Vietnam, the skin surface of some small flaws, but does not affect the wear!")</f>
        <v>Overall good, origin Bangladesh, the surface a little flaw! The version is not bad, is the country of origin Bangladesh, details of the deal to be less production in Vietnam, the skin surface of some small flaws, but does not affect the wear!</v>
      </c>
    </row>
    <row r="6302">
      <c r="A6302" s="1">
        <v>1.0</v>
      </c>
      <c r="B6302" s="1" t="s">
        <v>6270</v>
      </c>
      <c r="C6302" t="str">
        <f>IFERROR(__xludf.DUMMYFUNCTION("GOOGLETRANSLATE(B6302, ""zh"", ""en"")"),"Before buying poor quality comparison pacifier in number. Mom feel workmanship, stiff. Serious doubts whether it is genuine.")</f>
        <v>Before buying poor quality comparison pacifier in number. Mom feel workmanship, stiff. Serious doubts whether it is genuine.</v>
      </c>
    </row>
    <row r="6303">
      <c r="A6303" s="1">
        <v>1.0</v>
      </c>
      <c r="B6303" s="1" t="s">
        <v>6271</v>
      </c>
      <c r="C6303" t="str">
        <f>IFERROR(__xludf.DUMMYFUNCTION("GOOGLETRANSLATE(B6303, ""zh"", ""en"")"),"Quality problems, while there are no speakers often sound quality problems, the main speaker will suddenly no sound, only the deputy speaker sound, and then reboot back to normal, from time to time, people do not get the whole good. After a return period "&amp;"it appears that the quality, thousand dollars to buy two garbage. Do not buy! ! ! ! ! !")</f>
        <v>Quality problems, while there are no speakers often sound quality problems, the main speaker will suddenly no sound, only the deputy speaker sound, and then reboot back to normal, from time to time, people do not get the whole good. After a return period it appears that the quality, thousand dollars to buy two garbage. Do not buy! ! ! ! ! !</v>
      </c>
    </row>
    <row r="6304">
      <c r="A6304" s="1">
        <v>1.0</v>
      </c>
      <c r="B6304" s="1" t="s">
        <v>6272</v>
      </c>
      <c r="C6304" t="str">
        <f>IFERROR(__xludf.DUMMYFUNCTION("GOOGLETRANSLATE(B6304, ""zh"", ""en"")"),"Do not buy a product pages have a problem, took 46 results sent 47 simply can not wear. Customer service and complaints end not to speak at all, then simply do not have the eyes of consumers, who used discount of twenty percent, he said refunds can, in th"&amp;"e end but only compensation for 100 Amazon really do not know how do these provisions is, obviously own problems, consumers have to bear the costs themselves. Anyway, never buy anything from Amazon and the shoe itself is a big gap and pictures, pit consum"&amp;"ers really feel the Amazon.")</f>
        <v>Do not buy a product pages have a problem, took 46 results sent 47 simply can not wear. Customer service and complaints end not to speak at all, then simply do not have the eyes of consumers, who used discount of twenty percent, he said refunds can, in the end but only compensation for 100 Amazon really do not know how do these provisions is, obviously own problems, consumers have to bear the costs themselves. Anyway, never buy anything from Amazon and the shoe itself is a big gap and pictures, pit consumers really feel the Amazon.</v>
      </c>
    </row>
    <row r="6305">
      <c r="A6305" s="1">
        <v>4.0</v>
      </c>
      <c r="B6305" s="1" t="s">
        <v>6273</v>
      </c>
      <c r="C6305" t="str">
        <f>IFERROR(__xludf.DUMMYFUNCTION("GOOGLETRANSLATE(B6305, ""zh"", ""en"")"),"Okay, I think the price is a little high without careful look at pictures, buy it back only to find the cup did not cover, I hope that is genuine")</f>
        <v>Okay, I think the price is a little high without careful look at pictures, buy it back only to find the cup did not cover, I hope that is genuine</v>
      </c>
    </row>
    <row r="6306">
      <c r="A6306" s="1">
        <v>4.0</v>
      </c>
      <c r="B6306" s="1" t="s">
        <v>6274</v>
      </c>
      <c r="C6306" t="str">
        <f>IFERROR(__xludf.DUMMYFUNCTION("GOOGLETRANSLATE(B6306, ""zh"", ""en"")"),"Comfortable. To slightly according to the most comfortable style to purchase ah. Slippery feel very comfortable, personal feel very good.")</f>
        <v>Comfortable. To slightly according to the most comfortable style to purchase ah. Slippery feel very comfortable, personal feel very good.</v>
      </c>
    </row>
    <row r="6307">
      <c r="A6307" s="1">
        <v>4.0</v>
      </c>
      <c r="B6307" s="1" t="s">
        <v>6275</v>
      </c>
      <c r="C6307" t="str">
        <f>IFERROR(__xludf.DUMMYFUNCTION("GOOGLETRANSLATE(B6307, ""zh"", ""en"")"),"Cotton is not so comfortable to wear can not muji comfortable cotton underwear a little bit thicker cotton")</f>
        <v>Cotton is not so comfortable to wear can not muji comfortable cotton underwear a little bit thicker cotton</v>
      </c>
    </row>
    <row r="6308">
      <c r="A6308" s="1">
        <v>4.0</v>
      </c>
      <c r="B6308" s="1" t="s">
        <v>6276</v>
      </c>
      <c r="C6308" t="str">
        <f>IFERROR(__xludf.DUMMYFUNCTION("GOOGLETRANSLATE(B6308, ""zh"", ""en"")"),"Okay okay only say, work in general.")</f>
        <v>Okay okay only say, work in general.</v>
      </c>
    </row>
    <row r="6309">
      <c r="A6309" s="1">
        <v>4.0</v>
      </c>
      <c r="B6309" s="1" t="s">
        <v>6277</v>
      </c>
      <c r="C6309" t="str">
        <f>IFERROR(__xludf.DUMMYFUNCTION("GOOGLETRANSLATE(B6309, ""zh"", ""en"")"),"Pretty good to see is the price a little expensive")</f>
        <v>Pretty good to see is the price a little expensive</v>
      </c>
    </row>
    <row r="6310">
      <c r="A6310" s="1">
        <v>5.0</v>
      </c>
      <c r="B6310" s="1" t="s">
        <v>6278</v>
      </c>
      <c r="C6310" t="str">
        <f>IFERROR(__xludf.DUMMYFUNCTION("GOOGLETRANSLATE(B6310, ""zh"", ""en"")"),"Fashion raincoat rain day wear very appropriate")</f>
        <v>Fashion raincoat rain day wear very appropriate</v>
      </c>
    </row>
    <row r="6311">
      <c r="A6311" s="1">
        <v>5.0</v>
      </c>
      <c r="B6311" s="1" t="s">
        <v>6279</v>
      </c>
      <c r="C6311" t="str">
        <f>IFERROR(__xludf.DUMMYFUNCTION("GOOGLETRANSLATE(B6311, ""zh"", ""en"")"),"Perfect suitable shoes, numbers are accurate, shoes very light, very good")</f>
        <v>Perfect suitable shoes, numbers are accurate, shoes very light, very good</v>
      </c>
    </row>
    <row r="6312">
      <c r="A6312" s="1">
        <v>5.0</v>
      </c>
      <c r="B6312" s="1" t="s">
        <v>6280</v>
      </c>
      <c r="C6312" t="str">
        <f>IFERROR(__xludf.DUMMYFUNCTION("GOOGLETRANSLATE(B6312, ""zh"", ""en"")"),"Worth buying good, sometimes bad leak twist, twist Well no problem, the child has been using this brand, we intend to use the 3-year-old")</f>
        <v>Worth buying good, sometimes bad leak twist, twist Well no problem, the child has been using this brand, we intend to use the 3-year-old</v>
      </c>
    </row>
    <row r="6313">
      <c r="A6313" s="1">
        <v>5.0</v>
      </c>
      <c r="B6313" s="1" t="s">
        <v>6281</v>
      </c>
      <c r="C6313" t="str">
        <f>IFERROR(__xludf.DUMMYFUNCTION("GOOGLETRANSLATE(B6313, ""zh"", ""en"")"),"Too large looks good, is a little big points")</f>
        <v>Too large looks good, is a little big points</v>
      </c>
    </row>
    <row r="6314">
      <c r="A6314" s="1">
        <v>5.0</v>
      </c>
      <c r="B6314" s="1" t="s">
        <v>6282</v>
      </c>
      <c r="C6314" t="str">
        <f>IFERROR(__xludf.DUMMYFUNCTION("GOOGLETRANSLATE(B6314, ""zh"", ""en"")"),"Kettle is very delicate, and components. Not from the previous evaluation, I do not know how many wasted points, points can change money now know, they should look carefully evaluated, then I put these words to copy to go, both to earn points, but also sa"&amp;"ve trouble, they go where copy , sent directly to it, recommend it to everyone! !")</f>
        <v>Kettle is very delicate, and components. Not from the previous evaluation, I do not know how many wasted points, points can change money now know, they should look carefully evaluated, then I put these words to copy to go, both to earn points, but also save trouble, they go where copy , sent directly to it, recommend it to everyone! !</v>
      </c>
    </row>
    <row r="6315">
      <c r="A6315" s="1">
        <v>5.0</v>
      </c>
      <c r="B6315" s="1" t="s">
        <v>6283</v>
      </c>
      <c r="C6315" t="str">
        <f>IFERROR(__xludf.DUMMYFUNCTION("GOOGLETRANSLATE(B6315, ""zh"", ""en"")"),"Service is very good girlfriends to help buy the shoes, she found a little after receiving indentation, she found the customer service, very well help solve. The shoes, good quality, has been concerned about girlfriends, she liked. .")</f>
        <v>Service is very good girlfriends to help buy the shoes, she found a little after receiving indentation, she found the customer service, very well help solve. The shoes, good quality, has been concerned about girlfriends, she liked. .</v>
      </c>
    </row>
    <row r="6316">
      <c r="A6316" s="1">
        <v>5.0</v>
      </c>
      <c r="B6316" s="1" t="s">
        <v>6284</v>
      </c>
      <c r="C6316" t="str">
        <f>IFERROR(__xludf.DUMMYFUNCTION("GOOGLETRANSLATE(B6316, ""zh"", ""en"")"),"Comfortable material is too large one yard No. L how so much ah. . . I usually wear L No. But this is too large to buy a small one yard on it has been demolished to make do wear it! The material is very comfortable but a bit like Aunt pants fabric is real"&amp;"ly good.")</f>
        <v>Comfortable material is too large one yard No. L how so much ah. . . I usually wear L No. But this is too large to buy a small one yard on it has been demolished to make do wear it! The material is very comfortable but a bit like Aunt pants fabric is really good.</v>
      </c>
    </row>
    <row r="6317">
      <c r="A6317" s="1">
        <v>5.0</v>
      </c>
      <c r="B6317" s="1" t="s">
        <v>6285</v>
      </c>
      <c r="C6317" t="str">
        <f>IFERROR(__xludf.DUMMYFUNCTION("GOOGLETRANSLATE(B6317, ""zh"", ""en"")"),"polo 190 200 plus taxes early start, M code is very fit for my height 172 78kg for your reference. 100% cotton clothes, work is also very good.")</f>
        <v>polo 190 200 plus taxes early start, M code is very fit for my height 172 78kg for your reference. 100% cotton clothes, work is also very good.</v>
      </c>
    </row>
    <row r="6318">
      <c r="A6318" s="1">
        <v>5.0</v>
      </c>
      <c r="B6318" s="1" t="s">
        <v>6286</v>
      </c>
      <c r="C6318" t="str">
        <f>IFERROR(__xludf.DUMMYFUNCTION("GOOGLETRANSLATE(B6318, ""zh"", ""en"")"),"Worth starting bought back the red teeth feel a bit tasteless, with a period of time, feel super easy to use, brushing their teeth and then dampen, but also out of some impurities. For ordinary brushing Chifeng little effect, dampen brushing their teeth, "&amp;"teeth cleaner friends ~")</f>
        <v>Worth starting bought back the red teeth feel a bit tasteless, with a period of time, feel super easy to use, brushing their teeth and then dampen, but also out of some impurities. For ordinary brushing Chifeng little effect, dampen brushing their teeth, teeth cleaner friends ~</v>
      </c>
    </row>
    <row r="6319">
      <c r="A6319" s="1">
        <v>5.0</v>
      </c>
      <c r="B6319" s="1" t="s">
        <v>6287</v>
      </c>
      <c r="C6319" t="str">
        <f>IFERROR(__xludf.DUMMYFUNCTION("GOOGLETRANSLATE(B6319, ""zh"", ""en"")"),"A good time shopping much better than expected, this is simply the price to buy simple .. Than last year to buy the boss point thrown Street")</f>
        <v>A good time shopping much better than expected, this is simply the price to buy simple .. Than last year to buy the boss point thrown Street</v>
      </c>
    </row>
    <row r="6320">
      <c r="A6320" s="1">
        <v>5.0</v>
      </c>
      <c r="B6320" s="1" t="s">
        <v>6288</v>
      </c>
      <c r="C6320" t="str">
        <f>IFERROR(__xludf.DUMMYFUNCTION("GOOGLETRANSLATE(B6320, ""zh"", ""en"")"),"This high cost of clothing, warm, soft, good patterns, this price can hand it is amazing")</f>
        <v>This high cost of clothing, warm, soft, good patterns, this price can hand it is amazing</v>
      </c>
    </row>
    <row r="6321">
      <c r="A6321" s="1">
        <v>5.0</v>
      </c>
      <c r="B6321" s="1" t="s">
        <v>6289</v>
      </c>
      <c r="C6321" t="str">
        <f>IFERROR(__xludf.DUMMYFUNCTION("GOOGLETRANSLATE(B6321, ""zh"", ""en"")"),"Easy to use and is supporting the chopper, mixing cup size is too small, need to re-purchase a large capacity")</f>
        <v>Easy to use and is supporting the chopper, mixing cup size is too small, need to re-purchase a large capacity</v>
      </c>
    </row>
    <row r="6322">
      <c r="A6322" s="1">
        <v>5.0</v>
      </c>
      <c r="B6322" s="1" t="s">
        <v>6290</v>
      </c>
      <c r="C6322" t="str">
        <f>IFERROR(__xludf.DUMMYFUNCTION("GOOGLETRANSLATE(B6322, ""zh"", ""en"")"),"Not very good with the hope that the baby will like Ha! ! !")</f>
        <v>Not very good with the hope that the baby will like Ha! ! !</v>
      </c>
    </row>
    <row r="6323">
      <c r="A6323" s="1">
        <v>5.0</v>
      </c>
      <c r="B6323" s="1" t="s">
        <v>6291</v>
      </c>
      <c r="C6323" t="str">
        <f>IFERROR(__xludf.DUMMYFUNCTION("GOOGLETRANSLATE(B6323, ""zh"", ""en"")"),"A little big to not really big ah! Her husband 194, wearing XXl have become a long-sleeved")</f>
        <v>A little big to not really big ah! Her husband 194, wearing XXl have become a long-sleeved</v>
      </c>
    </row>
    <row r="6324">
      <c r="A6324" s="1">
        <v>5.0</v>
      </c>
      <c r="B6324" s="1" t="s">
        <v>6292</v>
      </c>
      <c r="C6324" t="str">
        <f>IFERROR(__xludf.DUMMYFUNCTION("GOOGLETRANSLATE(B6324, ""zh"", ""en"")"),"Very satisfied with a small size can be selected, clip padded style, just wear the fall, very satisfied with the shopping,")</f>
        <v>Very satisfied with a small size can be selected, clip padded style, just wear the fall, very satisfied with the shopping,</v>
      </c>
    </row>
    <row r="6325">
      <c r="A6325" s="1">
        <v>5.0</v>
      </c>
      <c r="B6325" s="1" t="s">
        <v>6293</v>
      </c>
      <c r="C6325" t="str">
        <f>IFERROR(__xludf.DUMMYFUNCTION("GOOGLETRANSLATE(B6325, ""zh"", ""en"")"),"Comfort rare to write a review, on the contribution of this, and really high cost, good quality, flexible fabric, very comfortable, value!")</f>
        <v>Comfort rare to write a review, on the contribution of this, and really high cost, good quality, flexible fabric, very comfortable, value!</v>
      </c>
    </row>
    <row r="6326">
      <c r="A6326" s="1">
        <v>5.0</v>
      </c>
      <c r="B6326" s="1" t="s">
        <v>6294</v>
      </c>
      <c r="C6326" t="str">
        <f>IFERROR(__xludf.DUMMYFUNCTION("GOOGLETRANSLATE(B6326, ""zh"", ""en"")"),"Dry what is worth buying, like this")</f>
        <v>Dry what is worth buying, like this</v>
      </c>
    </row>
    <row r="6327">
      <c r="A6327" s="1">
        <v>5.0</v>
      </c>
      <c r="B6327" s="1" t="s">
        <v>6295</v>
      </c>
      <c r="C6327" t="str">
        <f>IFERROR(__xludf.DUMMYFUNCTION("GOOGLETRANSLATE(B6327, ""zh"", ""en"")"),"The cook good. The cook is very good, but also began to worry about quality issues, with three, well done toast, ground meat is very delicate.")</f>
        <v>The cook good. The cook is very good, but also began to worry about quality issues, with three, well done toast, ground meat is very delicate.</v>
      </c>
    </row>
    <row r="6328">
      <c r="A6328" s="1">
        <v>5.0</v>
      </c>
      <c r="B6328" s="1" t="s">
        <v>6296</v>
      </c>
      <c r="C6328" t="str">
        <f>IFERROR(__xludf.DUMMYFUNCTION("GOOGLETRANSLATE(B6328, ""zh"", ""en"")"),"High Yan good value, lightweight, easy to use, I believe Amazon to buy overseas. prime Member Provincial postage. It will buy.")</f>
        <v>High Yan good value, lightweight, easy to use, I believe Amazon to buy overseas. prime Member Provincial postage. It will buy.</v>
      </c>
    </row>
    <row r="6329">
      <c r="A6329" s="1">
        <v>5.0</v>
      </c>
      <c r="B6329" s="1" t="s">
        <v>6297</v>
      </c>
      <c r="C6329" t="str">
        <f>IFERROR(__xludf.DUMMYFUNCTION("GOOGLETRANSLATE(B6329, ""zh"", ""en"")"),"Nice large size for high-fat or sister, very much.")</f>
        <v>Nice large size for high-fat or sister, very much.</v>
      </c>
    </row>
    <row r="6330">
      <c r="A6330" s="1">
        <v>5.0</v>
      </c>
      <c r="B6330" s="1" t="s">
        <v>6298</v>
      </c>
      <c r="C6330" t="str">
        <f>IFERROR(__xludf.DUMMYFUNCTION("GOOGLETRANSLATE(B6330, ""zh"", ""en"")"),"Some good shopping malls, read some electricity providers on Amazon that is relatively cheap and quite reassuring, and do not know the reason AIU no plastic packaging, baby bottles do not taste, feel good, overall quite satisfactory.")</f>
        <v>Some good shopping malls, read some electricity providers on Amazon that is relatively cheap and quite reassuring, and do not know the reason AIU no plastic packaging, baby bottles do not taste, feel good, overall quite satisfactory.</v>
      </c>
    </row>
    <row r="6331">
      <c r="A6331" s="1">
        <v>5.0</v>
      </c>
      <c r="B6331" s="1" t="s">
        <v>6299</v>
      </c>
      <c r="C6331" t="str">
        <f>IFERROR(__xludf.DUMMYFUNCTION("GOOGLETRANSLATE(B6331, ""zh"", ""en"")"),"Presser foot ahead of the right size, but very flat toe, foot beans, than I gave just right foot less than half yards people wear, it may be because my feet relatively thick bar beans")</f>
        <v>Presser foot ahead of the right size, but very flat toe, foot beans, than I gave just right foot less than half yards people wear, it may be because my feet relatively thick bar beans</v>
      </c>
    </row>
    <row r="6332">
      <c r="A6332" s="1">
        <v>2.0</v>
      </c>
      <c r="B6332" s="1" t="s">
        <v>6300</v>
      </c>
      <c r="C6332" t="str">
        <f>IFERROR(__xludf.DUMMYFUNCTION("GOOGLETRANSLATE(B6332, ""zh"", ""en"")"),"Amazon did not even packing boxes are not you, outside of product packaging bags wrapped around a thin film on the ship, purple plates there are minor scratches, the other also")</f>
        <v>Amazon did not even packing boxes are not you, outside of product packaging bags wrapped around a thin film on the ship, purple plates there are minor scratches, the other also</v>
      </c>
    </row>
    <row r="6333">
      <c r="A6333" s="1">
        <v>3.0</v>
      </c>
      <c r="B6333" s="1" t="s">
        <v>6301</v>
      </c>
      <c r="C6333" t="str">
        <f>IFERROR(__xludf.DUMMYFUNCTION("GOOGLETRANSLATE(B6333, ""zh"", ""en"")"),"The buy big, buy a little last time! Buy big, buy a M-code of the last and small circle, I really do not understand how this is not standard! Each local production code size are not the same, after I do not know how to buy!")</f>
        <v>The buy big, buy a little last time! Buy big, buy a M-code of the last and small circle, I really do not understand how this is not standard! Each local production code size are not the same, after I do not know how to buy!</v>
      </c>
    </row>
    <row r="6334">
      <c r="A6334" s="1">
        <v>3.0</v>
      </c>
      <c r="B6334" s="1" t="s">
        <v>6302</v>
      </c>
      <c r="C6334" t="str">
        <f>IFERROR(__xludf.DUMMYFUNCTION("GOOGLETRANSLATE(B6334, ""zh"", ""en"")"),"Severe deformation, good fabrics fabrics and almost out of dozens of pieces. Washing severe deformation. Like fake")</f>
        <v>Severe deformation, good fabrics fabrics and almost out of dozens of pieces. Washing severe deformation. Like fake</v>
      </c>
    </row>
    <row r="6335">
      <c r="A6335" s="1">
        <v>1.0</v>
      </c>
      <c r="B6335" s="1" t="s">
        <v>6303</v>
      </c>
      <c r="C6335" t="str">
        <f>IFERROR(__xludf.DUMMYFUNCTION("GOOGLETRANSLATE(B6335, ""zh"", ""en"")"),"Melted get our hands on all melted, and can not imagine. Aftermarket it very fast, to refund the freight back.")</f>
        <v>Melted get our hands on all melted, and can not imagine. Aftermarket it very fast, to refund the freight back.</v>
      </c>
    </row>
    <row r="6336">
      <c r="A6336" s="1">
        <v>1.0</v>
      </c>
      <c r="B6336" s="1" t="s">
        <v>6304</v>
      </c>
      <c r="C6336" t="str">
        <f>IFERROR(__xludf.DUMMYFUNCTION("GOOGLETRANSLATE(B6336, ""zh"", ""en"")"),"Return address to me do not know how to upload a video, so I took a picture, unable to work, stopped the clock in")</f>
        <v>Return address to me do not know how to upload a video, so I took a picture, unable to work, stopped the clock in</v>
      </c>
    </row>
    <row r="6337">
      <c r="A6337" s="1">
        <v>4.0</v>
      </c>
      <c r="B6337" s="1" t="s">
        <v>6305</v>
      </c>
      <c r="C6337" t="str">
        <f>IFERROR(__xludf.DUMMYFUNCTION("GOOGLETRANSLATE(B6337, ""zh"", ""en"")"),"175/70, S, washing big 175/70, S, pre-wash can wash some large")</f>
        <v>175/70, S, washing big 175/70, S, pre-wash can wash some large</v>
      </c>
    </row>
    <row r="6338">
      <c r="A6338" s="1">
        <v>4.0</v>
      </c>
      <c r="B6338" s="1" t="s">
        <v>6306</v>
      </c>
      <c r="C6338" t="str">
        <f>IFERROR(__xludf.DUMMYFUNCTION("GOOGLETRANSLATE(B6338, ""zh"", ""en"")"),"Comfortable long pants fit and slightly long, the version is relatively coarse style, activity is easy to use, gluing very close, more detailed work. Vertx a little more than a large waist, like domestic 31, No. 1, to buy less than half just right.")</f>
        <v>Comfortable long pants fit and slightly long, the version is relatively coarse style, activity is easy to use, gluing very close, more detailed work. Vertx a little more than a large waist, like domestic 31, No. 1, to buy less than half just right.</v>
      </c>
    </row>
    <row r="6339">
      <c r="A6339" s="1">
        <v>4.0</v>
      </c>
      <c r="B6339" s="1" t="s">
        <v>6307</v>
      </c>
      <c r="C6339" t="str">
        <f>IFERROR(__xludf.DUMMYFUNCTION("GOOGLETRANSLATE(B6339, ""zh"", ""en"")"),"Trousers too large Westerners in the end Tuicu big, regardless of the length of the shorts, but trousers like a big skirt, ha ha. But it does not matter, big cool.")</f>
        <v>Trousers too large Westerners in the end Tuicu big, regardless of the length of the shorts, but trousers like a big skirt, ha ha. But it does not matter, big cool.</v>
      </c>
    </row>
    <row r="6340">
      <c r="A6340" s="1">
        <v>4.0</v>
      </c>
      <c r="B6340" s="1" t="s">
        <v>6308</v>
      </c>
      <c r="C6340" t="str">
        <f>IFERROR(__xludf.DUMMYFUNCTION("GOOGLETRANSLATE(B6340, ""zh"", ""en"")"),"Summer relatively thin fabric suitable for summer wear")</f>
        <v>Summer relatively thin fabric suitable for summer wear</v>
      </c>
    </row>
    <row r="6341">
      <c r="A6341" s="1">
        <v>5.0</v>
      </c>
      <c r="B6341" s="1" t="s">
        <v>6309</v>
      </c>
      <c r="C6341" t="str">
        <f>IFERROR(__xludf.DUMMYFUNCTION("GOOGLETRANSLATE(B6341, ""zh"", ""en"")"),"Too large a number of foreign code will be really great, our house is 180 188 pounds wearing L and some big head")</f>
        <v>Too large a number of foreign code will be really great, our house is 180 188 pounds wearing L and some big head</v>
      </c>
    </row>
    <row r="6342">
      <c r="A6342" s="1">
        <v>5.0</v>
      </c>
      <c r="B6342" s="1" t="s">
        <v>6310</v>
      </c>
      <c r="C6342" t="str">
        <f>IFERROR(__xludf.DUMMYFUNCTION("GOOGLETRANSLATE(B6342, ""zh"", ""en"")"),"This cute dog bowl really cute, fork and spoon is also very mellow")</f>
        <v>This cute dog bowl really cute, fork and spoon is also very mellow</v>
      </c>
    </row>
    <row r="6343">
      <c r="A6343" s="1">
        <v>5.0</v>
      </c>
      <c r="B6343" s="1" t="s">
        <v>6311</v>
      </c>
      <c r="C6343" t="str">
        <f>IFERROR(__xludf.DUMMYFUNCTION("GOOGLETRANSLATE(B6343, ""zh"", ""en"")"),"Germany shipped in France fissler aniseed master, less than a few parts fissler counter, a few less important parts, need to buy a converter socket head")</f>
        <v>Germany shipped in France fissler aniseed master, less than a few parts fissler counter, a few less important parts, need to buy a converter socket head</v>
      </c>
    </row>
    <row r="6344">
      <c r="A6344" s="1">
        <v>5.0</v>
      </c>
      <c r="B6344" s="1" t="s">
        <v>6312</v>
      </c>
      <c r="C6344" t="str">
        <f>IFERROR(__xludf.DUMMYFUNCTION("GOOGLETRANSLATE(B6344, ""zh"", ""en"")"),"Described in detail. Clothes texture very good, not good with clothes, the color a little error, weight 80 kilograms just 175 yards.")</f>
        <v>Described in detail. Clothes texture very good, not good with clothes, the color a little error, weight 80 kilograms just 175 yards.</v>
      </c>
    </row>
    <row r="6345">
      <c r="A6345" s="1">
        <v>5.0</v>
      </c>
      <c r="B6345" s="1" t="s">
        <v>6313</v>
      </c>
      <c r="C6345" t="str">
        <f>IFERROR(__xludf.DUMMYFUNCTION("GOOGLETRANSLATE(B6345, ""zh"", ""en"")"),"Wear a few years when bought very good surprise flawless quality")</f>
        <v>Wear a few years when bought very good surprise flawless quality</v>
      </c>
    </row>
    <row r="6346">
      <c r="A6346" s="1">
        <v>5.0</v>
      </c>
      <c r="B6346" s="1" t="s">
        <v>6314</v>
      </c>
      <c r="C6346" t="str">
        <f>IFERROR(__xludf.DUMMYFUNCTION("GOOGLETRANSLATE(B6346, ""zh"", ""en"")"),"Middle hollow. Suck up super cute. In the maternal stores to buy several pacifier. The baby is not how to use. This is a very like it. Vanilla flavor. But it should not taste better. Baby stuff with. Colorless, odorless feel more at ease")</f>
        <v>Middle hollow. Suck up super cute. In the maternal stores to buy several pacifier. The baby is not how to use. This is a very like it. Vanilla flavor. But it should not taste better. Baby stuff with. Colorless, odorless feel more at ease</v>
      </c>
    </row>
    <row r="6347">
      <c r="A6347" s="1">
        <v>5.0</v>
      </c>
      <c r="B6347" s="1" t="s">
        <v>6315</v>
      </c>
      <c r="C6347" t="str">
        <f>IFERROR(__xludf.DUMMYFUNCTION("GOOGLETRANSLATE(B6347, ""zh"", ""en"")"),"Something very good very good very good things like")</f>
        <v>Something very good very good very good things like</v>
      </c>
    </row>
    <row r="6348">
      <c r="A6348" s="1">
        <v>5.0</v>
      </c>
      <c r="B6348" s="1" t="s">
        <v>6316</v>
      </c>
      <c r="C6348" t="str">
        <f>IFERROR(__xludf.DUMMYFUNCTION("GOOGLETRANSLATE(B6348, ""zh"", ""en"")"),"A good hat hat good quality, very satisfied, buy purchasing all 200+, and has been supported by the Amazon -")</f>
        <v>A good hat hat good quality, very satisfied, buy purchasing all 200+, and has been supported by the Amazon -</v>
      </c>
    </row>
    <row r="6349">
      <c r="A6349" s="1">
        <v>5.0</v>
      </c>
      <c r="B6349" s="1" t="s">
        <v>6317</v>
      </c>
      <c r="C6349" t="str">
        <f>IFERROR(__xludf.DUMMYFUNCTION("GOOGLETRANSLATE(B6349, ""zh"", ""en"")"),"Very Good Very Good! very comfortable. According to the standard leather shoes size.")</f>
        <v>Very Good Very Good! very comfortable. According to the standard leather shoes size.</v>
      </c>
    </row>
    <row r="6350">
      <c r="A6350" s="1">
        <v>5.0</v>
      </c>
      <c r="B6350" s="1" t="s">
        <v>6318</v>
      </c>
      <c r="C6350" t="str">
        <f>IFERROR(__xludf.DUMMYFUNCTION("GOOGLETRANSLATE(B6350, ""zh"", ""en"")"),"Something good, is good merchandise your attention for a long time. Arrives and open, even to know how the baby is tableware, crunching a few days they will have their own spoon to eat their own meals. It is expensive.")</f>
        <v>Something good, is good merchandise your attention for a long time. Arrives and open, even to know how the baby is tableware, crunching a few days they will have their own spoon to eat their own meals. It is expensive.</v>
      </c>
    </row>
    <row r="6351">
      <c r="A6351" s="1">
        <v>5.0</v>
      </c>
      <c r="B6351" s="1" t="s">
        <v>6319</v>
      </c>
      <c r="C6351" t="str">
        <f>IFERROR(__xludf.DUMMYFUNCTION("GOOGLETRANSLATE(B6351, ""zh"", ""en"")"),"Just as good pants and domestic")</f>
        <v>Just as good pants and domestic</v>
      </c>
    </row>
    <row r="6352">
      <c r="A6352" s="1">
        <v>5.0</v>
      </c>
      <c r="B6352" s="1" t="s">
        <v>6320</v>
      </c>
      <c r="C6352" t="str">
        <f>IFERROR(__xludf.DUMMYFUNCTION("GOOGLETRANSLATE(B6352, ""zh"", ""en"")"),"Do not believe the size of the table satisfied with it on the page, the error is large. To choose the size of the freshman code. A wrong start, after hand found that simply can not wear, but fortunately, Amazon's super-class service, very satisfied with t"&amp;"heir solutions and efficiency")</f>
        <v>Do not believe the size of the table satisfied with it on the page, the error is large. To choose the size of the freshman code. A wrong start, after hand found that simply can not wear, but fortunately, Amazon's super-class service, very satisfied with their solutions and efficiency</v>
      </c>
    </row>
    <row r="6353">
      <c r="A6353" s="1">
        <v>5.0</v>
      </c>
      <c r="B6353" s="1" t="s">
        <v>6321</v>
      </c>
      <c r="C6353" t="str">
        <f>IFERROR(__xludf.DUMMYFUNCTION("GOOGLETRANSLATE(B6353, ""zh"", ""en"")"),"About goods to colleagues to buy, very good.")</f>
        <v>About goods to colleagues to buy, very good.</v>
      </c>
    </row>
    <row r="6354">
      <c r="A6354" s="1">
        <v>5.0</v>
      </c>
      <c r="B6354" s="1" t="s">
        <v>6322</v>
      </c>
      <c r="C6354" t="str">
        <f>IFERROR(__xludf.DUMMYFUNCTION("GOOGLETRANSLATE(B6354, ""zh"", ""en"")"),"Lightweight and easy to clean and very easy to use, lightweight, easy to clean")</f>
        <v>Lightweight and easy to clean and very easy to use, lightweight, easy to clean</v>
      </c>
    </row>
    <row r="6355">
      <c r="A6355" s="1">
        <v>5.0</v>
      </c>
      <c r="B6355" s="1" t="s">
        <v>6323</v>
      </c>
      <c r="C6355" t="str">
        <f>IFERROR(__xludf.DUMMYFUNCTION("GOOGLETRANSLATE(B6355, ""zh"", ""en"")"),"Inexpensive very good inexpensive")</f>
        <v>Inexpensive very good inexpensive</v>
      </c>
    </row>
    <row r="6356">
      <c r="A6356" s="1">
        <v>5.0</v>
      </c>
      <c r="B6356" s="1" t="s">
        <v>6324</v>
      </c>
      <c r="C6356" t="str">
        <f>IFERROR(__xludf.DUMMYFUNCTION("GOOGLETRANSLATE(B6356, ""zh"", ""en"")"),"Cost-effective, high cost, the computer can feel the effect of promoting not know, you need a amp compare and buy the amp cost is high. . . .")</f>
        <v>Cost-effective, high cost, the computer can feel the effect of promoting not know, you need a amp compare and buy the amp cost is high. . . .</v>
      </c>
    </row>
    <row r="6357">
      <c r="A6357" s="1">
        <v>5.0</v>
      </c>
      <c r="B6357" s="1" t="s">
        <v>6325</v>
      </c>
      <c r="C6357" t="str">
        <f>IFERROR(__xludf.DUMMYFUNCTION("GOOGLETRANSLATE(B6357, ""zh"", ""en"")"),"Yes DP is very convenient, but also comfortable to wear. 175CM, 75kg, have the stomach, it is appropriate 34")</f>
        <v>Yes DP is very convenient, but also comfortable to wear. 175CM, 75kg, have the stomach, it is appropriate 34</v>
      </c>
    </row>
    <row r="6358">
      <c r="A6358" s="1">
        <v>5.0</v>
      </c>
      <c r="B6358" s="1" t="s">
        <v>6326</v>
      </c>
      <c r="C6358" t="str">
        <f>IFERROR(__xludf.DUMMYFUNCTION("GOOGLETRANSLATE(B6358, ""zh"", ""en"")"),"Jeans pants a little big, next time you buy a smaller size!")</f>
        <v>Jeans pants a little big, next time you buy a smaller size!</v>
      </c>
    </row>
    <row r="6359">
      <c r="A6359" s="1">
        <v>5.0</v>
      </c>
      <c r="B6359" s="1" t="s">
        <v>6327</v>
      </c>
      <c r="C6359" t="str">
        <f>IFERROR(__xludf.DUMMYFUNCTION("GOOGLETRANSLATE(B6359, ""zh"", ""en"")"),"Yes, but not with the right price should be easy to use")</f>
        <v>Yes, but not with the right price should be easy to use</v>
      </c>
    </row>
    <row r="6360">
      <c r="A6360" s="1">
        <v>5.0</v>
      </c>
      <c r="B6360" s="1" t="s">
        <v>6328</v>
      </c>
      <c r="C6360" t="str">
        <f>IFERROR(__xludf.DUMMYFUNCTION("GOOGLETRANSLATE(B6360, ""zh"", ""en"")"),"The key is really cheap prices to tell the truth, I feel really good product, seen in Japan is 13,000 yen seems to actually be able to so much cheaper. Currently with no problem.")</f>
        <v>The key is really cheap prices to tell the truth, I feel really good product, seen in Japan is 13,000 yen seems to actually be able to so much cheaper. Currently with no problem.</v>
      </c>
    </row>
    <row r="6361">
      <c r="A6361" s="1">
        <v>5.0</v>
      </c>
      <c r="B6361" s="1" t="s">
        <v>6329</v>
      </c>
      <c r="C6361" t="str">
        <f>IFERROR(__xludf.DUMMYFUNCTION("GOOGLETRANSLATE(B6361, ""zh"", ""en"")"),"70 + a little bit small transparent white compare")</f>
        <v>70 + a little bit small transparent white compare</v>
      </c>
    </row>
    <row r="6362">
      <c r="A6362" s="1">
        <v>2.0</v>
      </c>
      <c r="B6362" s="1" t="s">
        <v>6330</v>
      </c>
      <c r="C6362" t="str">
        <f>IFERROR(__xludf.DUMMYFUNCTION("GOOGLETRANSLATE(B6362, ""zh"", ""en"")"),"Why so rough rough work")</f>
        <v>Why so rough rough work</v>
      </c>
    </row>
    <row r="6363">
      <c r="A6363" s="1">
        <v>3.0</v>
      </c>
      <c r="B6363" s="1" t="s">
        <v>6331</v>
      </c>
      <c r="C6363" t="str">
        <f>IFERROR(__xludf.DUMMYFUNCTION("GOOGLETRANSLATE(B6363, ""zh"", ""en"")"),"Suitable height 178, weight 178, fit")</f>
        <v>Suitable height 178, weight 178, fit</v>
      </c>
    </row>
    <row r="6364">
      <c r="A6364" s="1">
        <v>3.0</v>
      </c>
      <c r="B6364" s="1" t="s">
        <v>6332</v>
      </c>
      <c r="C6364" t="str">
        <f>IFERROR(__xludf.DUMMYFUNCTION("GOOGLETRANSLATE(B6364, ""zh"", ""en"")"),"Product introduction there is a problem, said the dinner plate to be firmly fixed on the table. That sucker at the bottom. Definitely results. Product description errors.")</f>
        <v>Product introduction there is a problem, said the dinner plate to be firmly fixed on the table. That sucker at the bottom. Definitely results. Product description errors.</v>
      </c>
    </row>
    <row r="6365">
      <c r="A6365" s="1">
        <v>1.0</v>
      </c>
      <c r="B6365" s="1" t="s">
        <v>6333</v>
      </c>
      <c r="C6365" t="str">
        <f>IFERROR(__xludf.DUMMYFUNCTION("GOOGLETRANSLATE(B6365, ""zh"", ""en"")"),"This liar pants I have nothing, worse than domestic stalls, the two legs are not as thick, two legs of different color, surface oil slick, the most detestable is my reaction times, since I did not care! ! ! Please do not be deceived ah!")</f>
        <v>This liar pants I have nothing, worse than domestic stalls, the two legs are not as thick, two legs of different color, surface oil slick, the most detestable is my reaction times, since I did not care! ! ! Please do not be deceived ah!</v>
      </c>
    </row>
    <row r="6366">
      <c r="A6366" s="1">
        <v>1.0</v>
      </c>
      <c r="B6366" s="1" t="s">
        <v>6334</v>
      </c>
      <c r="C6366" t="str">
        <f>IFERROR(__xludf.DUMMYFUNCTION("GOOGLETRANSLATE(B6366, ""zh"", ""en"")"),"American Apparel garbage shipped leg fat, poor workmanship, multi-thread was vomiting, do not fit, too lazy to back, not buy jeans here.")</f>
        <v>American Apparel garbage shipped leg fat, poor workmanship, multi-thread was vomiting, do not fit, too lazy to back, not buy jeans here.</v>
      </c>
    </row>
    <row r="6367">
      <c r="A6367" s="1">
        <v>4.0</v>
      </c>
      <c r="B6367" s="1" t="s">
        <v>6335</v>
      </c>
      <c r="C6367" t="str">
        <f>IFERROR(__xludf.DUMMYFUNCTION("GOOGLETRANSLATE(B6367, ""zh"", ""en"")"),"Cotton fade slightly larger good, little bit bigger, a little black fade, the other good")</f>
        <v>Cotton fade slightly larger good, little bit bigger, a little black fade, the other good</v>
      </c>
    </row>
    <row r="6368">
      <c r="A6368" s="1">
        <v>4.0</v>
      </c>
      <c r="B6368" s="1" t="s">
        <v>6336</v>
      </c>
      <c r="C6368" t="str">
        <f>IFERROR(__xludf.DUMMYFUNCTION("GOOGLETRANSLATE(B6368, ""zh"", ""en"")"),"Headphone at hand, that it would not again with the beats! Currently only start with two headphones, the sound of bread feel very sense of space, there is no good pot, is looking forward to. But express a little pit, Stateline, tracking is not timely, ear"&amp;"muffs lower right out of the pit, but fortunately there are elastic, there is a deep scratch on the packaging.")</f>
        <v>Headphone at hand, that it would not again with the beats! Currently only start with two headphones, the sound of bread feel very sense of space, there is no good pot, is looking forward to. But express a little pit, Stateline, tracking is not timely, earmuffs lower right out of the pit, but fortunately there are elastic, there is a deep scratch on the packaging.</v>
      </c>
    </row>
    <row r="6369">
      <c r="A6369" s="1">
        <v>4.0</v>
      </c>
      <c r="B6369" s="1" t="s">
        <v>6337</v>
      </c>
      <c r="C6369" t="str">
        <f>IFERROR(__xludf.DUMMYFUNCTION("GOOGLETRANSLATE(B6369, ""zh"", ""en"")"),"Is too large, the material is a little thick 160 girls 62, bought L, too, mostly long. The material is a bit thick, summer wear will be hot")</f>
        <v>Is too large, the material is a little thick 160 girls 62, bought L, too, mostly long. The material is a bit thick, summer wear will be hot</v>
      </c>
    </row>
    <row r="6370">
      <c r="A6370" s="1">
        <v>4.0</v>
      </c>
      <c r="B6370" s="1" t="s">
        <v>6338</v>
      </c>
      <c r="C6370" t="str">
        <f>IFERROR(__xludf.DUMMYFUNCTION("GOOGLETRANSLATE(B6370, ""zh"", ""en"")"),"Polyester 200 OK? A little expensive! Available usually go out, put on a ipad or something.")</f>
        <v>Polyester 200 OK? A little expensive! Available usually go out, put on a ipad or something.</v>
      </c>
    </row>
    <row r="6371">
      <c r="A6371" s="1">
        <v>4.0</v>
      </c>
      <c r="B6371" s="1" t="s">
        <v>6339</v>
      </c>
      <c r="C6371" t="str">
        <f>IFERROR(__xludf.DUMMYFUNCTION("GOOGLETRANSLATE(B6371, ""zh"", ""en"")"),"Casio overall quality of the goods stiff, there is a button at the small flaws can be ignored")</f>
        <v>Casio overall quality of the goods stiff, there is a button at the small flaws can be ignored</v>
      </c>
    </row>
    <row r="6372">
      <c r="A6372" s="1">
        <v>5.0</v>
      </c>
      <c r="B6372" s="1" t="s">
        <v>6340</v>
      </c>
      <c r="C6372" t="str">
        <f>IFERROR(__xludf.DUMMYFUNCTION("GOOGLETRANSLATE(B6372, ""zh"", ""en"")"),"Perfect ECCO loyal customers, in recent years it is a person's shoes, boots handsome burst, is my favorite style, leather and delicate, comfortable, produced in Portugal, bought a pair of boots are produced in Indonesia tendon at the end , this is not the"&amp;" tendon at the end, as if this is the only regret. Overall very, very pleased")</f>
        <v>Perfect ECCO loyal customers, in recent years it is a person's shoes, boots handsome burst, is my favorite style, leather and delicate, comfortable, produced in Portugal, bought a pair of boots are produced in Indonesia tendon at the end , this is not the tendon at the end, as if this is the only regret. Overall very, very pleased</v>
      </c>
    </row>
    <row r="6373">
      <c r="A6373" s="1">
        <v>5.0</v>
      </c>
      <c r="B6373" s="1" t="s">
        <v>6341</v>
      </c>
      <c r="C6373" t="str">
        <f>IFERROR(__xludf.DUMMYFUNCTION("GOOGLETRANSLATE(B6373, ""zh"", ""en"")"),"Worth buying the brand and well worth the price!")</f>
        <v>Worth buying the brand and well worth the price!</v>
      </c>
    </row>
    <row r="6374">
      <c r="A6374" s="1">
        <v>5.0</v>
      </c>
      <c r="B6374" s="1" t="s">
        <v>6342</v>
      </c>
      <c r="C6374" t="str">
        <f>IFERROR(__xludf.DUMMYFUNCTION("GOOGLETRANSLATE(B6374, ""zh"", ""en"")"),"Easy to use than previous years with a very good buy white model, there are five modes, but usually only with 1-2 species. Overall very satisfied")</f>
        <v>Easy to use than previous years with a very good buy white model, there are five modes, but usually only with 1-2 species. Overall very satisfied</v>
      </c>
    </row>
    <row r="6375">
      <c r="A6375" s="1">
        <v>5.0</v>
      </c>
      <c r="B6375" s="1" t="s">
        <v>6343</v>
      </c>
      <c r="C6375" t="str">
        <f>IFERROR(__xludf.DUMMYFUNCTION("GOOGLETRANSLATE(B6375, ""zh"", ""en"")"),"Breathable, not stuffy well, not from the previous evaluation, I do not know how many wasted points, points can change money now know, they should look carefully evaluated, then I put these words to copy to go, both to earn points, but also the easy way ,"&amp;" where one copy where, most importantly, do not seriously review, do not think how much worse word, sent directly to it, recommend it to everyone! !")</f>
        <v>Breathable, not stuffy well, not from the previous evaluation, I do not know how many wasted points, points can change money now know, they should look carefully evaluated, then I put these words to copy to go, both to earn points, but also the easy way , where one copy where, most importantly, do not seriously review, do not think how much worse word, sent directly to it, recommend it to everyone! !</v>
      </c>
    </row>
    <row r="6376">
      <c r="A6376" s="1">
        <v>5.0</v>
      </c>
      <c r="B6376" s="1" t="s">
        <v>6344</v>
      </c>
      <c r="C6376" t="str">
        <f>IFERROR(__xludf.DUMMYFUNCTION("GOOGLETRANSLATE(B6376, ""zh"", ""en"")"),"Today, the hand is very happy today, I did not expect today will be able to get the hard disk, and can store unlimited, ha ha, awesome 👍")</f>
        <v>Today, the hand is very happy today, I did not expect today will be able to get the hard disk, and can store unlimited, ha ha, awesome 👍</v>
      </c>
    </row>
    <row r="6377">
      <c r="A6377" s="1">
        <v>5.0</v>
      </c>
      <c r="B6377" s="1" t="s">
        <v>6345</v>
      </c>
      <c r="C6377" t="str">
        <f>IFERROR(__xludf.DUMMYFUNCTION("GOOGLETRANSLATE(B6377, ""zh"", ""en"")"),"Good business trip, small and light, the airport high-speed rail is very convenient.")</f>
        <v>Good business trip, small and light, the airport high-speed rail is very convenient.</v>
      </c>
    </row>
    <row r="6378">
      <c r="A6378" s="1">
        <v>5.0</v>
      </c>
      <c r="B6378" s="1" t="s">
        <v>6346</v>
      </c>
      <c r="C6378" t="str">
        <f>IFERROR(__xludf.DUMMYFUNCTION("GOOGLETRANSLATE(B6378, ""zh"", ""en"")"),"I look forward to publication of the shower, with a reevaluation,")</f>
        <v>I look forward to publication of the shower, with a reevaluation,</v>
      </c>
    </row>
    <row r="6379">
      <c r="A6379" s="1">
        <v>5.0</v>
      </c>
      <c r="B6379" s="1" t="s">
        <v>6347</v>
      </c>
      <c r="C6379" t="str">
        <f>IFERROR(__xludf.DUMMYFUNCTION("GOOGLETRANSLATE(B6379, ""zh"", ""en"")"),"Baby wear especially good fit, very warm")</f>
        <v>Baby wear especially good fit, very warm</v>
      </c>
    </row>
    <row r="6380">
      <c r="A6380" s="1">
        <v>5.0</v>
      </c>
      <c r="B6380" s="1" t="s">
        <v>6348</v>
      </c>
      <c r="C6380" t="str">
        <f>IFERROR(__xludf.DUMMYFUNCTION("GOOGLETRANSLATE(B6380, ""zh"", ""en"")"),"Good headset for the first time to buy an expensive headset, put on a very amazing feeling, I do not know what will happen trail release.")</f>
        <v>Good headset for the first time to buy an expensive headset, put on a very amazing feeling, I do not know what will happen trail release.</v>
      </c>
    </row>
    <row r="6381">
      <c r="A6381" s="1">
        <v>5.0</v>
      </c>
      <c r="B6381" s="1" t="s">
        <v>6349</v>
      </c>
      <c r="C6381" t="str">
        <f>IFERROR(__xludf.DUMMYFUNCTION("GOOGLETRANSLATE(B6381, ""zh"", ""en"")"),"Very good version is very good, cold weather wear. There are velvet! Height 180 m is appropriate weight 81kg wear")</f>
        <v>Very good version is very good, cold weather wear. There are velvet! Height 180 m is appropriate weight 81kg wear</v>
      </c>
    </row>
    <row r="6382">
      <c r="A6382" s="1">
        <v>5.0</v>
      </c>
      <c r="B6382" s="1" t="s">
        <v>6350</v>
      </c>
      <c r="C6382" t="str">
        <f>IFERROR(__xludf.DUMMYFUNCTION("GOOGLETRANSLATE(B6382, ""zh"", ""en"")"),"That is a big point really like this dress.")</f>
        <v>That is a big point really like this dress.</v>
      </c>
    </row>
    <row r="6383">
      <c r="A6383" s="1">
        <v>5.0</v>
      </c>
      <c r="B6383" s="1" t="s">
        <v>6351</v>
      </c>
      <c r="C6383" t="str">
        <f>IFERROR(__xludf.DUMMYFUNCTION("GOOGLETRANSLATE(B6383, ""zh"", ""en"")"),"Good quality spent more than a year, very good, nothing special taste, that was the wrong goods, but has a refund, give away the equivalent of a belt")</f>
        <v>Good quality spent more than a year, very good, nothing special taste, that was the wrong goods, but has a refund, give away the equivalent of a belt</v>
      </c>
    </row>
    <row r="6384">
      <c r="A6384" s="1">
        <v>5.0</v>
      </c>
      <c r="B6384" s="1" t="s">
        <v>6352</v>
      </c>
      <c r="C6384" t="str">
        <f>IFERROR(__xludf.DUMMYFUNCTION("GOOGLETRANSLATE(B6384, ""zh"", ""en"")"),"No use, the surface looks pretty good next demolished a box of smell is no smell, read reviews said that some leakage of milk, and hope I do not leak. AIU also viewed Poor leak was assessed that smell of milk, I guess things must be true, right. This new "&amp;"version of how breast pump connected to it? And under a breast pump, to give it a try")</f>
        <v>No use, the surface looks pretty good next demolished a box of smell is no smell, read reviews said that some leakage of milk, and hope I do not leak. AIU also viewed Poor leak was assessed that smell of milk, I guess things must be true, right. This new version of how breast pump connected to it? And under a breast pump, to give it a try</v>
      </c>
    </row>
    <row r="6385">
      <c r="A6385" s="1">
        <v>5.0</v>
      </c>
      <c r="B6385" s="1" t="s">
        <v>6353</v>
      </c>
      <c r="C6385" t="str">
        <f>IFERROR(__xludf.DUMMYFUNCTION("GOOGLETRANSLATE(B6385, ""zh"", ""en"")"),"Color is very special. nice.")</f>
        <v>Color is very special. nice.</v>
      </c>
    </row>
    <row r="6386">
      <c r="A6386" s="1">
        <v>5.0</v>
      </c>
      <c r="B6386" s="1" t="s">
        <v>6354</v>
      </c>
      <c r="C6386" t="str">
        <f>IFERROR(__xludf.DUMMYFUNCTION("GOOGLETRANSLATE(B6386, ""zh"", ""en"")"),"Soon, very appropriate, very satisfied. Well, not from the previous evaluation, I do not know how many wasted points, points can change money now know, they should look carefully evaluated, then I put these words to copy to go, both to earn points, but al"&amp;"so save trouble, where one copy where, most importantly, do not seriously review, do not think how much worse word, sent directly to it, recommend it to everyone! !")</f>
        <v>Soon, very appropriate, very satisfied. Well, not from the previous evaluation, I do not know how many wasted points, points can change money now know, they should look carefully evaluated, then I put these words to copy to go, both to earn points, but also save trouble, where one copy where, most importantly, do not seriously review, do not think how much worse word, sent directly to it, recommend it to everyone! !</v>
      </c>
    </row>
    <row r="6387">
      <c r="A6387" s="1">
        <v>5.0</v>
      </c>
      <c r="B6387" s="1" t="s">
        <v>6355</v>
      </c>
      <c r="C6387" t="str">
        <f>IFERROR(__xludf.DUMMYFUNCTION("GOOGLETRANSLATE(B6387, ""zh"", ""en"")"),"Refill. Replaced with, save to buy a new razor.")</f>
        <v>Refill. Replaced with, save to buy a new razor.</v>
      </c>
    </row>
    <row r="6388">
      <c r="A6388" s="1">
        <v>5.0</v>
      </c>
      <c r="B6388" s="1" t="s">
        <v>6356</v>
      </c>
      <c r="C6388" t="str">
        <f>IFERROR(__xludf.DUMMYFUNCTION("GOOGLETRANSLATE(B6388, ""zh"", ""en"")"),"very good our family favorite shoes is ecco, I have 10 pairs soon, this time overseas purchase price is very beautiful, to myself and my family bought seven pairs! Haha, when everyone says received so comfortable shoes, size being the most important to sa"&amp;"y three times, comfortable, comfortable, very comfortable! For older people, it is a pleasure to wear ecco walking, walking one day tired. Everyone praised me to help them buy the highest price shoes!")</f>
        <v>very good our family favorite shoes is ecco, I have 10 pairs soon, this time overseas purchase price is very beautiful, to myself and my family bought seven pairs! Haha, when everyone says received so comfortable shoes, size being the most important to say three times, comfortable, comfortable, very comfortable! For older people, it is a pleasure to wear ecco walking, walking one day tired. Everyone praised me to help them buy the highest price shoes!</v>
      </c>
    </row>
    <row r="6389">
      <c r="A6389" s="1">
        <v>5.0</v>
      </c>
      <c r="B6389" s="1" t="s">
        <v>6357</v>
      </c>
      <c r="C6389" t="str">
        <f>IFERROR(__xludf.DUMMYFUNCTION("GOOGLETRANSLATE(B6389, ""zh"", ""en"")"),"According to waist size, leg length buy on line. My husband waist a little over 33, legs 29, 3430 to buy to wear long pants waist just send a little bit. 3330 is just put on the")</f>
        <v>According to waist size, leg length buy on line. My husband waist a little over 33, legs 29, 3430 to buy to wear long pants waist just send a little bit. 3330 is just put on the</v>
      </c>
    </row>
    <row r="6390">
      <c r="A6390" s="1">
        <v>5.0</v>
      </c>
      <c r="B6390" s="1" t="s">
        <v>6358</v>
      </c>
      <c r="C6390" t="str">
        <f>IFERROR(__xludf.DUMMYFUNCTION("GOOGLETRANSLATE(B6390, ""zh"", ""en"")"),"OK good product, I like ruthless")</f>
        <v>OK good product, I like ruthless</v>
      </c>
    </row>
    <row r="6391">
      <c r="A6391" s="1">
        <v>5.0</v>
      </c>
      <c r="B6391" s="1" t="s">
        <v>6359</v>
      </c>
      <c r="C6391" t="str">
        <f>IFERROR(__xludf.DUMMYFUNCTION("GOOGLETRANSLATE(B6391, ""zh"", ""en"")"),"Easy to use is easy to clean, easy to use, work is also good, do something completely shake enough, just do not know for how long;")</f>
        <v>Easy to use is easy to clean, easy to use, work is also good, do something completely shake enough, just do not know for how long;</v>
      </c>
    </row>
    <row r="6392">
      <c r="A6392" s="1">
        <v>5.0</v>
      </c>
      <c r="B6392" s="1" t="s">
        <v>6360</v>
      </c>
      <c r="C6392" t="str">
        <f>IFERROR(__xludf.DUMMYFUNCTION("GOOGLETRANSLATE(B6392, ""zh"", ""en"")"),"Good good, is not thick and thin.")</f>
        <v>Good good, is not thick and thin.</v>
      </c>
    </row>
    <row r="6393">
      <c r="A6393" s="1">
        <v>5.0</v>
      </c>
      <c r="B6393" s="1" t="s">
        <v>6361</v>
      </c>
      <c r="C6393" t="str">
        <f>IFERROR(__xludf.DUMMYFUNCTION("GOOGLETRANSLATE(B6393, ""zh"", ""en"")"),"nice very nice dial a little big for girls, but super nice")</f>
        <v>nice very nice dial a little big for girls, but super nice</v>
      </c>
    </row>
    <row r="6394">
      <c r="A6394" s="1">
        <v>2.0</v>
      </c>
      <c r="B6394" s="1" t="s">
        <v>6362</v>
      </c>
      <c r="C6394" t="str">
        <f>IFERROR(__xludf.DUMMYFUNCTION("GOOGLETRANSLATE(B6394, ""zh"", ""en"")"),"Too big too big, and a colleague who bought a pair, are too large can not wear, had given away")</f>
        <v>Too big too big, and a colleague who bought a pair, are too large can not wear, had given away</v>
      </c>
    </row>
    <row r="6395">
      <c r="A6395" s="1">
        <v>3.0</v>
      </c>
      <c r="B6395" s="1" t="s">
        <v>6363</v>
      </c>
      <c r="C6395" t="str">
        <f>IFERROR(__xludf.DUMMYFUNCTION("GOOGLETRANSLATE(B6395, ""zh"", ""en"")"),"Too I like baggy pants, but these pants is really too wide")</f>
        <v>Too I like baggy pants, but these pants is really too wide</v>
      </c>
    </row>
    <row r="6396">
      <c r="A6396" s="1">
        <v>3.0</v>
      </c>
      <c r="B6396" s="1" t="s">
        <v>6364</v>
      </c>
      <c r="C6396" t="str">
        <f>IFERROR(__xludf.DUMMYFUNCTION("GOOGLETRANSLATE(B6396, ""zh"", ""en"")"),"Patent leather is easy to write out very smooth, but the patent leather with great difficulty out, buy the next day put the bag inside, hung for a moment with the zipper, and then exposing the inside of yellow material.")</f>
        <v>Patent leather is easy to write out very smooth, but the patent leather with great difficulty out, buy the next day put the bag inside, hung for a moment with the zipper, and then exposing the inside of yellow material.</v>
      </c>
    </row>
    <row r="6397">
      <c r="A6397" s="1">
        <v>1.0</v>
      </c>
      <c r="B6397" s="1" t="s">
        <v>6365</v>
      </c>
      <c r="C6397" t="str">
        <f>IFERROR(__xludf.DUMMYFUNCTION("GOOGLETRANSLATE(B6397, ""zh"", ""en"")"),"Please do not buy garbage, take a few months on the bad, very poor quality.")</f>
        <v>Please do not buy garbage, take a few months on the bad, very poor quality.</v>
      </c>
    </row>
    <row r="6398">
      <c r="A6398" s="1">
        <v>1.0</v>
      </c>
      <c r="B6398" s="1" t="s">
        <v>6366</v>
      </c>
      <c r="C6398" t="str">
        <f>IFERROR(__xludf.DUMMYFUNCTION("GOOGLETRANSLATE(B6398, ""zh"", ""en"")"),"Not satisfied with poor quality, very thin, no embroidery, and a little dirty, poor packaging logistics slow, nothing, no tag, 618 engage in activities that Jingdong price can buy embroidered")</f>
        <v>Not satisfied with poor quality, very thin, no embroidery, and a little dirty, poor packaging logistics slow, nothing, no tag, 618 engage in activities that Jingdong price can buy embroidered</v>
      </c>
    </row>
    <row r="6399">
      <c r="A6399" s="1">
        <v>1.0</v>
      </c>
      <c r="B6399" s="1" t="s">
        <v>6367</v>
      </c>
      <c r="C6399" t="str">
        <f>IFERROR(__xludf.DUMMYFUNCTION("GOOGLETRANSLATE(B6399, ""zh"", ""en"")"),"You can not buy, receive bad buy is bad. Just received did not check out on vacation in August, with the back only to find, but after a sale of the Amazon, not the sale")</f>
        <v>You can not buy, receive bad buy is bad. Just received did not check out on vacation in August, with the back only to find, but after a sale of the Amazon, not the sale</v>
      </c>
    </row>
    <row r="6400">
      <c r="A6400" s="1">
        <v>4.0</v>
      </c>
      <c r="B6400" s="1" t="s">
        <v>6368</v>
      </c>
      <c r="C6400" t="str">
        <f>IFERROR(__xludf.DUMMYFUNCTION("GOOGLETRANSLATE(B6400, ""zh"", ""en"")"),"Poor first time in the Amazon to buy things, very disappointing spoon full of scratches abrasions, with the old, as well as Origin Guangdong actually feel cheated never come")</f>
        <v>Poor first time in the Amazon to buy things, very disappointing spoon full of scratches abrasions, with the old, as well as Origin Guangdong actually feel cheated never come</v>
      </c>
    </row>
    <row r="6401">
      <c r="A6401" s="1">
        <v>4.0</v>
      </c>
      <c r="B6401" s="1" t="s">
        <v>6369</v>
      </c>
      <c r="C6401" t="str">
        <f>IFERROR(__xludf.DUMMYFUNCTION("GOOGLETRANSLATE(B6401, ""zh"", ""en"")"),"still alright. Much cheaper than the state line, but it does little chuck, good to listen to classical music, vocal have no rendering. Good value for money, entry monitor headphones")</f>
        <v>still alright. Much cheaper than the state line, but it does little chuck, good to listen to classical music, vocal have no rendering. Good value for money, entry monitor headphones</v>
      </c>
    </row>
    <row r="6402">
      <c r="A6402" s="1">
        <v>4.0</v>
      </c>
      <c r="B6402" s="1" t="s">
        <v>6370</v>
      </c>
      <c r="C6402" t="str">
        <f>IFERROR(__xludf.DUMMYFUNCTION("GOOGLETRANSLATE(B6402, ""zh"", ""en"")"),"CK good buy cheaper than domestic, but foreign and slightly higher compared to the price, overall very good. Express earlier than expected arrival date! Some may want more and more money!")</f>
        <v>CK good buy cheaper than domestic, but foreign and slightly higher compared to the price, overall very good. Express earlier than expected arrival date! Some may want more and more money!</v>
      </c>
    </row>
    <row r="6403">
      <c r="A6403" s="1">
        <v>4.0</v>
      </c>
      <c r="B6403" s="1" t="s">
        <v>6371</v>
      </c>
      <c r="C6403" t="str">
        <f>IFERROR(__xludf.DUMMYFUNCTION("GOOGLETRANSLATE(B6403, ""zh"", ""en"")"),"Good quality workmanship is good, quality can also be down with the current.")</f>
        <v>Good quality workmanship is good, quality can also be down with the current.</v>
      </c>
    </row>
    <row r="6404">
      <c r="A6404" s="1">
        <v>4.0</v>
      </c>
      <c r="B6404" s="1" t="s">
        <v>6372</v>
      </c>
      <c r="C6404" t="str">
        <f>IFERROR(__xludf.DUMMYFUNCTION("GOOGLETRANSLATE(B6404, ""zh"", ""en"")"),"Insulation is not a good imagination merchandise looks good, like a general insulation effect")</f>
        <v>Insulation is not a good imagination merchandise looks good, like a general insulation effect</v>
      </c>
    </row>
    <row r="6405">
      <c r="A6405" s="1">
        <v>5.0</v>
      </c>
      <c r="B6405" s="1" t="s">
        <v>6373</v>
      </c>
      <c r="C6405" t="str">
        <f>IFERROR(__xludf.DUMMYFUNCTION("GOOGLETRANSLATE(B6405, ""zh"", ""en"")"),"Good good good good, have to buy one.")</f>
        <v>Good good good good, have to buy one.</v>
      </c>
    </row>
    <row r="6406">
      <c r="A6406" s="1">
        <v>5.0</v>
      </c>
      <c r="B6406" s="1" t="s">
        <v>6374</v>
      </c>
      <c r="C6406" t="str">
        <f>IFERROR(__xludf.DUMMYFUNCTION("GOOGLETRANSLATE(B6406, ""zh"", ""en"")"),"Small size small size L code just wear loose 160cm49kg")</f>
        <v>Small size small size L code just wear loose 160cm49kg</v>
      </c>
    </row>
    <row r="6407">
      <c r="A6407" s="1">
        <v>5.0</v>
      </c>
      <c r="B6407" s="1" t="s">
        <v>6375</v>
      </c>
      <c r="C6407" t="str">
        <f>IFERROR(__xludf.DUMMYFUNCTION("GOOGLETRANSLATE(B6407, ""zh"", ""en"")"),"Baby bowl pretty good, no smell, color")</f>
        <v>Baby bowl pretty good, no smell, color</v>
      </c>
    </row>
    <row r="6408">
      <c r="A6408" s="1">
        <v>5.0</v>
      </c>
      <c r="B6408" s="1" t="s">
        <v>6376</v>
      </c>
      <c r="C6408" t="str">
        <f>IFERROR(__xludf.DUMMYFUNCTION("GOOGLETRANSLATE(B6408, ""zh"", ""en"")"),"DEVICE BAGS DEVICE parcel style is very beautiful, no search to similar domestic bag, or is it good sea Amoy foreign models, like this one")</f>
        <v>DEVICE BAGS DEVICE parcel style is very beautiful, no search to similar domestic bag, or is it good sea Amoy foreign models, like this one</v>
      </c>
    </row>
    <row r="6409">
      <c r="A6409" s="1">
        <v>5.0</v>
      </c>
      <c r="B6409" s="1" t="s">
        <v>6377</v>
      </c>
      <c r="C6409" t="str">
        <f>IFERROR(__xludf.DUMMYFUNCTION("GOOGLETRANSLATE(B6409, ""zh"", ""en"")"),"Very good thing precise size, comfortable to wear. Overall upper body good results, it is worth buying.")</f>
        <v>Very good thing precise size, comfortable to wear. Overall upper body good results, it is worth buying.</v>
      </c>
    </row>
    <row r="6410">
      <c r="A6410" s="1">
        <v>5.0</v>
      </c>
      <c r="B6410" s="1" t="s">
        <v>6378</v>
      </c>
      <c r="C6410" t="str">
        <f>IFERROR(__xludf.DUMMYFUNCTION("GOOGLETRANSLATE(B6410, ""zh"", ""en"")"),"No moisture is still very good taste, more moisture, and there is nothing to taste, give the baby when lipstick is also good")</f>
        <v>No moisture is still very good taste, more moisture, and there is nothing to taste, give the baby when lipstick is also good</v>
      </c>
    </row>
    <row r="6411">
      <c r="A6411" s="1">
        <v>5.0</v>
      </c>
      <c r="B6411" s="1" t="s">
        <v>6379</v>
      </c>
      <c r="C6411" t="str">
        <f>IFERROR(__xludf.DUMMYFUNCTION("GOOGLETRANSLATE(B6411, ""zh"", ""en"")"),"A word handsome, handsome, 183,82 kg, L")</f>
        <v>A word handsome, handsome, 183,82 kg, L</v>
      </c>
    </row>
    <row r="6412">
      <c r="A6412" s="1">
        <v>5.0</v>
      </c>
      <c r="B6412" s="1" t="s">
        <v>6380</v>
      </c>
      <c r="C6412" t="str">
        <f>IFERROR(__xludf.DUMMYFUNCTION("GOOGLETRANSLATE(B6412, ""zh"", ""en"")"),"2 large bread is very good, very good resolution.")</f>
        <v>2 large bread is very good, very good resolution.</v>
      </c>
    </row>
    <row r="6413">
      <c r="A6413" s="1">
        <v>5.0</v>
      </c>
      <c r="B6413" s="1" t="s">
        <v>6381</v>
      </c>
      <c r="C6413" t="str">
        <f>IFERROR(__xludf.DUMMYFUNCTION("GOOGLETRANSLATE(B6413, ""zh"", ""en"")"),"For your reference to reference, usually wear shoes and sports shoes are 43 yards, feet several partial fat. Shoes direct election 43eu, a little bit spare length, width just! Overall comfortable!")</f>
        <v>For your reference to reference, usually wear shoes and sports shoes are 43 yards, feet several partial fat. Shoes direct election 43eu, a little bit spare length, width just! Overall comfortable!</v>
      </c>
    </row>
    <row r="6414">
      <c r="A6414" s="1">
        <v>5.0</v>
      </c>
      <c r="B6414" s="1" t="s">
        <v>6382</v>
      </c>
      <c r="C6414" t="str">
        <f>IFERROR(__xludf.DUMMYFUNCTION("GOOGLETRANSLATE(B6414, ""zh"", ""en"")"),"He made the wrong shoes, the wrong shoes, but the number is right, laces a little damaged, Amazon was compensation. I wear shoes 37.5, uk4, us6 appropriate beginning there was a little pressure feet, like a week later, winter wear is not cold, not hot spr"&amp;"ing wear, very happy, leather is also very good")</f>
        <v>He made the wrong shoes, the wrong shoes, but the number is right, laces a little damaged, Amazon was compensation. I wear shoes 37.5, uk4, us6 appropriate beginning there was a little pressure feet, like a week later, winter wear is not cold, not hot spring wear, very happy, leather is also very good</v>
      </c>
    </row>
    <row r="6415">
      <c r="A6415" s="1">
        <v>5.0</v>
      </c>
      <c r="B6415" s="1" t="s">
        <v>6383</v>
      </c>
      <c r="C6415" t="str">
        <f>IFERROR(__xludf.DUMMYFUNCTION("GOOGLETRANSLATE(B6415, ""zh"", ""en"")"),"Is ideal for cost-effective and comfortable to wear stylish")</f>
        <v>Is ideal for cost-effective and comfortable to wear stylish</v>
      </c>
    </row>
    <row r="6416">
      <c r="A6416" s="1">
        <v>5.0</v>
      </c>
      <c r="B6416" s="1" t="s">
        <v>6384</v>
      </c>
      <c r="C6416" t="str">
        <f>IFERROR(__xludf.DUMMYFUNCTION("GOOGLETRANSLATE(B6416, ""zh"", ""en"")"),"Yan high value Headphones look good, good quality, with galaxy s7 adjust the sound quality is also good")</f>
        <v>Yan high value Headphones look good, good quality, with galaxy s7 adjust the sound quality is also good</v>
      </c>
    </row>
    <row r="6417">
      <c r="A6417" s="1">
        <v>5.0</v>
      </c>
      <c r="B6417" s="1" t="s">
        <v>6385</v>
      </c>
      <c r="C6417" t="str">
        <f>IFERROR(__xludf.DUMMYFUNCTION("GOOGLETRANSLATE(B6417, ""zh"", ""en"")"),"It should be genuine! I believe the quality of the Amazon should be genuine! I believe the quality of the Amazon. Comments says the smell, the taste of it should be silicone! Wash after disinfection no!")</f>
        <v>It should be genuine! I believe the quality of the Amazon should be genuine! I believe the quality of the Amazon. Comments says the smell, the taste of it should be silicone! Wash after disinfection no!</v>
      </c>
    </row>
    <row r="6418">
      <c r="A6418" s="1">
        <v>5.0</v>
      </c>
      <c r="B6418" s="1" t="s">
        <v>6386</v>
      </c>
      <c r="C6418" t="str">
        <f>IFERROR(__xludf.DUMMYFUNCTION("GOOGLETRANSLATE(B6418, ""zh"", ""en"")"),"Recommend this faucet a very good tap water tender, great texture, what interfaces are common with the country, two pipes with a really short, buy two submarines extension tube connected to a very perfect, recommended.")</f>
        <v>Recommend this faucet a very good tap water tender, great texture, what interfaces are common with the country, two pipes with a really short, buy two submarines extension tube connected to a very perfect, recommended.</v>
      </c>
    </row>
    <row r="6419">
      <c r="A6419" s="1">
        <v>5.0</v>
      </c>
      <c r="B6419" s="1" t="s">
        <v>6387</v>
      </c>
      <c r="C6419" t="str">
        <f>IFERROR(__xludf.DUMMYFUNCTION("GOOGLETRANSLATE(B6419, ""zh"", ""en"")"),"Good price amount is greater thick oxford origin Bangladesh, slightly less than domestic factories. Good price is very suitable for everyday wear")</f>
        <v>Good price amount is greater thick oxford origin Bangladesh, slightly less than domestic factories. Good price is very suitable for everyday wear</v>
      </c>
    </row>
    <row r="6420">
      <c r="A6420" s="1">
        <v>5.0</v>
      </c>
      <c r="B6420" s="1" t="s">
        <v>6388</v>
      </c>
      <c r="C6420" t="str">
        <f>IFERROR(__xludf.DUMMYFUNCTION("GOOGLETRANSLATE(B6420, ""zh"", ""en"")"),"Pretty good feel pretty good, just received, waited a long time. Beautiful colors! like")</f>
        <v>Pretty good feel pretty good, just received, waited a long time. Beautiful colors! like</v>
      </c>
    </row>
    <row r="6421">
      <c r="A6421" s="1">
        <v>5.0</v>
      </c>
      <c r="B6421" s="1" t="s">
        <v>6389</v>
      </c>
      <c r="C6421" t="str">
        <f>IFERROR(__xludf.DUMMYFUNCTION("GOOGLETRANSLATE(B6421, ""zh"", ""en"")"),"Compared with the same number of domestic buy shoes larger than the same number of domestic buy larger shoes")</f>
        <v>Compared with the same number of domestic buy shoes larger than the same number of domestic buy larger shoes</v>
      </c>
    </row>
    <row r="6422">
      <c r="A6422" s="1">
        <v>5.0</v>
      </c>
      <c r="B6422" s="1" t="s">
        <v>6390</v>
      </c>
      <c r="C6422" t="str">
        <f>IFERROR(__xludf.DUMMYFUNCTION("GOOGLETRANSLATE(B6422, ""zh"", ""en"")"),"Particularly good particularly good, good to me with the money to buy a second double hoard! ! ! I usually wear 39, this pair of 5.5 yards just right.")</f>
        <v>Particularly good particularly good, good to me with the money to buy a second double hoard! ! ! I usually wear 39, this pair of 5.5 yards just right.</v>
      </c>
    </row>
    <row r="6423">
      <c r="A6423" s="1">
        <v>5.0</v>
      </c>
      <c r="B6423" s="1" t="s">
        <v>6391</v>
      </c>
      <c r="C6423" t="str">
        <f>IFERROR(__xludf.DUMMYFUNCTION("GOOGLETRANSLATE(B6423, ""zh"", ""en"")"),"In line with expectations 178/80, 33/30 buy, spring and autumn, long pants is shorter in a Diudiu expected within. Quality in line with expectations, upper body good results.")</f>
        <v>In line with expectations 178/80, 33/30 buy, spring and autumn, long pants is shorter in a Diudiu expected within. Quality in line with expectations, upper body good results.</v>
      </c>
    </row>
    <row r="6424">
      <c r="A6424" s="1">
        <v>5.0</v>
      </c>
      <c r="B6424" s="1" t="s">
        <v>6392</v>
      </c>
      <c r="C6424" t="str">
        <f>IFERROR(__xludf.DUMMYFUNCTION("GOOGLETRANSLATE(B6424, ""zh"", ""en"")"),"Seagate 5T cost-effective mobile hard disk, it is worth starting! Seagate purchased 5T mobile hard drives, very satisfied with the product, massive space, balance work, life, entertainment! The shopping is also special praise logistics speed, in just five"&amp;" days time, very efficient! In short, good goods, logistics to the force, praise! ! !")</f>
        <v>Seagate 5T cost-effective mobile hard disk, it is worth starting! Seagate purchased 5T mobile hard drives, very satisfied with the product, massive space, balance work, life, entertainment! The shopping is also special praise logistics speed, in just five days time, very efficient! In short, good goods, logistics to the force, praise! ! !</v>
      </c>
    </row>
    <row r="6425">
      <c r="A6425" s="1">
        <v>5.0</v>
      </c>
      <c r="B6425" s="1" t="s">
        <v>6393</v>
      </c>
      <c r="C6425" t="str">
        <f>IFERROR(__xludf.DUMMYFUNCTION("GOOGLETRANSLATE(B6425, ""zh"", ""en"")"),"Cost nice")</f>
        <v>Cost nice</v>
      </c>
    </row>
    <row r="6426">
      <c r="A6426" s="1">
        <v>5.0</v>
      </c>
      <c r="B6426" s="1" t="s">
        <v>6394</v>
      </c>
      <c r="C6426" t="str">
        <f>IFERROR(__xludf.DUMMYFUNCTION("GOOGLETRANSLATE(B6426, ""zh"", ""en"")"),"Very comfortable shoes. Shoes very good, very comfortable to wear, the price is cheaper than domestic, remember to buy a small one yard.")</f>
        <v>Very comfortable shoes. Shoes very good, very comfortable to wear, the price is cheaper than domestic, remember to buy a small one yard.</v>
      </c>
    </row>
    <row r="6427">
      <c r="A6427" s="1">
        <v>2.0</v>
      </c>
      <c r="B6427" s="1" t="s">
        <v>6395</v>
      </c>
      <c r="C6427" t="str">
        <f>IFERROR(__xludf.DUMMYFUNCTION("GOOGLETRANSLATE(B6427, ""zh"", ""en"")"),"Quality first sea Amoy results to buy back the water flossing can not fully out of the water. Later called customer service solution is to back the full amount. The water flossing do not have to go back up, but also keep a bad thing we do not know why. in"&amp;" short the first time scouring the sea so failed. obediently go to buy a cat. sea Amoy think the price is cheap but relies entirely on luck. bad luck like I do Amoy bad goods back. or to cautious play two stars is because the processing speed as well as t"&amp;"he attitude is still ok. hope Amazon can enhance the quality assurance is also a bar")</f>
        <v>Quality first sea Amoy results to buy back the water flossing can not fully out of the water. Later called customer service solution is to back the full amount. The water flossing do not have to go back up, but also keep a bad thing we do not know why. in short the first time scouring the sea so failed. obediently go to buy a cat. sea Amoy think the price is cheap but relies entirely on luck. bad luck like I do Amoy bad goods back. or to cautious play two stars is because the processing speed as well as the attitude is still ok. hope Amazon can enhance the quality assurance is also a bar</v>
      </c>
    </row>
    <row r="6428">
      <c r="A6428" s="1">
        <v>3.0</v>
      </c>
      <c r="B6428" s="1" t="s">
        <v>6396</v>
      </c>
      <c r="C6428" t="str">
        <f>IFERROR(__xludf.DUMMYFUNCTION("GOOGLETRANSLATE(B6428, ""zh"", ""en"")"),"What season of the hat brim big short, not very good")</f>
        <v>What season of the hat brim big short, not very good</v>
      </c>
    </row>
    <row r="6429">
      <c r="A6429" s="1">
        <v>3.0</v>
      </c>
      <c r="B6429" s="1" t="s">
        <v>6397</v>
      </c>
      <c r="C6429" t="str">
        <f>IFERROR(__xludf.DUMMYFUNCTION("GOOGLETRANSLATE(B6429, ""zh"", ""en"")"),"Shoes have quality control issues on the same day the arrival of three pairs of their music, this pair of men's three out some quality control problems. Asymmetrical left and right foot, left foot toe a little prominent location, a prominent part of some "&amp;"color, the color of the upper root inconsistent. Some rough parts of foot heel, the other vamps and some scratches.")</f>
        <v>Shoes have quality control issues on the same day the arrival of three pairs of their music, this pair of men's three out some quality control problems. Asymmetrical left and right foot, left foot toe a little prominent location, a prominent part of some color, the color of the upper root inconsistent. Some rough parts of foot heel, the other vamps and some scratches.</v>
      </c>
    </row>
    <row r="6430">
      <c r="A6430" s="1">
        <v>3.0</v>
      </c>
      <c r="B6430" s="1" t="s">
        <v>6398</v>
      </c>
      <c r="C6430" t="str">
        <f>IFERROR(__xludf.DUMMYFUNCTION("GOOGLETRANSLATE(B6430, ""zh"", ""en"")"),"Too bad there is no increase in the packaging outside the box, only the original packaging, packaging is rotten to me, do not know the things inside are not affected by")</f>
        <v>Too bad there is no increase in the packaging outside the box, only the original packaging, packaging is rotten to me, do not know the things inside are not affected by</v>
      </c>
    </row>
    <row r="6431">
      <c r="A6431" s="1">
        <v>1.0</v>
      </c>
      <c r="B6431" s="1" t="s">
        <v>6399</v>
      </c>
      <c r="C6431" t="str">
        <f>IFERROR(__xludf.DUMMYFUNCTION("GOOGLETRANSLATE(B6431, ""zh"", ""en"")"),"Smell the smell very serious very serious, do not know the beginning, the children drink a few times, then I want to drink, they screwed the lid, that kind of plastic taste, really feel like vomiting, I suspect that is not being made a fake really too big"&amp;", he applied for a return. Japan also retreated drained away, do not buy")</f>
        <v>Smell the smell very serious very serious, do not know the beginning, the children drink a few times, then I want to drink, they screwed the lid, that kind of plastic taste, really feel like vomiting, I suspect that is not being made a fake really too big, he applied for a return. Japan also retreated drained away, do not buy</v>
      </c>
    </row>
    <row r="6432">
      <c r="A6432" s="1">
        <v>1.0</v>
      </c>
      <c r="B6432" s="1" t="s">
        <v>6400</v>
      </c>
      <c r="C6432" t="str">
        <f>IFERROR(__xludf.DUMMYFUNCTION("GOOGLETRANSLATE(B6432, ""zh"", ""en"")"),"Bottle with red and blue bottle efficacy is not the same! Can change it to buy a blue bottle, Why do I get the red bottle!")</f>
        <v>Bottle with red and blue bottle efficacy is not the same! Can change it to buy a blue bottle, Why do I get the red bottle!</v>
      </c>
    </row>
    <row r="6433">
      <c r="A6433" s="1">
        <v>1.0</v>
      </c>
      <c r="B6433" s="1" t="s">
        <v>6401</v>
      </c>
      <c r="C6433" t="str">
        <f>IFERROR(__xludf.DUMMYFUNCTION("GOOGLETRANSLATE(B6433, ""zh"", ""en"")"),"Other the OK Battery capacity is too small, the battery capacity is too small, a few hours with no electricity, the need to keep the charge")</f>
        <v>Other the OK Battery capacity is too small, the battery capacity is too small, a few hours with no electricity, the need to keep the charge</v>
      </c>
    </row>
    <row r="6434">
      <c r="A6434" s="1">
        <v>4.0</v>
      </c>
      <c r="B6434" s="1" t="s">
        <v>6402</v>
      </c>
      <c r="C6434" t="str">
        <f>IFERROR(__xludf.DUMMYFUNCTION("GOOGLETRANSLATE(B6434, ""zh"", ""en"")"),"Shipped quickly, headphone cool unopened, but not as good as my headphones feel 7p headphones, do not know is not genuine, headphones noise prompted heavy English")</f>
        <v>Shipped quickly, headphone cool unopened, but not as good as my headphones feel 7p headphones, do not know is not genuine, headphones noise prompted heavy English</v>
      </c>
    </row>
    <row r="6435">
      <c r="A6435" s="1">
        <v>4.0</v>
      </c>
      <c r="B6435" s="1" t="s">
        <v>6403</v>
      </c>
      <c r="C6435" t="str">
        <f>IFERROR(__xludf.DUMMYFUNCTION("GOOGLETRANSLATE(B6435, ""zh"", ""en"")"),"Good pot family bought this brand of pan, you can use a metal spatula, and use a long coat are in good condition. Before the material is better to buy the pot feels that hard aluminum pan, coating feels slightly different, look forward to the results.")</f>
        <v>Good pot family bought this brand of pan, you can use a metal spatula, and use a long coat are in good condition. Before the material is better to buy the pot feels that hard aluminum pan, coating feels slightly different, look forward to the results.</v>
      </c>
    </row>
    <row r="6436">
      <c r="A6436" s="1">
        <v>4.0</v>
      </c>
      <c r="B6436" s="1" t="s">
        <v>6404</v>
      </c>
      <c r="C6436" t="str">
        <f>IFERROR(__xludf.DUMMYFUNCTION("GOOGLETRANSLATE(B6436, ""zh"", ""en"")"),"Feel good received, not to use child")</f>
        <v>Feel good received, not to use child</v>
      </c>
    </row>
    <row r="6437">
      <c r="A6437" s="1">
        <v>4.0</v>
      </c>
      <c r="B6437" s="1" t="s">
        <v>6405</v>
      </c>
      <c r="C6437" t="str">
        <f>IFERROR(__xludf.DUMMYFUNCTION("GOOGLETRANSLATE(B6437, ""zh"", ""en"")"),"I liked the price is right, with a good style, logo is more difficult to find")</f>
        <v>I liked the price is right, with a good style, logo is more difficult to find</v>
      </c>
    </row>
    <row r="6438">
      <c r="A6438" s="1">
        <v>4.0</v>
      </c>
      <c r="B6438" s="1" t="s">
        <v>6406</v>
      </c>
      <c r="C6438" t="str">
        <f>IFERROR(__xludf.DUMMYFUNCTION("GOOGLETRANSLATE(B6438, ""zh"", ""en"")"),"In fact, doctors are pretty good buy.")</f>
        <v>In fact, doctors are pretty good buy.</v>
      </c>
    </row>
    <row r="6439">
      <c r="A6439" s="1">
        <v>5.0</v>
      </c>
      <c r="B6439" s="1" t="s">
        <v>6407</v>
      </c>
      <c r="C6439" t="str">
        <f>IFERROR(__xludf.DUMMYFUNCTION("GOOGLETRANSLATE(B6439, ""zh"", ""en"")"),"Overall good wear Adidas Salomon Suokang Ni 42.5 Asics wear a little slim this us8 42 feet just right for your reference soles of new shoes a little more rigid front end wear heels a little tight to wear a period of time is estimated to be a good point ov"&amp;"erall satisfaction with good shoes")</f>
        <v>Overall good wear Adidas Salomon Suokang Ni 42.5 Asics wear a little slim this us8 42 feet just right for your reference soles of new shoes a little more rigid front end wear heels a little tight to wear a period of time is estimated to be a good point overall satisfaction with good shoes</v>
      </c>
    </row>
    <row r="6440">
      <c r="A6440" s="1">
        <v>5.0</v>
      </c>
      <c r="B6440" s="1" t="s">
        <v>6408</v>
      </c>
      <c r="C6440" t="str">
        <f>IFERROR(__xludf.DUMMYFUNCTION("GOOGLETRANSLATE(B6440, ""zh"", ""en"")"),"Good good good feeling silly ha ha ha")</f>
        <v>Good good good feeling silly ha ha ha</v>
      </c>
    </row>
    <row r="6441">
      <c r="A6441" s="1">
        <v>5.0</v>
      </c>
      <c r="B6441" s="1" t="s">
        <v>6409</v>
      </c>
      <c r="C6441" t="str">
        <f>IFERROR(__xludf.DUMMYFUNCTION("GOOGLETRANSLATE(B6441, ""zh"", ""en"")"),"Easy to use machine received, use a week to evaluate, very good, still in use, as well as with the KRUPS small beauty recipes recipes, the kitchen also has a recipe app, is way too long, a month, at the same time to buy the steamer accessories, and soon r"&amp;"eceived, not the two together shipment, just do not know the sale is not easy")</f>
        <v>Easy to use machine received, use a week to evaluate, very good, still in use, as well as with the KRUPS small beauty recipes recipes, the kitchen also has a recipe app, is way too long, a month, at the same time to buy the steamer accessories, and soon received, not the two together shipment, just do not know the sale is not easy</v>
      </c>
    </row>
    <row r="6442">
      <c r="A6442" s="1">
        <v>5.0</v>
      </c>
      <c r="B6442" s="1" t="s">
        <v>6410</v>
      </c>
      <c r="C6442" t="str">
        <f>IFERROR(__xludf.DUMMYFUNCTION("GOOGLETRANSLATE(B6442, ""zh"", ""en"")"),"Good easy to use, and later himself with the ink absorber")</f>
        <v>Good easy to use, and later himself with the ink absorber</v>
      </c>
    </row>
    <row r="6443">
      <c r="A6443" s="1">
        <v>5.0</v>
      </c>
      <c r="B6443" s="1" t="s">
        <v>6411</v>
      </c>
      <c r="C6443" t="str">
        <f>IFERROR(__xludf.DUMMYFUNCTION("GOOGLETRANSLATE(B6443, ""zh"", ""en"")"),"Good to wear pants 31, just the size, the amount of the penultimate hole at only 32mm wide")</f>
        <v>Good to wear pants 31, just the size, the amount of the penultimate hole at only 32mm wide</v>
      </c>
    </row>
    <row r="6444">
      <c r="A6444" s="1">
        <v>5.0</v>
      </c>
      <c r="B6444" s="1" t="s">
        <v>6412</v>
      </c>
      <c r="C6444" t="str">
        <f>IFERROR(__xludf.DUMMYFUNCTION("GOOGLETRANSLATE(B6444, ""zh"", ""en"")"),"...... got quite a surprise, compact, sound quality is not particularly high demand. Usually worn for about an hour, there is no feel ear clip")</f>
        <v>...... got quite a surprise, compact, sound quality is not particularly high demand. Usually worn for about an hour, there is no feel ear clip</v>
      </c>
    </row>
    <row r="6445">
      <c r="A6445" s="1">
        <v>5.0</v>
      </c>
      <c r="B6445" s="1" t="s">
        <v>6413</v>
      </c>
      <c r="C6445" t="str">
        <f>IFERROR(__xludf.DUMMYFUNCTION("GOOGLETRANSLATE(B6445, ""zh"", ""en"")"),"Good clothes clothes than domestic yardage freshman yards, fabric can be, that is very easy to stick hair trouble, I 175, weight 160 pounds to wear M code appropriate")</f>
        <v>Good clothes clothes than domestic yardage freshman yards, fabric can be, that is very easy to stick hair trouble, I 175, weight 160 pounds to wear M code appropriate</v>
      </c>
    </row>
    <row r="6446">
      <c r="A6446" s="1">
        <v>5.0</v>
      </c>
      <c r="B6446" s="1" t="s">
        <v>6414</v>
      </c>
      <c r="C6446" t="str">
        <f>IFERROR(__xludf.DUMMYFUNCTION("GOOGLETRANSLATE(B6446, ""zh"", ""en"")"),"Very good, very much. very good! Whether it is technology or size are good.")</f>
        <v>Very good, very much. very good! Whether it is technology or size are good.</v>
      </c>
    </row>
    <row r="6447">
      <c r="A6447" s="1">
        <v>5.0</v>
      </c>
      <c r="B6447" s="1" t="s">
        <v>6415</v>
      </c>
      <c r="C6447" t="str">
        <f>IFERROR(__xludf.DUMMYFUNCTION("GOOGLETRANSLATE(B6447, ""zh"", ""en"")"),"Perfect elegant details of khaki pants, prejudiced installed. Elastic fabric, comfortable to wear. Partial thickness fabrics, suitable for winter. Note that you can dry iron-free. A little fat legs, like carefully choose the package leg pants.")</f>
        <v>Perfect elegant details of khaki pants, prejudiced installed. Elastic fabric, comfortable to wear. Partial thickness fabrics, suitable for winter. Note that you can dry iron-free. A little fat legs, like carefully choose the package leg pants.</v>
      </c>
    </row>
    <row r="6448">
      <c r="A6448" s="1">
        <v>5.0</v>
      </c>
      <c r="B6448" s="1" t="s">
        <v>6416</v>
      </c>
      <c r="C6448" t="str">
        <f>IFERROR(__xludf.DUMMYFUNCTION("GOOGLETRANSLATE(B6448, ""zh"", ""en"")"),"A big bottle, a big bottle of vitamin begin, start vitamin supplements")</f>
        <v>A big bottle, a big bottle of vitamin begin, start vitamin supplements</v>
      </c>
    </row>
    <row r="6449">
      <c r="A6449" s="1">
        <v>5.0</v>
      </c>
      <c r="B6449" s="1" t="s">
        <v>6417</v>
      </c>
      <c r="C6449" t="str">
        <f>IFERROR(__xludf.DUMMYFUNCTION("GOOGLETRANSLATE(B6449, ""zh"", ""en"")"),"Beautiful especially good-looking, very comfortable, than usual sneakers half number, which is now a discount of twenty percent, it can be insured?")</f>
        <v>Beautiful especially good-looking, very comfortable, than usual sneakers half number, which is now a discount of twenty percent, it can be insured?</v>
      </c>
    </row>
    <row r="6450">
      <c r="A6450" s="1">
        <v>5.0</v>
      </c>
      <c r="B6450" s="1" t="s">
        <v>6418</v>
      </c>
      <c r="C6450" t="str">
        <f>IFERROR(__xludf.DUMMYFUNCTION("GOOGLETRANSLATE(B6450, ""zh"", ""en"")"),"Good stuff is very good, the right size, very comfortable to wear")</f>
        <v>Good stuff is very good, the right size, very comfortable to wear</v>
      </c>
    </row>
    <row r="6451">
      <c r="A6451" s="1">
        <v>5.0</v>
      </c>
      <c r="B6451" s="1" t="s">
        <v>6419</v>
      </c>
      <c r="C6451" t="str">
        <f>IFERROR(__xludf.DUMMYFUNCTION("GOOGLETRANSLATE(B6451, ""zh"", ""en"")"),"Five-star praise a good baby, very satisfied")</f>
        <v>Five-star praise a good baby, very satisfied</v>
      </c>
    </row>
    <row r="6452">
      <c r="A6452" s="1">
        <v>5.0</v>
      </c>
      <c r="B6452" s="1" t="s">
        <v>6420</v>
      </c>
      <c r="C6452" t="str">
        <f>IFERROR(__xludf.DUMMYFUNCTION("GOOGLETRANSLATE(B6452, ""zh"", ""en"")"),"Also can wear when the foot is just a little pressure is also possible to wear when just a little foot pressure")</f>
        <v>Also can wear when the foot is just a little pressure is also possible to wear when just a little foot pressure</v>
      </c>
    </row>
    <row r="6453">
      <c r="A6453" s="1">
        <v>5.0</v>
      </c>
      <c r="B6453" s="1" t="s">
        <v>6421</v>
      </c>
      <c r="C6453" t="str">
        <f>IFERROR(__xludf.DUMMYFUNCTION("GOOGLETRANSLATE(B6453, ""zh"", ""en"")"),"Comfortable looking a little hand imprint, great feeling, wiping color look good. Boots mouth is relatively small so wear skirts pants look good. Flat very comfortable for long walk. Black is back five and the price. Or buy early. . . Not wear it.")</f>
        <v>Comfortable looking a little hand imprint, great feeling, wiping color look good. Boots mouth is relatively small so wear skirts pants look good. Flat very comfortable for long walk. Black is back five and the price. Or buy early. . . Not wear it.</v>
      </c>
    </row>
    <row r="6454">
      <c r="A6454" s="1">
        <v>5.0</v>
      </c>
      <c r="B6454" s="1" t="s">
        <v>6422</v>
      </c>
      <c r="C6454" t="str">
        <f>IFERROR(__xludf.DUMMYFUNCTION("GOOGLETRANSLATE(B6454, ""zh"", ""en"")"),"Recommend cat family stuff worth recommending, quality nothing to say, enough conscience")</f>
        <v>Recommend cat family stuff worth recommending, quality nothing to say, enough conscience</v>
      </c>
    </row>
    <row r="6455">
      <c r="A6455" s="1">
        <v>5.0</v>
      </c>
      <c r="B6455" s="1" t="s">
        <v>6423</v>
      </c>
      <c r="C6455" t="str">
        <f>IFERROR(__xludf.DUMMYFUNCTION("GOOGLETRANSLATE(B6455, ""zh"", ""en"")"),"Very good 👍 to 5-year-old son with just the small guys because the cup prefer to drink water, convenient installation package, it is recommended")</f>
        <v>Very good 👍 to 5-year-old son with just the small guys because the cup prefer to drink water, convenient installation package, it is recommended</v>
      </c>
    </row>
    <row r="6456">
      <c r="A6456" s="1">
        <v>5.0</v>
      </c>
      <c r="B6456" s="1" t="s">
        <v>6424</v>
      </c>
      <c r="C6456" t="str">
        <f>IFERROR(__xludf.DUMMYFUNCTION("GOOGLETRANSLATE(B6456, ""zh"", ""en"")"),"THANK U AMAZON! Amazon deliveryman to think very thoughtful, Mid-Autumn Festival coincides with the receipt of the watch. Table luster is very commendable, brighter colors than the original image, the most important thing is cheaper than the market price."&amp;" Together! Thanks to Amazon")</f>
        <v>THANK U AMAZON! Amazon deliveryman to think very thoughtful, Mid-Autumn Festival coincides with the receipt of the watch. Table luster is very commendable, brighter colors than the original image, the most important thing is cheaper than the market price. Together! Thanks to Amazon</v>
      </c>
    </row>
    <row r="6457">
      <c r="A6457" s="1">
        <v>5.0</v>
      </c>
      <c r="B6457" s="1" t="s">
        <v>6425</v>
      </c>
      <c r="C6457" t="str">
        <f>IFERROR(__xludf.DUMMYFUNCTION("GOOGLETRANSLATE(B6457, ""zh"", ""en"")"),"Medium size very good, slightly small, was quite buy that number by half.")</f>
        <v>Medium size very good, slightly small, was quite buy that number by half.</v>
      </c>
    </row>
    <row r="6458">
      <c r="A6458" s="1">
        <v>5.0</v>
      </c>
      <c r="B6458" s="1" t="s">
        <v>6426</v>
      </c>
      <c r="C6458" t="str">
        <f>IFERROR(__xludf.DUMMYFUNCTION("GOOGLETRANSLATE(B6458, ""zh"", ""en"")"),"Very good very good inexpensive ~ ~ quality is guaranteed. . Not from the previous evaluation, I do not know how many wasted points, points can change money now know, they should look carefully evaluated, then I put these words to copy to go, both to earn"&amp;" points, but also save trouble, they go where copy , sent directly to it, recommend it to everyone!")</f>
        <v>Very good very good inexpensive ~ ~ quality is guaranteed. . Not from the previous evaluation, I do not know how many wasted points, points can change money now know, they should look carefully evaluated, then I put these words to copy to go, both to earn points, but also save trouble, they go where copy , sent directly to it, recommend it to everyone!</v>
      </c>
    </row>
    <row r="6459">
      <c r="A6459" s="1">
        <v>5.0</v>
      </c>
      <c r="B6459" s="1" t="s">
        <v>6427</v>
      </c>
      <c r="C6459" t="str">
        <f>IFERROR(__xludf.DUMMYFUNCTION("GOOGLETRANSLATE(B6459, ""zh"", ""en"")"),"Thailand nice shoes nice shoes and more than Laos, and Laos are the kind of free trade zone")</f>
        <v>Thailand nice shoes nice shoes and more than Laos, and Laos are the kind of free trade zone</v>
      </c>
    </row>
    <row r="6460">
      <c r="A6460" s="1">
        <v>5.0</v>
      </c>
      <c r="B6460" s="1" t="s">
        <v>6428</v>
      </c>
      <c r="C6460" t="str">
        <f>IFERROR(__xludf.DUMMYFUNCTION("GOOGLETRANSLATE(B6460, ""zh"", ""en"")"),"One pair of JBL 306p mkii very happy time to buy, 306p mkii bass dive enough, the most important voice was very small bass can be reflected, sound analytical clear, it is recommended!")</f>
        <v>One pair of JBL 306p mkii very happy time to buy, 306p mkii bass dive enough, the most important voice was very small bass can be reflected, sound analytical clear, it is recommended!</v>
      </c>
    </row>
    <row r="6461">
      <c r="A6461" s="1">
        <v>2.0</v>
      </c>
      <c r="B6461" s="1" t="s">
        <v>6429</v>
      </c>
      <c r="C6461" t="str">
        <f>IFERROR(__xludf.DUMMYFUNCTION("GOOGLETRANSLATE(B6461, ""zh"", ""en"")"),"Has been concerned about this cheap, low prices immediately shot the event for a week of arrival, satisfactory test results.")</f>
        <v>Has been concerned about this cheap, low prices immediately shot the event for a week of arrival, satisfactory test results.</v>
      </c>
    </row>
    <row r="6462">
      <c r="A6462" s="1">
        <v>3.0</v>
      </c>
      <c r="B6462" s="1" t="s">
        <v>6430</v>
      </c>
      <c r="C6462" t="str">
        <f>IFERROR(__xludf.DUMMYFUNCTION("GOOGLETRANSLATE(B6462, ""zh"", ""en"")"),"Local trade is generally less work pants, work is very general, a rope with a waistband, very rough.")</f>
        <v>Local trade is generally less work pants, work is very general, a rope with a waistband, very rough.</v>
      </c>
    </row>
    <row r="6463">
      <c r="A6463" s="1">
        <v>3.0</v>
      </c>
      <c r="B6463" s="1" t="s">
        <v>6431</v>
      </c>
      <c r="C6463" t="str">
        <f>IFERROR(__xludf.DUMMYFUNCTION("GOOGLETRANSLATE(B6463, ""zh"", ""en"")"),"Large numbers of at least one size larger number, quality okay")</f>
        <v>Large numbers of at least one size larger number, quality okay</v>
      </c>
    </row>
    <row r="6464">
      <c r="A6464" s="1">
        <v>3.0</v>
      </c>
      <c r="B6464" s="1" t="s">
        <v>6432</v>
      </c>
      <c r="C6464" t="str">
        <f>IFERROR(__xludf.DUMMYFUNCTION("GOOGLETRANSLATE(B6464, ""zh"", ""en"")"),"Inconsistent with domestic clothing sizes and packaging quality is good, the key is larger than the domestic clothing sizes, need to buy friends attention, you may be more appropriate than in the country to buy a smaller size. I height 176,70 kg, bought t"&amp;"he M number, the result is too large, it can only be given away.")</f>
        <v>Inconsistent with domestic clothing sizes and packaging quality is good, the key is larger than the domestic clothing sizes, need to buy friends attention, you may be more appropriate than in the country to buy a smaller size. I height 176,70 kg, bought the M number, the result is too large, it can only be given away.</v>
      </c>
    </row>
    <row r="6465">
      <c r="A6465" s="1">
        <v>1.0</v>
      </c>
      <c r="B6465" s="1" t="s">
        <v>6433</v>
      </c>
      <c r="C6465" t="str">
        <f>IFERROR(__xludf.DUMMYFUNCTION("GOOGLETRANSLATE(B6465, ""zh"", ""en"")"),"Package is too small. But also send their own return package too difficult to read. So small but also their own return. No wonder Amazon's half-dead in China")</f>
        <v>Package is too small. But also send their own return package too difficult to read. So small but also their own return. No wonder Amazon's half-dead in China</v>
      </c>
    </row>
    <row r="6466">
      <c r="A6466" s="1">
        <v>1.0</v>
      </c>
      <c r="B6466" s="1" t="s">
        <v>6434</v>
      </c>
      <c r="C6466" t="str">
        <f>IFERROR(__xludf.DUMMYFUNCTION("GOOGLETRANSLATE(B6466, ""zh"", ""en"")"),"Color is not correct color is not correct, would like a refund is not convenient")</f>
        <v>Color is not correct color is not correct, would like a refund is not convenient</v>
      </c>
    </row>
    <row r="6467">
      <c r="A6467" s="1">
        <v>4.0</v>
      </c>
      <c r="B6467" s="1" t="s">
        <v>6435</v>
      </c>
      <c r="C6467" t="str">
        <f>IFERROR(__xludf.DUMMYFUNCTION("GOOGLETRANSLATE(B6467, ""zh"", ""en"")"),"Very good quality food-contact-type steel, thick bowl as well as scale, and convenient squeeze of lemon and orange juice, is a German brand, thank you Amazon. That is a little expensive.")</f>
        <v>Very good quality food-contact-type steel, thick bowl as well as scale, and convenient squeeze of lemon and orange juice, is a German brand, thank you Amazon. That is a little expensive.</v>
      </c>
    </row>
    <row r="6468">
      <c r="A6468" s="1">
        <v>4.0</v>
      </c>
      <c r="B6468" s="1" t="s">
        <v>6436</v>
      </c>
      <c r="C6468" t="str">
        <f>IFERROR(__xludf.DUMMYFUNCTION("GOOGLETRANSLATE(B6468, ""zh"", ""en"")"),"Audio is better to start with a mobile phone, with btr3 general effect, quite like to retire, had to change with innovation zen xtra once the results came out. Later also attempts to better dac greatest feature is the bass do not mix, strong, not thorn tr"&amp;"eble, sound field separation well")</f>
        <v>Audio is better to start with a mobile phone, with btr3 general effect, quite like to retire, had to change with innovation zen xtra once the results came out. Later also attempts to better dac greatest feature is the bass do not mix, strong, not thorn treble, sound field separation well</v>
      </c>
    </row>
    <row r="6469">
      <c r="A6469" s="1">
        <v>4.0</v>
      </c>
      <c r="B6469" s="1" t="s">
        <v>6437</v>
      </c>
      <c r="C6469" t="str">
        <f>IFERROR(__xludf.DUMMYFUNCTION("GOOGLETRANSLATE(B6469, ""zh"", ""en"")"),"Greenish greenish color, no bright on the graph, small regret")</f>
        <v>Greenish greenish color, no bright on the graph, small regret</v>
      </c>
    </row>
    <row r="6470">
      <c r="A6470" s="1">
        <v>4.0</v>
      </c>
      <c r="B6470" s="1" t="s">
        <v>6438</v>
      </c>
      <c r="C6470" t="str">
        <f>IFERROR(__xludf.DUMMYFUNCTION("GOOGLETRANSLATE(B6470, ""zh"", ""en"")"),"Than domestic sports brands are cheap, cost-effective good, good quality than the domestic, but also cheaper. Wear their own good.")</f>
        <v>Than domestic sports brands are cheap, cost-effective good, good quality than the domestic, but also cheaper. Wear their own good.</v>
      </c>
    </row>
    <row r="6471">
      <c r="A6471" s="1">
        <v>5.0</v>
      </c>
      <c r="B6471" s="1" t="s">
        <v>6439</v>
      </c>
      <c r="C6471" t="str">
        <f>IFERROR(__xludf.DUMMYFUNCTION("GOOGLETRANSLATE(B6471, ""zh"", ""en"")"),"Good shoes is very good! Deerskin material, cleaning trouble spots ~")</f>
        <v>Good shoes is very good! Deerskin material, cleaning trouble spots ~</v>
      </c>
    </row>
    <row r="6472">
      <c r="A6472" s="1">
        <v>5.0</v>
      </c>
      <c r="B6472" s="1" t="s">
        <v>6440</v>
      </c>
      <c r="C6472" t="str">
        <f>IFERROR(__xludf.DUMMYFUNCTION("GOOGLETRANSLATE(B6472, ""zh"", ""en"")"),"Good thing I like most is his wide mouth, a good wash, not easy to leak milk. But if crowded when milk bottles, milk powder leaks out from the vent. . . .")</f>
        <v>Good thing I like most is his wide mouth, a good wash, not easy to leak milk. But if crowded when milk bottles, milk powder leaks out from the vent. . . .</v>
      </c>
    </row>
    <row r="6473">
      <c r="A6473" s="1">
        <v>5.0</v>
      </c>
      <c r="B6473" s="1" t="s">
        <v>6441</v>
      </c>
      <c r="C6473" t="str">
        <f>IFERROR(__xludf.DUMMYFUNCTION("GOOGLETRANSLATE(B6473, ""zh"", ""en"")"),"Very easy to use personally find it very easy to use, first of all there is no noise, 2 modes, you can choose a variety of efforts, will not bother to get up at night baby, I received a brand new product comes with two bottles, the subject of the British "&amp;"power plug, need a plug adapter. Easy to get started.")</f>
        <v>Very easy to use personally find it very easy to use, first of all there is no noise, 2 modes, you can choose a variety of efforts, will not bother to get up at night baby, I received a brand new product comes with two bottles, the subject of the British power plug, need a plug adapter. Easy to get started.</v>
      </c>
    </row>
    <row r="6474">
      <c r="A6474" s="1">
        <v>5.0</v>
      </c>
      <c r="B6474" s="1" t="s">
        <v>6442</v>
      </c>
      <c r="C6474" t="str">
        <f>IFERROR(__xludf.DUMMYFUNCTION("GOOGLETRANSLATE(B6474, ""zh"", ""en"")"),"Something good good quality, numbers a little big, deep color than the picture, more comfortable.")</f>
        <v>Something good good quality, numbers a little big, deep color than the picture, more comfortable.</v>
      </c>
    </row>
    <row r="6475">
      <c r="A6475" s="1">
        <v>5.0</v>
      </c>
      <c r="B6475" s="1" t="s">
        <v>6443</v>
      </c>
      <c r="C6475" t="str">
        <f>IFERROR(__xludf.DUMMYFUNCTION("GOOGLETRANSLATE(B6475, ""zh"", ""en"")"),"Praise wearing comfortable shoes, the tall")</f>
        <v>Praise wearing comfortable shoes, the tall</v>
      </c>
    </row>
    <row r="6476">
      <c r="A6476" s="1">
        <v>5.0</v>
      </c>
      <c r="B6476" s="1" t="s">
        <v>6444</v>
      </c>
      <c r="C6476" t="str">
        <f>IFERROR(__xludf.DUMMYFUNCTION("GOOGLETRANSLATE(B6476, ""zh"", ""en"")"),"Very comfortable clothes fit, 98% cotton and Lycra, elastic, I 181cm, 102kg weight, just wear 42/30.")</f>
        <v>Very comfortable clothes fit, 98% cotton and Lycra, elastic, I 181cm, 102kg weight, just wear 42/30.</v>
      </c>
    </row>
    <row r="6477">
      <c r="A6477" s="1">
        <v>5.0</v>
      </c>
      <c r="B6477" s="1" t="s">
        <v>6445</v>
      </c>
      <c r="C6477" t="str">
        <f>IFERROR(__xludf.DUMMYFUNCTION("GOOGLETRANSLATE(B6477, ""zh"", ""en"")"),"Affordable, Bang Bang da Meng-made! ! In the perfect! ! Shipments a week to go. It is to wear thick socks or right after a little big 😂 and looked at a single price drop 30 but do not regret it ha ha ha ha ha ha ha ha ha ha")</f>
        <v>Affordable, Bang Bang da Meng-made! ! In the perfect! ! Shipments a week to go. It is to wear thick socks or right after a little big 😂 and looked at a single price drop 30 but do not regret it ha ha ha ha ha ha ha ha ha ha</v>
      </c>
    </row>
    <row r="6478">
      <c r="A6478" s="1">
        <v>5.0</v>
      </c>
      <c r="B6478" s="1" t="s">
        <v>6446</v>
      </c>
      <c r="C6478" t="str">
        <f>IFERROR(__xludf.DUMMYFUNCTION("GOOGLETRANSLATE(B6478, ""zh"", ""en"")"),"Very good first like to thank the overseas purchase of customer service, attitude is very good. My waist 2-foot-6, to buy 38, I feel very fit, the belt is really good value for money, certainly not buy domestic, recommended to buy, I Inner Mongolia rural "&amp;"areas, but also to the express delivery 10 days, Yan fast")</f>
        <v>Very good first like to thank the overseas purchase of customer service, attitude is very good. My waist 2-foot-6, to buy 38, I feel very fit, the belt is really good value for money, certainly not buy domestic, recommended to buy, I Inner Mongolia rural areas, but also to the express delivery 10 days, Yan fast</v>
      </c>
    </row>
    <row r="6479">
      <c r="A6479" s="1">
        <v>5.0</v>
      </c>
      <c r="B6479" s="1" t="s">
        <v>6447</v>
      </c>
      <c r="C6479" t="str">
        <f>IFERROR(__xludf.DUMMYFUNCTION("GOOGLETRANSLATE(B6479, ""zh"", ""en"")"),"Very good value I did not expect so soon, the table is very good. The first sea Amoy, very smooth! Continue later")</f>
        <v>Very good value I did not expect so soon, the table is very good. The first sea Amoy, very smooth! Continue later</v>
      </c>
    </row>
    <row r="6480">
      <c r="A6480" s="1">
        <v>5.0</v>
      </c>
      <c r="B6480" s="1" t="s">
        <v>6448</v>
      </c>
      <c r="C6480" t="str">
        <f>IFERROR(__xludf.DUMMYFUNCTION("GOOGLETRANSLATE(B6480, ""zh"", ""en"")"),"Good quality, cost-effective. Micro stretch, 33 * 32, 33 pairs is exactly 74 kg, 32 pairs of high-170 is long, and this should be 30, optional non-elastic section 30.")</f>
        <v>Good quality, cost-effective. Micro stretch, 33 * 32, 33 pairs is exactly 74 kg, 32 pairs of high-170 is long, and this should be 30, optional non-elastic section 30.</v>
      </c>
    </row>
    <row r="6481">
      <c r="A6481" s="1">
        <v>5.0</v>
      </c>
      <c r="B6481" s="1" t="s">
        <v>6449</v>
      </c>
      <c r="C6481" t="str">
        <f>IFERROR(__xludf.DUMMYFUNCTION("GOOGLETRANSLATE(B6481, ""zh"", ""en"")"),"Comfortable and very good quality, comfortable to wear, but also buy")</f>
        <v>Comfortable and very good quality, comfortable to wear, but also buy</v>
      </c>
    </row>
    <row r="6482">
      <c r="A6482" s="1">
        <v>5.0</v>
      </c>
      <c r="B6482" s="1" t="s">
        <v>6450</v>
      </c>
      <c r="C6482" t="str">
        <f>IFERROR(__xludf.DUMMYFUNCTION("GOOGLETRANSLATE(B6482, ""zh"", ""en"")"),"Martin boots because cool shot wrong, not to buy a daughter of that paragraph, leather a bit hard. The daughter said it will return to wear the trouble. She likes this feeling nostalgic cool! There are increased effect.")</f>
        <v>Martin boots because cool shot wrong, not to buy a daughter of that paragraph, leather a bit hard. The daughter said it will return to wear the trouble. She likes this feeling nostalgic cool! There are increased effect.</v>
      </c>
    </row>
    <row r="6483">
      <c r="A6483" s="1">
        <v>5.0</v>
      </c>
      <c r="B6483" s="1" t="s">
        <v>6451</v>
      </c>
      <c r="C6483" t="str">
        <f>IFERROR(__xludf.DUMMYFUNCTION("GOOGLETRANSLATE(B6483, ""zh"", ""en"")"),"Slightly larger, it is recommended to buy a small one yard usually wear 37 yards, this pair to wear 37.5 also little freshman little bit, quite comfortable, not how fade")</f>
        <v>Slightly larger, it is recommended to buy a small one yard usually wear 37 yards, this pair to wear 37.5 also little freshman little bit, quite comfortable, not how fade</v>
      </c>
    </row>
    <row r="6484">
      <c r="A6484" s="1">
        <v>5.0</v>
      </c>
      <c r="B6484" s="1" t="s">
        <v>6452</v>
      </c>
      <c r="C6484" t="str">
        <f>IFERROR(__xludf.DUMMYFUNCTION("GOOGLETRANSLATE(B6484, ""zh"", ""en"")"),"Some fabrics fabrics and some hard hard, thin, the whole can")</f>
        <v>Some fabrics fabrics and some hard hard, thin, the whole can</v>
      </c>
    </row>
    <row r="6485">
      <c r="A6485" s="1">
        <v>5.0</v>
      </c>
      <c r="B6485" s="1" t="s">
        <v>6453</v>
      </c>
      <c r="C6485" t="str">
        <f>IFERROR(__xludf.DUMMYFUNCTION("GOOGLETRANSLATE(B6485, ""zh"", ""en"")"),"Good soft, feel good")</f>
        <v>Good soft, feel good</v>
      </c>
    </row>
    <row r="6486">
      <c r="A6486" s="1">
        <v>5.0</v>
      </c>
      <c r="B6486" s="1" t="s">
        <v>6454</v>
      </c>
      <c r="C6486" t="str">
        <f>IFERROR(__xludf.DUMMYFUNCTION("GOOGLETRANSLATE(B6486, ""zh"", ""en"")"),"Very good very good")</f>
        <v>Very good very good</v>
      </c>
    </row>
    <row r="6487">
      <c r="A6487" s="1">
        <v>5.0</v>
      </c>
      <c r="B6487" s="1" t="s">
        <v>6455</v>
      </c>
      <c r="C6487" t="str">
        <f>IFERROR(__xludf.DUMMYFUNCTION("GOOGLETRANSLATE(B6487, ""zh"", ""en"")"),"Good Good")</f>
        <v>Good Good</v>
      </c>
    </row>
    <row r="6488">
      <c r="A6488" s="1">
        <v>5.0</v>
      </c>
      <c r="B6488" s="1" t="s">
        <v>6456</v>
      </c>
      <c r="C6488" t="str">
        <f>IFERROR(__xludf.DUMMYFUNCTION("GOOGLETRANSLATE(B6488, ""zh"", ""en"")"),"Praise praise is very good, exquisite packaging, insulation effect is good!")</f>
        <v>Praise praise is very good, exquisite packaging, insulation effect is good!</v>
      </c>
    </row>
    <row r="6489">
      <c r="A6489" s="1">
        <v>5.0</v>
      </c>
      <c r="B6489" s="1" t="s">
        <v>6457</v>
      </c>
      <c r="C6489" t="str">
        <f>IFERROR(__xludf.DUMMYFUNCTION("GOOGLETRANSLATE(B6489, ""zh"", ""en"")"),"Vegetable relaxed fruits and vegetables sliced, shredded, diced, minced meat (no meat machine playing pieces), broken soup, tomato sauce and all are playing well within a minute, there are broken with crushed ice dried beans did not try, almost the next d"&amp;"ay once in these two months, because it is too easy in the past to be cut to half an hour, and now with this cooking machine just a few minutes. Even before tax 1200, I bought a few cooking machine Zi most cost-effective one, since all still very sharp bl"&amp;"ade.")</f>
        <v>Vegetable relaxed fruits and vegetables sliced, shredded, diced, minced meat (no meat machine playing pieces), broken soup, tomato sauce and all are playing well within a minute, there are broken with crushed ice dried beans did not try, almost the next day once in these two months, because it is too easy in the past to be cut to half an hour, and now with this cooking machine just a few minutes. Even before tax 1200, I bought a few cooking machine Zi most cost-effective one, since all still very sharp blade.</v>
      </c>
    </row>
    <row r="6490">
      <c r="A6490" s="1">
        <v>5.0</v>
      </c>
      <c r="B6490" s="1" t="s">
        <v>6458</v>
      </c>
      <c r="C6490" t="str">
        <f>IFERROR(__xludf.DUMMYFUNCTION("GOOGLETRANSLATE(B6490, ""zh"", ""en"")"),"Great baby great, thick material, comfortable to wear!")</f>
        <v>Great baby great, thick material, comfortable to wear!</v>
      </c>
    </row>
    <row r="6491">
      <c r="A6491" s="1">
        <v>5.0</v>
      </c>
      <c r="B6491" s="1" t="s">
        <v>6459</v>
      </c>
      <c r="C6491" t="str">
        <f>IFERROR(__xludf.DUMMYFUNCTION("GOOGLETRANSLATE(B6491, ""zh"", ""en"")"),"Good comfort, warm and strong. Very comfortable to wear.")</f>
        <v>Good comfort, warm and strong. Very comfortable to wear.</v>
      </c>
    </row>
    <row r="6492">
      <c r="A6492" s="1">
        <v>5.0</v>
      </c>
      <c r="B6492" s="1" t="s">
        <v>6460</v>
      </c>
      <c r="C6492" t="str">
        <f>IFERROR(__xludf.DUMMYFUNCTION("GOOGLETRANSLATE(B6492, ""zh"", ""en"")"),"Well, fast is very good, to achieve the desired effect, even if it is far away, logistics, not too slow")</f>
        <v>Well, fast is very good, to achieve the desired effect, even if it is far away, logistics, not too slow</v>
      </c>
    </row>
    <row r="6493">
      <c r="A6493" s="1">
        <v>2.0</v>
      </c>
      <c r="B6493" s="1" t="s">
        <v>6461</v>
      </c>
      <c r="C6493" t="str">
        <f>IFERROR(__xludf.DUMMYFUNCTION("GOOGLETRANSLATE(B6493, ""zh"", ""en"")"),"Hand general feeling in general, not worth buying")</f>
        <v>Hand general feeling in general, not worth buying</v>
      </c>
    </row>
    <row r="6494">
      <c r="A6494" s="1">
        <v>3.0</v>
      </c>
      <c r="B6494" s="1" t="s">
        <v>6462</v>
      </c>
      <c r="C6494" t="str">
        <f>IFERROR(__xludf.DUMMYFUNCTION("GOOGLETRANSLATE(B6494, ""zh"", ""en"")"),"Size matters of good quality, big bust waistline, 175,65kg.")</f>
        <v>Size matters of good quality, big bust waistline, 175,65kg.</v>
      </c>
    </row>
    <row r="6495">
      <c r="A6495" s="1">
        <v>3.0</v>
      </c>
      <c r="B6495" s="1" t="s">
        <v>6463</v>
      </c>
      <c r="C6495" t="str">
        <f>IFERROR(__xludf.DUMMYFUNCTION("GOOGLETRANSLATE(B6495, ""zh"", ""en"")"),"Generally it looks okay, and I'm looking to buy good-looking, but the problem with the design spout, pour very difficult, expensive, and only the 180-degree rotation, in order to pour the water inside dry.")</f>
        <v>Generally it looks okay, and I'm looking to buy good-looking, but the problem with the design spout, pour very difficult, expensive, and only the 180-degree rotation, in order to pour the water inside dry.</v>
      </c>
    </row>
    <row r="6496">
      <c r="A6496" s="1">
        <v>1.0</v>
      </c>
      <c r="B6496" s="1" t="s">
        <v>6464</v>
      </c>
      <c r="C6496" t="str">
        <f>IFERROR(__xludf.DUMMYFUNCTION("GOOGLETRANSLATE(B6496, ""zh"", ""en"")"),"Why can not receive return packaging is very simple, there is no security code, open relatively unpleasant plastic taste, do not let back, Poor")</f>
        <v>Why can not receive return packaging is very simple, there is no security code, open relatively unpleasant plastic taste, do not let back, Poor</v>
      </c>
    </row>
    <row r="6497">
      <c r="A6497" s="1">
        <v>1.0</v>
      </c>
      <c r="B6497" s="1" t="s">
        <v>6465</v>
      </c>
      <c r="C6497" t="str">
        <f>IFERROR(__xludf.DUMMYFUNCTION("GOOGLETRANSLATE(B6497, ""zh"", ""en"")"),"Amazon, which is to close down the rhythm I bought a brand-new, second-hand goods Why me? After receiving no protective film packaging, foam inside the hard drive support only one! The machine looked at the use of eighty nine, power-on time 1512 hours! I "&amp;"will prefer to buy in the domestic Taobao Jingdong not in the Amazon you buy! Spicy chicken! ! ! ! !")</f>
        <v>Amazon, which is to close down the rhythm I bought a brand-new, second-hand goods Why me? After receiving no protective film packaging, foam inside the hard drive support only one! The machine looked at the use of eighty nine, power-on time 1512 hours! I will prefer to buy in the domestic Taobao Jingdong not in the Amazon you buy! Spicy chicken! ! ! ! !</v>
      </c>
    </row>
    <row r="6498">
      <c r="A6498" s="1">
        <v>4.0</v>
      </c>
      <c r="B6498" s="1" t="s">
        <v>6466</v>
      </c>
      <c r="C6498" t="str">
        <f>IFERROR(__xludf.DUMMYFUNCTION("GOOGLETRANSLATE(B6498, ""zh"", ""en"")"),"Standing product activity price is good, replace the brush head often requires standing")</f>
        <v>Standing product activity price is good, replace the brush head often requires standing</v>
      </c>
    </row>
    <row r="6499">
      <c r="A6499" s="1">
        <v>4.0</v>
      </c>
      <c r="B6499" s="1" t="s">
        <v>6467</v>
      </c>
      <c r="C6499" t="str">
        <f>IFERROR(__xludf.DUMMYFUNCTION("GOOGLETRANSLATE(B6499, ""zh"", ""en"")"),"Good, fabric in general. Cloth general, a slightly larger Diudiu, 184/75.")</f>
        <v>Good, fabric in general. Cloth general, a slightly larger Diudiu, 184/75.</v>
      </c>
    </row>
    <row r="6500">
      <c r="A6500" s="1">
        <v>4.0</v>
      </c>
      <c r="B6500" s="1" t="s">
        <v>6468</v>
      </c>
      <c r="C6500" t="str">
        <f>IFERROR(__xludf.DUMMYFUNCTION("GOOGLETRANSLATE(B6500, ""zh"", ""en"")"),"Good quality height 168, weight 125, buy the M code, a little too large, but good quality, style is also good-looking!")</f>
        <v>Good quality height 168, weight 125, buy the M code, a little too large, but good quality, style is also good-looking!</v>
      </c>
    </row>
    <row r="6501">
      <c r="A6501" s="1">
        <v>4.0</v>
      </c>
      <c r="B6501" s="1" t="s">
        <v>6469</v>
      </c>
      <c r="C6501" t="str">
        <f>IFERROR(__xludf.DUMMYFUNCTION("GOOGLETRANSLATE(B6501, ""zh"", ""en"")"),"Reasonable price and fast delivery texture fit to wear yet. But then, does the fabric some hard, washed the future I do not know whether will be so. My idea is, but also what a bike. More than a hundred buy lee, but also Han bicycle. I'm satisfied. Casual"&amp;" wear just fine. 173cm, 77.7kg, 34 × 32 is selected, fit. Dressed in a kind of semi-casual, semi-formal feel. In addition to hard and fabric feel can feeling.")</f>
        <v>Reasonable price and fast delivery texture fit to wear yet. But then, does the fabric some hard, washed the future I do not know whether will be so. My idea is, but also what a bike. More than a hundred buy lee, but also Han bicycle. I'm satisfied. Casual wear just fine. 173cm, 77.7kg, 34 × 32 is selected, fit. Dressed in a kind of semi-casual, semi-formal feel. In addition to hard and fabric feel can feeling.</v>
      </c>
    </row>
    <row r="6502">
      <c r="A6502" s="1">
        <v>4.0</v>
      </c>
      <c r="B6502" s="1" t="s">
        <v>6470</v>
      </c>
      <c r="C6502" t="str">
        <f>IFERROR(__xludf.DUMMYFUNCTION("GOOGLETRANSLATE(B6502, ""zh"", ""en"")"),"Zoli feel better than good! Etc. bb big points with")</f>
        <v>Zoli feel better than good! Etc. bb big points with</v>
      </c>
    </row>
    <row r="6503">
      <c r="A6503" s="1">
        <v>5.0</v>
      </c>
      <c r="B6503" s="1" t="s">
        <v>6471</v>
      </c>
      <c r="C6503" t="str">
        <f>IFERROR(__xludf.DUMMYFUNCTION("GOOGLETRANSLATE(B6503, ""zh"", ""en"")"),"Very good cost-effective price, nor is it a long time")</f>
        <v>Very good cost-effective price, nor is it a long time</v>
      </c>
    </row>
    <row r="6504">
      <c r="A6504" s="1">
        <v>5.0</v>
      </c>
      <c r="B6504" s="1" t="s">
        <v>6472</v>
      </c>
      <c r="C6504" t="str">
        <f>IFERROR(__xludf.DUMMYFUNCTION("GOOGLETRANSLATE(B6504, ""zh"", ""en"")"),"G-star good advantage in pants tailoring")</f>
        <v>G-star good advantage in pants tailoring</v>
      </c>
    </row>
    <row r="6505">
      <c r="A6505" s="1">
        <v>5.0</v>
      </c>
      <c r="B6505" s="1" t="s">
        <v>6473</v>
      </c>
      <c r="C6505" t="str">
        <f>IFERROR(__xludf.DUMMYFUNCTION("GOOGLETRANSLATE(B6505, ""zh"", ""en"")"),"beyerdynamic Beyerdynamic DT990 PRO headphones like classical music, this headset is a good choice, tri-band loose balance, no machine can put all kinds of mobile phone use, including Apple, other phone has not been tested, connect the desktop CD effect.")</f>
        <v>beyerdynamic Beyerdynamic DT990 PRO headphones like classical music, this headset is a good choice, tri-band loose balance, no machine can put all kinds of mobile phone use, including Apple, other phone has not been tested, connect the desktop CD effect.</v>
      </c>
    </row>
    <row r="6506">
      <c r="A6506" s="1">
        <v>5.0</v>
      </c>
      <c r="B6506" s="1" t="s">
        <v>6474</v>
      </c>
      <c r="C6506" t="str">
        <f>IFERROR(__xludf.DUMMYFUNCTION("GOOGLETRANSLATE(B6506, ""zh"", ""en"")"),"We have not started with is still bottle dr browns this comotomo not yet begun with no box under my hand pretty good pinched nipple as to what I do not know the baby will not like, I do not know")</f>
        <v>We have not started with is still bottle dr browns this comotomo not yet begun with no box under my hand pretty good pinched nipple as to what I do not know the baby will not like, I do not know</v>
      </c>
    </row>
    <row r="6507">
      <c r="A6507" s="1">
        <v>5.0</v>
      </c>
      <c r="B6507" s="1" t="s">
        <v>6475</v>
      </c>
      <c r="C6507" t="str">
        <f>IFERROR(__xludf.DUMMYFUNCTION("GOOGLETRANSLATE(B6507, ""zh"", ""en"")"),"Very satisfied with very precise dimensions, to find a suitable own pants, shown in the illustration, look at the amount, converted to English, I bought! very suitable! 172cm74kg, 34W32L, deliberately buy trifle generous, go get yourself a little like a t"&amp;"ailor at short! Mainly the waist to the right!")</f>
        <v>Very satisfied with very precise dimensions, to find a suitable own pants, shown in the illustration, look at the amount, converted to English, I bought! very suitable! 172cm74kg, 34W32L, deliberately buy trifle generous, go get yourself a little like a tailor at short! Mainly the waist to the right!</v>
      </c>
    </row>
    <row r="6508">
      <c r="A6508" s="1">
        <v>5.0</v>
      </c>
      <c r="B6508" s="1" t="s">
        <v>6476</v>
      </c>
      <c r="C6508" t="str">
        <f>IFERROR(__xludf.DUMMYFUNCTION("GOOGLETRANSLATE(B6508, ""zh"", ""en"")"),"10t value of the hard disk! Pretty good")</f>
        <v>10t value of the hard disk! Pretty good</v>
      </c>
    </row>
    <row r="6509">
      <c r="A6509" s="1">
        <v>5.0</v>
      </c>
      <c r="B6509" s="1" t="s">
        <v>6477</v>
      </c>
      <c r="C6509" t="str">
        <f>IFERROR(__xludf.DUMMYFUNCTION("GOOGLETRANSLATE(B6509, ""zh"", ""en"")"),"Great packaging good, the right shoes, the domestic price is relatively high, where more than three hundred won, very happy")</f>
        <v>Great packaging good, the right shoes, the domestic price is relatively high, where more than three hundred won, very happy</v>
      </c>
    </row>
    <row r="6510">
      <c r="A6510" s="1">
        <v>5.0</v>
      </c>
      <c r="B6510" s="1" t="s">
        <v>6478</v>
      </c>
      <c r="C6510" t="str">
        <f>IFERROR(__xludf.DUMMYFUNCTION("GOOGLETRANSLATE(B6510, ""zh"", ""en"")"),"Satisfaction than the estimated time of arrival as early as five days, oversized package really was scared. Product is to force, I did not have to say! Mainland-made parts, but assembled in Thailand.")</f>
        <v>Satisfaction than the estimated time of arrival as early as five days, oversized package really was scared. Product is to force, I did not have to say! Mainland-made parts, but assembled in Thailand.</v>
      </c>
    </row>
    <row r="6511">
      <c r="A6511" s="1">
        <v>5.0</v>
      </c>
      <c r="B6511" s="1" t="s">
        <v>6479</v>
      </c>
      <c r="C6511" t="str">
        <f>IFERROR(__xludf.DUMMYFUNCTION("GOOGLETRANSLATE(B6511, ""zh"", ""en"")"),"Good quality, imported good quality, worthy of imports Switzerland original")</f>
        <v>Good quality, imported good quality, worthy of imports Switzerland original</v>
      </c>
    </row>
    <row r="6512">
      <c r="A6512" s="1">
        <v>5.0</v>
      </c>
      <c r="B6512" s="1" t="s">
        <v>6480</v>
      </c>
      <c r="C6512" t="str">
        <f>IFERROR(__xludf.DUMMYFUNCTION("GOOGLETRANSLATE(B6512, ""zh"", ""en"")"),"A good table, wearing two years, travel time is very accurate good waterproof effect, multi-function, up to now have not used all the features.")</f>
        <v>A good table, wearing two years, travel time is very accurate good waterproof effect, multi-function, up to now have not used all the features.</v>
      </c>
    </row>
    <row r="6513">
      <c r="A6513" s="1">
        <v>5.0</v>
      </c>
      <c r="B6513" s="1" t="s">
        <v>6481</v>
      </c>
      <c r="C6513" t="str">
        <f>IFERROR(__xludf.DUMMYFUNCTION("GOOGLETRANSLATE(B6513, ""zh"", ""en"")"),"Suitable size of 185 75 m code just")</f>
        <v>Suitable size of 185 75 m code just</v>
      </c>
    </row>
    <row r="6514">
      <c r="A6514" s="1">
        <v>5.0</v>
      </c>
      <c r="B6514" s="1" t="s">
        <v>6482</v>
      </c>
      <c r="C6514" t="str">
        <f>IFERROR(__xludf.DUMMYFUNCTION("GOOGLETRANSLATE(B6514, ""zh"", ""en"")"),"Satisfied with the good material cut pants are good. I like it very much")</f>
        <v>Satisfied with the good material cut pants are good. I like it very much</v>
      </c>
    </row>
    <row r="6515">
      <c r="A6515" s="1">
        <v>5.0</v>
      </c>
      <c r="B6515" s="1" t="s">
        <v>6483</v>
      </c>
      <c r="C6515" t="str">
        <f>IFERROR(__xludf.DUMMYFUNCTION("GOOGLETRANSLATE(B6515, ""zh"", ""en"")"),"Cost-effective destinations until the clothes on the body, and my heart was a little uneasy calm, after all three.")</f>
        <v>Cost-effective destinations until the clothes on the body, and my heart was a little uneasy calm, after all three.</v>
      </c>
    </row>
    <row r="6516">
      <c r="A6516" s="1">
        <v>5.0</v>
      </c>
      <c r="B6516" s="1" t="s">
        <v>6484</v>
      </c>
      <c r="C6516" t="str">
        <f>IFERROR(__xludf.DUMMYFUNCTION("GOOGLETRANSLATE(B6516, ""zh"", ""en"")"),"Affordable love for sports")</f>
        <v>Affordable love for sports</v>
      </c>
    </row>
    <row r="6517">
      <c r="A6517" s="1">
        <v>5.0</v>
      </c>
      <c r="B6517" s="1" t="s">
        <v>6485</v>
      </c>
      <c r="C6517" t="str">
        <f>IFERROR(__xludf.DUMMYFUNCTION("GOOGLETRANSLATE(B6517, ""zh"", ""en"")"),"Love has always liked to buy overseas Amazon, quality assurance, service is also very good, had previously been bought in the United States and Asia, and now the direct purchase of overseas too convenient, the future activities will come!")</f>
        <v>Love has always liked to buy overseas Amazon, quality assurance, service is also very good, had previously been bought in the United States and Asia, and now the direct purchase of overseas too convenient, the future activities will come!</v>
      </c>
    </row>
    <row r="6518">
      <c r="A6518" s="1">
        <v>5.0</v>
      </c>
      <c r="B6518" s="1" t="s">
        <v>6486</v>
      </c>
      <c r="C6518" t="str">
        <f>IFERROR(__xludf.DUMMYFUNCTION("GOOGLETRANSLATE(B6518, ""zh"", ""en"")"),"A pleasant shopping. I tried, very fit.")</f>
        <v>A pleasant shopping. I tried, very fit.</v>
      </c>
    </row>
    <row r="6519">
      <c r="A6519" s="1">
        <v>5.0</v>
      </c>
      <c r="B6519" s="1" t="s">
        <v>6487</v>
      </c>
      <c r="C6519" t="str">
        <f>IFERROR(__xludf.DUMMYFUNCTION("GOOGLETRANSLATE(B6519, ""zh"", ""en"")"),"Comfortable thin, soft and comfortable! recommend")</f>
        <v>Comfortable thin, soft and comfortable! recommend</v>
      </c>
    </row>
    <row r="6520">
      <c r="A6520" s="1">
        <v>5.0</v>
      </c>
      <c r="B6520" s="1" t="s">
        <v>6488</v>
      </c>
      <c r="C6520" t="str">
        <f>IFERROR(__xludf.DUMMYFUNCTION("GOOGLETRANSLATE(B6520, ""zh"", ""en"")"),"Ah good looking, feeling a treasure to sell too many fakes, completely different in a treasure of more than 500 buy and the quality 🙂🙂 would rather wait a few days Amazon courier slow, do not want to buy shoes in a treasure")</f>
        <v>Ah good looking, feeling a treasure to sell too many fakes, completely different in a treasure of more than 500 buy and the quality 🙂🙂 would rather wait a few days Amazon courier slow, do not want to buy shoes in a treasure</v>
      </c>
    </row>
    <row r="6521">
      <c r="A6521" s="1">
        <v>5.0</v>
      </c>
      <c r="B6521" s="1" t="s">
        <v>6489</v>
      </c>
      <c r="C6521" t="str">
        <f>IFERROR(__xludf.DUMMYFUNCTION("GOOGLETRANSLATE(B6521, ""zh"", ""en"")"),"Appropriate personal clothing of the L code on the good, 175/90")</f>
        <v>Appropriate personal clothing of the L code on the good, 175/90</v>
      </c>
    </row>
    <row r="6522">
      <c r="A6522" s="1">
        <v>5.0</v>
      </c>
      <c r="B6522" s="1" t="s">
        <v>6490</v>
      </c>
      <c r="C6522" t="str">
        <f>IFERROR(__xludf.DUMMYFUNCTION("GOOGLETRANSLATE(B6522, ""zh"", ""en"")"),"Thin right size, good quality. I did not imagine the thick, soft fabric relatively thin, suitable for spring and not too cold to wear.")</f>
        <v>Thin right size, good quality. I did not imagine the thick, soft fabric relatively thin, suitable for spring and not too cold to wear.</v>
      </c>
    </row>
    <row r="6523">
      <c r="A6523" s="1">
        <v>5.0</v>
      </c>
      <c r="B6523" s="1" t="s">
        <v>6491</v>
      </c>
      <c r="C6523" t="str">
        <f>IFERROR(__xludf.DUMMYFUNCTION("GOOGLETRANSLATE(B6523, ""zh"", ""en"")"),"well! Clothes have a little bit longer! The high cost!")</f>
        <v>well! Clothes have a little bit longer! The high cost!</v>
      </c>
    </row>
    <row r="6524">
      <c r="A6524" s="1">
        <v>2.0</v>
      </c>
      <c r="B6524" s="1" t="s">
        <v>6492</v>
      </c>
      <c r="C6524" t="str">
        <f>IFERROR(__xludf.DUMMYFUNCTION("GOOGLETRANSLATE(B6524, ""zh"", ""en"")"),"Poor quality 174 64kg men. Purchase of S, not as cotton, coarse cloth, directly upper body a bit rough Pangpi, uncomfortable. In addition, although the right length, but the armpits a little tight.")</f>
        <v>Poor quality 174 64kg men. Purchase of S, not as cotton, coarse cloth, directly upper body a bit rough Pangpi, uncomfortable. In addition, although the right length, but the armpits a little tight.</v>
      </c>
    </row>
    <row r="6525">
      <c r="A6525" s="1">
        <v>3.0</v>
      </c>
      <c r="B6525" s="1" t="s">
        <v>6493</v>
      </c>
      <c r="C6525" t="str">
        <f>IFERROR(__xludf.DUMMYFUNCTION("GOOGLETRANSLATE(B6525, ""zh"", ""en"")"),"I do not know why the font on the inner bag will fade rough packaging, you do not know is not genuine? Before hoodie feel the quality of overseas purchases champion is not good ~ ~ skeptical")</f>
        <v>I do not know why the font on the inner bag will fade rough packaging, you do not know is not genuine? Before hoodie feel the quality of overseas purchases champion is not good ~ ~ skeptical</v>
      </c>
    </row>
    <row r="6526">
      <c r="A6526" s="1">
        <v>3.0</v>
      </c>
      <c r="B6526" s="1" t="s">
        <v>6494</v>
      </c>
      <c r="C6526" t="str">
        <f>IFERROR(__xludf.DUMMYFUNCTION("GOOGLETRANSLATE(B6526, ""zh"", ""en"")"),"Rough brush bristles rough and not neat, and brush previously purchased compared to large quality gap.")</f>
        <v>Rough brush bristles rough and not neat, and brush previously purchased compared to large quality gap.</v>
      </c>
    </row>
    <row r="6527">
      <c r="A6527" s="1">
        <v>1.0</v>
      </c>
      <c r="B6527" s="1" t="s">
        <v>6495</v>
      </c>
      <c r="C6527" t="str">
        <f>IFERROR(__xludf.DUMMYFUNCTION("GOOGLETRANSLATE(B6527, ""zh"", ""en"")"),"Inventory backlog of garbage we send overseas purchase suck do not know how long backlog of inventory, a lot of dust, and a black jacket chest crease color has faded into the red.")</f>
        <v>Inventory backlog of garbage we send overseas purchase suck do not know how long backlog of inventory, a lot of dust, and a black jacket chest crease color has faded into the red.</v>
      </c>
    </row>
    <row r="6528">
      <c r="A6528" s="1">
        <v>1.0</v>
      </c>
      <c r="B6528" s="1" t="s">
        <v>6496</v>
      </c>
      <c r="C6528" t="str">
        <f>IFERROR(__xludf.DUMMYFUNCTION("GOOGLETRANSLATE(B6528, ""zh"", ""en"")"),"Leakage of milk to a star is more, four out of ten leak milk, a bag terrifying, not a bit easy")</f>
        <v>Leakage of milk to a star is more, four out of ten leak milk, a bag terrifying, not a bit easy</v>
      </c>
    </row>
    <row r="6529">
      <c r="A6529" s="1">
        <v>1.0</v>
      </c>
      <c r="B6529" s="1" t="s">
        <v>6497</v>
      </c>
      <c r="C6529" t="str">
        <f>IFERROR(__xludf.DUMMYFUNCTION("GOOGLETRANSLATE(B6529, ""zh"", ""en"")"),"General expires in December, I can not stand")</f>
        <v>General expires in December, I can not stand</v>
      </c>
    </row>
    <row r="6530">
      <c r="A6530" s="1">
        <v>4.0</v>
      </c>
      <c r="B6530" s="1" t="s">
        <v>6498</v>
      </c>
      <c r="C6530" t="str">
        <f>IFERROR(__xludf.DUMMYFUNCTION("GOOGLETRANSLATE(B6530, ""zh"", ""en"")"),"The thigh is a little tight thigh a little tight, the price is a little expensive overseas purchase it, but ck jeans wear really good, cost-effective than buying a lot in the country.")</f>
        <v>The thigh is a little tight thigh a little tight, the price is a little expensive overseas purchase it, but ck jeans wear really good, cost-effective than buying a lot in the country.</v>
      </c>
    </row>
    <row r="6531">
      <c r="A6531" s="1">
        <v>4.0</v>
      </c>
      <c r="B6531" s="1" t="s">
        <v>6499</v>
      </c>
      <c r="C6531" t="str">
        <f>IFERROR(__xludf.DUMMYFUNCTION("GOOGLETRANSLATE(B6531, ""zh"", ""en"")"),"Running time net Delivery detail with this table should be good, basically did not feel good to see the dial of Classic feeling, I was a return to the spreadsheet into a pointer but when will ship ah when you can run with an iPod Shuffle + CASIO the table")</f>
        <v>Running time net Delivery detail with this table should be good, basically did not feel good to see the dial of Classic feeling, I was a return to the spreadsheet into a pointer but when will ship ah when you can run with an iPod Shuffle + CASIO the table</v>
      </c>
    </row>
    <row r="6532">
      <c r="A6532" s="1">
        <v>4.0</v>
      </c>
      <c r="B6532" s="1" t="s">
        <v>6500</v>
      </c>
      <c r="C6532" t="str">
        <f>IFERROR(__xludf.DUMMYFUNCTION("GOOGLETRANSLATE(B6532, ""zh"", ""en"")"),"Overall good wear 85C, buy 36B, the right size, shock effect is not as good as imagined, running or at the next summit. Chest of fabric is very soft, and therefore likely to support force is not good enough, but good comfort, overall bias satisfaction.")</f>
        <v>Overall good wear 85C, buy 36B, the right size, shock effect is not as good as imagined, running or at the next summit. Chest of fabric is very soft, and therefore likely to support force is not good enough, but good comfort, overall bias satisfaction.</v>
      </c>
    </row>
    <row r="6533">
      <c r="A6533" s="1">
        <v>4.0</v>
      </c>
      <c r="B6533" s="1" t="s">
        <v>6501</v>
      </c>
      <c r="C6533" t="str">
        <f>IFERROR(__xludf.DUMMYFUNCTION("GOOGLETRANSLATE(B6533, ""zh"", ""en"")"),"Parker hand goods, looks good, heavy pen, texture, but simple packaging to give as gifts, no gift bags")</f>
        <v>Parker hand goods, looks good, heavy pen, texture, but simple packaging to give as gifts, no gift bags</v>
      </c>
    </row>
    <row r="6534">
      <c r="A6534" s="1">
        <v>4.0</v>
      </c>
      <c r="B6534" s="1" t="s">
        <v>6502</v>
      </c>
      <c r="C6534" t="str">
        <f>IFERROR(__xludf.DUMMYFUNCTION("GOOGLETRANSLATE(B6534, ""zh"", ""en"")"),"Yardage normal 164,53KG, see comment buy S, just, a little personal, do not brush up sleeves, should adhere to buy M's, would be more comfortable to wear what you personally feel that domestic code on what to buy")</f>
        <v>Yardage normal 164,53KG, see comment buy S, just, a little personal, do not brush up sleeves, should adhere to buy M's, would be more comfortable to wear what you personally feel that domestic code on what to buy</v>
      </c>
    </row>
    <row r="6535">
      <c r="A6535" s="1">
        <v>5.0</v>
      </c>
      <c r="B6535" s="1" t="s">
        <v>6503</v>
      </c>
      <c r="C6535" t="str">
        <f>IFERROR(__xludf.DUMMYFUNCTION("GOOGLETRANSLATE(B6535, ""zh"", ""en"")"),"Lightweight insulation, the insulation effect")</f>
        <v>Lightweight insulation, the insulation effect</v>
      </c>
    </row>
    <row r="6536">
      <c r="A6536" s="1">
        <v>5.0</v>
      </c>
      <c r="B6536" s="1" t="s">
        <v>6504</v>
      </c>
      <c r="C6536" t="str">
        <f>IFERROR(__xludf.DUMMYFUNCTION("GOOGLETRANSLATE(B6536, ""zh"", ""en"")"),"Generally things have not used, do not know how")</f>
        <v>Generally things have not used, do not know how</v>
      </c>
    </row>
    <row r="6537">
      <c r="A6537" s="1">
        <v>5.0</v>
      </c>
      <c r="B6537" s="1" t="s">
        <v>6505</v>
      </c>
      <c r="C6537" t="str">
        <f>IFERROR(__xludf.DUMMYFUNCTION("GOOGLETRANSLATE(B6537, ""zh"", ""en"")"),"Good product fast. Acclaimed. Something much larger than imagined. Looking good")</f>
        <v>Good product fast. Acclaimed. Something much larger than imagined. Looking good</v>
      </c>
    </row>
    <row r="6538">
      <c r="A6538" s="1">
        <v>5.0</v>
      </c>
      <c r="B6538" s="1" t="s">
        <v>6506</v>
      </c>
      <c r="C6538" t="str">
        <f>IFERROR(__xludf.DUMMYFUNCTION("GOOGLETRANSLATE(B6538, ""zh"", ""en"")"),"Air-conditioned room to wear a summer wear is also very good for me just Bohou, originally bought to wear in summer, and I am more afraid of the cold, air-conditioned room to wear long pants, gym also has air conditioning, you can wear to the gym.")</f>
        <v>Air-conditioned room to wear a summer wear is also very good for me just Bohou, originally bought to wear in summer, and I am more afraid of the cold, air-conditioned room to wear long pants, gym also has air conditioning, you can wear to the gym.</v>
      </c>
    </row>
    <row r="6539">
      <c r="A6539" s="1">
        <v>5.0</v>
      </c>
      <c r="B6539" s="1" t="s">
        <v>6507</v>
      </c>
      <c r="C6539" t="str">
        <f>IFERROR(__xludf.DUMMYFUNCTION("GOOGLETRANSLATE(B6539, ""zh"", ""en"")"),"Easy to use with the mac, very appropriate.")</f>
        <v>Easy to use with the mac, very appropriate.</v>
      </c>
    </row>
    <row r="6540">
      <c r="A6540" s="1">
        <v>5.0</v>
      </c>
      <c r="B6540" s="1" t="s">
        <v>6508</v>
      </c>
      <c r="C6540" t="str">
        <f>IFERROR(__xludf.DUMMYFUNCTION("GOOGLETRANSLATE(B6540, ""zh"", ""en"")"),"Affordable worth recommending, the right size, fabulous")</f>
        <v>Affordable worth recommending, the right size, fabulous</v>
      </c>
    </row>
    <row r="6541">
      <c r="A6541" s="1">
        <v>5.0</v>
      </c>
      <c r="B6541" s="1" t="s">
        <v>6509</v>
      </c>
      <c r="C6541" t="str">
        <f>IFERROR(__xludf.DUMMYFUNCTION("GOOGLETRANSLATE(B6541, ""zh"", ""en"")"),"Good very comfortable little big toe")</f>
        <v>Good very comfortable little big toe</v>
      </c>
    </row>
    <row r="6542">
      <c r="A6542" s="1">
        <v>5.0</v>
      </c>
      <c r="B6542" s="1" t="s">
        <v>6510</v>
      </c>
      <c r="C6542" t="str">
        <f>IFERROR(__xludf.DUMMYFUNCTION("GOOGLETRANSLATE(B6542, ""zh"", ""en"")"),"Very good very good, very good, very good, important things to say three times.")</f>
        <v>Very good very good, very good, very good, important things to say three times.</v>
      </c>
    </row>
    <row r="6543">
      <c r="A6543" s="1">
        <v>5.0</v>
      </c>
      <c r="B6543" s="1" t="s">
        <v>6511</v>
      </c>
      <c r="C6543" t="str">
        <f>IFERROR(__xludf.DUMMYFUNCTION("GOOGLETRANSLATE(B6543, ""zh"", ""en"")"),"Buy cheaper than abroad usually wear sneakers 41.5, ECCO buy 40 (I bought three pairs of ECCO 40), the length is just right, but this is very thick insole shoes, so wear a little tight, you can not wear thick socks, hope Chuan Chuan will loose some.")</f>
        <v>Buy cheaper than abroad usually wear sneakers 41.5, ECCO buy 40 (I bought three pairs of ECCO 40), the length is just right, but this is very thick insole shoes, so wear a little tight, you can not wear thick socks, hope Chuan Chuan will loose some.</v>
      </c>
    </row>
    <row r="6544">
      <c r="A6544" s="1">
        <v>5.0</v>
      </c>
      <c r="B6544" s="1" t="s">
        <v>6512</v>
      </c>
      <c r="C6544" t="str">
        <f>IFERROR(__xludf.DUMMYFUNCTION("GOOGLETRANSLATE(B6544, ""zh"", ""en"")"),"Good relatively high cost, overall excellent")</f>
        <v>Good relatively high cost, overall excellent</v>
      </c>
    </row>
    <row r="6545">
      <c r="A6545" s="1">
        <v>5.0</v>
      </c>
      <c r="B6545" s="1" t="s">
        <v>6513</v>
      </c>
      <c r="C6545" t="str">
        <f>IFERROR(__xludf.DUMMYFUNCTION("GOOGLETRANSLATE(B6545, ""zh"", ""en"")"),"good color is not so bright, dim, very appropriate, too light show is not too good. From tightness look better, not use, I do not feel the white fly.")</f>
        <v>good color is not so bright, dim, very appropriate, too light show is not too good. From tightness look better, not use, I do not feel the white fly.</v>
      </c>
    </row>
    <row r="6546">
      <c r="A6546" s="1">
        <v>5.0</v>
      </c>
      <c r="B6546" s="1" t="s">
        <v>6514</v>
      </c>
      <c r="C6546" t="str">
        <f>IFERROR(__xludf.DUMMYFUNCTION("GOOGLETRANSLATE(B6546, ""zh"", ""en"")"),"Love, with special emphasis on! I bought two different models, with special emphasis, as the two girls holding very difficult, especially easy to use, especially fried steak. Unfortunately, just bought is not received on the cheap eighty little depressed."&amp;" Pot love.")</f>
        <v>Love, with special emphasis on! I bought two different models, with special emphasis, as the two girls holding very difficult, especially easy to use, especially fried steak. Unfortunately, just bought is not received on the cheap eighty little depressed. Pot love.</v>
      </c>
    </row>
    <row r="6547">
      <c r="A6547" s="1">
        <v>5.0</v>
      </c>
      <c r="B6547" s="1" t="s">
        <v>6515</v>
      </c>
      <c r="C6547" t="str">
        <f>IFERROR(__xludf.DUMMYFUNCTION("GOOGLETRANSLATE(B6547, ""zh"", ""en"")"),"Clarks shoes good shoes, good! Satisfaction with the shopping experience, the price is to force!")</f>
        <v>Clarks shoes good shoes, good! Satisfaction with the shopping experience, the price is to force!</v>
      </c>
    </row>
    <row r="6548">
      <c r="A6548" s="1">
        <v>5.0</v>
      </c>
      <c r="B6548" s="1" t="s">
        <v>6516</v>
      </c>
      <c r="C6548" t="str">
        <f>IFERROR(__xludf.DUMMYFUNCTION("GOOGLETRANSLATE(B6548, ""zh"", ""en"")"),"Good material, good high-value material Yan, Yan is also high value set of dishes, with just the right baby.")</f>
        <v>Good material, good high-value material Yan, Yan is also high value set of dishes, with just the right baby.</v>
      </c>
    </row>
    <row r="6549">
      <c r="A6549" s="1">
        <v>5.0</v>
      </c>
      <c r="B6549" s="1" t="s">
        <v>6517</v>
      </c>
      <c r="C6549" t="str">
        <f>IFERROR(__xludf.DUMMYFUNCTION("GOOGLETRANSLATE(B6549, ""zh"", ""en"")"),"Good socks have been worn, good quality")</f>
        <v>Good socks have been worn, good quality</v>
      </c>
    </row>
    <row r="6550">
      <c r="A6550" s="1">
        <v>5.0</v>
      </c>
      <c r="B6550" s="1" t="s">
        <v>6518</v>
      </c>
      <c r="C6550" t="str">
        <f>IFERROR(__xludf.DUMMYFUNCTION("GOOGLETRANSLATE(B6550, ""zh"", ""en"")"),".. good is a big point and put into two after the turn on trouble")</f>
        <v>.. good is a big point and put into two after the turn on trouble</v>
      </c>
    </row>
    <row r="6551">
      <c r="A6551" s="1">
        <v>5.0</v>
      </c>
      <c r="B6551" s="1" t="s">
        <v>6519</v>
      </c>
      <c r="C6551" t="str">
        <f>IFERROR(__xludf.DUMMYFUNCTION("GOOGLETRANSLATE(B6551, ""zh"", ""en"")"),"Easy to help a friend buy a membership every minute save more than 400 freight prime really worth has been continued down. Friends say the machine is good, the children also use them without pressure, has sent ten to twenty capsules. I heard comments have"&amp;" points, points can not know why eh ......")</f>
        <v>Easy to help a friend buy a membership every minute save more than 400 freight prime really worth has been continued down. Friends say the machine is good, the children also use them without pressure, has sent ten to twenty capsules. I heard comments have points, points can not know why eh ......</v>
      </c>
    </row>
    <row r="6552">
      <c r="A6552" s="1">
        <v>5.0</v>
      </c>
      <c r="B6552" s="1" t="s">
        <v>6520</v>
      </c>
      <c r="C6552" t="str">
        <f>IFERROR(__xludf.DUMMYFUNCTION("GOOGLETRANSLATE(B6552, ""zh"", ""en"")"),"Good size also is a bit short Length")</f>
        <v>Good size also is a bit short Length</v>
      </c>
    </row>
    <row r="6553">
      <c r="A6553" s="1">
        <v>5.0</v>
      </c>
      <c r="B6553" s="1" t="s">
        <v>6521</v>
      </c>
      <c r="C6553" t="str">
        <f>IFERROR(__xludf.DUMMYFUNCTION("GOOGLETRANSLATE(B6553, ""zh"", ""en"")"),"Genuine date very fresh Oh, I've bought a lot of bottles, I believe the United States overseas Amazon purchase.")</f>
        <v>Genuine date very fresh Oh, I've bought a lot of bottles, I believe the United States overseas Amazon purchase.</v>
      </c>
    </row>
    <row r="6554">
      <c r="A6554" s="1">
        <v>5.0</v>
      </c>
      <c r="B6554" s="1" t="s">
        <v>6522</v>
      </c>
      <c r="C6554" t="str">
        <f>IFERROR(__xludf.DUMMYFUNCTION("GOOGLETRANSLATE(B6554, ""zh"", ""en"")"),"Year, the quality of Leverage, made him look like a year the quality of Leverage, made him look like; classic, stylish")</f>
        <v>Year, the quality of Leverage, made him look like a year the quality of Leverage, made him look like; classic, stylish</v>
      </c>
    </row>
    <row r="6555">
      <c r="A6555" s="1">
        <v>5.0</v>
      </c>
      <c r="B6555" s="1" t="s">
        <v>6523</v>
      </c>
      <c r="C6555" t="str">
        <f>IFERROR(__xludf.DUMMYFUNCTION("GOOGLETRANSLATE(B6555, ""zh"", ""en"")"),", Delicious authentic inexpensive thanks to overseas shopping platform, buy a lot of your favorite products in delicious inexpensive fidelity basis. After several rounds of shopping, from 130+ to have overpaid for the current 100, the previous experience "&amp;"of the product is the price of around 100 may enter")</f>
        <v>, Delicious authentic inexpensive thanks to overseas shopping platform, buy a lot of your favorite products in delicious inexpensive fidelity basis. After several rounds of shopping, from 130+ to have overpaid for the current 100, the previous experience of the product is the price of around 100 may enter</v>
      </c>
    </row>
    <row r="6556">
      <c r="A6556" s="1">
        <v>5.0</v>
      </c>
      <c r="B6556" s="1" t="s">
        <v>6524</v>
      </c>
      <c r="C6556" t="str">
        <f>IFERROR(__xludf.DUMMYFUNCTION("GOOGLETRANSLATE(B6556, ""zh"", ""en"")"),"Value for money normal size, fat feet wearing a little tight. 72 kg body weight, feel good elasticity, with almost Adi boost. Try the next 2e")</f>
        <v>Value for money normal size, fat feet wearing a little tight. 72 kg body weight, feel good elasticity, with almost Adi boost. Try the next 2e</v>
      </c>
    </row>
    <row r="6557">
      <c r="A6557" s="1">
        <v>2.0</v>
      </c>
      <c r="B6557" s="1" t="s">
        <v>6525</v>
      </c>
      <c r="C6557" t="str">
        <f>IFERROR(__xludf.DUMMYFUNCTION("GOOGLETRANSLATE(B6557, ""zh"", ""en"")"),"A large gap! I do not feel fit, big gap!")</f>
        <v>A large gap! I do not feel fit, big gap!</v>
      </c>
    </row>
    <row r="6558">
      <c r="A6558" s="1">
        <v>3.0</v>
      </c>
      <c r="B6558" s="1" t="s">
        <v>6526</v>
      </c>
      <c r="C6558" t="str">
        <f>IFERROR(__xludf.DUMMYFUNCTION("GOOGLETRANSLATE(B6558, ""zh"", ""en"")"),"Bad workmanship thread everywhere, lining have been washed hair removal, and bad")</f>
        <v>Bad workmanship thread everywhere, lining have been washed hair removal, and bad</v>
      </c>
    </row>
    <row r="6559">
      <c r="A6559" s="1">
        <v>3.0</v>
      </c>
      <c r="B6559" s="1" t="s">
        <v>6527</v>
      </c>
      <c r="C6559" t="str">
        <f>IFERROR(__xludf.DUMMYFUNCTION("GOOGLETRANSLATE(B6559, ""zh"", ""en"")"),"Size is too large size is too large too much, ah, sad")</f>
        <v>Size is too large size is too large too much, ah, sad</v>
      </c>
    </row>
    <row r="6560">
      <c r="A6560" s="1">
        <v>3.0</v>
      </c>
      <c r="B6560" s="1" t="s">
        <v>6528</v>
      </c>
      <c r="C6560" t="str">
        <f>IFERROR(__xludf.DUMMYFUNCTION("GOOGLETRANSLATE(B6560, ""zh"", ""en"")"),"There is no problem of shoes squeaking sound when walking, walking is always will creak think, the feeling is not gluing fixed insole")</f>
        <v>There is no problem of shoes squeaking sound when walking, walking is always will creak think, the feeling is not gluing fixed insole</v>
      </c>
    </row>
    <row r="6561">
      <c r="A6561" s="1">
        <v>1.0</v>
      </c>
      <c r="B6561" s="1" t="s">
        <v>6529</v>
      </c>
      <c r="C6561" t="str">
        <f>IFERROR(__xludf.DUMMYFUNCTION("GOOGLETRANSLATE(B6561, ""zh"", ""en"")"),"I feel very cottage. Small, dark material.")</f>
        <v>I feel very cottage. Small, dark material.</v>
      </c>
    </row>
    <row r="6562">
      <c r="A6562" s="1">
        <v>1.0</v>
      </c>
      <c r="B6562" s="1" t="s">
        <v>6530</v>
      </c>
      <c r="C6562" t="str">
        <f>IFERROR(__xludf.DUMMYFUNCTION("GOOGLETRANSLATE(B6562, ""zh"", ""en"")"),"Two sizes two sizes inconsistent inconsistent ............ really depressed")</f>
        <v>Two sizes two sizes inconsistent inconsistent ............ really depressed</v>
      </c>
    </row>
    <row r="6563">
      <c r="A6563" s="1">
        <v>1.0</v>
      </c>
      <c r="B6563" s="1" t="s">
        <v>6531</v>
      </c>
      <c r="C6563" t="str">
        <f>IFERROR(__xludf.DUMMYFUNCTION("GOOGLETRANSLATE(B6563, ""zh"", ""en"")"),"Fake fake fake brand, which can be false, what the hell")</f>
        <v>Fake fake fake brand, which can be false, what the hell</v>
      </c>
    </row>
    <row r="6564">
      <c r="A6564" s="1">
        <v>4.0</v>
      </c>
      <c r="B6564" s="1" t="s">
        <v>6532</v>
      </c>
      <c r="C6564" t="str">
        <f>IFERROR(__xludf.DUMMYFUNCTION("GOOGLETRANSLATE(B6564, ""zh"", ""en"")"),"nice show green, OK")</f>
        <v>nice show green, OK</v>
      </c>
    </row>
    <row r="6565">
      <c r="A6565" s="1">
        <v>4.0</v>
      </c>
      <c r="B6565" s="1" t="s">
        <v>6533</v>
      </c>
      <c r="C6565" t="str">
        <f>IFERROR(__xludf.DUMMYFUNCTION("GOOGLETRANSLATE(B6565, ""zh"", ""en"")"),"Hot very hot, 10 degrees hot weather could not sleep, a bit like the North should apply")</f>
        <v>Hot very hot, 10 degrees hot weather could not sleep, a bit like the North should apply</v>
      </c>
    </row>
    <row r="6566">
      <c r="A6566" s="1">
        <v>4.0</v>
      </c>
      <c r="B6566" s="1" t="s">
        <v>6534</v>
      </c>
      <c r="C6566" t="str">
        <f>IFERROR(__xludf.DUMMYFUNCTION("GOOGLETRANSLATE(B6566, ""zh"", ""en"")"),"Fit I usually wear shoes 41 yards, this is suitable for just feels slightly hard, others claim to be perfect.")</f>
        <v>Fit I usually wear shoes 41 yards, this is suitable for just feels slightly hard, others claim to be perfect.</v>
      </c>
    </row>
    <row r="6567">
      <c r="A6567" s="1">
        <v>4.0</v>
      </c>
      <c r="B6567" s="1" t="s">
        <v>6535</v>
      </c>
      <c r="C6567" t="str">
        <f>IFERROR(__xludf.DUMMYFUNCTION("GOOGLETRANSLATE(B6567, ""zh"", ""en"")"),"Blue Yeti USB microphone microphone shortage of good sound good sound card can not be connected even if it is perfect")</f>
        <v>Blue Yeti USB microphone microphone shortage of good sound good sound card can not be connected even if it is perfect</v>
      </c>
    </row>
    <row r="6568">
      <c r="A6568" s="1">
        <v>4.0</v>
      </c>
      <c r="B6568" s="1" t="s">
        <v>6536</v>
      </c>
      <c r="C6568" t="str">
        <f>IFERROR(__xludf.DUMMYFUNCTION("GOOGLETRANSLATE(B6568, ""zh"", ""en"")"),"Not bad not bad, right, quality is OK. Men (see comment this dress to buy a lot of woman), 172cm, 68kg, M code is appropriate to wear, is not very tight feeling, but not loose.")</f>
        <v>Not bad not bad, right, quality is OK. Men (see comment this dress to buy a lot of woman), 172cm, 68kg, M code is appropriate to wear, is not very tight feeling, but not loose.</v>
      </c>
    </row>
    <row r="6569">
      <c r="A6569" s="1">
        <v>5.0</v>
      </c>
      <c r="B6569" s="1" t="s">
        <v>6537</v>
      </c>
      <c r="C6569" t="str">
        <f>IFERROR(__xludf.DUMMYFUNCTION("GOOGLETRANSLATE(B6569, ""zh"", ""en"")"),"Suitable 1 m 71,65 kg, small yards appropriate. Clothes a little thick, but the high cost.")</f>
        <v>Suitable 1 m 71,65 kg, small yards appropriate. Clothes a little thick, but the high cost.</v>
      </c>
    </row>
    <row r="6570">
      <c r="A6570" s="1">
        <v>5.0</v>
      </c>
      <c r="B6570" s="1" t="s">
        <v>6538</v>
      </c>
      <c r="C6570" t="str">
        <f>IFERROR(__xludf.DUMMYFUNCTION("GOOGLETRANSLATE(B6570, ""zh"", ""en"")"),"Good good good shoes, very comfortable shoes, the right number, my feet as relatively wide, common code, no problem. Further cotton which is not added, is not padded. Appearance is also very good, flawless, Portugal producing less than 700 hand, handsome")</f>
        <v>Good good good shoes, very comfortable shoes, the right number, my feet as relatively wide, common code, no problem. Further cotton which is not added, is not padded. Appearance is also very good, flawless, Portugal producing less than 700 hand, handsome</v>
      </c>
    </row>
    <row r="6571">
      <c r="A6571" s="1">
        <v>5.0</v>
      </c>
      <c r="B6571" s="1" t="s">
        <v>6539</v>
      </c>
      <c r="C6571" t="str">
        <f>IFERROR(__xludf.DUMMYFUNCTION("GOOGLETRANSLATE(B6571, ""zh"", ""en"")"),"Very good very good texture. Well, not from the previous evaluation, I do not know how many wasted points, points can change money now know, they should look carefully evaluated, then I put these words to copy to go, both to earn points, but also the easy"&amp;" way, where are copy where, most importantly, do not seriously review, do not think how much worse word, sent directly to it, recommend it to everyone! !")</f>
        <v>Very good very good texture. Well, not from the previous evaluation, I do not know how many wasted points, points can change money now know, they should look carefully evaluated, then I put these words to copy to go, both to earn points, but also the easy way, where are copy where, most importantly, do not seriously review, do not think how much worse word, sent directly to it, recommend it to everyone! !</v>
      </c>
    </row>
    <row r="6572">
      <c r="A6572" s="1">
        <v>5.0</v>
      </c>
      <c r="B6572" s="1" t="s">
        <v>6540</v>
      </c>
      <c r="C6572" t="str">
        <f>IFERROR(__xludf.DUMMYFUNCTION("GOOGLETRANSLATE(B6572, ""zh"", ""en"")"),"Very comfortable and very comfortable, with no wear, I wear 85A are tight domestic, 80A just this little stretch")</f>
        <v>Very comfortable and very comfortable, with no wear, I wear 85A are tight domestic, 80A just this little stretch</v>
      </c>
    </row>
    <row r="6573">
      <c r="A6573" s="1">
        <v>5.0</v>
      </c>
      <c r="B6573" s="1" t="s">
        <v>6541</v>
      </c>
      <c r="C6573" t="str">
        <f>IFERROR(__xludf.DUMMYFUNCTION("GOOGLETRANSLATE(B6573, ""zh"", ""en"")"),"Good clothes than domestic freshman yards, thin Jackets with removable Fleece lining with plastic coating, what is the tank jacket, do not understand, good workmanship, good quality of various Amazon")</f>
        <v>Good clothes than domestic freshman yards, thin Jackets with removable Fleece lining with plastic coating, what is the tank jacket, do not understand, good workmanship, good quality of various Amazon</v>
      </c>
    </row>
    <row r="6574">
      <c r="A6574" s="1">
        <v>5.0</v>
      </c>
      <c r="B6574" s="1" t="s">
        <v>6542</v>
      </c>
      <c r="C6574" t="str">
        <f>IFERROR(__xludf.DUMMYFUNCTION("GOOGLETRANSLATE(B6574, ""zh"", ""en"")"),"The right size really good high cost, size appropriate.")</f>
        <v>The right size really good high cost, size appropriate.</v>
      </c>
    </row>
    <row r="6575">
      <c r="A6575" s="1">
        <v>5.0</v>
      </c>
      <c r="B6575" s="1" t="s">
        <v>6543</v>
      </c>
      <c r="C6575" t="str">
        <f>IFERROR(__xludf.DUMMYFUNCTION("GOOGLETRANSLATE(B6575, ""zh"", ""en"")"),"A large bottle of very good, very solid Megumi's!")</f>
        <v>A large bottle of very good, very solid Megumi's!</v>
      </c>
    </row>
    <row r="6576">
      <c r="A6576" s="1">
        <v>5.0</v>
      </c>
      <c r="B6576" s="1" t="s">
        <v>6544</v>
      </c>
      <c r="C6576" t="str">
        <f>IFERROR(__xludf.DUMMYFUNCTION("GOOGLETRANSLATE(B6576, ""zh"", ""en"")"),"Pretty good stockpile, store bought goods.")</f>
        <v>Pretty good stockpile, store bought goods.</v>
      </c>
    </row>
    <row r="6577">
      <c r="A6577" s="1">
        <v>5.0</v>
      </c>
      <c r="B6577" s="1" t="s">
        <v>6545</v>
      </c>
      <c r="C6577" t="str">
        <f>IFERROR(__xludf.DUMMYFUNCTION("GOOGLETRANSLATE(B6577, ""zh"", ""en"")"),"GOOD 7 days of arrival, logistics quickly. Packaging intact, no traces of wear, obviously new goods. On foot very light, comfortable insole, leather soft do not wear foot. Perfect shopping experience!")</f>
        <v>GOOD 7 days of arrival, logistics quickly. Packaging intact, no traces of wear, obviously new goods. On foot very light, comfortable insole, leather soft do not wear foot. Perfect shopping experience!</v>
      </c>
    </row>
    <row r="6578">
      <c r="A6578" s="1">
        <v>5.0</v>
      </c>
      <c r="B6578" s="1" t="s">
        <v>6546</v>
      </c>
      <c r="C6578" t="str">
        <f>IFERROR(__xludf.DUMMYFUNCTION("GOOGLETRANSLATE(B6578, ""zh"", ""en"")"),"Comfortable quality is very good, positive yardage, CK pants-class, cost-effective")</f>
        <v>Comfortable quality is very good, positive yardage, CK pants-class, cost-effective</v>
      </c>
    </row>
    <row r="6579">
      <c r="A6579" s="1">
        <v>5.0</v>
      </c>
      <c r="B6579" s="1" t="s">
        <v>6547</v>
      </c>
      <c r="C6579" t="str">
        <f>IFERROR(__xludf.DUMMYFUNCTION("GOOGLETRANSLATE(B6579, ""zh"", ""en"")"),"Recommended purchase afraid to fall, very good, the children took the milk was no problem, no wonder moms all with this")</f>
        <v>Recommended purchase afraid to fall, very good, the children took the milk was no problem, no wonder moms all with this</v>
      </c>
    </row>
    <row r="6580">
      <c r="A6580" s="1">
        <v>5.0</v>
      </c>
      <c r="B6580" s="1" t="s">
        <v>6548</v>
      </c>
      <c r="C6580" t="str">
        <f>IFERROR(__xludf.DUMMYFUNCTION("GOOGLETRANSLATE(B6580, ""zh"", ""en"")"),"Size small size a little bit small. 174cm / 72kg, wear M code, which can not be set thick clothes. M code written on the label is 175 / 92A. Feeling than domestic 175 / 92A should be smaller. Wear clothes other brands of the US version of the M code is a "&amp;"little too large, such as Archeopteryx, Shan Hao, wolf claws, Adidas and so on. This is actually a little smaller, a little strange.")</f>
        <v>Size small size a little bit small. 174cm / 72kg, wear M code, which can not be set thick clothes. M code written on the label is 175 / 92A. Feeling than domestic 175 / 92A should be smaller. Wear clothes other brands of the US version of the M code is a little too large, such as Archeopteryx, Shan Hao, wolf claws, Adidas and so on. This is actually a little smaller, a little strange.</v>
      </c>
    </row>
    <row r="6581">
      <c r="A6581" s="1">
        <v>5.0</v>
      </c>
      <c r="B6581" s="1" t="s">
        <v>6549</v>
      </c>
      <c r="C6581" t="str">
        <f>IFERROR(__xludf.DUMMYFUNCTION("GOOGLETRANSLATE(B6581, ""zh"", ""en"")"),"very good! 180cm, 78kg, a little belly, partial self-cultivation. Quality is very good. Sleeves will not be very long. Recommended to buy.")</f>
        <v>very good! 180cm, 78kg, a little belly, partial self-cultivation. Quality is very good. Sleeves will not be very long. Recommended to buy.</v>
      </c>
    </row>
    <row r="6582">
      <c r="A6582" s="1">
        <v>5.0</v>
      </c>
      <c r="B6582" s="1" t="s">
        <v>6550</v>
      </c>
      <c r="C6582" t="str">
        <f>IFERROR(__xludf.DUMMYFUNCTION("GOOGLETRANSLATE(B6582, ""zh"", ""en"")"),"Too love! Clothes very much, I just saw clothes put on! Concise and elegant. Express speed is also more responsible than I imagined faster, postman. Thanks to read everyone's comments, the more selling clothes fit!")</f>
        <v>Too love! Clothes very much, I just saw clothes put on! Concise and elegant. Express speed is also more responsible than I imagined faster, postman. Thanks to read everyone's comments, the more selling clothes fit!</v>
      </c>
    </row>
    <row r="6583">
      <c r="A6583" s="1">
        <v>5.0</v>
      </c>
      <c r="B6583" s="1" t="s">
        <v>6551</v>
      </c>
      <c r="C6583" t="str">
        <f>IFERROR(__xludf.DUMMYFUNCTION("GOOGLETRANSLATE(B6583, ""zh"", ""en"")"),"Inexpensive inexpensive, convenient and practical!")</f>
        <v>Inexpensive inexpensive, convenient and practical!</v>
      </c>
    </row>
    <row r="6584">
      <c r="A6584" s="1">
        <v>5.0</v>
      </c>
      <c r="B6584" s="1" t="s">
        <v>6552</v>
      </c>
      <c r="C6584" t="str">
        <f>IFERROR(__xludf.DUMMYFUNCTION("GOOGLETRANSLATE(B6584, ""zh"", ""en"")"),"The recommended size fit, as always, good, only selected CK underwear")</f>
        <v>The recommended size fit, as always, good, only selected CK underwear</v>
      </c>
    </row>
    <row r="6585">
      <c r="A6585" s="1">
        <v>5.0</v>
      </c>
      <c r="B6585" s="1" t="s">
        <v>6553</v>
      </c>
      <c r="C6585" t="str">
        <f>IFERROR(__xludf.DUMMYFUNCTION("GOOGLETRANSLATE(B6585, ""zh"", ""en"")"),"Appropriate meter seven three eighty-six kg, appropriate.")</f>
        <v>Appropriate meter seven three eighty-six kg, appropriate.</v>
      </c>
    </row>
    <row r="6586">
      <c r="A6586" s="1">
        <v>5.0</v>
      </c>
      <c r="B6586" s="1" t="s">
        <v>6554</v>
      </c>
      <c r="C6586" t="str">
        <f>IFERROR(__xludf.DUMMYFUNCTION("GOOGLETRANSLATE(B6586, ""zh"", ""en"")"),"Cool colors, the price was right especially pleased. From color to shoes, to the price. I just pay attention to lovers tie with shoes. We can not be satisfied. Shoes belong slender models, thin legs seemed generally foot can go in, my feet and 250 mm long"&amp;", buy this number length is a little embarrassing, 5.5uk, just bare feet, can not wear thick socks. Because of the lower web, is estimated to wear like, do not dare to buy 6uk, so the shoe a little bit problem. We intended to wait for the right price reen"&amp;"try pair of brown. This particular seem mysterious gray and temperament. like.")</f>
        <v>Cool colors, the price was right especially pleased. From color to shoes, to the price. I just pay attention to lovers tie with shoes. We can not be satisfied. Shoes belong slender models, thin legs seemed generally foot can go in, my feet and 250 mm long, buy this number length is a little embarrassing, 5.5uk, just bare feet, can not wear thick socks. Because of the lower web, is estimated to wear like, do not dare to buy 6uk, so the shoe a little bit problem. We intended to wait for the right price reentry pair of brown. This particular seem mysterious gray and temperament. like.</v>
      </c>
    </row>
    <row r="6587">
      <c r="A6587" s="1">
        <v>5.0</v>
      </c>
      <c r="B6587" s="1" t="s">
        <v>6555</v>
      </c>
      <c r="C6587" t="str">
        <f>IFERROR(__xludf.DUMMYFUNCTION("GOOGLETRANSLATE(B6587, ""zh"", ""en"")"),"There is no doubt warm buy big to wear very thick half a yard in Beijing completely stress-free this winter is not very convenient to drive")</f>
        <v>There is no doubt warm buy big to wear very thick half a yard in Beijing completely stress-free this winter is not very convenient to drive</v>
      </c>
    </row>
    <row r="6588">
      <c r="A6588" s="1">
        <v>5.0</v>
      </c>
      <c r="B6588" s="1" t="s">
        <v>6556</v>
      </c>
      <c r="C6588" t="str">
        <f>IFERROR(__xludf.DUMMYFUNCTION("GOOGLETRANSLATE(B6588, ""zh"", ""en"")"),"The baby is very fond of the baby liked the size just right hand and the right baby")</f>
        <v>The baby is very fond of the baby liked the size just right hand and the right baby</v>
      </c>
    </row>
    <row r="6589">
      <c r="A6589" s="1">
        <v>5.0</v>
      </c>
      <c r="B6589" s="1" t="s">
        <v>6557</v>
      </c>
      <c r="C6589" t="str">
        <f>IFERROR(__xludf.DUMMYFUNCTION("GOOGLETRANSLATE(B6589, ""zh"", ""en"")"),"Good time shopping shoes are very good, genuine, regular size")</f>
        <v>Good time shopping shoes are very good, genuine, regular size</v>
      </c>
    </row>
    <row r="6590">
      <c r="A6590" s="1">
        <v>5.0</v>
      </c>
      <c r="B6590" s="1" t="s">
        <v>6558</v>
      </c>
      <c r="C6590" t="str">
        <f>IFERROR(__xludf.DUMMYFUNCTION("GOOGLETRANSLATE(B6590, ""zh"", ""en"")"),"Very good shoes to wear 42, just the beat of 8.5M, super fit, a perfect shopping")</f>
        <v>Very good shoes to wear 42, just the beat of 8.5M, super fit, a perfect shopping</v>
      </c>
    </row>
    <row r="6591">
      <c r="A6591" s="1">
        <v>2.0</v>
      </c>
      <c r="B6591" s="1" t="s">
        <v>6559</v>
      </c>
      <c r="C6591" t="str">
        <f>IFERROR(__xludf.DUMMYFUNCTION("GOOGLETRANSLATE(B6591, ""zh"", ""en"")"),"Pants quality directed at Atsugi brand to buy, received immediately put to wash, light is really soft. But very loose waist, wearing only the second song was almost fell off")</f>
        <v>Pants quality directed at Atsugi brand to buy, received immediately put to wash, light is really soft. But very loose waist, wearing only the second song was almost fell off</v>
      </c>
    </row>
    <row r="6592">
      <c r="A6592" s="1">
        <v>3.0</v>
      </c>
      <c r="B6592" s="1" t="s">
        <v>4525</v>
      </c>
      <c r="C6592" t="str">
        <f>IFERROR(__xludf.DUMMYFUNCTION("GOOGLETRANSLATE(B6592, ""zh"", ""en"")"),"Recommended to buy small 2 yards thin section, very comfortable feeling. It is too great, given the large number than my two girl.")</f>
        <v>Recommended to buy small 2 yards thin section, very comfortable feeling. It is too great, given the large number than my two girl.</v>
      </c>
    </row>
    <row r="6593">
      <c r="A6593" s="1">
        <v>3.0</v>
      </c>
      <c r="B6593" s="1" t="s">
        <v>6560</v>
      </c>
      <c r="C6593" t="str">
        <f>IFERROR(__xludf.DUMMYFUNCTION("GOOGLETRANSLATE(B6593, ""zh"", ""en"")"),"Origin? Still can not find the origin packing up and down looking for")</f>
        <v>Origin? Still can not find the origin packing up and down looking for</v>
      </c>
    </row>
    <row r="6594">
      <c r="A6594" s="1">
        <v>1.0</v>
      </c>
      <c r="B6594" s="1" t="s">
        <v>6561</v>
      </c>
      <c r="C6594" t="str">
        <f>IFERROR(__xludf.DUMMYFUNCTION("GOOGLETRANSLATE(B6594, ""zh"", ""en"")"),"The right size is very accurate! Boyfriend to buy, because adult children money out of stock funds buy large, the material seems a bit thin, but also very good ~ express election, under a single number 20 to number 26, moved to tears")</f>
        <v>The right size is very accurate! Boyfriend to buy, because adult children money out of stock funds buy large, the material seems a bit thin, but also very good ~ express election, under a single number 20 to number 26, moved to tears</v>
      </c>
    </row>
    <row r="6595">
      <c r="A6595" s="1">
        <v>1.0</v>
      </c>
      <c r="B6595" s="1" t="s">
        <v>6562</v>
      </c>
      <c r="C6595" t="str">
        <f>IFERROR(__xludf.DUMMYFUNCTION("GOOGLETRANSLATE(B6595, ""zh"", ""en"")"),"The wrong goods, negative feedback to buy 37 yards, sent me really is 38, too, had wanted to return, but must be sent to the UK, I am a person with a baby had to go to the post office to mail, is really too much trouble , return really convenient! differe"&amp;"nce!")</f>
        <v>The wrong goods, negative feedback to buy 37 yards, sent me really is 38, too, had wanted to return, but must be sent to the UK, I am a person with a baby had to go to the post office to mail, is really too much trouble , return really convenient! difference!</v>
      </c>
    </row>
    <row r="6596">
      <c r="A6596" s="1">
        <v>4.0</v>
      </c>
      <c r="B6596" s="1" t="s">
        <v>6563</v>
      </c>
      <c r="C6596" t="str">
        <f>IFERROR(__xludf.DUMMYFUNCTION("GOOGLETRANSLATE(B6596, ""zh"", ""en"")"),"Overall evaluation: Good. The only drawback is not the whole skin on the back foot, afraid of the rain water. Ankle a little clip. Type good, good color.")</f>
        <v>Overall evaluation: Good. The only drawback is not the whole skin on the back foot, afraid of the rain water. Ankle a little clip. Type good, good color.</v>
      </c>
    </row>
    <row r="6597">
      <c r="A6597" s="1">
        <v>4.0</v>
      </c>
      <c r="B6597" s="1" t="s">
        <v>6564</v>
      </c>
      <c r="C6597" t="str">
        <f>IFERROR(__xludf.DUMMYFUNCTION("GOOGLETRANSLATE(B6597, ""zh"", ""en"")"),"Good shopping experience, good texture, very comfortable to wear")</f>
        <v>Good shopping experience, good texture, very comfortable to wear</v>
      </c>
    </row>
    <row r="6598">
      <c r="A6598" s="1">
        <v>4.0</v>
      </c>
      <c r="B6598" s="1" t="s">
        <v>6565</v>
      </c>
      <c r="C6598" t="str">
        <f>IFERROR(__xludf.DUMMYFUNCTION("GOOGLETRANSLATE(B6598, ""zh"", ""en"")"),"Colors are not satisfied with 168cm tall, 60 kilograms, a little bit big, barely can wear. Amazon has a huge bug: under orders not see a single time the size and color! ! ! Clothes of good quality, but the color does not look good.")</f>
        <v>Colors are not satisfied with 168cm tall, 60 kilograms, a little bit big, barely can wear. Amazon has a huge bug: under orders not see a single time the size and color! ! ! Clothes of good quality, but the color does not look good.</v>
      </c>
    </row>
    <row r="6599">
      <c r="A6599" s="1">
        <v>4.0</v>
      </c>
      <c r="B6599" s="1" t="s">
        <v>6566</v>
      </c>
      <c r="C6599" t="str">
        <f>IFERROR(__xludf.DUMMYFUNCTION("GOOGLETRANSLATE(B6599, ""zh"", ""en"")"),"Wear foot wear lowa 43.5 42 The danner8.5ee their music is more relaxed and comfortable feeling good overall disadvantage is that the ankle tendon above the ground here and see the shoes left foot over right kind of serious bleeding peeling must wear thic"&amp;"k socks Jia Bangdi comfortable than not the zephyr good permeability can be controlled not sweat")</f>
        <v>Wear foot wear lowa 43.5 42 The danner8.5ee their music is more relaxed and comfortable feeling good overall disadvantage is that the ankle tendon above the ground here and see the shoes left foot over right kind of serious bleeding peeling must wear thick socks Jia Bangdi comfortable than not the zephyr good permeability can be controlled not sweat</v>
      </c>
    </row>
    <row r="6600">
      <c r="A6600" s="1">
        <v>4.0</v>
      </c>
      <c r="B6600" s="1" t="s">
        <v>6567</v>
      </c>
      <c r="C6600" t="str">
        <f>IFERROR(__xludf.DUMMYFUNCTION("GOOGLETRANSLATE(B6600, ""zh"", ""en"")"),"Good quality small size, but smaller than the size of Japan's domestic, and be sure to buy the freshman code")</f>
        <v>Good quality small size, but smaller than the size of Japan's domestic, and be sure to buy the freshman code</v>
      </c>
    </row>
    <row r="6601">
      <c r="A6601" s="1">
        <v>5.0</v>
      </c>
      <c r="B6601" s="1" t="s">
        <v>6568</v>
      </c>
      <c r="C6601" t="str">
        <f>IFERROR(__xludf.DUMMYFUNCTION("GOOGLETRANSLATE(B6601, ""zh"", ""en"")"),"Good probiotics taste good, daughter liked!")</f>
        <v>Good probiotics taste good, daughter liked!</v>
      </c>
    </row>
    <row r="6602">
      <c r="A6602" s="1">
        <v>5.0</v>
      </c>
      <c r="B6602" s="1" t="s">
        <v>6569</v>
      </c>
      <c r="C6602" t="str">
        <f>IFERROR(__xludf.DUMMYFUNCTION("GOOGLETRANSLATE(B6602, ""zh"", ""en"")"),"Proper good, good care not wrinkle, high cost")</f>
        <v>Proper good, good care not wrinkle, high cost</v>
      </c>
    </row>
    <row r="6603">
      <c r="A6603" s="1">
        <v>5.0</v>
      </c>
      <c r="B6603" s="1" t="s">
        <v>6570</v>
      </c>
      <c r="C6603" t="str">
        <f>IFERROR(__xludf.DUMMYFUNCTION("GOOGLETRANSLATE(B6603, ""zh"", ""en"")"),"4,5 degrees is not cold to wear good thermal effect is easy to play ball")</f>
        <v>4,5 degrees is not cold to wear good thermal effect is easy to play ball</v>
      </c>
    </row>
    <row r="6604">
      <c r="A6604" s="1">
        <v>5.0</v>
      </c>
      <c r="B6604" s="1" t="s">
        <v>6571</v>
      </c>
      <c r="C6604" t="str">
        <f>IFERROR(__xludf.DUMMYFUNCTION("GOOGLETRANSLATE(B6604, ""zh"", ""en"")"),"Size is too large good quality, size is still too large, I 170, weight 80, also read other people's evaluation bought a m, the result was big! But wear very comfortable, very thin and light. I do not know this is hard or soft shell, have to wear rustling "&amp;"sound, this somewhat dissatisfied!")</f>
        <v>Size is too large good quality, size is still too large, I 170, weight 80, also read other people's evaluation bought a m, the result was big! But wear very comfortable, very thin and light. I do not know this is hard or soft shell, have to wear rustling sound, this somewhat dissatisfied!</v>
      </c>
    </row>
    <row r="6605">
      <c r="A6605" s="1">
        <v>5.0</v>
      </c>
      <c r="B6605" s="1" t="s">
        <v>6572</v>
      </c>
      <c r="C6605" t="str">
        <f>IFERROR(__xludf.DUMMYFUNCTION("GOOGLETRANSLATE(B6605, ""zh"", ""en"")"),"Very good and reasonable price, the right size, good workmanship, very comfortable")</f>
        <v>Very good and reasonable price, the right size, good workmanship, very comfortable</v>
      </c>
    </row>
    <row r="6606">
      <c r="A6606" s="1">
        <v>5.0</v>
      </c>
      <c r="B6606" s="1" t="s">
        <v>6573</v>
      </c>
      <c r="C6606" t="str">
        <f>IFERROR(__xludf.DUMMYFUNCTION("GOOGLETRANSLATE(B6606, ""zh"", ""en"")"),"Very good, satisfactory, one week ahead of the hand anyway, it is to buy, very good. Very good, satisfactory, hand one week in advance")</f>
        <v>Very good, satisfactory, one week ahead of the hand anyway, it is to buy, very good. Very good, satisfactory, hand one week in advance</v>
      </c>
    </row>
    <row r="6607">
      <c r="A6607" s="1">
        <v>5.0</v>
      </c>
      <c r="B6607" s="1" t="s">
        <v>6574</v>
      </c>
      <c r="C6607" t="str">
        <f>IFERROR(__xludf.DUMMYFUNCTION("GOOGLETRANSLATE(B6607, ""zh"", ""en"")"),"DeLonghi coffee machine coffee machine Delong well have been looking for, but the country is too expensive, Amazon has quickly start to see the hard work pays off, I liked it, will not operate, can only ask the domestic call, but fortunately, very enthusi"&amp;"astic He taught me, and now thanks to the unconscious bought and domestic same model, or bought will not use!")</f>
        <v>DeLonghi coffee machine coffee machine Delong well have been looking for, but the country is too expensive, Amazon has quickly start to see the hard work pays off, I liked it, will not operate, can only ask the domestic call, but fortunately, very enthusiastic He taught me, and now thanks to the unconscious bought and domestic same model, or bought will not use!</v>
      </c>
    </row>
    <row r="6608">
      <c r="A6608" s="1">
        <v>5.0</v>
      </c>
      <c r="B6608" s="1" t="s">
        <v>6575</v>
      </c>
      <c r="C6608" t="str">
        <f>IFERROR(__xludf.DUMMYFUNCTION("GOOGLETRANSLATE(B6608, ""zh"", ""en"")"),"Good pants material in general, but worthy of the price.")</f>
        <v>Good pants material in general, but worthy of the price.</v>
      </c>
    </row>
    <row r="6609">
      <c r="A6609" s="1">
        <v>5.0</v>
      </c>
      <c r="B6609" s="1" t="s">
        <v>6576</v>
      </c>
      <c r="C6609" t="str">
        <f>IFERROR(__xludf.DUMMYFUNCTION("GOOGLETRANSLATE(B6609, ""zh"", ""en"")"),"The sole is relatively hard sweaty feet a little sticky, relatively hard soles")</f>
        <v>The sole is relatively hard sweaty feet a little sticky, relatively hard soles</v>
      </c>
    </row>
    <row r="6610">
      <c r="A6610" s="1">
        <v>5.0</v>
      </c>
      <c r="B6610" s="1" t="s">
        <v>6577</v>
      </c>
      <c r="C6610" t="str">
        <f>IFERROR(__xludf.DUMMYFUNCTION("GOOGLETRANSLATE(B6610, ""zh"", ""en"")"),"Do not buy the wrong is cold, and bought the wrong, the children do not need to feel cold")</f>
        <v>Do not buy the wrong is cold, and bought the wrong, the children do not need to feel cold</v>
      </c>
    </row>
    <row r="6611">
      <c r="A6611" s="1">
        <v>5.0</v>
      </c>
      <c r="B6611" s="1" t="s">
        <v>6578</v>
      </c>
      <c r="C6611" t="str">
        <f>IFERROR(__xludf.DUMMYFUNCTION("GOOGLETRANSLATE(B6611, ""zh"", ""en"")"),"Good fabric to wear very comfortable, very good to wear.")</f>
        <v>Good fabric to wear very comfortable, very good to wear.</v>
      </c>
    </row>
    <row r="6612">
      <c r="A6612" s="1">
        <v>5.0</v>
      </c>
      <c r="B6612" s="1" t="s">
        <v>6579</v>
      </c>
      <c r="C6612" t="str">
        <f>IFERROR(__xludf.DUMMYFUNCTION("GOOGLETRANSLATE(B6612, ""zh"", ""en"")"),"Well great, relaxed enough")</f>
        <v>Well great, relaxed enough</v>
      </c>
    </row>
    <row r="6613">
      <c r="A6613" s="1">
        <v>5.0</v>
      </c>
      <c r="B6613" s="1" t="s">
        <v>6580</v>
      </c>
      <c r="C6613" t="str">
        <f>IFERROR(__xludf.DUMMYFUNCTION("GOOGLETRANSLATE(B6613, ""zh"", ""en"")"),"Breastfed babies favorite easy! Breast milk baby's favorite ~")</f>
        <v>Breastfed babies favorite easy! Breast milk baby's favorite ~</v>
      </c>
    </row>
    <row r="6614">
      <c r="A6614" s="1">
        <v>5.0</v>
      </c>
      <c r="B6614" s="1" t="s">
        <v>6581</v>
      </c>
      <c r="C6614" t="str">
        <f>IFERROR(__xludf.DUMMYFUNCTION("GOOGLETRANSLATE(B6614, ""zh"", ""en"")"),"Hope easy to use habitual praise, hope to use them well!")</f>
        <v>Hope easy to use habitual praise, hope to use them well!</v>
      </c>
    </row>
    <row r="6615">
      <c r="A6615" s="1">
        <v>5.0</v>
      </c>
      <c r="B6615" s="1" t="s">
        <v>6582</v>
      </c>
      <c r="C6615" t="str">
        <f>IFERROR(__xludf.DUMMYFUNCTION("GOOGLETRANSLATE(B6615, ""zh"", ""en"")"),"Perfect from the packaging box and the outer box to the insulation effect, perfect. But like sesame oil dish that is doing things?")</f>
        <v>Perfect from the packaging box and the outer box to the insulation effect, perfect. But like sesame oil dish that is doing things?</v>
      </c>
    </row>
    <row r="6616">
      <c r="A6616" s="1">
        <v>5.0</v>
      </c>
      <c r="B6616" s="1" t="s">
        <v>6583</v>
      </c>
      <c r="C6616" t="str">
        <f>IFERROR(__xludf.DUMMYFUNCTION("GOOGLETRANSLATE(B6616, ""zh"", ""en"")"),"Suitable style jeans waist 89, 88A Decathlon wear pants, just right 34 is selected, the intermediate buttonhole")</f>
        <v>Suitable style jeans waist 89, 88A Decathlon wear pants, just right 34 is selected, the intermediate buttonhole</v>
      </c>
    </row>
    <row r="6617">
      <c r="A6617" s="1">
        <v>5.0</v>
      </c>
      <c r="B6617" s="1" t="s">
        <v>6584</v>
      </c>
      <c r="C6617" t="str">
        <f>IFERROR(__xludf.DUMMYFUNCTION("GOOGLETRANSLATE(B6617, ""zh"", ""en"")"),"Many people recommend something good online, things well behaved, very good quality, but the baby is not yet able")</f>
        <v>Many people recommend something good online, things well behaved, very good quality, but the baby is not yet able</v>
      </c>
    </row>
    <row r="6618">
      <c r="A6618" s="1">
        <v>5.0</v>
      </c>
      <c r="B6618" s="1" t="s">
        <v>6585</v>
      </c>
      <c r="C6618" t="str">
        <f>IFERROR(__xludf.DUMMYFUNCTION("GOOGLETRANSLATE(B6618, ""zh"", ""en"")"),"To buy your child's foot a little tight, length width no problem.")</f>
        <v>To buy your child's foot a little tight, length width no problem.</v>
      </c>
    </row>
    <row r="6619">
      <c r="A6619" s="1">
        <v>5.0</v>
      </c>
      <c r="B6619" s="1" t="s">
        <v>6586</v>
      </c>
      <c r="C6619" t="str">
        <f>IFERROR(__xludf.DUMMYFUNCTION("GOOGLETRANSLATE(B6619, ""zh"", ""en"")"),"Good things finally arrived, can not wait to try, felt the first ear headphones are high-quality, burn slowly, feeling the effect of mobile phones did not come out")</f>
        <v>Good things finally arrived, can not wait to try, felt the first ear headphones are high-quality, burn slowly, feeling the effect of mobile phones did not come out</v>
      </c>
    </row>
    <row r="6620">
      <c r="A6620" s="1">
        <v>5.0</v>
      </c>
      <c r="B6620" s="1" t="s">
        <v>6587</v>
      </c>
      <c r="C6620" t="str">
        <f>IFERROR(__xludf.DUMMYFUNCTION("GOOGLETRANSLATE(B6620, ""zh"", ""en"")"),"Good shoes cost-effective, good style, comfort")</f>
        <v>Good shoes cost-effective, good style, comfort</v>
      </c>
    </row>
    <row r="6621">
      <c r="A6621" s="1">
        <v>5.0</v>
      </c>
      <c r="B6621" s="1" t="s">
        <v>6588</v>
      </c>
      <c r="C6621" t="str">
        <f>IFERROR(__xludf.DUMMYFUNCTION("GOOGLETRANSLATE(B6621, ""zh"", ""en"")"),"Slim and less yardage I bought the same country, but not very self mentally prepared, because the first overseas bought the same model Levi, high price indeed")</f>
        <v>Slim and less yardage I bought the same country, but not very self mentally prepared, because the first overseas bought the same model Levi, high price indeed</v>
      </c>
    </row>
    <row r="6622">
      <c r="A6622" s="1">
        <v>5.0</v>
      </c>
      <c r="B6622" s="1" t="s">
        <v>6589</v>
      </c>
      <c r="C6622" t="str">
        <f>IFERROR(__xludf.DUMMYFUNCTION("GOOGLETRANSLATE(B6622, ""zh"", ""en"")"),"Well capacity. Lightweight, it is what I want")</f>
        <v>Well capacity. Lightweight, it is what I want</v>
      </c>
    </row>
    <row r="6623">
      <c r="A6623" s="1">
        <v>2.0</v>
      </c>
      <c r="B6623" s="1" t="s">
        <v>6590</v>
      </c>
      <c r="C6623" t="str">
        <f>IFERROR(__xludf.DUMMYFUNCTION("GOOGLETRANSLATE(B6623, ""zh"", ""en"")"),"Very disappointed not satisfied with her husband wearing the shoes did not take long to feel like the color had changed recently shoe covered with a layer of sand inside a tube ran out of what can not only cut off")</f>
        <v>Very disappointed not satisfied with her husband wearing the shoes did not take long to feel like the color had changed recently shoe covered with a layer of sand inside a tube ran out of what can not only cut off</v>
      </c>
    </row>
    <row r="6624">
      <c r="A6624" s="1">
        <v>3.0</v>
      </c>
      <c r="B6624" s="1" t="s">
        <v>6591</v>
      </c>
      <c r="C6624" t="str">
        <f>IFERROR(__xludf.DUMMYFUNCTION("GOOGLETRANSLATE(B6624, ""zh"", ""en"")"),"Why it is too long sleeves long sleeves spicy, spicy why what long sleeves!")</f>
        <v>Why it is too long sleeves long sleeves spicy, spicy why what long sleeves!</v>
      </c>
    </row>
    <row r="6625">
      <c r="A6625" s="1">
        <v>3.0</v>
      </c>
      <c r="B6625" s="1" t="s">
        <v>6592</v>
      </c>
      <c r="C6625" t="str">
        <f>IFERROR(__xludf.DUMMYFUNCTION("GOOGLETRANSLATE(B6625, ""zh"", ""en"")"),"Size weight 130 pounds, high 165, bought a XL, too, want to return!")</f>
        <v>Size weight 130 pounds, high 165, bought a XL, too, want to return!</v>
      </c>
    </row>
    <row r="6626">
      <c r="A6626" s="1">
        <v>1.0</v>
      </c>
      <c r="B6626" s="1" t="s">
        <v>6593</v>
      </c>
      <c r="C6626" t="str">
        <f>IFERROR(__xludf.DUMMYFUNCTION("GOOGLETRANSLATE(B6626, ""zh"", ""en"")"),"No mass which can not describe a quality pocket leakage seams open line.")</f>
        <v>No mass which can not describe a quality pocket leakage seams open line.</v>
      </c>
    </row>
    <row r="6627">
      <c r="A6627" s="1">
        <v>1.0</v>
      </c>
      <c r="B6627" s="1" t="s">
        <v>6594</v>
      </c>
      <c r="C6627" t="str">
        <f>IFERROR(__xludf.DUMMYFUNCTION("GOOGLETRANSLATE(B6627, ""zh"", ""en"")"),"The charts do not advise you to buy do not buy, wearing four months on the bad, strap fluff, the clock does not go, the gear is broken, the calendar is also bad. Really speechless")</f>
        <v>The charts do not advise you to buy do not buy, wearing four months on the bad, strap fluff, the clock does not go, the gear is broken, the calendar is also bad. Really speechless</v>
      </c>
    </row>
    <row r="6628">
      <c r="A6628" s="1">
        <v>1.0</v>
      </c>
      <c r="B6628" s="1" t="s">
        <v>6595</v>
      </c>
      <c r="C6628" t="str">
        <f>IFERROR(__xludf.DUMMYFUNCTION("GOOGLETRANSLATE(B6628, ""zh"", ""en"")"),"Stirring rod wear today intend to use only to find a stir bar has a few deep scratches, not new to worry about stirring rod")</f>
        <v>Stirring rod wear today intend to use only to find a stir bar has a few deep scratches, not new to worry about stirring rod</v>
      </c>
    </row>
    <row r="6629">
      <c r="A6629" s="1">
        <v>4.0</v>
      </c>
      <c r="B6629" s="1" t="s">
        <v>6</v>
      </c>
      <c r="C6629" t="str">
        <f>IFERROR(__xludf.DUMMYFUNCTION("GOOGLETRANSLATE(B6629, ""zh"", ""en"")"),"Under the waist will roll under waist will roll, hot summer wear")</f>
        <v>Under the waist will roll under waist will roll, hot summer wear</v>
      </c>
    </row>
    <row r="6630">
      <c r="A6630" s="1">
        <v>4.0</v>
      </c>
      <c r="B6630" s="1" t="s">
        <v>6596</v>
      </c>
      <c r="C6630" t="str">
        <f>IFERROR(__xludf.DUMMYFUNCTION("GOOGLETRANSLATE(B6630, ""zh"", ""en"")"),"Good price 166,50kg buy M, the size of the can, more comfortable and breathable, material a little thin, black fur off serious threw away another color is also good")</f>
        <v>Good price 166,50kg buy M, the size of the can, more comfortable and breathable, material a little thin, black fur off serious threw away another color is also good</v>
      </c>
    </row>
    <row r="6631">
      <c r="A6631" s="1">
        <v>4.0</v>
      </c>
      <c r="B6631" s="1" t="s">
        <v>6597</v>
      </c>
      <c r="C6631" t="str">
        <f>IFERROR(__xludf.DUMMYFUNCTION("GOOGLETRANSLATE(B6631, ""zh"", ""en"")"),"Belt can also be improved, but even a zygote has not installed")</f>
        <v>Belt can also be improved, but even a zygote has not installed</v>
      </c>
    </row>
    <row r="6632">
      <c r="A6632" s="1">
        <v>4.0</v>
      </c>
      <c r="B6632" s="1" t="s">
        <v>6598</v>
      </c>
      <c r="C6632" t="str">
        <f>IFERROR(__xludf.DUMMYFUNCTION("GOOGLETRANSLATE(B6632, ""zh"", ""en"")"),"Buy cheaper than domestic tried a little too much, or the effect is obvious shirt, thicker cotton T-shirt is more general; but really saves space than at home steamers, which can basically meet the demand; only fitting then turn bottle of mineral water li"&amp;"nker, no brush, no cover cloth, and no Glove plate and the garment steamer;")</f>
        <v>Buy cheaper than domestic tried a little too much, or the effect is obvious shirt, thicker cotton T-shirt is more general; but really saves space than at home steamers, which can basically meet the demand; only fitting then turn bottle of mineral water linker, no brush, no cover cloth, and no Glove plate and the garment steamer;</v>
      </c>
    </row>
    <row r="6633">
      <c r="A6633" s="1">
        <v>5.0</v>
      </c>
      <c r="B6633" s="1" t="s">
        <v>6599</v>
      </c>
      <c r="C6633" t="str">
        <f>IFERROR(__xludf.DUMMYFUNCTION("GOOGLETRANSLATE(B6633, ""zh"", ""en"")"),"Long sleeves and body. Body and sleeves too long, the other is good. 180cm, 80 kg, body and sleeves a bit long.")</f>
        <v>Long sleeves and body. Body and sleeves too long, the other is good. 180cm, 80 kg, body and sleeves a bit long.</v>
      </c>
    </row>
    <row r="6634">
      <c r="A6634" s="1">
        <v>5.0</v>
      </c>
      <c r="B6634" s="1" t="s">
        <v>6600</v>
      </c>
      <c r="C6634" t="str">
        <f>IFERROR(__xludf.DUMMYFUNCTION("GOOGLETRANSLATE(B6634, ""zh"", ""en"")"),"Very good for the elderly to buy, they liked")</f>
        <v>Very good for the elderly to buy, they liked</v>
      </c>
    </row>
    <row r="6635">
      <c r="A6635" s="1">
        <v>5.0</v>
      </c>
      <c r="B6635" s="1" t="s">
        <v>6601</v>
      </c>
      <c r="C6635" t="str">
        <f>IFERROR(__xludf.DUMMYFUNCTION("GOOGLETRANSLATE(B6635, ""zh"", ""en"")"),"Elastic waist pants a little bit softer fabric elasticity, high waist, the waist 2 feet long pants 10s No. 4 of 98cm, a little fat to keep warm jacket, possibly a smaller size just")</f>
        <v>Elastic waist pants a little bit softer fabric elasticity, high waist, the waist 2 feet long pants 10s No. 4 of 98cm, a little fat to keep warm jacket, possibly a smaller size just</v>
      </c>
    </row>
    <row r="6636">
      <c r="A6636" s="1">
        <v>5.0</v>
      </c>
      <c r="B6636" s="1" t="s">
        <v>6602</v>
      </c>
      <c r="C6636" t="str">
        <f>IFERROR(__xludf.DUMMYFUNCTION("GOOGLETRANSLATE(B6636, ""zh"", ""en"")"),"Levi's as big as fit and 34, 178 high, weight 190, wearing just")</f>
        <v>Levi's as big as fit and 34, 178 high, weight 190, wearing just</v>
      </c>
    </row>
    <row r="6637">
      <c r="A6637" s="1">
        <v>5.0</v>
      </c>
      <c r="B6637" s="1" t="s">
        <v>6603</v>
      </c>
      <c r="C6637" t="str">
        <f>IFERROR(__xludf.DUMMYFUNCTION("GOOGLETRANSLATE(B6637, ""zh"", ""en"")"),"This is why there will be holes in the blood is very realistic")</f>
        <v>This is why there will be holes in the blood is very realistic</v>
      </c>
    </row>
    <row r="6638">
      <c r="A6638" s="1">
        <v>5.0</v>
      </c>
      <c r="B6638" s="1" t="s">
        <v>6604</v>
      </c>
      <c r="C6638" t="str">
        <f>IFERROR(__xludf.DUMMYFUNCTION("GOOGLETRANSLATE(B6638, ""zh"", ""en"")"),"Very, very good, very thin, summer wear just")</f>
        <v>Very, very good, very thin, summer wear just</v>
      </c>
    </row>
    <row r="6639">
      <c r="A6639" s="1">
        <v>5.0</v>
      </c>
      <c r="B6639" s="1" t="s">
        <v>6605</v>
      </c>
      <c r="C6639" t="str">
        <f>IFERROR(__xludf.DUMMYFUNCTION("GOOGLETRANSLATE(B6639, ""zh"", ""en"")"),"The right size soft and comfortable fabric soft and comfortable fabric right size")</f>
        <v>The right size soft and comfortable fabric soft and comfortable fabric right size</v>
      </c>
    </row>
    <row r="6640">
      <c r="A6640" s="1">
        <v>5.0</v>
      </c>
      <c r="B6640" s="1" t="s">
        <v>6606</v>
      </c>
      <c r="C6640" t="str">
        <f>IFERROR(__xludf.DUMMYFUNCTION("GOOGLETRANSLATE(B6640, ""zh"", ""en"")"),"The high cost yardage very accurate, especially on the feet comfortable, very suitable for everyday wear in spring and summer.")</f>
        <v>The high cost yardage very accurate, especially on the feet comfortable, very suitable for everyday wear in spring and summer.</v>
      </c>
    </row>
    <row r="6641">
      <c r="A6641" s="1">
        <v>5.0</v>
      </c>
      <c r="B6641" s="1" t="s">
        <v>6607</v>
      </c>
      <c r="C6641" t="str">
        <f>IFERROR(__xludf.DUMMYFUNCTION("GOOGLETRANSLATE(B6641, ""zh"", ""en"")"),"All aspects are impeccable, but the color does not seem original positive original color will be brighter, this somewhat frosted or matte feeling, a lot of people say there is no bottom so hard, even wear two days without any discomfort, I do not feel com"&amp;"fortable friends estimate is the wrong size")</f>
        <v>All aspects are impeccable, but the color does not seem original positive original color will be brighter, this somewhat frosted or matte feeling, a lot of people say there is no bottom so hard, even wear two days without any discomfort, I do not feel comfortable friends estimate is the wrong size</v>
      </c>
    </row>
    <row r="6642">
      <c r="A6642" s="1">
        <v>5.0</v>
      </c>
      <c r="B6642" s="1" t="s">
        <v>6608</v>
      </c>
      <c r="C6642" t="str">
        <f>IFERROR(__xludf.DUMMYFUNCTION("GOOGLETRANSLATE(B6642, ""zh"", ""en"")"),"Like many Baoma recommended products, Amazon do activities, start with a good deal, get our hands on a look, no scratches, delivery soon, thumbs up!")</f>
        <v>Like many Baoma recommended products, Amazon do activities, start with a good deal, get our hands on a look, no scratches, delivery soon, thumbs up!</v>
      </c>
    </row>
    <row r="6643">
      <c r="A6643" s="1">
        <v>5.0</v>
      </c>
      <c r="B6643" s="1" t="s">
        <v>6609</v>
      </c>
      <c r="C6643" t="str">
        <f>IFERROR(__xludf.DUMMYFUNCTION("GOOGLETRANSLATE(B6643, ""zh"", ""en"")"),"Sound good, for we are not enthusiasts, the sound quality is good, I believe the pot a bit, would be better, the price is satisfactory.")</f>
        <v>Sound good, for we are not enthusiasts, the sound quality is good, I believe the pot a bit, would be better, the price is satisfactory.</v>
      </c>
    </row>
    <row r="6644">
      <c r="A6644" s="1">
        <v>5.0</v>
      </c>
      <c r="B6644" s="1" t="s">
        <v>6610</v>
      </c>
      <c r="C6644" t="str">
        <f>IFERROR(__xludf.DUMMYFUNCTION("GOOGLETRANSLATE(B6644, ""zh"", ""en"")"),"Shoes are very beautiful weight is greater gospel. Do not worry about true and false, after-sales. This is value for money.")</f>
        <v>Shoes are very beautiful weight is greater gospel. Do not worry about true and false, after-sales. This is value for money.</v>
      </c>
    </row>
    <row r="6645">
      <c r="A6645" s="1">
        <v>5.0</v>
      </c>
      <c r="B6645" s="1" t="s">
        <v>6611</v>
      </c>
      <c r="C6645" t="str">
        <f>IFERROR(__xludf.DUMMYFUNCTION("GOOGLETRANSLATE(B6645, ""zh"", ""en"")"),"The most satisfactory mug is very good, the beautiful, the most satisfactory mug")</f>
        <v>The most satisfactory mug is very good, the beautiful, the most satisfactory mug</v>
      </c>
    </row>
    <row r="6646">
      <c r="A6646" s="1">
        <v>5.0</v>
      </c>
      <c r="B6646" s="1" t="s">
        <v>6612</v>
      </c>
      <c r="C6646" t="str">
        <f>IFERROR(__xludf.DUMMYFUNCTION("GOOGLETRANSLATE(B6646, ""zh"", ""en"")"),"Early detection really like the bottle too cute, handy! Before buying a lot of bottles, baby head are relatively hard do not eat, eat the bottle, praising!")</f>
        <v>Early detection really like the bottle too cute, handy! Before buying a lot of bottles, baby head are relatively hard do not eat, eat the bottle, praising!</v>
      </c>
    </row>
    <row r="6647">
      <c r="A6647" s="1">
        <v>5.0</v>
      </c>
      <c r="B6647" s="1" t="s">
        <v>6613</v>
      </c>
      <c r="C6647" t="str">
        <f>IFERROR(__xludf.DUMMYFUNCTION("GOOGLETRANSLATE(B6647, ""zh"", ""en"")"),"Good, quality assurance Sony, Amazon is also good self-assured, Sony's quality assurance, self-assured Amazon")</f>
        <v>Good, quality assurance Sony, Amazon is also good self-assured, Sony's quality assurance, self-assured Amazon</v>
      </c>
    </row>
    <row r="6648">
      <c r="A6648" s="1">
        <v>5.0</v>
      </c>
      <c r="B6648" s="1" t="s">
        <v>6614</v>
      </c>
      <c r="C6648" t="str">
        <f>IFERROR(__xludf.DUMMYFUNCTION("GOOGLETRANSLATE(B6648, ""zh"", ""en"")"),"Good sleeves rather long and can be rolled up, very capable of feeling")</f>
        <v>Good sleeves rather long and can be rolled up, very capable of feeling</v>
      </c>
    </row>
    <row r="6649">
      <c r="A6649" s="1">
        <v>5.0</v>
      </c>
      <c r="B6649" s="1" t="s">
        <v>6615</v>
      </c>
      <c r="C6649" t="str">
        <f>IFERROR(__xludf.DUMMYFUNCTION("GOOGLETRANSLATE(B6649, ""zh"", ""en"")"),"Good quality size can fit.")</f>
        <v>Good quality size can fit.</v>
      </c>
    </row>
    <row r="6650">
      <c r="A6650" s="1">
        <v>5.0</v>
      </c>
      <c r="B6650" s="1" t="s">
        <v>6616</v>
      </c>
      <c r="C6650" t="str">
        <f>IFERROR(__xludf.DUMMYFUNCTION("GOOGLETRANSLATE(B6650, ""zh"", ""en"")"),"Big itself 169cm, 70kg, leg rough count, buy a big point W32 * L29, W31 would be more appropriate")</f>
        <v>Big itself 169cm, 70kg, leg rough count, buy a big point W32 * L29, W31 would be more appropriate</v>
      </c>
    </row>
    <row r="6651">
      <c r="A6651" s="1">
        <v>5.0</v>
      </c>
      <c r="B6651" s="1" t="s">
        <v>6617</v>
      </c>
      <c r="C6651" t="str">
        <f>IFERROR(__xludf.DUMMYFUNCTION("GOOGLETRANSLATE(B6651, ""zh"", ""en"")"),"Very good heating uniformity, that is a little heavy, a little woman with difficulty")</f>
        <v>Very good heating uniformity, that is a little heavy, a little woman with difficulty</v>
      </c>
    </row>
    <row r="6652">
      <c r="A6652" s="1">
        <v>5.0</v>
      </c>
      <c r="B6652" s="1" t="s">
        <v>6618</v>
      </c>
      <c r="C6652" t="str">
        <f>IFERROR(__xludf.DUMMYFUNCTION("GOOGLETRANSLATE(B6652, ""zh"", ""en"")"),"Comfortable and care. Underwear to wear a ck's always right, I always buy this brand of underwear, not been disappointed.")</f>
        <v>Comfortable and care. Underwear to wear a ck's always right, I always buy this brand of underwear, not been disappointed.</v>
      </c>
    </row>
    <row r="6653">
      <c r="A6653" s="1">
        <v>5.0</v>
      </c>
      <c r="B6653" s="1" t="s">
        <v>6619</v>
      </c>
      <c r="C6653" t="str">
        <f>IFERROR(__xludf.DUMMYFUNCTION("GOOGLETRANSLATE(B6653, ""zh"", ""en"")"),"Good price beans fresh, pure taste, the price is affordable. For roughing")</f>
        <v>Good price beans fresh, pure taste, the price is affordable. For roughing</v>
      </c>
    </row>
    <row r="6654">
      <c r="A6654" s="1">
        <v>5.0</v>
      </c>
      <c r="B6654" s="1" t="s">
        <v>6620</v>
      </c>
      <c r="C6654" t="str">
        <f>IFERROR(__xludf.DUMMYFUNCTION("GOOGLETRANSLATE(B6654, ""zh"", ""en"")"),"I've been using this brand of fine")</f>
        <v>I've been using this brand of fine</v>
      </c>
    </row>
    <row r="6655">
      <c r="A6655" s="1">
        <v>2.0</v>
      </c>
      <c r="B6655" s="1" t="s">
        <v>6621</v>
      </c>
      <c r="C6655" t="str">
        <f>IFERROR(__xludf.DUMMYFUNCTION("GOOGLETRANSLATE(B6655, ""zh"", ""en"")"),"Mexican production of poor quality, the quality is not, there is an odor.")</f>
        <v>Mexican production of poor quality, the quality is not, there is an odor.</v>
      </c>
    </row>
    <row r="6656">
      <c r="A6656" s="1">
        <v>3.0</v>
      </c>
      <c r="B6656" s="1" t="s">
        <v>6622</v>
      </c>
      <c r="C6656" t="str">
        <f>IFERROR(__xludf.DUMMYFUNCTION("GOOGLETRANSLATE(B6656, ""zh"", ""en"")"),"Cheap but work in general from packaging to poor workmanship at least one grade than the domestic version, and good cheap.")</f>
        <v>Cheap but work in general from packaging to poor workmanship at least one grade than the domestic version, and good cheap.</v>
      </c>
    </row>
    <row r="6657">
      <c r="A6657" s="1">
        <v>3.0</v>
      </c>
      <c r="B6657" s="1" t="s">
        <v>6623</v>
      </c>
      <c r="C6657" t="str">
        <f>IFERROR(__xludf.DUMMYFUNCTION("GOOGLETRANSLATE(B6657, ""zh"", ""en"")"),"Headphones a little problem right side of the headset has no sounds, I do not understand what the hell. Do I get a true ear headphones, a headphone false.")</f>
        <v>Headphones a little problem right side of the headset has no sounds, I do not understand what the hell. Do I get a true ear headphones, a headphone false.</v>
      </c>
    </row>
    <row r="6658">
      <c r="A6658" s="1">
        <v>3.0</v>
      </c>
      <c r="B6658" s="1" t="s">
        <v>6624</v>
      </c>
      <c r="C6658" t="str">
        <f>IFERROR(__xludf.DUMMYFUNCTION("GOOGLETRANSLATE(B6658, ""zh"", ""en"")"),"Grinding feet! Wearing a pause, grinding heel, it will blister ...")</f>
        <v>Grinding feet! Wearing a pause, grinding heel, it will blister ...</v>
      </c>
    </row>
    <row r="6659">
      <c r="A6659" s="1">
        <v>1.0</v>
      </c>
      <c r="B6659" s="1" t="s">
        <v>6625</v>
      </c>
      <c r="C6659" t="str">
        <f>IFERROR(__xludf.DUMMYFUNCTION("GOOGLETRANSLATE(B6659, ""zh"", ""en"")"),"Severe hair loss hair loss is very powerful, poor quality, and doubt whether it is genuine")</f>
        <v>Severe hair loss hair loss is very powerful, poor quality, and doubt whether it is genuine</v>
      </c>
    </row>
    <row r="6660">
      <c r="A6660" s="1">
        <v>1.0</v>
      </c>
      <c r="B6660" s="1" t="s">
        <v>6626</v>
      </c>
      <c r="C6660" t="str">
        <f>IFERROR(__xludf.DUMMYFUNCTION("GOOGLETRANSLATE(B6660, ""zh"", ""en"")"),"Poor quality, do not recommend buying do not recommend to buy, the quality is poor")</f>
        <v>Poor quality, do not recommend buying do not recommend to buy, the quality is poor</v>
      </c>
    </row>
    <row r="6661">
      <c r="A6661" s="1">
        <v>4.0</v>
      </c>
      <c r="B6661" s="1" t="s">
        <v>6627</v>
      </c>
      <c r="C6661" t="str">
        <f>IFERROR(__xludf.DUMMYFUNCTION("GOOGLETRANSLATE(B6661, ""zh"", ""en"")"),"Look good, but I made a little hard to buy a small one yard a little bit small (long sleeves still fit, but I am more fat, so I find it a little), I feel a little a little bit plump does not need to buy a small one yard, thin people do not want to wear to"&amp;" oversize a ... small one yard of fabric rather hard, feeling feels feel not good imagination, but the quality is also good, I heard that Nichia will be more comfortable, try the next day Asia. ...")</f>
        <v>Look good, but I made a little hard to buy a small one yard a little bit small (long sleeves still fit, but I am more fat, so I find it a little), I feel a little a little bit plump does not need to buy a small one yard, thin people do not want to wear to oversize a ... small one yard of fabric rather hard, feeling feels feel not good imagination, but the quality is also good, I heard that Nichia will be more comfortable, try the next day Asia. ...</v>
      </c>
    </row>
    <row r="6662">
      <c r="A6662" s="1">
        <v>4.0</v>
      </c>
      <c r="B6662" s="1" t="s">
        <v>6628</v>
      </c>
      <c r="C6662" t="str">
        <f>IFERROR(__xludf.DUMMYFUNCTION("GOOGLETRANSLATE(B6662, ""zh"", ""en"")"),"Compare cheap feel right size, relatively standard, in line with the price expected to hand over 40, as Uniqlo, multi-thread, general work, cotton fabrics can also, very cheap feeling chest standard.")</f>
        <v>Compare cheap feel right size, relatively standard, in line with the price expected to hand over 40, as Uniqlo, multi-thread, general work, cotton fabrics can also, very cheap feeling chest standard.</v>
      </c>
    </row>
    <row r="6663">
      <c r="A6663" s="1">
        <v>4.0</v>
      </c>
      <c r="B6663" s="1" t="s">
        <v>6629</v>
      </c>
      <c r="C6663" t="str">
        <f>IFERROR(__xludf.DUMMYFUNCTION("GOOGLETRANSLATE(B6663, ""zh"", ""en"")"),"Wrinkled sent packing when there may be due to transport reasons, there is a deep crease, feel the fabric damage")</f>
        <v>Wrinkled sent packing when there may be due to transport reasons, there is a deep crease, feel the fabric damage</v>
      </c>
    </row>
    <row r="6664">
      <c r="A6664" s="1">
        <v>4.0</v>
      </c>
      <c r="B6664" s="1" t="s">
        <v>6630</v>
      </c>
      <c r="C6664" t="str">
        <f>IFERROR(__xludf.DUMMYFUNCTION("GOOGLETRANSLATE(B6664, ""zh"", ""en"")"),"Good value for money summer wear, 98cm waist L code just right. Quality can also be")</f>
        <v>Good value for money summer wear, 98cm waist L code just right. Quality can also be</v>
      </c>
    </row>
    <row r="6665">
      <c r="A6665" s="1">
        <v>4.0</v>
      </c>
      <c r="B6665" s="1" t="s">
        <v>6631</v>
      </c>
      <c r="C6665" t="str">
        <f>IFERROR(__xludf.DUMMYFUNCTION("GOOGLETRANSLATE(B6665, ""zh"", ""en"")"),"Feeling not worth the price related to soft soles uppers, help do not detailed enough, ah foot wear foot wear, blisters Popi ...... cortex in general, have discounted the snare drum package, estimated to wear time around will damage")</f>
        <v>Feeling not worth the price related to soft soles uppers, help do not detailed enough, ah foot wear foot wear, blisters Popi ...... cortex in general, have discounted the snare drum package, estimated to wear time around will damage</v>
      </c>
    </row>
    <row r="6666">
      <c r="A6666" s="1">
        <v>5.0</v>
      </c>
      <c r="B6666" s="1" t="s">
        <v>6632</v>
      </c>
      <c r="C6666" t="str">
        <f>IFERROR(__xludf.DUMMYFUNCTION("GOOGLETRANSLATE(B6666, ""zh"", ""en"")"),"15 days time arrival rate fast worth buying black five 96R buy ✺◟ (* ❛ ั ᴗ❛ ั *) ◞✺ beginning u disk drive is not automatically loaded so slow to read and write have only 45MB / s and later automatically install the driver class after the test film write "&amp;"100MB / S and more stable reading in 200MB / S my computer is a SanDisk solid state, and later with software testing speed faster than the official rate, in short, very satisfied with the first overseas purchase ε - ( '∀ `; )")</f>
        <v>15 days time arrival rate fast worth buying black five 96R buy ✺◟ (* ❛ ั ᴗ❛ ั *) ◞✺ beginning u disk drive is not automatically loaded so slow to read and write have only 45MB / s and later automatically install the driver class after the test film write 100MB / S and more stable reading in 200MB / S my computer is a SanDisk solid state, and later with software testing speed faster than the official rate, in short, very satisfied with the first overseas purchase ε - ( '∀ `; )</v>
      </c>
    </row>
    <row r="6667">
      <c r="A6667" s="1">
        <v>5.0</v>
      </c>
      <c r="B6667" s="1" t="s">
        <v>6633</v>
      </c>
      <c r="C6667" t="str">
        <f>IFERROR(__xludf.DUMMYFUNCTION("GOOGLETRANSLATE(B6667, ""zh"", ""en"")"),"CK CK Jeans denim jacket very good value for money")</f>
        <v>CK CK Jeans denim jacket very good value for money</v>
      </c>
    </row>
    <row r="6668">
      <c r="A6668" s="1">
        <v>5.0</v>
      </c>
      <c r="B6668" s="1" t="s">
        <v>6634</v>
      </c>
      <c r="C6668" t="str">
        <f>IFERROR(__xludf.DUMMYFUNCTION("GOOGLETRANSLATE(B6668, ""zh"", ""en"")"),"Recommended always liked the brand, has multiple purchases. Recommended. Slightly larger than domestic.")</f>
        <v>Recommended always liked the brand, has multiple purchases. Recommended. Slightly larger than domestic.</v>
      </c>
    </row>
    <row r="6669">
      <c r="A6669" s="1">
        <v>5.0</v>
      </c>
      <c r="B6669" s="1" t="s">
        <v>6635</v>
      </c>
      <c r="C6669" t="str">
        <f>IFERROR(__xludf.DUMMYFUNCTION("GOOGLETRANSLATE(B6669, ""zh"", ""en"")"),"Not use, I feel should be good. Received, not practical, feeling should be good.")</f>
        <v>Not use, I feel should be good. Received, not practical, feeling should be good.</v>
      </c>
    </row>
    <row r="6670">
      <c r="A6670" s="1">
        <v>5.0</v>
      </c>
      <c r="B6670" s="1" t="s">
        <v>6636</v>
      </c>
      <c r="C6670" t="str">
        <f>IFERROR(__xludf.DUMMYFUNCTION("GOOGLETRANSLATE(B6670, ""zh"", ""en"")"),"very satisfied! In addition to shoe a little heavy, others are very satisfied! On foot very nice!")</f>
        <v>very satisfied! In addition to shoe a little heavy, others are very satisfied! On foot very nice!</v>
      </c>
    </row>
    <row r="6671">
      <c r="A6671" s="1">
        <v>5.0</v>
      </c>
      <c r="B6671" s="1" t="s">
        <v>6637</v>
      </c>
      <c r="C6671" t="str">
        <f>IFERROR(__xludf.DUMMYFUNCTION("GOOGLETRANSLATE(B6671, ""zh"", ""en"")"),"Especially like especially good-looking, very fond of her husband")</f>
        <v>Especially like especially good-looking, very fond of her husband</v>
      </c>
    </row>
    <row r="6672">
      <c r="A6672" s="1">
        <v>5.0</v>
      </c>
      <c r="B6672" s="1" t="s">
        <v>6638</v>
      </c>
      <c r="C6672" t="str">
        <f>IFERROR(__xludf.DUMMYFUNCTION("GOOGLETRANSLATE(B6672, ""zh"", ""en"")"),"Inexpensive very much like a pair of shoes, the version is very positive, comfortable")</f>
        <v>Inexpensive very much like a pair of shoes, the version is very positive, comfortable</v>
      </c>
    </row>
    <row r="6673">
      <c r="A6673" s="1">
        <v>5.0</v>
      </c>
      <c r="B6673" s="1" t="s">
        <v>6639</v>
      </c>
      <c r="C6673" t="str">
        <f>IFERROR(__xludf.DUMMYFUNCTION("GOOGLETRANSLATE(B6673, ""zh"", ""en"")"),"Praise Shaopian outsole ᶘ ᵒᴥᵒᶅ so comfortable for me this usually wear 37 yards of people")</f>
        <v>Praise Shaopian outsole ᶘ ᵒᴥᵒᶅ so comfortable for me this usually wear 37 yards of people</v>
      </c>
    </row>
    <row r="6674">
      <c r="A6674" s="1">
        <v>5.0</v>
      </c>
      <c r="B6674" s="1" t="s">
        <v>6640</v>
      </c>
      <c r="C6674" t="str">
        <f>IFERROR(__xludf.DUMMYFUNCTION("GOOGLETRANSLATE(B6674, ""zh"", ""en"")"),"Love is not easy to clean wrestling is not a bad one, in addition to scale and do not look good than bad warm milk, the family favorite")</f>
        <v>Love is not easy to clean wrestling is not a bad one, in addition to scale and do not look good than bad warm milk, the family favorite</v>
      </c>
    </row>
    <row r="6675">
      <c r="A6675" s="1">
        <v>5.0</v>
      </c>
      <c r="B6675" s="1" t="s">
        <v>6641</v>
      </c>
      <c r="C6675" t="str">
        <f>IFERROR(__xludf.DUMMYFUNCTION("GOOGLETRANSLATE(B6675, ""zh"", ""en"")"),"Low-key luxury price with the Swans MK2 almost, but seemed more low-key than the Swans, a colleague asked me if I looked at dozens of pieces of stuff is not, Oh, buy the Z affordable, Shao Shao scratches, do not look carefully not come out, buy a day afte"&amp;"r the price to rise, and soon rose by more than half, how it happened, bad Amazon does not take the initiative to open up the invoice, but also to go after him, this is not waste their time and money with one voice Mody is just the right words, previously"&amp;" used Swans m200MK2 feeling very tired female voice, the speaker said although no one else can hear the guitar pine scent so the cattle, but can hear their calm attitude")</f>
        <v>Low-key luxury price with the Swans MK2 almost, but seemed more low-key than the Swans, a colleague asked me if I looked at dozens of pieces of stuff is not, Oh, buy the Z affordable, Shao Shao scratches, do not look carefully not come out, buy a day after the price to rise, and soon rose by more than half, how it happened, bad Amazon does not take the initiative to open up the invoice, but also to go after him, this is not waste their time and money with one voice Mody is just the right words, previously used Swans m200MK2 feeling very tired female voice, the speaker said although no one else can hear the guitar pine scent so the cattle, but can hear their calm attitude</v>
      </c>
    </row>
    <row r="6676">
      <c r="A6676" s="1">
        <v>5.0</v>
      </c>
      <c r="B6676" s="1" t="s">
        <v>6642</v>
      </c>
      <c r="C6676" t="str">
        <f>IFERROR(__xludf.DUMMYFUNCTION("GOOGLETRANSLATE(B6676, ""zh"", ""en"")"),"ALTO general rechargeable Bluetooth Bluetooth receiver, is to use the device with XLR connectors.")</f>
        <v>ALTO general rechargeable Bluetooth Bluetooth receiver, is to use the device with XLR connectors.</v>
      </c>
    </row>
    <row r="6677">
      <c r="A6677" s="1">
        <v>5.0</v>
      </c>
      <c r="B6677" s="1" t="s">
        <v>6643</v>
      </c>
      <c r="C6677" t="str">
        <f>IFERROR(__xludf.DUMMYFUNCTION("GOOGLETRANSLATE(B6677, ""zh"", ""en"")"),"Well in line with the actual commodity product description, baby likes grip, go out with a spoon. Design is very reasonable.")</f>
        <v>Well in line with the actual commodity product description, baby likes grip, go out with a spoon. Design is very reasonable.</v>
      </c>
    </row>
    <row r="6678">
      <c r="A6678" s="1">
        <v>5.0</v>
      </c>
      <c r="B6678" s="1" t="s">
        <v>6644</v>
      </c>
      <c r="C6678" t="str">
        <f>IFERROR(__xludf.DUMMYFUNCTION("GOOGLETRANSLATE(B6678, ""zh"", ""en"")"),"8926OB Pro Diver stainless steel automatic watch I ordered 8926OB PRO, the picture is impeller-type outer ring, the result is sent to 8926OB gear-type outer ring. I do not know Photo Gallery wrong, or Amazon made a mistake, or I am wrong. Price on here, w"&amp;"ill not bother the reasoning. Deliberately wear for some time to comment, use of materials is quite solid, accuracy can wear it for 10 days fast one minute, good price.")</f>
        <v>8926OB Pro Diver stainless steel automatic watch I ordered 8926OB PRO, the picture is impeller-type outer ring, the result is sent to 8926OB gear-type outer ring. I do not know Photo Gallery wrong, or Amazon made a mistake, or I am wrong. Price on here, will not bother the reasoning. Deliberately wear for some time to comment, use of materials is quite solid, accuracy can wear it for 10 days fast one minute, good price.</v>
      </c>
    </row>
    <row r="6679">
      <c r="A6679" s="1">
        <v>5.0</v>
      </c>
      <c r="B6679" s="1" t="s">
        <v>6645</v>
      </c>
      <c r="C6679" t="str">
        <f>IFERROR(__xludf.DUMMYFUNCTION("GOOGLETRANSLATE(B6679, ""zh"", ""en"")"),"Easy to use good use, spoon in hot water will change color,")</f>
        <v>Easy to use good use, spoon in hot water will change color,</v>
      </c>
    </row>
    <row r="6680">
      <c r="A6680" s="1">
        <v>5.0</v>
      </c>
      <c r="B6680" s="1" t="s">
        <v>6646</v>
      </c>
      <c r="C6680" t="str">
        <f>IFERROR(__xludf.DUMMYFUNCTION("GOOGLETRANSLATE(B6680, ""zh"", ""en"")"),"Quality did not have to say, stick. it is good. Good quality, style like.")</f>
        <v>Quality did not have to say, stick. it is good. Good quality, style like.</v>
      </c>
    </row>
    <row r="6681">
      <c r="A6681" s="1">
        <v>5.0</v>
      </c>
      <c r="B6681" s="1" t="s">
        <v>6647</v>
      </c>
      <c r="C6681" t="str">
        <f>IFERROR(__xludf.DUMMYFUNCTION("GOOGLETRANSLATE(B6681, ""zh"", ""en"")"),"Very good product very good product")</f>
        <v>Very good product very good product</v>
      </c>
    </row>
    <row r="6682">
      <c r="A6682" s="1">
        <v>5.0</v>
      </c>
      <c r="B6682" s="1" t="s">
        <v>6648</v>
      </c>
      <c r="C6682" t="str">
        <f>IFERROR(__xludf.DUMMYFUNCTION("GOOGLETRANSLATE(B6682, ""zh"", ""en"")"),"Ok just get our hands that would slip soles, the result is very comfortable, not slippery. Leather soft, lightweight shoes, stylish. Great 👏")</f>
        <v>Ok just get our hands that would slip soles, the result is very comfortable, not slippery. Leather soft, lightweight shoes, stylish. Great 👏</v>
      </c>
    </row>
    <row r="6683">
      <c r="A6683" s="1">
        <v>5.0</v>
      </c>
      <c r="B6683" s="1" t="s">
        <v>6649</v>
      </c>
      <c r="C6683" t="str">
        <f>IFERROR(__xludf.DUMMYFUNCTION("GOOGLETRANSLATE(B6683, ""zh"", ""en"")"),"Pants good quality, recommended to buy pants good, but commented that looked slightly smaller size to buy 28, the result is a little. Height: 174, Weight: 105")</f>
        <v>Pants good quality, recommended to buy pants good, but commented that looked slightly smaller size to buy 28, the result is a little. Height: 174, Weight: 105</v>
      </c>
    </row>
    <row r="6684">
      <c r="A6684" s="1">
        <v>5.0</v>
      </c>
      <c r="B6684" s="1" t="s">
        <v>6650</v>
      </c>
      <c r="C6684" t="str">
        <f>IFERROR(__xludf.DUMMYFUNCTION("GOOGLETRANSLATE(B6684, ""zh"", ""en"")"),"Great sound quality at this price it, this speaker sound quality is absolutely super value for money.")</f>
        <v>Great sound quality at this price it, this speaker sound quality is absolutely super value for money.</v>
      </c>
    </row>
    <row r="6685">
      <c r="A6685" s="1">
        <v>5.0</v>
      </c>
      <c r="B6685" s="1" t="s">
        <v>6651</v>
      </c>
      <c r="C6685" t="str">
        <f>IFERROR(__xludf.DUMMYFUNCTION("GOOGLETRANSLATE(B6685, ""zh"", ""en"")"),"Good nutrition son has been in physical exercise, and now with participating in strength training, to increase the proportion of nutrition, chose this product")</f>
        <v>Good nutrition son has been in physical exercise, and now with participating in strength training, to increase the proportion of nutrition, chose this product</v>
      </c>
    </row>
    <row r="6686">
      <c r="A6686" s="1">
        <v>5.0</v>
      </c>
      <c r="B6686" s="1" t="s">
        <v>6652</v>
      </c>
      <c r="C6686" t="str">
        <f>IFERROR(__xludf.DUMMYFUNCTION("GOOGLETRANSLATE(B6686, ""zh"", ""en"")"),"Better than not know simple courier packaging, it is not a pressure-proof bubble bags, upon receipt of a blister packaging has been cracking pressure. U disk is very good, the first time to buy overseas goods purchased at Amazon, a relatively, cheap.")</f>
        <v>Better than not know simple courier packaging, it is not a pressure-proof bubble bags, upon receipt of a blister packaging has been cracking pressure. U disk is very good, the first time to buy overseas goods purchased at Amazon, a relatively, cheap.</v>
      </c>
    </row>
    <row r="6687">
      <c r="A6687" s="1">
        <v>5.0</v>
      </c>
      <c r="B6687" s="1" t="s">
        <v>6653</v>
      </c>
      <c r="C6687" t="str">
        <f>IFERROR(__xludf.DUMMYFUNCTION("GOOGLETRANSLATE(B6687, ""zh"", ""en"")"),"Praise good, wear lightweight breathable socks, wear no problem 10 days several times")</f>
        <v>Praise good, wear lightweight breathable socks, wear no problem 10 days several times</v>
      </c>
    </row>
    <row r="6688">
      <c r="A6688" s="1">
        <v>2.0</v>
      </c>
      <c r="B6688" s="1" t="s">
        <v>6654</v>
      </c>
      <c r="C6688" t="str">
        <f>IFERROR(__xludf.DUMMYFUNCTION("GOOGLETRANSLATE(B6688, ""zh"", ""en"")"),"As long as the quality of the backlog of goods, are each wash cashmere! A week or estimated to wear pants becomes Lufthansa")</f>
        <v>As long as the quality of the backlog of goods, are each wash cashmere! A week or estimated to wear pants becomes Lufthansa</v>
      </c>
    </row>
    <row r="6689">
      <c r="A6689" s="1">
        <v>3.0</v>
      </c>
      <c r="B6689" s="1" t="s">
        <v>6655</v>
      </c>
      <c r="C6689" t="str">
        <f>IFERROR(__xludf.DUMMYFUNCTION("GOOGLETRANSLATE(B6689, ""zh"", ""en"")"),"Too grinding foot, through the most uncomfortable shoes ...... cautious buy, be sure to go to the next store to try on, good shape, but it was like wearing shackles, wearing a morning grind bleeding in the front ...... Jiaobo")</f>
        <v>Too grinding foot, through the most uncomfortable shoes ...... cautious buy, be sure to go to the next store to try on, good shape, but it was like wearing shackles, wearing a morning grind bleeding in the front ...... Jiaobo</v>
      </c>
    </row>
    <row r="6690">
      <c r="A6690" s="1">
        <v>3.0</v>
      </c>
      <c r="B6690" s="1" t="s">
        <v>6656</v>
      </c>
      <c r="C6690" t="str">
        <f>IFERROR(__xludf.DUMMYFUNCTION("GOOGLETRANSLATE(B6690, ""zh"", ""en"")"),"Very good 177.140 pounds, L is very appropriate")</f>
        <v>Very good 177.140 pounds, L is very appropriate</v>
      </c>
    </row>
    <row r="6691">
      <c r="A6691" s="1">
        <v>1.0</v>
      </c>
      <c r="B6691" s="1" t="s">
        <v>6657</v>
      </c>
      <c r="C6691" t="str">
        <f>IFERROR(__xludf.DUMMYFUNCTION("GOOGLETRANSLATE(B6691, ""zh"", ""en"")"),"Not recommended to buy half a year, set aside a basic battery, an electric impulse can only use two or three days, but the momentum is very small, with just washed over power, that strength, like fast without electricity feeling lethargic! We do not recom"&amp;"mend buying")</f>
        <v>Not recommended to buy half a year, set aside a basic battery, an electric impulse can only use two or three days, but the momentum is very small, with just washed over power, that strength, like fast without electricity feeling lethargic! We do not recommend buying</v>
      </c>
    </row>
    <row r="6692">
      <c r="A6692" s="1">
        <v>1.0</v>
      </c>
      <c r="B6692" s="1" t="s">
        <v>6658</v>
      </c>
      <c r="C6692" t="str">
        <f>IFERROR(__xludf.DUMMYFUNCTION("GOOGLETRANSLATE(B6692, ""zh"", ""en"")"),"bad quality. Style okay. That is, poor quality, wearing a three-day slotted everywhere, not my distraction, legs open so that big hole, even if the domestic second-tier brands, or network red brand, so it should not be. This brand to give up.")</f>
        <v>bad quality. Style okay. That is, poor quality, wearing a three-day slotted everywhere, not my distraction, legs open so that big hole, even if the domestic second-tier brands, or network red brand, so it should not be. This brand to give up.</v>
      </c>
    </row>
    <row r="6693">
      <c r="A6693" s="1">
        <v>1.0</v>
      </c>
      <c r="B6693" s="1" t="s">
        <v>6659</v>
      </c>
      <c r="C6693" t="str">
        <f>IFERROR(__xludf.DUMMYFUNCTION("GOOGLETRANSLATE(B6693, ""zh"", ""en"")"),"Used suspected pants no price tag, and full of flavor liquid detergent, really doubt is not new, we must return!")</f>
        <v>Used suspected pants no price tag, and full of flavor liquid detergent, really doubt is not new, we must return!</v>
      </c>
    </row>
    <row r="6694">
      <c r="A6694" s="1">
        <v>4.0</v>
      </c>
      <c r="B6694" s="1" t="s">
        <v>6660</v>
      </c>
      <c r="C6694" t="str">
        <f>IFERROR(__xludf.DUMMYFUNCTION("GOOGLETRANSLATE(B6694, ""zh"", ""en"")"),"Okay used for some time, boil several times still prone to yellow rust. I can only say that in general it")</f>
        <v>Okay used for some time, boil several times still prone to yellow rust. I can only say that in general it</v>
      </c>
    </row>
    <row r="6695">
      <c r="A6695" s="1">
        <v>4.0</v>
      </c>
      <c r="B6695" s="1" t="s">
        <v>6661</v>
      </c>
      <c r="C6695" t="str">
        <f>IFERROR(__xludf.DUMMYFUNCTION("GOOGLETRANSLATE(B6695, ""zh"", ""en"")"),"This usually play it later to get dressed, I found this stripe is quite obvious, ah, this quality to do with what is said ua still has some gaps.")</f>
        <v>This usually play it later to get dressed, I found this stripe is quite obvious, ah, this quality to do with what is said ua still has some gaps.</v>
      </c>
    </row>
    <row r="6696">
      <c r="A6696" s="1">
        <v>4.0</v>
      </c>
      <c r="B6696" s="1" t="s">
        <v>6662</v>
      </c>
      <c r="C6696" t="str">
        <f>IFERROR(__xludf.DUMMYFUNCTION("GOOGLETRANSLATE(B6696, ""zh"", ""en"")"),"Small is really, really very general sound is generally sound right, did not feel female Okay.")</f>
        <v>Small is really, really very general sound is generally sound right, did not feel female Okay.</v>
      </c>
    </row>
    <row r="6697">
      <c r="A6697" s="1">
        <v>4.0</v>
      </c>
      <c r="B6697" s="1" t="s">
        <v>6663</v>
      </c>
      <c r="C6697" t="str">
        <f>IFERROR(__xludf.DUMMYFUNCTION("GOOGLETRANSLATE(B6697, ""zh"", ""en"")"),"comment 20 days at the end of the last day finally arrived wearing a G-shock compared to the somewhat delicate appearance before the plain features simple personal general price tendency not to pursue the classic look and feel tough and practical simplici"&amp;"ty of style")</f>
        <v>comment 20 days at the end of the last day finally arrived wearing a G-shock compared to the somewhat delicate appearance before the plain features simple personal general price tendency not to pursue the classic look and feel tough and practical simplicity of style</v>
      </c>
    </row>
    <row r="6698">
      <c r="A6698" s="1">
        <v>4.0</v>
      </c>
      <c r="B6698" s="1" t="s">
        <v>6664</v>
      </c>
      <c r="C6698" t="str">
        <f>IFERROR(__xludf.DUMMYFUNCTION("GOOGLETRANSLATE(B6698, ""zh"", ""en"")"),"Price was okay capacity, the price is cheaper than the network operators, but not the protection that comes with the package.")</f>
        <v>Price was okay capacity, the price is cheaper than the network operators, but not the protection that comes with the package.</v>
      </c>
    </row>
    <row r="6699">
      <c r="A6699" s="1">
        <v>5.0</v>
      </c>
      <c r="B6699" s="1" t="s">
        <v>6665</v>
      </c>
      <c r="C6699" t="str">
        <f>IFERROR(__xludf.DUMMYFUNCTION("GOOGLETRANSLATE(B6699, ""zh"", ""en"")"),"Good insulation almost every day now in use, the bottle is very insulation, daily breakfast, do not worry, I'm usually at night ready material in the pot after it poured into the bottle, the next morning is very hot, to cool for a while before they can ea"&amp;"t, so I am very satisfied.")</f>
        <v>Good insulation almost every day now in use, the bottle is very insulation, daily breakfast, do not worry, I'm usually at night ready material in the pot after it poured into the bottle, the next morning is very hot, to cool for a while before they can eat, so I am very satisfied.</v>
      </c>
    </row>
    <row r="6700">
      <c r="A6700" s="1">
        <v>5.0</v>
      </c>
      <c r="B6700" s="1" t="s">
        <v>6666</v>
      </c>
      <c r="C6700" t="str">
        <f>IFERROR(__xludf.DUMMYFUNCTION("GOOGLETRANSLATE(B6700, ""zh"", ""en"")"),"And purchasing abroad come back exactly the same as the shirt is very good, and buy exactly the same as foreign")</f>
        <v>And purchasing abroad come back exactly the same as the shirt is very good, and buy exactly the same as foreign</v>
      </c>
    </row>
    <row r="6701">
      <c r="A6701" s="1">
        <v>5.0</v>
      </c>
      <c r="B6701" s="1" t="s">
        <v>6667</v>
      </c>
      <c r="C6701" t="str">
        <f>IFERROR(__xludf.DUMMYFUNCTION("GOOGLETRANSLATE(B6701, ""zh"", ""en"")"),"well. Well, I bought a total of three, six boxes. Each seal bags boxes are good, as well as the damper box air bag. Shipping soon.")</f>
        <v>well. Well, I bought a total of three, six boxes. Each seal bags boxes are good, as well as the damper box air bag. Shipping soon.</v>
      </c>
    </row>
    <row r="6702">
      <c r="A6702" s="1">
        <v>5.0</v>
      </c>
      <c r="B6702" s="1" t="s">
        <v>6668</v>
      </c>
      <c r="C6702" t="str">
        <f>IFERROR(__xludf.DUMMYFUNCTION("GOOGLETRANSLATE(B6702, ""zh"", ""en"")"),"In line with expectations noise a little big, the other also")</f>
        <v>In line with expectations noise a little big, the other also</v>
      </c>
    </row>
    <row r="6703">
      <c r="A6703" s="1">
        <v>5.0</v>
      </c>
      <c r="B6703" s="1" t="s">
        <v>6669</v>
      </c>
      <c r="C6703" t="str">
        <f>IFERROR(__xludf.DUMMYFUNCTION("GOOGLETRANSLATE(B6703, ""zh"", ""en"")"),"Buying experience very satisfied with good quality fast delivery")</f>
        <v>Buying experience very satisfied with good quality fast delivery</v>
      </c>
    </row>
    <row r="6704">
      <c r="A6704" s="1">
        <v>5.0</v>
      </c>
      <c r="B6704" s="1" t="s">
        <v>6670</v>
      </c>
      <c r="C6704" t="str">
        <f>IFERROR(__xludf.DUMMYFUNCTION("GOOGLETRANSLATE(B6704, ""zh"", ""en"")"),"Japanese version of the clothes is very good clothes, suitable for Chinese people, according to the usual dress code number on it. The only downside is that the clothes some taste, packaging and transportation should be produced, it needs the sun.")</f>
        <v>Japanese version of the clothes is very good clothes, suitable for Chinese people, according to the usual dress code number on it. The only downside is that the clothes some taste, packaging and transportation should be produced, it needs the sun.</v>
      </c>
    </row>
    <row r="6705">
      <c r="A6705" s="1">
        <v>5.0</v>
      </c>
      <c r="B6705" s="1" t="s">
        <v>6671</v>
      </c>
      <c r="C6705" t="str">
        <f>IFERROR(__xludf.DUMMYFUNCTION("GOOGLETRANSLATE(B6705, ""zh"", ""en"")"),"Good quality. Colors look good, quality can be.")</f>
        <v>Good quality. Colors look good, quality can be.</v>
      </c>
    </row>
    <row r="6706">
      <c r="A6706" s="1">
        <v>5.0</v>
      </c>
      <c r="B6706" s="1" t="s">
        <v>6672</v>
      </c>
      <c r="C6706" t="str">
        <f>IFERROR(__xludf.DUMMYFUNCTION("GOOGLETRANSLATE(B6706, ""zh"", ""en"")"),"Satisfied with the waist belt 86, 85 of this size is just right, the cortex is thinner, more suitable for summer.")</f>
        <v>Satisfied with the waist belt 86, 85 of this size is just right, the cortex is thinner, more suitable for summer.</v>
      </c>
    </row>
    <row r="6707">
      <c r="A6707" s="1">
        <v>5.0</v>
      </c>
      <c r="B6707" s="1" t="s">
        <v>6673</v>
      </c>
      <c r="C6707" t="str">
        <f>IFERROR(__xludf.DUMMYFUNCTION("GOOGLETRANSLATE(B6707, ""zh"", ""en"")"),"Typical American flight jacket style clothes shipped directly from the United States, guaranteed to be authentic. Labor, material good, but the main zipper rough, as ykk fine. The main and ran to buy the brand, just from the work, expected that many domes"&amp;"tic imitation goods is not necessarily bad, or even worse. Buy is the classic version of the M-code, 176,75, Sleeve ok, Bust, Cuff is too large, upper extremity activities freely, without any restraint, to tighten the hem, Length compiled short, the typic"&amp;"al American flight jacket style.")</f>
        <v>Typical American flight jacket style clothes shipped directly from the United States, guaranteed to be authentic. Labor, material good, but the main zipper rough, as ykk fine. The main and ran to buy the brand, just from the work, expected that many domestic imitation goods is not necessarily bad, or even worse. Buy is the classic version of the M-code, 176,75, Sleeve ok, Bust, Cuff is too large, upper extremity activities freely, without any restraint, to tighten the hem, Length compiled short, the typical American flight jacket style.</v>
      </c>
    </row>
    <row r="6708">
      <c r="A6708" s="1">
        <v>5.0</v>
      </c>
      <c r="B6708" s="1" t="s">
        <v>6674</v>
      </c>
      <c r="C6708" t="str">
        <f>IFERROR(__xludf.DUMMYFUNCTION("GOOGLETRANSLATE(B6708, ""zh"", ""en"")"),"Simple and very good surface, good quality, value!")</f>
        <v>Simple and very good surface, good quality, value!</v>
      </c>
    </row>
    <row r="6709">
      <c r="A6709" s="1">
        <v>5.0</v>
      </c>
      <c r="B6709" s="1" t="s">
        <v>6675</v>
      </c>
      <c r="C6709" t="str">
        <f>IFERROR(__xludf.DUMMYFUNCTION("GOOGLETRANSLATE(B6709, ""zh"", ""en"")"),"Suitable solid close, solid fabric.")</f>
        <v>Suitable solid close, solid fabric.</v>
      </c>
    </row>
    <row r="6710">
      <c r="A6710" s="1">
        <v>5.0</v>
      </c>
      <c r="B6710" s="1" t="s">
        <v>6676</v>
      </c>
      <c r="C6710" t="str">
        <f>IFERROR(__xludf.DUMMYFUNCTION("GOOGLETRANSLATE(B6710, ""zh"", ""en"")"),"Good sound good sound quality, delivery time is slightly longer")</f>
        <v>Good sound good sound quality, delivery time is slightly longer</v>
      </c>
    </row>
    <row r="6711">
      <c r="A6711" s="1">
        <v>5.0</v>
      </c>
      <c r="B6711" s="1" t="s">
        <v>6677</v>
      </c>
      <c r="C6711" t="str">
        <f>IFERROR(__xludf.DUMMYFUNCTION("GOOGLETRANSLATE(B6711, ""zh"", ""en"")"),"Great, love! Bought the shoes with the money three years ago, is comfortable and look good, the quality is Leverage. Hand 703, though not very cheap, but very worth it!")</f>
        <v>Great, love! Bought the shoes with the money three years ago, is comfortable and look good, the quality is Leverage. Hand 703, though not very cheap, but very worth it!</v>
      </c>
    </row>
    <row r="6712">
      <c r="A6712" s="1">
        <v>5.0</v>
      </c>
      <c r="B6712" s="1" t="s">
        <v>6678</v>
      </c>
      <c r="C6712" t="str">
        <f>IFERROR(__xludf.DUMMYFUNCTION("GOOGLETRANSLATE(B6712, ""zh"", ""en"")"),"Very, very good, no taste, used to come to the evaluation, feeling overseas shopping is very convenient, the price can also, next will come back")</f>
        <v>Very, very good, no taste, used to come to the evaluation, feeling overseas shopping is very convenient, the price can also, next will come back</v>
      </c>
    </row>
    <row r="6713">
      <c r="A6713" s="1">
        <v>5.0</v>
      </c>
      <c r="B6713" s="1" t="s">
        <v>6679</v>
      </c>
      <c r="C6713" t="str">
        <f>IFERROR(__xludf.DUMMYFUNCTION("GOOGLETRANSLATE(B6713, ""zh"", ""en"")"),"Same as the original packaging well, a look that is no difference between genuine, and his first wife, transportation soon. Very satisfied")</f>
        <v>Same as the original packaging well, a look that is no difference between genuine, and his first wife, transportation soon. Very satisfied</v>
      </c>
    </row>
    <row r="6714">
      <c r="A6714" s="1">
        <v>5.0</v>
      </c>
      <c r="B6714" s="1" t="s">
        <v>6680</v>
      </c>
      <c r="C6714" t="str">
        <f>IFERROR(__xludf.DUMMYFUNCTION("GOOGLETRANSLATE(B6714, ""zh"", ""en"")"),"After a good choice to buy pants fabric work are good only downside is that it would price some back and forth to adjust the A depressed")</f>
        <v>After a good choice to buy pants fabric work are good only downside is that it would price some back and forth to adjust the A depressed</v>
      </c>
    </row>
    <row r="6715">
      <c r="A6715" s="1">
        <v>5.0</v>
      </c>
      <c r="B6715" s="1" t="s">
        <v>6681</v>
      </c>
      <c r="C6715" t="str">
        <f>IFERROR(__xludf.DUMMYFUNCTION("GOOGLETRANSLATE(B6715, ""zh"", ""en"")"),"Look good logistics fast tidal shoes looks good sea Amoy fast speed")</f>
        <v>Look good logistics fast tidal shoes looks good sea Amoy fast speed</v>
      </c>
    </row>
    <row r="6716">
      <c r="A6716" s="1">
        <v>5.0</v>
      </c>
      <c r="B6716" s="1" t="s">
        <v>6682</v>
      </c>
      <c r="C6716" t="str">
        <f>IFERROR(__xludf.DUMMYFUNCTION("GOOGLETRANSLATE(B6716, ""zh"", ""en"")"),"very good! Comfortable and affordable, easy to buy.")</f>
        <v>very good! Comfortable and affordable, easy to buy.</v>
      </c>
    </row>
    <row r="6717">
      <c r="A6717" s="1">
        <v>5.0</v>
      </c>
      <c r="B6717" s="1" t="s">
        <v>6683</v>
      </c>
      <c r="C6717" t="str">
        <f>IFERROR(__xludf.DUMMYFUNCTION("GOOGLETRANSLATE(B6717, ""zh"", ""en"")"),"Suitable comfortable very comfortable, very suitable to buy")</f>
        <v>Suitable comfortable very comfortable, very suitable to buy</v>
      </c>
    </row>
    <row r="6718">
      <c r="A6718" s="1">
        <v>5.0</v>
      </c>
      <c r="B6718" s="1" t="s">
        <v>6684</v>
      </c>
      <c r="C6718" t="str">
        <f>IFERROR(__xludf.DUMMYFUNCTION("GOOGLETRANSLATE(B6718, ""zh"", ""en"")"),"👌 second time to buy, good, satisfactory")</f>
        <v>👌 second time to buy, good, satisfactory</v>
      </c>
    </row>
    <row r="6719">
      <c r="A6719" s="1">
        <v>5.0</v>
      </c>
      <c r="B6719" s="1" t="s">
        <v>6685</v>
      </c>
      <c r="C6719" t="str">
        <f>IFERROR(__xludf.DUMMYFUNCTION("GOOGLETRANSLATE(B6719, ""zh"", ""en"")"),"Soft and comfortable shoes are very soft, comfortable, good feet look small")</f>
        <v>Soft and comfortable shoes are very soft, comfortable, good feet look small</v>
      </c>
    </row>
    <row r="6720">
      <c r="A6720" s="1">
        <v>2.0</v>
      </c>
      <c r="B6720" s="1" t="s">
        <v>6686</v>
      </c>
      <c r="C6720" t="str">
        <f>IFERROR(__xludf.DUMMYFUNCTION("GOOGLETRANSLATE(B6720, ""zh"", ""en"")"),"Products and publicity does not match the product promotion is serious doubt Schott glass is bought with the description does not match the WMF GLASS")</f>
        <v>Products and publicity does not match the product promotion is serious doubt Schott glass is bought with the description does not match the WMF GLASS</v>
      </c>
    </row>
    <row r="6721">
      <c r="A6721" s="1">
        <v>3.0</v>
      </c>
      <c r="B6721" s="1" t="s">
        <v>6687</v>
      </c>
      <c r="C6721" t="str">
        <f>IFERROR(__xludf.DUMMYFUNCTION("GOOGLETRANSLATE(B6721, ""zh"", ""en"")"),"Breaking bad jeans, super fade. Why do I get a bad hole? ! Wear for a long time only to find! 10 years of self Amazon first met, I used to think bad review are false, how do ah? We have applied for return, to see the refund situation. 1, do not buy black,"&amp;" fade super-serious, like black ink, much inferior in quality. 2,0 long length corresponding to the waist 26/30; 163/48, legs or body proportions suitable to buy a good long 3, a large spring force, fit at the waist, legs have rich loose, non-tight. 4, af"&amp;"ter-tax 225. PS: Why did so many people mention the comment fade serious problem, so what is this so cheap? But CK just a slight floating color ah ....")</f>
        <v>Breaking bad jeans, super fade. Why do I get a bad hole? ! Wear for a long time only to find! 10 years of self Amazon first met, I used to think bad review are false, how do ah? We have applied for return, to see the refund situation. 1, do not buy black, fade super-serious, like black ink, much inferior in quality. 2,0 long length corresponding to the waist 26/30; 163/48, legs or body proportions suitable to buy a good long 3, a large spring force, fit at the waist, legs have rich loose, non-tight. 4, after-tax 225. PS: Why did so many people mention the comment fade serious problem, so what is this so cheap? But CK just a slight floating color ah ....</v>
      </c>
    </row>
    <row r="6722">
      <c r="A6722" s="1">
        <v>3.0</v>
      </c>
      <c r="B6722" s="1" t="s">
        <v>6688</v>
      </c>
      <c r="C6722" t="str">
        <f>IFERROR(__xludf.DUMMYFUNCTION("GOOGLETRANSLATE(B6722, ""zh"", ""en"")"),"The color did not imagine thick very smooth, packaging is also not damaged, July 23 from No. orders, to No. 5 August, but why colors so pale? Like the Internet to see prismacolor not so pale. Soft core is not it? Light colors make me too happy")</f>
        <v>The color did not imagine thick very smooth, packaging is also not damaged, July 23 from No. orders, to No. 5 August, but why colors so pale? Like the Internet to see prismacolor not so pale. Soft core is not it? Light colors make me too happy</v>
      </c>
    </row>
    <row r="6723">
      <c r="A6723" s="1">
        <v>3.0</v>
      </c>
      <c r="B6723" s="1" t="s">
        <v>6689</v>
      </c>
      <c r="C6723" t="str">
        <f>IFERROR(__xludf.DUMMYFUNCTION("GOOGLETRANSLATE(B6723, ""zh"", ""en"")"),"Clothes too long long long long")</f>
        <v>Clothes too long long long long</v>
      </c>
    </row>
    <row r="6724">
      <c r="A6724" s="1">
        <v>1.0</v>
      </c>
      <c r="B6724" s="1" t="s">
        <v>6690</v>
      </c>
      <c r="C6724" t="str">
        <f>IFERROR(__xludf.DUMMYFUNCTION("GOOGLETRANSLATE(B6724, ""zh"", ""en"")"),"The first change annoyed brand shirt small number, the results of this election a comparable domestic M code code XL")</f>
        <v>The first change annoyed brand shirt small number, the results of this election a comparable domestic M code code XL</v>
      </c>
    </row>
    <row r="6725">
      <c r="A6725" s="1">
        <v>1.0</v>
      </c>
      <c r="B6725" s="1" t="s">
        <v>6691</v>
      </c>
      <c r="C6725" t="str">
        <f>IFERROR(__xludf.DUMMYFUNCTION("GOOGLETRANSLATE(B6725, ""zh"", ""en"")"),"The bleaching shopping really bad, this dress fade, yesterday to buy a washing put together another piece of light to the infected. . . . . Also within s label is feeling 165/84 and 170/92 as large domestic")</f>
        <v>The bleaching shopping really bad, this dress fade, yesterday to buy a washing put together another piece of light to the infected. . . . . Also within s label is feeling 165/84 and 170/92 as large domestic</v>
      </c>
    </row>
    <row r="6726">
      <c r="A6726" s="1">
        <v>1.0</v>
      </c>
      <c r="B6726" s="1" t="s">
        <v>6692</v>
      </c>
      <c r="C6726" t="str">
        <f>IFERROR(__xludf.DUMMYFUNCTION("GOOGLETRANSLATE(B6726, ""zh"", ""en"")"),"Poor, very poor! Simply spicy chicken, thousands of election and chose, but also the trust Amazon to buy, took less than two months the results start leaking! ! ! Really disappointed, I do not believe it!")</f>
        <v>Poor, very poor! Simply spicy chicken, thousands of election and chose, but also the trust Amazon to buy, took less than two months the results start leaking! ! ! Really disappointed, I do not believe it!</v>
      </c>
    </row>
    <row r="6727">
      <c r="A6727" s="1">
        <v>4.0</v>
      </c>
      <c r="B6727" s="1" t="s">
        <v>6693</v>
      </c>
      <c r="C6727" t="str">
        <f>IFERROR(__xludf.DUMMYFUNCTION("GOOGLETRANSLATE(B6727, ""zh"", ""en"")"),"When the packaging has been damaged boxes delivered damaged, no plastic, no extra boxes under the package, install only a bag, own well, give it away if unable to give as gifts. We hope to improve the packaging!")</f>
        <v>When the packaging has been damaged boxes delivered damaged, no plastic, no extra boxes under the package, install only a bag, own well, give it away if unable to give as gifts. We hope to improve the packaging!</v>
      </c>
    </row>
    <row r="6728">
      <c r="A6728" s="1">
        <v>4.0</v>
      </c>
      <c r="B6728" s="1" t="s">
        <v>6694</v>
      </c>
      <c r="C6728" t="str">
        <f>IFERROR(__xludf.DUMMYFUNCTION("GOOGLETRANSLATE(B6728, ""zh"", ""en"")"),"Sanei faucet metal water flow shower heads and rain very fine feeling good, poor water quality will not know how long to use")</f>
        <v>Sanei faucet metal water flow shower heads and rain very fine feeling good, poor water quality will not know how long to use</v>
      </c>
    </row>
    <row r="6729">
      <c r="A6729" s="1">
        <v>4.0</v>
      </c>
      <c r="B6729" s="1" t="s">
        <v>6695</v>
      </c>
      <c r="C6729" t="str">
        <f>IFERROR(__xludf.DUMMYFUNCTION("GOOGLETRANSLATE(B6729, ""zh"", ""en"")"),"Compared to the size of the domestic and size, large size 0.5-1 yards.")</f>
        <v>Compared to the size of the domestic and size, large size 0.5-1 yards.</v>
      </c>
    </row>
    <row r="6730">
      <c r="A6730" s="1">
        <v>4.0</v>
      </c>
      <c r="B6730" s="1" t="s">
        <v>6696</v>
      </c>
      <c r="C6730" t="str">
        <f>IFERROR(__xludf.DUMMYFUNCTION("GOOGLETRANSLATE(B6730, ""zh"", ""en"")"),"Stains comfortable shoes are very comfortable, but the vamp scratched, dirty soles, like a sample")</f>
        <v>Stains comfortable shoes are very comfortable, but the vamp scratched, dirty soles, like a sample</v>
      </c>
    </row>
    <row r="6731">
      <c r="A6731" s="1">
        <v>4.0</v>
      </c>
      <c r="B6731" s="1" t="s">
        <v>6697</v>
      </c>
      <c r="C6731" t="str">
        <f>IFERROR(__xludf.DUMMYFUNCTION("GOOGLETRANSLATE(B6731, ""zh"", ""en"")"),"Good clothes a little thin, did not imagine thick. Good version, suitable for Asian body, unlike European and American version so fat. Bimei expensive version")</f>
        <v>Good clothes a little thin, did not imagine thick. Good version, suitable for Asian body, unlike European and American version so fat. Bimei expensive version</v>
      </c>
    </row>
    <row r="6732">
      <c r="A6732" s="1">
        <v>5.0</v>
      </c>
      <c r="B6732" s="1" t="s">
        <v>6698</v>
      </c>
      <c r="C6732" t="str">
        <f>IFERROR(__xludf.DUMMYFUNCTION("GOOGLETRANSLATE(B6732, ""zh"", ""en"")"),"Cost pricey cost-effective, easy to color, not Japan's Mitsubishi refined workmanship, and no good Mark Renoir pen, bright colors, I used brown series, very good, here is this stroke")</f>
        <v>Cost pricey cost-effective, easy to color, not Japan's Mitsubishi refined workmanship, and no good Mark Renoir pen, bright colors, I used brown series, very good, here is this stroke</v>
      </c>
    </row>
    <row r="6733">
      <c r="A6733" s="1">
        <v>5.0</v>
      </c>
      <c r="B6733" s="1" t="s">
        <v>6699</v>
      </c>
      <c r="C6733" t="str">
        <f>IFERROR(__xludf.DUMMYFUNCTION("GOOGLETRANSLATE(B6733, ""zh"", ""en"")"),"Good shoes are very comfortable, good shoes")</f>
        <v>Good shoes are very comfortable, good shoes</v>
      </c>
    </row>
    <row r="6734">
      <c r="A6734" s="1">
        <v>5.0</v>
      </c>
      <c r="B6734" s="1" t="s">
        <v>6700</v>
      </c>
      <c r="C6734" t="str">
        <f>IFERROR(__xludf.DUMMYFUNCTION("GOOGLETRANSLATE(B6734, ""zh"", ""en"")"),"Right length directed at this brand to buy, good quality")</f>
        <v>Right length directed at this brand to buy, good quality</v>
      </c>
    </row>
    <row r="6735">
      <c r="A6735" s="1">
        <v>5.0</v>
      </c>
      <c r="B6735" s="1" t="s">
        <v>6701</v>
      </c>
      <c r="C6735" t="str">
        <f>IFERROR(__xludf.DUMMYFUNCTION("GOOGLETRANSLATE(B6735, ""zh"", ""en"")"),"Inexpensive spent more than a month, the machine is very good, buy this kind of appliances in Central Asia is really cheap, and therefore purchased a membership in Central Asia, in order to buy more imported goods.")</f>
        <v>Inexpensive spent more than a month, the machine is very good, buy this kind of appliances in Central Asia is really cheap, and therefore purchased a membership in Central Asia, in order to buy more imported goods.</v>
      </c>
    </row>
    <row r="6736">
      <c r="A6736" s="1">
        <v>5.0</v>
      </c>
      <c r="B6736" s="1" t="s">
        <v>6702</v>
      </c>
      <c r="C6736" t="str">
        <f>IFERROR(__xludf.DUMMYFUNCTION("GOOGLETRANSLATE(B6736, ""zh"", ""en"")"),"Solid and durable is very, very good baby. Very good, very strong feeling!")</f>
        <v>Solid and durable is very, very good baby. Very good, very strong feeling!</v>
      </c>
    </row>
    <row r="6737">
      <c r="A6737" s="1">
        <v>5.0</v>
      </c>
      <c r="B6737" s="1" t="s">
        <v>6703</v>
      </c>
      <c r="C6737" t="str">
        <f>IFERROR(__xludf.DUMMYFUNCTION("GOOGLETRANSLATE(B6737, ""zh"", ""en"")"),"It is like particularly good, handsome stylish, comfortable material, not the kind of hard feelings")</f>
        <v>It is like particularly good, handsome stylish, comfortable material, not the kind of hard feelings</v>
      </c>
    </row>
    <row r="6738">
      <c r="A6738" s="1">
        <v>5.0</v>
      </c>
      <c r="B6738" s="1" t="s">
        <v>6704</v>
      </c>
      <c r="C6738" t="str">
        <f>IFERROR(__xludf.DUMMYFUNCTION("GOOGLETRANSLATE(B6738, ""zh"", ""en"")"),"Light blue button, there is a good style strip mammoth, the birds will not hit the canvas is very thick volume, but relatively tight, clasp as good as the convenience of an elephant")</f>
        <v>Light blue button, there is a good style strip mammoth, the birds will not hit the canvas is very thick volume, but relatively tight, clasp as good as the convenience of an elephant</v>
      </c>
    </row>
    <row r="6739">
      <c r="A6739" s="1">
        <v>5.0</v>
      </c>
      <c r="B6739" s="1" t="s">
        <v>6705</v>
      </c>
      <c r="C6739" t="str">
        <f>IFERROR(__xludf.DUMMYFUNCTION("GOOGLETRANSLATE(B6739, ""zh"", ""en"")"),"Affordable, worth starting! Philippines production, packing everything good, very delicate, the key 150 into the left and right feel a good deal, because while the price of a few days to more than 200, while they come down like a roller coaster, overseas "&amp;"Amazon purchase price really not sure only look at every day, cheap start right away! Good sound quality, volume is slightly open around mid basically already hear the sound, it is like! Hope and durable!")</f>
        <v>Affordable, worth starting! Philippines production, packing everything good, very delicate, the key 150 into the left and right feel a good deal, because while the price of a few days to more than 200, while they come down like a roller coaster, overseas Amazon purchase price really not sure only look at every day, cheap start right away! Good sound quality, volume is slightly open around mid basically already hear the sound, it is like! Hope and durable!</v>
      </c>
    </row>
    <row r="6740">
      <c r="A6740" s="1">
        <v>5.0</v>
      </c>
      <c r="B6740" s="1" t="s">
        <v>6706</v>
      </c>
      <c r="C6740" t="str">
        <f>IFERROR(__xludf.DUMMYFUNCTION("GOOGLETRANSLATE(B6740, ""zh"", ""en"")"),"Like underwear color and style, the size of his family have been very, very at ease shopping experience in the Amazon sea Amoy really cool, always find something good")</f>
        <v>Like underwear color and style, the size of his family have been very, very at ease shopping experience in the Amazon sea Amoy really cool, always find something good</v>
      </c>
    </row>
    <row r="6741">
      <c r="A6741" s="1">
        <v>5.0</v>
      </c>
      <c r="B6741" s="1" t="s">
        <v>6707</v>
      </c>
      <c r="C6741" t="str">
        <f>IFERROR(__xludf.DUMMYFUNCTION("GOOGLETRANSLATE(B6741, ""zh"", ""en"")"),"Slim pants are very comfortable, size is very appropriate. Fat people are lean people hold live, I repurchased a.")</f>
        <v>Slim pants are very comfortable, size is very appropriate. Fat people are lean people hold live, I repurchased a.</v>
      </c>
    </row>
    <row r="6742">
      <c r="A6742" s="1">
        <v>5.0</v>
      </c>
      <c r="B6742" s="1" t="s">
        <v>6708</v>
      </c>
      <c r="C6742" t="str">
        <f>IFERROR(__xludf.DUMMYFUNCTION("GOOGLETRANSLATE(B6742, ""zh"", ""en"")"),"Yes! Good, very comfortable. 70 1 m, 68 kg, s just numbers.")</f>
        <v>Yes! Good, very comfortable. 70 1 m, 68 kg, s just numbers.</v>
      </c>
    </row>
    <row r="6743">
      <c r="A6743" s="1">
        <v>5.0</v>
      </c>
      <c r="B6743" s="1" t="s">
        <v>6709</v>
      </c>
      <c r="C6743" t="str">
        <f>IFERROR(__xludf.DUMMYFUNCTION("GOOGLETRANSLATE(B6743, ""zh"", ""en"")"),"movefree mother to buy, is self-goods. Previously asked others brought back from overseas. And compare before, it should be genuine. The new date is 2021. Paul does not eat fidelity point of view the effect of it, come back to the comments")</f>
        <v>movefree mother to buy, is self-goods. Previously asked others brought back from overseas. And compare before, it should be genuine. The new date is 2021. Paul does not eat fidelity point of view the effect of it, come back to the comments</v>
      </c>
    </row>
    <row r="6744">
      <c r="A6744" s="1">
        <v>5.0</v>
      </c>
      <c r="B6744" s="1" t="s">
        <v>6710</v>
      </c>
      <c r="C6744" t="str">
        <f>IFERROR(__xludf.DUMMYFUNCTION("GOOGLETRANSLATE(B6744, ""zh"", ""en"")"),"Cost is very high cost is very high, that is, no after-sale protection.")</f>
        <v>Cost is very high cost is very high, that is, no after-sale protection.</v>
      </c>
    </row>
    <row r="6745">
      <c r="A6745" s="1">
        <v>5.0</v>
      </c>
      <c r="B6745" s="1" t="s">
        <v>6711</v>
      </c>
      <c r="C6745" t="str">
        <f>IFERROR(__xludf.DUMMYFUNCTION("GOOGLETRANSLATE(B6745, ""zh"", ""en"")"),"Like the baby likes to eat, it is sometimes hold on, your baby is small it may be. Some a little hard, then soft spots may be better, or silicone are so?")</f>
        <v>Like the baby likes to eat, it is sometimes hold on, your baby is small it may be. Some a little hard, then soft spots may be better, or silicone are so?</v>
      </c>
    </row>
    <row r="6746">
      <c r="A6746" s="1">
        <v>5.0</v>
      </c>
      <c r="B6746" s="1" t="s">
        <v>6712</v>
      </c>
      <c r="C6746" t="str">
        <f>IFERROR(__xludf.DUMMYFUNCTION("GOOGLETRANSLATE(B6746, ""zh"", ""en"")"),"Good crotch can not afford to wear, very good to wear, in addition to color a little dark outside are good, next time choose a good color")</f>
        <v>Good crotch can not afford to wear, very good to wear, in addition to color a little dark outside are good, next time choose a good color</v>
      </c>
    </row>
    <row r="6747">
      <c r="A6747" s="1">
        <v>5.0</v>
      </c>
      <c r="B6747" s="1" t="s">
        <v>6713</v>
      </c>
      <c r="C6747" t="str">
        <f>IFERROR(__xludf.DUMMYFUNCTION("GOOGLETRANSLATE(B6747, ""zh"", ""en"")"),"Cost-effective material things very good, 183cm, 86kg, 34W * 32L just slightly Slim version of model, like the loose can be a little larger")</f>
        <v>Cost-effective material things very good, 183cm, 86kg, 34W * 32L just slightly Slim version of model, like the loose can be a little larger</v>
      </c>
    </row>
    <row r="6748">
      <c r="A6748" s="1">
        <v>5.0</v>
      </c>
      <c r="B6748" s="1" t="s">
        <v>6714</v>
      </c>
      <c r="C6748" t="str">
        <f>IFERROR(__xludf.DUMMYFUNCTION("GOOGLETRANSLATE(B6748, ""zh"", ""en"")"),"Great great to catch up with discount, plus tax just over 300 yuan, inexpensive. October production, shelf life to 2018.")</f>
        <v>Great great to catch up with discount, plus tax just over 300 yuan, inexpensive. October production, shelf life to 2018.</v>
      </c>
    </row>
    <row r="6749">
      <c r="A6749" s="1">
        <v>5.0</v>
      </c>
      <c r="B6749" s="1" t="s">
        <v>6715</v>
      </c>
      <c r="C6749" t="str">
        <f>IFERROR(__xludf.DUMMYFUNCTION("GOOGLETRANSLATE(B6749, ""zh"", ""en"")"),"Well 22.5cm foot, 36M somewhat long. Overall good, like, fast!")</f>
        <v>Well 22.5cm foot, 36M somewhat long. Overall good, like, fast!</v>
      </c>
    </row>
    <row r="6750">
      <c r="A6750" s="1">
        <v>5.0</v>
      </c>
      <c r="B6750" s="1" t="s">
        <v>6716</v>
      </c>
      <c r="C6750" t="str">
        <f>IFERROR(__xludf.DUMMYFUNCTION("GOOGLETRANSLATE(B6750, ""zh"", ""en"")"),"Easy to very good use and buy cheaper than domestic, but rest assured Bluetooth sound like a general")</f>
        <v>Easy to very good use and buy cheaper than domestic, but rest assured Bluetooth sound like a general</v>
      </c>
    </row>
    <row r="6751">
      <c r="A6751" s="1">
        <v>5.0</v>
      </c>
      <c r="B6751" s="1" t="s">
        <v>6717</v>
      </c>
      <c r="C6751" t="str">
        <f>IFERROR(__xludf.DUMMYFUNCTION("GOOGLETRANSLATE(B6751, ""zh"", ""en"")"),"Great product right size, satisfaction")</f>
        <v>Great product right size, satisfaction</v>
      </c>
    </row>
    <row r="6752">
      <c r="A6752" s="1">
        <v>5.0</v>
      </c>
      <c r="B6752" s="1" t="s">
        <v>6718</v>
      </c>
      <c r="C6752" t="str">
        <f>IFERROR(__xludf.DUMMYFUNCTION("GOOGLETRANSLATE(B6752, ""zh"", ""en"")"),"Other trousers too good to pretty good")</f>
        <v>Other trousers too good to pretty good</v>
      </c>
    </row>
    <row r="6753">
      <c r="A6753" s="1">
        <v>5.0</v>
      </c>
      <c r="B6753" s="1" t="s">
        <v>6719</v>
      </c>
      <c r="C6753" t="str">
        <f>IFERROR(__xludf.DUMMYFUNCTION("GOOGLETRANSLATE(B6753, ""zh"", ""en"")"),"Good good, oh, and as the United States and Asia.")</f>
        <v>Good good, oh, and as the United States and Asia.</v>
      </c>
    </row>
    <row r="6754">
      <c r="A6754" s="1">
        <v>2.0</v>
      </c>
      <c r="B6754" s="1" t="s">
        <v>6720</v>
      </c>
      <c r="C6754" t="str">
        <f>IFERROR(__xludf.DUMMYFUNCTION("GOOGLETRANSLATE(B6754, ""zh"", ""en"")"),"Quality rough! I am a girl to wear, buy the smallest code, the quality is really like a general, a little rough, not wear sweat, in short, uncomfortable! Wearing Chuosi me ......")</f>
        <v>Quality rough! I am a girl to wear, buy the smallest code, the quality is really like a general, a little rough, not wear sweat, in short, uncomfortable! Wearing Chuosi me ......</v>
      </c>
    </row>
    <row r="6755">
      <c r="A6755" s="1">
        <v>3.0</v>
      </c>
      <c r="B6755" s="1" t="s">
        <v>6721</v>
      </c>
      <c r="C6755" t="str">
        <f>IFERROR(__xludf.DUMMYFUNCTION("GOOGLETRANSLATE(B6755, ""zh"", ""en"")"),"The first wash fade serious color is very serious!")</f>
        <v>The first wash fade serious color is very serious!</v>
      </c>
    </row>
    <row r="6756">
      <c r="A6756" s="1">
        <v>3.0</v>
      </c>
      <c r="B6756" s="1" t="s">
        <v>6722</v>
      </c>
      <c r="C6756" t="str">
        <f>IFERROR(__xludf.DUMMYFUNCTION("GOOGLETRANSLATE(B6756, ""zh"", ""en"")"),"Simple packaging of goods have been received, goods can plug problem has not yet used. British-packaging is too simple, you just pack a layer of plastic bags across the oceans sent a box ...... opened it really is rotten! I do not know what ... it has gon"&amp;"e through in line to buy a converter plug. After the arrival see if you can use .........")</f>
        <v>Simple packaging of goods have been received, goods can plug problem has not yet used. British-packaging is too simple, you just pack a layer of plastic bags across the oceans sent a box ...... opened it really is rotten! I do not know what ... it has gone through in line to buy a converter plug. After the arrival see if you can use .........</v>
      </c>
    </row>
    <row r="6757">
      <c r="A6757" s="1">
        <v>3.0</v>
      </c>
      <c r="B6757" s="1" t="s">
        <v>6723</v>
      </c>
      <c r="C6757" t="str">
        <f>IFERROR(__xludf.DUMMYFUNCTION("GOOGLETRANSLATE(B6757, ""zh"", ""en"")"),"Bluetooth headset comfort noise reduction effect is not general. Sound quality is good, life is very long, long time will wear stuffy discomfort")</f>
        <v>Bluetooth headset comfort noise reduction effect is not general. Sound quality is good, life is very long, long time will wear stuffy discomfort</v>
      </c>
    </row>
    <row r="6758">
      <c r="A6758" s="1">
        <v>1.0</v>
      </c>
      <c r="B6758" s="1" t="s">
        <v>6724</v>
      </c>
      <c r="C6758" t="str">
        <f>IFERROR(__xludf.DUMMYFUNCTION("GOOGLETRANSLATE(B6758, ""zh"", ""en"")"),"Terrible transport packaging sets of plastic bags basic practice, I have put up, actually did not cover shoe cover to transport over, terrible, and made a slight shoes, but fortunately no major problems")</f>
        <v>Terrible transport packaging sets of plastic bags basic practice, I have put up, actually did not cover shoe cover to transport over, terrible, and made a slight shoes, but fortunately no major problems</v>
      </c>
    </row>
    <row r="6759">
      <c r="A6759" s="1">
        <v>1.0</v>
      </c>
      <c r="B6759" s="1" t="s">
        <v>6725</v>
      </c>
      <c r="C6759" t="str">
        <f>IFERROR(__xludf.DUMMYFUNCTION("GOOGLETRANSLATE(B6759, ""zh"", ""en"")"),"BOSS is also how the brand is not the same size XL XL buy many of them fit, but why this big lot. The return of overseas purchase very easy, but to pressure bottom up.")</f>
        <v>BOSS is also how the brand is not the same size XL XL buy many of them fit, but why this big lot. The return of overseas purchase very easy, but to pressure bottom up.</v>
      </c>
    </row>
    <row r="6760">
      <c r="A6760" s="1">
        <v>4.0</v>
      </c>
      <c r="B6760" s="1" t="s">
        <v>6726</v>
      </c>
      <c r="C6760" t="str">
        <f>IFERROR(__xludf.DUMMYFUNCTION("GOOGLETRANSLATE(B6760, ""zh"", ""en"")"),"Not wool machine turn the pot, not wool, is fleece, 207 start, will be a little obvious fat, like fuzzy bear, very warm")</f>
        <v>Not wool machine turn the pot, not wool, is fleece, 207 start, will be a little obvious fat, like fuzzy bear, very warm</v>
      </c>
    </row>
    <row r="6761">
      <c r="A6761" s="1">
        <v>4.0</v>
      </c>
      <c r="B6761" s="1" t="s">
        <v>6727</v>
      </c>
      <c r="C6761" t="str">
        <f>IFERROR(__xludf.DUMMYFUNCTION("GOOGLETRANSLATE(B6761, ""zh"", ""en"")"),"With domestic counter bid value for money with shoe size general store, fly in the ointment is a little flaw on the upper left foot. Short transit time to surprise, eight days into the hands of the very powerful.")</f>
        <v>With domestic counter bid value for money with shoe size general store, fly in the ointment is a little flaw on the upper left foot. Short transit time to surprise, eight days into the hands of the very powerful.</v>
      </c>
    </row>
    <row r="6762">
      <c r="A6762" s="1">
        <v>4.0</v>
      </c>
      <c r="B6762" s="1" t="s">
        <v>6728</v>
      </c>
      <c r="C6762" t="str">
        <f>IFERROR(__xludf.DUMMYFUNCTION("GOOGLETRANSLATE(B6762, ""zh"", ""en"")"),"Smooth writing pen, but with frequent use. Nib will occasionally storage")</f>
        <v>Smooth writing pen, but with frequent use. Nib will occasionally storage</v>
      </c>
    </row>
    <row r="6763">
      <c r="A6763" s="1">
        <v>4.0</v>
      </c>
      <c r="B6763" s="1" t="s">
        <v>6729</v>
      </c>
      <c r="C6763" t="str">
        <f>IFERROR(__xludf.DUMMYFUNCTION("GOOGLETRANSLATE(B6763, ""zh"", ""en"")"),"Process is poor poor workmanship, multi-thread, fabric thickness is not suitable for summer wear.")</f>
        <v>Process is poor poor workmanship, multi-thread, fabric thickness is not suitable for summer wear.</v>
      </c>
    </row>
    <row r="6764">
      <c r="A6764" s="1">
        <v>5.0</v>
      </c>
      <c r="B6764" s="1" t="s">
        <v>6730</v>
      </c>
      <c r="C6764" t="str">
        <f>IFERROR(__xludf.DUMMYFUNCTION("GOOGLETRANSLATE(B6764, ""zh"", ""en"")"),"Very comfortable fabric is very comfortable, very flexible, 170 LL No. buy, big, enough length, waist and belly places covered with very comfortable, not too thick, but very warm. Worth starting.")</f>
        <v>Very comfortable fabric is very comfortable, very flexible, 170 LL No. buy, big, enough length, waist and belly places covered with very comfortable, not too thick, but very warm. Worth starting.</v>
      </c>
    </row>
    <row r="6765">
      <c r="A6765" s="1">
        <v>5.0</v>
      </c>
      <c r="B6765" s="1" t="s">
        <v>6731</v>
      </c>
      <c r="C6765" t="str">
        <f>IFERROR(__xludf.DUMMYFUNCTION("GOOGLETRANSLATE(B6765, ""zh"", ""en"")"),"Be sure to use pure water is useful, is the need for transformers,")</f>
        <v>Be sure to use pure water is useful, is the need for transformers,</v>
      </c>
    </row>
    <row r="6766">
      <c r="A6766" s="1">
        <v>5.0</v>
      </c>
      <c r="B6766" s="1" t="s">
        <v>6732</v>
      </c>
      <c r="C6766" t="str">
        <f>IFERROR(__xludf.DUMMYFUNCTION("GOOGLETRANSLATE(B6766, ""zh"", ""en"")"),",,,, a very good watch, time is running very accurate")</f>
        <v>,,,, a very good watch, time is running very accurate</v>
      </c>
    </row>
    <row r="6767">
      <c r="A6767" s="1">
        <v>5.0</v>
      </c>
      <c r="B6767" s="1" t="s">
        <v>6733</v>
      </c>
      <c r="C6767" t="str">
        <f>IFERROR(__xludf.DUMMYFUNCTION("GOOGLETRANSLATE(B6767, ""zh"", ""en"")"),"Logistics fast, the US direct mail is genuine, the next single number March 17, 26, received a, very fast speed. About 100 cheaper than domestic, bottle should be genuine, very soft, fell not broken, there is a faint smell of silica gel (silica gel are no"&amp;"rmal with a touch of taste), good Q cute bottle, the baby likes. 😄😄")</f>
        <v>Logistics fast, the US direct mail is genuine, the next single number March 17, 26, received a, very fast speed. About 100 cheaper than domestic, bottle should be genuine, very soft, fell not broken, there is a faint smell of silica gel (silica gel are normal with a touch of taste), good Q cute bottle, the baby likes. 😄😄</v>
      </c>
    </row>
    <row r="6768">
      <c r="A6768" s="1">
        <v>5.0</v>
      </c>
      <c r="B6768" s="1" t="s">
        <v>6734</v>
      </c>
      <c r="C6768" t="str">
        <f>IFERROR(__xludf.DUMMYFUNCTION("GOOGLETRANSLATE(B6768, ""zh"", ""en"")"),"Very good quality of workmanship is very detailed, very good feeling to wear. Some slightly heavier than ordinary shoes. My problem is very easy to loosen the laces, shoelaces possible ways to me about it. . . .")</f>
        <v>Very good quality of workmanship is very detailed, very good feeling to wear. Some slightly heavier than ordinary shoes. My problem is very easy to loosen the laces, shoelaces possible ways to me about it. . . .</v>
      </c>
    </row>
    <row r="6769">
      <c r="A6769" s="1">
        <v>5.0</v>
      </c>
      <c r="B6769" s="1" t="s">
        <v>6735</v>
      </c>
      <c r="C6769" t="str">
        <f>IFERROR(__xludf.DUMMYFUNCTION("GOOGLETRANSLATE(B6769, ""zh"", ""en"")"),"Suitable codons pressure usually wear 41.5 feet or 42 yards, the integration of appropriate codon. Shoes very well. But people who wear high instep, tongue pressure will instep.")</f>
        <v>Suitable codons pressure usually wear 41.5 feet or 42 yards, the integration of appropriate codon. Shoes very well. But people who wear high instep, tongue pressure will instep.</v>
      </c>
    </row>
    <row r="6770">
      <c r="A6770" s="1">
        <v>5.0</v>
      </c>
      <c r="B6770" s="1" t="s">
        <v>6736</v>
      </c>
      <c r="C6770" t="str">
        <f>IFERROR(__xludf.DUMMYFUNCTION("GOOGLETRANSLATE(B6770, ""zh"", ""en"")"),"Pants are very fond of, this baby is very good.")</f>
        <v>Pants are very fond of, this baby is very good.</v>
      </c>
    </row>
    <row r="6771">
      <c r="A6771" s="1">
        <v>5.0</v>
      </c>
      <c r="B6771" s="1" t="s">
        <v>6737</v>
      </c>
      <c r="C6771" t="str">
        <f>IFERROR(__xludf.DUMMYFUNCTION("GOOGLETRANSLATE(B6771, ""zh"", ""en"")"),"Good quality and the right size to buy two very like")</f>
        <v>Good quality and the right size to buy two very like</v>
      </c>
    </row>
    <row r="6772">
      <c r="A6772" s="1">
        <v>5.0</v>
      </c>
      <c r="B6772" s="1" t="s">
        <v>6738</v>
      </c>
      <c r="C6772" t="str">
        <f>IFERROR(__xludf.DUMMYFUNCTION("GOOGLETRANSLATE(B6772, ""zh"", ""en"")"),"In line with good speed, speed class, self-image recovery software")</f>
        <v>In line with good speed, speed class, self-image recovery software</v>
      </c>
    </row>
    <row r="6773">
      <c r="A6773" s="1">
        <v>5.0</v>
      </c>
      <c r="B6773" s="1" t="s">
        <v>6739</v>
      </c>
      <c r="C6773" t="str">
        <f>IFERROR(__xludf.DUMMYFUNCTION("GOOGLETRANSLATE(B6773, ""zh"", ""en"")"),"Good quality of good quality, good price, number too large, usually buy clothes are 2XL, and bought a larger XL's no retreat, but also just bought a L")</f>
        <v>Good quality of good quality, good price, number too large, usually buy clothes are 2XL, and bought a larger XL's no retreat, but also just bought a L</v>
      </c>
    </row>
    <row r="6774">
      <c r="A6774" s="1">
        <v>5.0</v>
      </c>
      <c r="B6774" s="1" t="s">
        <v>6740</v>
      </c>
      <c r="C6774" t="str">
        <f>IFERROR(__xludf.DUMMYFUNCTION("GOOGLETRANSLATE(B6774, ""zh"", ""en"")"),"Good easy to use. Well, not from the previous evaluation, I do not know how many wasted points, points can change money now know, they should look carefully evaluated, then I put these words to copy to go, both to earn points, but also the easy way, where"&amp;" are copy where, most importantly, do not seriously review, do not think how much worse word, sent directly to it, recommend it to everyone!")</f>
        <v>Good easy to use. Well, not from the previous evaluation, I do not know how many wasted points, points can change money now know, they should look carefully evaluated, then I put these words to copy to go, both to earn points, but also the easy way, where are copy where, most importantly, do not seriously review, do not think how much worse word, sent directly to it, recommend it to everyone!</v>
      </c>
    </row>
    <row r="6775">
      <c r="A6775" s="1">
        <v>5.0</v>
      </c>
      <c r="B6775" s="1" t="s">
        <v>6741</v>
      </c>
      <c r="C6775" t="str">
        <f>IFERROR(__xludf.DUMMYFUNCTION("GOOGLETRANSLATE(B6775, ""zh"", ""en"")"),"Looks like a very good first overseas purchase, although slow, but still cheaper than the domestic duty-paid deduction, worth buying, to start the second Seagate")</f>
        <v>Looks like a very good first overseas purchase, although slow, but still cheaper than the domestic duty-paid deduction, worth buying, to start the second Seagate</v>
      </c>
    </row>
    <row r="6776">
      <c r="A6776" s="1">
        <v>5.0</v>
      </c>
      <c r="B6776" s="1" t="s">
        <v>6742</v>
      </c>
      <c r="C6776" t="str">
        <f>IFERROR(__xludf.DUMMYFUNCTION("GOOGLETRANSLATE(B6776, ""zh"", ""en"")"),"Good kind than the picture look good")</f>
        <v>Good kind than the picture look good</v>
      </c>
    </row>
    <row r="6777">
      <c r="A6777" s="1">
        <v>5.0</v>
      </c>
      <c r="B6777" s="1" t="s">
        <v>6743</v>
      </c>
      <c r="C6777" t="str">
        <f>IFERROR(__xludf.DUMMYFUNCTION("GOOGLETRANSLATE(B6777, ""zh"", ""en"")"),"Gospel fat 183 cm Weight 220 I wear this just, cotton feel good, within plus thin cashmere, unwashed do not know whether the fade.")</f>
        <v>Gospel fat 183 cm Weight 220 I wear this just, cotton feel good, within plus thin cashmere, unwashed do not know whether the fade.</v>
      </c>
    </row>
    <row r="6778">
      <c r="A6778" s="1">
        <v>5.0</v>
      </c>
      <c r="B6778" s="1" t="s">
        <v>6744</v>
      </c>
      <c r="C6778" t="str">
        <f>IFERROR(__xludf.DUMMYFUNCTION("GOOGLETRANSLATE(B6778, ""zh"", ""en"")"),"Size small fair quality, buy small size, height 172, weight 74, the code length s buy suitable, but too tight, substantially wrapped around")</f>
        <v>Size small fair quality, buy small size, height 172, weight 74, the code length s buy suitable, but too tight, substantially wrapped around</v>
      </c>
    </row>
    <row r="6779">
      <c r="A6779" s="1">
        <v>5.0</v>
      </c>
      <c r="B6779" s="1" t="s">
        <v>6745</v>
      </c>
      <c r="C6779" t="str">
        <f>IFERROR(__xludf.DUMMYFUNCTION("GOOGLETRANSLATE(B6779, ""zh"", ""en"")"),"Good looking and comfortable, domestic usually wear 37 yards, this code is bigger okay.")</f>
        <v>Good looking and comfortable, domestic usually wear 37 yards, this code is bigger okay.</v>
      </c>
    </row>
    <row r="6780">
      <c r="A6780" s="1">
        <v>5.0</v>
      </c>
      <c r="B6780" s="1" t="s">
        <v>6746</v>
      </c>
      <c r="C6780" t="str">
        <f>IFERROR(__xludf.DUMMYFUNCTION("GOOGLETRANSLATE(B6780, ""zh"", ""en"")"),"Calvin Underwear Cotton Classics 4 Pack Briefs Calvin Underwear Cotton Classics 4 Pack Briefs, comfortable to wear.")</f>
        <v>Calvin Underwear Cotton Classics 4 Pack Briefs Calvin Underwear Cotton Classics 4 Pack Briefs, comfortable to wear.</v>
      </c>
    </row>
    <row r="6781">
      <c r="A6781" s="1">
        <v>5.0</v>
      </c>
      <c r="B6781" s="1" t="s">
        <v>6747</v>
      </c>
      <c r="C6781" t="str">
        <f>IFERROR(__xludf.DUMMYFUNCTION("GOOGLETRANSLATE(B6781, ""zh"", ""en"")"),"Good very good now can not wear, to wait for caesarean section wound is completely healed to wear! Select size can be as small one yard, the month should fails to fit!")</f>
        <v>Good very good now can not wear, to wait for caesarean section wound is completely healed to wear! Select size can be as small one yard, the month should fails to fit!</v>
      </c>
    </row>
    <row r="6782">
      <c r="A6782" s="1">
        <v>5.0</v>
      </c>
      <c r="B6782" s="1" t="s">
        <v>6748</v>
      </c>
      <c r="C6782" t="str">
        <f>IFERROR(__xludf.DUMMYFUNCTION("GOOGLETRANSLATE(B6782, ""zh"", ""en"")"),"Tall and still very good quality, very comfortable fabric, texture, stylish")</f>
        <v>Tall and still very good quality, very comfortable fabric, texture, stylish</v>
      </c>
    </row>
    <row r="6783">
      <c r="A6783" s="1">
        <v>5.0</v>
      </c>
      <c r="B6783" s="1" t="s">
        <v>6749</v>
      </c>
      <c r="C6783" t="str">
        <f>IFERROR(__xludf.DUMMYFUNCTION("GOOGLETRANSLATE(B6783, ""zh"", ""en"")"),"Cost-effective good, very affordable, bought for his son's")</f>
        <v>Cost-effective good, very affordable, bought for his son's</v>
      </c>
    </row>
    <row r="6784">
      <c r="A6784" s="1">
        <v>5.0</v>
      </c>
      <c r="B6784" s="1" t="s">
        <v>6750</v>
      </c>
      <c r="C6784" t="str">
        <f>IFERROR(__xludf.DUMMYFUNCTION("GOOGLETRANSLATE(B6784, ""zh"", ""en"")"),"Shoes also good, the price is much cheaper than the store")</f>
        <v>Shoes also good, the price is much cheaper than the store</v>
      </c>
    </row>
    <row r="6785">
      <c r="A6785" s="1">
        <v>5.0</v>
      </c>
      <c r="B6785" s="1" t="s">
        <v>6751</v>
      </c>
      <c r="C6785" t="str">
        <f>IFERROR(__xludf.DUMMYFUNCTION("GOOGLETRANSLATE(B6785, ""zh"", ""en"")"),"How to care for cast iron pot with yet, but overseas import orders only three days to speed very fast, in order fried steak and Los deliberately chose, century-old brand, and so on and then used to append comments!")</f>
        <v>How to care for cast iron pot with yet, but overseas import orders only three days to speed very fast, in order fried steak and Los deliberately chose, century-old brand, and so on and then used to append comments!</v>
      </c>
    </row>
    <row r="6786">
      <c r="A6786" s="1">
        <v>2.0</v>
      </c>
      <c r="B6786" s="1" t="s">
        <v>6752</v>
      </c>
      <c r="C6786" t="str">
        <f>IFERROR(__xludf.DUMMYFUNCTION("GOOGLETRANSLATE(B6786, ""zh"", ""en"")"),"Why is a good model, gray than white much longer? Feeling he would not buy anymore. Exhausted.")</f>
        <v>Why is a good model, gray than white much longer? Feeling he would not buy anymore. Exhausted.</v>
      </c>
    </row>
    <row r="6787">
      <c r="A6787" s="1">
        <v>3.0</v>
      </c>
      <c r="B6787" s="1" t="s">
        <v>6753</v>
      </c>
      <c r="C6787" t="str">
        <f>IFERROR(__xludf.DUMMYFUNCTION("GOOGLETRANSLATE(B6787, ""zh"", ""en"")"),"A set of two containers, spike back. Seconds back, the price is very expensive! But relatively easy to use. But you can not set the wrong sets of scissors, scissors or else get out.")</f>
        <v>A set of two containers, spike back. Seconds back, the price is very expensive! But relatively easy to use. But you can not set the wrong sets of scissors, scissors or else get out.</v>
      </c>
    </row>
    <row r="6788">
      <c r="A6788" s="1">
        <v>3.0</v>
      </c>
      <c r="B6788" s="1" t="s">
        <v>6754</v>
      </c>
      <c r="C6788" t="str">
        <f>IFERROR(__xludf.DUMMYFUNCTION("GOOGLETRANSLATE(B6788, ""zh"", ""en"")"),"Really hard 168, weight 122, s proper code length is a little tight, material is really hard ...")</f>
        <v>Really hard 168, weight 122, s proper code length is a little tight, material is really hard ...</v>
      </c>
    </row>
    <row r="6789">
      <c r="A6789" s="1">
        <v>1.0</v>
      </c>
      <c r="B6789" s="1" t="s">
        <v>6755</v>
      </c>
      <c r="C6789" t="str">
        <f>IFERROR(__xludf.DUMMYFUNCTION("GOOGLETRANSLATE(B6789, ""zh"", ""en"")"),"Fake feeling is fake, it is a little bottom, there is no straw, especially to the poor, do not go into the baby's mouth to send, want to buy to consider it, sent from Zhenjiang, overseas shopping is not")</f>
        <v>Fake feeling is fake, it is a little bottom, there is no straw, especially to the poor, do not go into the baby's mouth to send, want to buy to consider it, sent from Zhenjiang, overseas shopping is not</v>
      </c>
    </row>
    <row r="6790">
      <c r="A6790" s="1">
        <v>1.0</v>
      </c>
      <c r="B6790" s="1" t="s">
        <v>6756</v>
      </c>
      <c r="C6790" t="str">
        <f>IFERROR(__xludf.DUMMYFUNCTION("GOOGLETRANSLATE(B6790, ""zh"", ""en"")"),"Poor quality clothes 👎 poor quality clothes, hair loss, washed several wade, or hair loss.")</f>
        <v>Poor quality clothes 👎 poor quality clothes, hair loss, washed several wade, or hair loss.</v>
      </c>
    </row>
    <row r="6791">
      <c r="A6791" s="1">
        <v>4.0</v>
      </c>
      <c r="B6791" s="1" t="s">
        <v>6757</v>
      </c>
      <c r="C6791" t="str">
        <f>IFERROR(__xludf.DUMMYFUNCTION("GOOGLETRANSLATE(B6791, ""zh"", ""en"")"),"Too nice, but too ......")</f>
        <v>Too nice, but too ......</v>
      </c>
    </row>
    <row r="6792">
      <c r="A6792" s="1">
        <v>4.0</v>
      </c>
      <c r="B6792" s="1" t="s">
        <v>6758</v>
      </c>
      <c r="C6792" t="str">
        <f>IFERROR(__xludf.DUMMYFUNCTION("GOOGLETRANSLATE(B6792, ""zh"", ""en"")"),"Size standard and used to buy badly, soft paste skin, upper body comfortable, is a bit thin fabric, generally estimated durability")</f>
        <v>Size standard and used to buy badly, soft paste skin, upper body comfortable, is a bit thin fabric, generally estimated durability</v>
      </c>
    </row>
    <row r="6793">
      <c r="A6793" s="1">
        <v>4.0</v>
      </c>
      <c r="B6793" s="1" t="s">
        <v>6759</v>
      </c>
      <c r="C6793" t="str">
        <f>IFERROR(__xludf.DUMMYFUNCTION("GOOGLETRANSLATE(B6793, ""zh"", ""en"")"),"lee and comparison with the size of other brands before bought another in the same size and waist and crotch a little bit thinner and are 34 * 32, but this back to a little thin, but also the crotch a little shallow, a little comfort experience a little l"&amp;"ess. But the color of pants or very good.")</f>
        <v>lee and comparison with the size of other brands before bought another in the same size and waist and crotch a little bit thinner and are 34 * 32, but this back to a little thin, but also the crotch a little shallow, a little comfort experience a little less. But the color of pants or very good.</v>
      </c>
    </row>
    <row r="6794">
      <c r="A6794" s="1">
        <v>4.0</v>
      </c>
      <c r="B6794" s="1" t="s">
        <v>6760</v>
      </c>
      <c r="C6794" t="str">
        <f>IFERROR(__xludf.DUMMYFUNCTION("GOOGLETRANSLATE(B6794, ""zh"", ""en"")"),"Easy to use. Work in general")</f>
        <v>Easy to use. Work in general</v>
      </c>
    </row>
    <row r="6795">
      <c r="A6795" s="1">
        <v>4.0</v>
      </c>
      <c r="B6795" s="1" t="s">
        <v>6761</v>
      </c>
      <c r="C6795" t="str">
        <f>IFERROR(__xludf.DUMMYFUNCTION("GOOGLETRANSLATE(B6795, ""zh"", ""en"")"),"Soft denim fabric is also good, very comfortable to wear, the sleeves a bit long ~")</f>
        <v>Soft denim fabric is also good, very comfortable to wear, the sleeves a bit long ~</v>
      </c>
    </row>
    <row r="6796">
      <c r="A6796" s="1">
        <v>5.0</v>
      </c>
      <c r="B6796" s="1" t="s">
        <v>6762</v>
      </c>
      <c r="C6796" t="str">
        <f>IFERROR(__xludf.DUMMYFUNCTION("GOOGLETRANSLATE(B6796, ""zh"", ""en"")"),"lamy 2000 and consistent with the expected election of the head ef, more suitable for everyday written in Chinese.")</f>
        <v>lamy 2000 and consistent with the expected election of the head ef, more suitable for everyday written in Chinese.</v>
      </c>
    </row>
    <row r="6797">
      <c r="A6797" s="1">
        <v>5.0</v>
      </c>
      <c r="B6797" s="1" t="s">
        <v>6763</v>
      </c>
      <c r="C6797" t="str">
        <f>IFERROR(__xludf.DUMMYFUNCTION("GOOGLETRANSLATE(B6797, ""zh"", ""en"")"),"Fashion choice, overseas shopping cheaper these shoes very red recent years, everywhere are wearing, I have bought six pairs, including to friends, relatives brought several pairs. Surprisingly lightweight shoes, memory foam soles, very comfortable, if ap"&amp;"propriate color to wear boys have no problem.")</f>
        <v>Fashion choice, overseas shopping cheaper these shoes very red recent years, everywhere are wearing, I have bought six pairs, including to friends, relatives brought several pairs. Surprisingly lightweight shoes, memory foam soles, very comfortable, if appropriate color to wear boys have no problem.</v>
      </c>
    </row>
    <row r="6798">
      <c r="A6798" s="1">
        <v>5.0</v>
      </c>
      <c r="B6798" s="1" t="s">
        <v>6764</v>
      </c>
      <c r="C6798" t="str">
        <f>IFERROR(__xludf.DUMMYFUNCTION("GOOGLETRANSLATE(B6798, ""zh"", ""en"")"),"Good clothes, Amazon overseas purchase very tricky fine, clothes size is also very suitable to buy a jacket and a shirt. Style is also very pretty, it is express a bit slow. Work really is not bad. Yes 👍")</f>
        <v>Good clothes, Amazon overseas purchase very tricky fine, clothes size is also very suitable to buy a jacket and a shirt. Style is also very pretty, it is express a bit slow. Work really is not bad. Yes 👍</v>
      </c>
    </row>
    <row r="6799">
      <c r="A6799" s="1">
        <v>5.0</v>
      </c>
      <c r="B6799" s="1" t="s">
        <v>6765</v>
      </c>
      <c r="C6799" t="str">
        <f>IFERROR(__xludf.DUMMYFUNCTION("GOOGLETRANSLATE(B6799, ""zh"", ""en"")"),"Good warm and comfortable ... although it will play a penalty, but overall very satisfied.")</f>
        <v>Good warm and comfortable ... although it will play a penalty, but overall very satisfied.</v>
      </c>
    </row>
    <row r="6800">
      <c r="A6800" s="1">
        <v>5.0</v>
      </c>
      <c r="B6800" s="1" t="s">
        <v>6766</v>
      </c>
      <c r="C6800" t="str">
        <f>IFERROR(__xludf.DUMMYFUNCTION("GOOGLETRANSLATE(B6800, ""zh"", ""en"")"),"You away from your dreams agents, and sent a pirate ship for the U disk 😎 feelings! Especially after seeing Bourne Identity but 😄😄 128G of 280 yuan hand or value for money, and now basically useless, network disk handy, U disk is estimated will soon be"&amp;"come history")</f>
        <v>You away from your dreams agents, and sent a pirate ship for the U disk 😎 feelings! Especially after seeing Bourne Identity but 😄😄 128G of 280 yuan hand or value for money, and now basically useless, network disk handy, U disk is estimated will soon become history</v>
      </c>
    </row>
    <row r="6801">
      <c r="A6801" s="1">
        <v>5.0</v>
      </c>
      <c r="B6801" s="1" t="s">
        <v>6767</v>
      </c>
      <c r="C6801" t="str">
        <f>IFERROR(__xludf.DUMMYFUNCTION("GOOGLETRANSLATE(B6801, ""zh"", ""en"")"),"The price is very affordable, compared to some diamond hard brush. The price is very affordable, but compared to diamond brush head really hard a bit, the overall cost is still possible.")</f>
        <v>The price is very affordable, compared to some diamond hard brush. The price is very affordable, but compared to diamond brush head really hard a bit, the overall cost is still possible.</v>
      </c>
    </row>
    <row r="6802">
      <c r="A6802" s="1">
        <v>5.0</v>
      </c>
      <c r="B6802" s="1" t="s">
        <v>6768</v>
      </c>
      <c r="C6802" t="str">
        <f>IFERROR(__xludf.DUMMYFUNCTION("GOOGLETRANSLATE(B6802, ""zh"", ""en"")"),"bwt detailed installation guide and then overflow wastewater pipeline installation and pipeline installation made clearer picture guidance, easy to install itself. In particular, this direct mail can not provide installation services of domestic products "&amp;"from abroad. Very compact, good for small spaces existing homes waterway improvements. For 3 room 2 room house due to the small resident population, the use of water to flush the toilet and other reasons, 10bio should be enough. bwt detailed installation "&amp;"guide and then overflow wastewater pipeline installation and pipeline installation made clearer picture guidance, easy to install itself. In particular, this direct mail can not provide installation services of domestic products from abroad. Currently, du"&amp;"e to the installation over the two should be very experienced. now, I have installed two bwt softeners, so have many experience.")</f>
        <v>bwt detailed installation guide and then overflow wastewater pipeline installation and pipeline installation made clearer picture guidance, easy to install itself. In particular, this direct mail can not provide installation services of domestic products from abroad. Very compact, good for small spaces existing homes waterway improvements. For 3 room 2 room house due to the small resident population, the use of water to flush the toilet and other reasons, 10bio should be enough. bwt detailed installation guide and then overflow wastewater pipeline installation and pipeline installation made clearer picture guidance, easy to install itself. In particular, this direct mail can not provide installation services of domestic products from abroad. Currently, due to the installation over the two should be very experienced. now, I have installed two bwt softeners, so have many experience.</v>
      </c>
    </row>
    <row r="6803">
      <c r="A6803" s="1">
        <v>5.0</v>
      </c>
      <c r="B6803" s="1" t="s">
        <v>6769</v>
      </c>
      <c r="C6803" t="str">
        <f>IFERROR(__xludf.DUMMYFUNCTION("GOOGLETRANSLATE(B6803, ""zh"", ""en"")"),"lamy2000 very good pen writing pen is very smooth, simple design, beautiful and generous")</f>
        <v>lamy2000 very good pen writing pen is very smooth, simple design, beautiful and generous</v>
      </c>
    </row>
    <row r="6804">
      <c r="A6804" s="1">
        <v>5.0</v>
      </c>
      <c r="B6804" s="1" t="s">
        <v>6770</v>
      </c>
      <c r="C6804" t="str">
        <f>IFERROR(__xludf.DUMMYFUNCTION("GOOGLETRANSLATE(B6804, ""zh"", ""en"")"),"Cheaper than domestic like father")</f>
        <v>Cheaper than domestic like father</v>
      </c>
    </row>
    <row r="6805">
      <c r="A6805" s="1">
        <v>5.0</v>
      </c>
      <c r="B6805" s="1" t="s">
        <v>6771</v>
      </c>
      <c r="C6805" t="str">
        <f>IFERROR(__xludf.DUMMYFUNCTION("GOOGLETRANSLATE(B6805, ""zh"", ""en"")"),"Pants pants size is very positive, is my favorite style, thick not suitable for summer wear")</f>
        <v>Pants pants size is very positive, is my favorite style, thick not suitable for summer wear</v>
      </c>
    </row>
    <row r="6806">
      <c r="A6806" s="1">
        <v>5.0</v>
      </c>
      <c r="B6806" s="1" t="s">
        <v>6772</v>
      </c>
      <c r="C6806" t="str">
        <f>IFERROR(__xludf.DUMMYFUNCTION("GOOGLETRANSLATE(B6806, ""zh"", ""en"")"),"G-Shock king of cost this may be a G-Shock wave energy cheapest of Table advantages: 1. great appearance, full metal circular frame 2. The light wave texture is very good 3. Applicability black gold color handsome 4. Casio table, very bright luminous qual"&amp;"ity 5. 6. Needless to say, etc. Cons: 1. 2. the warranty can not be at home no fluorescence meter scale (but at such an affordable price, these shortcomings is nothing)")</f>
        <v>G-Shock king of cost this may be a G-Shock wave energy cheapest of Table advantages: 1. great appearance, full metal circular frame 2. The light wave texture is very good 3. Applicability black gold color handsome 4. Casio table, very bright luminous quality 5. 6. Needless to say, etc. Cons: 1. 2. the warranty can not be at home no fluorescence meter scale (but at such an affordable price, these shortcomings is nothing)</v>
      </c>
    </row>
    <row r="6807">
      <c r="A6807" s="1">
        <v>5.0</v>
      </c>
      <c r="B6807" s="1" t="s">
        <v>6773</v>
      </c>
      <c r="C6807" t="str">
        <f>IFERROR(__xludf.DUMMYFUNCTION("GOOGLETRANSLATE(B6807, ""zh"", ""en"")"),"The quality and size 3 brand purchased M consecutive symbols pants, two thin front 110 are long (longer length), this last long velvet 106 most appropriate.")</f>
        <v>The quality and size 3 brand purchased M consecutive symbols pants, two thin front 110 are long (longer length), this last long velvet 106 most appropriate.</v>
      </c>
    </row>
    <row r="6808">
      <c r="A6808" s="1">
        <v>5.0</v>
      </c>
      <c r="B6808" s="1" t="s">
        <v>6774</v>
      </c>
      <c r="C6808" t="str">
        <f>IFERROR(__xludf.DUMMYFUNCTION("GOOGLETRANSLATE(B6808, ""zh"", ""en"")"),"A very good stereo Bluetooth wireless headset with a period of time is very good, the same price that no other can be comparable with the headset, high school bass are very good, especially around the body three-dimensional clear! recommend! 👍")</f>
        <v>A very good stereo Bluetooth wireless headset with a period of time is very good, the same price that no other can be comparable with the headset, high school bass are very good, especially around the body three-dimensional clear! recommend! 👍</v>
      </c>
    </row>
    <row r="6809">
      <c r="A6809" s="1">
        <v>5.0</v>
      </c>
      <c r="B6809" s="1" t="s">
        <v>6775</v>
      </c>
      <c r="C6809" t="str">
        <f>IFERROR(__xludf.DUMMYFUNCTION("GOOGLETRANSLATE(B6809, ""zh"", ""en"")"),"Very satisfied with the shopping labeling female models, I feel more neutral, usually on their own under a single shoe, 255 feet long, just 40 election, it has been uneasy when not received, satisfied after the hand, can still cost more than eight points "&amp;", but my feet a little fat, a little tight, others are good genuine")</f>
        <v>Very satisfied with the shopping labeling female models, I feel more neutral, usually on their own under a single shoe, 255 feet long, just 40 election, it has been uneasy when not received, satisfied after the hand, can still cost more than eight points , but my feet a little fat, a little tight, others are good genuine</v>
      </c>
    </row>
    <row r="6810">
      <c r="A6810" s="1">
        <v>5.0</v>
      </c>
      <c r="B6810" s="1" t="s">
        <v>6776</v>
      </c>
      <c r="C6810" t="str">
        <f>IFERROR(__xludf.DUMMYFUNCTION("GOOGLETRANSLATE(B6810, ""zh"", ""en"")"),"Comfort to the family to buy, wear very good, really like, the future will have the right to buy.")</f>
        <v>Comfort to the family to buy, wear very good, really like, the future will have the right to buy.</v>
      </c>
    </row>
    <row r="6811">
      <c r="A6811" s="1">
        <v>5.0</v>
      </c>
      <c r="B6811" s="1" t="s">
        <v>6777</v>
      </c>
      <c r="C6811" t="str">
        <f>IFERROR(__xludf.DUMMYFUNCTION("GOOGLETRANSLATE(B6811, ""zh"", ""en"")"),"Small to set aside a long wallet, umbrella, one of India's 480 ml mug. Work is good, still a little small, then big points better.")</f>
        <v>Small to set aside a long wallet, umbrella, one of India's 480 ml mug. Work is good, still a little small, then big points better.</v>
      </c>
    </row>
    <row r="6812">
      <c r="A6812" s="1">
        <v>5.0</v>
      </c>
      <c r="B6812" s="1" t="s">
        <v>6778</v>
      </c>
      <c r="C6812" t="str">
        <f>IFERROR(__xludf.DUMMYFUNCTION("GOOGLETRANSLATE(B6812, ""zh"", ""en"")"),"Fit thin section, height 173, weight 73kg, wearing a fitted, very soft and comfortable")</f>
        <v>Fit thin section, height 173, weight 73kg, wearing a fitted, very soft and comfortable</v>
      </c>
    </row>
    <row r="6813">
      <c r="A6813" s="1">
        <v>5.0</v>
      </c>
      <c r="B6813" s="1" t="s">
        <v>6779</v>
      </c>
      <c r="C6813" t="str">
        <f>IFERROR(__xludf.DUMMYFUNCTION("GOOGLETRANSLATE(B6813, ""zh"", ""en"")"),"Good children like good cup handy")</f>
        <v>Good children like good cup handy</v>
      </c>
    </row>
    <row r="6814">
      <c r="A6814" s="1">
        <v>5.0</v>
      </c>
      <c r="B6814" s="1" t="s">
        <v>6780</v>
      </c>
      <c r="C6814" t="str">
        <f>IFERROR(__xludf.DUMMYFUNCTION("GOOGLETRANSLATE(B6814, ""zh"", ""en"")"),"Amazon reliable quality assurance, cost-effective, Amazon trustworthy, customer service staff in place, shopping tracking service, intimate care, happy shopping.")</f>
        <v>Amazon reliable quality assurance, cost-effective, Amazon trustworthy, customer service staff in place, shopping tracking service, intimate care, happy shopping.</v>
      </c>
    </row>
    <row r="6815">
      <c r="A6815" s="1">
        <v>5.0</v>
      </c>
      <c r="B6815" s="1" t="s">
        <v>6781</v>
      </c>
      <c r="C6815" t="str">
        <f>IFERROR(__xludf.DUMMYFUNCTION("GOOGLETRANSLATE(B6815, ""zh"", ""en"")"),"Set cost-effective, affordable, quality is also very good.")</f>
        <v>Set cost-effective, affordable, quality is also very good.</v>
      </c>
    </row>
    <row r="6816">
      <c r="A6816" s="1">
        <v>5.0</v>
      </c>
      <c r="B6816" s="1" t="s">
        <v>6782</v>
      </c>
      <c r="C6816" t="str">
        <f>IFERROR(__xludf.DUMMYFUNCTION("GOOGLETRANSLATE(B6816, ""zh"", ""en"")"),"Like simple black and white surface, pure black strap, summer daily life waterproof, do not wash their hands removed, convenient, simple and affordable.")</f>
        <v>Like simple black and white surface, pure black strap, summer daily life waterproof, do not wash their hands removed, convenient, simple and affordable.</v>
      </c>
    </row>
    <row r="6817">
      <c r="A6817" s="1">
        <v>5.0</v>
      </c>
      <c r="B6817" s="1" t="s">
        <v>6783</v>
      </c>
      <c r="C6817" t="str">
        <f>IFERROR(__xludf.DUMMYFUNCTION("GOOGLETRANSLATE(B6817, ""zh"", ""en"")"),"Very good also good, very good use")</f>
        <v>Very good also good, very good use</v>
      </c>
    </row>
    <row r="6818">
      <c r="A6818" s="1">
        <v>2.0</v>
      </c>
      <c r="B6818" s="1" t="s">
        <v>6784</v>
      </c>
      <c r="C6818" t="str">
        <f>IFERROR(__xludf.DUMMYFUNCTION("GOOGLETRANSLATE(B6818, ""zh"", ""en"")"),"Straw taste too, children do not want to use fast delivery, Kusakabe single September, Hong Kong shipping, September 22 received a. But too low-grade silicone for straws, and a smell, children do not want to eat. They are unable to return the used. Lateco"&amp;"mer orders need to be cautious.")</f>
        <v>Straw taste too, children do not want to use fast delivery, Kusakabe single September, Hong Kong shipping, September 22 received a. But too low-grade silicone for straws, and a smell, children do not want to eat. They are unable to return the used. Latecomer orders need to be cautious.</v>
      </c>
    </row>
    <row r="6819">
      <c r="A6819" s="1">
        <v>3.0</v>
      </c>
      <c r="B6819" s="1" t="s">
        <v>6785</v>
      </c>
      <c r="C6819" t="str">
        <f>IFERROR(__xludf.DUMMYFUNCTION("GOOGLETRANSLATE(B6819, ""zh"", ""en"")"),"Bad stretch is not recommended, fall down, very general, shelved a waste")</f>
        <v>Bad stretch is not recommended, fall down, very general, shelved a waste</v>
      </c>
    </row>
    <row r="6820">
      <c r="A6820" s="1">
        <v>1.0</v>
      </c>
      <c r="B6820" s="1" t="s">
        <v>6786</v>
      </c>
      <c r="C6820" t="str">
        <f>IFERROR(__xludf.DUMMYFUNCTION("GOOGLETRANSLATE(B6820, ""zh"", ""en"")"),"There are serious quality problems, careful to buy. After wearing the week the belt surface that is now broken, it can be said to be very regret.")</f>
        <v>There are serious quality problems, careful to buy. After wearing the week the belt surface that is now broken, it can be said to be very regret.</v>
      </c>
    </row>
    <row r="6821">
      <c r="A6821" s="1">
        <v>1.0</v>
      </c>
      <c r="B6821" s="1" t="s">
        <v>6787</v>
      </c>
      <c r="C6821" t="str">
        <f>IFERROR(__xludf.DUMMYFUNCTION("GOOGLETRANSLATE(B6821, ""zh"", ""en"")"),"Giant multi-thread, open line up in some places. Ah poor quality height 176, M suitable. Giant multi-thread, open line up in some places. Poor quality ah")</f>
        <v>Giant multi-thread, open line up in some places. Ah poor quality height 176, M suitable. Giant multi-thread, open line up in some places. Poor quality ah</v>
      </c>
    </row>
    <row r="6822">
      <c r="A6822" s="1">
        <v>1.0</v>
      </c>
      <c r="B6822" s="1" t="s">
        <v>6788</v>
      </c>
      <c r="C6822" t="str">
        <f>IFERROR(__xludf.DUMMYFUNCTION("GOOGLETRANSLATE(B6822, ""zh"", ""en"")"),"Not worth the price logistics is too slow, it dragged on for a long time, very easy to use. But also with transformer trouble. A lot more expensive")</f>
        <v>Not worth the price logistics is too slow, it dragged on for a long time, very easy to use. But also with transformer trouble. A lot more expensive</v>
      </c>
    </row>
    <row r="6823">
      <c r="A6823" s="1">
        <v>4.0</v>
      </c>
      <c r="B6823" s="1" t="s">
        <v>6789</v>
      </c>
      <c r="C6823" t="str">
        <f>IFERROR(__xludf.DUMMYFUNCTION("GOOGLETRANSLATE(B6823, ""zh"", ""en"")"),"Packaging and packaging process arrive sides are open, speechless. Brush okay, 17 November production")</f>
        <v>Packaging and packaging process arrive sides are open, speechless. Brush okay, 17 November production</v>
      </c>
    </row>
    <row r="6824">
      <c r="A6824" s="1">
        <v>4.0</v>
      </c>
      <c r="B6824" s="1" t="s">
        <v>6790</v>
      </c>
      <c r="C6824" t="str">
        <f>IFERROR(__xludf.DUMMYFUNCTION("GOOGLETRANSLATE(B6824, ""zh"", ""en"")"),"My first big ears, the other better, but fully enclosed so the ear clip with a little bit longer, dizziness, ear pain; I was drunk.")</f>
        <v>My first big ears, the other better, but fully enclosed so the ear clip with a little bit longer, dizziness, ear pain; I was drunk.</v>
      </c>
    </row>
    <row r="6825">
      <c r="A6825" s="1">
        <v>4.0</v>
      </c>
      <c r="B6825" s="1" t="s">
        <v>6791</v>
      </c>
      <c r="C6825" t="str">
        <f>IFERROR(__xludf.DUMMYFUNCTION("GOOGLETRANSLATE(B6825, ""zh"", ""en"")"),"Good clothes fit, my husband 180 height, weight 80 to wear this little freshman yards slightly, but looks very good, the only drawback little hair loss")</f>
        <v>Good clothes fit, my husband 180 height, weight 80 to wear this little freshman yards slightly, but looks very good, the only drawback little hair loss</v>
      </c>
    </row>
    <row r="6826">
      <c r="A6826" s="1">
        <v>4.0</v>
      </c>
      <c r="B6826" s="1" t="s">
        <v>6792</v>
      </c>
      <c r="C6826" t="str">
        <f>IFERROR(__xludf.DUMMYFUNCTION("GOOGLETRANSLATE(B6826, ""zh"", ""en"")"),"Writing smooth, smooth writing, good price, cheap, is not in use after a period of time, there will pen ink oozing, dirty cap and pen grip")</f>
        <v>Writing smooth, smooth writing, good price, cheap, is not in use after a period of time, there will pen ink oozing, dirty cap and pen grip</v>
      </c>
    </row>
    <row r="6827">
      <c r="A6827" s="1">
        <v>4.0</v>
      </c>
      <c r="B6827" s="1" t="s">
        <v>6793</v>
      </c>
      <c r="C6827" t="str">
        <f>IFERROR(__xludf.DUMMYFUNCTION("GOOGLETRANSLATE(B6827, ""zh"", ""en"")"),"A table is not bad courier, although at the time of reservation to, but then, I should have looked at the order tracking is to hand. Dial the picture is undated, but then get the hand is dated, but I still prefer the date, be a little surprise for you. Wo"&amp;"rking good, smaller than imagined dial a number, but it's really quite easy to scratch, to use two or three days was hanging out one, cups ,, All in all, the price point of view, it is a good watch, hope We can be more than a few years.")</f>
        <v>A table is not bad courier, although at the time of reservation to, but then, I should have looked at the order tracking is to hand. Dial the picture is undated, but then get the hand is dated, but I still prefer the date, be a little surprise for you. Working good, smaller than imagined dial a number, but it's really quite easy to scratch, to use two or three days was hanging out one, cups ,, All in all, the price point of view, it is a good watch, hope We can be more than a few years.</v>
      </c>
    </row>
    <row r="6828">
      <c r="A6828" s="1">
        <v>5.0</v>
      </c>
      <c r="B6828" s="1" t="s">
        <v>6794</v>
      </c>
      <c r="C6828" t="str">
        <f>IFERROR(__xludf.DUMMYFUNCTION("GOOGLETRANSLATE(B6828, ""zh"", ""en"")"),"Very satisfied with the time to buy 8 installed actually the cheapest, amazing price for Oral-B electric toothbrush")</f>
        <v>Very satisfied with the time to buy 8 installed actually the cheapest, amazing price for Oral-B electric toothbrush</v>
      </c>
    </row>
    <row r="6829">
      <c r="A6829" s="1">
        <v>5.0</v>
      </c>
      <c r="B6829" s="1" t="s">
        <v>6795</v>
      </c>
      <c r="C6829" t="str">
        <f>IFERROR(__xludf.DUMMYFUNCTION("GOOGLETRANSLATE(B6829, ""zh"", ""en"")"),"Standard shorter good, very good quality, sealed packaging, express delivery is also very fast. The downside is that the standard version of the 21k pen body a little bit short, the proposal directly on the large big hands")</f>
        <v>Standard shorter good, very good quality, sealed packaging, express delivery is also very fast. The downside is that the standard version of the 21k pen body a little bit short, the proposal directly on the large big hands</v>
      </c>
    </row>
    <row r="6830">
      <c r="A6830" s="1">
        <v>5.0</v>
      </c>
      <c r="B6830" s="1" t="s">
        <v>6796</v>
      </c>
      <c r="C6830" t="str">
        <f>IFERROR(__xludf.DUMMYFUNCTION("GOOGLETRANSLATE(B6830, ""zh"", ""en"")"),"Satisfied with the right size, good workmanship, compassionate often money.")</f>
        <v>Satisfied with the right size, good workmanship, compassionate often money.</v>
      </c>
    </row>
    <row r="6831">
      <c r="A6831" s="1">
        <v>5.0</v>
      </c>
      <c r="B6831" s="1" t="s">
        <v>6797</v>
      </c>
      <c r="C6831" t="str">
        <f>IFERROR(__xludf.DUMMYFUNCTION("GOOGLETRANSLATE(B6831, ""zh"", ""en"")"),"Good 180cm 72kg L code, just the shoulder is a little long")</f>
        <v>Good 180cm 72kg L code, just the shoulder is a little long</v>
      </c>
    </row>
    <row r="6832">
      <c r="A6832" s="1">
        <v>5.0</v>
      </c>
      <c r="B6832" s="1" t="s">
        <v>6798</v>
      </c>
      <c r="C6832" t="str">
        <f>IFERROR(__xludf.DUMMYFUNCTION("GOOGLETRANSLATE(B6832, ""zh"", ""en"")"),"Good headphones pot of 100 hours, the sound quality is very good, $ 400 headset has no rival.")</f>
        <v>Good headphones pot of 100 hours, the sound quality is very good, $ 400 headset has no rival.</v>
      </c>
    </row>
    <row r="6833">
      <c r="A6833" s="1">
        <v>5.0</v>
      </c>
      <c r="B6833" s="1" t="s">
        <v>6799</v>
      </c>
      <c r="C6833" t="str">
        <f>IFERROR(__xludf.DUMMYFUNCTION("GOOGLETRANSLATE(B6833, ""zh"", ""en"")"),"Product is very good, in line with expectations liked so compact intelligent watches, durability has not been tested, hope to long-term use. Anti-significant not in the habit")</f>
        <v>Product is very good, in line with expectations liked so compact intelligent watches, durability has not been tested, hope to long-term use. Anti-significant not in the habit</v>
      </c>
    </row>
    <row r="6834">
      <c r="A6834" s="1">
        <v>5.0</v>
      </c>
      <c r="B6834" s="1" t="s">
        <v>6800</v>
      </c>
      <c r="C6834" t="str">
        <f>IFERROR(__xludf.DUMMYFUNCTION("GOOGLETRANSLATE(B6834, ""zh"", ""en"")"),"Before very good value to buy a pen in the Amazon root Schneider BK402, excellent feel and appalling pen work as impressive, although as a writing tool has been enough, but added, after all, should be put out of use, there is a look at the last appearance"&amp;" is also very important, just taking advantage of the double eleven activities to buy Schneider do this with BASE, at first glance, very Ling Meifan children, it feels too Ling and friends of the United States safari similar, but the price is only Ling th"&amp;"e United States and one-third, if you count Offers, only a quarter of the price of the US Ling ... Ling US two years of speculation almost everywhere, as a writing tool is no longer cost-effective high, and too many fakes. In short, base is an affordable,"&amp;" beautiful appearance, writing feel good, the high cost of a pen.")</f>
        <v>Before very good value to buy a pen in the Amazon root Schneider BK402, excellent feel and appalling pen work as impressive, although as a writing tool has been enough, but added, after all, should be put out of use, there is a look at the last appearance is also very important, just taking advantage of the double eleven activities to buy Schneider do this with BASE, at first glance, very Ling Meifan children, it feels too Ling and friends of the United States safari similar, but the price is only Ling the United States and one-third, if you count Offers, only a quarter of the price of the US Ling ... Ling US two years of speculation almost everywhere, as a writing tool is no longer cost-effective high, and too many fakes. In short, base is an affordable, beautiful appearance, writing feel good, the high cost of a pen.</v>
      </c>
    </row>
    <row r="6835">
      <c r="A6835" s="1">
        <v>5.0</v>
      </c>
      <c r="B6835" s="1" t="s">
        <v>6801</v>
      </c>
      <c r="C6835" t="str">
        <f>IFERROR(__xludf.DUMMYFUNCTION("GOOGLETRANSLATE(B6835, ""zh"", ""en"")"),"Inexpensive, very satisfied quite satisfied. 164,60kg, M code is appropriate. The sleeves a bit long, after all, not Europeans and Americans. The price is right, plus shipping costs less than 450. Satisfied.")</f>
        <v>Inexpensive, very satisfied quite satisfied. 164,60kg, M code is appropriate. The sleeves a bit long, after all, not Europeans and Americans. The price is right, plus shipping costs less than 450. Satisfied.</v>
      </c>
    </row>
    <row r="6836">
      <c r="A6836" s="1">
        <v>5.0</v>
      </c>
      <c r="B6836" s="1" t="s">
        <v>6802</v>
      </c>
      <c r="C6836" t="str">
        <f>IFERROR(__xludf.DUMMYFUNCTION("GOOGLETRANSLATE(B6836, ""zh"", ""en"")"),"Good good I am 173cm, 74Kg, wear M (40) Waist Shoulder just right, very fit, to buy a friend a reference.")</f>
        <v>Good good I am 173cm, 74Kg, wear M (40) Waist Shoulder just right, very fit, to buy a friend a reference.</v>
      </c>
    </row>
    <row r="6837">
      <c r="A6837" s="1">
        <v>5.0</v>
      </c>
      <c r="B6837" s="1" t="s">
        <v>6803</v>
      </c>
      <c r="C6837" t="str">
        <f>IFERROR(__xludf.DUMMYFUNCTION("GOOGLETRANSLATE(B6837, ""zh"", ""en"")"),"Very successful first overseas purchase brand sports shoes, than those of similar products on the domestic market does not know better on how good! My feet long 240CM to buy is the US code of 5-5.5. Size is very fit.")</f>
        <v>Very successful first overseas purchase brand sports shoes, than those of similar products on the domestic market does not know better on how good! My feet long 240CM to buy is the US code of 5-5.5. Size is very fit.</v>
      </c>
    </row>
    <row r="6838">
      <c r="A6838" s="1">
        <v>5.0</v>
      </c>
      <c r="B6838" s="1" t="s">
        <v>6804</v>
      </c>
      <c r="C6838" t="str">
        <f>IFERROR(__xludf.DUMMYFUNCTION("GOOGLETRANSLATE(B6838, ""zh"", ""en"")"),"Rest assured sea Amoy finally found the right size for the size of scouring the sea assured 174cm 74 kg buy 31w x 30l")</f>
        <v>Rest assured sea Amoy finally found the right size for the size of scouring the sea assured 174cm 74 kg buy 31w x 30l</v>
      </c>
    </row>
    <row r="6839">
      <c r="A6839" s="1">
        <v>5.0</v>
      </c>
      <c r="B6839" s="1" t="s">
        <v>6805</v>
      </c>
      <c r="C6839" t="str">
        <f>IFERROR(__xludf.DUMMYFUNCTION("GOOGLETRANSLATE(B6839, ""zh"", ""en"")"),"General work in general, more general, and the same code number usually wear, compare Levis")</f>
        <v>General work in general, more general, and the same code number usually wear, compare Levis</v>
      </c>
    </row>
    <row r="6840">
      <c r="A6840" s="1">
        <v>5.0</v>
      </c>
      <c r="B6840" s="1" t="s">
        <v>6806</v>
      </c>
      <c r="C6840" t="str">
        <f>IFERROR(__xludf.DUMMYFUNCTION("GOOGLETRANSLATE(B6840, ""zh"", ""en"")"),"The first attempt to buy overseas PUMA casual shoes, very much like the first overseas purchase orders, orders 4.1 4.11 am to get, can also speed. Good quality shoes, suede fabric than the domestic soft ah, the sole is soft, very satisfied. I usually are "&amp;"wearing Ouma 38 yards shoes, feet long 24cm, select the corresponding United States Code 7.5cm, 337 yuan more than the purchase.")</f>
        <v>The first attempt to buy overseas PUMA casual shoes, very much like the first overseas purchase orders, orders 4.1 4.11 am to get, can also speed. Good quality shoes, suede fabric than the domestic soft ah, the sole is soft, very satisfied. I usually are wearing Ouma 38 yards shoes, feet long 24cm, select the corresponding United States Code 7.5cm, 337 yuan more than the purchase.</v>
      </c>
    </row>
    <row r="6841">
      <c r="A6841" s="1">
        <v>5.0</v>
      </c>
      <c r="B6841" s="1" t="s">
        <v>6807</v>
      </c>
      <c r="C6841" t="str">
        <f>IFERROR(__xludf.DUMMYFUNCTION("GOOGLETRANSLATE(B6841, ""zh"", ""en"")"),"Very satisfied with the quality of service are good, comfortable to wear")</f>
        <v>Very satisfied with the quality of service are good, comfortable to wear</v>
      </c>
    </row>
    <row r="6842">
      <c r="A6842" s="1">
        <v>5.0</v>
      </c>
      <c r="B6842" s="1" t="s">
        <v>6808</v>
      </c>
      <c r="C6842" t="str">
        <f>IFERROR(__xludf.DUMMYFUNCTION("GOOGLETRANSLATE(B6842, ""zh"", ""en"")"),"Children like to eat delicious tastes good, children like to eat. He has repeatedly purchased.")</f>
        <v>Children like to eat delicious tastes good, children like to eat. He has repeatedly purchased.</v>
      </c>
    </row>
    <row r="6843">
      <c r="A6843" s="1">
        <v>5.0</v>
      </c>
      <c r="B6843" s="1" t="s">
        <v>6809</v>
      </c>
      <c r="C6843" t="str">
        <f>IFERROR(__xludf.DUMMYFUNCTION("GOOGLETRANSLATE(B6843, ""zh"", ""en"")"),"Something good price quality is good, is estimated to be some thin summer models, the pants length is just no longer cut trousers, I do not buy this very good first cut trousers, cheap")</f>
        <v>Something good price quality is good, is estimated to be some thin summer models, the pants length is just no longer cut trousers, I do not buy this very good first cut trousers, cheap</v>
      </c>
    </row>
    <row r="6844">
      <c r="A6844" s="1">
        <v>5.0</v>
      </c>
      <c r="B6844" s="1" t="s">
        <v>6810</v>
      </c>
      <c r="C6844" t="str">
        <f>IFERROR(__xludf.DUMMYFUNCTION("GOOGLETRANSLATE(B6844, ""zh"", ""en"")"),"Pretty easy to use very light, very good insulation effect")</f>
        <v>Pretty easy to use very light, very good insulation effect</v>
      </c>
    </row>
    <row r="6845">
      <c r="A6845" s="1">
        <v>5.0</v>
      </c>
      <c r="B6845" s="1" t="s">
        <v>6811</v>
      </c>
      <c r="C6845" t="str">
        <f>IFERROR(__xludf.DUMMYFUNCTION("GOOGLETRANSLATE(B6845, ""zh"", ""en"")"),"Cheap, free shipping it to buy two bottles, the international logistics quickly, the product is genuine")</f>
        <v>Cheap, free shipping it to buy two bottles, the international logistics quickly, the product is genuine</v>
      </c>
    </row>
    <row r="6846">
      <c r="A6846" s="1">
        <v>5.0</v>
      </c>
      <c r="B6846" s="1" t="s">
        <v>6812</v>
      </c>
      <c r="C6846" t="str">
        <f>IFERROR(__xludf.DUMMYFUNCTION("GOOGLETRANSLATE(B6846, ""zh"", ""en"")"),"Juicer indeed Germany, in particular, really easy to use, my family is a fruit, home juicer, juice oranges more than a dozen, what the manual, electric, juice, but there was this day use, highly recommended, I bought not regret")</f>
        <v>Juicer indeed Germany, in particular, really easy to use, my family is a fruit, home juicer, juice oranges more than a dozen, what the manual, electric, juice, but there was this day use, highly recommended, I bought not regret</v>
      </c>
    </row>
    <row r="6847">
      <c r="A6847" s="1">
        <v>5.0</v>
      </c>
      <c r="B6847" s="1" t="s">
        <v>6813</v>
      </c>
      <c r="C6847" t="str">
        <f>IFERROR(__xludf.DUMMYFUNCTION("GOOGLETRANSLATE(B6847, ""zh"", ""en"")"),"Yes 170cm, 75kg, choose the m, very appropriate, that is, thread shut tight cuffs")</f>
        <v>Yes 170cm, 75kg, choose the m, very appropriate, that is, thread shut tight cuffs</v>
      </c>
    </row>
    <row r="6848">
      <c r="A6848" s="1">
        <v>5.0</v>
      </c>
      <c r="B6848" s="1" t="s">
        <v>6814</v>
      </c>
      <c r="C6848" t="str">
        <f>IFERROR(__xludf.DUMMYFUNCTION("GOOGLETRANSLATE(B6848, ""zh"", ""en"")"),"Good quality layer of white cotton sweater wild rice")</f>
        <v>Good quality layer of white cotton sweater wild rice</v>
      </c>
    </row>
    <row r="6849">
      <c r="A6849" s="1">
        <v>5.0</v>
      </c>
      <c r="B6849" s="1" t="s">
        <v>6815</v>
      </c>
      <c r="C6849" t="str">
        <f>IFERROR(__xludf.DUMMYFUNCTION("GOOGLETRANSLATE(B6849, ""zh"", ""en"")"),"Good-looking shoes look great, the skin is soft.")</f>
        <v>Good-looking shoes look great, the skin is soft.</v>
      </c>
    </row>
    <row r="6850">
      <c r="A6850" s="1">
        <v>2.0</v>
      </c>
      <c r="B6850" s="1" t="s">
        <v>6816</v>
      </c>
      <c r="C6850" t="str">
        <f>IFERROR(__xludf.DUMMYFUNCTION("GOOGLETRANSLATE(B6850, ""zh"", ""en"")"),"Like a general is not recommended in general, far from satisfactory standard size, waist circumference is too large, I wear two feet three large 29")</f>
        <v>Like a general is not recommended in general, far from satisfactory standard size, waist circumference is too large, I wear two feet three large 29</v>
      </c>
    </row>
    <row r="6851">
      <c r="A6851" s="1">
        <v>3.0</v>
      </c>
      <c r="B6851" s="1" t="s">
        <v>6817</v>
      </c>
      <c r="C6851" t="str">
        <f>IFERROR(__xludf.DUMMYFUNCTION("GOOGLETRANSLATE(B6851, ""zh"", ""en"")"),"Making very rough not know the truth because the production is really very rough and very old ,,")</f>
        <v>Making very rough not know the truth because the production is really very rough and very old ,,</v>
      </c>
    </row>
    <row r="6852">
      <c r="A6852" s="1">
        <v>3.0</v>
      </c>
      <c r="B6852" s="1" t="s">
        <v>6818</v>
      </c>
      <c r="C6852" t="str">
        <f>IFERROR(__xludf.DUMMYFUNCTION("GOOGLETRANSLATE(B6852, ""zh"", ""en"")"),"Clothes did not tag it? &lt;Div id = ""video-block-R3OWHW7ZGL244E"" class = ""a-section a-spacing-small a-spacing-top-mini video-block""&gt; &lt;/ div&gt; &lt;input type = ""hidden"" name = """" value = ""https://images-cn.ssl-images-amazon.com/images/I/91ufZjoL-DS.mp4"&amp;""" class = ""video-url""&gt; &lt;input type = ""hidden"" name = """" value = "" https://images-cn.ssl-images-amazon.com/images/I/91EZT62O3LS.png ""class ="" video-slate-img-url ""&gt; &amp; nbsp; 175 62kg I fit, there is little long sleeves, clothes in general Yes, th"&amp;"is is to ask what animal. I fed mulberry leaves him eat ah")</f>
        <v>Clothes did not tag it? &lt;Div id = "video-block-R3OWHW7ZGL244E" class = "a-section a-spacing-small a-spacing-top-mini video-block"&gt; &lt;/ div&gt; &lt;input type = "hidden" name = "" value = "https://images-cn.ssl-images-amazon.com/images/I/91ufZjoL-DS.mp4" class = "video-url"&gt; &lt;input type = "hidden" name = "" value = " https://images-cn.ssl-images-amazon.com/images/I/91EZT62O3LS.png "class =" video-slate-img-url "&gt; &amp; nbsp; 175 62kg I fit, there is little long sleeves, clothes in general Yes, this is to ask what animal. I fed mulberry leaves him eat ah</v>
      </c>
    </row>
    <row r="6853">
      <c r="A6853" s="1">
        <v>3.0</v>
      </c>
      <c r="B6853" s="1" t="s">
        <v>6819</v>
      </c>
      <c r="C6853" t="str">
        <f>IFERROR(__xludf.DUMMYFUNCTION("GOOGLETRANSLATE(B6853, ""zh"", ""en"")"),"lamy packaging was crushed, outrage, this want to give it away as a gift")</f>
        <v>lamy packaging was crushed, outrage, this want to give it away as a gift</v>
      </c>
    </row>
    <row r="6854">
      <c r="A6854" s="1">
        <v>1.0</v>
      </c>
      <c r="B6854" s="1" t="s">
        <v>6820</v>
      </c>
      <c r="C6854" t="str">
        <f>IFERROR(__xludf.DUMMYFUNCTION("GOOGLETRANSLATE(B6854, ""zh"", ""en"")"),"Not recommended to buy quality goods than the US original. Bristles uneven, the material is transparent, than the original soft. This is not the first time to buy overseas goods quality problems, if not guarantee the quality of overseas purchase, sale and"&amp;" logistics basically no, thanks to customer service to solve the problem. In the Chinese market is not competitive. There is better than a discount or a refund of the solution. We recommend overseas purchase goods off to a good quality product. Establish "&amp;"and improve after-sales logistics system, because aftermarket logistics is a very important part of the service.")</f>
        <v>Not recommended to buy quality goods than the US original. Bristles uneven, the material is transparent, than the original soft. This is not the first time to buy overseas goods quality problems, if not guarantee the quality of overseas purchase, sale and logistics basically no, thanks to customer service to solve the problem. In the Chinese market is not competitive. There is better than a discount or a refund of the solution. We recommend overseas purchase goods off to a good quality product. Establish and improve after-sales logistics system, because aftermarket logistics is a very important part of the service.</v>
      </c>
    </row>
    <row r="6855">
      <c r="A6855" s="1">
        <v>1.0</v>
      </c>
      <c r="B6855" s="1" t="s">
        <v>6821</v>
      </c>
      <c r="C6855" t="str">
        <f>IFERROR(__xludf.DUMMYFUNCTION("GOOGLETRANSLATE(B6855, ""zh"", ""en"")"),"Tattered thing, regardless of the Amazon, SanDisk sale regardless of broken stuff, and regardless of the Amazon, SanDisk sale regardless, but unfortunately can not send video, or for everyone to see how bad this junk stuff")</f>
        <v>Tattered thing, regardless of the Amazon, SanDisk sale regardless of broken stuff, and regardless of the Amazon, SanDisk sale regardless, but unfortunately can not send video, or for everyone to see how bad this junk stuff</v>
      </c>
    </row>
    <row r="6856">
      <c r="A6856" s="1">
        <v>1.0</v>
      </c>
      <c r="B6856" s="1" t="s">
        <v>6822</v>
      </c>
      <c r="C6856" t="str">
        <f>IFERROR(__xludf.DUMMYFUNCTION("GOOGLETRANSLATE(B6856, ""zh"", ""en"")"),"Material unknown cloth is poor, wear uncomfortable, feeling like Wenzhou goods")</f>
        <v>Material unknown cloth is poor, wear uncomfortable, feeling like Wenzhou goods</v>
      </c>
    </row>
    <row r="6857">
      <c r="A6857" s="1">
        <v>4.0</v>
      </c>
      <c r="B6857" s="1" t="s">
        <v>6823</v>
      </c>
      <c r="C6857" t="str">
        <f>IFERROR(__xludf.DUMMYFUNCTION("GOOGLETRANSLATE(B6857, ""zh"", ""en"")"),"Style is not very good size no problem, that is the style of the problem, the board too.")</f>
        <v>Style is not very good size no problem, that is the style of the problem, the board too.</v>
      </c>
    </row>
    <row r="6858">
      <c r="A6858" s="1">
        <v>4.0</v>
      </c>
      <c r="B6858" s="1" t="s">
        <v>6824</v>
      </c>
      <c r="C6858" t="str">
        <f>IFERROR(__xludf.DUMMYFUNCTION("GOOGLETRANSLATE(B6858, ""zh"", ""en"")"),"Yardage yardage bad election is not a good option, other okay")</f>
        <v>Yardage yardage bad election is not a good option, other okay</v>
      </c>
    </row>
    <row r="6859">
      <c r="A6859" s="1">
        <v>4.0</v>
      </c>
      <c r="B6859" s="1" t="s">
        <v>6825</v>
      </c>
      <c r="C6859" t="str">
        <f>IFERROR(__xludf.DUMMYFUNCTION("GOOGLETRANSLATE(B6859, ""zh"", ""en"")"),"Makeshift plastic")</f>
        <v>Makeshift plastic</v>
      </c>
    </row>
    <row r="6860">
      <c r="A6860" s="1">
        <v>4.0</v>
      </c>
      <c r="B6860" s="1" t="s">
        <v>6826</v>
      </c>
      <c r="C6860" t="str">
        <f>IFERROR(__xludf.DUMMYFUNCTION("GOOGLETRANSLATE(B6860, ""zh"", ""en"")"),"Physical force Japan to direct mail, speed so fast. The machine is very good, but open purge mode when some leakage gap")</f>
        <v>Physical force Japan to direct mail, speed so fast. The machine is very good, but open purge mode when some leakage gap</v>
      </c>
    </row>
    <row r="6861">
      <c r="A6861" s="1">
        <v>4.0</v>
      </c>
      <c r="B6861" s="1" t="s">
        <v>6827</v>
      </c>
      <c r="C6861" t="str">
        <f>IFERROR(__xludf.DUMMYFUNCTION("GOOGLETRANSLATE(B6861, ""zh"", ""en"")"),"Even a small yard is impossible to say good to go, the price out there. But the quality is also worthy of the price, so give four stars, if you look into the quality is not worth four stars. Look before you buy general comment, said big yards, he bought a"&amp;" two s code, the result of lost only huh. More exaggerated, even two different yardage same size, barely able to wear blue, black only warm day when wearing trousers.")</f>
        <v>Even a small yard is impossible to say good to go, the price out there. But the quality is also worthy of the price, so give four stars, if you look into the quality is not worth four stars. Look before you buy general comment, said big yards, he bought a two s code, the result of lost only huh. More exaggerated, even two different yardage same size, barely able to wear blue, black only warm day when wearing trousers.</v>
      </c>
    </row>
    <row r="6862">
      <c r="A6862" s="1">
        <v>5.0</v>
      </c>
      <c r="B6862" s="1" t="s">
        <v>6828</v>
      </c>
      <c r="C6862" t="str">
        <f>IFERROR(__xludf.DUMMYFUNCTION("GOOGLETRANSLATE(B6862, ""zh"", ""en"")"),"Amoy satisfaction sea very comfortable, quality is very good")</f>
        <v>Amoy satisfaction sea very comfortable, quality is very good</v>
      </c>
    </row>
    <row r="6863">
      <c r="A6863" s="1">
        <v>5.0</v>
      </c>
      <c r="B6863" s="1" t="s">
        <v>6829</v>
      </c>
      <c r="C6863" t="str">
        <f>IFERROR(__xludf.DUMMYFUNCTION("GOOGLETRANSLATE(B6863, ""zh"", ""en"")"),"Thousand dollars or less a good choice for decoration store goods, hand 888 yuan, not freight. Good packaging. Awesome stuff, the price is high")</f>
        <v>Thousand dollars or less a good choice for decoration store goods, hand 888 yuan, not freight. Good packaging. Awesome stuff, the price is high</v>
      </c>
    </row>
    <row r="6864">
      <c r="A6864" s="1">
        <v>5.0</v>
      </c>
      <c r="B6864" s="1" t="s">
        <v>6830</v>
      </c>
      <c r="C6864" t="str">
        <f>IFERROR(__xludf.DUMMYFUNCTION("GOOGLETRANSLATE(B6864, ""zh"", ""en"")"),"Sound 306 from the low frequency sound is almost good frequency points. At this price is worth buying. The speaker power cable is the US regulatory plug can buy a conversion head. You can buy a 3.5 audio cable to Dual Cannon line a little longer if you ca"&amp;"n buy very cheap online dozens of blocks on the line")</f>
        <v>Sound 306 from the low frequency sound is almost good frequency points. At this price is worth buying. The speaker power cable is the US regulatory plug can buy a conversion head. You can buy a 3.5 audio cable to Dual Cannon line a little longer if you can buy very cheap online dozens of blocks on the line</v>
      </c>
    </row>
    <row r="6865">
      <c r="A6865" s="1">
        <v>5.0</v>
      </c>
      <c r="B6865" s="1" t="s">
        <v>6831</v>
      </c>
      <c r="C6865" t="str">
        <f>IFERROR(__xludf.DUMMYFUNCTION("GOOGLETRANSLATE(B6865, ""zh"", ""en"")"),"I do not know how to use health effect")</f>
        <v>I do not know how to use health effect</v>
      </c>
    </row>
    <row r="6866">
      <c r="A6866" s="1">
        <v>5.0</v>
      </c>
      <c r="B6866" s="1" t="s">
        <v>6832</v>
      </c>
      <c r="C6866" t="str">
        <f>IFERROR(__xludf.DUMMYFUNCTION("GOOGLETRANSLATE(B6866, ""zh"", ""en"")"),"173cm95kg good quality cheap to buy the right size L, sleeves a little longer. Express rapidly.")</f>
        <v>173cm95kg good quality cheap to buy the right size L, sleeves a little longer. Express rapidly.</v>
      </c>
    </row>
    <row r="6867">
      <c r="A6867" s="1">
        <v>5.0</v>
      </c>
      <c r="B6867" s="1" t="s">
        <v>6833</v>
      </c>
      <c r="C6867" t="str">
        <f>IFERROR(__xludf.DUMMYFUNCTION("GOOGLETRANSLATE(B6867, ""zh"", ""en"")"),"Black shirt is perfect. lee of this section shirt is really classic. Swept the world for decades, enduring, the version is very positive, poplin fabric comfortable Naicao. For work and formal occasions or evening dress to wear.")</f>
        <v>Black shirt is perfect. lee of this section shirt is really classic. Swept the world for decades, enduring, the version is very positive, poplin fabric comfortable Naicao. For work and formal occasions or evening dress to wear.</v>
      </c>
    </row>
    <row r="6868">
      <c r="A6868" s="1">
        <v>5.0</v>
      </c>
      <c r="B6868" s="1" t="s">
        <v>6834</v>
      </c>
      <c r="C6868" t="str">
        <f>IFERROR(__xludf.DUMMYFUNCTION("GOOGLETRANSLATE(B6868, ""zh"", ""en"")"),"Buy big look at other people's comments before cashing see integration activities feel missed a one hundred million to buy too many comments eleven altogether, but to replicate these words good")</f>
        <v>Buy big look at other people's comments before cashing see integration activities feel missed a one hundred million to buy too many comments eleven altogether, but to replicate these words good</v>
      </c>
    </row>
    <row r="6869">
      <c r="A6869" s="1">
        <v>5.0</v>
      </c>
      <c r="B6869" s="1" t="s">
        <v>6835</v>
      </c>
      <c r="C6869" t="str">
        <f>IFERROR(__xludf.DUMMYFUNCTION("GOOGLETRANSLATE(B6869, ""zh"", ""en"")"),"Good shoes and very comfortable to wear, except on the tongue without any trademark, low-key.")</f>
        <v>Good shoes and very comfortable to wear, except on the tongue without any trademark, low-key.</v>
      </c>
    </row>
    <row r="6870">
      <c r="A6870" s="1">
        <v>5.0</v>
      </c>
      <c r="B6870" s="1" t="s">
        <v>6836</v>
      </c>
      <c r="C6870" t="str">
        <f>IFERROR(__xludf.DUMMYFUNCTION("GOOGLETRANSLATE(B6870, ""zh"", ""en"")"),"Easy to operate, home enough. Easy to use, home enough, simple, automatic shutdown operation. Comes capsule, Jacob bought a capsule together, can be used in the machine, not afraid of light can be more than a few drinks. I have been a first cup mug, add a"&amp;" little milk, very good. Then out of a large cup of coffee on the light, and water to drink.")</f>
        <v>Easy to operate, home enough. Easy to use, home enough, simple, automatic shutdown operation. Comes capsule, Jacob bought a capsule together, can be used in the machine, not afraid of light can be more than a few drinks. I have been a first cup mug, add a little milk, very good. Then out of a large cup of coffee on the light, and water to drink.</v>
      </c>
    </row>
    <row r="6871">
      <c r="A6871" s="1">
        <v>5.0</v>
      </c>
      <c r="B6871" s="1" t="s">
        <v>6837</v>
      </c>
      <c r="C6871" t="str">
        <f>IFERROR(__xludf.DUMMYFUNCTION("GOOGLETRANSLATE(B6871, ""zh"", ""en"")"),"Tried very fit, see Mayer commented that small, have been very worried, but try feel very fit, wore a T-shirt feels just right, not too small, I 160,55kg, just a little longer.")</f>
        <v>Tried very fit, see Mayer commented that small, have been very worried, but try feel very fit, wore a T-shirt feels just right, not too small, I 160,55kg, just a little longer.</v>
      </c>
    </row>
    <row r="6872">
      <c r="A6872" s="1">
        <v>5.0</v>
      </c>
      <c r="B6872" s="1" t="s">
        <v>6838</v>
      </c>
      <c r="C6872" t="str">
        <f>IFERROR(__xludf.DUMMYFUNCTION("GOOGLETRANSLATE(B6872, ""zh"", ""en"")"),"It can also, store goods purchased in Deya Hai, Spain is actually made of DHL, very fast four days to hand. Packaging and point of view not the leading place of origin. Shower head according to the mode switch is not down, to hold the hand length, the mag"&amp;"netic head is not automatically recovered by gravity, a hanging below the counterweight. The overall price is still on it.")</f>
        <v>It can also, store goods purchased in Deya Hai, Spain is actually made of DHL, very fast four days to hand. Packaging and point of view not the leading place of origin. Shower head according to the mode switch is not down, to hold the hand length, the magnetic head is not automatically recovered by gravity, a hanging below the counterweight. The overall price is still on it.</v>
      </c>
    </row>
    <row r="6873">
      <c r="A6873" s="1">
        <v>5.0</v>
      </c>
      <c r="B6873" s="1" t="s">
        <v>6839</v>
      </c>
      <c r="C6873" t="str">
        <f>IFERROR(__xludf.DUMMYFUNCTION("GOOGLETRANSLATE(B6873, ""zh"", ""en"")"),"Really value for money! Like light-driven, without the need to replace the battery. Worn on the hand blue beautiful atmosphere, luminous hands. One thousand yuan is also much better than this. Strap width slightly less than a count.")</f>
        <v>Really value for money! Like light-driven, without the need to replace the battery. Worn on the hand blue beautiful atmosphere, luminous hands. One thousand yuan is also much better than this. Strap width slightly less than a count.</v>
      </c>
    </row>
    <row r="6874">
      <c r="A6874" s="1">
        <v>5.0</v>
      </c>
      <c r="B6874" s="1" t="s">
        <v>6840</v>
      </c>
      <c r="C6874" t="str">
        <f>IFERROR(__xludf.DUMMYFUNCTION("GOOGLETRANSLATE(B6874, ""zh"", ""en"")"),"Casio Edifice watches for men EFV-540DC-1AVUEF like!")</f>
        <v>Casio Edifice watches for men EFV-540DC-1AVUEF like!</v>
      </c>
    </row>
    <row r="6875">
      <c r="A6875" s="1">
        <v>5.0</v>
      </c>
      <c r="B6875" s="1" t="s">
        <v>6841</v>
      </c>
      <c r="C6875" t="str">
        <f>IFERROR(__xludf.DUMMYFUNCTION("GOOGLETRANSLATE(B6875, ""zh"", ""en"")"),"Well soon buy a lot of times. As always, good.")</f>
        <v>Well soon buy a lot of times. As always, good.</v>
      </c>
    </row>
    <row r="6876">
      <c r="A6876" s="1">
        <v>5.0</v>
      </c>
      <c r="B6876" s="1" t="s">
        <v>6842</v>
      </c>
      <c r="C6876" t="str">
        <f>IFERROR(__xludf.DUMMYFUNCTION("GOOGLETRANSLATE(B6876, ""zh"", ""en"")"),"Performance, good quality. Very satisfied with the shopping, items in good condition, stable operation, logistics and more rapid than expected a few days in advance.")</f>
        <v>Performance, good quality. Very satisfied with the shopping, items in good condition, stable operation, logistics and more rapid than expected a few days in advance.</v>
      </c>
    </row>
    <row r="6877">
      <c r="A6877" s="1">
        <v>5.0</v>
      </c>
      <c r="B6877" s="1" t="s">
        <v>6843</v>
      </c>
      <c r="C6877" t="str">
        <f>IFERROR(__xludf.DUMMYFUNCTION("GOOGLETRANSLATE(B6877, ""zh"", ""en"")"),"Cost can height 158, weight 92 kg, m code big")</f>
        <v>Cost can height 158, weight 92 kg, m code big</v>
      </c>
    </row>
    <row r="6878">
      <c r="A6878" s="1">
        <v>5.0</v>
      </c>
      <c r="B6878" s="1" t="s">
        <v>6844</v>
      </c>
      <c r="C6878" t="str">
        <f>IFERROR(__xludf.DUMMYFUNCTION("GOOGLETRANSLATE(B6878, ""zh"", ""en"")"),"Satisfactory soft bristle toothbrush and fuzz are well-deserved reputation, quality is very good, satisfactory, willing to buy")</f>
        <v>Satisfactory soft bristle toothbrush and fuzz are well-deserved reputation, quality is very good, satisfactory, willing to buy</v>
      </c>
    </row>
    <row r="6879">
      <c r="A6879" s="1">
        <v>5.0</v>
      </c>
      <c r="B6879" s="1" t="s">
        <v>6845</v>
      </c>
      <c r="C6879" t="str">
        <f>IFERROR(__xludf.DUMMYFUNCTION("GOOGLETRANSLATE(B6879, ""zh"", ""en"")"),"Babies love pretty good, pretty baby like. Good quality! Sea Amoy trust Amazon")</f>
        <v>Babies love pretty good, pretty baby like. Good quality! Sea Amoy trust Amazon</v>
      </c>
    </row>
    <row r="6880">
      <c r="A6880" s="1">
        <v>5.0</v>
      </c>
      <c r="B6880" s="1" t="s">
        <v>6846</v>
      </c>
      <c r="C6880" t="str">
        <f>IFERROR(__xludf.DUMMYFUNCTION("GOOGLETRANSLATE(B6880, ""zh"", ""en"")"),"Semi-ear headsets is really good, easy to use, stable Bluetooth. In the Amazon purchase price than other domestic websites to offer a lot.")</f>
        <v>Semi-ear headsets is really good, easy to use, stable Bluetooth. In the Amazon purchase price than other domestic websites to offer a lot.</v>
      </c>
    </row>
    <row r="6881">
      <c r="A6881" s="1">
        <v>5.0</v>
      </c>
      <c r="B6881" s="1" t="s">
        <v>6847</v>
      </c>
      <c r="C6881" t="str">
        <f>IFERROR(__xludf.DUMMYFUNCTION("GOOGLETRANSLATE(B6881, ""zh"", ""en"")"),"Good 36 yards usually wear shoe, these are bought 4.5m too large, it should be appropriate to buy a small one yard. There are a number of soft shoes than expected.")</f>
        <v>Good 36 yards usually wear shoe, these are bought 4.5m too large, it should be appropriate to buy a small one yard. There are a number of soft shoes than expected.</v>
      </c>
    </row>
    <row r="6882">
      <c r="A6882" s="1">
        <v>5.0</v>
      </c>
      <c r="B6882" s="1" t="s">
        <v>6848</v>
      </c>
      <c r="C6882" t="str">
        <f>IFERROR(__xludf.DUMMYFUNCTION("GOOGLETRANSLATE(B6882, ""zh"", ""en"")"),"Well did not see, should buy a lady, take my dad used")</f>
        <v>Well did not see, should buy a lady, take my dad used</v>
      </c>
    </row>
    <row r="6883">
      <c r="A6883" s="1">
        <v>2.0</v>
      </c>
      <c r="B6883" s="1" t="s">
        <v>6849</v>
      </c>
      <c r="C6883" t="str">
        <f>IFERROR(__xludf.DUMMYFUNCTION("GOOGLETRANSLATE(B6883, ""zh"", ""en"")"),"General taste great ah! Environmental protection material is not ah? Dare to bite the baby!")</f>
        <v>General taste great ah! Environmental protection material is not ah? Dare to bite the baby!</v>
      </c>
    </row>
    <row r="6884">
      <c r="A6884" s="1">
        <v>3.0</v>
      </c>
      <c r="B6884" s="1" t="s">
        <v>6850</v>
      </c>
      <c r="C6884" t="str">
        <f>IFERROR(__xludf.DUMMYFUNCTION("GOOGLETRANSLATE(B6884, ""zh"", ""en"")"),"Okay it does have to be a little more comfortable elastic fabric, overall satisfaction. The disadvantage is crotch a bit short, a little low-waist, legs a bit fat, foreigners may Tuicu it.")</f>
        <v>Okay it does have to be a little more comfortable elastic fabric, overall satisfaction. The disadvantage is crotch a bit short, a little low-waist, legs a bit fat, foreigners may Tuicu it.</v>
      </c>
    </row>
    <row r="6885">
      <c r="A6885" s="1">
        <v>3.0</v>
      </c>
      <c r="B6885" s="1" t="s">
        <v>6851</v>
      </c>
      <c r="C6885" t="str">
        <f>IFERROR(__xludf.DUMMYFUNCTION("GOOGLETRANSLATE(B6885, ""zh"", ""en"")"),"Not use this courier is too simple, nothing wrapped in razor, put a box and feel compared to domestic security point of packaging,")</f>
        <v>Not use this courier is too simple, nothing wrapped in razor, put a box and feel compared to domestic security point of packaging,</v>
      </c>
    </row>
    <row r="6886">
      <c r="A6886" s="1">
        <v>3.0</v>
      </c>
      <c r="B6886" s="1" t="s">
        <v>6852</v>
      </c>
      <c r="C6886" t="str">
        <f>IFERROR(__xludf.DUMMYFUNCTION("GOOGLETRANSLATE(B6886, ""zh"", ""en"")"),"Too big, too big. Too, is 5'11 190 pounds, to buy big a yard.")</f>
        <v>Too big, too big. Too, is 5'11 190 pounds, to buy big a yard.</v>
      </c>
    </row>
    <row r="6887">
      <c r="A6887" s="1">
        <v>1.0</v>
      </c>
      <c r="B6887" s="1" t="s">
        <v>6853</v>
      </c>
      <c r="C6887" t="str">
        <f>IFERROR(__xludf.DUMMYFUNCTION("GOOGLETRANSLATE(B6887, ""zh"", ""en"")"),"After the color does not match the gap between the hand color photos? A large gap.")</f>
        <v>After the color does not match the gap between the hand color photos? A large gap.</v>
      </c>
    </row>
    <row r="6888">
      <c r="A6888" s="1">
        <v>1.0</v>
      </c>
      <c r="B6888" s="1" t="s">
        <v>6854</v>
      </c>
      <c r="C6888" t="str">
        <f>IFERROR(__xludf.DUMMYFUNCTION("GOOGLETRANSLATE(B6888, ""zh"", ""en"")"),"A little big, a little large texture is also very general, than the domestic models freshman code, the texture work is very general, feel less value, returns trouble, lost at home ballast")</f>
        <v>A little big, a little large texture is also very general, than the domestic models freshman code, the texture work is very general, feel less value, returns trouble, lost at home ballast</v>
      </c>
    </row>
    <row r="6889">
      <c r="A6889" s="1">
        <v>4.0</v>
      </c>
      <c r="B6889" s="1" t="s">
        <v>6855</v>
      </c>
      <c r="C6889" t="str">
        <f>IFERROR(__xludf.DUMMYFUNCTION("GOOGLETRANSLATE(B6889, ""zh"", ""en"")"),"Spend your money, Figure safe shipping is too expensive, things in general, plan a safe")</f>
        <v>Spend your money, Figure safe shipping is too expensive, things in general, plan a safe</v>
      </c>
    </row>
    <row r="6890">
      <c r="A6890" s="1">
        <v>4.0</v>
      </c>
      <c r="B6890" s="1" t="s">
        <v>6856</v>
      </c>
      <c r="C6890" t="str">
        <f>IFERROR(__xludf.DUMMYFUNCTION("GOOGLETRANSLATE(B6890, ""zh"", ""en"")"),"Yan good value ok, the following sets of silicone is easy to fall, good insulation effect, the tube is ordinary straight tube, lying down and drink will flow out on his own, little baby, do not recommend buying straight handle that paragraph")</f>
        <v>Yan good value ok, the following sets of silicone is easy to fall, good insulation effect, the tube is ordinary straight tube, lying down and drink will flow out on his own, little baby, do not recommend buying straight handle that paragraph</v>
      </c>
    </row>
    <row r="6891">
      <c r="A6891" s="1">
        <v>4.0</v>
      </c>
      <c r="B6891" s="1" t="s">
        <v>6857</v>
      </c>
      <c r="C6891" t="str">
        <f>IFERROR(__xludf.DUMMYFUNCTION("GOOGLETRANSLATE(B6891, ""zh"", ""en"")"),"Shopping plate feeling fit, the fabric is more comfortable for people wearing extra padding. Production process a bit rough, but still acceptable, to see the country of origin, from Mexico. Overall, it was a good shopping experience!")</f>
        <v>Shopping plate feeling fit, the fabric is more comfortable for people wearing extra padding. Production process a bit rough, but still acceptable, to see the country of origin, from Mexico. Overall, it was a good shopping experience!</v>
      </c>
    </row>
    <row r="6892">
      <c r="A6892" s="1">
        <v>4.0</v>
      </c>
      <c r="B6892" s="1" t="s">
        <v>6858</v>
      </c>
      <c r="C6892" t="str">
        <f>IFERROR(__xludf.DUMMYFUNCTION("GOOGLETRANSLATE(B6892, ""zh"", ""en"")"),"Small water tank water tank works well but is probably too small to have a big water tank on the next 15 seconds")</f>
        <v>Small water tank water tank works well but is probably too small to have a big water tank on the next 15 seconds</v>
      </c>
    </row>
    <row r="6893">
      <c r="A6893" s="1">
        <v>5.0</v>
      </c>
      <c r="B6893" s="1" t="s">
        <v>6859</v>
      </c>
      <c r="C6893" t="str">
        <f>IFERROR(__xludf.DUMMYFUNCTION("GOOGLETRANSLATE(B6893, ""zh"", ""en"")"),"Chelsea satisfied footwear type thinner, but because the cortex is very soft, so wide forefoot people who will not feel tight, very comfortable to wear for two days, usually 39 yards, six yards in front of this room there are some, very satisfaction, is a"&amp;" good long look feet")</f>
        <v>Chelsea satisfied footwear type thinner, but because the cortex is very soft, so wide forefoot people who will not feel tight, very comfortable to wear for two days, usually 39 yards, six yards in front of this room there are some, very satisfaction, is a good long look feet</v>
      </c>
    </row>
    <row r="6894">
      <c r="A6894" s="1">
        <v>5.0</v>
      </c>
      <c r="B6894" s="1" t="s">
        <v>6860</v>
      </c>
      <c r="C6894" t="str">
        <f>IFERROR(__xludf.DUMMYFUNCTION("GOOGLETRANSLATE(B6894, ""zh"", ""en"")"),"High cost is very good, high cost compared with the official website")</f>
        <v>High cost is very good, high cost compared with the official website</v>
      </c>
    </row>
    <row r="6895">
      <c r="A6895" s="1">
        <v>5.0</v>
      </c>
      <c r="B6895" s="1" t="s">
        <v>6861</v>
      </c>
      <c r="C6895" t="str">
        <f>IFERROR(__xludf.DUMMYFUNCTION("GOOGLETRANSLATE(B6895, ""zh"", ""en"")"),"Light, soft and comfortable, value for money is very light very soft, soft and comfortable")</f>
        <v>Light, soft and comfortable, value for money is very light very soft, soft and comfortable</v>
      </c>
    </row>
    <row r="6896">
      <c r="A6896" s="1">
        <v>5.0</v>
      </c>
      <c r="B6896" s="1" t="s">
        <v>6862</v>
      </c>
      <c r="C6896" t="str">
        <f>IFERROR(__xludf.DUMMYFUNCTION("GOOGLETRANSLATE(B6896, ""zh"", ""en"")"),"Good very good, with a comfortable, tight packaging")</f>
        <v>Good very good, with a comfortable, tight packaging</v>
      </c>
    </row>
    <row r="6897">
      <c r="A6897" s="1">
        <v>5.0</v>
      </c>
      <c r="B6897" s="1" t="s">
        <v>6863</v>
      </c>
      <c r="C6897" t="str">
        <f>IFERROR(__xludf.DUMMYFUNCTION("GOOGLETRANSLATE(B6897, ""zh"", ""en"")"),"Easy to use, safe. We have been using this product, safe and secure.")</f>
        <v>Easy to use, safe. We have been using this product, safe and secure.</v>
      </c>
    </row>
    <row r="6898">
      <c r="A6898" s="1">
        <v>5.0</v>
      </c>
      <c r="B6898" s="1" t="s">
        <v>6864</v>
      </c>
      <c r="C6898" t="str">
        <f>IFERROR(__xludf.DUMMYFUNCTION("GOOGLETRANSLATE(B6898, ""zh"", ""en"")"),"Levi's comfortable enough to still feel comfortable")</f>
        <v>Levi's comfortable enough to still feel comfortable</v>
      </c>
    </row>
    <row r="6899">
      <c r="A6899" s="1">
        <v>5.0</v>
      </c>
      <c r="B6899" s="1" t="s">
        <v>6865</v>
      </c>
      <c r="C6899" t="str">
        <f>IFERROR(__xludf.DUMMYFUNCTION("GOOGLETRANSLATE(B6899, ""zh"", ""en"")"),"Shorts to the very fast, careless wrong address also received, thank BES Express. Shorts are cotton, no big pocket cut corners. Size apparel buying here is not very good grasp.")</f>
        <v>Shorts to the very fast, careless wrong address also received, thank BES Express. Shorts are cotton, no big pocket cut corners. Size apparel buying here is not very good grasp.</v>
      </c>
    </row>
    <row r="6900">
      <c r="A6900" s="1">
        <v>5.0</v>
      </c>
      <c r="B6900" s="1" t="s">
        <v>6866</v>
      </c>
      <c r="C6900" t="str">
        <f>IFERROR(__xludf.DUMMYFUNCTION("GOOGLETRANSLATE(B6900, ""zh"", ""en"")"),"Original brush with a good brush before it broke a lot of noise, this brush perfect fit, the equipment can be used, cost is also high, five-star praise!")</f>
        <v>Original brush with a good brush before it broke a lot of noise, this brush perfect fit, the equipment can be used, cost is also high, five-star praise!</v>
      </c>
    </row>
    <row r="6901">
      <c r="A6901" s="1">
        <v>5.0</v>
      </c>
      <c r="B6901" s="1" t="s">
        <v>6867</v>
      </c>
      <c r="C6901" t="str">
        <f>IFERROR(__xludf.DUMMYFUNCTION("GOOGLETRANSLATE(B6901, ""zh"", ""en"")"),"Value packaging very carefully, opened the box, there is also a blue gift bag set out commodity original box, the feeling would like to receive a Christmas gift. Sink intact, praise.")</f>
        <v>Value packaging very carefully, opened the box, there is also a blue gift bag set out commodity original box, the feeling would like to receive a Christmas gift. Sink intact, praise.</v>
      </c>
    </row>
    <row r="6902">
      <c r="A6902" s="1">
        <v>5.0</v>
      </c>
      <c r="B6902" s="1" t="s">
        <v>6868</v>
      </c>
      <c r="C6902" t="str">
        <f>IFERROR(__xludf.DUMMYFUNCTION("GOOGLETRANSLATE(B6902, ""zh"", ""en"")"),"Yes, very good shape at present feels good to back up photos")</f>
        <v>Yes, very good shape at present feels good to back up photos</v>
      </c>
    </row>
    <row r="6903">
      <c r="A6903" s="1">
        <v>5.0</v>
      </c>
      <c r="B6903" s="1" t="s">
        <v>6869</v>
      </c>
      <c r="C6903" t="str">
        <f>IFERROR(__xludf.DUMMYFUNCTION("GOOGLETRANSLATE(B6903, ""zh"", ""en"")"),"First-class sound quality is just not my computer power supply ground (electrician in a factory cut corners), now replaced X7 innovation or good clear sound power. It seems to wait for a change of scenery in order to reflect the pure voice.")</f>
        <v>First-class sound quality is just not my computer power supply ground (electrician in a factory cut corners), now replaced X7 innovation or good clear sound power. It seems to wait for a change of scenery in order to reflect the pure voice.</v>
      </c>
    </row>
    <row r="6904">
      <c r="A6904" s="1">
        <v>5.0</v>
      </c>
      <c r="B6904" s="1" t="s">
        <v>6870</v>
      </c>
      <c r="C6904" t="str">
        <f>IFERROR(__xludf.DUMMYFUNCTION("GOOGLETRANSLATE(B6904, ""zh"", ""en"")"),"Like usually wear shoes 38 yards 39 yards smaller and large, not very good pair of shoes. Foot is wide and fat. The shoes to wear 38, feeling slightly smaller. But you can wear. Estimated to wear after a few meetings a little big. So better to buy a 38 es"&amp;"timated that 39 yards would feel great. Shoes good looking, but also comfortable.")</f>
        <v>Like usually wear shoes 38 yards 39 yards smaller and large, not very good pair of shoes. Foot is wide and fat. The shoes to wear 38, feeling slightly smaller. But you can wear. Estimated to wear after a few meetings a little big. So better to buy a 38 estimated that 39 yards would feel great. Shoes good looking, but also comfortable.</v>
      </c>
    </row>
    <row r="6905">
      <c r="A6905" s="1">
        <v>5.0</v>
      </c>
      <c r="B6905" s="1" t="s">
        <v>6871</v>
      </c>
      <c r="C6905" t="str">
        <f>IFERROR(__xludf.DUMMYFUNCTION("GOOGLETRANSLATE(B6905, ""zh"", ""en"")"),"How to use the warranty is still a risk okay, it is to buy overseas warranty or difficult.")</f>
        <v>How to use the warranty is still a risk okay, it is to buy overseas warranty or difficult.</v>
      </c>
    </row>
    <row r="6906">
      <c r="A6906" s="1">
        <v>5.0</v>
      </c>
      <c r="B6906" s="1" t="s">
        <v>6872</v>
      </c>
      <c r="C6906" t="str">
        <f>IFERROR(__xludf.DUMMYFUNCTION("GOOGLETRANSLATE(B6906, ""zh"", ""en"")"),"shoes very much, and grass for a long time, refill")</f>
        <v>shoes very much, and grass for a long time, refill</v>
      </c>
    </row>
    <row r="6907">
      <c r="A6907" s="1">
        <v>5.0</v>
      </c>
      <c r="B6907" s="1" t="s">
        <v>6873</v>
      </c>
      <c r="C6907" t="str">
        <f>IFERROR(__xludf.DUMMYFUNCTION("GOOGLETRANSLATE(B6907, ""zh"", ""en"")"),"Martin boots into a single pit 4/9 4/17 4/23 shipments, DHL Express is to force the hand shoe size usually looks good on 36.5 and 37 can wear these shoes to wear to wear off, but do not squeeze the foot a little bit of effort, but leather uppers are not s"&amp;"uspected of feels too smooth point there is no smell of leather ......")</f>
        <v>Martin boots into a single pit 4/9 4/17 4/23 shipments, DHL Express is to force the hand shoe size usually looks good on 36.5 and 37 can wear these shoes to wear to wear off, but do not squeeze the foot a little bit of effort, but leather uppers are not suspected of feels too smooth point there is no smell of leather ......</v>
      </c>
    </row>
    <row r="6908">
      <c r="A6908" s="1">
        <v>5.0</v>
      </c>
      <c r="B6908" s="1" t="s">
        <v>6874</v>
      </c>
      <c r="C6908" t="str">
        <f>IFERROR(__xludf.DUMMYFUNCTION("GOOGLETRANSLATE(B6908, ""zh"", ""en"")"),"Good Very good quality, fast delivery, it is recommended")</f>
        <v>Good Very good quality, fast delivery, it is recommended</v>
      </c>
    </row>
    <row r="6909">
      <c r="A6909" s="1">
        <v>5.0</v>
      </c>
      <c r="B6909" s="1" t="s">
        <v>6875</v>
      </c>
      <c r="C6909" t="str">
        <f>IFERROR(__xludf.DUMMYFUNCTION("GOOGLETRANSLATE(B6909, ""zh"", ""en"")"),"Satisfying shopping size is accurate, the price was right, the logistics faster than expected")</f>
        <v>Satisfying shopping size is accurate, the price was right, the logistics faster than expected</v>
      </c>
    </row>
    <row r="6910">
      <c r="A6910" s="1">
        <v>5.0</v>
      </c>
      <c r="B6910" s="1" t="s">
        <v>6876</v>
      </c>
      <c r="C6910" t="str">
        <f>IFERROR(__xludf.DUMMYFUNCTION("GOOGLETRANSLATE(B6910, ""zh"", ""en"")"),"Worth stockpile wow, good to force a shopping experience, very favorable, the quality did not have to say, more than two store")</f>
        <v>Worth stockpile wow, good to force a shopping experience, very favorable, the quality did not have to say, more than two store</v>
      </c>
    </row>
    <row r="6911">
      <c r="A6911" s="1">
        <v>5.0</v>
      </c>
      <c r="B6911" s="1" t="s">
        <v>6877</v>
      </c>
      <c r="C6911" t="str">
        <f>IFERROR(__xludf.DUMMYFUNCTION("GOOGLETRANSLATE(B6911, ""zh"", ""en"")"),"Small, lightweight and very compact and lightweight insulation, put the bag inside carry.")</f>
        <v>Small, lightweight and very compact and lightweight insulation, put the bag inside carry.</v>
      </c>
    </row>
    <row r="6912">
      <c r="A6912" s="1">
        <v>5.0</v>
      </c>
      <c r="B6912" s="1" t="s">
        <v>6878</v>
      </c>
      <c r="C6912" t="str">
        <f>IFERROR(__xludf.DUMMYFUNCTION("GOOGLETRANSLATE(B6912, ""zh"", ""en"")"),"Perfect very good value for money a lot cheaper than domestic 660 wild hand works well")</f>
        <v>Perfect very good value for money a lot cheaper than domestic 660 wild hand works well</v>
      </c>
    </row>
    <row r="6913">
      <c r="A6913" s="1">
        <v>5.0</v>
      </c>
      <c r="B6913" s="1" t="s">
        <v>6879</v>
      </c>
      <c r="C6913" t="str">
        <f>IFERROR(__xludf.DUMMYFUNCTION("GOOGLETRANSLATE(B6913, ""zh"", ""en"")"),"Value for money, good shoes, excellent workmanship, quality, not disappointed. . .")</f>
        <v>Value for money, good shoes, excellent workmanship, quality, not disappointed. . .</v>
      </c>
    </row>
    <row r="6914">
      <c r="A6914" s="1">
        <v>5.0</v>
      </c>
      <c r="B6914" s="1" t="s">
        <v>6880</v>
      </c>
      <c r="C6914" t="str">
        <f>IFERROR(__xludf.DUMMYFUNCTION("GOOGLETRANSLATE(B6914, ""zh"", ""en"")"),"I liked it, hope the quality can be guaranteed after a long wait for three months, finally received. good stuff. Accessories are full. Value. I am ready to buy Amazon prime members. Amazon's service Awesome")</f>
        <v>I liked it, hope the quality can be guaranteed after a long wait for three months, finally received. good stuff. Accessories are full. Value. I am ready to buy Amazon prime members. Amazon's service Awesome</v>
      </c>
    </row>
    <row r="6915">
      <c r="A6915" s="1">
        <v>2.0</v>
      </c>
      <c r="B6915" s="1" t="s">
        <v>6881</v>
      </c>
      <c r="C6915" t="str">
        <f>IFERROR(__xludf.DUMMYFUNCTION("GOOGLETRANSLATE(B6915, ""zh"", ""en"")"),"He scratched a long scratches, heart stopper")</f>
        <v>He scratched a long scratches, heart stopper</v>
      </c>
    </row>
    <row r="6916">
      <c r="A6916" s="1">
        <v>3.0</v>
      </c>
      <c r="B6916" s="1" t="s">
        <v>6882</v>
      </c>
      <c r="C6916" t="str">
        <f>IFERROR(__xludf.DUMMYFUNCTION("GOOGLETRANSLATE(B6916, ""zh"", ""en"")"),"Clothes size is too large, the quality okay. Colleagues called to help buy clothes size to be larger than the normal size of some stature may be foreigners is not the same, no way, not back when he had to let pajamas to wear, ha ha ha")</f>
        <v>Clothes size is too large, the quality okay. Colleagues called to help buy clothes size to be larger than the normal size of some stature may be foreigners is not the same, no way, not back when he had to let pajamas to wear, ha ha ha</v>
      </c>
    </row>
    <row r="6917">
      <c r="A6917" s="1">
        <v>3.0</v>
      </c>
      <c r="B6917" s="1" t="s">
        <v>6883</v>
      </c>
      <c r="C6917" t="str">
        <f>IFERROR(__xludf.DUMMYFUNCTION("GOOGLETRANSLATE(B6917, ""zh"", ""en"")"),"General My height 177, weight 73, bought s code, some small. Shirt material feel in general, it seems relatively low-end, work does not work, and there are many places thread off-line, one-half of the total price goods.")</f>
        <v>General My height 177, weight 73, bought s code, some small. Shirt material feel in general, it seems relatively low-end, work does not work, and there are many places thread off-line, one-half of the total price goods.</v>
      </c>
    </row>
    <row r="6918">
      <c r="A6918" s="1">
        <v>1.0</v>
      </c>
      <c r="B6918" s="1" t="s">
        <v>6884</v>
      </c>
      <c r="C6918" t="str">
        <f>IFERROR(__xludf.DUMMYFUNCTION("GOOGLETRANSLATE(B6918, ""zh"", ""en"")"),"Return get our hands on, all broken glass")</f>
        <v>Return get our hands on, all broken glass</v>
      </c>
    </row>
    <row r="6919">
      <c r="A6919" s="1">
        <v>1.0</v>
      </c>
      <c r="B6919" s="1" t="s">
        <v>6885</v>
      </c>
      <c r="C6919" t="str">
        <f>IFERROR(__xludf.DUMMYFUNCTION("GOOGLETRANSLATE(B6919, ""zh"", ""en"")"),"Fakes! fake! I bought in the store with a big change, very crowded feet. Now do not wear!")</f>
        <v>Fakes! fake! I bought in the store with a big change, very crowded feet. Now do not wear!</v>
      </c>
    </row>
    <row r="6920">
      <c r="A6920" s="1">
        <v>4.0</v>
      </c>
      <c r="B6920" s="1" t="s">
        <v>6886</v>
      </c>
      <c r="C6920" t="str">
        <f>IFERROR(__xludf.DUMMYFUNCTION("GOOGLETRANSLATE(B6920, ""zh"", ""en"")"),"Not bad, is to burn, do not block the ear to take back the sound quality was okay, I have heard the fungus does not come out, plug did not change just right, good sound insulation, the line is too thin, is still long, is chicken pot slightly much better")</f>
        <v>Not bad, is to burn, do not block the ear to take back the sound quality was okay, I have heard the fungus does not come out, plug did not change just right, good sound insulation, the line is too thin, is still long, is chicken pot slightly much better</v>
      </c>
    </row>
    <row r="6921">
      <c r="A6921" s="1">
        <v>4.0</v>
      </c>
      <c r="B6921" s="1" t="s">
        <v>6887</v>
      </c>
      <c r="C6921" t="str">
        <f>IFERROR(__xludf.DUMMYFUNCTION("GOOGLETRANSLATE(B6921, ""zh"", ""en"")"),"Belt width is a little rough belt of trousers, rough, but the first layer of leather.")</f>
        <v>Belt width is a little rough belt of trousers, rough, but the first layer of leather.</v>
      </c>
    </row>
    <row r="6922">
      <c r="A6922" s="1">
        <v>4.0</v>
      </c>
      <c r="B6922" s="1" t="s">
        <v>6888</v>
      </c>
      <c r="C6922" t="str">
        <f>IFERROR(__xludf.DUMMYFUNCTION("GOOGLETRANSLATE(B6922, ""zh"", ""en"")"),"Color and expected inconsistent! And the colors in the picture is inconsistent, a lot deeper, I thought this was nearly white, but after receiving found deep khaki, and previously there are several such color pants.")</f>
        <v>Color and expected inconsistent! And the colors in the picture is inconsistent, a lot deeper, I thought this was nearly white, but after receiving found deep khaki, and previously there are several such color pants.</v>
      </c>
    </row>
    <row r="6923">
      <c r="A6923" s="1">
        <v>4.0</v>
      </c>
      <c r="B6923" s="1" t="s">
        <v>6889</v>
      </c>
      <c r="C6923" t="str">
        <f>IFERROR(__xludf.DUMMYFUNCTION("GOOGLETRANSLATE(B6923, ""zh"", ""en"")"),"Toe slightly narrower various comments on the code number is not small differences of opinion, I usually have to wear their music, it is normal length, the toe just slightly narrower, some pinch, if consciously feet wide, it is recommended to go to the ma"&amp;"ll to try or buy most of the code.")</f>
        <v>Toe slightly narrower various comments on the code number is not small differences of opinion, I usually have to wear their music, it is normal length, the toe just slightly narrower, some pinch, if consciously feet wide, it is recommended to go to the mall to try or buy most of the code.</v>
      </c>
    </row>
    <row r="6924">
      <c r="A6924" s="1">
        <v>4.0</v>
      </c>
      <c r="B6924" s="1" t="s">
        <v>6890</v>
      </c>
      <c r="C6924" t="str">
        <f>IFERROR(__xludf.DUMMYFUNCTION("GOOGLETRANSLATE(B6924, ""zh"", ""en"")"),"Black Black Black five five real discount purchase may discount the intensity is too large, the delay in delivery, three months after receipt. Toothbrush good, very suitable for home use.")</f>
        <v>Black Black Black five five real discount purchase may discount the intensity is too large, the delay in delivery, three months after receipt. Toothbrush good, very suitable for home use.</v>
      </c>
    </row>
    <row r="6925">
      <c r="A6925" s="1">
        <v>5.0</v>
      </c>
      <c r="B6925" s="1" t="s">
        <v>6891</v>
      </c>
      <c r="C6925" t="str">
        <f>IFERROR(__xludf.DUMMYFUNCTION("GOOGLETRANSLATE(B6925, ""zh"", ""en"")"),"Not bad, cheap to buy, but also harness this brand, I believe the brand, I believe Amazon")</f>
        <v>Not bad, cheap to buy, but also harness this brand, I believe the brand, I believe Amazon</v>
      </c>
    </row>
    <row r="6926">
      <c r="A6926" s="1">
        <v>5.0</v>
      </c>
      <c r="B6926" s="1" t="s">
        <v>6892</v>
      </c>
      <c r="C6926" t="str">
        <f>IFERROR(__xludf.DUMMYFUNCTION("GOOGLETRANSLATE(B6926, ""zh"", ""en"")"),"White champion sweater white sweater, or good, like")</f>
        <v>White champion sweater white sweater, or good, like</v>
      </c>
    </row>
    <row r="6927">
      <c r="A6927" s="1">
        <v>5.0</v>
      </c>
      <c r="B6927" s="1" t="s">
        <v>6893</v>
      </c>
      <c r="C6927" t="str">
        <f>IFERROR(__xludf.DUMMYFUNCTION("GOOGLETRANSLATE(B6927, ""zh"", ""en"")"),"This paragraph is rare in recent years, I high cost of jeans ...... really good! I often deal is perfect for the office and take the needs of the market, trousers classic style (plain, generous) comfortable, better is the material has a very excellent ela"&amp;"sticity, let stretch my legs as much as possible, and to keep the great lower body stature (especially excellent slimming effect), and I continuous purchase orders, really rare good pants !!")</f>
        <v>This paragraph is rare in recent years, I high cost of jeans ...... really good! I often deal is perfect for the office and take the needs of the market, trousers classic style (plain, generous) comfortable, better is the material has a very excellent elasticity, let stretch my legs as much as possible, and to keep the great lower body stature (especially excellent slimming effect), and I continuous purchase orders, really rare good pants !!</v>
      </c>
    </row>
    <row r="6928">
      <c r="A6928" s="1">
        <v>5.0</v>
      </c>
      <c r="B6928" s="1" t="s">
        <v>6894</v>
      </c>
      <c r="C6928" t="str">
        <f>IFERROR(__xludf.DUMMYFUNCTION("GOOGLETRANSLATE(B6928, ""zh"", ""en"")"),"The Q can also be right too, cheaper than domestic,")</f>
        <v>The Q can also be right too, cheaper than domestic,</v>
      </c>
    </row>
    <row r="6929">
      <c r="A6929" s="1">
        <v>5.0</v>
      </c>
      <c r="B6929" s="1" t="s">
        <v>6895</v>
      </c>
      <c r="C6929" t="str">
        <f>IFERROR(__xludf.DUMMYFUNCTION("GOOGLETRANSLATE(B6929, ""zh"", ""en"")"),"I hope to have been able to free shipping free shipping until finally, the water quality is not good at home, essential goods")</f>
        <v>I hope to have been able to free shipping free shipping until finally, the water quality is not good at home, essential goods</v>
      </c>
    </row>
    <row r="6930">
      <c r="A6930" s="1">
        <v>5.0</v>
      </c>
      <c r="B6930" s="1" t="s">
        <v>6896</v>
      </c>
      <c r="C6930" t="str">
        <f>IFERROR(__xludf.DUMMYFUNCTION("GOOGLETRANSLATE(B6930, ""zh"", ""en"")"),"Asahi shoes to wear good shoes, usually 38, 39 sports shoes, bought 24.5 this slightly larger, it should be 24, according to buy shoes. Comfortable to wear than Converse, Asahi shoes children wear several pairs, and good wear Converse easier to open plast"&amp;"ic, Asahi will not break through the plastic, and high cost")</f>
        <v>Asahi shoes to wear good shoes, usually 38, 39 sports shoes, bought 24.5 this slightly larger, it should be 24, according to buy shoes. Comfortable to wear than Converse, Asahi shoes children wear several pairs, and good wear Converse easier to open plastic, Asahi will not break through the plastic, and high cost</v>
      </c>
    </row>
    <row r="6931">
      <c r="A6931" s="1">
        <v>5.0</v>
      </c>
      <c r="B6931" s="1" t="s">
        <v>6897</v>
      </c>
      <c r="C6931" t="str">
        <f>IFERROR(__xludf.DUMMYFUNCTION("GOOGLETRANSLATE(B6931, ""zh"", ""en"")"),"I am very appropriate height 170cm, weight 90kg, wearing a very fit 34 * 30. Pants are cotton, very comfortable")</f>
        <v>I am very appropriate height 170cm, weight 90kg, wearing a very fit 34 * 30. Pants are cotton, very comfortable</v>
      </c>
    </row>
    <row r="6932">
      <c r="A6932" s="1">
        <v>5.0</v>
      </c>
      <c r="B6932" s="1" t="s">
        <v>6898</v>
      </c>
      <c r="C6932" t="str">
        <f>IFERROR(__xludf.DUMMYFUNCTION("GOOGLETRANSLATE(B6932, ""zh"", ""en"")"),"Easy to use good, absorbent! Night with a long.")</f>
        <v>Easy to use good, absorbent! Night with a long.</v>
      </c>
    </row>
    <row r="6933">
      <c r="A6933" s="1">
        <v>5.0</v>
      </c>
      <c r="B6933" s="1" t="s">
        <v>6899</v>
      </c>
      <c r="C6933" t="str">
        <f>IFERROR(__xludf.DUMMYFUNCTION("GOOGLETRANSLATE(B6933, ""zh"", ""en"")"),"Very nice calm atmosphere, comfortable, ultra low-cost 440 starts, 44 yards positive fit 😎😎")</f>
        <v>Very nice calm atmosphere, comfortable, ultra low-cost 440 starts, 44 yards positive fit 😎😎</v>
      </c>
    </row>
    <row r="6934">
      <c r="A6934" s="1">
        <v>5.0</v>
      </c>
      <c r="B6934" s="1" t="s">
        <v>6900</v>
      </c>
      <c r="C6934" t="str">
        <f>IFERROR(__xludf.DUMMYFUNCTION("GOOGLETRANSLATE(B6934, ""zh"", ""en"")"),"Super like the right size, the right size, from UK warehouse shipments a week hand, praise!")</f>
        <v>Super like the right size, the right size, from UK warehouse shipments a week hand, praise!</v>
      </c>
    </row>
    <row r="6935">
      <c r="A6935" s="1">
        <v>5.0</v>
      </c>
      <c r="B6935" s="1" t="s">
        <v>6901</v>
      </c>
      <c r="C6935" t="str">
        <f>IFERROR(__xludf.DUMMYFUNCTION("GOOGLETRANSLATE(B6935, ""zh"", ""en"")"),"Good very good, looks very comfortable")</f>
        <v>Good very good, looks very comfortable</v>
      </c>
    </row>
    <row r="6936">
      <c r="A6936" s="1">
        <v>5.0</v>
      </c>
      <c r="B6936" s="1" t="s">
        <v>6902</v>
      </c>
      <c r="C6936" t="str">
        <f>IFERROR(__xludf.DUMMYFUNCTION("GOOGLETRANSLATE(B6936, ""zh"", ""en"")"),"👌 read write speed quickly, use the camera to shoot the delay, the original 16G not enough")</f>
        <v>👌 read write speed quickly, use the camera to shoot the delay, the original 16G not enough</v>
      </c>
    </row>
    <row r="6937">
      <c r="A6937" s="1">
        <v>5.0</v>
      </c>
      <c r="B6937" s="1" t="s">
        <v>6903</v>
      </c>
      <c r="C6937" t="str">
        <f>IFERROR(__xludf.DUMMYFUNCTION("GOOGLETRANSLATE(B6937, ""zh"", ""en"")"),"Classic ear first will not be disappointed, I did not feel so cold comments, three-band EQ, one of the classic 2 $ level, you can also direct push 250 ohm")</f>
        <v>Classic ear first will not be disappointed, I did not feel so cold comments, three-band EQ, one of the classic 2 $ level, you can also direct push 250 ohm</v>
      </c>
    </row>
    <row r="6938">
      <c r="A6938" s="1">
        <v>5.0</v>
      </c>
      <c r="B6938" s="1" t="s">
        <v>6904</v>
      </c>
      <c r="C6938" t="str">
        <f>IFERROR(__xludf.DUMMYFUNCTION("GOOGLETRANSLATE(B6938, ""zh"", ""en"")"),"Value for money all-new, non-detection of bad sectors, there is no express time-out, the actual available 7.27T, it now appears, this is a satisfying shopping experience. Sound when using a big, feel Hao Fan ......")</f>
        <v>Value for money all-new, non-detection of bad sectors, there is no express time-out, the actual available 7.27T, it now appears, this is a satisfying shopping experience. Sound when using a big, feel Hao Fan ......</v>
      </c>
    </row>
    <row r="6939">
      <c r="A6939" s="1">
        <v>5.0</v>
      </c>
      <c r="B6939" s="1" t="s">
        <v>6905</v>
      </c>
      <c r="C6939" t="str">
        <f>IFERROR(__xludf.DUMMYFUNCTION("GOOGLETRANSLATE(B6939, ""zh"", ""en"")"),"Good product good, also comes with a pencil sharpener")</f>
        <v>Good product good, also comes with a pencil sharpener</v>
      </c>
    </row>
    <row r="6940">
      <c r="A6940" s="1">
        <v>5.0</v>
      </c>
      <c r="B6940" s="1" t="s">
        <v>6906</v>
      </c>
      <c r="C6940" t="str">
        <f>IFERROR(__xludf.DUMMYFUNCTION("GOOGLETRANSLATE(B6940, ""zh"", ""en"")"),"Good results, activities to buy very affordable machine dishwashing block has been used, a long time will be a little grease to clean up is not clean taste, borrow activities to buy, relatively affordable, looks good.")</f>
        <v>Good results, activities to buy very affordable machine dishwashing block has been used, a long time will be a little grease to clean up is not clean taste, borrow activities to buy, relatively affordable, looks good.</v>
      </c>
    </row>
    <row r="6941">
      <c r="A6941" s="1">
        <v>5.0</v>
      </c>
      <c r="B6941" s="1" t="s">
        <v>6907</v>
      </c>
      <c r="C6941" t="str">
        <f>IFERROR(__xludf.DUMMYFUNCTION("GOOGLETRANSLATE(B6941, ""zh"", ""en"")"),"Practical useful, baby porridge soup are particularly convenient, you can hold your own drink.")</f>
        <v>Practical useful, baby porridge soup are particularly convenient, you can hold your own drink.</v>
      </c>
    </row>
    <row r="6942">
      <c r="A6942" s="1">
        <v>5.0</v>
      </c>
      <c r="B6942" s="1" t="s">
        <v>6908</v>
      </c>
      <c r="C6942" t="str">
        <f>IFERROR(__xludf.DUMMYFUNCTION("GOOGLETRANSLATE(B6942, ""zh"", ""en"")"),"Second purchase very practical, very practical, driving more convenient")</f>
        <v>Second purchase very practical, very practical, driving more convenient</v>
      </c>
    </row>
    <row r="6943">
      <c r="A6943" s="1">
        <v>5.0</v>
      </c>
      <c r="B6943" s="1" t="s">
        <v>6909</v>
      </c>
      <c r="C6943" t="str">
        <f>IFERROR(__xludf.DUMMYFUNCTION("GOOGLETRANSLATE(B6943, ""zh"", ""en"")"),"This table is really good really good, not easy to scratch the plane of the lens, very clear, very simple dial. Workmanship is very good, cost-effective. Cons: second hand always seem unlikely to be able to align numbers, jumping between digital, looking "&amp;"more depressed.")</f>
        <v>This table is really good really good, not easy to scratch the plane of the lens, very clear, very simple dial. Workmanship is very good, cost-effective. Cons: second hand always seem unlikely to be able to align numbers, jumping between digital, looking more depressed.</v>
      </c>
    </row>
    <row r="6944">
      <c r="A6944" s="1">
        <v>5.0</v>
      </c>
      <c r="B6944" s="1" t="s">
        <v>6910</v>
      </c>
      <c r="C6944" t="str">
        <f>IFERROR(__xludf.DUMMYFUNCTION("GOOGLETRANSLATE(B6944, ""zh"", ""en"")"),"Very easy to use Flush whole mouth feeling very comfortable, that is, some tongue Ma Ma, I usually rinse after brushing their teeth, brushing may be more thorough, not much coming out of each food scraps ~")</f>
        <v>Very easy to use Flush whole mouth feeling very comfortable, that is, some tongue Ma Ma, I usually rinse after brushing their teeth, brushing may be more thorough, not much coming out of each food scraps ~</v>
      </c>
    </row>
    <row r="6945">
      <c r="A6945" s="1">
        <v>5.0</v>
      </c>
      <c r="B6945" s="1" t="s">
        <v>6911</v>
      </c>
      <c r="C6945" t="str">
        <f>IFERROR(__xludf.DUMMYFUNCTION("GOOGLETRANSLATE(B6945, ""zh"", ""en"")"),"Really good for postpartum really good, especially for postpartum abdominal feeling pressure, no pressure thighs buttocks are not curling. As for the effect also need to adhere to know")</f>
        <v>Really good for postpartum really good, especially for postpartum abdominal feeling pressure, no pressure thighs buttocks are not curling. As for the effect also need to adhere to know</v>
      </c>
    </row>
    <row r="6946">
      <c r="A6946" s="1">
        <v>5.0</v>
      </c>
      <c r="B6946" s="1" t="s">
        <v>6912</v>
      </c>
      <c r="C6946" t="str">
        <f>IFERROR(__xludf.DUMMYFUNCTION("GOOGLETRANSLATE(B6946, ""zh"", ""en"")"),"Just a little squeeze on foot, wearing a long time I was a little like hallux valgus, the foot a little bit wide. Just on the side of the foot a little squeeze feet, but less than half a day to wear on the loose, the follow-up to wear very comfortable! sa"&amp;"tisfaction!")</f>
        <v>Just a little squeeze on foot, wearing a long time I was a little like hallux valgus, the foot a little bit wide. Just on the side of the foot a little squeeze feet, but less than half a day to wear on the loose, the follow-up to wear very comfortable! satisfaction!</v>
      </c>
    </row>
    <row r="6947">
      <c r="A6947" s="1">
        <v>2.0</v>
      </c>
      <c r="B6947" s="1" t="s">
        <v>6913</v>
      </c>
      <c r="C6947" t="str">
        <f>IFERROR(__xludf.DUMMYFUNCTION("GOOGLETRANSLATE(B6947, ""zh"", ""en"")"),"Not quite that good-looking dial is too small, it does not look real big picture")</f>
        <v>Not quite that good-looking dial is too small, it does not look real big picture</v>
      </c>
    </row>
    <row r="6948">
      <c r="A6948" s="1">
        <v>3.0</v>
      </c>
      <c r="B6948" s="1" t="s">
        <v>6914</v>
      </c>
      <c r="C6948" t="str">
        <f>IFERROR(__xludf.DUMMYFUNCTION("GOOGLETRANSLATE(B6948, ""zh"", ""en"")"),"Quite a bit tasteless tasteless, not as full of fun and health.")</f>
        <v>Quite a bit tasteless tasteless, not as full of fun and health.</v>
      </c>
    </row>
    <row r="6949">
      <c r="A6949" s="1">
        <v>3.0</v>
      </c>
      <c r="B6949" s="1" t="s">
        <v>6915</v>
      </c>
      <c r="C6949" t="str">
        <f>IFERROR(__xludf.DUMMYFUNCTION("GOOGLETRANSLATE(B6949, ""zh"", ""en"")"),"The reason more accurate size to Samsung, because the total orders to buy three, divided the two parcels sent, which is completely inconsistent with a single piece of clothing style version sent by commodity type and description, tag lock on the button, a"&amp;"nd fixed position mode of origin are not the same, colors and pictures have the apparent inconsistency. Originally these alone can only give a star, but the other two still consistent style color, overseas purchase return trouble, Amazon shopping for so l"&amp;"ong, this is the first encounter.")</f>
        <v>The reason more accurate size to Samsung, because the total orders to buy three, divided the two parcels sent, which is completely inconsistent with a single piece of clothing style version sent by commodity type and description, tag lock on the button, and fixed position mode of origin are not the same, colors and pictures have the apparent inconsistency. Originally these alone can only give a star, but the other two still consistent style color, overseas purchase return trouble, Amazon shopping for so long, this is the first encounter.</v>
      </c>
    </row>
    <row r="6950">
      <c r="A6950" s="1">
        <v>1.0</v>
      </c>
      <c r="B6950" s="1" t="s">
        <v>6916</v>
      </c>
      <c r="C6950" t="str">
        <f>IFERROR(__xludf.DUMMYFUNCTION("GOOGLETRANSLATE(B6950, ""zh"", ""en"")"),"Fake like fake! ! !")</f>
        <v>Fake like fake! ! !</v>
      </c>
    </row>
    <row r="6951">
      <c r="A6951" s="1">
        <v>1.0</v>
      </c>
      <c r="B6951" s="1" t="s">
        <v>6917</v>
      </c>
      <c r="C6951" t="str">
        <f>IFERROR(__xludf.DUMMYFUNCTION("GOOGLETRANSLATE(B6951, ""zh"", ""en"")"),"Puma bought their first product also can not be considered particularly good. Some smaller shoe size")</f>
        <v>Puma bought their first product also can not be considered particularly good. Some smaller shoe size</v>
      </c>
    </row>
    <row r="6952">
      <c r="A6952" s="1">
        <v>1.0</v>
      </c>
      <c r="B6952" s="1" t="s">
        <v>6918</v>
      </c>
      <c r="C6952" t="str">
        <f>IFERROR(__xludf.DUMMYFUNCTION("GOOGLETRANSLATE(B6952, ""zh"", ""en"")"),"Doubt I am not really bought two sets, after the arrival of Japan sent to see did not look carefully, ready to make use of the package and found the page does not match the pictures, not the same as before Nichia self-buy, not know is not genuine. The Lim"&amp;"ited Edition package labeling, packaging color heavier, there are vague sense of writing, no music and elegant English words on a napkin-chip packaging, sealing small blue bar is self-wing word Nichia white, overseas shopping is transparent the Nichia sel"&amp;"f-wrapping paper and sanitary napkins close fit, indentation, overseas purchase of the overall feeling a bit rough, not neat, and re-open after a sanitary napkin white glossy than Nichia self-employed. Had wanted to return, customer service said the resul"&amp;"ts of freight to themselves. I would not purchase abroad, but also to remind the other sellers careful, try to import it or Nichia.")</f>
        <v>Doubt I am not really bought two sets, after the arrival of Japan sent to see did not look carefully, ready to make use of the package and found the page does not match the pictures, not the same as before Nichia self-buy, not know is not genuine. The Limited Edition package labeling, packaging color heavier, there are vague sense of writing, no music and elegant English words on a napkin-chip packaging, sealing small blue bar is self-wing word Nichia white, overseas shopping is transparent the Nichia self-wrapping paper and sanitary napkins close fit, indentation, overseas purchase of the overall feeling a bit rough, not neat, and re-open after a sanitary napkin white glossy than Nichia self-employed. Had wanted to return, customer service said the results of freight to themselves. I would not purchase abroad, but also to remind the other sellers careful, try to import it or Nichia.</v>
      </c>
    </row>
    <row r="6953">
      <c r="A6953" s="1">
        <v>4.0</v>
      </c>
      <c r="B6953" s="1" t="s">
        <v>6919</v>
      </c>
      <c r="C6953" t="str">
        <f>IFERROR(__xludf.DUMMYFUNCTION("GOOGLETRANSLATE(B6953, ""zh"", ""en"")"),"No producer, how else ah bought three bottles, bottle labels crooked, including a bottle of no production, the silent, Amazon hopes to give a statement.")</f>
        <v>No producer, how else ah bought three bottles, bottle labels crooked, including a bottle of no production, the silent, Amazon hopes to give a statement.</v>
      </c>
    </row>
    <row r="6954">
      <c r="A6954" s="1">
        <v>4.0</v>
      </c>
      <c r="B6954" s="1" t="s">
        <v>6920</v>
      </c>
      <c r="C6954" t="str">
        <f>IFERROR(__xludf.DUMMYFUNCTION("GOOGLETRANSLATE(B6954, ""zh"", ""en"")"),"The appearance of quality looks okay good six days on hand is still much faster than expected in Japan sent do not know! There should be a new resin coating smell great little worried. Insulation effect is very good!")</f>
        <v>The appearance of quality looks okay good six days on hand is still much faster than expected in Japan sent do not know! There should be a new resin coating smell great little worried. Insulation effect is very good!</v>
      </c>
    </row>
    <row r="6955">
      <c r="A6955" s="1">
        <v>4.0</v>
      </c>
      <c r="B6955" s="1" t="s">
        <v>6921</v>
      </c>
      <c r="C6955" t="str">
        <f>IFERROR(__xludf.DUMMYFUNCTION("GOOGLETRANSLATE(B6955, ""zh"", ""en"")"),"Something good something good, but baby do not love absorb, may not be accustomed to.")</f>
        <v>Something good something good, but baby do not love absorb, may not be accustomed to.</v>
      </c>
    </row>
    <row r="6956">
      <c r="A6956" s="1">
        <v>4.0</v>
      </c>
      <c r="B6956" s="1" t="s">
        <v>6922</v>
      </c>
      <c r="C6956" t="str">
        <f>IFERROR(__xludf.DUMMYFUNCTION("GOOGLETRANSLATE(B6956, ""zh"", ""en"")"),"Classic is very good hey, last year bought five black looks. Tax Kinda makes me speechless, other just fine.")</f>
        <v>Classic is very good hey, last year bought five black looks. Tax Kinda makes me speechless, other just fine.</v>
      </c>
    </row>
    <row r="6957">
      <c r="A6957" s="1">
        <v>4.0</v>
      </c>
      <c r="B6957" s="1" t="s">
        <v>6923</v>
      </c>
      <c r="C6957" t="str">
        <f>IFERROR(__xludf.DUMMYFUNCTION("GOOGLETRANSLATE(B6957, ""zh"", ""en"")"),"Okay 180,75, work another two better than me.")</f>
        <v>Okay 180,75, work another two better than me.</v>
      </c>
    </row>
    <row r="6958">
      <c r="A6958" s="1">
        <v>5.0</v>
      </c>
      <c r="B6958" s="1" t="s">
        <v>6924</v>
      </c>
      <c r="C6958" t="str">
        <f>IFERROR(__xludf.DUMMYFUNCTION("GOOGLETRANSLATE(B6958, ""zh"", ""en"")"),"Recommended very comfortable, this bra after passing through the other do not want to wear a bra")</f>
        <v>Recommended very comfortable, this bra after passing through the other do not want to wear a bra</v>
      </c>
    </row>
    <row r="6959">
      <c r="A6959" s="1">
        <v>5.0</v>
      </c>
      <c r="B6959" s="1" t="s">
        <v>6925</v>
      </c>
      <c r="C6959" t="str">
        <f>IFERROR(__xludf.DUMMYFUNCTION("GOOGLETRANSLATE(B6959, ""zh"", ""en"")"),"A good number of small shoes, small numbers, usually wear 42, Asics 42.5, 43 of these shoes just right, Lynx flagship store for advice 44")</f>
        <v>A good number of small shoes, small numbers, usually wear 42, Asics 42.5, 43 of these shoes just right, Lynx flagship store for advice 44</v>
      </c>
    </row>
    <row r="6960">
      <c r="A6960" s="1">
        <v>5.0</v>
      </c>
      <c r="B6960" s="1" t="s">
        <v>6926</v>
      </c>
      <c r="C6960" t="str">
        <f>IFERROR(__xludf.DUMMYFUNCTION("GOOGLETRANSLATE(B6960, ""zh"", ""en"")"),"Perfect 37 feet buy 4F UK, just right. When returning to the packaging intact, the shoes are in good condition. Very satisfied with the shopping.")</f>
        <v>Perfect 37 feet buy 4F UK, just right. When returning to the packaging intact, the shoes are in good condition. Very satisfied with the shopping.</v>
      </c>
    </row>
    <row r="6961">
      <c r="A6961" s="1">
        <v>5.0</v>
      </c>
      <c r="B6961" s="1" t="s">
        <v>6927</v>
      </c>
      <c r="C6961" t="str">
        <f>IFERROR(__xludf.DUMMYFUNCTION("GOOGLETRANSLATE(B6961, ""zh"", ""en"")"),"Quality is great! Very satisfied with online shopping: great quality, fabric is very comfortable, absorbent quick-drying, suitable for outdoor work activities. 170cm, 63kg, choose M, very fit.")</f>
        <v>Quality is great! Very satisfied with online shopping: great quality, fabric is very comfortable, absorbent quick-drying, suitable for outdoor work activities. 170cm, 63kg, choose M, very fit.</v>
      </c>
    </row>
    <row r="6962">
      <c r="A6962" s="1">
        <v>5.0</v>
      </c>
      <c r="B6962" s="1" t="s">
        <v>6928</v>
      </c>
      <c r="C6962" t="str">
        <f>IFERROR(__xludf.DUMMYFUNCTION("GOOGLETRANSLATE(B6962, ""zh"", ""en"")"),"Nice shirt that I wear a little something good I bought the s code only wanted to try the fish in the free roll-out needs of whisper")</f>
        <v>Nice shirt that I wear a little something good I bought the s code only wanted to try the fish in the free roll-out needs of whisper</v>
      </c>
    </row>
    <row r="6963">
      <c r="A6963" s="1">
        <v>5.0</v>
      </c>
      <c r="B6963" s="1" t="s">
        <v>6929</v>
      </c>
      <c r="C6963" t="str">
        <f>IFERROR(__xludf.DUMMYFUNCTION("GOOGLETRANSLATE(B6963, ""zh"", ""en"")"),"Good quality, authentic Ouma, buy big to send a friend. Injury can not afford to buy overseas Returns")</f>
        <v>Good quality, authentic Ouma, buy big to send a friend. Injury can not afford to buy overseas Returns</v>
      </c>
    </row>
    <row r="6964">
      <c r="A6964" s="1">
        <v>5.0</v>
      </c>
      <c r="B6964" s="1" t="s">
        <v>6930</v>
      </c>
      <c r="C6964" t="str">
        <f>IFERROR(__xludf.DUMMYFUNCTION("GOOGLETRANSLATE(B6964, ""zh"", ""en"")"),"Value a little bit loose, good wear overalls American")</f>
        <v>Value a little bit loose, good wear overalls American</v>
      </c>
    </row>
    <row r="6965">
      <c r="A6965" s="1">
        <v>5.0</v>
      </c>
      <c r="B6965" s="1" t="s">
        <v>6931</v>
      </c>
      <c r="C6965" t="str">
        <f>IFERROR(__xludf.DUMMYFUNCTION("GOOGLETRANSLATE(B6965, ""zh"", ""en"")"),"FIG deeper color than the color has some actual dark point, the saturation is higher, the figure does not look good, but it can. This is a bit like paint I used to buy Thermos paint, be careful to use, relatively easy to paint, hot weather especially care"&amp;"ful, otherwise it is easy to scratch, even a piece torn out -")</f>
        <v>FIG deeper color than the color has some actual dark point, the saturation is higher, the figure does not look good, but it can. This is a bit like paint I used to buy Thermos paint, be careful to use, relatively easy to paint, hot weather especially careful, otherwise it is easy to scratch, even a piece torn out -</v>
      </c>
    </row>
    <row r="6966">
      <c r="A6966" s="1">
        <v>5.0</v>
      </c>
      <c r="B6966" s="1" t="s">
        <v>6932</v>
      </c>
      <c r="C6966" t="str">
        <f>IFERROR(__xludf.DUMMYFUNCTION("GOOGLETRANSLATE(B6966, ""zh"", ""en"")"),"Sennheiser e945 high sensitivity, clear sound.")</f>
        <v>Sennheiser e945 high sensitivity, clear sound.</v>
      </c>
    </row>
    <row r="6967">
      <c r="A6967" s="1">
        <v>5.0</v>
      </c>
      <c r="B6967" s="1" t="s">
        <v>6933</v>
      </c>
      <c r="C6967" t="str">
        <f>IFERROR(__xludf.DUMMYFUNCTION("GOOGLETRANSLATE(B6967, ""zh"", ""en"")"),"Super suitable super appropriate to increase the child brushing fun and enthusiasm")</f>
        <v>Super suitable super appropriate to increase the child brushing fun and enthusiasm</v>
      </c>
    </row>
    <row r="6968">
      <c r="A6968" s="1">
        <v>5.0</v>
      </c>
      <c r="B6968" s="1" t="s">
        <v>6934</v>
      </c>
      <c r="C6968" t="str">
        <f>IFERROR(__xludf.DUMMYFUNCTION("GOOGLETRANSLATE(B6968, ""zh"", ""en"")"),"Plastic safe? Capacity is not easily damaged home cooks have kitchenaid machine includes many accessories, but also broken machine, but not enough dexterity to use, and sometimes want to do the amount of a person, always feel scaled up! Want to buy a hand"&amp;"-held stirring bar stumbled this, handy, low noise, very versatile, and the use of the surface, mix meat, juice are good, easy! Usually stood in there just fine! Out of the way! Very handy!")</f>
        <v>Plastic safe? Capacity is not easily damaged home cooks have kitchenaid machine includes many accessories, but also broken machine, but not enough dexterity to use, and sometimes want to do the amount of a person, always feel scaled up! Want to buy a hand-held stirring bar stumbled this, handy, low noise, very versatile, and the use of the surface, mix meat, juice are good, easy! Usually stood in there just fine! Out of the way! Very handy!</v>
      </c>
    </row>
    <row r="6969">
      <c r="A6969" s="1">
        <v>5.0</v>
      </c>
      <c r="B6969" s="1" t="s">
        <v>6935</v>
      </c>
      <c r="C6969" t="str">
        <f>IFERROR(__xludf.DUMMYFUNCTION("GOOGLETRANSLATE(B6969, ""zh"", ""en"")"),"Very mini, delivery soon. Less than one week delivery, very fast, big box, small tablets to imagine, 4 boxes into a box, not enough general, easy to eat, ha ha.")</f>
        <v>Very mini, delivery soon. Less than one week delivery, very fast, big box, small tablets to imagine, 4 boxes into a box, not enough general, easy to eat, ha ha.</v>
      </c>
    </row>
    <row r="6970">
      <c r="A6970" s="1">
        <v>5.0</v>
      </c>
      <c r="B6970" s="1" t="s">
        <v>6936</v>
      </c>
      <c r="C6970" t="str">
        <f>IFERROR(__xludf.DUMMYFUNCTION("GOOGLETRANSLATE(B6970, ""zh"", ""en"")"),"Work okay size mast, keep winter sets of thick clothes, work is also OK!")</f>
        <v>Work okay size mast, keep winter sets of thick clothes, work is also OK!</v>
      </c>
    </row>
    <row r="6971">
      <c r="A6971" s="1">
        <v>5.0</v>
      </c>
      <c r="B6971" s="1" t="s">
        <v>6937</v>
      </c>
      <c r="C6971" t="str">
        <f>IFERROR(__xludf.DUMMYFUNCTION("GOOGLETRANSLATE(B6971, ""zh"", ""en"")"),"Need a plug converter with very good use. But if the family has kind of a big hole, then three-jack socket can be directly used. Because the big power, the drying speed is also faster. But my lack of hair, may not be a valuable reference. This supple do n"&amp;"ot know whether it was psychological, I think there is.")</f>
        <v>Need a plug converter with very good use. But if the family has kind of a big hole, then three-jack socket can be directly used. Because the big power, the drying speed is also faster. But my lack of hair, may not be a valuable reference. This supple do not know whether it was psychological, I think there is.</v>
      </c>
    </row>
    <row r="6972">
      <c r="A6972" s="1">
        <v>5.0</v>
      </c>
      <c r="B6972" s="1" t="s">
        <v>6938</v>
      </c>
      <c r="C6972" t="str">
        <f>IFERROR(__xludf.DUMMYFUNCTION("GOOGLETRANSLATE(B6972, ""zh"", ""en"")"),"Open headphones sound good value for money is very good, basically do not burn, but also very comfortable to wear, the ears will not hurt. Sounds pretty good, right, the price is considered good value for money, with the phone number of poor results, with"&amp;" the player will be much better. That looks very fragile, hoping to live long, durable bar.")</f>
        <v>Open headphones sound good value for money is very good, basically do not burn, but also very comfortable to wear, the ears will not hurt. Sounds pretty good, right, the price is considered good value for money, with the phone number of poor results, with the player will be much better. That looks very fragile, hoping to live long, durable bar.</v>
      </c>
    </row>
    <row r="6973">
      <c r="A6973" s="1">
        <v>5.0</v>
      </c>
      <c r="B6973" s="1" t="s">
        <v>6939</v>
      </c>
      <c r="C6973" t="str">
        <f>IFERROR(__xludf.DUMMYFUNCTION("GOOGLETRANSLATE(B6973, ""zh"", ""en"")"),"Like good cheap price, buy M lenient, comfortable and breathable")</f>
        <v>Like good cheap price, buy M lenient, comfortable and breathable</v>
      </c>
    </row>
    <row r="6974">
      <c r="A6974" s="1">
        <v>5.0</v>
      </c>
      <c r="B6974" s="1" t="s">
        <v>6940</v>
      </c>
      <c r="C6974" t="str">
        <f>IFERROR(__xludf.DUMMYFUNCTION("GOOGLETRANSLATE(B6974, ""zh"", ""en"")"),"Very comfortable inside label is really long wanted to tear down")</f>
        <v>Very comfortable inside label is really long wanted to tear down</v>
      </c>
    </row>
    <row r="6975">
      <c r="A6975" s="1">
        <v>5.0</v>
      </c>
      <c r="B6975" s="1" t="s">
        <v>6941</v>
      </c>
      <c r="C6975" t="str">
        <f>IFERROR(__xludf.DUMMYFUNCTION("GOOGLETRANSLATE(B6975, ""zh"", ""en"")"),"The high cost has been used 3-4 times. 1, packaging intact. 2, using a very simple, clean and very convenient. 3, can DIY haircut, save money. In summary, a very successful first purchase.")</f>
        <v>The high cost has been used 3-4 times. 1, packaging intact. 2, using a very simple, clean and very convenient. 3, can DIY haircut, save money. In summary, a very successful first purchase.</v>
      </c>
    </row>
    <row r="6976">
      <c r="A6976" s="1">
        <v>5.0</v>
      </c>
      <c r="B6976" s="1" t="s">
        <v>6942</v>
      </c>
      <c r="C6976" t="str">
        <f>IFERROR(__xludf.DUMMYFUNCTION("GOOGLETRANSLATE(B6976, ""zh"", ""en"")"),"wow! New Year gift !! Like explosion is prepared for the male vote can not wait to give him La (1 • ㅂ •) و❤️")</f>
        <v>wow! New Year gift !! Like explosion is prepared for the male vote can not wait to give him La (1 • ㅂ •) و❤️</v>
      </c>
    </row>
    <row r="6977">
      <c r="A6977" s="1">
        <v>5.0</v>
      </c>
      <c r="B6977" s="1" t="s">
        <v>6943</v>
      </c>
      <c r="C6977" t="str">
        <f>IFERROR(__xludf.DUMMYFUNCTION("GOOGLETRANSLATE(B6977, ""zh"", ""en"")"),"Good buy sports wear, material is very comfortable, very proper pants")</f>
        <v>Good buy sports wear, material is very comfortable, very proper pants</v>
      </c>
    </row>
    <row r="6978">
      <c r="A6978" s="1">
        <v>5.0</v>
      </c>
      <c r="B6978" s="1" t="s">
        <v>6944</v>
      </c>
      <c r="C6978" t="str">
        <f>IFERROR(__xludf.DUMMYFUNCTION("GOOGLETRANSLATE(B6978, ""zh"", ""en"")"),"u disk speed is 1.5 times faster than the normal upgrade u disk speed today arrived earlier than expected super satisfied cheaper than Jingdong two hundred")</f>
        <v>u disk speed is 1.5 times faster than the normal upgrade u disk speed today arrived earlier than expected super satisfied cheaper than Jingdong two hundred</v>
      </c>
    </row>
    <row r="6979">
      <c r="A6979" s="1">
        <v>5.0</v>
      </c>
      <c r="B6979" s="1" t="s">
        <v>6945</v>
      </c>
      <c r="C6979" t="str">
        <f>IFERROR(__xludf.DUMMYFUNCTION("GOOGLETRANSLATE(B6979, ""zh"", ""en"")"),"Stockpile stockpile, this brand shoes are good")</f>
        <v>Stockpile stockpile, this brand shoes are good</v>
      </c>
    </row>
    <row r="6980">
      <c r="A6980" s="1">
        <v>2.0</v>
      </c>
      <c r="B6980" s="1" t="s">
        <v>6946</v>
      </c>
      <c r="C6980" t="str">
        <f>IFERROR(__xludf.DUMMYFUNCTION("GOOGLETRANSLATE(B6980, ""zh"", ""en"")"),"Allergy may be recommended to counter the trial in the counter to buy Shiquandabu mask with a very good, but after two bottles of cream with a severe allergy eyes, eye redness after another off the first layer of skin ... skin care products for allergy bu"&amp;"t this is the first time a bottle of eye cream, so I do not know whether it was the real thing.")</f>
        <v>Allergy may be recommended to counter the trial in the counter to buy Shiquandabu mask with a very good, but after two bottles of cream with a severe allergy eyes, eye redness after another off the first layer of skin ... skin care products for allergy but this is the first time a bottle of eye cream, so I do not know whether it was the real thing.</v>
      </c>
    </row>
    <row r="6981">
      <c r="A6981" s="1">
        <v>3.0</v>
      </c>
      <c r="B6981" s="1" t="s">
        <v>6947</v>
      </c>
      <c r="C6981" t="str">
        <f>IFERROR(__xludf.DUMMYFUNCTION("GOOGLETRANSLATE(B6981, ""zh"", ""en"")"),"Not satisfied with the 39 foot wearing the proper shoes, but obviously not as good as the quality before you buy with the money memory mat hard and with a smelly plastic taste has estimated excess glue wear soon")</f>
        <v>Not satisfied with the 39 foot wearing the proper shoes, but obviously not as good as the quality before you buy with the money memory mat hard and with a smelly plastic taste has estimated excess glue wear soon</v>
      </c>
    </row>
    <row r="6982">
      <c r="A6982" s="1">
        <v>3.0</v>
      </c>
      <c r="B6982" s="1" t="s">
        <v>6948</v>
      </c>
      <c r="C6982" t="str">
        <f>IFERROR(__xludf.DUMMYFUNCTION("GOOGLETRANSLATE(B6982, ""zh"", ""en"")"),"Also you can spike the first time to send over there is a broken core, and the second time to send over is also OK, slightly better than domestic brands")</f>
        <v>Also you can spike the first time to send over there is a broken core, and the second time to send over is also OK, slightly better than domestic brands</v>
      </c>
    </row>
    <row r="6983">
      <c r="A6983" s="1">
        <v>3.0</v>
      </c>
      <c r="B6983" s="1" t="s">
        <v>6949</v>
      </c>
      <c r="C6983" t="str">
        <f>IFERROR(__xludf.DUMMYFUNCTION("GOOGLETRANSLATE(B6983, ""zh"", ""en"")"),"Thermos natural things well, but unfortunately they are buying on promotion. Something good to the five-star, after all, buy n times Thermos but just got finished a still in transit to 20% off a heart hurts, I feel the loss of a million has been not the f"&amp;"irst time this happens a few times more than it is Amazon was great and China is not no price protection system.")</f>
        <v>Thermos natural things well, but unfortunately they are buying on promotion. Something good to the five-star, after all, buy n times Thermos but just got finished a still in transit to 20% off a heart hurts, I feel the loss of a million has been not the first time this happens a few times more than it is Amazon was great and China is not no price protection system.</v>
      </c>
    </row>
    <row r="6984">
      <c r="A6984" s="1">
        <v>1.0</v>
      </c>
      <c r="B6984" s="1" t="s">
        <v>6950</v>
      </c>
      <c r="C6984" t="str">
        <f>IFERROR(__xludf.DUMMYFUNCTION("GOOGLETRANSLATE(B6984, ""zh"", ""en"")"),"Vitamin D supplement is a lifetime thing made goods from Hong Kong, true and false unknown. Amazon now cn things become a lot more expensive to buy a large amount of things to consider direct scouring the sea transport more cost effective.")</f>
        <v>Vitamin D supplement is a lifetime thing made goods from Hong Kong, true and false unknown. Amazon now cn things become a lot more expensive to buy a large amount of things to consider direct scouring the sea transport more cost effective.</v>
      </c>
    </row>
    <row r="6985">
      <c r="A6985" s="1">
        <v>1.0</v>
      </c>
      <c r="B6985" s="1" t="s">
        <v>6951</v>
      </c>
      <c r="C6985" t="str">
        <f>IFERROR(__xludf.DUMMYFUNCTION("GOOGLETRANSLATE(B6985, ""zh"", ""en"")"),"Quality problems Cup fever does not heat the body, might as well buy in the store")</f>
        <v>Quality problems Cup fever does not heat the body, might as well buy in the store</v>
      </c>
    </row>
    <row r="6986">
      <c r="A6986" s="1">
        <v>1.0</v>
      </c>
      <c r="B6986" s="1" t="s">
        <v>6952</v>
      </c>
      <c r="C6986" t="str">
        <f>IFERROR(__xludf.DUMMYFUNCTION("GOOGLETRANSLATE(B6986, ""zh"", ""en"")"),"Shoes version too thin too thin right length, too tight too flip")</f>
        <v>Shoes version too thin too thin right length, too tight too flip</v>
      </c>
    </row>
    <row r="6987">
      <c r="A6987" s="1">
        <v>4.0</v>
      </c>
      <c r="B6987" s="1" t="s">
        <v>6953</v>
      </c>
      <c r="C6987" t="str">
        <f>IFERROR(__xludf.DUMMYFUNCTION("GOOGLETRANSLATE(B6987, ""zh"", ""en"")"),"Stockpile still can not determine the true and false, bottle down no taste, but the nipple than the maternal stores of physical hard nipple, the nipple maternal stores very soft and very comfortable, hoard goods in the hope that after the baby easy to use")</f>
        <v>Stockpile still can not determine the true and false, bottle down no taste, but the nipple than the maternal stores of physical hard nipple, the nipple maternal stores very soft and very comfortable, hoard goods in the hope that after the baby easy to use</v>
      </c>
    </row>
    <row r="6988">
      <c r="A6988" s="1">
        <v>4.0</v>
      </c>
      <c r="B6988" s="1" t="s">
        <v>6954</v>
      </c>
      <c r="C6988" t="str">
        <f>IFERROR(__xludf.DUMMYFUNCTION("GOOGLETRANSLATE(B6988, ""zh"", ""en"")"),"Under Armor is fueling continuous playback, then about 15 hours now, the Bluetooth headset to listen to a sound it is what quality are not too bad, the most important is waterproof and domestic Ip4 year warranty. 20191 Harvest May 28, 1040 to purchase")</f>
        <v>Under Armor is fueling continuous playback, then about 15 hours now, the Bluetooth headset to listen to a sound it is what quality are not too bad, the most important is waterproof and domestic Ip4 year warranty. 20191 Harvest May 28, 1040 to purchase</v>
      </c>
    </row>
    <row r="6989">
      <c r="A6989" s="1">
        <v>4.0</v>
      </c>
      <c r="B6989" s="1" t="s">
        <v>6955</v>
      </c>
      <c r="C6989" t="str">
        <f>IFERROR(__xludf.DUMMYFUNCTION("GOOGLETRANSLATE(B6989, ""zh"", ""en"")"),"Central Asia does not provide consumers with real tax situation I want to know my true this single tax return information (such as how many actual tax), this single direct debit according to estimates more than 150 taxes, but my friends to buy exactly the"&amp;" same with the United States and Asia actually buckle tax is only 70, while China failed to provide Amazon prime real tax information to me within commodity goods have not seen any documents")</f>
        <v>Central Asia does not provide consumers with real tax situation I want to know my true this single tax return information (such as how many actual tax), this single direct debit according to estimates more than 150 taxes, but my friends to buy exactly the same with the United States and Asia actually buckle tax is only 70, while China failed to provide Amazon prime real tax information to me within commodity goods have not seen any documents</v>
      </c>
    </row>
    <row r="6990">
      <c r="A6990" s="1">
        <v>4.0</v>
      </c>
      <c r="B6990" s="1" t="s">
        <v>6956</v>
      </c>
      <c r="C6990" t="str">
        <f>IFERROR(__xludf.DUMMYFUNCTION("GOOGLETRANSLATE(B6990, ""zh"", ""en"")"),"It may be a little small size")</f>
        <v>It may be a little small size</v>
      </c>
    </row>
    <row r="6991">
      <c r="A6991" s="1">
        <v>4.0</v>
      </c>
      <c r="B6991" s="1" t="s">
        <v>6957</v>
      </c>
      <c r="C6991" t="str">
        <f>IFERROR(__xludf.DUMMYFUNCTION("GOOGLETRANSLATE(B6991, ""zh"", ""en"")"),"OK, there are flaws usually buy is not bad play No. 11, see the comments of others to buy 10.5, or a little bit big, thick socks to wear winter Fortunately, would be acceptable. Type 2E really fat, it is recommended not particularly fat feet of a friend o"&amp;"r buy it M. In addition, the soles rings of fracture, although not affect the wear, but this is the difference between cheap reason, first-class goods and qualified products, in addition to physical and Figure there is color, picture some red, dark brown "&amp;"in kind.")</f>
        <v>OK, there are flaws usually buy is not bad play No. 11, see the comments of others to buy 10.5, or a little bit big, thick socks to wear winter Fortunately, would be acceptable. Type 2E really fat, it is recommended not particularly fat feet of a friend or buy it M. In addition, the soles rings of fracture, although not affect the wear, but this is the difference between cheap reason, first-class goods and qualified products, in addition to physical and Figure there is color, picture some red, dark brown in kind.</v>
      </c>
    </row>
    <row r="6992">
      <c r="A6992" s="1">
        <v>5.0</v>
      </c>
      <c r="B6992" s="1" t="s">
        <v>6958</v>
      </c>
      <c r="C6992" t="str">
        <f>IFERROR(__xludf.DUMMYFUNCTION("GOOGLETRANSLATE(B6992, ""zh"", ""en"")"),"Well, not from the previous evaluation, I do not know how many wasted points, points can change money now know, they should look carefully evaluated, then I put these words to copy to go, both to earn points, but also the easy way, where are copy where, m"&amp;"ost importantly, do not seriously review, do not think how much worse word, sent directly to it, recommend it to everybody, from not evaluated before, do not know how many points wasted, integration now know can change money, they should look carefully ev"&amp;"aluated, then I put these words to copy to go, both to earn points, but also the easy way, where are copying where, most importantly, do not seriously review, do not want to even worse how many words, made directly on it, recommend it to everyone")</f>
        <v>Well, not from the previous evaluation, I do not know how many wasted points, points can change money now know, they should look carefully evaluated, then I put these words to copy to go, both to earn points, but also the easy way, where are copy where, most importantly, do not seriously review, do not think how much worse word, sent directly to it, recommend it to everybody, from not evaluated before, do not know how many points wasted, integration now know can change money, they should look carefully evaluated, then I put these words to copy to go, both to earn points, but also the easy way, where are copying where, most importantly, do not seriously review, do not want to even worse how many words, made directly on it, recommend it to everyone</v>
      </c>
    </row>
    <row r="6993">
      <c r="A6993" s="1">
        <v>5.0</v>
      </c>
      <c r="B6993" s="1" t="s">
        <v>6959</v>
      </c>
      <c r="C6993" t="str">
        <f>IFERROR(__xludf.DUMMYFUNCTION("GOOGLETRANSLATE(B6993, ""zh"", ""en"")"),"China 43.5 yards suitable for foot wear, soft, lightweight, good quality")</f>
        <v>China 43.5 yards suitable for foot wear, soft, lightweight, good quality</v>
      </c>
    </row>
    <row r="6994">
      <c r="A6994" s="1">
        <v>5.0</v>
      </c>
      <c r="B6994" s="1" t="s">
        <v>6960</v>
      </c>
      <c r="C6994" t="str">
        <f>IFERROR(__xludf.DUMMYFUNCTION("GOOGLETRANSLATE(B6994, ""zh"", ""en"")"),"See to buy 3.5 yards usually wear shoes 36, this is just, can only wear thin socks thin type of shoe is narrow, but the code being only wear thin socks, fat feet wide if it is needed to buy carefully .")</f>
        <v>See to buy 3.5 yards usually wear shoes 36, this is just, can only wear thin socks thin type of shoe is narrow, but the code being only wear thin socks, fat feet wide if it is needed to buy carefully .</v>
      </c>
    </row>
    <row r="6995">
      <c r="A6995" s="1">
        <v>5.0</v>
      </c>
      <c r="B6995" s="1" t="s">
        <v>6961</v>
      </c>
      <c r="C6995" t="str">
        <f>IFERROR(__xludf.DUMMYFUNCTION("GOOGLETRANSLATE(B6995, ""zh"", ""en"")"),"Also you can buy a little small number, some flip")</f>
        <v>Also you can buy a little small number, some flip</v>
      </c>
    </row>
    <row r="6996">
      <c r="A6996" s="1">
        <v>5.0</v>
      </c>
      <c r="B6996" s="1" t="s">
        <v>6962</v>
      </c>
      <c r="C6996" t="str">
        <f>IFERROR(__xludf.DUMMYFUNCTION("GOOGLETRANSLATE(B6996, ""zh"", ""en"")"),"Amazon good service, to solve the problem quickly! Amazon good service, good quality shoes! ! ! Hope has been maintained! Taobao to kill! ! ! !")</f>
        <v>Amazon good service, to solve the problem quickly! Amazon good service, good quality shoes! ! ! Hope has been maintained! Taobao to kill! ! ! !</v>
      </c>
    </row>
    <row r="6997">
      <c r="A6997" s="1">
        <v>5.0</v>
      </c>
      <c r="B6997" s="1" t="s">
        <v>6963</v>
      </c>
      <c r="C6997" t="str">
        <f>IFERROR(__xludf.DUMMYFUNCTION("GOOGLETRANSLATE(B6997, ""zh"", ""en"")"),"Like well, like when light, just the size of the room")</f>
        <v>Like well, like when light, just the size of the room</v>
      </c>
    </row>
    <row r="6998">
      <c r="A6998" s="1">
        <v>5.0</v>
      </c>
      <c r="B6998" s="1" t="s">
        <v>6964</v>
      </c>
      <c r="C6998" t="str">
        <f>IFERROR(__xludf.DUMMYFUNCTION("GOOGLETRANSLATE(B6998, ""zh"", ""en"")"),"British style look good compared to the United States and Asia Asia, Germany and Asia sent me directly to the packaging, packaging Nichia have to say really hard, did not hand a little bump, great.")</f>
        <v>British style look good compared to the United States and Asia Asia, Germany and Asia sent me directly to the packaging, packaging Nichia have to say really hard, did not hand a little bump, great.</v>
      </c>
    </row>
    <row r="6999">
      <c r="A6999" s="1">
        <v>5.0</v>
      </c>
      <c r="B6999" s="1" t="s">
        <v>6965</v>
      </c>
      <c r="C6999" t="str">
        <f>IFERROR(__xludf.DUMMYFUNCTION("GOOGLETRANSLATE(B6999, ""zh"", ""en"")"),"Comfortable soft leather, comfortable. Before ecco bought a pair of white shoes, very comfortable. Second purchase.")</f>
        <v>Comfortable soft leather, comfortable. Before ecco bought a pair of white shoes, very comfortable. Second purchase.</v>
      </c>
    </row>
    <row r="7000">
      <c r="A7000" s="1">
        <v>5.0</v>
      </c>
      <c r="B7000" s="1" t="s">
        <v>6966</v>
      </c>
      <c r="C7000" t="str">
        <f>IFERROR(__xludf.DUMMYFUNCTION("GOOGLETRANSLATE(B7000, ""zh"", ""en"")"),"Very satisfied very delicate. Japanese porcelain good. Pattern on the bowl is not very bright.")</f>
        <v>Very satisfied very delicate. Japanese porcelain good. Pattern on the bowl is not very bright.</v>
      </c>
    </row>
    <row r="7001">
      <c r="A7001" s="1">
        <v>5.0</v>
      </c>
      <c r="B7001" s="1" t="s">
        <v>6967</v>
      </c>
      <c r="C7001" t="str">
        <f>IFERROR(__xludf.DUMMYFUNCTION("GOOGLETRANSLATE(B7001, ""zh"", ""en"")"),"Very good, or can, is feeling a little high")</f>
        <v>Very good, or can, is feeling a little high</v>
      </c>
    </row>
    <row r="7002">
      <c r="A7002" s="1">
        <v>5.0</v>
      </c>
      <c r="B7002" s="1" t="s">
        <v>6968</v>
      </c>
      <c r="C7002" t="str">
        <f>IFERROR(__xludf.DUMMYFUNCTION("GOOGLETRANSLATE(B7002, ""zh"", ""en"")"),"Lee Price is also OK, cotton cloth, overall okay")</f>
        <v>Lee Price is also OK, cotton cloth, overall okay</v>
      </c>
    </row>
    <row r="7003">
      <c r="A7003" s="1">
        <v>5.0</v>
      </c>
      <c r="B7003" s="1" t="s">
        <v>6969</v>
      </c>
      <c r="C7003" t="str">
        <f>IFERROR(__xludf.DUMMYFUNCTION("GOOGLETRANSLATE(B7003, ""zh"", ""en"")"),"Shannon really is the year 5600 in Central Asia 183 overseas purchase, this was not any hold back into the 5610, this price is really fragrant. 5610 than 5600 but also feeling a little thin, anti-significant indeed almost readability in low-light times of"&amp;" the year, but there are also good lift wrist brighter screen capabilities. Feeling as before domestic work on time, details are sharp rough, of course, less than 500 photovoltaic small box can only say so delicious.")</f>
        <v>Shannon really is the year 5600 in Central Asia 183 overseas purchase, this was not any hold back into the 5610, this price is really fragrant. 5610 than 5600 but also feeling a little thin, anti-significant indeed almost readability in low-light times of the year, but there are also good lift wrist brighter screen capabilities. Feeling as before domestic work on time, details are sharp rough, of course, less than 500 photovoltaic small box can only say so delicious.</v>
      </c>
    </row>
    <row r="7004">
      <c r="A7004" s="1">
        <v>5.0</v>
      </c>
      <c r="B7004" s="1" t="s">
        <v>6970</v>
      </c>
      <c r="C7004" t="str">
        <f>IFERROR(__xludf.DUMMYFUNCTION("GOOGLETRANSLATE(B7004, ""zh"", ""en"")"),"This section can be as upstairs said water purifier equipped with several different caliber conversion interface, the installation is considered out of the water at least did not have a chlorine taste and odor, also cooked boiled water more refreshing, bu"&amp;"t was filtered to buy 15 substances that paragraph, because there are still scale, the overall is still very good, recommended, from that day on the 25th of November there is now used to install a grid flashing, 6.7 liters of water a day is basically cons"&amp;"idered to use, but also to estimate and then a few days for the filter")</f>
        <v>This section can be as upstairs said water purifier equipped with several different caliber conversion interface, the installation is considered out of the water at least did not have a chlorine taste and odor, also cooked boiled water more refreshing, but was filtered to buy 15 substances that paragraph, because there are still scale, the overall is still very good, recommended, from that day on the 25th of November there is now used to install a grid flashing, 6.7 liters of water a day is basically considered to use, but also to estimate and then a few days for the filter</v>
      </c>
    </row>
    <row r="7005">
      <c r="A7005" s="1">
        <v>5.0</v>
      </c>
      <c r="B7005" s="1" t="s">
        <v>6971</v>
      </c>
      <c r="C7005" t="str">
        <f>IFERROR(__xludf.DUMMYFUNCTION("GOOGLETRANSLATE(B7005, ""zh"", ""en"")"),"Good buy two baby milk to use, good quality, no taste, easy to clean, watertight")</f>
        <v>Good buy two baby milk to use, good quality, no taste, easy to clean, watertight</v>
      </c>
    </row>
    <row r="7006">
      <c r="A7006" s="1">
        <v>5.0</v>
      </c>
      <c r="B7006" s="1" t="s">
        <v>6972</v>
      </c>
      <c r="C7006" t="str">
        <f>IFERROR(__xludf.DUMMYFUNCTION("GOOGLETRANSLATE(B7006, ""zh"", ""en"")"),"Activities affordable price is very affordable, has been using this, very satisfied!")</f>
        <v>Activities affordable price is very affordable, has been using this, very satisfied!</v>
      </c>
    </row>
    <row r="7007">
      <c r="A7007" s="1">
        <v>5.0</v>
      </c>
      <c r="B7007" s="1" t="s">
        <v>6973</v>
      </c>
      <c r="C7007" t="str">
        <f>IFERROR(__xludf.DUMMYFUNCTION("GOOGLETRANSLATE(B7007, ""zh"", ""en"")"),"Others are not very breathable good style is not too say, is a good little airtight seal ah, winter wear may be other seasons, then that is overheating")</f>
        <v>Others are not very breathable good style is not too say, is a good little airtight seal ah, winter wear may be other seasons, then that is overheating</v>
      </c>
    </row>
    <row r="7008">
      <c r="A7008" s="1">
        <v>5.0</v>
      </c>
      <c r="B7008" s="1" t="s">
        <v>6974</v>
      </c>
      <c r="C7008" t="str">
        <f>IFERROR(__xludf.DUMMYFUNCTION("GOOGLETRANSLATE(B7008, ""zh"", ""en"")"),"good good! New nice! Very good!")</f>
        <v>good good! New nice! Very good!</v>
      </c>
    </row>
    <row r="7009">
      <c r="A7009" s="1">
        <v>5.0</v>
      </c>
      <c r="B7009" s="1" t="s">
        <v>6975</v>
      </c>
      <c r="C7009" t="str">
        <f>IFERROR(__xludf.DUMMYFUNCTION("GOOGLETRANSLATE(B7009, ""zh"", ""en"")"),"Beautiful mug liked super cute baby also like")</f>
        <v>Beautiful mug liked super cute baby also like</v>
      </c>
    </row>
    <row r="7010">
      <c r="A7010" s="1">
        <v>5.0</v>
      </c>
      <c r="B7010" s="1" t="s">
        <v>6976</v>
      </c>
      <c r="C7010" t="str">
        <f>IFERROR(__xludf.DUMMYFUNCTION("GOOGLETRANSLATE(B7010, ""zh"", ""en"")"),"Later identified this brand is very comfortable, very comfortable, put on the body is also very beautiful, although not ring, it will not go type")</f>
        <v>Later identified this brand is very comfortable, very comfortable, put on the body is also very beautiful, although not ring, it will not go type</v>
      </c>
    </row>
    <row r="7011">
      <c r="A7011" s="1">
        <v>5.0</v>
      </c>
      <c r="B7011" s="1" t="s">
        <v>6977</v>
      </c>
      <c r="C7011" t="str">
        <f>IFERROR(__xludf.DUMMYFUNCTION("GOOGLETRANSLATE(B7011, ""zh"", ""en"")"),"Bigger Than 5 lbs imagination too much, eat a quarter of it, often opening the lid it will be bad.")</f>
        <v>Bigger Than 5 lbs imagination too much, eat a quarter of it, often opening the lid it will be bad.</v>
      </c>
    </row>
    <row r="7012">
      <c r="A7012" s="1">
        <v>5.0</v>
      </c>
      <c r="B7012" s="1" t="s">
        <v>6978</v>
      </c>
      <c r="C7012" t="str">
        <f>IFERROR(__xludf.DUMMYFUNCTION("GOOGLETRANSLATE(B7012, ""zh"", ""en"")"),"Good price high quality, size is also very appropriate, wear good-looking")</f>
        <v>Good price high quality, size is also very appropriate, wear good-looking</v>
      </c>
    </row>
    <row r="7013">
      <c r="A7013" s="1">
        <v>5.0</v>
      </c>
      <c r="B7013" s="1" t="s">
        <v>6979</v>
      </c>
      <c r="C7013" t="str">
        <f>IFERROR(__xludf.DUMMYFUNCTION("GOOGLETRANSLATE(B7013, ""zh"", ""en"")"),"Comfortable elastic material, if you are underweight, you can buy a small one yard.")</f>
        <v>Comfortable elastic material, if you are underweight, you can buy a small one yard.</v>
      </c>
    </row>
    <row r="7014">
      <c r="A7014" s="1">
        <v>2.0</v>
      </c>
      <c r="B7014" s="1" t="s">
        <v>6980</v>
      </c>
      <c r="C7014" t="str">
        <f>IFERROR(__xludf.DUMMYFUNCTION("GOOGLETRANSLATE(B7014, ""zh"", ""en"")"),"Is completely incompatible! Color pants and receive pictures, pants are not the same, thinking the overseas buy back trouble, so be it! Not pleasant shopping!")</f>
        <v>Is completely incompatible! Color pants and receive pictures, pants are not the same, thinking the overseas buy back trouble, so be it! Not pleasant shopping!</v>
      </c>
    </row>
    <row r="7015">
      <c r="A7015" s="1">
        <v>3.0</v>
      </c>
      <c r="B7015" s="1" t="s">
        <v>6981</v>
      </c>
      <c r="C7015" t="str">
        <f>IFERROR(__xludf.DUMMYFUNCTION("GOOGLETRANSLATE(B7015, ""zh"", ""en"")"),"A large number of their own secondary processing code, the sleeves cut myself, when short-sleeved")</f>
        <v>A large number of their own secondary processing code, the sleeves cut myself, when short-sleeved</v>
      </c>
    </row>
    <row r="7016">
      <c r="A7016" s="1">
        <v>3.0</v>
      </c>
      <c r="B7016" s="1" t="s">
        <v>6982</v>
      </c>
      <c r="C7016" t="str">
        <f>IFERROR(__xludf.DUMMYFUNCTION("GOOGLETRANSLATE(B7016, ""zh"", ""en"")"),"Corner serious damage, which instructions are frayed by not pressing machine, currently looks can be, is the packaging bad, not even a foam pad, corner badly damaged, the inside of the manual are frayed We hope to enhance the quality of transport packagin"&amp;"g.")</f>
        <v>Corner serious damage, which instructions are frayed by not pressing machine, currently looks can be, is the packaging bad, not even a foam pad, corner badly damaged, the inside of the manual are frayed We hope to enhance the quality of transport packaging.</v>
      </c>
    </row>
    <row r="7017">
      <c r="A7017" s="1">
        <v>3.0</v>
      </c>
      <c r="B7017" s="1" t="s">
        <v>6983</v>
      </c>
      <c r="C7017" t="str">
        <f>IFERROR(__xludf.DUMMYFUNCTION("GOOGLETRANSLATE(B7017, ""zh"", ""en"")"),"Spent less than a year, the main speaker is bad. 1. took less than a year, the main speaker is bad. 2. The lack of low frequency natural, easy to paste. 3. personally think that this section is not purely monitor speakers, adjust the volume to remove almo"&amp;"st")</f>
        <v>Spent less than a year, the main speaker is bad. 1. took less than a year, the main speaker is bad. 2. The lack of low frequency natural, easy to paste. 3. personally think that this section is not purely monitor speakers, adjust the volume to remove almost</v>
      </c>
    </row>
    <row r="7018">
      <c r="A7018" s="1">
        <v>1.0</v>
      </c>
      <c r="B7018" s="1" t="s">
        <v>6984</v>
      </c>
      <c r="C7018" t="str">
        <f>IFERROR(__xludf.DUMMYFUNCTION("GOOGLETRANSLATE(B7018, ""zh"", ""en"")"),"Poor bad, wash it at home Chuan Chuan")</f>
        <v>Poor bad, wash it at home Chuan Chuan</v>
      </c>
    </row>
    <row r="7019">
      <c r="A7019" s="1">
        <v>1.0</v>
      </c>
      <c r="B7019" s="1" t="s">
        <v>6985</v>
      </c>
      <c r="C7019" t="str">
        <f>IFERROR(__xludf.DUMMYFUNCTION("GOOGLETRANSLATE(B7019, ""zh"", ""en"")"),"Color pencil lead cracking cracking, and this quality is not satisfied")</f>
        <v>Color pencil lead cracking cracking, and this quality is not satisfied</v>
      </c>
    </row>
    <row r="7020">
      <c r="A7020" s="1">
        <v>4.0</v>
      </c>
      <c r="B7020" s="1" t="s">
        <v>6986</v>
      </c>
      <c r="C7020" t="str">
        <f>IFERROR(__xludf.DUMMYFUNCTION("GOOGLETRANSLATE(B7020, ""zh"", ""en"")"),"The price was right, when it is worth to buy the US version is quite big, but fabric material and the Japanese version is also more rough compared. But when special or worthy of a purchase. After all, fidelity.")</f>
        <v>The price was right, when it is worth to buy the US version is quite big, but fabric material and the Japanese version is also more rough compared. But when special or worthy of a purchase. After all, fidelity.</v>
      </c>
    </row>
    <row r="7021">
      <c r="A7021" s="1">
        <v>4.0</v>
      </c>
      <c r="B7021" s="1" t="s">
        <v>6987</v>
      </c>
      <c r="C7021" t="str">
        <f>IFERROR(__xludf.DUMMYFUNCTION("GOOGLETRANSLATE(B7021, ""zh"", ""en"")"),"Not to use it, but looked okay. Not to use it, but looked okay.")</f>
        <v>Not to use it, but looked okay. Not to use it, but looked okay.</v>
      </c>
    </row>
    <row r="7022">
      <c r="A7022" s="1">
        <v>4.0</v>
      </c>
      <c r="B7022" s="1" t="s">
        <v>6988</v>
      </c>
      <c r="C7022" t="str">
        <f>IFERROR(__xludf.DUMMYFUNCTION("GOOGLETRANSLATE(B7022, ""zh"", ""en"")"),"It can also strap overall general comfort, font is very dark. A shining light waves.")</f>
        <v>It can also strap overall general comfort, font is very dark. A shining light waves.</v>
      </c>
    </row>
    <row r="7023">
      <c r="A7023" s="1">
        <v>4.0</v>
      </c>
      <c r="B7023" s="1" t="s">
        <v>6989</v>
      </c>
      <c r="C7023" t="str">
        <f>IFERROR(__xludf.DUMMYFUNCTION("GOOGLETRANSLATE(B7023, ""zh"", ""en"")"),"Cook Accessories single No. 2016 of November 27 under, up to now not opened, to see someone evaluation accessories problem so I can worry about. Because the new house is not yet renovated, currently I did not intend to use, also had a 14 day return day, a"&amp;"nd I wish good luck fitting is no problem")</f>
        <v>Cook Accessories single No. 2016 of November 27 under, up to now not opened, to see someone evaluation accessories problem so I can worry about. Because the new house is not yet renovated, currently I did not intend to use, also had a 14 day return day, and I wish good luck fitting is no problem</v>
      </c>
    </row>
    <row r="7024">
      <c r="A7024" s="1">
        <v>4.0</v>
      </c>
      <c r="B7024" s="1" t="s">
        <v>6990</v>
      </c>
      <c r="C7024" t="str">
        <f>IFERROR(__xludf.DUMMYFUNCTION("GOOGLETRANSLATE(B7024, ""zh"", ""en"")"),"The number is too large I 160,53kg, not really wear M, after evidently have to buy the trumpet")</f>
        <v>The number is too large I 160,53kg, not really wear M, after evidently have to buy the trumpet</v>
      </c>
    </row>
    <row r="7025">
      <c r="A7025" s="1">
        <v>5.0</v>
      </c>
      <c r="B7025" s="1" t="s">
        <v>6991</v>
      </c>
      <c r="C7025" t="str">
        <f>IFERROR(__xludf.DUMMYFUNCTION("GOOGLETRANSLATE(B7025, ""zh"", ""en"")"),"Very good very good very comfortable very comfortable, I have bought a lot of times")</f>
        <v>Very good very good very comfortable very comfortable, I have bought a lot of times</v>
      </c>
    </row>
    <row r="7026">
      <c r="A7026" s="1">
        <v>5.0</v>
      </c>
      <c r="B7026" s="1" t="s">
        <v>307</v>
      </c>
      <c r="C7026" t="str">
        <f>IFERROR(__xludf.DUMMYFUNCTION("GOOGLETRANSLATE(B7026, ""zh"", ""en"")"),"Special bar! That's great! Feel good! M size for everyone to reference height 171 weight of just 67 selected! Long sleeves rolled up just ~ wear is also nice")</f>
        <v>Special bar! That's great! Feel good! M size for everyone to reference height 171 weight of just 67 selected! Long sleeves rolled up just ~ wear is also nice</v>
      </c>
    </row>
    <row r="7027">
      <c r="A7027" s="1">
        <v>5.0</v>
      </c>
      <c r="B7027" s="1" t="s">
        <v>6992</v>
      </c>
      <c r="C7027" t="str">
        <f>IFERROR(__xludf.DUMMYFUNCTION("GOOGLETRANSLATE(B7027, ""zh"", ""en"")"),"Great, not bad! As long as you are diligent use will be able to see the effect, use slow hair growth, hair becomes soft lot")</f>
        <v>Great, not bad! As long as you are diligent use will be able to see the effect, use slow hair growth, hair becomes soft lot</v>
      </c>
    </row>
    <row r="7028">
      <c r="A7028" s="1">
        <v>5.0</v>
      </c>
      <c r="B7028" s="1" t="s">
        <v>6993</v>
      </c>
      <c r="C7028" t="str">
        <f>IFERROR(__xludf.DUMMYFUNCTION("GOOGLETRANSLATE(B7028, ""zh"", ""en"")"),"Well, I tell you the spike, very good friends, and children learn pencil drawing together.")</f>
        <v>Well, I tell you the spike, very good friends, and children learn pencil drawing together.</v>
      </c>
    </row>
    <row r="7029">
      <c r="A7029" s="1">
        <v>5.0</v>
      </c>
      <c r="B7029" s="1" t="s">
        <v>6994</v>
      </c>
      <c r="C7029" t="str">
        <f>IFERROR(__xludf.DUMMYFUNCTION("GOOGLETRANSLATE(B7029, ""zh"", ""en"")"),"Feet thick people to be carefully chosen, will presser foot speed a little earlier than planned, overall very satisfied, yardage standard, but recommended a higher instep people better not to buy, it is easy to press the instep, the other very good , foot"&amp;" feeling soft, put on there is a feeling of calm and security, much more comfortable than those of professional outdoor shoes, waterproof not tried, try the next time out to play")</f>
        <v>Feet thick people to be carefully chosen, will presser foot speed a little earlier than planned, overall very satisfied, yardage standard, but recommended a higher instep people better not to buy, it is easy to press the instep, the other very good , foot feeling soft, put on there is a feeling of calm and security, much more comfortable than those of professional outdoor shoes, waterproof not tried, try the next time out to play</v>
      </c>
    </row>
    <row r="7030">
      <c r="A7030" s="1">
        <v>5.0</v>
      </c>
      <c r="B7030" s="1" t="s">
        <v>6995</v>
      </c>
      <c r="C7030" t="str">
        <f>IFERROR(__xludf.DUMMYFUNCTION("GOOGLETRANSLATE(B7030, ""zh"", ""en"")"),"I do not wear do not know the true and false ah? Wearing no more than a bit worn, I may not go from foot problems 😂 evaluation before, do not know how many wasted points, points can change money now know, they should look carefully evaluated, then I put "&amp;"these words to copy gone, not only earn points, but also save trouble, they go where to copy, sent directly to it, recommend it to everyone!")</f>
        <v>I do not wear do not know the true and false ah? Wearing no more than a bit worn, I may not go from foot problems 😂 evaluation before, do not know how many wasted points, points can change money now know, they should look carefully evaluated, then I put these words to copy gone, not only earn points, but also save trouble, they go where to copy, sent directly to it, recommend it to everyone!</v>
      </c>
    </row>
    <row r="7031">
      <c r="A7031" s="1">
        <v>5.0</v>
      </c>
      <c r="B7031" s="1" t="s">
        <v>6996</v>
      </c>
      <c r="C7031" t="str">
        <f>IFERROR(__xludf.DUMMYFUNCTION("GOOGLETRANSLATE(B7031, ""zh"", ""en"")"),"Very comfortable pants leg fairly thick, it is difficult to buy the right pants, loose version of this, I feel very comfortable to wear, looks atmosphere, satisfaction!")</f>
        <v>Very comfortable pants leg fairly thick, it is difficult to buy the right pants, loose version of this, I feel very comfortable to wear, looks atmosphere, satisfaction!</v>
      </c>
    </row>
    <row r="7032">
      <c r="A7032" s="1">
        <v>5.0</v>
      </c>
      <c r="B7032" s="1" t="s">
        <v>6997</v>
      </c>
      <c r="C7032" t="str">
        <f>IFERROR(__xludf.DUMMYFUNCTION("GOOGLETRANSLATE(B7032, ""zh"", ""en"")"),"U-speed line speed is also okay, at the interface usb3.0, 2g write a video file, can be maintained at 170m / s or so, the reading speed is also 370 / s or so.")</f>
        <v>U-speed line speed is also okay, at the interface usb3.0, 2g write a video file, can be maintained at 170m / s or so, the reading speed is also 370 / s or so.</v>
      </c>
    </row>
    <row r="7033">
      <c r="A7033" s="1">
        <v>5.0</v>
      </c>
      <c r="B7033" s="1" t="s">
        <v>6998</v>
      </c>
      <c r="C7033" t="str">
        <f>IFERROR(__xludf.DUMMYFUNCTION("GOOGLETRANSLATE(B7033, ""zh"", ""en"")"),"A good bottle bottle! Baby likes")</f>
        <v>A good bottle bottle! Baby likes</v>
      </c>
    </row>
    <row r="7034">
      <c r="A7034" s="1">
        <v>5.0</v>
      </c>
      <c r="B7034" s="1" t="s">
        <v>6999</v>
      </c>
      <c r="C7034" t="str">
        <f>IFERROR(__xludf.DUMMYFUNCTION("GOOGLETRANSLATE(B7034, ""zh"", ""en"")"),"Sales promotion more than a point")</f>
        <v>Sales promotion more than a point</v>
      </c>
    </row>
    <row r="7035">
      <c r="A7035" s="1">
        <v>5.0</v>
      </c>
      <c r="B7035" s="1" t="s">
        <v>7000</v>
      </c>
      <c r="C7035" t="str">
        <f>IFERROR(__xludf.DUMMYFUNCTION("GOOGLETRANSLATE(B7035, ""zh"", ""en"")"),"It is thick, relatively thick fabric really comfortable, very comfortable fabric")</f>
        <v>It is thick, relatively thick fabric really comfortable, very comfortable fabric</v>
      </c>
    </row>
    <row r="7036">
      <c r="A7036" s="1">
        <v>5.0</v>
      </c>
      <c r="B7036" s="1" t="s">
        <v>7001</v>
      </c>
      <c r="C7036" t="str">
        <f>IFERROR(__xludf.DUMMYFUNCTION("GOOGLETRANSLATE(B7036, ""zh"", ""en"")"),"Quality assurance, as always, good, good price")</f>
        <v>Quality assurance, as always, good, good price</v>
      </c>
    </row>
    <row r="7037">
      <c r="A7037" s="1">
        <v>5.0</v>
      </c>
      <c r="B7037" s="1" t="s">
        <v>7002</v>
      </c>
      <c r="C7037" t="str">
        <f>IFERROR(__xludf.DUMMYFUNCTION("GOOGLETRANSLATE(B7037, ""zh"", ""en"")"),"Very good very good, completely non-stick, material ease. In addition, thin packaging, there is only one tray. Once bought two pots of best friends purchased separately. Amazon hopes to provide binning, close boxes, packaging reinforcement of service char"&amp;"ges can also be ah. After all, US imperialism pot we buy 20 to 300.")</f>
        <v>Very good very good, completely non-stick, material ease. In addition, thin packaging, there is only one tray. Once bought two pots of best friends purchased separately. Amazon hopes to provide binning, close boxes, packaging reinforcement of service charges can also be ah. After all, US imperialism pot we buy 20 to 300.</v>
      </c>
    </row>
    <row r="7038">
      <c r="A7038" s="1">
        <v>5.0</v>
      </c>
      <c r="B7038" s="1" t="s">
        <v>7003</v>
      </c>
      <c r="C7038" t="str">
        <f>IFERROR(__xludf.DUMMYFUNCTION("GOOGLETRANSLATE(B7038, ""zh"", ""en"")"),"Good style, good quality. Not really thick, but in the south you can wear for a long time. Styles look great. Height 176 medium-thin S, almost just good appropriately. Quality is also OK.")</f>
        <v>Good style, good quality. Not really thick, but in the south you can wear for a long time. Styles look great. Height 176 medium-thin S, almost just good appropriately. Quality is also OK.</v>
      </c>
    </row>
    <row r="7039">
      <c r="A7039" s="1">
        <v>5.0</v>
      </c>
      <c r="B7039" s="1" t="s">
        <v>7004</v>
      </c>
      <c r="C7039" t="str">
        <f>IFERROR(__xludf.DUMMYFUNCTION("GOOGLETRANSLATE(B7039, ""zh"", ""en"")"),"Showers good quality workmanship, packaging is very good, although not yet used, but feeling Bang Bang da")</f>
        <v>Showers good quality workmanship, packaging is very good, although not yet used, but feeling Bang Bang da</v>
      </c>
    </row>
    <row r="7040">
      <c r="A7040" s="1">
        <v>5.0</v>
      </c>
      <c r="B7040" s="1" t="s">
        <v>7005</v>
      </c>
      <c r="C7040" t="str">
        <f>IFERROR(__xludf.DUMMYFUNCTION("GOOGLETRANSLATE(B7040, ""zh"", ""en"")"),"Overall still good head is relatively large, the British standard plug adapter plug needs to add")</f>
        <v>Overall still good head is relatively large, the British standard plug adapter plug needs to add</v>
      </c>
    </row>
    <row r="7041">
      <c r="A7041" s="1">
        <v>5.0</v>
      </c>
      <c r="B7041" s="1" t="s">
        <v>7006</v>
      </c>
      <c r="C7041" t="str">
        <f>IFERROR(__xludf.DUMMYFUNCTION("GOOGLETRANSLATE(B7041, ""zh"", ""en"")"),"County is like money bought a few colors are very beautiful ~ ~")</f>
        <v>County is like money bought a few colors are very beautiful ~ ~</v>
      </c>
    </row>
    <row r="7042">
      <c r="A7042" s="1">
        <v>5.0</v>
      </c>
      <c r="B7042" s="1" t="s">
        <v>7007</v>
      </c>
      <c r="C7042" t="str">
        <f>IFERROR(__xludf.DUMMYFUNCTION("GOOGLETRANSLATE(B7042, ""zh"", ""en"")"),"Very good feel very good, wear nearly half a year, and this comment is looked excellent reminder was confused. Suitable for students with a family. If the feeling to work, and if it is fashionable type of work change improvise a little better or replace o"&amp;"ther metals. Travel time is very accurate. The disadvantage is that the case is a plastic cover or pay attention to the point of it, though not easy to spend, but do not pay attention, then he'll plans. Pointer indeed not very accurate, but it should be n"&amp;"o problem.")</f>
        <v>Very good feel very good, wear nearly half a year, and this comment is looked excellent reminder was confused. Suitable for students with a family. If the feeling to work, and if it is fashionable type of work change improvise a little better or replace other metals. Travel time is very accurate. The disadvantage is that the case is a plastic cover or pay attention to the point of it, though not easy to spend, but do not pay attention, then he'll plans. Pointer indeed not very accurate, but it should be no problem.</v>
      </c>
    </row>
    <row r="7043">
      <c r="A7043" s="1">
        <v>5.0</v>
      </c>
      <c r="B7043" s="1" t="s">
        <v>7008</v>
      </c>
      <c r="C7043" t="str">
        <f>IFERROR(__xludf.DUMMYFUNCTION("GOOGLETRANSLATE(B7043, ""zh"", ""en"")"),"Suitable for children groped size, like")</f>
        <v>Suitable for children groped size, like</v>
      </c>
    </row>
    <row r="7044">
      <c r="A7044" s="1">
        <v>5.0</v>
      </c>
      <c r="B7044" s="1" t="s">
        <v>7009</v>
      </c>
      <c r="C7044" t="str">
        <f>IFERROR(__xludf.DUMMYFUNCTION("GOOGLETRANSLATE(B7044, ""zh"", ""en"")"),"In line with my taste ha ha ha, medium size. It seems very appropriate. very satisfied.")</f>
        <v>In line with my taste ha ha ha, medium size. It seems very appropriate. very satisfied.</v>
      </c>
    </row>
    <row r="7045">
      <c r="A7045" s="1">
        <v>5.0</v>
      </c>
      <c r="B7045" s="1" t="s">
        <v>7010</v>
      </c>
      <c r="C7045" t="str">
        <f>IFERROR(__xludf.DUMMYFUNCTION("GOOGLETRANSLATE(B7045, ""zh"", ""en"")"),"The middle-aged people to care for the joint 240 to buy two bottles, this super-affordable price, prime members still worth having")</f>
        <v>The middle-aged people to care for the joint 240 to buy two bottles, this super-affordable price, prime members still worth having</v>
      </c>
    </row>
    <row r="7046">
      <c r="A7046" s="1">
        <v>2.0</v>
      </c>
      <c r="B7046" s="1" t="s">
        <v>7011</v>
      </c>
      <c r="C7046" t="str">
        <f>IFERROR(__xludf.DUMMYFUNCTION("GOOGLETRANSLATE(B7046, ""zh"", ""en"")"),"Things are not perfect unhappy dipped in ink to be aware of the factory test writing, but so keep such a large piece ink spot not too rigorous a. In addition pen although no flaws, but that comes with the ink port cracks, will use Loumo when worried, real"&amp;"ly Zaoxin. Taking advantage of low-cost start five black, is really no good cheap goods do? Do not hesitate to return")</f>
        <v>Things are not perfect unhappy dipped in ink to be aware of the factory test writing, but so keep such a large piece ink spot not too rigorous a. In addition pen although no flaws, but that comes with the ink port cracks, will use Loumo when worried, really Zaoxin. Taking advantage of low-cost start five black, is really no good cheap goods do? Do not hesitate to return</v>
      </c>
    </row>
    <row r="7047">
      <c r="A7047" s="1">
        <v>3.0</v>
      </c>
      <c r="B7047" s="1" t="s">
        <v>7012</v>
      </c>
      <c r="C7047" t="str">
        <f>IFERROR(__xludf.DUMMYFUNCTION("GOOGLETRANSLATE(B7047, ""zh"", ""en"")"),"Quality is generally a better fit, but the quality in general, the overall thin, the neckline is not very strong, wash once began to change his collar undershirt gap compared v boss is not small house")</f>
        <v>Quality is generally a better fit, but the quality in general, the overall thin, the neckline is not very strong, wash once began to change his collar undershirt gap compared v boss is not small house</v>
      </c>
    </row>
    <row r="7048">
      <c r="A7048" s="1">
        <v>3.0</v>
      </c>
      <c r="B7048" s="1" t="s">
        <v>7013</v>
      </c>
      <c r="C7048" t="str">
        <f>IFERROR(__xludf.DUMMYFUNCTION("GOOGLETRANSLATE(B7048, ""zh"", ""en"")"),"No no stereo stereo")</f>
        <v>No no stereo stereo</v>
      </c>
    </row>
    <row r="7049">
      <c r="A7049" s="1">
        <v>1.0</v>
      </c>
      <c r="B7049" s="1" t="s">
        <v>7014</v>
      </c>
      <c r="C7049" t="str">
        <f>IFERROR(__xludf.DUMMYFUNCTION("GOOGLETRANSLATE(B7049, ""zh"", ""en"")"),"Returns a plastic, and a big gap")</f>
        <v>Returns a plastic, and a big gap</v>
      </c>
    </row>
    <row r="7050">
      <c r="A7050" s="1">
        <v>1.0</v>
      </c>
      <c r="B7050" s="1" t="s">
        <v>7015</v>
      </c>
      <c r="C7050" t="str">
        <f>IFERROR(__xludf.DUMMYFUNCTION("GOOGLETRANSLATE(B7050, ""zh"", ""en"")"),"Parker finished work too bad!")</f>
        <v>Parker finished work too bad!</v>
      </c>
    </row>
    <row r="7051">
      <c r="A7051" s="1">
        <v>1.0</v>
      </c>
      <c r="B7051" s="1" t="s">
        <v>7016</v>
      </c>
      <c r="C7051" t="str">
        <f>IFERROR(__xludf.DUMMYFUNCTION("GOOGLETRANSLATE(B7051, ""zh"", ""en"")"),"Poor and a small bought two, often inexplicable drop in central spout, use very inconvenient! ! Previously bought in Japan Zojirushi cup spent five years without any problems! The buying experience in the Amazon too disappointing!")</f>
        <v>Poor and a small bought two, often inexplicable drop in central spout, use very inconvenient! ! Previously bought in Japan Zojirushi cup spent five years without any problems! The buying experience in the Amazon too disappointing!</v>
      </c>
    </row>
    <row r="7052">
      <c r="A7052" s="1">
        <v>4.0</v>
      </c>
      <c r="B7052" s="1" t="s">
        <v>7017</v>
      </c>
      <c r="C7052" t="str">
        <f>IFERROR(__xludf.DUMMYFUNCTION("GOOGLETRANSLATE(B7052, ""zh"", ""en"")"),"Hard slip insole, wide shoes insoles too hard, flaw. Some thin shoes, the shoes are relatively wide acceptance, the insole is hard and slippery, easy to reduce friction feet scurry, insole board and sole contact area is increased pressure. Very uncomforta"&amp;"ble@@@@;")</f>
        <v>Hard slip insole, wide shoes insoles too hard, flaw. Some thin shoes, the shoes are relatively wide acceptance, the insole is hard and slippery, easy to reduce friction feet scurry, insole board and sole contact area is increased pressure. Very uncomfortable@@@@;</v>
      </c>
    </row>
    <row r="7053">
      <c r="A7053" s="1">
        <v>4.0</v>
      </c>
      <c r="B7053" s="1" t="s">
        <v>7018</v>
      </c>
      <c r="C7053" t="str">
        <f>IFERROR(__xludf.DUMMYFUNCTION("GOOGLETRANSLATE(B7053, ""zh"", ""en"")"),"The quality of general belt use did not take long, the skin had come off, not very good")</f>
        <v>The quality of general belt use did not take long, the skin had come off, not very good</v>
      </c>
    </row>
    <row r="7054">
      <c r="A7054" s="1">
        <v>4.0</v>
      </c>
      <c r="B7054" s="1" t="s">
        <v>7019</v>
      </c>
      <c r="C7054" t="str">
        <f>IFERROR(__xludf.DUMMYFUNCTION("GOOGLETRANSLATE(B7054, ""zh"", ""en"")"),"Waist too loose too large, especially in the waist too loose.")</f>
        <v>Waist too loose too large, especially in the waist too loose.</v>
      </c>
    </row>
    <row r="7055">
      <c r="A7055" s="1">
        <v>4.0</v>
      </c>
      <c r="B7055" s="1" t="s">
        <v>7020</v>
      </c>
      <c r="C7055" t="str">
        <f>IFERROR(__xludf.DUMMYFUNCTION("GOOGLETRANSLATE(B7055, ""zh"", ""en"")"),"To meet the special toothpaste suited to using it for the first time to buy some regret, back to my eight brush persevered also adapted. Beginning with the marvis toothpaste, I feel like a general, followed by the Regenerate only be felt different. Where "&amp;"the words of this pause 30 seconds to change zone function ah?")</f>
        <v>To meet the special toothpaste suited to using it for the first time to buy some regret, back to my eight brush persevered also adapted. Beginning with the marvis toothpaste, I feel like a general, followed by the Regenerate only be felt different. Where the words of this pause 30 seconds to change zone function ah?</v>
      </c>
    </row>
    <row r="7056">
      <c r="A7056" s="1">
        <v>5.0</v>
      </c>
      <c r="B7056" s="1" t="s">
        <v>7021</v>
      </c>
      <c r="C7056" t="str">
        <f>IFERROR(__xludf.DUMMYFUNCTION("GOOGLETRANSLATE(B7056, ""zh"", ""en"")"),"Well ah well, it may be a bit large size.")</f>
        <v>Well ah well, it may be a bit large size.</v>
      </c>
    </row>
    <row r="7057">
      <c r="A7057" s="1">
        <v>5.0</v>
      </c>
      <c r="B7057" s="1" t="s">
        <v>7022</v>
      </c>
      <c r="C7057" t="str">
        <f>IFERROR(__xludf.DUMMYFUNCTION("GOOGLETRANSLATE(B7057, ""zh"", ""en"")"),"English special feel good for the English language, beautifully packaged.")</f>
        <v>English special feel good for the English language, beautifully packaged.</v>
      </c>
    </row>
    <row r="7058">
      <c r="A7058" s="1">
        <v>5.0</v>
      </c>
      <c r="B7058" s="1" t="s">
        <v>7023</v>
      </c>
      <c r="C7058" t="str">
        <f>IFERROR(__xludf.DUMMYFUNCTION("GOOGLETRANSLATE(B7058, ""zh"", ""en"")"),"This code is not very comfortable to wear too small to wear my usual 37 or 37.5 feet long to see 235 commented that the shoes a little bit big to buy find my feet belong to no fat nor thin back after 38 yards United States Code 6 yards may buy 5.5 would b"&amp;"e more appropriate in some")</f>
        <v>This code is not very comfortable to wear too small to wear my usual 37 or 37.5 feet long to see 235 commented that the shoes a little bit big to buy find my feet belong to no fat nor thin back after 38 yards United States Code 6 yards may buy 5.5 would be more appropriate in some</v>
      </c>
    </row>
    <row r="7059">
      <c r="A7059" s="1">
        <v>5.0</v>
      </c>
      <c r="B7059" s="1" t="s">
        <v>7024</v>
      </c>
      <c r="C7059" t="str">
        <f>IFERROR(__xludf.DUMMYFUNCTION("GOOGLETRANSLATE(B7059, ""zh"", ""en"")"),"In addition to very good bit heavy, the other came good")</f>
        <v>In addition to very good bit heavy, the other came good</v>
      </c>
    </row>
    <row r="7060">
      <c r="A7060" s="1">
        <v>5.0</v>
      </c>
      <c r="B7060" s="1" t="s">
        <v>7025</v>
      </c>
      <c r="C7060" t="str">
        <f>IFERROR(__xludf.DUMMYFUNCTION("GOOGLETRANSLATE(B7060, ""zh"", ""en"")"),"Inexpensive looks good, good luminous effect, function well, just to get a long time to adjust when a good tune, but still feel really good")</f>
        <v>Inexpensive looks good, good luminous effect, function well, just to get a long time to adjust when a good tune, but still feel really good</v>
      </c>
    </row>
    <row r="7061">
      <c r="A7061" s="1">
        <v>5.0</v>
      </c>
      <c r="B7061" s="1" t="s">
        <v>7026</v>
      </c>
      <c r="C7061" t="str">
        <f>IFERROR(__xludf.DUMMYFUNCTION("GOOGLETRANSLATE(B7061, ""zh"", ""en"")"),"This is too good a value of more than brush, use a lot of time, awesome")</f>
        <v>This is too good a value of more than brush, use a lot of time, awesome</v>
      </c>
    </row>
    <row r="7062">
      <c r="A7062" s="1">
        <v>5.0</v>
      </c>
      <c r="B7062" s="1" t="s">
        <v>7027</v>
      </c>
      <c r="C7062" t="str">
        <f>IFERROR(__xludf.DUMMYFUNCTION("GOOGLETRANSLATE(B7062, ""zh"", ""en"")"),"Too large a little too large, in addition to logistics and not to force, the rest are basically okay.")</f>
        <v>Too large a little too large, in addition to logistics and not to force, the rest are basically okay.</v>
      </c>
    </row>
    <row r="7063">
      <c r="A7063" s="1">
        <v>5.0</v>
      </c>
      <c r="B7063" s="1" t="s">
        <v>2639</v>
      </c>
      <c r="C7063" t="str">
        <f>IFERROR(__xludf.DUMMYFUNCTION("GOOGLETRANSLATE(B7063, ""zh"", ""en"")"),"Good very good")</f>
        <v>Good very good</v>
      </c>
    </row>
    <row r="7064">
      <c r="A7064" s="1">
        <v>5.0</v>
      </c>
      <c r="B7064" s="1" t="s">
        <v>7028</v>
      </c>
      <c r="C7064" t="str">
        <f>IFERROR(__xludf.DUMMYFUNCTION("GOOGLETRANSLATE(B7064, ""zh"", ""en"")"),"Very comfortable this brand good, very comfortable, close-fitting, not easy to swap straps")</f>
        <v>Very comfortable this brand good, very comfortable, close-fitting, not easy to swap straps</v>
      </c>
    </row>
    <row r="7065">
      <c r="A7065" s="1">
        <v>5.0</v>
      </c>
      <c r="B7065" s="1" t="s">
        <v>7029</v>
      </c>
      <c r="C7065" t="str">
        <f>IFERROR(__xludf.DUMMYFUNCTION("GOOGLETRANSLATE(B7065, ""zh"", ""en"")"),"Boyfriend liked tried Outlets, 1599 by 200, 500 in the Amazon should still see long as direct mail, plus tax also only 600-something, a good deal ah! ! ! Decisive start, exactly the same is genuine, especially good-looking, wild!")</f>
        <v>Boyfriend liked tried Outlets, 1599 by 200, 500 in the Amazon should still see long as direct mail, plus tax also only 600-something, a good deal ah! ! ! Decisive start, exactly the same is genuine, especially good-looking, wild!</v>
      </c>
    </row>
    <row r="7066">
      <c r="A7066" s="1">
        <v>5.0</v>
      </c>
      <c r="B7066" s="1" t="s">
        <v>7030</v>
      </c>
      <c r="C7066" t="str">
        <f>IFERROR(__xludf.DUMMYFUNCTION("GOOGLETRANSLATE(B7066, ""zh"", ""en"")"),"Paul easily turn a good thing, has been transformed Offered snails when NAS disk, silent, very good")</f>
        <v>Paul easily turn a good thing, has been transformed Offered snails when NAS disk, silent, very good</v>
      </c>
    </row>
    <row r="7067">
      <c r="A7067" s="1">
        <v>5.0</v>
      </c>
      <c r="B7067" s="1" t="s">
        <v>7031</v>
      </c>
      <c r="C7067" t="str">
        <f>IFERROR(__xludf.DUMMYFUNCTION("GOOGLETRANSLATE(B7067, ""zh"", ""en"")"),"you shuang haoxie good shoes, good! comfortable to wear the right size, price, and worth buying! V")</f>
        <v>you shuang haoxie good shoes, good! comfortable to wear the right size, price, and worth buying! V</v>
      </c>
    </row>
    <row r="7068">
      <c r="A7068" s="1">
        <v>5.0</v>
      </c>
      <c r="B7068" s="1" t="s">
        <v>7032</v>
      </c>
      <c r="C7068" t="str">
        <f>IFERROR(__xludf.DUMMYFUNCTION("GOOGLETRANSLATE(B7068, ""zh"", ""en"")"),"Suitable satisfaction, faster than expected, usually wear 38, bought 6.5 appropriate")</f>
        <v>Suitable satisfaction, faster than expected, usually wear 38, bought 6.5 appropriate</v>
      </c>
    </row>
    <row r="7069">
      <c r="A7069" s="1">
        <v>5.0</v>
      </c>
      <c r="B7069" s="1" t="s">
        <v>7033</v>
      </c>
      <c r="C7069" t="str">
        <f>IFERROR(__xludf.DUMMYFUNCTION("GOOGLETRANSLATE(B7069, ""zh"", ""en"")"),"Nice like it, feet pressed to be expected, and hard, do not wear heels like")</f>
        <v>Nice like it, feet pressed to be expected, and hard, do not wear heels like</v>
      </c>
    </row>
    <row r="7070">
      <c r="A7070" s="1">
        <v>5.0</v>
      </c>
      <c r="B7070" s="1" t="s">
        <v>7034</v>
      </c>
      <c r="C7070" t="str">
        <f>IFERROR(__xludf.DUMMYFUNCTION("GOOGLETRANSLATE(B7070, ""zh"", ""en"")"),"Praise good")</f>
        <v>Praise good</v>
      </c>
    </row>
    <row r="7071">
      <c r="A7071" s="1">
        <v>5.0</v>
      </c>
      <c r="B7071" s="1" t="s">
        <v>7035</v>
      </c>
      <c r="C7071" t="str">
        <f>IFERROR(__xludf.DUMMYFUNCTION("GOOGLETRANSLATE(B7071, ""zh"", ""en"")"),"Solid chest standard solid color like this shirt, the solid backing of the fabric to be comfortable Biliweisi, microprojectile fabrics, thin, breathable. Code number is too large, the smaller than usual wearing just choose a code, this three buy the packa"&amp;"ge is also very cost-effective")</f>
        <v>Solid chest standard solid color like this shirt, the solid backing of the fabric to be comfortable Biliweisi, microprojectile fabrics, thin, breathable. Code number is too large, the smaller than usual wearing just choose a code, this three buy the package is also very cost-effective</v>
      </c>
    </row>
    <row r="7072">
      <c r="A7072" s="1">
        <v>5.0</v>
      </c>
      <c r="B7072" s="1" t="s">
        <v>7036</v>
      </c>
      <c r="C7072" t="str">
        <f>IFERROR(__xludf.DUMMYFUNCTION("GOOGLETRANSLATE(B7072, ""zh"", ""en"")"),"Amazon is happy Real happy my black five sea Amoy source of happiness! Chicken cheaper! Not bad hand to play a 600!")</f>
        <v>Amazon is happy Real happy my black five sea Amoy source of happiness! Chicken cheaper! Not bad hand to play a 600!</v>
      </c>
    </row>
    <row r="7073">
      <c r="A7073" s="1">
        <v>5.0</v>
      </c>
      <c r="B7073" s="1" t="s">
        <v>7037</v>
      </c>
      <c r="C7073" t="str">
        <f>IFERROR(__xludf.DUMMYFUNCTION("GOOGLETRANSLATE(B7073, ""zh"", ""en"")"),"Very good very good, right price, the right size, I 175/70, wear 31 / 30L just, like description, fit, logistics is also good. The only caveat is relatively thick, not suitable for the Guangdong spring and summer wear. recommend.")</f>
        <v>Very good very good, right price, the right size, I 175/70, wear 31 / 30L just, like description, fit, logistics is also good. The only caveat is relatively thick, not suitable for the Guangdong spring and summer wear. recommend.</v>
      </c>
    </row>
    <row r="7074">
      <c r="A7074" s="1">
        <v>5.0</v>
      </c>
      <c r="B7074" s="1" t="s">
        <v>7038</v>
      </c>
      <c r="C7074" t="str">
        <f>IFERROR(__xludf.DUMMYFUNCTION("GOOGLETRANSLATE(B7074, ""zh"", ""en"")"),"No packaging drawing on what you sent what, really served.")</f>
        <v>No packaging drawing on what you sent what, really served.</v>
      </c>
    </row>
    <row r="7075">
      <c r="A7075" s="1">
        <v>5.0</v>
      </c>
      <c r="B7075" s="1" t="s">
        <v>7039</v>
      </c>
      <c r="C7075" t="str">
        <f>IFERROR(__xludf.DUMMYFUNCTION("GOOGLETRANSLATE(B7075, ""zh"", ""en"")"),"Size m reference number, male, 175,80kg, bust 105, arm circumference 38, Shoulder remember, wearing just right, raised his hands will not Luyao, to three days, the price to the force.")</f>
        <v>Size m reference number, male, 175,80kg, bust 105, arm circumference 38, Shoulder remember, wearing just right, raised his hands will not Luyao, to three days, the price to the force.</v>
      </c>
    </row>
    <row r="7076">
      <c r="A7076" s="1">
        <v>5.0</v>
      </c>
      <c r="B7076" s="1" t="s">
        <v>7040</v>
      </c>
      <c r="C7076" t="str">
        <f>IFERROR(__xludf.DUMMYFUNCTION("GOOGLETRANSLATE(B7076, ""zh"", ""en"")"),"Relatively fit I 184CM, 88KG, buy XL size Japanese version, more self-cultivation, the right size")</f>
        <v>Relatively fit I 184CM, 88KG, buy XL size Japanese version, more self-cultivation, the right size</v>
      </c>
    </row>
    <row r="7077">
      <c r="A7077" s="1">
        <v>5.0</v>
      </c>
      <c r="B7077" s="1" t="s">
        <v>7041</v>
      </c>
      <c r="C7077" t="str">
        <f>IFERROR(__xludf.DUMMYFUNCTION("GOOGLETRANSLATE(B7077, ""zh"", ""en"")"),"Good good good ah, afraid to buy a fake, so come here to buy, to buy the baby,")</f>
        <v>Good good good ah, afraid to buy a fake, so come here to buy, to buy the baby,</v>
      </c>
    </row>
    <row r="7078">
      <c r="A7078" s="1">
        <v>2.0</v>
      </c>
      <c r="B7078" s="1" t="s">
        <v>1677</v>
      </c>
      <c r="C7078" t="str">
        <f>IFERROR(__xludf.DUMMYFUNCTION("GOOGLETRANSLATE(B7078, ""zh"", ""en"")"),"No wear wear has now been broken with a full off-line and broken-hole mass similar suitable Wal Jane")</f>
        <v>No wear wear has now been broken with a full off-line and broken-hole mass similar suitable Wal Jane</v>
      </c>
    </row>
    <row r="7079">
      <c r="A7079" s="1">
        <v>3.0</v>
      </c>
      <c r="B7079" s="1" t="s">
        <v>7042</v>
      </c>
      <c r="C7079" t="str">
        <f>IFERROR(__xludf.DUMMYFUNCTION("GOOGLETRANSLATE(B7079, ""zh"", ""en"")"),"Pot too heavy, easy to stick to steak, as easy to use non-stick pan")</f>
        <v>Pot too heavy, easy to stick to steak, as easy to use non-stick pan</v>
      </c>
    </row>
    <row r="7080">
      <c r="A7080" s="1">
        <v>3.0</v>
      </c>
      <c r="B7080" s="1" t="s">
        <v>7043</v>
      </c>
      <c r="C7080" t="str">
        <f>IFERROR(__xludf.DUMMYFUNCTION("GOOGLETRANSLATE(B7080, ""zh"", ""en"")"),"Ouma Chiduo not generally too big, embarrassing, not a bad package hip ... wearing only through time")</f>
        <v>Ouma Chiduo not generally too big, embarrassing, not a bad package hip ... wearing only through time</v>
      </c>
    </row>
    <row r="7081">
      <c r="A7081" s="1">
        <v>1.0</v>
      </c>
      <c r="B7081" s="1" t="s">
        <v>7044</v>
      </c>
      <c r="C7081" t="str">
        <f>IFERROR(__xludf.DUMMYFUNCTION("GOOGLETRANSLATE(B7081, ""zh"", ""en"")"),"Made in China, a latecomer to see, do not buy to buy did not see the comments, it really is made in China, even the packaging is not a change, I do not advise as to buy, I also believe that until quite Amazon also did not expect the garbage, it's not bull"&amp;"y Chinese people? Or how? Nima, furious ah!")</f>
        <v>Made in China, a latecomer to see, do not buy to buy did not see the comments, it really is made in China, even the packaging is not a change, I do not advise as to buy, I also believe that until quite Amazon also did not expect the garbage, it's not bully Chinese people? Or how? Nima, furious ah!</v>
      </c>
    </row>
    <row r="7082">
      <c r="A7082" s="1">
        <v>1.0</v>
      </c>
      <c r="B7082" s="1" t="s">
        <v>7045</v>
      </c>
      <c r="C7082" t="str">
        <f>IFERROR(__xludf.DUMMYFUNCTION("GOOGLETRANSLATE(B7082, ""zh"", ""en"")"),"This package is too small bag how 4L, this is not to say, very thin, the texture improvise, but did not type, compared to the difference of a few blocks Archeopteryx 4L, mammoth brand in my heart plummeted")</f>
        <v>This package is too small bag how 4L, this is not to say, very thin, the texture improvise, but did not type, compared to the difference of a few blocks Archeopteryx 4L, mammoth brand in my heart plummeted</v>
      </c>
    </row>
    <row r="7083">
      <c r="A7083" s="1">
        <v>4.0</v>
      </c>
      <c r="B7083" s="1" t="s">
        <v>7046</v>
      </c>
      <c r="C7083" t="str">
        <f>IFERROR(__xludf.DUMMYFUNCTION("GOOGLETRANSLATE(B7083, ""zh"", ""en"")"),"Cost-effective, sleeve length than the domestic large quality did not say more than that! Indeed cost pricey! Deficiencies that are too large minimum code")</f>
        <v>Cost-effective, sleeve length than the domestic large quality did not say more than that! Indeed cost pricey! Deficiencies that are too large minimum code</v>
      </c>
    </row>
    <row r="7084">
      <c r="A7084" s="1">
        <v>4.0</v>
      </c>
      <c r="B7084" s="1" t="s">
        <v>7047</v>
      </c>
      <c r="C7084" t="str">
        <f>IFERROR(__xludf.DUMMYFUNCTION("GOOGLETRANSLATE(B7084, ""zh"", ""en"")"),"Product packaging intact no problem")</f>
        <v>Product packaging intact no problem</v>
      </c>
    </row>
    <row r="7085">
      <c r="A7085" s="1">
        <v>4.0</v>
      </c>
      <c r="B7085" s="1" t="s">
        <v>7048</v>
      </c>
      <c r="C7085" t="str">
        <f>IFERROR(__xludf.DUMMYFUNCTION("GOOGLETRANSLATE(B7085, ""zh"", ""en"")"),"Shoe materials quality did not have good things to say, feeling a little buy big shoes belong to neither hard nor soft leather. A cotton pad insole wondered not.")</f>
        <v>Shoe materials quality did not have good things to say, feeling a little buy big shoes belong to neither hard nor soft leather. A cotton pad insole wondered not.</v>
      </c>
    </row>
    <row r="7086">
      <c r="A7086" s="1">
        <v>4.0</v>
      </c>
      <c r="B7086" s="1" t="s">
        <v>7049</v>
      </c>
      <c r="C7086" t="str">
        <f>IFERROR(__xludf.DUMMYFUNCTION("GOOGLETRANSLATE(B7086, ""zh"", ""en"")"),"165 high waist slightly 56kg. . The right leg, waist a little big")</f>
        <v>165 high waist slightly 56kg. . The right leg, waist a little big</v>
      </c>
    </row>
    <row r="7087">
      <c r="A7087" s="1">
        <v>4.0</v>
      </c>
      <c r="B7087" s="1" t="s">
        <v>7050</v>
      </c>
      <c r="C7087" t="str">
        <f>IFERROR(__xludf.DUMMYFUNCTION("GOOGLETRANSLATE(B7087, ""zh"", ""en"")"),"More than a year to buy the feeling is very convenient on June 18 actually paid four hundred-something to buy, the market's official capsules are tasted, in fact, not particularly like to drink black coffee, or the like with milk. Drink hot water which is"&amp;" very convenient for the winter. After buying the machine remember not to store a bunch of capsules, after fresh easily put expires. Benefits after buying the machine is not so buy outside of tea, but efforts to finish the capsule. In view of the vacuum p"&amp;"ackaging, feeling expired can still continue to drink. At that time also did not send us any extra outside the box, direct box list posted Zhang, from the Netherlands to Shenzhen seemed to only 5 days.")</f>
        <v>More than a year to buy the feeling is very convenient on June 18 actually paid four hundred-something to buy, the market's official capsules are tasted, in fact, not particularly like to drink black coffee, or the like with milk. Drink hot water which is very convenient for the winter. After buying the machine remember not to store a bunch of capsules, after fresh easily put expires. Benefits after buying the machine is not so buy outside of tea, but efforts to finish the capsule. In view of the vacuum packaging, feeling expired can still continue to drink. At that time also did not send us any extra outside the box, direct box list posted Zhang, from the Netherlands to Shenzhen seemed to only 5 days.</v>
      </c>
    </row>
    <row r="7088">
      <c r="A7088" s="1">
        <v>5.0</v>
      </c>
      <c r="B7088" s="1" t="s">
        <v>7051</v>
      </c>
      <c r="C7088" t="str">
        <f>IFERROR(__xludf.DUMMYFUNCTION("GOOGLETRANSLATE(B7088, ""zh"", ""en"")"),"Cotton, cotton is not suitable for the partial movement, comfortable to wear, is not suitable for sports wear")</f>
        <v>Cotton, cotton is not suitable for the partial movement, comfortable to wear, is not suitable for sports wear</v>
      </c>
    </row>
    <row r="7089">
      <c r="A7089" s="1">
        <v>5.0</v>
      </c>
      <c r="B7089" s="1" t="s">
        <v>7052</v>
      </c>
      <c r="C7089" t="str">
        <f>IFERROR(__xludf.DUMMYFUNCTION("GOOGLETRANSLATE(B7089, ""zh"", ""en"")"),"This brand of water purifier for eight years, great value, the absolute value")</f>
        <v>This brand of water purifier for eight years, great value, the absolute value</v>
      </c>
    </row>
    <row r="7090">
      <c r="A7090" s="1">
        <v>5.0</v>
      </c>
      <c r="B7090" s="1" t="s">
        <v>7053</v>
      </c>
      <c r="C7090" t="str">
        <f>IFERROR(__xludf.DUMMYFUNCTION("GOOGLETRANSLATE(B7090, ""zh"", ""en"")"),"CK jeans version good, relatively soft and thin, suitable for spring wear")</f>
        <v>CK jeans version good, relatively soft and thin, suitable for spring wear</v>
      </c>
    </row>
    <row r="7091">
      <c r="A7091" s="1">
        <v>5.0</v>
      </c>
      <c r="B7091" s="1" t="s">
        <v>7054</v>
      </c>
      <c r="C7091" t="str">
        <f>IFERROR(__xludf.DUMMYFUNCTION("GOOGLETRANSLATE(B7091, ""zh"", ""en"")"),"Size, quality, price, really good quality, buy with confidence, use of comfort!")</f>
        <v>Size, quality, price, really good quality, buy with confidence, use of comfort!</v>
      </c>
    </row>
    <row r="7092">
      <c r="A7092" s="1">
        <v>5.0</v>
      </c>
      <c r="B7092" s="1" t="s">
        <v>7055</v>
      </c>
      <c r="C7092" t="str">
        <f>IFERROR(__xludf.DUMMYFUNCTION("GOOGLETRANSLATE(B7092, ""zh"", ""en"")"),"The effect is very good calcium share, the amount is less.")</f>
        <v>The effect is very good calcium share, the amount is less.</v>
      </c>
    </row>
    <row r="7093">
      <c r="A7093" s="1">
        <v>5.0</v>
      </c>
      <c r="B7093" s="1" t="s">
        <v>7056</v>
      </c>
      <c r="C7093" t="str">
        <f>IFERROR(__xludf.DUMMYFUNCTION("GOOGLETRANSLATE(B7093, ""zh"", ""en"")"),"Belt is very strong generally speaking pretty good.")</f>
        <v>Belt is very strong generally speaking pretty good.</v>
      </c>
    </row>
    <row r="7094">
      <c r="A7094" s="1">
        <v>5.0</v>
      </c>
      <c r="B7094" s="1" t="s">
        <v>7057</v>
      </c>
      <c r="C7094" t="str">
        <f>IFERROR(__xludf.DUMMYFUNCTION("GOOGLETRANSLATE(B7094, ""zh"", ""en"")"),"Great great box box, then pick a bottom-board sound card noise, like the decoding")</f>
        <v>Great great box box, then pick a bottom-board sound card noise, like the decoding</v>
      </c>
    </row>
    <row r="7095">
      <c r="A7095" s="1">
        <v>5.0</v>
      </c>
      <c r="B7095" s="1" t="s">
        <v>7058</v>
      </c>
      <c r="C7095" t="str">
        <f>IFERROR(__xludf.DUMMYFUNCTION("GOOGLETRANSLATE(B7095, ""zh"", ""en"")"),"Cost-effective high cost relative to domestic same product can still be pricey")</f>
        <v>Cost-effective high cost relative to domestic same product can still be pricey</v>
      </c>
    </row>
    <row r="7096">
      <c r="A7096" s="1">
        <v>5.0</v>
      </c>
      <c r="B7096" s="1" t="s">
        <v>7059</v>
      </c>
      <c r="C7096" t="str">
        <f>IFERROR(__xludf.DUMMYFUNCTION("GOOGLETRANSLATE(B7096, ""zh"", ""en"")"),"Size of the problem 179cm, 71 kg, wearing S code as shown in FIG. Neck circumference slightly smaller, other appropriate. Work is also good, of course, impossible and birds ratio.")</f>
        <v>Size of the problem 179cm, 71 kg, wearing S code as shown in FIG. Neck circumference slightly smaller, other appropriate. Work is also good, of course, impossible and birds ratio.</v>
      </c>
    </row>
    <row r="7097">
      <c r="A7097" s="1">
        <v>5.0</v>
      </c>
      <c r="B7097" s="1" t="s">
        <v>7060</v>
      </c>
      <c r="C7097" t="str">
        <f>IFERROR(__xludf.DUMMYFUNCTION("GOOGLETRANSLATE(B7097, ""zh"", ""en"")"),"Like to look good and warm, very nice bottoming")</f>
        <v>Like to look good and warm, very nice bottoming</v>
      </c>
    </row>
    <row r="7098">
      <c r="A7098" s="1">
        <v>5.0</v>
      </c>
      <c r="B7098" s="1" t="s">
        <v>7061</v>
      </c>
      <c r="C7098" t="str">
        <f>IFERROR(__xludf.DUMMYFUNCTION("GOOGLETRANSLATE(B7098, ""zh"", ""en"")"),"Value for money shower area, water, soft feeling, very comfortable.")</f>
        <v>Value for money shower area, water, soft feeling, very comfortable.</v>
      </c>
    </row>
    <row r="7099">
      <c r="A7099" s="1">
        <v>5.0</v>
      </c>
      <c r="B7099" s="1" t="s">
        <v>7062</v>
      </c>
      <c r="C7099" t="str">
        <f>IFERROR(__xludf.DUMMYFUNCTION("GOOGLETRANSLATE(B7099, ""zh"", ""en"")"),"Mimi da dish is also good to see a good deal!")</f>
        <v>Mimi da dish is also good to see a good deal!</v>
      </c>
    </row>
    <row r="7100">
      <c r="A7100" s="1">
        <v>5.0</v>
      </c>
      <c r="B7100" s="1" t="s">
        <v>7063</v>
      </c>
      <c r="C7100" t="str">
        <f>IFERROR(__xludf.DUMMYFUNCTION("GOOGLETRANSLATE(B7100, ""zh"", ""en"")"),"Shoes a little bit tight, things okay.")</f>
        <v>Shoes a little bit tight, things okay.</v>
      </c>
    </row>
    <row r="7101">
      <c r="A7101" s="1">
        <v>5.0</v>
      </c>
      <c r="B7101" s="1" t="s">
        <v>7064</v>
      </c>
      <c r="C7101" t="str">
        <f>IFERROR(__xludf.DUMMYFUNCTION("GOOGLETRANSLATE(B7101, ""zh"", ""en"")"),"Black five special buy just to scrape together a single, and found very nice ah.")</f>
        <v>Black five special buy just to scrape together a single, and found very nice ah.</v>
      </c>
    </row>
    <row r="7102">
      <c r="A7102" s="1">
        <v>5.0</v>
      </c>
      <c r="B7102" s="1" t="s">
        <v>7065</v>
      </c>
      <c r="C7102" t="str">
        <f>IFERROR(__xludf.DUMMYFUNCTION("GOOGLETRANSLATE(B7102, ""zh"", ""en"")"),"Very satisfied, but also to make up the price of two 110 172,68, m very appropriate, out of the pit, waiting for price cuts short sleeve")</f>
        <v>Very satisfied, but also to make up the price of two 110 172,68, m very appropriate, out of the pit, waiting for price cuts short sleeve</v>
      </c>
    </row>
    <row r="7103">
      <c r="A7103" s="1">
        <v>5.0</v>
      </c>
      <c r="B7103" s="1" t="s">
        <v>7066</v>
      </c>
      <c r="C7103" t="str">
        <f>IFERROR(__xludf.DUMMYFUNCTION("GOOGLETRANSLATE(B7103, ""zh"", ""en"")"),"Okay too large a number, some dark red.")</f>
        <v>Okay too large a number, some dark red.</v>
      </c>
    </row>
    <row r="7104">
      <c r="A7104" s="1">
        <v>5.0</v>
      </c>
      <c r="B7104" s="1" t="s">
        <v>7067</v>
      </c>
      <c r="C7104" t="str">
        <f>IFERROR(__xludf.DUMMYFUNCTION("GOOGLETRANSLATE(B7104, ""zh"", ""en"")"),"Quality can 180/150 pounds, just right, plus velvet medium thickness, is the thickness you want to buy, mainly cheap, satisfaction")</f>
        <v>Quality can 180/150 pounds, just right, plus velvet medium thickness, is the thickness you want to buy, mainly cheap, satisfaction</v>
      </c>
    </row>
    <row r="7105">
      <c r="A7105" s="1">
        <v>5.0</v>
      </c>
      <c r="B7105" s="1" t="s">
        <v>7068</v>
      </c>
      <c r="C7105" t="str">
        <f>IFERROR(__xludf.DUMMYFUNCTION("GOOGLETRANSLATE(B7105, ""zh"", ""en"")"),"Light and comfortable nike 36.5 feet, wearing eu37. The shoes are not thin. Fat wearing appropriate.")</f>
        <v>Light and comfortable nike 36.5 feet, wearing eu37. The shoes are not thin. Fat wearing appropriate.</v>
      </c>
    </row>
    <row r="7106">
      <c r="A7106" s="1">
        <v>5.0</v>
      </c>
      <c r="B7106" s="1" t="s">
        <v>7069</v>
      </c>
      <c r="C7106" t="str">
        <f>IFERROR(__xludf.DUMMYFUNCTION("GOOGLETRANSLATE(B7106, ""zh"", ""en"")"),"Give newcomers a reference: height 176, weight 71KG, S yards Amazon's overseas purchase very appropriate, very pit size, I hope you in action, refer to each other")</f>
        <v>Give newcomers a reference: height 176, weight 71KG, S yards Amazon's overseas purchase very appropriate, very pit size, I hope you in action, refer to each other</v>
      </c>
    </row>
    <row r="7107">
      <c r="A7107" s="1">
        <v>5.0</v>
      </c>
      <c r="B7107" s="1" t="s">
        <v>7070</v>
      </c>
      <c r="C7107" t="str">
        <f>IFERROR(__xludf.DUMMYFUNCTION("GOOGLETRANSLATE(B7107, ""zh"", ""en"")"),"Size slightly larger size is slightly larger, thin legs, then if the proposed election of a small one yard, great shoes worth elected")</f>
        <v>Size slightly larger size is slightly larger, thin legs, then if the proposed election of a small one yard, great shoes worth elected</v>
      </c>
    </row>
    <row r="7108">
      <c r="A7108" s="1">
        <v>5.0</v>
      </c>
      <c r="B7108" s="1" t="s">
        <v>7071</v>
      </c>
      <c r="C7108" t="str">
        <f>IFERROR(__xludf.DUMMYFUNCTION("GOOGLETRANSLATE(B7108, ""zh"", ""en"")"),"Classic read a lot of reviews online, it is indeed a classic. Still burning machine.")</f>
        <v>Classic read a lot of reviews online, it is indeed a classic. Still burning machine.</v>
      </c>
    </row>
    <row r="7109">
      <c r="A7109" s="1">
        <v>5.0</v>
      </c>
      <c r="B7109" s="1" t="s">
        <v>7072</v>
      </c>
      <c r="C7109" t="str">
        <f>IFERROR(__xludf.DUMMYFUNCTION("GOOGLETRANSLATE(B7109, ""zh"", ""en"")"),"Centrum vitamins good results or cost-effective to buy a membership, members of this very special offer free shipping plus PRIME value, Centrum brand stronger than those SWISSE like much, and components are more realistic effect")</f>
        <v>Centrum vitamins good results or cost-effective to buy a membership, members of this very special offer free shipping plus PRIME value, Centrum brand stronger than those SWISSE like much, and components are more realistic effect</v>
      </c>
    </row>
    <row r="7110">
      <c r="A7110" s="1">
        <v>2.0</v>
      </c>
      <c r="B7110" s="1" t="s">
        <v>7073</v>
      </c>
      <c r="C7110" t="str">
        <f>IFERROR(__xludf.DUMMYFUNCTION("GOOGLETRANSLATE(B7110, ""zh"", ""en"")"),"This is a good little later a little longer, there is pee opening, comfortable fit")</f>
        <v>This is a good little later a little longer, there is pee opening, comfortable fit</v>
      </c>
    </row>
    <row r="7111">
      <c r="A7111" s="1">
        <v>3.0</v>
      </c>
      <c r="B7111" s="1" t="s">
        <v>7074</v>
      </c>
      <c r="C7111" t="str">
        <f>IFERROR(__xludf.DUMMYFUNCTION("GOOGLETRANSLATE(B7111, ""zh"", ""en"")"),"Packaging is not good package, good texture scratches leader, is shipped over simple packaging, leading many scratches, the metal buckle on the map where there is no package, it is estimated that the card is to be deducted is. And down the back of a singl"&amp;"e, intact package, can not draw to the metal snap faucet. Before packing ragged scratches should be removed customs inspection or express a half-way open, not when placed back in the original way, and snap the leading cause not separated.")</f>
        <v>Packaging is not good package, good texture scratches leader, is shipped over simple packaging, leading many scratches, the metal buckle on the map where there is no package, it is estimated that the card is to be deducted is. And down the back of a single, intact package, can not draw to the metal snap faucet. Before packing ragged scratches should be removed customs inspection or express a half-way open, not when placed back in the original way, and snap the leading cause not separated.</v>
      </c>
    </row>
    <row r="7112">
      <c r="A7112" s="1">
        <v>3.0</v>
      </c>
      <c r="B7112" s="1" t="s">
        <v>7075</v>
      </c>
      <c r="C7112" t="str">
        <f>IFERROR(__xludf.DUMMYFUNCTION("GOOGLETRANSLATE(B7112, ""zh"", ""en"")"),"Why short liked stopwatch are not allowed, but luminous good 😊")</f>
        <v>Why short liked stopwatch are not allowed, but luminous good 😊</v>
      </c>
    </row>
    <row r="7113">
      <c r="A7113" s="1">
        <v>1.0</v>
      </c>
      <c r="B7113" s="1" t="s">
        <v>7076</v>
      </c>
      <c r="C7113" t="str">
        <f>IFERROR(__xludf.DUMMYFUNCTION("GOOGLETRANSLATE(B7113, ""zh"", ""en"")"),"Packaging sucks this package really flattered, like opened and sealed, and wrinkled.")</f>
        <v>Packaging sucks this package really flattered, like opened and sealed, and wrinkled.</v>
      </c>
    </row>
    <row r="7114">
      <c r="A7114" s="1">
        <v>1.0</v>
      </c>
      <c r="B7114" s="1" t="s">
        <v>7077</v>
      </c>
      <c r="C7114" t="str">
        <f>IFERROR(__xludf.DUMMYFUNCTION("GOOGLETRANSLATE(B7114, ""zh"", ""en"")"),"I just wear shoes serious unglued for a month, on the inside of his right foot unglued, super serious, I spent nearly four hundred, so I seriously doubt is not genuine!")</f>
        <v>I just wear shoes serious unglued for a month, on the inside of his right foot unglued, super serious, I spent nearly four hundred, so I seriously doubt is not genuine!</v>
      </c>
    </row>
    <row r="7115">
      <c r="A7115" s="1">
        <v>1.0</v>
      </c>
      <c r="B7115" s="1" t="s">
        <v>7078</v>
      </c>
      <c r="C7115" t="str">
        <f>IFERROR(__xludf.DUMMYFUNCTION("GOOGLETRANSLATE(B7115, ""zh"", ""en"")"),"Size does not fit recommended size is too large, Sleeve, Shoulder, Length. How to swap?")</f>
        <v>Size does not fit recommended size is too large, Sleeve, Shoulder, Length. How to swap?</v>
      </c>
    </row>
    <row r="7116">
      <c r="A7116" s="1">
        <v>4.0</v>
      </c>
      <c r="B7116" s="1" t="s">
        <v>7079</v>
      </c>
      <c r="C7116" t="str">
        <f>IFERROR(__xludf.DUMMYFUNCTION("GOOGLETRANSLATE(B7116, ""zh"", ""en"")"),"Date code good small, 172,108 pounds, L code just, good style.")</f>
        <v>Date code good small, 172,108 pounds, L code just, good style.</v>
      </c>
    </row>
    <row r="7117">
      <c r="A7117" s="1">
        <v>4.0</v>
      </c>
      <c r="B7117" s="1" t="s">
        <v>7080</v>
      </c>
      <c r="C7117" t="str">
        <f>IFERROR(__xludf.DUMMYFUNCTION("GOOGLETRANSLATE(B7117, ""zh"", ""en"")"),"Fairly satisfied okay, that is a little big,")</f>
        <v>Fairly satisfied okay, that is a little big,</v>
      </c>
    </row>
    <row r="7118">
      <c r="A7118" s="1">
        <v>4.0</v>
      </c>
      <c r="B7118" s="1" t="s">
        <v>7081</v>
      </c>
      <c r="C7118" t="str">
        <f>IFERROR(__xludf.DUMMYFUNCTION("GOOGLETRANSLATE(B7118, ""zh"", ""en"")"),"Just wear can also ah day, especially to a comprehensive evaluation follows, first talk about the advantages: 1. Size fairly fit ah, I 174, weight 60kg, No. S is not fat ah, because it also wear a shirt and cardigan; 2. camouflage kind at different light "&amp;"becomes visible in FIG., but may feel better buy black point; 3. Although not down, the weight still acceptable, heavier than the jacket, warm and weaker in the jacket, two days Beijing just to cool large, today the maximum temperature of minus 2 degrees,"&amp;" the lowest temperature of minus 9 degrees during the day wear is not cold. So the south will warm more friends wear it. Disadvantages as follows: 1. thread a bit more, but I have not met, said in front of several sleeves are slotted 2. long sleeves, hand"&amp;"s can be fully recessed inside, but not too big 3. plastic string tag that actually card into the sleeve, so when you cut, there is little cut out ... do not get warm and slightly less than 4, or Down warmer minus 10 degrees")</f>
        <v>Just wear can also ah day, especially to a comprehensive evaluation follows, first talk about the advantages: 1. Size fairly fit ah, I 174, weight 60kg, No. S is not fat ah, because it also wear a shirt and cardigan; 2. camouflage kind at different light becomes visible in FIG., but may feel better buy black point; 3. Although not down, the weight still acceptable, heavier than the jacket, warm and weaker in the jacket, two days Beijing just to cool large, today the maximum temperature of minus 2 degrees, the lowest temperature of minus 9 degrees during the day wear is not cold. So the south will warm more friends wear it. Disadvantages as follows: 1. thread a bit more, but I have not met, said in front of several sleeves are slotted 2. long sleeves, hands can be fully recessed inside, but not too big 3. plastic string tag that actually card into the sleeve, so when you cut, there is little cut out ... do not get warm and slightly less than 4, or Down warmer minus 10 degrees</v>
      </c>
    </row>
    <row r="7119">
      <c r="A7119" s="1">
        <v>4.0</v>
      </c>
      <c r="B7119" s="1" t="s">
        <v>7082</v>
      </c>
      <c r="C7119" t="str">
        <f>IFERROR(__xludf.DUMMYFUNCTION("GOOGLETRANSLATE(B7119, ""zh"", ""en"")"),"Quality line feels a bit general, but the band just okay")</f>
        <v>Quality line feels a bit general, but the band just okay</v>
      </c>
    </row>
    <row r="7120">
      <c r="A7120" s="1">
        <v>4.0</v>
      </c>
      <c r="B7120" s="1" t="s">
        <v>7083</v>
      </c>
      <c r="C7120" t="str">
        <f>IFERROR(__xludf.DUMMYFUNCTION("GOOGLETRANSLATE(B7120, ""zh"", ""en"")"),"As the size just right fit, fat may be too little, huh, huh.")</f>
        <v>As the size just right fit, fat may be too little, huh, huh.</v>
      </c>
    </row>
    <row r="7121">
      <c r="A7121" s="1">
        <v>5.0</v>
      </c>
      <c r="B7121" s="1" t="s">
        <v>7084</v>
      </c>
      <c r="C7121" t="str">
        <f>IFERROR(__xludf.DUMMYFUNCTION("GOOGLETRANSLATE(B7121, ""zh"", ""en"")"),"Very good very good, no smell, like baby. It is easy to coat the fluff stuff like, before the baby to chew on every wash.")</f>
        <v>Very good very good, no smell, like baby. It is easy to coat the fluff stuff like, before the baby to chew on every wash.</v>
      </c>
    </row>
    <row r="7122">
      <c r="A7122" s="1">
        <v>5.0</v>
      </c>
      <c r="B7122" s="1" t="s">
        <v>7085</v>
      </c>
      <c r="C7122" t="str">
        <f>IFERROR(__xludf.DUMMYFUNCTION("GOOGLETRANSLATE(B7122, ""zh"", ""en"")"),"Texture perfect perfect feel it is important to wait for the installation effect")</f>
        <v>Texture perfect perfect feel it is important to wait for the installation effect</v>
      </c>
    </row>
    <row r="7123">
      <c r="A7123" s="1">
        <v>5.0</v>
      </c>
      <c r="B7123" s="1" t="s">
        <v>7086</v>
      </c>
      <c r="C7123" t="str">
        <f>IFERROR(__xludf.DUMMYFUNCTION("GOOGLETRANSLATE(B7123, ""zh"", ""en"")"),"Slightly thick, the right size, inexpensive slightly thick, 168cm, 71kg, S size suitable number")</f>
        <v>Slightly thick, the right size, inexpensive slightly thick, 168cm, 71kg, S size suitable number</v>
      </c>
    </row>
    <row r="7124">
      <c r="A7124" s="1">
        <v>5.0</v>
      </c>
      <c r="B7124" s="1" t="s">
        <v>7087</v>
      </c>
      <c r="C7124" t="str">
        <f>IFERROR(__xludf.DUMMYFUNCTION("GOOGLETRANSLATE(B7124, ""zh"", ""en"")"),"Express cargo well, that will fade")</f>
        <v>Express cargo well, that will fade</v>
      </c>
    </row>
    <row r="7125">
      <c r="A7125" s="1">
        <v>5.0</v>
      </c>
      <c r="B7125" s="1" t="s">
        <v>7088</v>
      </c>
      <c r="C7125" t="str">
        <f>IFERROR(__xludf.DUMMYFUNCTION("GOOGLETRANSLATE(B7125, ""zh"", ""en"")"),"Intelligent design, the forefront of this era who wear lightweight, easy to use, while the sound can be heard in public areas, to facilitate the safe transportation when outdoors. Easy to charge. Wisdom products.")</f>
        <v>Intelligent design, the forefront of this era who wear lightweight, easy to use, while the sound can be heard in public areas, to facilitate the safe transportation when outdoors. Easy to charge. Wisdom products.</v>
      </c>
    </row>
    <row r="7126">
      <c r="A7126" s="1">
        <v>5.0</v>
      </c>
      <c r="B7126" s="1" t="s">
        <v>7089</v>
      </c>
      <c r="C7126" t="str">
        <f>IFERROR(__xludf.DUMMYFUNCTION("GOOGLETRANSLATE(B7126, ""zh"", ""en"")"),"Inexpensive version of a good type, high waist straight particularly comfortable to wear. Point slightly elastic fabric. 4 selected code, all codes which have the smallest code, and upper body fit. However, domestic Uniqlo I wear 27 yards.")</f>
        <v>Inexpensive version of a good type, high waist straight particularly comfortable to wear. Point slightly elastic fabric. 4 selected code, all codes which have the smallest code, and upper body fit. However, domestic Uniqlo I wear 27 yards.</v>
      </c>
    </row>
    <row r="7127">
      <c r="A7127" s="1">
        <v>5.0</v>
      </c>
      <c r="B7127" s="1" t="s">
        <v>7090</v>
      </c>
      <c r="C7127" t="str">
        <f>IFERROR(__xludf.DUMMYFUNCTION("GOOGLETRANSLATE(B7127, ""zh"", ""en"")"),"Need is not absolutely say good use, loose extension of this all-black styling is absolutely classic, many American action movie actor with all this, such as ""those grievances."" I bought a long journey on foot applicable nice function well, compass accu"&amp;"rate, but also to locate.")</f>
        <v>Need is not absolutely say good use, loose extension of this all-black styling is absolutely classic, many American action movie actor with all this, such as "those grievances." I bought a long journey on foot applicable nice function well, compass accurate, but also to locate.</v>
      </c>
    </row>
    <row r="7128">
      <c r="A7128" s="1">
        <v>5.0</v>
      </c>
      <c r="B7128" s="1" t="s">
        <v>7091</v>
      </c>
      <c r="C7128" t="str">
        <f>IFERROR(__xludf.DUMMYFUNCTION("GOOGLETRANSLATE(B7128, ""zh"", ""en"")"),"It looks good quality. Shoe size with similar domestic shoe, leather shoes 40 yards to buy 7.5M, but because it is the cause of new shoes, instep part of the card very tight, the sole is truly hard, with no insole like, plus a insole not afraid to wear go"&amp;" in. Work really solid, airtight, spring and autumn wear appropriate. What is not found before the arrival of Fujian Open Sesame courier responsible for distribution, poor online reviews, but fortunately I have not met their wonderful work courier, smooth"&amp;" hand. Receiving orders to a total of five days.")</f>
        <v>It looks good quality. Shoe size with similar domestic shoe, leather shoes 40 yards to buy 7.5M, but because it is the cause of new shoes, instep part of the card very tight, the sole is truly hard, with no insole like, plus a insole not afraid to wear go in. Work really solid, airtight, spring and autumn wear appropriate. What is not found before the arrival of Fujian Open Sesame courier responsible for distribution, poor online reviews, but fortunately I have not met their wonderful work courier, smooth hand. Receiving orders to a total of five days.</v>
      </c>
    </row>
    <row r="7129">
      <c r="A7129" s="1">
        <v>5.0</v>
      </c>
      <c r="B7129" s="1" t="s">
        <v>7092</v>
      </c>
      <c r="C7129" t="str">
        <f>IFERROR(__xludf.DUMMYFUNCTION("GOOGLETRANSLATE(B7129, ""zh"", ""en"")"),"Size accurate, high quality. 178cm / 80kg Waist 90cm 34w / 30 just hip three-dimensional cut, loose and comfortable pants, Bo Hou just, suitable for winter wear,")</f>
        <v>Size accurate, high quality. 178cm / 80kg Waist 90cm 34w / 30 just hip three-dimensional cut, loose and comfortable pants, Bo Hou just, suitable for winter wear,</v>
      </c>
    </row>
    <row r="7130">
      <c r="A7130" s="1">
        <v>5.0</v>
      </c>
      <c r="B7130" s="1" t="s">
        <v>7093</v>
      </c>
      <c r="C7130" t="str">
        <f>IFERROR(__xludf.DUMMYFUNCTION("GOOGLETRANSLATE(B7130, ""zh"", ""en"")"),"Writing smooth appearance is like now at this age do not like metal pen housing. Catch up with discount start. Prior to want to support domestic buy heroes, alas .... always have to write every time .... this plan several times a water smooth, no scratch "&amp;"paper, work is also good, very much.")</f>
        <v>Writing smooth appearance is like now at this age do not like metal pen housing. Catch up with discount start. Prior to want to support domestic buy heroes, alas .... always have to write every time .... this plan several times a water smooth, no scratch paper, work is also good, very much.</v>
      </c>
    </row>
    <row r="7131">
      <c r="A7131" s="1">
        <v>5.0</v>
      </c>
      <c r="B7131" s="1" t="s">
        <v>7094</v>
      </c>
      <c r="C7131" t="str">
        <f>IFERROR(__xludf.DUMMYFUNCTION("GOOGLETRANSLATE(B7131, ""zh"", ""en"")"),"Physical size fits a little light pink, beige thought it was before, just the right size, a little pre large, very comfortable")</f>
        <v>Physical size fits a little light pink, beige thought it was before, just the right size, a little pre large, very comfortable</v>
      </c>
    </row>
    <row r="7132">
      <c r="A7132" s="1">
        <v>5.0</v>
      </c>
      <c r="B7132" s="1" t="s">
        <v>7095</v>
      </c>
      <c r="C7132" t="str">
        <f>IFERROR(__xludf.DUMMYFUNCTION("GOOGLETRANSLATE(B7132, ""zh"", ""en"")"),"Stocking buy distribution to the toothbrush head will be replaced before arrival, buy a few stocking up. Durable, genuine.")</f>
        <v>Stocking buy distribution to the toothbrush head will be replaced before arrival, buy a few stocking up. Durable, genuine.</v>
      </c>
    </row>
    <row r="7133">
      <c r="A7133" s="1">
        <v>5.0</v>
      </c>
      <c r="B7133" s="1" t="s">
        <v>7096</v>
      </c>
      <c r="C7133" t="str">
        <f>IFERROR(__xludf.DUMMYFUNCTION("GOOGLETRANSLATE(B7133, ""zh"", ""en"")"),"Yen value is high looks really nice, can additionally be a belt clip on the tape is not a male baby clothes m models, or buy a like super like")</f>
        <v>Yen value is high looks really nice, can additionally be a belt clip on the tape is not a male baby clothes m models, or buy a like super like</v>
      </c>
    </row>
    <row r="7134">
      <c r="A7134" s="1">
        <v>5.0</v>
      </c>
      <c r="B7134" s="1" t="s">
        <v>7097</v>
      </c>
      <c r="C7134" t="str">
        <f>IFERROR(__xludf.DUMMYFUNCTION("GOOGLETRANSLATE(B7134, ""zh"", ""en"")"),"Good upper body looked hypertrophy, worn on the body good effect.")</f>
        <v>Good upper body looked hypertrophy, worn on the body good effect.</v>
      </c>
    </row>
    <row r="7135">
      <c r="A7135" s="1">
        <v>5.0</v>
      </c>
      <c r="B7135" s="1" t="s">
        <v>7098</v>
      </c>
      <c r="C7135" t="str">
        <f>IFERROR(__xludf.DUMMYFUNCTION("GOOGLETRANSLATE(B7135, ""zh"", ""en"")"),"Good pen price satisfaction, but unfortunately can not free postage, now seems to be, 215 counterweight good pen better, it is worth starting!")</f>
        <v>Good pen price satisfaction, but unfortunately can not free postage, now seems to be, 215 counterweight good pen better, it is worth starting!</v>
      </c>
    </row>
    <row r="7136">
      <c r="A7136" s="1">
        <v>5.0</v>
      </c>
      <c r="B7136" s="1" t="s">
        <v>7099</v>
      </c>
      <c r="C7136" t="str">
        <f>IFERROR(__xludf.DUMMYFUNCTION("GOOGLETRANSLATE(B7136, ""zh"", ""en"")"),"Nice pants color lighter color than the pictures, microstrip stretch, straight jeans, quality is also good. Cost-effective than domestic pants good.")</f>
        <v>Nice pants color lighter color than the pictures, microstrip stretch, straight jeans, quality is also good. Cost-effective than domestic pants good.</v>
      </c>
    </row>
    <row r="7137">
      <c r="A7137" s="1">
        <v>5.0</v>
      </c>
      <c r="B7137" s="1" t="s">
        <v>7100</v>
      </c>
      <c r="C7137" t="str">
        <f>IFERROR(__xludf.DUMMYFUNCTION("GOOGLETRANSLATE(B7137, ""zh"", ""en"")"),"Satisfied with good, prime free shipping, a good deal. Shoe size is accurate, appropriate. Earlier than expected delivery time, very fast")</f>
        <v>Satisfied with good, prime free shipping, a good deal. Shoe size is accurate, appropriate. Earlier than expected delivery time, very fast</v>
      </c>
    </row>
    <row r="7138">
      <c r="A7138" s="1">
        <v>5.0</v>
      </c>
      <c r="B7138" s="1" t="s">
        <v>7101</v>
      </c>
      <c r="C7138" t="str">
        <f>IFERROR(__xludf.DUMMYFUNCTION("GOOGLETRANSLATE(B7138, ""zh"", ""en"")"),"Writing smooth, simple 1l packaging equipment, can be used for many years, writing fluency")</f>
        <v>Writing smooth, simple 1l packaging equipment, can be used for many years, writing fluency</v>
      </c>
    </row>
    <row r="7139">
      <c r="A7139" s="1">
        <v>5.0</v>
      </c>
      <c r="B7139" s="1" t="s">
        <v>7102</v>
      </c>
      <c r="C7139" t="str">
        <f>IFERROR(__xludf.DUMMYFUNCTION("GOOGLETRANSLATE(B7139, ""zh"", ""en"")"),"To the dense than ck, law-abiding, feel better, I feel comfortable to be dense than ck")</f>
        <v>To the dense than ck, law-abiding, feel better, I feel comfortable to be dense than ck</v>
      </c>
    </row>
    <row r="7140">
      <c r="A7140" s="1">
        <v>5.0</v>
      </c>
      <c r="B7140" s="1" t="s">
        <v>7103</v>
      </c>
      <c r="C7140" t="str">
        <f>IFERROR(__xludf.DUMMYFUNCTION("GOOGLETRANSLATE(B7140, ""zh"", ""en"")"),"Overseas purchase of goods description is not clear, for example, rice is a few paragraphs to the children as bibs, I like cheap things")</f>
        <v>Overseas purchase of goods description is not clear, for example, rice is a few paragraphs to the children as bibs, I like cheap things</v>
      </c>
    </row>
    <row r="7141">
      <c r="A7141" s="1">
        <v>5.0</v>
      </c>
      <c r="B7141" s="1" t="s">
        <v>7104</v>
      </c>
      <c r="C7141" t="str">
        <f>IFERROR(__xludf.DUMMYFUNCTION("GOOGLETRANSLATE(B7141, ""zh"", ""en"")"),"Yan high-value easy to use very good, oh, not hurt, it is convenient to carry big")</f>
        <v>Yan high-value easy to use very good, oh, not hurt, it is convenient to carry big</v>
      </c>
    </row>
    <row r="7142">
      <c r="A7142" s="1">
        <v>5.0</v>
      </c>
      <c r="B7142" s="1" t="s">
        <v>7105</v>
      </c>
      <c r="C7142" t="str">
        <f>IFERROR(__xludf.DUMMYFUNCTION("GOOGLETRANSLATE(B7142, ""zh"", ""en"")"),"Too big too big European and American people and the Chinese people's body really is not the same as long as not too fat s enough")</f>
        <v>Too big too big European and American people and the Chinese people's body really is not the same as long as not too fat s enough</v>
      </c>
    </row>
    <row r="7143">
      <c r="A7143" s="1">
        <v>2.0</v>
      </c>
      <c r="B7143" s="1" t="s">
        <v>7106</v>
      </c>
      <c r="C7143" t="str">
        <f>IFERROR(__xludf.DUMMYFUNCTION("GOOGLETRANSLATE(B7143, ""zh"", ""en"")"),"Wearing uncomfortable clothes to climb, climb, really beyond imagination. Wearing a second time.")</f>
        <v>Wearing uncomfortable clothes to climb, climb, really beyond imagination. Wearing a second time.</v>
      </c>
    </row>
    <row r="7144">
      <c r="A7144" s="1">
        <v>3.0</v>
      </c>
      <c r="B7144" s="1" t="s">
        <v>7107</v>
      </c>
      <c r="C7144" t="str">
        <f>IFERROR(__xludf.DUMMYFUNCTION("GOOGLETRANSLATE(B7144, ""zh"", ""en"")"),"Not worth it wrong letter upstairs people bought it, even with Raindance E150 or puravida hand shower, there is still a gap assembly mm, can not twist in the end, you might as well buy toto or Mizakae pipe")</f>
        <v>Not worth it wrong letter upstairs people bought it, even with Raindance E150 or puravida hand shower, there is still a gap assembly mm, can not twist in the end, you might as well buy toto or Mizakae pipe</v>
      </c>
    </row>
    <row r="7145">
      <c r="A7145" s="1">
        <v>3.0</v>
      </c>
      <c r="B7145" s="1" t="s">
        <v>7108</v>
      </c>
      <c r="C7145" t="str">
        <f>IFERROR(__xludf.DUMMYFUNCTION("GOOGLETRANSLATE(B7145, ""zh"", ""en"")"),"A month to really work in general, good sound performance")</f>
        <v>A month to really work in general, good sound performance</v>
      </c>
    </row>
    <row r="7146">
      <c r="A7146" s="1">
        <v>3.0</v>
      </c>
      <c r="B7146" s="1" t="s">
        <v>7109</v>
      </c>
      <c r="C7146" t="str">
        <f>IFERROR(__xludf.DUMMYFUNCTION("GOOGLETRANSLATE(B7146, ""zh"", ""en"")"),"Surface mineral glass surface mineral glass, sapphire is not, anyway, I already have two of the scratches")</f>
        <v>Surface mineral glass surface mineral glass, sapphire is not, anyway, I already have two of the scratches</v>
      </c>
    </row>
    <row r="7147">
      <c r="A7147" s="1">
        <v>1.0</v>
      </c>
      <c r="B7147" s="1" t="s">
        <v>7110</v>
      </c>
      <c r="C7147" t="str">
        <f>IFERROR(__xludf.DUMMYFUNCTION("GOOGLETRANSLATE(B7147, ""zh"", ""en"")"),"Defects, poor assessment must be defective, the pen is defective, hundreds of dollars of stuff can not return the")</f>
        <v>Defects, poor assessment must be defective, the pen is defective, hundreds of dollars of stuff can not return the</v>
      </c>
    </row>
    <row r="7148">
      <c r="A7148" s="1">
        <v>1.0</v>
      </c>
      <c r="B7148" s="1" t="s">
        <v>7111</v>
      </c>
      <c r="C7148" t="str">
        <f>IFERROR(__xludf.DUMMYFUNCTION("GOOGLETRANSLATE(B7148, ""zh"", ""en"")"),"Not much money, too lazy to retire short pants 36 yards, 36 yards to buy a belt, buckle end outermost buckle, leaving about 5cm, just long enough. Not inside the skin, sucks, and if this belt in the domestic Taobao to buy, they must return plus negative f"&amp;"eedback, so far, not worth the toss. But very bad")</f>
        <v>Not much money, too lazy to retire short pants 36 yards, 36 yards to buy a belt, buckle end outermost buckle, leaving about 5cm, just long enough. Not inside the skin, sucks, and if this belt in the domestic Taobao to buy, they must return plus negative feedback, so far, not worth the toss. But very bad</v>
      </c>
    </row>
    <row r="7149">
      <c r="A7149" s="1">
        <v>4.0</v>
      </c>
      <c r="B7149" s="1" t="s">
        <v>7112</v>
      </c>
      <c r="C7149" t="str">
        <f>IFERROR(__xludf.DUMMYFUNCTION("GOOGLETRANSLATE(B7149, ""zh"", ""en"")"),"Practical think looks good quality, feel and practical")</f>
        <v>Practical think looks good quality, feel and practical</v>
      </c>
    </row>
    <row r="7150">
      <c r="A7150" s="1">
        <v>4.0</v>
      </c>
      <c r="B7150" s="1" t="s">
        <v>7113</v>
      </c>
      <c r="C7150" t="str">
        <f>IFERROR(__xludf.DUMMYFUNCTION("GOOGLETRANSLATE(B7150, ""zh"", ""en"")"),"Quality good good quality. WRANGLER is well-known denim brands, produced good. Size and almost routine, but it will be slightly more than LEVIS loose a little bit.")</f>
        <v>Quality good good quality. WRANGLER is well-known denim brands, produced good. Size and almost routine, but it will be slightly more than LEVIS loose a little bit.</v>
      </c>
    </row>
    <row r="7151">
      <c r="A7151" s="1">
        <v>4.0</v>
      </c>
      <c r="B7151" s="1" t="s">
        <v>7114</v>
      </c>
      <c r="C7151" t="str">
        <f>IFERROR(__xludf.DUMMYFUNCTION("GOOGLETRANSLATE(B7151, ""zh"", ""en"")"),"42 can also be selected 42 domestic, comfortable to wear. But not easy to take care of a problem.")</f>
        <v>42 can also be selected 42 domestic, comfortable to wear. But not easy to take care of a problem.</v>
      </c>
    </row>
    <row r="7152">
      <c r="A7152" s="1">
        <v>4.0</v>
      </c>
      <c r="B7152" s="1" t="s">
        <v>7115</v>
      </c>
      <c r="C7152" t="str">
        <f>IFERROR(__xludf.DUMMYFUNCTION("GOOGLETRANSLATE(B7152, ""zh"", ""en"")"),"Overall, not very practical style material so great, but the design of the straw is not easy to absorb water, the child suck very laborious. When the toy")</f>
        <v>Overall, not very practical style material so great, but the design of the straw is not easy to absorb water, the child suck very laborious. When the toy</v>
      </c>
    </row>
    <row r="7153">
      <c r="A7153" s="1">
        <v>4.0</v>
      </c>
      <c r="B7153" s="1" t="s">
        <v>7116</v>
      </c>
      <c r="C7153" t="str">
        <f>IFERROR(__xludf.DUMMYFUNCTION("GOOGLETRANSLATE(B7153, ""zh"", ""en"")"),"Shoe size logistics very fast, still have to buy W I thought I would lean big, wearing just right, my feet 250mm long, very fit to wear 7W")</f>
        <v>Shoe size logistics very fast, still have to buy W I thought I would lean big, wearing just right, my feet 250mm long, very fit to wear 7W</v>
      </c>
    </row>
    <row r="7154">
      <c r="A7154" s="1">
        <v>5.0</v>
      </c>
      <c r="B7154" s="1" t="s">
        <v>7117</v>
      </c>
      <c r="C7154" t="str">
        <f>IFERROR(__xludf.DUMMYFUNCTION("GOOGLETRANSLATE(B7154, ""zh"", ""en"")"),"High cost of products high cost, height 175, weight 78, just for size. Color is also very fond of, texture soft and comfortable.")</f>
        <v>High cost of products high cost, height 175, weight 78, just for size. Color is also very fond of, texture soft and comfortable.</v>
      </c>
    </row>
    <row r="7155">
      <c r="A7155" s="1">
        <v>5.0</v>
      </c>
      <c r="B7155" s="1" t="s">
        <v>7118</v>
      </c>
      <c r="C7155" t="str">
        <f>IFERROR(__xludf.DUMMYFUNCTION("GOOGLETRANSLATE(B7155, ""zh"", ""en"")"),"Thick good clothes, thick material!")</f>
        <v>Thick good clothes, thick material!</v>
      </c>
    </row>
    <row r="7156">
      <c r="A7156" s="1">
        <v>5.0</v>
      </c>
      <c r="B7156" s="1" t="s">
        <v>7119</v>
      </c>
      <c r="C7156" t="str">
        <f>IFERROR(__xludf.DUMMYFUNCTION("GOOGLETRANSLATE(B7156, ""zh"", ""en"")"),"Good overall feeling good, the insulation effect did not try.")</f>
        <v>Good overall feeling good, the insulation effect did not try.</v>
      </c>
    </row>
    <row r="7157">
      <c r="A7157" s="1">
        <v>5.0</v>
      </c>
      <c r="B7157" s="1" t="s">
        <v>6892</v>
      </c>
      <c r="C7157" t="str">
        <f>IFERROR(__xludf.DUMMYFUNCTION("GOOGLETRANSLATE(B7157, ""zh"", ""en"")"),"White champion sweater white sweater, or good, like")</f>
        <v>White champion sweater white sweater, or good, like</v>
      </c>
    </row>
    <row r="7158">
      <c r="A7158" s="1">
        <v>5.0</v>
      </c>
      <c r="B7158" s="1" t="s">
        <v>7120</v>
      </c>
      <c r="C7158" t="str">
        <f>IFERROR(__xludf.DUMMYFUNCTION("GOOGLETRANSLATE(B7158, ""zh"", ""en"")"),"Cheaper than domestic tax cheaper than domestic, daily consumables, scaling is just fine with")</f>
        <v>Cheaper than domestic tax cheaper than domestic, daily consumables, scaling is just fine with</v>
      </c>
    </row>
    <row r="7159">
      <c r="A7159" s="1">
        <v>5.0</v>
      </c>
      <c r="B7159" s="1" t="s">
        <v>7121</v>
      </c>
      <c r="C7159" t="str">
        <f>IFERROR(__xludf.DUMMYFUNCTION("GOOGLETRANSLATE(B7159, ""zh"", ""en"")"),"👍 second time to buy really good, really good shoes 👍 in line with the Yankees usual style, attention to detail but the quality did not have to say, there is a minor imperfection is acceptable! Special praise express speed, absolutely fast!")</f>
        <v>👍 second time to buy really good, really good shoes 👍 in line with the Yankees usual style, attention to detail but the quality did not have to say, there is a minor imperfection is acceptable! Special praise express speed, absolutely fast!</v>
      </c>
    </row>
    <row r="7160">
      <c r="A7160" s="1">
        <v>5.0</v>
      </c>
      <c r="B7160" s="1" t="s">
        <v>7122</v>
      </c>
      <c r="C7160" t="str">
        <f>IFERROR(__xludf.DUMMYFUNCTION("GOOGLETRANSLATE(B7160, ""zh"", ""en"")"),"very good! Very fit, and delivery soon.")</f>
        <v>very good! Very fit, and delivery soon.</v>
      </c>
    </row>
    <row r="7161">
      <c r="A7161" s="1">
        <v>5.0</v>
      </c>
      <c r="B7161" s="1" t="s">
        <v>7123</v>
      </c>
      <c r="C7161" t="str">
        <f>IFERROR(__xludf.DUMMYFUNCTION("GOOGLETRANSLATE(B7161, ""zh"", ""en"")"),"Although it is made in China, but still very good buy before been tangled buy this or buy domestic stainless steel WK600 WK300 Czech-made plastic, and later determined to buy this, discovery is indeed very good. Germany is the home formerly used the same "&amp;"brand of Chinese-made Whiskas is also very good. This is used most expensive kettle, or a sub-price goods, expensive, very thick texture, boil water very fast, expensive, almost no vibration when boiling, have the opportunity to buy WK300 try.")</f>
        <v>Although it is made in China, but still very good buy before been tangled buy this or buy domestic stainless steel WK600 WK300 Czech-made plastic, and later determined to buy this, discovery is indeed very good. Germany is the home formerly used the same brand of Chinese-made Whiskas is also very good. This is used most expensive kettle, or a sub-price goods, expensive, very thick texture, boil water very fast, expensive, almost no vibration when boiling, have the opportunity to buy WK300 try.</v>
      </c>
    </row>
    <row r="7162">
      <c r="A7162" s="1">
        <v>5.0</v>
      </c>
      <c r="B7162" s="1" t="s">
        <v>7124</v>
      </c>
      <c r="C7162" t="str">
        <f>IFERROR(__xludf.DUMMYFUNCTION("GOOGLETRANSLATE(B7162, ""zh"", ""en"")"),"Appearance can also get the goods looked")</f>
        <v>Appearance can also get the goods looked</v>
      </c>
    </row>
    <row r="7163">
      <c r="A7163" s="1">
        <v>5.0</v>
      </c>
      <c r="B7163" s="1" t="s">
        <v>7125</v>
      </c>
      <c r="C7163" t="str">
        <f>IFERROR(__xludf.DUMMYFUNCTION("GOOGLETRANSLATE(B7163, ""zh"", ""en"")"),"US comfortable to wear without feeling very pretty")</f>
        <v>US comfortable to wear without feeling very pretty</v>
      </c>
    </row>
    <row r="7164">
      <c r="A7164" s="1">
        <v>5.0</v>
      </c>
      <c r="B7164" s="1" t="s">
        <v>7126</v>
      </c>
      <c r="C7164" t="str">
        <f>IFERROR(__xludf.DUMMYFUNCTION("GOOGLETRANSLATE(B7164, ""zh"", ""en"")"),"Very good quality pants, workmanship are first-class.")</f>
        <v>Very good quality pants, workmanship are first-class.</v>
      </c>
    </row>
    <row r="7165">
      <c r="A7165" s="1">
        <v>5.0</v>
      </c>
      <c r="B7165" s="1" t="s">
        <v>7127</v>
      </c>
      <c r="C7165" t="str">
        <f>IFERROR(__xludf.DUMMYFUNCTION("GOOGLETRANSLATE(B7165, ""zh"", ""en"")"),"Open the door to a new world of feeling good stuff though nothing of science and technology, almost like high pressure hose, but can effectively clean your teeth, the price is very affordable, it is recommended to buy, the whole family can use.")</f>
        <v>Open the door to a new world of feeling good stuff though nothing of science and technology, almost like high pressure hose, but can effectively clean your teeth, the price is very affordable, it is recommended to buy, the whole family can use.</v>
      </c>
    </row>
    <row r="7166">
      <c r="A7166" s="1">
        <v>5.0</v>
      </c>
      <c r="B7166" s="1" t="s">
        <v>7128</v>
      </c>
      <c r="C7166" t="str">
        <f>IFERROR(__xludf.DUMMYFUNCTION("GOOGLETRANSLATE(B7166, ""zh"", ""en"")"),"180,74KG good about. 32 * 32 perfect upper body. Partial thickness, navy blue Slim. Look at the reviews not the same color are not the same size")</f>
        <v>180,74KG good about. 32 * 32 perfect upper body. Partial thickness, navy blue Slim. Look at the reviews not the same color are not the same size</v>
      </c>
    </row>
    <row r="7167">
      <c r="A7167" s="1">
        <v>5.0</v>
      </c>
      <c r="B7167" s="1" t="s">
        <v>7129</v>
      </c>
      <c r="C7167" t="str">
        <f>IFERROR(__xludf.DUMMYFUNCTION("GOOGLETRANSLATE(B7167, ""zh"", ""en"")"),"Starting price of around 530 &lt;div id = ""video-block-R3190KBULUZAWL"" class = ""a-section a-spacing-small a-spacing-top-mini video-block""&gt; &lt;/ div&gt; &lt;input type = ""hidden"" name = """" value = ""https://images-cn.ssl-images-amazon.com/images/I/813cIKBqOuS"&amp;".mp4"" class = ""video-url""&gt; &lt;input type = ""hidden"" name = """" value = ""https://images-cn.ssl-images-amazon.com/images/I/A1gNXhdb7uS.png"" class = ""video-slate-img-url""&gt; &amp; nbsp; handy, a good deal ah")</f>
        <v>Starting price of around 530 &lt;div id = "video-block-R3190KBULUZAWL" class = "a-section a-spacing-small a-spacing-top-mini video-block"&gt; &lt;/ div&gt; &lt;input type = "hidden" name = "" value = "https://images-cn.ssl-images-amazon.com/images/I/813cIKBqOuS.mp4" class = "video-url"&gt; &lt;input type = "hidden" name = "" value = "https://images-cn.ssl-images-amazon.com/images/I/A1gNXhdb7uS.png" class = "video-slate-img-url"&gt; &amp; nbsp; handy, a good deal ah</v>
      </c>
    </row>
    <row r="7168">
      <c r="A7168" s="1">
        <v>5.0</v>
      </c>
      <c r="B7168" s="1" t="s">
        <v>7130</v>
      </c>
      <c r="C7168" t="str">
        <f>IFERROR(__xludf.DUMMYFUNCTION("GOOGLETRANSLATE(B7168, ""zh"", ""en"")"),"Precise size in terms of logistics soon, something a lot cheaper than domestic stores; something good, but not very good in terms of size grasp.")</f>
        <v>Precise size in terms of logistics soon, something a lot cheaper than domestic stores; something good, but not very good in terms of size grasp.</v>
      </c>
    </row>
    <row r="7169">
      <c r="A7169" s="1">
        <v>5.0</v>
      </c>
      <c r="B7169" s="1" t="s">
        <v>7131</v>
      </c>
      <c r="C7169" t="str">
        <f>IFERROR(__xludf.DUMMYFUNCTION("GOOGLETRANSLATE(B7169, ""zh"", ""en"")"),"Seven hundred to buy a good discount it is a little tight wore hoodies No. 173 68KG S is a very good discount seven hundred inside a little tight to wear hoodies No. 173 68KG S buy")</f>
        <v>Seven hundred to buy a good discount it is a little tight wore hoodies No. 173 68KG S is a very good discount seven hundred inside a little tight to wear hoodies No. 173 68KG S buy</v>
      </c>
    </row>
    <row r="7170">
      <c r="A7170" s="1">
        <v>5.0</v>
      </c>
      <c r="B7170" s="1" t="s">
        <v>7132</v>
      </c>
      <c r="C7170" t="str">
        <f>IFERROR(__xludf.DUMMYFUNCTION("GOOGLETRANSLATE(B7170, ""zh"", ""en"")"),"This is good not useful, it should be good fried fish fried meat")</f>
        <v>This is good not useful, it should be good fried fish fried meat</v>
      </c>
    </row>
    <row r="7171">
      <c r="A7171" s="1">
        <v>5.0</v>
      </c>
      <c r="B7171" s="1" t="s">
        <v>7133</v>
      </c>
      <c r="C7171" t="str">
        <f>IFERROR(__xludf.DUMMYFUNCTION("GOOGLETRANSLATE(B7171, ""zh"", ""en"")"),"Just good thickness, without velvet. 164 high 123 pounds wearing just loose")</f>
        <v>Just good thickness, without velvet. 164 high 123 pounds wearing just loose</v>
      </c>
    </row>
    <row r="7172">
      <c r="A7172" s="1">
        <v>5.0</v>
      </c>
      <c r="B7172" s="1" t="s">
        <v>7134</v>
      </c>
      <c r="C7172" t="str">
        <f>IFERROR(__xludf.DUMMYFUNCTION("GOOGLETRANSLATE(B7172, ""zh"", ""en"")"),"CK jeans ck jeans version good material good, relatively soft nor too thick. Originally only 30 long pants, but the price is relatively high, this 32 lot cheaper, it does not matter anyway, jeans, long point, can be rolled up can also cut the other ... no"&amp;" problem, appropriate.")</f>
        <v>CK jeans ck jeans version good material good, relatively soft nor too thick. Originally only 30 long pants, but the price is relatively high, this 32 lot cheaper, it does not matter anyway, jeans, long point, can be rolled up can also cut the other ... no problem, appropriate.</v>
      </c>
    </row>
    <row r="7173">
      <c r="A7173" s="1">
        <v>5.0</v>
      </c>
      <c r="B7173" s="1" t="s">
        <v>7135</v>
      </c>
      <c r="C7173" t="str">
        <f>IFERROR(__xludf.DUMMYFUNCTION("GOOGLETRANSLATE(B7173, ""zh"", ""en"")"),"Value for money is very good very nice very values")</f>
        <v>Value for money is very good very nice very values</v>
      </c>
    </row>
    <row r="7174">
      <c r="A7174" s="1">
        <v>5.0</v>
      </c>
      <c r="B7174" s="1" t="s">
        <v>7136</v>
      </c>
      <c r="C7174" t="str">
        <f>IFERROR(__xludf.DUMMYFUNCTION("GOOGLETRANSLATE(B7174, ""zh"", ""en"")"),"Some hard cover lid spoon and bowl are good, that is a bit difficult to fasten the box, but then buckle tightness great")</f>
        <v>Some hard cover lid spoon and bowl are good, that is a bit difficult to fasten the box, but then buckle tightness great</v>
      </c>
    </row>
    <row r="7175">
      <c r="A7175" s="1">
        <v>5.0</v>
      </c>
      <c r="B7175" s="1" t="s">
        <v>7137</v>
      </c>
      <c r="C7175" t="str">
        <f>IFERROR(__xludf.DUMMYFUNCTION("GOOGLETRANSLATE(B7175, ""zh"", ""en"")"),"Pants bought two good, very comfortable fabric, exhibits and photos is serious discrepancies taupe, khaki picture is, but really kind of brown, I do not know if that is not misleading")</f>
        <v>Pants bought two good, very comfortable fabric, exhibits and photos is serious discrepancies taupe, khaki picture is, but really kind of brown, I do not know if that is not misleading</v>
      </c>
    </row>
    <row r="7176">
      <c r="A7176" s="1">
        <v>2.0</v>
      </c>
      <c r="B7176" s="1" t="s">
        <v>7138</v>
      </c>
      <c r="C7176" t="str">
        <f>IFERROR(__xludf.DUMMYFUNCTION("GOOGLETRANSLATE(B7176, ""zh"", ""en"")"),"New paint chips have negative feedback negative feedback! There are obvious signs of paint chips! ! !")</f>
        <v>New paint chips have negative feedback negative feedback! There are obvious signs of paint chips! ! !</v>
      </c>
    </row>
    <row r="7177">
      <c r="A7177" s="1">
        <v>3.0</v>
      </c>
      <c r="B7177" s="1" t="s">
        <v>7139</v>
      </c>
      <c r="C7177" t="str">
        <f>IFERROR(__xludf.DUMMYFUNCTION("GOOGLETRANSLATE(B7177, ""zh"", ""en"")"),"Too, can completely wear style or not, is too great, the key is higher than the return shipping refund, Amazon can not buy basic")</f>
        <v>Too, can completely wear style or not, is too great, the key is higher than the return shipping refund, Amazon can not buy basic</v>
      </c>
    </row>
    <row r="7178">
      <c r="A7178" s="1">
        <v>3.0</v>
      </c>
      <c r="B7178" s="1" t="s">
        <v>7140</v>
      </c>
      <c r="C7178" t="str">
        <f>IFERROR(__xludf.DUMMYFUNCTION("GOOGLETRANSLATE(B7178, ""zh"", ""en"")"),"Style did not imagine the good-looking style is too old, bulky. Not recommended")</f>
        <v>Style did not imagine the good-looking style is too old, bulky. Not recommended</v>
      </c>
    </row>
    <row r="7179">
      <c r="A7179" s="1">
        <v>1.0</v>
      </c>
      <c r="B7179" s="1" t="s">
        <v>7141</v>
      </c>
      <c r="C7179" t="str">
        <f>IFERROR(__xludf.DUMMYFUNCTION("GOOGLETRANSLATE(B7179, ""zh"", ""en"")"),"Vent does not work feeling is false, completely vent does not work, the children have to drink a few mouthfuls of milk unscrewed the cap and put about gas. And I like to buy are not the same.")</f>
        <v>Vent does not work feeling is false, completely vent does not work, the children have to drink a few mouthfuls of milk unscrewed the cap and put about gas. And I like to buy are not the same.</v>
      </c>
    </row>
    <row r="7180">
      <c r="A7180" s="1">
        <v>1.0</v>
      </c>
      <c r="B7180" s="1" t="s">
        <v>7142</v>
      </c>
      <c r="C7180" t="str">
        <f>IFERROR(__xludf.DUMMYFUNCTION("GOOGLETRANSLATE(B7180, ""zh"", ""en"")"),"Not recommended to buy poor quality and abroad to buy quality shoes clarks a lot worse than go back there to return Free What rubbish it was purchased overseas can not be so deceptive it")</f>
        <v>Not recommended to buy poor quality and abroad to buy quality shoes clarks a lot worse than go back there to return Free What rubbish it was purchased overseas can not be so deceptive it</v>
      </c>
    </row>
    <row r="7181">
      <c r="A7181" s="1">
        <v>1.0</v>
      </c>
      <c r="B7181" s="1" t="s">
        <v>7143</v>
      </c>
      <c r="C7181" t="str">
        <f>IFERROR(__xludf.DUMMYFUNCTION("GOOGLETRANSLATE(B7181, ""zh"", ""en"")"),"Pit father's machine, pit father Amazon wash several times, actually there are kneading dough out in silver and black colors on the dough, knead four times or so, You will not be refurbished, right? Sound great, knead 10 minutes the machine will be hot, t"&amp;"here is, a film I would like to ask how long you rub? I was half an hour, not rub the glove membrane intact, only semi-finished bar, this stuff is not super-smart ah there! Knead for 10 minutes, did not even into the group, only manually turned off, the f"&amp;"ace get together, and then began to rub ...... Finally, I want to despise Amazon overseas, a single day at 9:00, the case is not shipped, 10 point I want to return another color, the result has been not to deal with me, ordered a refund, list a refresh, a"&amp;"nd again in a state ready for shipment, and then three in the afternoon to give me a ship! I called customer service, said the situation, and then refused to receive customer service said to contact customer service, will arrange a full refund, I received"&amp;" a refusal, call customer service, she said import duties to be deducted, not a full refund, your reasons made goods, and now let me bear the loss, I was really depressed, 7.800 of import duty, I'm an idiot? Not with the loss of so much money, really pit "&amp;"father, I said I have a complaint and customer service delivery that day when I called customer service consulting, I should say may be recorded, and you go to check, fool with the customer service I said, well, then there is no audio, the super pit fathe"&amp;"r! Amazon advise you to buy electrical appliances, cautious, careful otherwise customer service pit!")</f>
        <v>Pit father's machine, pit father Amazon wash several times, actually there are kneading dough out in silver and black colors on the dough, knead four times or so, You will not be refurbished, right? Sound great, knead 10 minutes the machine will be hot, there is, a film I would like to ask how long you rub? I was half an hour, not rub the glove membrane intact, only semi-finished bar, this stuff is not super-smart ah there! Knead for 10 minutes, did not even into the group, only manually turned off, the face get together, and then began to rub ...... Finally, I want to despise Amazon overseas, a single day at 9:00, the case is not shipped, 10 point I want to return another color, the result has been not to deal with me, ordered a refund, list a refresh, and again in a state ready for shipment, and then three in the afternoon to give me a ship! I called customer service, said the situation, and then refused to receive customer service said to contact customer service, will arrange a full refund, I received a refusal, call customer service, she said import duties to be deducted, not a full refund, your reasons made goods, and now let me bear the loss, I was really depressed, 7.800 of import duty, I'm an idiot? Not with the loss of so much money, really pit father, I said I have a complaint and customer service delivery that day when I called customer service consulting, I should say may be recorded, and you go to check, fool with the customer service I said, well, then there is no audio, the super pit father! Amazon advise you to buy electrical appliances, cautious, careful otherwise customer service pit!</v>
      </c>
    </row>
    <row r="7182">
      <c r="A7182" s="1">
        <v>4.0</v>
      </c>
      <c r="B7182" s="1" t="s">
        <v>7144</v>
      </c>
      <c r="C7182" t="str">
        <f>IFERROR(__xludf.DUMMYFUNCTION("GOOGLETRANSLATE(B7182, ""zh"", ""en"")"),"Very flat iron wok Yan is still good value, the pot is 30cm specifications, this is not even the pouring considered together, the actual pot only 29cm, even with the height of the bottom of the pot 7.5cm, suitable for 1-2 people, or is not light, a little"&amp;" component, as the question was finished stick pan non-stick, for now, is still quite sticky, and I hope the more you use the better it later.")</f>
        <v>Very flat iron wok Yan is still good value, the pot is 30cm specifications, this is not even the pouring considered together, the actual pot only 29cm, even with the height of the bottom of the pot 7.5cm, suitable for 1-2 people, or is not light, a little component, as the question was finished stick pan non-stick, for now, is still quite sticky, and I hope the more you use the better it later.</v>
      </c>
    </row>
    <row r="7183">
      <c r="A7183" s="1">
        <v>4.0</v>
      </c>
      <c r="B7183" s="1" t="s">
        <v>7145</v>
      </c>
      <c r="C7183" t="str">
        <f>IFERROR(__xludf.DUMMYFUNCTION("GOOGLETRANSLATE(B7183, ""zh"", ""en"")"),"It is hot very cheap, pay attention, it is easy to compare the heat. Room temperature of 25 degrees, 43 degrees. It requires cooling fan.")</f>
        <v>It is hot very cheap, pay attention, it is easy to compare the heat. Room temperature of 25 degrees, 43 degrees. It requires cooling fan.</v>
      </c>
    </row>
    <row r="7184">
      <c r="A7184" s="1">
        <v>4.0</v>
      </c>
      <c r="B7184" s="1" t="s">
        <v>7146</v>
      </c>
      <c r="C7184" t="str">
        <f>IFERROR(__xludf.DUMMYFUNCTION("GOOGLETRANSLATE(B7184, ""zh"", ""en"")"),"Buy too big Asics 43.5 9w bought a big finger. Just buy the recommended high-top, low to help buy big. Another problem seems to feel the soles injustice.")</f>
        <v>Buy too big Asics 43.5 9w bought a big finger. Just buy the recommended high-top, low to help buy big. Another problem seems to feel the soles injustice.</v>
      </c>
    </row>
    <row r="7185">
      <c r="A7185" s="1">
        <v>4.0</v>
      </c>
      <c r="B7185" s="1" t="s">
        <v>7147</v>
      </c>
      <c r="C7185" t="str">
        <f>IFERROR(__xludf.DUMMYFUNCTION("GOOGLETRANSLATE(B7185, ""zh"", ""en"")"),"Seral code number is too large a little bit heavy shoes, but good")</f>
        <v>Seral code number is too large a little bit heavy shoes, but good</v>
      </c>
    </row>
    <row r="7186">
      <c r="A7186" s="1">
        <v>4.0</v>
      </c>
      <c r="B7186" s="1" t="s">
        <v>7148</v>
      </c>
      <c r="C7186" t="str">
        <f>IFERROR(__xludf.DUMMYFUNCTION("GOOGLETRANSLATE(B7186, ""zh"", ""en"")"),"Yes. A little pinch, but cool, good quality, will not take off with the bread tightly. satisfaction. I have to add that shoes really good deal. Pictures in the dormitory try")</f>
        <v>Yes. A little pinch, but cool, good quality, will not take off with the bread tightly. satisfaction. I have to add that shoes really good deal. Pictures in the dormitory try</v>
      </c>
    </row>
    <row r="7187">
      <c r="A7187" s="1">
        <v>5.0</v>
      </c>
      <c r="B7187" s="1" t="s">
        <v>7149</v>
      </c>
      <c r="C7187" t="str">
        <f>IFERROR(__xludf.DUMMYFUNCTION("GOOGLETRANSLATE(B7187, ""zh"", ""en"")"),"Size, material originally thought Ouma will not be larger than the size of the country, after reading the comments section, select sports code, just right, if it is to buy shoes, you may want to choose a small one yard. Thanks to pay all, quite satisfied "&amp;"with the shopping.")</f>
        <v>Size, material originally thought Ouma will not be larger than the size of the country, after reading the comments section, select sports code, just right, if it is to buy shoes, you may want to choose a small one yard. Thanks to pay all, quite satisfied with the shopping.</v>
      </c>
    </row>
    <row r="7188">
      <c r="A7188" s="1">
        <v>5.0</v>
      </c>
      <c r="B7188" s="1" t="s">
        <v>7150</v>
      </c>
      <c r="C7188" t="str">
        <f>IFERROR(__xludf.DUMMYFUNCTION("GOOGLETRANSLATE(B7188, ""zh"", ""en"")"),"Comfortable very comfortable, genuine, quality and price of a buy in Europe, the price is cheaper than some East more!")</f>
        <v>Comfortable very comfortable, genuine, quality and price of a buy in Europe, the price is cheaper than some East more!</v>
      </c>
    </row>
    <row r="7189">
      <c r="A7189" s="1">
        <v>5.0</v>
      </c>
      <c r="B7189" s="1" t="s">
        <v>7151</v>
      </c>
      <c r="C7189" t="str">
        <f>IFERROR(__xludf.DUMMYFUNCTION("GOOGLETRANSLATE(B7189, ""zh"", ""en"")"),"Size 178cm, 89kg, buy the XL, sleeve length is just right, but lost One, evidently double X. Work well, after the Japanese version of a reference number there.")</f>
        <v>Size 178cm, 89kg, buy the XL, sleeve length is just right, but lost One, evidently double X. Work well, after the Japanese version of a reference number there.</v>
      </c>
    </row>
    <row r="7190">
      <c r="A7190" s="1">
        <v>5.0</v>
      </c>
      <c r="B7190" s="1" t="s">
        <v>7152</v>
      </c>
      <c r="C7190" t="str">
        <f>IFERROR(__xludf.DUMMYFUNCTION("GOOGLETRANSLATE(B7190, ""zh"", ""en"")"),"First time to buy ECCO shoes looked ecco shoes for a long time, the domestic counter selling too expensive, see Amazon do activities, and decisive start, shipping a little slow, can not wait to get the goods out of the box, the packaging is relatively sim"&amp;"ple, the shoes look a little disappointing, try it on foot feeling pretty good, especially the soles particularly comfortable, but the size seems a bit too large, but does not affect use. ecco shoes more comfortable Yuechuan Yue like, the future will buy.")</f>
        <v>First time to buy ECCO shoes looked ecco shoes for a long time, the domestic counter selling too expensive, see Amazon do activities, and decisive start, shipping a little slow, can not wait to get the goods out of the box, the packaging is relatively simple, the shoes look a little disappointing, try it on foot feeling pretty good, especially the soles particularly comfortable, but the size seems a bit too large, but does not affect use. ecco shoes more comfortable Yuechuan Yue like, the future will buy.</v>
      </c>
    </row>
    <row r="7191">
      <c r="A7191" s="1">
        <v>5.0</v>
      </c>
      <c r="B7191" s="1" t="s">
        <v>7153</v>
      </c>
      <c r="C7191" t="str">
        <f>IFERROR(__xludf.DUMMYFUNCTION("GOOGLETRANSLATE(B7191, ""zh"", ""en"")"),"Good quality fly Lee is genuine, his son bought this, the young man is very fond of, will continue to buy")</f>
        <v>Good quality fly Lee is genuine, his son bought this, the young man is very fond of, will continue to buy</v>
      </c>
    </row>
    <row r="7192">
      <c r="A7192" s="1">
        <v>5.0</v>
      </c>
      <c r="B7192" s="1" t="s">
        <v>7154</v>
      </c>
      <c r="C7192" t="str">
        <f>IFERROR(__xludf.DUMMYFUNCTION("GOOGLETRANSLATE(B7192, ""zh"", ""en"")"),"Jacket fit 170/68 kg, M number of good texture denim jacket with elastic, very fit, the sleeves a bit long, so all may denim jacket. In short, Lee, this price, the high cost!")</f>
        <v>Jacket fit 170/68 kg, M number of good texture denim jacket with elastic, very fit, the sleeves a bit long, so all may denim jacket. In short, Lee, this price, the high cost!</v>
      </c>
    </row>
    <row r="7193">
      <c r="A7193" s="1">
        <v>5.0</v>
      </c>
      <c r="B7193" s="1" t="s">
        <v>2372</v>
      </c>
      <c r="C7193" t="str">
        <f>IFERROR(__xludf.DUMMYFUNCTION("GOOGLETRANSLATE(B7193, ""zh"", ""en"")"),"Good quality comfortable, flexible, and durable!")</f>
        <v>Good quality comfortable, flexible, and durable!</v>
      </c>
    </row>
    <row r="7194">
      <c r="A7194" s="1">
        <v>5.0</v>
      </c>
      <c r="B7194" s="1" t="s">
        <v>7155</v>
      </c>
      <c r="C7194" t="str">
        <f>IFERROR(__xludf.DUMMYFUNCTION("GOOGLETRANSLATE(B7194, ""zh"", ""en"")"),"Very good, very practical good insulation effect, the Mega boil water into the cup, two or three hours on the meters were in flower, is not directly Huoao out less viscous, but has been very good . Next time try to get hold of what's ribs soup, convenient"&amp;", do not see the fire, save energy")</f>
        <v>Very good, very practical good insulation effect, the Mega boil water into the cup, two or three hours on the meters were in flower, is not directly Huoao out less viscous, but has been very good . Next time try to get hold of what's ribs soup, convenient, do not see the fire, save energy</v>
      </c>
    </row>
    <row r="7195">
      <c r="A7195" s="1">
        <v>5.0</v>
      </c>
      <c r="B7195" s="1" t="s">
        <v>7156</v>
      </c>
      <c r="C7195" t="str">
        <f>IFERROR(__xludf.DUMMYFUNCTION("GOOGLETRANSLATE(B7195, ""zh"", ""en"")"),"Underwear value for money, wearing appropriate. Logistics quickly.")</f>
        <v>Underwear value for money, wearing appropriate. Logistics quickly.</v>
      </c>
    </row>
    <row r="7196">
      <c r="A7196" s="1">
        <v>5.0</v>
      </c>
      <c r="B7196" s="1" t="s">
        <v>7157</v>
      </c>
      <c r="C7196" t="str">
        <f>IFERROR(__xludf.DUMMYFUNCTION("GOOGLETRANSLATE(B7196, ""zh"", ""en"")"),"nice boots usually 37-38 yards this pair uk5 / us7 slightly larger but you can wear thicker socks should be just black is buying a good deal")</f>
        <v>nice boots usually 37-38 yards this pair uk5 / us7 slightly larger but you can wear thicker socks should be just black is buying a good deal</v>
      </c>
    </row>
    <row r="7197">
      <c r="A7197" s="1">
        <v>5.0</v>
      </c>
      <c r="B7197" s="1" t="s">
        <v>7158</v>
      </c>
      <c r="C7197" t="str">
        <f>IFERROR(__xludf.DUMMYFUNCTION("GOOGLETRANSLATE(B7197, ""zh"", ""en"")"),"The effect is good, good, genuine, next to good effect, good, genuine, next time come")</f>
        <v>The effect is good, good, genuine, next to good effect, good, genuine, next time come</v>
      </c>
    </row>
    <row r="7198">
      <c r="A7198" s="1">
        <v>5.0</v>
      </c>
      <c r="B7198" s="1" t="s">
        <v>7159</v>
      </c>
      <c r="C7198" t="str">
        <f>IFERROR(__xludf.DUMMYFUNCTION("GOOGLETRANSLATE(B7198, ""zh"", ""en"")"),"Good stuff is very good, warm light, almost no static electricity")</f>
        <v>Good stuff is very good, warm light, almost no static electricity</v>
      </c>
    </row>
    <row r="7199">
      <c r="A7199" s="1">
        <v>5.0</v>
      </c>
      <c r="B7199" s="1" t="s">
        <v>7160</v>
      </c>
      <c r="C7199" t="str">
        <f>IFERROR(__xludf.DUMMYFUNCTION("GOOGLETRANSLATE(B7199, ""zh"", ""en"")"),"Very good, very comfortable than domestic benefits too much. Than domestic lee, Levi's the size of freshman yards, most of the country are 34, 33 of this just right, slightly flared trousers. Flexible, very comfortable, slightly smaller can. Suitable Tuic"&amp;"u")</f>
        <v>Very good, very comfortable than domestic benefits too much. Than domestic lee, Levi's the size of freshman yards, most of the country are 34, 33 of this just right, slightly flared trousers. Flexible, very comfortable, slightly smaller can. Suitable Tuicu</v>
      </c>
    </row>
    <row r="7200">
      <c r="A7200" s="1">
        <v>5.0</v>
      </c>
      <c r="B7200" s="1" t="s">
        <v>7161</v>
      </c>
      <c r="C7200" t="str">
        <f>IFERROR(__xludf.DUMMYFUNCTION("GOOGLETRANSLATE(B7200, ""zh"", ""en"")"),"1 m 75,83kg, 34W30L just one meter 75,83kg, 34W30L waist and long pants are just right, very satisfied. Fabrics tend to be hard, a little thick, summer wear will be some hot, spring and autumn and winter OK.")</f>
        <v>1 m 75,83kg, 34W30L just one meter 75,83kg, 34W30L waist and long pants are just right, very satisfied. Fabrics tend to be hard, a little thick, summer wear will be some hot, spring and autumn and winter OK.</v>
      </c>
    </row>
    <row r="7201">
      <c r="A7201" s="1">
        <v>5.0</v>
      </c>
      <c r="B7201" s="1" t="s">
        <v>7162</v>
      </c>
      <c r="C7201" t="str">
        <f>IFERROR(__xludf.DUMMYFUNCTION("GOOGLETRANSLATE(B7201, ""zh"", ""en"")"),"First time to buy to increase muscle powder, good taste! First time to buy to increase muscle powder, good taste!")</f>
        <v>First time to buy to increase muscle powder, good taste! First time to buy to increase muscle powder, good taste!</v>
      </c>
    </row>
    <row r="7202">
      <c r="A7202" s="1">
        <v>5.0</v>
      </c>
      <c r="B7202" s="1" t="s">
        <v>7163</v>
      </c>
      <c r="C7202" t="str">
        <f>IFERROR(__xludf.DUMMYFUNCTION("GOOGLETRANSLATE(B7202, ""zh"", ""en"")"),"Champions clothes for spring and autumn wear, clothes version sweater and a bit different, the clothes long sleeves, wide shoulders, wide chest, small waist, no cream for people who wear belly.")</f>
        <v>Champions clothes for spring and autumn wear, clothes version sweater and a bit different, the clothes long sleeves, wide shoulders, wide chest, small waist, no cream for people who wear belly.</v>
      </c>
    </row>
    <row r="7203">
      <c r="A7203" s="1">
        <v>5.0</v>
      </c>
      <c r="B7203" s="1" t="s">
        <v>7164</v>
      </c>
      <c r="C7203" t="str">
        <f>IFERROR(__xludf.DUMMYFUNCTION("GOOGLETRANSLATE(B7203, ""zh"", ""en"")"),"27cm buy previously recommended, this two-way selection 27.5. Probably just a bit thick socks.")</f>
        <v>27cm buy previously recommended, this two-way selection 27.5. Probably just a bit thick socks.</v>
      </c>
    </row>
    <row r="7204">
      <c r="A7204" s="1">
        <v>5.0</v>
      </c>
      <c r="B7204" s="1" t="s">
        <v>7165</v>
      </c>
      <c r="C7204" t="str">
        <f>IFERROR(__xludf.DUMMYFUNCTION("GOOGLETRANSLATE(B7204, ""zh"", ""en"")"),"Pants good quality and style are good. During happen purchased concessions, very good too")</f>
        <v>Pants good quality and style are good. During happen purchased concessions, very good too</v>
      </c>
    </row>
    <row r="7205">
      <c r="A7205" s="1">
        <v>5.0</v>
      </c>
      <c r="B7205" s="1" t="s">
        <v>7166</v>
      </c>
      <c r="C7205" t="str">
        <f>IFERROR(__xludf.DUMMYFUNCTION("GOOGLETRANSLATE(B7205, ""zh"", ""en"")"),"Emphasis, good quality British-bought when the boots wear. Shoe size is too large and there is no legend. 7w just. Fortunately, not previously buy 7m. The only straight Shipping is too expensive")</f>
        <v>Emphasis, good quality British-bought when the boots wear. Shoe size is too large and there is no legend. 7w just. Fortunately, not previously buy 7m. The only straight Shipping is too expensive</v>
      </c>
    </row>
    <row r="7206">
      <c r="A7206" s="1">
        <v>5.0</v>
      </c>
      <c r="B7206" s="1" t="s">
        <v>7167</v>
      </c>
      <c r="C7206" t="str">
        <f>IFERROR(__xludf.DUMMYFUNCTION("GOOGLETRANSLATE(B7206, ""zh"", ""en"")"),"In short XDD is a good feeling just bought today is very good to see comments that have flaws but also did not worry for a long time _ (: з ""∠) _ Although the pen flawless but loaded pen holster was quite worn but it x Tupper like to use with Schneider b"&amp;"ut feel really good. There have been thirty eccentric wear a short but this bias can be selected according to cis feel? ? XD anyway, are good only because it is not only a review of what Luther kitchen (1 • ี _ เ • ี 1)")</f>
        <v>In short XDD is a good feeling just bought today is very good to see comments that have flaws but also did not worry for a long time _ (: з "∠) _ Although the pen flawless but loaded pen holster was quite worn but it x Tupper like to use with Schneider but feel really good. There have been thirty eccentric wear a short but this bias can be selected according to cis feel? ? XD anyway, are good only because it is not only a review of what Luther kitchen (1 • ี _ เ • ี 1)</v>
      </c>
    </row>
    <row r="7207">
      <c r="A7207" s="1">
        <v>5.0</v>
      </c>
      <c r="B7207" s="1" t="s">
        <v>7168</v>
      </c>
      <c r="C7207" t="str">
        <f>IFERROR(__xludf.DUMMYFUNCTION("GOOGLETRANSLATE(B7207, ""zh"", ""en"")"),"Really small size shoes 42, 26.5 very appropriate. You can refer to.")</f>
        <v>Really small size shoes 42, 26.5 very appropriate. You can refer to.</v>
      </c>
    </row>
    <row r="7208">
      <c r="A7208" s="1">
        <v>2.0</v>
      </c>
      <c r="B7208" s="1" t="s">
        <v>7169</v>
      </c>
      <c r="C7208" t="str">
        <f>IFERROR(__xludf.DUMMYFUNCTION("GOOGLETRANSLATE(B7208, ""zh"", ""en"")"),"Bought a not very satisfied intend to back up a single time to buy is not very satisfactory intend to back a single nib is crooked and found that there was used a lot of blue ink pen test with water when a rub the whole paper towel colors are also apparen"&amp;"tly used a pen and clip on feather-shaped arrow did not actually print the whole middle part of the Indian did not like very disappointed with fake return a lot of trouble up to now have not been fully completed month but for the really like this a lot of"&amp;" really cheap price and really do not want to buy anymore")</f>
        <v>Bought a not very satisfied intend to back up a single time to buy is not very satisfactory intend to back a single nib is crooked and found that there was used a lot of blue ink pen test with water when a rub the whole paper towel colors are also apparently used a pen and clip on feather-shaped arrow did not actually print the whole middle part of the Indian did not like very disappointed with fake return a lot of trouble up to now have not been fully completed month but for the really like this a lot of really cheap price and really do not want to buy anymore</v>
      </c>
    </row>
    <row r="7209">
      <c r="A7209" s="1">
        <v>3.0</v>
      </c>
      <c r="B7209" s="1" t="s">
        <v>7170</v>
      </c>
      <c r="C7209" t="str">
        <f>IFERROR(__xludf.DUMMYFUNCTION("GOOGLETRANSLATE(B7209, ""zh"", ""en"")"),"It could have been perfect score! Seagate hard drives have been then, this is the first mail-order from Amazon directly back to the United States. Shipping logistics everything is going well. 5 star originally was to give praise, but there is a very tangl"&amp;"ed issue, the hard drive is in use, very noisy, which is almost 20 years before I use Seagate hard drive had not found the problem. I do not know because the hard drive production in Thailand is the problem, previously used are made in China. Only observe"&amp;"d side by side again, hoping not to have any issues now. After all, there are many important data with the hard disk.")</f>
        <v>It could have been perfect score! Seagate hard drives have been then, this is the first mail-order from Amazon directly back to the United States. Shipping logistics everything is going well. 5 star originally was to give praise, but there is a very tangled issue, the hard drive is in use, very noisy, which is almost 20 years before I use Seagate hard drive had not found the problem. I do not know because the hard drive production in Thailand is the problem, previously used are made in China. Only observed side by side again, hoping not to have any issues now. After all, there are many important data with the hard disk.</v>
      </c>
    </row>
    <row r="7210">
      <c r="A7210" s="1">
        <v>3.0</v>
      </c>
      <c r="B7210" s="1" t="s">
        <v>7171</v>
      </c>
      <c r="C7210" t="str">
        <f>IFERROR(__xludf.DUMMYFUNCTION("GOOGLETRANSLATE(B7210, ""zh"", ""en"")"),"Fabric can also be very thin for spring and early summer wear, I 168,80KG, bought the M number is still slightly hypertrophy, and long sleeves.")</f>
        <v>Fabric can also be very thin for spring and early summer wear, I 168,80KG, bought the M number is still slightly hypertrophy, and long sleeves.</v>
      </c>
    </row>
    <row r="7211">
      <c r="A7211" s="1">
        <v>3.0</v>
      </c>
      <c r="B7211" s="1" t="s">
        <v>7172</v>
      </c>
      <c r="C7211" t="str">
        <f>IFERROR(__xludf.DUMMYFUNCTION("GOOGLETRANSLATE(B7211, ""zh"", ""en"")"),"Too big, ah, there is no cut Slim")</f>
        <v>Too big, ah, there is no cut Slim</v>
      </c>
    </row>
    <row r="7212">
      <c r="A7212" s="1">
        <v>1.0</v>
      </c>
      <c r="B7212" s="1" t="s">
        <v>7173</v>
      </c>
      <c r="C7212" t="str">
        <f>IFERROR(__xludf.DUMMYFUNCTION("GOOGLETRANSLATE(B7212, ""zh"", ""en"")"),"Colors are great differences in size is very large, is not suitable for people to wear, the color is unsatisfactory, poor")</f>
        <v>Colors are great differences in size is very large, is not suitable for people to wear, the color is unsatisfactory, poor</v>
      </c>
    </row>
    <row r="7213">
      <c r="A7213" s="1">
        <v>1.0</v>
      </c>
      <c r="B7213" s="1" t="s">
        <v>7174</v>
      </c>
      <c r="C7213" t="str">
        <f>IFERROR(__xludf.DUMMYFUNCTION("GOOGLETRANSLATE(B7213, ""zh"", ""en"")"),"Foreign garbage, severe hair loss! Foreign garbage, hair loss is very serious! Wash the hair loss secondary continued to direct the Recycle Bin. Foreign garbage, hair loss is very serious! Wash the hair loss secondary continued to direct the Recycle Bin.")</f>
        <v>Foreign garbage, severe hair loss! Foreign garbage, hair loss is very serious! Wash the hair loss secondary continued to direct the Recycle Bin. Foreign garbage, hair loss is very serious! Wash the hair loss secondary continued to direct the Recycle Bin.</v>
      </c>
    </row>
    <row r="7214">
      <c r="A7214" s="1">
        <v>1.0</v>
      </c>
      <c r="B7214" s="1" t="s">
        <v>7175</v>
      </c>
      <c r="C7214" t="str">
        <f>IFERROR(__xludf.DUMMYFUNCTION("GOOGLETRANSLATE(B7214, ""zh"", ""en"")"),"Generally not recommended insulation effect is very general, filled with warm water, a few hours to cool it, did not like the effect print and Tiger well, goodbye Thermos")</f>
        <v>Generally not recommended insulation effect is very general, filled with warm water, a few hours to cool it, did not like the effect print and Tiger well, goodbye Thermos</v>
      </c>
    </row>
    <row r="7215">
      <c r="A7215" s="1">
        <v>4.0</v>
      </c>
      <c r="B7215" s="1" t="s">
        <v>7176</v>
      </c>
      <c r="C7215" t="str">
        <f>IFERROR(__xludf.DUMMYFUNCTION("GOOGLETRANSLATE(B7215, ""zh"", ""en"")"),"Very good looking! Express just sent, for the first time so late also received excellent delivery. Outside tables are outside on the third day to buy, just opened it, very good looking and very light, very thin indeed strap also very soft, white dial with"&amp;" black hands and numbers, that is clear, simple, clean. I do not know outside outside like it or not, I'd really like. As for the quality remains to be time to test.")</f>
        <v>Very good looking! Express just sent, for the first time so late also received excellent delivery. Outside tables are outside on the third day to buy, just opened it, very good looking and very light, very thin indeed strap also very soft, white dial with black hands and numbers, that is clear, simple, clean. I do not know outside outside like it or not, I'd really like. As for the quality remains to be time to test.</v>
      </c>
    </row>
    <row r="7216">
      <c r="A7216" s="1">
        <v>4.0</v>
      </c>
      <c r="B7216" s="1" t="s">
        <v>7177</v>
      </c>
      <c r="C7216" t="str">
        <f>IFERROR(__xludf.DUMMYFUNCTION("GOOGLETRANSLATE(B7216, ""zh"", ""en"")"),"Okay neutral models, male high 170,60kg, bought the L code, try a little loose upon receipt shrink after washing the point of water, it becomes just, just a little tight cuffs, waist and hip position also snapping up. Black first wash will fade, water to "&amp;"more than a few times.")</f>
        <v>Okay neutral models, male high 170,60kg, bought the L code, try a little loose upon receipt shrink after washing the point of water, it becomes just, just a little tight cuffs, waist and hip position also snapping up. Black first wash will fade, water to more than a few times.</v>
      </c>
    </row>
    <row r="7217">
      <c r="A7217" s="1">
        <v>4.0</v>
      </c>
      <c r="B7217" s="1" t="s">
        <v>7178</v>
      </c>
      <c r="C7217" t="str">
        <f>IFERROR(__xludf.DUMMYFUNCTION("GOOGLETRANSLATE(B7217, ""zh"", ""en"")"),"Color a little bit bad with the good color match, a star on the buckle here in addition to the comfort of what is really very nice to see the proposed purchase some comment recommend Wacoal children because I bought a flagship store in a treasure there ar"&amp;"e so strange taste to lose confidence in the brand Triumph but this really good praise")</f>
        <v>Color a little bit bad with the good color match, a star on the buckle here in addition to the comfort of what is really very nice to see the proposed purchase some comment recommend Wacoal children because I bought a flagship store in a treasure there are so strange taste to lose confidence in the brand Triumph but this really good praise</v>
      </c>
    </row>
    <row r="7218">
      <c r="A7218" s="1">
        <v>4.0</v>
      </c>
      <c r="B7218" s="1" t="s">
        <v>7179</v>
      </c>
      <c r="C7218" t="str">
        <f>IFERROR(__xludf.DUMMYFUNCTION("GOOGLETRANSLATE(B7218, ""zh"", ""en"")"),"Big Brother 1 recommendation from the middle-aged, very fit, I 179cm, 84kg, long legs thick legs stature, W33L32, is simply tailored; 2, color seriously, the picture is black, indicate that black quartz, in fact, is dark blue; Overall value for money, you"&amp;" can start with 200 or less, 160 or less can store a few straight male choice.")</f>
        <v>Big Brother 1 recommendation from the middle-aged, very fit, I 179cm, 84kg, long legs thick legs stature, W33L32, is simply tailored; 2, color seriously, the picture is black, indicate that black quartz, in fact, is dark blue; Overall value for money, you can start with 200 or less, 160 or less can store a few straight male choice.</v>
      </c>
    </row>
    <row r="7219">
      <c r="A7219" s="1">
        <v>5.0</v>
      </c>
      <c r="B7219" s="1" t="s">
        <v>7180</v>
      </c>
      <c r="C7219" t="str">
        <f>IFERROR(__xludf.DUMMYFUNCTION("GOOGLETRANSLATE(B7219, ""zh"", ""en"")"),"With the good, 12.31 to buy, it would still be better to rt, we want to charge for a long time, spent eight months, up to now has full power. I just watch the door was scratched, you have to be careful with the ah. Samsung bought excellent dish, table, bo"&amp;"ok, are okay. Unfortunately, not in Beijing, and do not enjoy, hey ......")</f>
        <v>With the good, 12.31 to buy, it would still be better to rt, we want to charge for a long time, spent eight months, up to now has full power. I just watch the door was scratched, you have to be careful with the ah. Samsung bought excellent dish, table, book, are okay. Unfortunately, not in Beijing, and do not enjoy, hey ......</v>
      </c>
    </row>
    <row r="7220">
      <c r="A7220" s="1">
        <v>5.0</v>
      </c>
      <c r="B7220" s="1" t="s">
        <v>7181</v>
      </c>
      <c r="C7220" t="str">
        <f>IFERROR(__xludf.DUMMYFUNCTION("GOOGLETRANSLATE(B7220, ""zh"", ""en"")"),"Fortunately, wallet, lighter, able to put much money")</f>
        <v>Fortunately, wallet, lighter, able to put much money</v>
      </c>
    </row>
    <row r="7221">
      <c r="A7221" s="1">
        <v>5.0</v>
      </c>
      <c r="B7221" s="1" t="s">
        <v>7182</v>
      </c>
      <c r="C7221" t="str">
        <f>IFERROR(__xludf.DUMMYFUNCTION("GOOGLETRANSLATE(B7221, ""zh"", ""en"")"),"Very good color looks good, using them is also very convenient. worth buying")</f>
        <v>Very good color looks good, using them is also very convenient. worth buying</v>
      </c>
    </row>
    <row r="7222">
      <c r="A7222" s="1">
        <v>5.0</v>
      </c>
      <c r="B7222" s="1" t="s">
        <v>7183</v>
      </c>
      <c r="C7222" t="str">
        <f>IFERROR(__xludf.DUMMYFUNCTION("GOOGLETRANSLATE(B7222, ""zh"", ""en"")"),"Very good very good, just do not know why there is no cover.")</f>
        <v>Very good very good, just do not know why there is no cover.</v>
      </c>
    </row>
    <row r="7223">
      <c r="A7223" s="1">
        <v>5.0</v>
      </c>
      <c r="B7223" s="1" t="s">
        <v>7184</v>
      </c>
      <c r="C7223" t="str">
        <f>IFERROR(__xludf.DUMMYFUNCTION("GOOGLETRANSLATE(B7223, ""zh"", ""en"")"),"Loose and comfortable elastic, fabric feel good good good pants have elastic, relaxed and comfortable is my pursuit, as always, good!")</f>
        <v>Loose and comfortable elastic, fabric feel good good good pants have elastic, relaxed and comfortable is my pursuit, as always, good!</v>
      </c>
    </row>
    <row r="7224">
      <c r="A7224" s="1">
        <v>5.0</v>
      </c>
      <c r="B7224" s="1" t="s">
        <v>7185</v>
      </c>
      <c r="C7224" t="str">
        <f>IFERROR(__xludf.DUMMYFUNCTION("GOOGLETRANSLATE(B7224, ""zh"", ""en"")"),"Gone with the two, the pen was gone, and did not feel anything, and finally back to a hero pen")</f>
        <v>Gone with the two, the pen was gone, and did not feel anything, and finally back to a hero pen</v>
      </c>
    </row>
    <row r="7225">
      <c r="A7225" s="1">
        <v>5.0</v>
      </c>
      <c r="B7225" s="1" t="s">
        <v>7186</v>
      </c>
      <c r="C7225" t="str">
        <f>IFERROR(__xludf.DUMMYFUNCTION("GOOGLETRANSLATE(B7225, ""zh"", ""en"")"),"Color is very refreshing colors US United States looks cool and very comfortable praise")</f>
        <v>Color is very refreshing colors US United States looks cool and very comfortable praise</v>
      </c>
    </row>
    <row r="7226">
      <c r="A7226" s="1">
        <v>5.0</v>
      </c>
      <c r="B7226" s="1" t="s">
        <v>7187</v>
      </c>
      <c r="C7226" t="str">
        <f>IFERROR(__xludf.DUMMYFUNCTION("GOOGLETRANSLATE(B7226, ""zh"", ""en"")"),"Vietnam produced very good, workmanship is very good, very positive shoes, comfortable")</f>
        <v>Vietnam produced very good, workmanship is very good, very positive shoes, comfortable</v>
      </c>
    </row>
    <row r="7227">
      <c r="A7227" s="1">
        <v>5.0</v>
      </c>
      <c r="B7227" s="1" t="s">
        <v>7188</v>
      </c>
      <c r="C7227" t="str">
        <f>IFERROR(__xludf.DUMMYFUNCTION("GOOGLETRANSLATE(B7227, ""zh"", ""en"")"),"Found when they moved house to a little sister who Xia Guang overseas purchase, the reason will purchase from overseas Nichia direct mail, it is knowing that Nichia is the world's most packaging to the force. I believe this is everyone accepted everyone, "&amp;"the figure can be seen. The buy is the size of 6T, while cheaper did not hold back, just not enough to put a computer in the raw footage, the final six or II to start wantonly, cheaper than some East by about half, and my heart is really joyful inside wat"&amp;"ching him. Little sister since moved to a new home, scream more to force. Finally, under the crystal looked hard disk test software, all normal, all OK, but, heat is not high, really happy.")</f>
        <v>Found when they moved house to a little sister who Xia Guang overseas purchase, the reason will purchase from overseas Nichia direct mail, it is knowing that Nichia is the world's most packaging to the force. I believe this is everyone accepted everyone, the figure can be seen. The buy is the size of 6T, while cheaper did not hold back, just not enough to put a computer in the raw footage, the final six or II to start wantonly, cheaper than some East by about half, and my heart is really joyful inside watching him. Little sister since moved to a new home, scream more to force. Finally, under the crystal looked hard disk test software, all normal, all OK, but, heat is not high, really happy.</v>
      </c>
    </row>
    <row r="7228">
      <c r="A7228" s="1">
        <v>5.0</v>
      </c>
      <c r="B7228" s="1" t="s">
        <v>7189</v>
      </c>
      <c r="C7228" t="str">
        <f>IFERROR(__xludf.DUMMYFUNCTION("GOOGLETRANSLATE(B7228, ""zh"", ""en"")"),"Love is like wearing comfort, requiring a good figure to wear good-looking")</f>
        <v>Love is like wearing comfort, requiring a good figure to wear good-looking</v>
      </c>
    </row>
    <row r="7229">
      <c r="A7229" s="1">
        <v>5.0</v>
      </c>
      <c r="B7229" s="1" t="s">
        <v>7190</v>
      </c>
      <c r="C7229" t="str">
        <f>IFERROR(__xludf.DUMMYFUNCTION("GOOGLETRANSLATE(B7229, ""zh"", ""en"")"),"Sound pretty good push d50 can still listen to the direct sound, wide dynamic feel very difficult!")</f>
        <v>Sound pretty good push d50 can still listen to the direct sound, wide dynamic feel very difficult!</v>
      </c>
    </row>
    <row r="7230">
      <c r="A7230" s="1">
        <v>5.0</v>
      </c>
      <c r="B7230" s="1" t="s">
        <v>7191</v>
      </c>
      <c r="C7230" t="str">
        <f>IFERROR(__xludf.DUMMYFUNCTION("GOOGLETRANSLATE(B7230, ""zh"", ""en"")"),"The first overseas purchase, a full 20 days, do not hurry to use a long time point does not matter, large capacity, fast transmission, is too bulky, inconvenient to carry, but my win7 system, when the hard disk for a file occasionally crash")</f>
        <v>The first overseas purchase, a full 20 days, do not hurry to use a long time point does not matter, large capacity, fast transmission, is too bulky, inconvenient to carry, but my win7 system, when the hard disk for a file occasionally crash</v>
      </c>
    </row>
    <row r="7231">
      <c r="A7231" s="1">
        <v>5.0</v>
      </c>
      <c r="B7231" s="1" t="s">
        <v>7192</v>
      </c>
      <c r="C7231" t="str">
        <f>IFERROR(__xludf.DUMMYFUNCTION("GOOGLETRANSLATE(B7231, ""zh"", ""en"")"),"Cost-effective than the domestic version of the high cost of good quality cheaper Pigeon")</f>
        <v>Cost-effective than the domestic version of the high cost of good quality cheaper Pigeon</v>
      </c>
    </row>
    <row r="7232">
      <c r="A7232" s="1">
        <v>5.0</v>
      </c>
      <c r="B7232" s="1" t="s">
        <v>7193</v>
      </c>
      <c r="C7232" t="str">
        <f>IFERROR(__xludf.DUMMYFUNCTION("GOOGLETRANSLATE(B7232, ""zh"", ""en"")"),"Very satisfied with the great, like")</f>
        <v>Very satisfied with the great, like</v>
      </c>
    </row>
    <row r="7233">
      <c r="A7233" s="1">
        <v>5.0</v>
      </c>
      <c r="B7233" s="1" t="s">
        <v>7194</v>
      </c>
      <c r="C7233" t="str">
        <f>IFERROR(__xludf.DUMMYFUNCTION("GOOGLETRANSLATE(B7233, ""zh"", ""en"")"),"Ace OEM size for little girls, then freshman Diudiu is perfect for little girls")</f>
        <v>Ace OEM size for little girls, then freshman Diudiu is perfect for little girls</v>
      </c>
    </row>
    <row r="7234">
      <c r="A7234" s="1">
        <v>5.0</v>
      </c>
      <c r="B7234" s="1" t="s">
        <v>7195</v>
      </c>
      <c r="C7234" t="str">
        <f>IFERROR(__xludf.DUMMYFUNCTION("GOOGLETRANSLATE(B7234, ""zh"", ""en"")"),"I'm usually favored sneakers 42, this little big thin socks, thick socks just right, Amoy sea before the kick is not bad roll, this is very nice, I was favored.")</f>
        <v>I'm usually favored sneakers 42, this little big thin socks, thick socks just right, Amoy sea before the kick is not bad roll, this is very nice, I was favored.</v>
      </c>
    </row>
    <row r="7235">
      <c r="A7235" s="1">
        <v>5.0</v>
      </c>
      <c r="B7235" s="1" t="s">
        <v>7196</v>
      </c>
      <c r="C7235" t="str">
        <f>IFERROR(__xludf.DUMMYFUNCTION("GOOGLETRANSLATE(B7235, ""zh"", ""en"")"),"Very bright very good quality feeling good is not yet installed")</f>
        <v>Very bright very good quality feeling good is not yet installed</v>
      </c>
    </row>
    <row r="7236">
      <c r="A7236" s="1">
        <v>5.0</v>
      </c>
      <c r="B7236" s="1" t="s">
        <v>7197</v>
      </c>
      <c r="C7236" t="str">
        <f>IFERROR(__xludf.DUMMYFUNCTION("GOOGLETRANSLATE(B7236, ""zh"", ""en"")"),"Cost-effective than in the domestic pharmacy buy cheap, buy two bottles for the whole family with vitamin supplements.")</f>
        <v>Cost-effective than in the domestic pharmacy buy cheap, buy two bottles for the whole family with vitamin supplements.</v>
      </c>
    </row>
    <row r="7237">
      <c r="A7237" s="1">
        <v>5.0</v>
      </c>
      <c r="B7237" s="1" t="s">
        <v>7198</v>
      </c>
      <c r="C7237" t="str">
        <f>IFERROR(__xludf.DUMMYFUNCTION("GOOGLETRANSLATE(B7237, ""zh"", ""en"")"),"Good quality grass for a long time, before the expected date of purchase, given birth to too hot, useless several times, the quality is good, the effect did not see it, postpartum breastfeeding naturally thin, has lost to pregnancy, and pelvic did not wid"&amp;"en. This letter is effective, does not believe there is no effect.")</f>
        <v>Good quality grass for a long time, before the expected date of purchase, given birth to too hot, useless several times, the quality is good, the effect did not see it, postpartum breastfeeding naturally thin, has lost to pregnancy, and pelvic did not widen. This letter is effective, does not believe there is no effect.</v>
      </c>
    </row>
    <row r="7238">
      <c r="A7238" s="1">
        <v>5.0</v>
      </c>
      <c r="B7238" s="1" t="s">
        <v>7199</v>
      </c>
      <c r="C7238" t="str">
        <f>IFERROR(__xludf.DUMMYFUNCTION("GOOGLETRANSLATE(B7238, ""zh"", ""en"")"),"Shelf life very fresh, big 19 a barrel in June, to buy baby")</f>
        <v>Shelf life very fresh, big 19 a barrel in June, to buy baby</v>
      </c>
    </row>
    <row r="7239">
      <c r="A7239" s="1">
        <v>5.0</v>
      </c>
      <c r="B7239" s="1" t="s">
        <v>7200</v>
      </c>
      <c r="C7239" t="str">
        <f>IFERROR(__xludf.DUMMYFUNCTION("GOOGLETRANSLATE(B7239, ""zh"", ""en"")"),"36 foot chose 6.5. Suitable very satisfied. Sea Amoy afraid to return so the right size is very important. Usually the standard 36 feet, sneakers 37or37.5. These shoes are bought shown in Figure 6.5, is appropriate. Good and a few hundred dollars cheaper "&amp;"than the flagship store quality. awesome")</f>
        <v>36 foot chose 6.5. Suitable very satisfied. Sea Amoy afraid to return so the right size is very important. Usually the standard 36 feet, sneakers 37or37.5. These shoes are bought shown in Figure 6.5, is appropriate. Good and a few hundred dollars cheaper than the flagship store quality. awesome</v>
      </c>
    </row>
    <row r="7240">
      <c r="A7240" s="1">
        <v>5.0</v>
      </c>
      <c r="B7240" s="1" t="s">
        <v>7201</v>
      </c>
      <c r="C7240" t="str">
        <f>IFERROR(__xludf.DUMMYFUNCTION("GOOGLETRANSLATE(B7240, ""zh"", ""en"")"),"Well it should be assured of the product, we have multiple purchases")</f>
        <v>Well it should be assured of the product, we have multiple purchases</v>
      </c>
    </row>
    <row r="7241">
      <c r="A7241" s="1">
        <v>2.0</v>
      </c>
      <c r="B7241" s="1" t="s">
        <v>7202</v>
      </c>
      <c r="C7241" t="str">
        <f>IFERROR(__xludf.DUMMYFUNCTION("GOOGLETRANSLATE(B7241, ""zh"", ""en"")"),"emmmm flattered is still good are receiving world of Reiki")</f>
        <v>emmmm flattered is still good are receiving world of Reiki</v>
      </c>
    </row>
    <row r="7242">
      <c r="A7242" s="1">
        <v>3.0</v>
      </c>
      <c r="B7242" s="1" t="s">
        <v>7203</v>
      </c>
      <c r="C7242" t="str">
        <f>IFERROR(__xludf.DUMMYFUNCTION("GOOGLETRANSLATE(B7242, ""zh"", ""en"")"),"Feeling like a general. Overall quality is very good, but did not see Amazon products, said the star flash technology in the packaging, this price can also be right!")</f>
        <v>Feeling like a general. Overall quality is very good, but did not see Amazon products, said the star flash technology in the packaging, this price can also be right!</v>
      </c>
    </row>
    <row r="7243">
      <c r="A7243" s="1">
        <v>3.0</v>
      </c>
      <c r="B7243" s="1" t="s">
        <v>7204</v>
      </c>
      <c r="C7243" t="str">
        <f>IFERROR(__xludf.DUMMYFUNCTION("GOOGLETRANSLATE(B7243, ""zh"", ""en"")"),"Notebook may not recognize disk retransmission sent a comment the items purchased before Zaifayici Samsung solid state disk 7mm thin, but does not recognize disk is inserted notebook. But the desktop no problem, the motherboard is Onda DDR3 series. Deskto"&amp;"p performance with the laptop can not, my laptop is DELL Dell insprion, is not an older version of the notebook does not support solid?")</f>
        <v>Notebook may not recognize disk retransmission sent a comment the items purchased before Zaifayici Samsung solid state disk 7mm thin, but does not recognize disk is inserted notebook. But the desktop no problem, the motherboard is Onda DDR3 series. Desktop performance with the laptop can not, my laptop is DELL Dell insprion, is not an older version of the notebook does not support solid?</v>
      </c>
    </row>
    <row r="7244">
      <c r="A7244" s="1">
        <v>3.0</v>
      </c>
      <c r="B7244" s="1" t="s">
        <v>4783</v>
      </c>
      <c r="C7244" t="str">
        <f>IFERROR(__xludf.DUMMYFUNCTION("GOOGLETRANSLATE(B7244, ""zh"", ""en"")"),"There is no really bad load bearing capacity without shaping, not only for breast man, b the appropriate cup")</f>
        <v>There is no really bad load bearing capacity without shaping, not only for breast man, b the appropriate cup</v>
      </c>
    </row>
    <row r="7245">
      <c r="A7245" s="1">
        <v>1.0</v>
      </c>
      <c r="B7245" s="1" t="s">
        <v>7205</v>
      </c>
      <c r="C7245" t="str">
        <f>IFERROR(__xludf.DUMMYFUNCTION("GOOGLETRANSLATE(B7245, ""zh"", ""en"")"),"Poor quality poor quality, with almost three months found not ring when the ring when the main box loudspeakers, Amazon really not as good as Jingdong sale")</f>
        <v>Poor quality poor quality, with almost three months found not ring when the ring when the main box loudspeakers, Amazon really not as good as Jingdong sale</v>
      </c>
    </row>
    <row r="7246">
      <c r="A7246" s="1">
        <v>1.0</v>
      </c>
      <c r="B7246" s="1" t="s">
        <v>7206</v>
      </c>
      <c r="C7246" t="str">
        <f>IFERROR(__xludf.DUMMYFUNCTION("GOOGLETRANSLATE(B7246, ""zh"", ""en"")"),"What leather belt? How the belt faded? Originally this belt is not deep orange.")</f>
        <v>What leather belt? How the belt faded? Originally this belt is not deep orange.</v>
      </c>
    </row>
    <row r="7247">
      <c r="A7247" s="1">
        <v>4.0</v>
      </c>
      <c r="B7247" s="1" t="s">
        <v>7207</v>
      </c>
      <c r="C7247" t="str">
        <f>IFERROR(__xludf.DUMMYFUNCTION("GOOGLETRANSLATE(B7247, ""zh"", ""en"")"),"Pants good big but can wear a different feeling")</f>
        <v>Pants good big but can wear a different feeling</v>
      </c>
    </row>
    <row r="7248">
      <c r="A7248" s="1">
        <v>4.0</v>
      </c>
      <c r="B7248" s="1" t="s">
        <v>7208</v>
      </c>
      <c r="C7248" t="str">
        <f>IFERROR(__xludf.DUMMYFUNCTION("GOOGLETRANSLATE(B7248, ""zh"", ""en"")"),"Headphone habit praise can sound the general appearance of fine entry-level feature")</f>
        <v>Headphone habit praise can sound the general appearance of fine entry-level feature</v>
      </c>
    </row>
    <row r="7249">
      <c r="A7249" s="1">
        <v>4.0</v>
      </c>
      <c r="B7249" s="1" t="s">
        <v>7209</v>
      </c>
      <c r="C7249" t="str">
        <f>IFERROR(__xludf.DUMMYFUNCTION("GOOGLETRANSLATE(B7249, ""zh"", ""en"")"),"Affordable, a little wide. Bit thin, fat people do not need to buy freshman code, a bit width")</f>
        <v>Affordable, a little wide. Bit thin, fat people do not need to buy freshman code, a bit width</v>
      </c>
    </row>
    <row r="7250">
      <c r="A7250" s="1">
        <v>4.0</v>
      </c>
      <c r="B7250" s="1" t="s">
        <v>7210</v>
      </c>
      <c r="C7250" t="str">
        <f>IFERROR(__xludf.DUMMYFUNCTION("GOOGLETRANSLATE(B7250, ""zh"", ""en"")"),"There is a small magnet will eliminate bank card magnetic clasp it? Large enough, looks like leather, but not leather. You can put documents, wallet, cell phone, business cards. I had wanted to buy back a day to go out daily to do business. too big.")</f>
        <v>There is a small magnet will eliminate bank card magnetic clasp it? Large enough, looks like leather, but not leather. You can put documents, wallet, cell phone, business cards. I had wanted to buy back a day to go out daily to do business. too big.</v>
      </c>
    </row>
    <row r="7251">
      <c r="A7251" s="1">
        <v>4.0</v>
      </c>
      <c r="B7251" s="1" t="s">
        <v>7211</v>
      </c>
      <c r="C7251" t="str">
        <f>IFERROR(__xludf.DUMMYFUNCTION("GOOGLETRANSLATE(B7251, ""zh"", ""en"")"),"A big bottle taste very well received shocked ......")</f>
        <v>A big bottle taste very well received shocked ......</v>
      </c>
    </row>
    <row r="7252">
      <c r="A7252" s="1">
        <v>5.0</v>
      </c>
      <c r="B7252" s="1" t="s">
        <v>7212</v>
      </c>
      <c r="C7252" t="str">
        <f>IFERROR(__xludf.DUMMYFUNCTION("GOOGLETRANSLATE(B7252, ""zh"", ""en"")"),"Sounds good, but too much background noise. . The sound is good, really clean, but! Background noise is too obvious, right (not connected audio source), obviously heard 70cm, and in broad daylight, if it is quieter at night, it would not be listened to. ."&amp;" Weighs, as long as the electricity had been ""imperfections"" sound. . . You is not the case? I find the Amazon will not be for a good?")</f>
        <v>Sounds good, but too much background noise. . The sound is good, really clean, but! Background noise is too obvious, right (not connected audio source), obviously heard 70cm, and in broad daylight, if it is quieter at night, it would not be listened to. . Weighs, as long as the electricity had been "imperfections" sound. . . You is not the case? I find the Amazon will not be for a good?</v>
      </c>
    </row>
    <row r="7253">
      <c r="A7253" s="1">
        <v>5.0</v>
      </c>
      <c r="B7253" s="1" t="s">
        <v>7213</v>
      </c>
      <c r="C7253" t="str">
        <f>IFERROR(__xludf.DUMMYFUNCTION("GOOGLETRANSLATE(B7253, ""zh"", ""en"")"),"The nominal size and consistent orders nine days served, boss pants, the quality is good")</f>
        <v>The nominal size and consistent orders nine days served, boss pants, the quality is good</v>
      </c>
    </row>
    <row r="7254">
      <c r="A7254" s="1">
        <v>5.0</v>
      </c>
      <c r="B7254" s="1" t="s">
        <v>7214</v>
      </c>
      <c r="C7254" t="str">
        <f>IFERROR(__xludf.DUMMYFUNCTION("GOOGLETRANSLATE(B7254, ""zh"", ""en"")"),"Easy to drink baby spoon soft head, not to hurt the baby's gums, the water temperature is high, and spoon on white, normal color had changed back, well")</f>
        <v>Easy to drink baby spoon soft head, not to hurt the baby's gums, the water temperature is high, and spoon on white, normal color had changed back, well</v>
      </c>
    </row>
    <row r="7255">
      <c r="A7255" s="1">
        <v>5.0</v>
      </c>
      <c r="B7255" s="1" t="s">
        <v>7215</v>
      </c>
      <c r="C7255" t="str">
        <f>IFERROR(__xludf.DUMMYFUNCTION("GOOGLETRANSLATE(B7255, ""zh"", ""en"")"),"No smooth to separate buy the ink, thickness of the right")</f>
        <v>No smooth to separate buy the ink, thickness of the right</v>
      </c>
    </row>
    <row r="7256">
      <c r="A7256" s="1">
        <v>5.0</v>
      </c>
      <c r="B7256" s="1" t="s">
        <v>7216</v>
      </c>
      <c r="C7256" t="str">
        <f>IFERROR(__xludf.DUMMYFUNCTION("GOOGLETRANSLATE(B7256, ""zh"", ""en"")"),"Particularly practical, good clean two, just a family, go out to one, cost-effective easy to use.")</f>
        <v>Particularly practical, good clean two, just a family, go out to one, cost-effective easy to use.</v>
      </c>
    </row>
    <row r="7257">
      <c r="A7257" s="1">
        <v>5.0</v>
      </c>
      <c r="B7257" s="1" t="s">
        <v>7217</v>
      </c>
      <c r="C7257" t="str">
        <f>IFERROR(__xludf.DUMMYFUNCTION("GOOGLETRANSLATE(B7257, ""zh"", ""en"")"),"Good quality, feel good, very comfortable to wear ~ has bought two.")</f>
        <v>Good quality, feel good, very comfortable to wear ~ has bought two.</v>
      </c>
    </row>
    <row r="7258">
      <c r="A7258" s="1">
        <v>5.0</v>
      </c>
      <c r="B7258" s="1" t="s">
        <v>7218</v>
      </c>
      <c r="C7258" t="str">
        <f>IFERROR(__xludf.DUMMYFUNCTION("GOOGLETRANSLATE(B7258, ""zh"", ""en"")"),"Nice sea Amoy first single, good time not so long on hand")</f>
        <v>Nice sea Amoy first single, good time not so long on hand</v>
      </c>
    </row>
    <row r="7259">
      <c r="A7259" s="1">
        <v>5.0</v>
      </c>
      <c r="B7259" s="1" t="s">
        <v>7219</v>
      </c>
      <c r="C7259" t="str">
        <f>IFERROR(__xludf.DUMMYFUNCTION("GOOGLETRANSLATE(B7259, ""zh"", ""en"")"),"He has been in the Amazon to buy, really good! no taste! He has been in the Amazon to buy, really good! no taste!")</f>
        <v>He has been in the Amazon to buy, really good! no taste! He has been in the Amazon to buy, really good! no taste!</v>
      </c>
    </row>
    <row r="7260">
      <c r="A7260" s="1">
        <v>5.0</v>
      </c>
      <c r="B7260" s="1" t="s">
        <v>7220</v>
      </c>
      <c r="C7260" t="str">
        <f>IFERROR(__xludf.DUMMYFUNCTION("GOOGLETRANSLATE(B7260, ""zh"", ""en"")"),"Satisfied with boiling water burns no smell. Rest assured purchase.")</f>
        <v>Satisfied with boiling water burns no smell. Rest assured purchase.</v>
      </c>
    </row>
    <row r="7261">
      <c r="A7261" s="1">
        <v>5.0</v>
      </c>
      <c r="B7261" s="1" t="s">
        <v>7221</v>
      </c>
      <c r="C7261" t="str">
        <f>IFERROR(__xludf.DUMMYFUNCTION("GOOGLETRANSLATE(B7261, ""zh"", ""en"")"),"A little bit of color, just generally feel out, look just fine on the upper body look good with color pictures, is too large")</f>
        <v>A little bit of color, just generally feel out, look just fine on the upper body look good with color pictures, is too large</v>
      </c>
    </row>
    <row r="7262">
      <c r="A7262" s="1">
        <v>5.0</v>
      </c>
      <c r="B7262" s="1" t="s">
        <v>7222</v>
      </c>
      <c r="C7262" t="str">
        <f>IFERROR(__xludf.DUMMYFUNCTION("GOOGLETRANSLATE(B7262, ""zh"", ""en"")"),"Packaging is the ordinary poor ef just the tip of confidence, ink does not, he bought one on the line. But the packaging is really bad ah. News that the Amazon is not a foreign-made car will be a big box of it? How would such an envelope sent me.")</f>
        <v>Packaging is the ordinary poor ef just the tip of confidence, ink does not, he bought one on the line. But the packaging is really bad ah. News that the Amazon is not a foreign-made car will be a big box of it? How would such an envelope sent me.</v>
      </c>
    </row>
    <row r="7263">
      <c r="A7263" s="1">
        <v>5.0</v>
      </c>
      <c r="B7263" s="1" t="s">
        <v>7223</v>
      </c>
      <c r="C7263" t="str">
        <f>IFERROR(__xludf.DUMMYFUNCTION("GOOGLETRANSLATE(B7263, ""zh"", ""en"")"),"Value for money arrived just could not wait to do the noodles, very easy to use, the patch thickness freely adjustable, you can do dumpling skin chaos leather, noodles made good to eat. Thank you, Amazon offers these high-quality products.")</f>
        <v>Value for money arrived just could not wait to do the noodles, very easy to use, the patch thickness freely adjustable, you can do dumpling skin chaos leather, noodles made good to eat. Thank you, Amazon offers these high-quality products.</v>
      </c>
    </row>
    <row r="7264">
      <c r="A7264" s="1">
        <v>5.0</v>
      </c>
      <c r="B7264" s="1" t="s">
        <v>7224</v>
      </c>
      <c r="C7264" t="str">
        <f>IFERROR(__xludf.DUMMYFUNCTION("GOOGLETRANSLATE(B7264, ""zh"", ""en"")"),"Good cleaning effect cleaning effect is good, fly in the ointment is the Braun electric toothbrush too loud, but used also like")</f>
        <v>Good cleaning effect cleaning effect is good, fly in the ointment is the Braun electric toothbrush too loud, but used also like</v>
      </c>
    </row>
    <row r="7265">
      <c r="A7265" s="1">
        <v>5.0</v>
      </c>
      <c r="B7265" s="1" t="s">
        <v>7225</v>
      </c>
      <c r="C7265" t="str">
        <f>IFERROR(__xludf.DUMMYFUNCTION("GOOGLETRANSLATE(B7265, ""zh"", ""en"")"),"Dad to buy do not know the effect of how to make Dad insist on eating two a day")</f>
        <v>Dad to buy do not know the effect of how to make Dad insist on eating two a day</v>
      </c>
    </row>
    <row r="7266">
      <c r="A7266" s="1">
        <v>5.0</v>
      </c>
      <c r="B7266" s="1" t="s">
        <v>7226</v>
      </c>
      <c r="C7266" t="str">
        <f>IFERROR(__xludf.DUMMYFUNCTION("GOOGLETRANSLATE(B7266, ""zh"", ""en"")"),"I feel very good for desktop use, wash it clean, I see comments that have taste, but I have not finished, and the oil washing can also be, as I use the quantum, but Siemens six sets of desktop computers, a bit waste, then the quantum cut someone to teach "&amp;"me, how should I say, cut instability, with a few days now, Siemens is ideal for desktop use.")</f>
        <v>I feel very good for desktop use, wash it clean, I see comments that have taste, but I have not finished, and the oil washing can also be, as I use the quantum, but Siemens six sets of desktop computers, a bit waste, then the quantum cut someone to teach me, how should I say, cut instability, with a few days now, Siemens is ideal for desktop use.</v>
      </c>
    </row>
    <row r="7267">
      <c r="A7267" s="1">
        <v>5.0</v>
      </c>
      <c r="B7267" s="1" t="s">
        <v>7227</v>
      </c>
      <c r="C7267" t="str">
        <f>IFERROR(__xludf.DUMMYFUNCTION("GOOGLETRANSLATE(B7267, ""zh"", ""en"")"),"Suitable liked to go to Hokkaido ha ha")</f>
        <v>Suitable liked to go to Hokkaido ha ha</v>
      </c>
    </row>
    <row r="7268">
      <c r="A7268" s="1">
        <v>5.0</v>
      </c>
      <c r="B7268" s="1" t="s">
        <v>7228</v>
      </c>
      <c r="C7268" t="str">
        <f>IFERROR(__xludf.DUMMYFUNCTION("GOOGLETRANSLATE(B7268, ""zh"", ""en"")"),"Good good merchandise")</f>
        <v>Good good merchandise</v>
      </c>
    </row>
    <row r="7269">
      <c r="A7269" s="1">
        <v>5.0</v>
      </c>
      <c r="B7269" s="1" t="s">
        <v>7229</v>
      </c>
      <c r="C7269" t="str">
        <f>IFERROR(__xludf.DUMMYFUNCTION("GOOGLETRANSLATE(B7269, ""zh"", ""en"")"),"Germany is my 790cc Pulsonic Shaver 2009 in the United States and Asia to buy, and spent ten years. Recently I discovered a hole in the foil, with a shaved head a little sore. The new foil the DS system, very suitable 790cc-Pulsonic replacement, scraping "&amp;"also clean, would like to spend a long time points. Express Soon, 23 Kusakabe single 26 receipt, quite satisfactory.")</f>
        <v>Germany is my 790cc Pulsonic Shaver 2009 in the United States and Asia to buy, and spent ten years. Recently I discovered a hole in the foil, with a shaved head a little sore. The new foil the DS system, very suitable 790cc-Pulsonic replacement, scraping also clean, would like to spend a long time points. Express Soon, 23 Kusakabe single 26 receipt, quite satisfactory.</v>
      </c>
    </row>
    <row r="7270">
      <c r="A7270" s="1">
        <v>5.0</v>
      </c>
      <c r="B7270" s="1" t="s">
        <v>7230</v>
      </c>
      <c r="C7270" t="str">
        <f>IFERROR(__xludf.DUMMYFUNCTION("GOOGLETRANSLATE(B7270, ""zh"", ""en"")"),"Recommended for 4½ Nichia package is carefully ah. L number is also no problem.")</f>
        <v>Recommended for 4½ Nichia package is carefully ah. L number is also no problem.</v>
      </c>
    </row>
    <row r="7271">
      <c r="A7271" s="1">
        <v>5.0</v>
      </c>
      <c r="B7271" s="1" t="s">
        <v>7231</v>
      </c>
      <c r="C7271" t="str">
        <f>IFERROR(__xludf.DUMMYFUNCTION("GOOGLETRANSLATE(B7271, ""zh"", ""en"")"),"Lee deserves feel good, the version is also good, high cost, the future will look at whether there are suitable pants")</f>
        <v>Lee deserves feel good, the version is also good, high cost, the future will look at whether there are suitable pants</v>
      </c>
    </row>
    <row r="7272">
      <c r="A7272" s="1">
        <v>5.0</v>
      </c>
      <c r="B7272" s="1" t="s">
        <v>7232</v>
      </c>
      <c r="C7272" t="str">
        <f>IFERROR(__xludf.DUMMYFUNCTION("GOOGLETRANSLATE(B7272, ""zh"", ""en"")"),"ecco shoes to the store very good before the next test, just right to buy 38 yards, very comfortable shoes! very satisfied! One-third cheaper than the domestic counter price! not bad")</f>
        <v>ecco shoes to the store very good before the next test, just right to buy 38 yards, very comfortable shoes! very satisfied! One-third cheaper than the domestic counter price! not bad</v>
      </c>
    </row>
    <row r="7273">
      <c r="A7273" s="1">
        <v>5.0</v>
      </c>
      <c r="B7273" s="1" t="s">
        <v>7233</v>
      </c>
      <c r="C7273" t="str">
        <f>IFERROR(__xludf.DUMMYFUNCTION("GOOGLETRANSLATE(B7273, ""zh"", ""en"")"),"One hundred Austin Hawaii astaxanthin has been taking astaxanthin, long-term use good for the eyes, logistics quickly.")</f>
        <v>One hundred Austin Hawaii astaxanthin has been taking astaxanthin, long-term use good for the eyes, logistics quickly.</v>
      </c>
    </row>
    <row r="7274">
      <c r="A7274" s="1">
        <v>2.0</v>
      </c>
      <c r="B7274" s="1" t="s">
        <v>7234</v>
      </c>
      <c r="C7274" t="str">
        <f>IFERROR(__xludf.DUMMYFUNCTION("GOOGLETRANSLATE(B7274, ""zh"", ""en"")"),"The general quality of this brand, another shirt M fit, this nice plump, quality is very general.")</f>
        <v>The general quality of this brand, another shirt M fit, this nice plump, quality is very general.</v>
      </c>
    </row>
    <row r="7275">
      <c r="A7275" s="1">
        <v>3.0</v>
      </c>
      <c r="B7275" s="1" t="s">
        <v>7235</v>
      </c>
      <c r="C7275" t="str">
        <f>IFERROR(__xludf.DUMMYFUNCTION("GOOGLETRANSLATE(B7275, ""zh"", ""en"")"),"Quality is generally accurate size pants, fabric feel good, style is also okay, but too much thread, the alignment is very sloppy, let me worry about these pants is solid. In short quality is not very good.")</f>
        <v>Quality is generally accurate size pants, fabric feel good, style is also okay, but too much thread, the alignment is very sloppy, let me worry about these pants is solid. In short quality is not very good.</v>
      </c>
    </row>
    <row r="7276">
      <c r="A7276" s="1">
        <v>3.0</v>
      </c>
      <c r="B7276" s="1" t="s">
        <v>7236</v>
      </c>
      <c r="C7276" t="str">
        <f>IFERROR(__xludf.DUMMYFUNCTION("GOOGLETRANSLATE(B7276, ""zh"", ""en"")"),"General shoes inside a little high, the heel does not seem Genjiao.")</f>
        <v>General shoes inside a little high, the heel does not seem Genjiao.</v>
      </c>
    </row>
    <row r="7277">
      <c r="A7277" s="1">
        <v>1.0</v>
      </c>
      <c r="B7277" s="1" t="s">
        <v>7237</v>
      </c>
      <c r="C7277" t="str">
        <f>IFERROR(__xludf.DUMMYFUNCTION("GOOGLETRANSLATE(B7277, ""zh"", ""en"")"),"Too hard to wash, not back stock. Outlets contrast went down yesterday, the store a lot of soft sponge, Amazon's too hard, feel bad.")</f>
        <v>Too hard to wash, not back stock. Outlets contrast went down yesterday, the store a lot of soft sponge, Amazon's too hard, feel bad.</v>
      </c>
    </row>
    <row r="7278">
      <c r="A7278" s="1">
        <v>1.0</v>
      </c>
      <c r="B7278" s="1" t="s">
        <v>7238</v>
      </c>
      <c r="C7278" t="str">
        <f>IFERROR(__xludf.DUMMYFUNCTION("GOOGLETRANSLATE(B7278, ""zh"", ""en"")"),"Poor have used significant traces")</f>
        <v>Poor have used significant traces</v>
      </c>
    </row>
    <row r="7279">
      <c r="A7279" s="1">
        <v>1.0</v>
      </c>
      <c r="B7279" s="1" t="s">
        <v>7239</v>
      </c>
      <c r="C7279" t="str">
        <f>IFERROR(__xludf.DUMMYFUNCTION("GOOGLETRANSLATE(B7279, ""zh"", ""en"")"),"Broken no warranty with third on the broken, no warranty purchase overseas, thousands of pieces make sense, Amazon can not provide a warranty for substantial help, please buy carefully purchased overseas valuables.")</f>
        <v>Broken no warranty with third on the broken, no warranty purchase overseas, thousands of pieces make sense, Amazon can not provide a warranty for substantial help, please buy carefully purchased overseas valuables.</v>
      </c>
    </row>
    <row r="7280">
      <c r="A7280" s="1">
        <v>4.0</v>
      </c>
      <c r="B7280" s="1" t="s">
        <v>7240</v>
      </c>
      <c r="C7280" t="str">
        <f>IFERROR(__xludf.DUMMYFUNCTION("GOOGLETRANSLATE(B7280, ""zh"", ""en"")"),"You can also be right")</f>
        <v>You can also be right</v>
      </c>
    </row>
    <row r="7281">
      <c r="A7281" s="1">
        <v>4.0</v>
      </c>
      <c r="B7281" s="1" t="s">
        <v>7241</v>
      </c>
      <c r="C7281" t="str">
        <f>IFERROR(__xludf.DUMMYFUNCTION("GOOGLETRANSLATE(B7281, ""zh"", ""en"")"),"Like a good praise express speed. More than a week earlier than expected. Headphones satisfaction.")</f>
        <v>Like a good praise express speed. More than a week earlier than expected. Headphones satisfaction.</v>
      </c>
    </row>
    <row r="7282">
      <c r="A7282" s="1">
        <v>4.0</v>
      </c>
      <c r="B7282" s="1" t="s">
        <v>7242</v>
      </c>
      <c r="C7282" t="str">
        <f>IFERROR(__xludf.DUMMYFUNCTION("GOOGLETRANSLATE(B7282, ""zh"", ""en"")"),"A bit small but comfortable and 170,140 wear S close! Very good chase and shoot M! Like loose M, S close")</f>
        <v>A bit small but comfortable and 170,140 wear S close! Very good chase and shoot M! Like loose M, S close</v>
      </c>
    </row>
    <row r="7283">
      <c r="A7283" s="1">
        <v>4.0</v>
      </c>
      <c r="B7283" s="1" t="s">
        <v>7243</v>
      </c>
      <c r="C7283" t="str">
        <f>IFERROR(__xludf.DUMMYFUNCTION("GOOGLETRANSLATE(B7283, ""zh"", ""en"")"),"Evaluation of satisfaction, support, style, liked it, right size! !")</f>
        <v>Evaluation of satisfaction, support, style, liked it, right size! !</v>
      </c>
    </row>
    <row r="7284">
      <c r="A7284" s="1">
        <v>4.0</v>
      </c>
      <c r="B7284" s="1" t="s">
        <v>7244</v>
      </c>
      <c r="C7284" t="str">
        <f>IFERROR(__xludf.DUMMYFUNCTION("GOOGLETRANSLATE(B7284, ""zh"", ""en"")"),"Transformer to transformer needs, pay attention to attention. Well, brushing and then still have the red dirt out")</f>
        <v>Transformer to transformer needs, pay attention to attention. Well, brushing and then still have the red dirt out</v>
      </c>
    </row>
    <row r="7285">
      <c r="A7285" s="1">
        <v>5.0</v>
      </c>
      <c r="B7285" s="1" t="s">
        <v>7245</v>
      </c>
      <c r="C7285" t="str">
        <f>IFERROR(__xludf.DUMMYFUNCTION("GOOGLETRANSLATE(B7285, ""zh"", ""en"")"),"Very good with the exception of income wave did not succeed in all aspects are very satisfied, very fine, there is no quasi-pointer fouling situation, much cheaper than the state line, in-kind good-looking than the pictures. In addition dial mud king cat "&amp;"person than a smaller size, more suitable for the wrist slightly finer people.")</f>
        <v>Very good with the exception of income wave did not succeed in all aspects are very satisfied, very fine, there is no quasi-pointer fouling situation, much cheaper than the state line, in-kind good-looking than the pictures. In addition dial mud king cat person than a smaller size, more suitable for the wrist slightly finer people.</v>
      </c>
    </row>
    <row r="7286">
      <c r="A7286" s="1">
        <v>5.0</v>
      </c>
      <c r="B7286" s="1" t="s">
        <v>7246</v>
      </c>
      <c r="C7286" t="str">
        <f>IFERROR(__xludf.DUMMYFUNCTION("GOOGLETRANSLATE(B7286, ""zh"", ""en"")"),"Warm 172.76, just buy the S number, Ref 270, light and warm, but the cuffs and shut slightly below and slightly warm design no type.")</f>
        <v>Warm 172.76, just buy the S number, Ref 270, light and warm, but the cuffs and shut slightly below and slightly warm design no type.</v>
      </c>
    </row>
    <row r="7287">
      <c r="A7287" s="1">
        <v>5.0</v>
      </c>
      <c r="B7287" s="1" t="s">
        <v>7247</v>
      </c>
      <c r="C7287" t="str">
        <f>IFERROR(__xludf.DUMMYFUNCTION("GOOGLETRANSLATE(B7287, ""zh"", ""en"")"),"Ultrafast arrival, the appropriate size of the foot 41, the size selected from 8.5, is appropriate. Shoes a little flat, a little squeeze feet just started a few days, a few days after wear open just fine, feet thick people to think about it. Unlike previ"&amp;"ous soles of other brands of shoes through the hard, this is very comfortable, the basic need time to adapt, on foot very comfortable.")</f>
        <v>Ultrafast arrival, the appropriate size of the foot 41, the size selected from 8.5, is appropriate. Shoes a little flat, a little squeeze feet just started a few days, a few days after wear open just fine, feet thick people to think about it. Unlike previous soles of other brands of shoes through the hard, this is very comfortable, the basic need time to adapt, on foot very comfortable.</v>
      </c>
    </row>
    <row r="7288">
      <c r="A7288" s="1">
        <v>5.0</v>
      </c>
      <c r="B7288" s="1" t="s">
        <v>7248</v>
      </c>
      <c r="C7288" t="str">
        <f>IFERROR(__xludf.DUMMYFUNCTION("GOOGLETRANSLATE(B7288, ""zh"", ""en"")"),"Note the size being worn on the feet, did not think so hard, foot feeling good, when the size chosen to distinguish between us and uk code, usually 41, 255 shoes, just choose the 8.5 Good")</f>
        <v>Note the size being worn on the feet, did not think so hard, foot feeling good, when the size chosen to distinguish between us and uk code, usually 41, 255 shoes, just choose the 8.5 Good</v>
      </c>
    </row>
    <row r="7289">
      <c r="A7289" s="1">
        <v>5.0</v>
      </c>
      <c r="B7289" s="1" t="s">
        <v>7249</v>
      </c>
      <c r="C7289" t="str">
        <f>IFERROR(__xludf.DUMMYFUNCTION("GOOGLETRANSLATE(B7289, ""zh"", ""en"")"),"Speed ​​is acceptable, the volume of the same capacity can be used with other, has brought the saved photos")</f>
        <v>Speed ​​is acceptable, the volume of the same capacity can be used with other, has brought the saved photos</v>
      </c>
    </row>
    <row r="7290">
      <c r="A7290" s="1">
        <v>5.0</v>
      </c>
      <c r="B7290" s="1" t="s">
        <v>7250</v>
      </c>
      <c r="C7290" t="str">
        <f>IFERROR(__xludf.DUMMYFUNCTION("GOOGLETRANSLATE(B7290, ""zh"", ""en"")"),"Worth buying quality is very good, soft fabric, not static, and more than 100 points one, values. 177/75 / m")</f>
        <v>Worth buying quality is very good, soft fabric, not static, and more than 100 points one, values. 177/75 / m</v>
      </c>
    </row>
    <row r="7291">
      <c r="A7291" s="1">
        <v>5.0</v>
      </c>
      <c r="B7291" s="1" t="s">
        <v>7251</v>
      </c>
      <c r="C7291" t="str">
        <f>IFERROR(__xludf.DUMMYFUNCTION("GOOGLETRANSLATE(B7291, ""zh"", ""en"")"),"Activated carbon leakage not very good, did not see serious leakage of activated carbon")</f>
        <v>Activated carbon leakage not very good, did not see serious leakage of activated carbon</v>
      </c>
    </row>
    <row r="7292">
      <c r="A7292" s="1">
        <v>5.0</v>
      </c>
      <c r="B7292" s="1" t="s">
        <v>7252</v>
      </c>
      <c r="C7292" t="str">
        <f>IFERROR(__xludf.DUMMYFUNCTION("GOOGLETRANSLATE(B7292, ""zh"", ""en"")"),"Truly powerful, impeccable, continuous motor 2,30 seconds no heat no smell, no dead easy to clean after use.")</f>
        <v>Truly powerful, impeccable, continuous motor 2,30 seconds no heat no smell, no dead easy to clean after use.</v>
      </c>
    </row>
    <row r="7293">
      <c r="A7293" s="1">
        <v>5.0</v>
      </c>
      <c r="B7293" s="1" t="s">
        <v>7253</v>
      </c>
      <c r="C7293" t="str">
        <f>IFERROR(__xludf.DUMMYFUNCTION("GOOGLETRANSLATE(B7293, ""zh"", ""en"")"),"Something absolutely genuine, but not with straw cup before you buy should pay attention to excellent insulation effect, to buy time did not pay attention, did not see the cup without a straw, to accompany overseas purchase return shipping is too expensiv"&amp;"e, no way can only go alone with straw, it took me 120 ocean so distressed. However, this can only blame myself did not see the merchandise, do not blame the seller, something absolutely authentic.")</f>
        <v>Something absolutely genuine, but not with straw cup before you buy should pay attention to excellent insulation effect, to buy time did not pay attention, did not see the cup without a straw, to accompany overseas purchase return shipping is too expensive, no way can only go alone with straw, it took me 120 ocean so distressed. However, this can only blame myself did not see the merchandise, do not blame the seller, something absolutely authentic.</v>
      </c>
    </row>
    <row r="7294">
      <c r="A7294" s="1">
        <v>5.0</v>
      </c>
      <c r="B7294" s="1" t="s">
        <v>7254</v>
      </c>
      <c r="C7294" t="str">
        <f>IFERROR(__xludf.DUMMYFUNCTION("GOOGLETRANSLATE(B7294, ""zh"", ""en"")"),"In addition to what to wear before ironing machine after washing week, could not find other disadvantages. Advantage is that with a high cotton content, comfortable, no side seam, and a cylindrical seating arrangement microdisplay waist.")</f>
        <v>In addition to what to wear before ironing machine after washing week, could not find other disadvantages. Advantage is that with a high cotton content, comfortable, no side seam, and a cylindrical seating arrangement microdisplay waist.</v>
      </c>
    </row>
    <row r="7295">
      <c r="A7295" s="1">
        <v>5.0</v>
      </c>
      <c r="B7295" s="1" t="s">
        <v>7255</v>
      </c>
      <c r="C7295" t="str">
        <f>IFERROR(__xludf.DUMMYFUNCTION("GOOGLETRANSLATE(B7295, ""zh"", ""en"")"),"Fabric is very thick and very fit, high 180, 100 kilograms of fat can buy.")</f>
        <v>Fabric is very thick and very fit, high 180, 100 kilograms of fat can buy.</v>
      </c>
    </row>
    <row r="7296">
      <c r="A7296" s="1">
        <v>5.0</v>
      </c>
      <c r="B7296" s="1" t="s">
        <v>7256</v>
      </c>
      <c r="C7296" t="str">
        <f>IFERROR(__xludf.DUMMYFUNCTION("GOOGLETRANSLATE(B7296, ""zh"", ""en"")"),"Something good goods good shelf life too fresh.")</f>
        <v>Something good goods good shelf life too fresh.</v>
      </c>
    </row>
    <row r="7297">
      <c r="A7297" s="1">
        <v>5.0</v>
      </c>
      <c r="B7297" s="1" t="s">
        <v>7257</v>
      </c>
      <c r="C7297" t="str">
        <f>IFERROR(__xludf.DUMMYFUNCTION("GOOGLETRANSLATE(B7297, ""zh"", ""en"")"),"It feels pretty good razor is used.")</f>
        <v>It feels pretty good razor is used.</v>
      </c>
    </row>
    <row r="7298">
      <c r="A7298" s="1">
        <v>5.0</v>
      </c>
      <c r="B7298" s="1" t="s">
        <v>7258</v>
      </c>
      <c r="C7298" t="str">
        <f>IFERROR(__xludf.DUMMYFUNCTION("GOOGLETRANSLATE(B7298, ""zh"", ""en"")"),"Received very like the color super-like, brilliant and impressive, very light cup, cup body is not fat, easy to hand! Adults and children with very convenient, very satisfied! Prices are cheaper than jd and TB.")</f>
        <v>Received very like the color super-like, brilliant and impressive, very light cup, cup body is not fat, easy to hand! Adults and children with very convenient, very satisfied! Prices are cheaper than jd and TB.</v>
      </c>
    </row>
    <row r="7299">
      <c r="A7299" s="1">
        <v>5.0</v>
      </c>
      <c r="B7299" s="1" t="s">
        <v>7259</v>
      </c>
      <c r="C7299" t="str">
        <f>IFERROR(__xludf.DUMMYFUNCTION("GOOGLETRANSLATE(B7299, ""zh"", ""en"")"),"Well integrated with the Internet for Lamy Safari, Schneider Base and evaluation Tupper pen with the price eventually bought Base, writing a great feeling, F sharp just for me. As for the thickness of the pen, I have used before Schneider pen, so this doe"&amp;"s not appear suited to the situation.")</f>
        <v>Well integrated with the Internet for Lamy Safari, Schneider Base and evaluation Tupper pen with the price eventually bought Base, writing a great feeling, F sharp just for me. As for the thickness of the pen, I have used before Schneider pen, so this does not appear suited to the situation.</v>
      </c>
    </row>
    <row r="7300">
      <c r="A7300" s="1">
        <v>5.0</v>
      </c>
      <c r="B7300" s="1" t="s">
        <v>7260</v>
      </c>
      <c r="C7300" t="str">
        <f>IFERROR(__xludf.DUMMYFUNCTION("GOOGLETRANSLATE(B7300, ""zh"", ""en"")"),"Cheap and good things are cheap, work a strong sense of plastic, but the sound unambiguous. Far beyond the price expectations")</f>
        <v>Cheap and good things are cheap, work a strong sense of plastic, but the sound unambiguous. Far beyond the price expectations</v>
      </c>
    </row>
    <row r="7301">
      <c r="A7301" s="1">
        <v>5.0</v>
      </c>
      <c r="B7301" s="1" t="s">
        <v>7261</v>
      </c>
      <c r="C7301" t="str">
        <f>IFERROR(__xludf.DUMMYFUNCTION("GOOGLETRANSLATE(B7301, ""zh"", ""en"")"),"Cotton good material very cheap to buy a pretty good")</f>
        <v>Cotton good material very cheap to buy a pretty good</v>
      </c>
    </row>
    <row r="7302">
      <c r="A7302" s="1">
        <v>5.0</v>
      </c>
      <c r="B7302" s="1" t="s">
        <v>7262</v>
      </c>
      <c r="C7302" t="str">
        <f>IFERROR(__xludf.DUMMYFUNCTION("GOOGLETRANSLATE(B7302, ""zh"", ""en"")"),"Mug very good, a great bottle, not a temporary use will continue to focus on")</f>
        <v>Mug very good, a great bottle, not a temporary use will continue to focus on</v>
      </c>
    </row>
    <row r="7303">
      <c r="A7303" s="1">
        <v>5.0</v>
      </c>
      <c r="B7303" s="1" t="s">
        <v>7263</v>
      </c>
      <c r="C7303" t="str">
        <f>IFERROR(__xludf.DUMMYFUNCTION("GOOGLETRANSLATE(B7303, ""zh"", ""en"")"),"Good pictures in two ways you can exchange the lid, can be turned into 2way. Of that section is cold glass surface a little stain, I bought two identical cups have the same stains in the same position, so we rule out return, what reason could the pipeline"&amp;".")</f>
        <v>Good pictures in two ways you can exchange the lid, can be turned into 2way. Of that section is cold glass surface a little stain, I bought two identical cups have the same stains in the same position, so we rule out return, what reason could the pipeline.</v>
      </c>
    </row>
    <row r="7304">
      <c r="A7304" s="1">
        <v>5.0</v>
      </c>
      <c r="B7304" s="1" t="s">
        <v>7264</v>
      </c>
      <c r="C7304" t="str">
        <f>IFERROR(__xludf.DUMMYFUNCTION("GOOGLETRANSLATE(B7304, ""zh"", ""en"")"),"Feel better than domestic work point feel better than domestic work, packaging is also very good")</f>
        <v>Feel better than domestic work point feel better than domestic work, packaging is also very good</v>
      </c>
    </row>
    <row r="7305">
      <c r="A7305" s="1">
        <v>5.0</v>
      </c>
      <c r="B7305" s="1" t="s">
        <v>7265</v>
      </c>
      <c r="C7305" t="str">
        <f>IFERROR(__xludf.DUMMYFUNCTION("GOOGLETRANSLATE(B7305, ""zh"", ""en"")"),"Reviews good feel, but for me there is a little big, Asians bone to a small point.")</f>
        <v>Reviews good feel, but for me there is a little big, Asians bone to a small point.</v>
      </c>
    </row>
    <row r="7306">
      <c r="A7306" s="1">
        <v>5.0</v>
      </c>
      <c r="B7306" s="1" t="s">
        <v>7266</v>
      </c>
      <c r="C7306" t="str">
        <f>IFERROR(__xludf.DUMMYFUNCTION("GOOGLETRANSLATE(B7306, ""zh"", ""en"")"),"Good quality and good quality and the right length, super-tight")</f>
        <v>Good quality and good quality and the right length, super-tight</v>
      </c>
    </row>
    <row r="7307">
      <c r="A7307" s="1">
        <v>2.0</v>
      </c>
      <c r="B7307" s="1" t="s">
        <v>7267</v>
      </c>
      <c r="C7307" t="str">
        <f>IFERROR(__xludf.DUMMYFUNCTION("GOOGLETRANSLATE(B7307, ""zh"", ""en"")"),"Do not recommend buying very poor indeed, material version are general, very strong pungent taste, washed twice to do some probably will not buy anymore")</f>
        <v>Do not recommend buying very poor indeed, material version are general, very strong pungent taste, washed twice to do some probably will not buy anymore</v>
      </c>
    </row>
    <row r="7308">
      <c r="A7308" s="1">
        <v>3.0</v>
      </c>
      <c r="B7308" s="1" t="s">
        <v>7268</v>
      </c>
      <c r="C7308" t="str">
        <f>IFERROR(__xludf.DUMMYFUNCTION("GOOGLETRANSLATE(B7308, ""zh"", ""en"")"),"Size small size is too small, a bit crowded feet.")</f>
        <v>Size small size is too small, a bit crowded feet.</v>
      </c>
    </row>
    <row r="7309">
      <c r="A7309" s="1">
        <v>3.0</v>
      </c>
      <c r="B7309" s="1" t="s">
        <v>7269</v>
      </c>
      <c r="C7309" t="str">
        <f>IFERROR(__xludf.DUMMYFUNCTION("GOOGLETRANSLATE(B7309, ""zh"", ""en"")"),"It pays for the first time to wash fade, not very comfortable wearing stickers, slightly significantly rough. It pays for, three 200 yuan and 300 yuan a BOSS, quality is not the same. Still have to choose a dot of Lycra fabric clothes were comfortable.")</f>
        <v>It pays for the first time to wash fade, not very comfortable wearing stickers, slightly significantly rough. It pays for, three 200 yuan and 300 yuan a BOSS, quality is not the same. Still have to choose a dot of Lycra fabric clothes were comfortable.</v>
      </c>
    </row>
    <row r="7310">
      <c r="A7310" s="1">
        <v>1.0</v>
      </c>
      <c r="B7310" s="1" t="s">
        <v>7270</v>
      </c>
      <c r="C7310" t="str">
        <f>IFERROR(__xludf.DUMMYFUNCTION("GOOGLETRANSLATE(B7310, ""zh"", ""en"")"),"Ye are yellow latex emulsion book is yellow, there are issues now, not with the children.")</f>
        <v>Ye are yellow latex emulsion book is yellow, there are issues now, not with the children.</v>
      </c>
    </row>
    <row r="7311">
      <c r="A7311" s="1">
        <v>1.0</v>
      </c>
      <c r="B7311" s="1" t="s">
        <v>7271</v>
      </c>
      <c r="C7311" t="str">
        <f>IFERROR(__xludf.DUMMYFUNCTION("GOOGLETRANSLATE(B7311, ""zh"", ""en"")"),"Washing uncomfortable to wear today exceedingly disappointed especially scratchy itching")</f>
        <v>Washing uncomfortable to wear today exceedingly disappointed especially scratchy itching</v>
      </c>
    </row>
    <row r="7312">
      <c r="A7312" s="1">
        <v>4.0</v>
      </c>
      <c r="B7312" s="1" t="s">
        <v>7272</v>
      </c>
      <c r="C7312" t="str">
        <f>IFERROR(__xludf.DUMMYFUNCTION("GOOGLETRANSLATE(B7312, ""zh"", ""en"")"),"120 kg of yardage sleeves partial length L but not so tight just like. Thin, warm decent degree. 120 kg of yardage sleeves partial length L but not so tight just like. Thin, warm decent degree.")</f>
        <v>120 kg of yardage sleeves partial length L but not so tight just like. Thin, warm decent degree. 120 kg of yardage sleeves partial length L but not so tight just like. Thin, warm decent degree.</v>
      </c>
    </row>
    <row r="7313">
      <c r="A7313" s="1">
        <v>4.0</v>
      </c>
      <c r="B7313" s="1" t="s">
        <v>7273</v>
      </c>
      <c r="C7313" t="str">
        <f>IFERROR(__xludf.DUMMYFUNCTION("GOOGLETRANSLATE(B7313, ""zh"", ""en"")"),"Can also be a little thin, you can not pretend to be a little hard, overall not bad.")</f>
        <v>Can also be a little thin, you can not pretend to be a little hard, overall not bad.</v>
      </c>
    </row>
    <row r="7314">
      <c r="A7314" s="1">
        <v>4.0</v>
      </c>
      <c r="B7314" s="1" t="s">
        <v>7274</v>
      </c>
      <c r="C7314" t="str">
        <f>IFERROR(__xludf.DUMMYFUNCTION("GOOGLETRANSLATE(B7314, ""zh"", ""en"")"),"Validity period inconsistent on the carton and on the bottle actually inconsistent")</f>
        <v>Validity period inconsistent on the carton and on the bottle actually inconsistent</v>
      </c>
    </row>
    <row r="7315">
      <c r="A7315" s="1">
        <v>4.0</v>
      </c>
      <c r="B7315" s="1" t="s">
        <v>7275</v>
      </c>
      <c r="C7315" t="str">
        <f>IFERROR(__xludf.DUMMYFUNCTION("GOOGLETRANSLATE(B7315, ""zh"", ""en"")"),"Big, given away 72kg, 171cm, bought a M No. Not at all, played a lot, S code should be appropriate.")</f>
        <v>Big, given away 72kg, 171cm, bought a M No. Not at all, played a lot, S code should be appropriate.</v>
      </c>
    </row>
    <row r="7316">
      <c r="A7316" s="1">
        <v>4.0</v>
      </c>
      <c r="B7316" s="1" t="s">
        <v>7276</v>
      </c>
      <c r="C7316" t="str">
        <f>IFERROR(__xludf.DUMMYFUNCTION("GOOGLETRANSLATE(B7316, ""zh"", ""en"")"),"Entry-level entry-level product, can also be used with children.")</f>
        <v>Entry-level entry-level product, can also be used with children.</v>
      </c>
    </row>
    <row r="7317">
      <c r="A7317" s="1">
        <v>5.0</v>
      </c>
      <c r="B7317" s="1" t="s">
        <v>7277</v>
      </c>
      <c r="C7317" t="str">
        <f>IFERROR(__xludf.DUMMYFUNCTION("GOOGLETRANSLATE(B7317, ""zh"", ""en"")"),"And image consistent 173.150 33 yards usually wear pants and wearing a suitable elastic pants comfortable to wear picture consistent")</f>
        <v>And image consistent 173.150 33 yards usually wear pants and wearing a suitable elastic pants comfortable to wear picture consistent</v>
      </c>
    </row>
    <row r="7318">
      <c r="A7318" s="1">
        <v>5.0</v>
      </c>
      <c r="B7318" s="1" t="s">
        <v>7278</v>
      </c>
      <c r="C7318" t="str">
        <f>IFERROR(__xludf.DUMMYFUNCTION("GOOGLETRANSLATE(B7318, ""zh"", ""en"")"),"Value for money is very soft cartridge super useful, as well as butter flavor Oh")</f>
        <v>Value for money is very soft cartridge super useful, as well as butter flavor Oh</v>
      </c>
    </row>
    <row r="7319">
      <c r="A7319" s="1">
        <v>5.0</v>
      </c>
      <c r="B7319" s="1" t="s">
        <v>7279</v>
      </c>
      <c r="C7319" t="str">
        <f>IFERROR(__xludf.DUMMYFUNCTION("GOOGLETRANSLATE(B7319, ""zh"", ""en"")"),"Great shoes! Great pair of outdoor shoes, number of very accurate! My foot is the amount of over 27 cm, set 9EE just estimate may also put a pair of insoles a little thin, very thick soles, wear instantly feel a lot higher! Although there is no real fucke"&amp;"d outdoors, but after wearing these shoes feel very insecure, estimates should give the foot well protected!")</f>
        <v>Great shoes! Great pair of outdoor shoes, number of very accurate! My foot is the amount of over 27 cm, set 9EE just estimate may also put a pair of insoles a little thin, very thick soles, wear instantly feel a lot higher! Although there is no real fucked outdoors, but after wearing these shoes feel very insecure, estimates should give the foot well protected!</v>
      </c>
    </row>
    <row r="7320">
      <c r="A7320" s="1">
        <v>5.0</v>
      </c>
      <c r="B7320" s="1" t="s">
        <v>7280</v>
      </c>
      <c r="C7320" t="str">
        <f>IFERROR(__xludf.DUMMYFUNCTION("GOOGLETRANSLATE(B7320, ""zh"", ""en"")"),"532 overseas purchase very good hand, 1.72m, 77kg, M number just right. satisfaction.")</f>
        <v>532 overseas purchase very good hand, 1.72m, 77kg, M number just right. satisfaction.</v>
      </c>
    </row>
    <row r="7321">
      <c r="A7321" s="1">
        <v>5.0</v>
      </c>
      <c r="B7321" s="1" t="s">
        <v>7281</v>
      </c>
      <c r="C7321" t="str">
        <f>IFERROR(__xludf.DUMMYFUNCTION("GOOGLETRANSLATE(B7321, ""zh"", ""en"")"),"Power scaling is not useful, but there are five black activities when to buy, the quality is also good, I am looking forward to")</f>
        <v>Power scaling is not useful, but there are five black activities when to buy, the quality is also good, I am looking forward to</v>
      </c>
    </row>
    <row r="7322">
      <c r="A7322" s="1">
        <v>5.0</v>
      </c>
      <c r="B7322" s="1" t="s">
        <v>7282</v>
      </c>
      <c r="C7322" t="str">
        <f>IFERROR(__xludf.DUMMYFUNCTION("GOOGLETRANSLATE(B7322, ""zh"", ""en"")"),"Not bad, very rugged. Can wear")</f>
        <v>Not bad, very rugged. Can wear</v>
      </c>
    </row>
    <row r="7323">
      <c r="A7323" s="1">
        <v>5.0</v>
      </c>
      <c r="B7323" s="1" t="s">
        <v>7283</v>
      </c>
      <c r="C7323" t="str">
        <f>IFERROR(__xludf.DUMMYFUNCTION("GOOGLETRANSLATE(B7323, ""zh"", ""en"")"),"Good quality quite stick, genuine, good quality, the price is affordable activities, special satisfaction.")</f>
        <v>Good quality quite stick, genuine, good quality, the price is affordable activities, special satisfaction.</v>
      </c>
    </row>
    <row r="7324">
      <c r="A7324" s="1">
        <v>5.0</v>
      </c>
      <c r="B7324" s="1" t="s">
        <v>7284</v>
      </c>
      <c r="C7324" t="str">
        <f>IFERROR(__xludf.DUMMYFUNCTION("GOOGLETRANSLATE(B7324, ""zh"", ""en"")"),"Easy to very good use. Just do not know a thing without a blade is used to do")</f>
        <v>Easy to very good use. Just do not know a thing without a blade is used to do</v>
      </c>
    </row>
    <row r="7325">
      <c r="A7325" s="1">
        <v>5.0</v>
      </c>
      <c r="B7325" s="1" t="s">
        <v>7285</v>
      </c>
      <c r="C7325" t="str">
        <f>IFERROR(__xludf.DUMMYFUNCTION("GOOGLETRANSLATE(B7325, ""zh"", ""en"")"),"Want to know this product in different countries of the production line, whether there are quality differences. I have been using this product for five years. Currently used in good condition.")</f>
        <v>Want to know this product in different countries of the production line, whether there are quality differences. I have been using this product for five years. Currently used in good condition.</v>
      </c>
    </row>
    <row r="7326">
      <c r="A7326" s="1">
        <v>5.0</v>
      </c>
      <c r="B7326" s="1" t="s">
        <v>7286</v>
      </c>
      <c r="C7326" t="str">
        <f>IFERROR(__xludf.DUMMYFUNCTION("GOOGLETRANSLATE(B7326, ""zh"", ""en"")"),"~ Something good wash very clean, independent sub-packaged, easy to use and convenient.")</f>
        <v>~ Something good wash very clean, independent sub-packaged, easy to use and convenient.</v>
      </c>
    </row>
    <row r="7327">
      <c r="A7327" s="1">
        <v>5.0</v>
      </c>
      <c r="B7327" s="1" t="s">
        <v>7287</v>
      </c>
      <c r="C7327" t="str">
        <f>IFERROR(__xludf.DUMMYFUNCTION("GOOGLETRANSLATE(B7327, ""zh"", ""en"")"),"It is a great little loose, the recommended size small one yard can be, but wear comfortable, like wearing the same is also quite good")</f>
        <v>It is a great little loose, the recommended size small one yard can be, but wear comfortable, like wearing the same is also quite good</v>
      </c>
    </row>
    <row r="7328">
      <c r="A7328" s="1">
        <v>5.0</v>
      </c>
      <c r="B7328" s="1" t="s">
        <v>7288</v>
      </c>
      <c r="C7328" t="str">
        <f>IFERROR(__xludf.DUMMYFUNCTION("GOOGLETRANSLATE(B7328, ""zh"", ""en"")"),"170,140 pounds of M should be a little big, bought for my father, my mother also intends to buy back this series. My father 170 140 m suitable wear. But more domestic or a little big for your reference. My father said comfortable. But when I bought 200 ha"&amp;"nd, prices generally.")</f>
        <v>170,140 pounds of M should be a little big, bought for my father, my mother also intends to buy back this series. My father 170 140 m suitable wear. But more domestic or a little big for your reference. My father said comfortable. But when I bought 200 hand, prices generally.</v>
      </c>
    </row>
    <row r="7329">
      <c r="A7329" s="1">
        <v>5.0</v>
      </c>
      <c r="B7329" s="1" t="s">
        <v>7289</v>
      </c>
      <c r="C7329" t="str">
        <f>IFERROR(__xludf.DUMMYFUNCTION("GOOGLETRANSLATE(B7329, ""zh"", ""en"")"),"$ 999 can buy scratches! There are sound and dynamic bass rebound is good.")</f>
        <v>$ 999 can buy scratches! There are sound and dynamic bass rebound is good.</v>
      </c>
    </row>
    <row r="7330">
      <c r="A7330" s="1">
        <v>5.0</v>
      </c>
      <c r="B7330" s="1" t="s">
        <v>7290</v>
      </c>
      <c r="C7330" t="str">
        <f>IFERROR(__xludf.DUMMYFUNCTION("GOOGLETRANSLATE(B7330, ""zh"", ""en"")"),"Very satisfied, has begun to draw. Very satisfied, has begun to draw. It has been recommended to a friend")</f>
        <v>Very satisfied, has begun to draw. Very satisfied, has begun to draw. It has been recommended to a friend</v>
      </c>
    </row>
    <row r="7331">
      <c r="A7331" s="1">
        <v>5.0</v>
      </c>
      <c r="B7331" s="1" t="s">
        <v>7291</v>
      </c>
      <c r="C7331" t="str">
        <f>IFERROR(__xludf.DUMMYFUNCTION("GOOGLETRANSLATE(B7331, ""zh"", ""en"")"),"Amazon supports globalization facilitation! ! Absolute star, Amazon is still credible, and so is the number 28 would have to advance to, not during other East engage in activities to buy a brand b 398 ocean, I feel a big loss, this really as good as Sennh"&amp;"eiser. I have to put that idea out of the b. Continue to support the Amazon! ! ! Come on, hope in the future to buy more foreign enjoy high-quality stuff! !")</f>
        <v>Amazon supports globalization facilitation! ! Absolute star, Amazon is still credible, and so is the number 28 would have to advance to, not during other East engage in activities to buy a brand b 398 ocean, I feel a big loss, this really as good as Sennheiser. I have to put that idea out of the b. Continue to support the Amazon! ! ! Come on, hope in the future to buy more foreign enjoy high-quality stuff! !</v>
      </c>
    </row>
    <row r="7332">
      <c r="A7332" s="1">
        <v>5.0</v>
      </c>
      <c r="B7332" s="1" t="s">
        <v>7292</v>
      </c>
      <c r="C7332" t="str">
        <f>IFERROR(__xludf.DUMMYFUNCTION("GOOGLETRANSLATE(B7332, ""zh"", ""en"")"),"Good price for a friend, taking advantage of a good price activity. I use glass models of the previous generation, personally, prefer glass.")</f>
        <v>Good price for a friend, taking advantage of a good price activity. I use glass models of the previous generation, personally, prefer glass.</v>
      </c>
    </row>
    <row r="7333">
      <c r="A7333" s="1">
        <v>5.0</v>
      </c>
      <c r="B7333" s="1" t="s">
        <v>7293</v>
      </c>
      <c r="C7333" t="str">
        <f>IFERROR(__xludf.DUMMYFUNCTION("GOOGLETRANSLATE(B7333, ""zh"", ""en"")"),"Very convenient and practical aesthetic value, and more than half cheaper than the national mainstream")</f>
        <v>Very convenient and practical aesthetic value, and more than half cheaper than the national mainstream</v>
      </c>
    </row>
    <row r="7334">
      <c r="A7334" s="1">
        <v>5.0</v>
      </c>
      <c r="B7334" s="1" t="s">
        <v>7294</v>
      </c>
      <c r="C7334" t="str">
        <f>IFERROR(__xludf.DUMMYFUNCTION("GOOGLETRANSLATE(B7334, ""zh"", ""en"")"),"Oh well usually 38.5 or 39 to buy a little big 7.5 Logistics super fast")</f>
        <v>Oh well usually 38.5 or 39 to buy a little big 7.5 Logistics super fast</v>
      </c>
    </row>
    <row r="7335">
      <c r="A7335" s="1">
        <v>5.0</v>
      </c>
      <c r="B7335" s="1" t="s">
        <v>7295</v>
      </c>
      <c r="C7335" t="str">
        <f>IFERROR(__xludf.DUMMYFUNCTION("GOOGLETRANSLATE(B7335, ""zh"", ""en"")"),"After a fantastic save money to buy a phone, buy a mobile phone in the future do not buy so much capacity, and praise")</f>
        <v>After a fantastic save money to buy a phone, buy a mobile phone in the future do not buy so much capacity, and praise</v>
      </c>
    </row>
    <row r="7336">
      <c r="A7336" s="1">
        <v>5.0</v>
      </c>
      <c r="B7336" s="1" t="s">
        <v>5773</v>
      </c>
      <c r="C7336" t="str">
        <f>IFERROR(__xludf.DUMMYFUNCTION("GOOGLETRANSLATE(B7336, ""zh"", ""en"")"),"Good good very good, almost like the original feeling")</f>
        <v>Good good very good, almost like the original feeling</v>
      </c>
    </row>
    <row r="7337">
      <c r="A7337" s="1">
        <v>5.0</v>
      </c>
      <c r="B7337" s="1" t="s">
        <v>7296</v>
      </c>
      <c r="C7337" t="str">
        <f>IFERROR(__xludf.DUMMYFUNCTION("GOOGLETRANSLATE(B7337, ""zh"", ""en"")"),"It deserves to burn for another 100 hours after the high-frequency crystal clear, very satisfied. And 880 went to a separate, 880 have been feeling sitting in the audience to enjoy stage shows, 990 music sensation surround around the side. Amoy sea than t"&amp;"he mainstream price is very advantage, that cycle is too long, from order to get the headset spent more than 20 days.")</f>
        <v>It deserves to burn for another 100 hours after the high-frequency crystal clear, very satisfied. And 880 went to a separate, 880 have been feeling sitting in the audience to enjoy stage shows, 990 music sensation surround around the side. Amoy sea than the mainstream price is very advantage, that cycle is too long, from order to get the headset spent more than 20 days.</v>
      </c>
    </row>
    <row r="7338">
      <c r="A7338" s="1">
        <v>5.0</v>
      </c>
      <c r="B7338" s="1" t="s">
        <v>7297</v>
      </c>
      <c r="C7338" t="str">
        <f>IFERROR(__xludf.DUMMYFUNCTION("GOOGLETRANSLATE(B7338, ""zh"", ""en"")"),"Very good, and bought five years ago that money is as good quality, like. Lightweight, leak-proof, high cost, very fast Japanese direct mail received about five days.")</f>
        <v>Very good, and bought five years ago that money is as good quality, like. Lightweight, leak-proof, high cost, very fast Japanese direct mail received about five days.</v>
      </c>
    </row>
    <row r="7339">
      <c r="A7339" s="1">
        <v>2.0</v>
      </c>
      <c r="B7339" s="1" t="s">
        <v>7298</v>
      </c>
      <c r="C7339" t="str">
        <f>IFERROR(__xludf.DUMMYFUNCTION("GOOGLETRANSLATE(B7339, ""zh"", ""en"")"),"China's domestic manufacturing")</f>
        <v>China's domestic manufacturing</v>
      </c>
    </row>
    <row r="7340">
      <c r="A7340" s="1">
        <v>3.0</v>
      </c>
      <c r="B7340" s="1" t="s">
        <v>7299</v>
      </c>
      <c r="C7340" t="str">
        <f>IFERROR(__xludf.DUMMYFUNCTION("GOOGLETRANSLATE(B7340, ""zh"", ""en"")"),"Why not on the total impulse power? China needs charging transformer do? When charging, no lights, no way to determine whether the electricity rushed, often punching power for a day, also red is not on .....................")</f>
        <v>Why not on the total impulse power? China needs charging transformer do? When charging, no lights, no way to determine whether the electricity rushed, often punching power for a day, also red is not on .....................</v>
      </c>
    </row>
    <row r="7341">
      <c r="A7341" s="1">
        <v>3.0</v>
      </c>
      <c r="B7341" s="1" t="s">
        <v>7300</v>
      </c>
      <c r="C7341" t="str">
        <f>IFERROR(__xludf.DUMMYFUNCTION("GOOGLETRANSLATE(B7341, ""zh"", ""en"")"),"No loss with a day, with hurt, very comfortable, I may be the big ears. Really small volume, the headset itself to maximum is small, because it is not ear, so listening in noisy places strenuous. I am 99 and I think the sound quality free shipping Bluetoo"&amp;"th headset almost, I might be wood ears. Life is okay, stronger than before. Very handsome is true, Yen value is high.")</f>
        <v>No loss with a day, with hurt, very comfortable, I may be the big ears. Really small volume, the headset itself to maximum is small, because it is not ear, so listening in noisy places strenuous. I am 99 and I think the sound quality free shipping Bluetooth headset almost, I might be wood ears. Life is okay, stronger than before. Very handsome is true, Yen value is high.</v>
      </c>
    </row>
    <row r="7342">
      <c r="A7342" s="1">
        <v>1.0</v>
      </c>
      <c r="B7342" s="1" t="s">
        <v>7301</v>
      </c>
      <c r="C7342" t="str">
        <f>IFERROR(__xludf.DUMMYFUNCTION("GOOGLETRANSLATE(B7342, ""zh"", ""en"")"),"Poor quality poor quality, are gone crooked line, texture, thin, transparent, spread the goods")</f>
        <v>Poor quality poor quality, are gone crooked line, texture, thin, transparent, spread the goods</v>
      </c>
    </row>
    <row r="7343">
      <c r="A7343" s="1">
        <v>1.0</v>
      </c>
      <c r="B7343" s="1" t="s">
        <v>7302</v>
      </c>
      <c r="C7343" t="str">
        <f>IFERROR(__xludf.DUMMYFUNCTION("GOOGLETRANSLATE(B7343, ""zh"", ""en"")"),"Poor quality shoes a few times and it broke a hole, think the time is now past the warranty period")</f>
        <v>Poor quality shoes a few times and it broke a hole, think the time is now past the warranty period</v>
      </c>
    </row>
    <row r="7344">
      <c r="A7344" s="1">
        <v>1.0</v>
      </c>
      <c r="B7344" s="1" t="s">
        <v>7303</v>
      </c>
      <c r="C7344" t="str">
        <f>IFERROR(__xludf.DUMMYFUNCTION("GOOGLETRANSLATE(B7344, ""zh"", ""en"")"),"Please buy carefully! Product Leaflet for the introduction of Japanese production, again confirmed with the customer service, and high freight tariffs took receipt of the ""Made in China"" process is poor headphones, earphones a little bit, a little feeli"&amp;"ng cheated. Please buy carefully!")</f>
        <v>Please buy carefully! Product Leaflet for the introduction of Japanese production, again confirmed with the customer service, and high freight tariffs took receipt of the "Made in China" process is poor headphones, earphones a little bit, a little feeling cheated. Please buy carefully!</v>
      </c>
    </row>
    <row r="7345">
      <c r="A7345" s="1">
        <v>4.0</v>
      </c>
      <c r="B7345" s="1" t="s">
        <v>7304</v>
      </c>
      <c r="C7345" t="str">
        <f>IFERROR(__xludf.DUMMYFUNCTION("GOOGLETRANSLATE(B7345, ""zh"", ""en"")"),"Good quality good quality is the bottom too hard")</f>
        <v>Good quality good quality is the bottom too hard</v>
      </c>
    </row>
    <row r="7346">
      <c r="A7346" s="1">
        <v>4.0</v>
      </c>
      <c r="B7346" s="1" t="s">
        <v>7305</v>
      </c>
      <c r="C7346" t="str">
        <f>IFERROR(__xludf.DUMMYFUNCTION("GOOGLETRANSLATE(B7346, ""zh"", ""en"")"),"Good writing is very warm tights stockings actually, to look at the content")</f>
        <v>Good writing is very warm tights stockings actually, to look at the content</v>
      </c>
    </row>
    <row r="7347">
      <c r="A7347" s="1">
        <v>4.0</v>
      </c>
      <c r="B7347" s="1" t="s">
        <v>7306</v>
      </c>
      <c r="C7347" t="str">
        <f>IFERROR(__xludf.DUMMYFUNCTION("GOOGLETRANSLATE(B7347, ""zh"", ""en"")"),"Material is thin, a close look at the surface of the metal material is thin bit flawed, a close look at the surface of the metal bit flawed")</f>
        <v>Material is thin, a close look at the surface of the metal material is thin bit flawed, a close look at the surface of the metal bit flawed</v>
      </c>
    </row>
    <row r="7348">
      <c r="A7348" s="1">
        <v>4.0</v>
      </c>
      <c r="B7348" s="1" t="s">
        <v>7307</v>
      </c>
      <c r="C7348" t="str">
        <f>IFERROR(__xludf.DUMMYFUNCTION("GOOGLETRANSLATE(B7348, ""zh"", ""en"")"),"Material good buy big, has returned. Return is relatively complex and longer, it must be a good amount of orders")</f>
        <v>Material good buy big, has returned. Return is relatively complex and longer, it must be a good amount of orders</v>
      </c>
    </row>
    <row r="7349">
      <c r="A7349" s="1">
        <v>4.0</v>
      </c>
      <c r="B7349" s="1" t="s">
        <v>7308</v>
      </c>
      <c r="C7349" t="str">
        <f>IFERROR(__xludf.DUMMYFUNCTION("GOOGLETRANSLATE(B7349, ""zh"", ""en"")"),"You can also line up that feeling will shrink, while the large collar.")</f>
        <v>You can also line up that feeling will shrink, while the large collar.</v>
      </c>
    </row>
    <row r="7350">
      <c r="A7350" s="1">
        <v>5.0</v>
      </c>
      <c r="B7350" s="1" t="s">
        <v>7309</v>
      </c>
      <c r="C7350" t="str">
        <f>IFERROR(__xludf.DUMMYFUNCTION("GOOGLETRANSLATE(B7350, ""zh"", ""en"")"),"Just 17,268 just do not cut trousers")</f>
        <v>Just 17,268 just do not cut trousers</v>
      </c>
    </row>
    <row r="7351">
      <c r="A7351" s="1">
        <v>5.0</v>
      </c>
      <c r="B7351" s="1" t="s">
        <v>7310</v>
      </c>
      <c r="C7351" t="str">
        <f>IFERROR(__xludf.DUMMYFUNCTION("GOOGLETRANSLATE(B7351, ""zh"", ""en"")"),"No. m 170,64 kg Running necessary (170,92) appropriate running wear.")</f>
        <v>No. m 170,64 kg Running necessary (170,92) appropriate running wear.</v>
      </c>
    </row>
    <row r="7352">
      <c r="A7352" s="1">
        <v>5.0</v>
      </c>
      <c r="B7352" s="1" t="s">
        <v>7311</v>
      </c>
      <c r="C7352" t="str">
        <f>IFERROR(__xludf.DUMMYFUNCTION("GOOGLETRANSLATE(B7352, ""zh"", ""en"")"),"Amazon your size more accurately, you can buy around ten ck only engage in quasi-size, no wonder how Amazon does not collapse out of China, so the size of the Amazon and unreliable. 172 / 73kg, which ck the appropriate size")</f>
        <v>Amazon your size more accurately, you can buy around ten ck only engage in quasi-size, no wonder how Amazon does not collapse out of China, so the size of the Amazon and unreliable. 172 / 73kg, which ck the appropriate size</v>
      </c>
    </row>
    <row r="7353">
      <c r="A7353" s="1">
        <v>5.0</v>
      </c>
      <c r="B7353" s="1" t="s">
        <v>7312</v>
      </c>
      <c r="C7353" t="str">
        <f>IFERROR(__xludf.DUMMYFUNCTION("GOOGLETRANSLATE(B7353, ""zh"", ""en"")"),"Pretty good, that is, the transport process a little tongue stick up")</f>
        <v>Pretty good, that is, the transport process a little tongue stick up</v>
      </c>
    </row>
    <row r="7354">
      <c r="A7354" s="1">
        <v>5.0</v>
      </c>
      <c r="B7354" s="1" t="s">
        <v>7313</v>
      </c>
      <c r="C7354" t="str">
        <f>IFERROR(__xludf.DUMMYFUNCTION("GOOGLETRANSLATE(B7354, ""zh"", ""en"")"),"Compare believe WMF WMF stainless steel products more likely to trust products, the appearance is also very good, is not large spoon, spoon had to buy bigger, the size of the label is to see how much is difficult to grasp, hoping the Amazon sales in China"&amp;", there are marked manner relatively true concept, because it is imported, according to Amazon's return policy, not a quality problem, return the cost is very high, and to the buyers themselves, such as commodity price is not expensive, even more than the"&amp;" return shipping the price of the goods, the buyer will be a dilemma, but also influence the purchase")</f>
        <v>Compare believe WMF WMF stainless steel products more likely to trust products, the appearance is also very good, is not large spoon, spoon had to buy bigger, the size of the label is to see how much is difficult to grasp, hoping the Amazon sales in China, there are marked manner relatively true concept, because it is imported, according to Amazon's return policy, not a quality problem, return the cost is very high, and to the buyers themselves, such as commodity price is not expensive, even more than the return shipping the price of the goods, the buyer will be a dilemma, but also influence the purchase</v>
      </c>
    </row>
    <row r="7355">
      <c r="A7355" s="1">
        <v>5.0</v>
      </c>
      <c r="B7355" s="1" t="s">
        <v>7314</v>
      </c>
      <c r="C7355" t="str">
        <f>IFERROR(__xludf.DUMMYFUNCTION("GOOGLETRANSLATE(B7355, ""zh"", ""en"")"),"Shoes yardage just good, cost-effective than the store")</f>
        <v>Shoes yardage just good, cost-effective than the store</v>
      </c>
    </row>
    <row r="7356">
      <c r="A7356" s="1">
        <v>5.0</v>
      </c>
      <c r="B7356" s="1" t="s">
        <v>7315</v>
      </c>
      <c r="C7356" t="str">
        <f>IFERROR(__xludf.DUMMYFUNCTION("GOOGLETRANSLATE(B7356, ""zh"", ""en"")"),"Pen steady low-key moderate severity, thickness hands together, the center of gravity close to the nib. Two standard ink bag, the ink is not. Fortunately, the domestic horse store has free shipping. European and American gold pen and write a slightly diff"&amp;"erent sense.")</f>
        <v>Pen steady low-key moderate severity, thickness hands together, the center of gravity close to the nib. Two standard ink bag, the ink is not. Fortunately, the domestic horse store has free shipping. European and American gold pen and write a slightly different sense.</v>
      </c>
    </row>
    <row r="7357">
      <c r="A7357" s="1">
        <v>5.0</v>
      </c>
      <c r="B7357" s="1" t="s">
        <v>7316</v>
      </c>
      <c r="C7357" t="str">
        <f>IFERROR(__xludf.DUMMYFUNCTION("GOOGLETRANSLATE(B7357, ""zh"", ""en"")"),"Too much is too large, should buy L code, the bottom is white with the word, good looking, also good to wear loose points alone, 177/78, too")</f>
        <v>Too much is too large, should buy L code, the bottom is white with the word, good looking, also good to wear loose points alone, 177/78, too</v>
      </c>
    </row>
    <row r="7358">
      <c r="A7358" s="1">
        <v>5.0</v>
      </c>
      <c r="B7358" s="1" t="s">
        <v>7317</v>
      </c>
      <c r="C7358" t="str">
        <f>IFERROR(__xludf.DUMMYFUNCTION("GOOGLETRANSLATE(B7358, ""zh"", ""en"")"),"Although the steel tip, but very soft shells, writing experience is also very good, ink by 4001, thickness just right, calligraphy household gear are five hundred yuan devaluation, although it is steel tip, but very soft shells, writing experience is also"&amp;" very good, ink by 4001, thickness just right, calligraphy household are five hundred yuan devaluation profile bar")</f>
        <v>Although the steel tip, but very soft shells, writing experience is also very good, ink by 4001, thickness just right, calligraphy household gear are five hundred yuan devaluation, although it is steel tip, but very soft shells, writing experience is also very good, ink by 4001, thickness just right, calligraphy household are five hundred yuan devaluation profile bar</v>
      </c>
    </row>
    <row r="7359">
      <c r="A7359" s="1">
        <v>5.0</v>
      </c>
      <c r="B7359" s="1" t="s">
        <v>7318</v>
      </c>
      <c r="C7359" t="str">
        <f>IFERROR(__xludf.DUMMYFUNCTION("GOOGLETRANSLATE(B7359, ""zh"", ""en"")"),"Timberland boots and shoes are very comfortable with the evaluation, the right size, because the size is not familiar with, customer service is very enthusiastic answer, according to the size of customer orders, the size of very, very appropriate. awesome"&amp;".")</f>
        <v>Timberland boots and shoes are very comfortable with the evaluation, the right size, because the size is not familiar with, customer service is very enthusiastic answer, according to the size of customer orders, the size of very, very appropriate. awesome.</v>
      </c>
    </row>
    <row r="7360">
      <c r="A7360" s="1">
        <v>5.0</v>
      </c>
      <c r="B7360" s="1" t="s">
        <v>7319</v>
      </c>
      <c r="C7360" t="str">
        <f>IFERROR(__xludf.DUMMYFUNCTION("GOOGLETRANSLATE(B7360, ""zh"", ""en"")"),"Cheap cost-effective, but also a lot cheaper, Amazon localization is poor, poor shopping experience, Jingdong than a few poor grades, perhaps it is the pride of the Americans, something pretty good, worthy of recognition.")</f>
        <v>Cheap cost-effective, but also a lot cheaper, Amazon localization is poor, poor shopping experience, Jingdong than a few poor grades, perhaps it is the pride of the Americans, something pretty good, worthy of recognition.</v>
      </c>
    </row>
    <row r="7361">
      <c r="A7361" s="1">
        <v>5.0</v>
      </c>
      <c r="B7361" s="1" t="s">
        <v>7320</v>
      </c>
      <c r="C7361" t="str">
        <f>IFERROR(__xludf.DUMMYFUNCTION("GOOGLETRANSLATE(B7361, ""zh"", ""en"")"),"Girl with the first two days, just the right to buy a first try, well, like daughter")</f>
        <v>Girl with the first two days, just the right to buy a first try, well, like daughter</v>
      </c>
    </row>
    <row r="7362">
      <c r="A7362" s="1">
        <v>5.0</v>
      </c>
      <c r="B7362" s="1" t="s">
        <v>7321</v>
      </c>
      <c r="C7362" t="str">
        <f>IFERROR(__xludf.DUMMYFUNCTION("GOOGLETRANSLATE(B7362, ""zh"", ""en"")"),"Why bother to have a title ... classic small box, very good to see the highlighted character. Wearing thin wrist is not great, praise")</f>
        <v>Why bother to have a title ... classic small box, very good to see the highlighted character. Wearing thin wrist is not great, praise</v>
      </c>
    </row>
    <row r="7363">
      <c r="A7363" s="1">
        <v>5.0</v>
      </c>
      <c r="B7363" s="1" t="s">
        <v>7322</v>
      </c>
      <c r="C7363" t="str">
        <f>IFERROR(__xludf.DUMMYFUNCTION("GOOGLETRANSLATE(B7363, ""zh"", ""en"")"),"Perfect to buy men s code, 160cm 45kg, wear very loose, thin. Always loved champion of simple T, out!")</f>
        <v>Perfect to buy men s code, 160cm 45kg, wear very loose, thin. Always loved champion of simple T, out!</v>
      </c>
    </row>
    <row r="7364">
      <c r="A7364" s="1">
        <v>5.0</v>
      </c>
      <c r="B7364" s="1" t="s">
        <v>7323</v>
      </c>
      <c r="C7364" t="str">
        <f>IFERROR(__xludf.DUMMYFUNCTION("GOOGLETRANSLATE(B7364, ""zh"", ""en"")"),"Good bottle good, oh, that is, for the bottle she did not like. No taste, direct mail about twenty days or so to")</f>
        <v>Good bottle good, oh, that is, for the bottle she did not like. No taste, direct mail about twenty days or so to</v>
      </c>
    </row>
    <row r="7365">
      <c r="A7365" s="1">
        <v>5.0</v>
      </c>
      <c r="B7365" s="1" t="s">
        <v>7324</v>
      </c>
      <c r="C7365" t="str">
        <f>IFERROR(__xludf.DUMMYFUNCTION("GOOGLETRANSLATE(B7365, ""zh"", ""en"")"),"It is undoubtedly genuine love, is not gold-plated pen gold pen, above 18k-750 written very clearly, there are ink absorber, great.")</f>
        <v>It is undoubtedly genuine love, is not gold-plated pen gold pen, above 18k-750 written very clearly, there are ink absorber, great.</v>
      </c>
    </row>
    <row r="7366">
      <c r="A7366" s="1">
        <v>5.0</v>
      </c>
      <c r="B7366" s="1" t="s">
        <v>7325</v>
      </c>
      <c r="C7366" t="str">
        <f>IFERROR(__xludf.DUMMYFUNCTION("GOOGLETRANSLATE(B7366, ""zh"", ""en"")"),"Bangladesh origin is good, than the South American more detailed work, very suitable length, L 188/86 number for people, slightly larger than the overall point M may be more appropriate")</f>
        <v>Bangladesh origin is good, than the South American more detailed work, very suitable length, L 188/86 number for people, slightly larger than the overall point M may be more appropriate</v>
      </c>
    </row>
    <row r="7367">
      <c r="A7367" s="1">
        <v>5.0</v>
      </c>
      <c r="B7367" s="1" t="s">
        <v>300</v>
      </c>
      <c r="C7367" t="str">
        <f>IFERROR(__xludf.DUMMYFUNCTION("GOOGLETRANSLATE(B7367, ""zh"", ""en"")"),"Wacoal postpartum cummerbund (long section) feel quite useless, and the homework is next only to buy this, very good, to adhere, at least eight hours a day for it")</f>
        <v>Wacoal postpartum cummerbund (long section) feel quite useless, and the homework is next only to buy this, very good, to adhere, at least eight hours a day for it</v>
      </c>
    </row>
    <row r="7368">
      <c r="A7368" s="1">
        <v>5.0</v>
      </c>
      <c r="B7368" s="1" t="s">
        <v>7326</v>
      </c>
      <c r="C7368" t="str">
        <f>IFERROR(__xludf.DUMMYFUNCTION("GOOGLETRANSLATE(B7368, ""zh"", ""en"")"),"Trumpet of change do I buy m number in transit, trumpet and I can change.")</f>
        <v>Trumpet of change do I buy m number in transit, trumpet and I can change.</v>
      </c>
    </row>
    <row r="7369">
      <c r="A7369" s="1">
        <v>5.0</v>
      </c>
      <c r="B7369" s="1" t="s">
        <v>7327</v>
      </c>
      <c r="C7369" t="str">
        <f>IFERROR(__xludf.DUMMYFUNCTION("GOOGLETRANSLATE(B7369, ""zh"", ""en"")"),"Recommended easy to use. Really out of the dirt")</f>
        <v>Recommended easy to use. Really out of the dirt</v>
      </c>
    </row>
    <row r="7370">
      <c r="A7370" s="1">
        <v>5.0</v>
      </c>
      <c r="B7370" s="1" t="s">
        <v>7328</v>
      </c>
      <c r="C7370" t="str">
        <f>IFERROR(__xludf.DUMMYFUNCTION("GOOGLETRANSLATE(B7370, ""zh"", ""en"")"),"Price concessions sea Amoy price too much, than our flagship store purchasing or save a lot, with a feeling okay, that might affect a child into the basin, and then right after birth, etc.")</f>
        <v>Price concessions sea Amoy price too much, than our flagship store purchasing or save a lot, with a feeling okay, that might affect a child into the basin, and then right after birth, etc.</v>
      </c>
    </row>
    <row r="7371">
      <c r="A7371" s="1">
        <v>2.0</v>
      </c>
      <c r="B7371" s="1" t="s">
        <v>7329</v>
      </c>
      <c r="C7371" t="str">
        <f>IFERROR(__xludf.DUMMYFUNCTION("GOOGLETRANSLATE(B7371, ""zh"", ""en"")"),"Figure inconsistent with the goods. Figure inconsistent with the goods, take the lead in feeling than this one looks more like a bargain on the map")</f>
        <v>Figure inconsistent with the goods. Figure inconsistent with the goods, take the lead in feeling than this one looks more like a bargain on the map</v>
      </c>
    </row>
    <row r="7372">
      <c r="A7372" s="1">
        <v>3.0</v>
      </c>
      <c r="B7372" s="1" t="s">
        <v>7330</v>
      </c>
      <c r="C7372" t="str">
        <f>IFERROR(__xludf.DUMMYFUNCTION("GOOGLETRANSLATE(B7372, ""zh"", ""en"")"),"General General !!!!!!!!!!!!!!!! faster than the speed of drainage first wife, arguing no effect, just want to pull the same")</f>
        <v>General General !!!!!!!!!!!!!!!! faster than the speed of drainage first wife, arguing no effect, just want to pull the same</v>
      </c>
    </row>
    <row r="7373">
      <c r="A7373" s="1">
        <v>3.0</v>
      </c>
      <c r="B7373" s="1" t="s">
        <v>7331</v>
      </c>
      <c r="C7373" t="str">
        <f>IFERROR(__xludf.DUMMYFUNCTION("GOOGLETRANSLATE(B7373, ""zh"", ""en"")"),"Completely different being a little thin fabric is not the kind of thick")</f>
        <v>Completely different being a little thin fabric is not the kind of thick</v>
      </c>
    </row>
    <row r="7374">
      <c r="A7374" s="1">
        <v>3.0</v>
      </c>
      <c r="B7374" s="1" t="s">
        <v>7332</v>
      </c>
      <c r="C7374" t="str">
        <f>IFERROR(__xludf.DUMMYFUNCTION("GOOGLETRANSLATE(B7374, ""zh"", ""en"")"),"Note the size when buying did not see reviews before you buy, pants too big, because the returns are higher than the prices of goods were not returned.")</f>
        <v>Note the size when buying did not see reviews before you buy, pants too big, because the returns are higher than the prices of goods were not returned.</v>
      </c>
    </row>
    <row r="7375">
      <c r="A7375" s="1">
        <v>1.0</v>
      </c>
      <c r="B7375" s="1" t="s">
        <v>7333</v>
      </c>
      <c r="C7375" t="str">
        <f>IFERROR(__xludf.DUMMYFUNCTION("GOOGLETRANSLATE(B7375, ""zh"", ""en"")"),"Fade is not recommended to buy the black. Fade serious")</f>
        <v>Fade is not recommended to buy the black. Fade serious</v>
      </c>
    </row>
    <row r="7376">
      <c r="A7376" s="1">
        <v>1.0</v>
      </c>
      <c r="B7376" s="1" t="s">
        <v>7334</v>
      </c>
      <c r="C7376" t="str">
        <f>IFERROR(__xludf.DUMMYFUNCTION("GOOGLETRANSLATE(B7376, ""zh"", ""en"")"),"Working poor did not experience the spirit of artisans, poor workmanship throughout, was sealed scratched during installation.")</f>
        <v>Working poor did not experience the spirit of artisans, poor workmanship throughout, was sealed scratched during installation.</v>
      </c>
    </row>
    <row r="7377">
      <c r="A7377" s="1">
        <v>1.0</v>
      </c>
      <c r="B7377" s="1" t="s">
        <v>7335</v>
      </c>
      <c r="C7377" t="str">
        <f>IFERROR(__xludf.DUMMYFUNCTION("GOOGLETRANSLATE(B7377, ""zh"", ""en"")"),"How for a small size is too large one yards")</f>
        <v>How for a small size is too large one yards</v>
      </c>
    </row>
    <row r="7378">
      <c r="A7378" s="1">
        <v>4.0</v>
      </c>
      <c r="B7378" s="1" t="s">
        <v>7336</v>
      </c>
      <c r="C7378" t="str">
        <f>IFERROR(__xludf.DUMMYFUNCTION("GOOGLETRANSLATE(B7378, ""zh"", ""en"")"),"Casio watch good quality good ah ah ~ no previous comments as easily scratch the surface, travel time is very accurate, what I play, violent shaking is also no problem, but only a month, I do not know what will happen in the future is worth mentioning ~ t"&amp;"hat table really light ~")</f>
        <v>Casio watch good quality good ah ah ~ no previous comments as easily scratch the surface, travel time is very accurate, what I play, violent shaking is also no problem, but only a month, I do not know what will happen in the future is worth mentioning ~ that table really light ~</v>
      </c>
    </row>
    <row r="7379">
      <c r="A7379" s="1">
        <v>4.0</v>
      </c>
      <c r="B7379" s="1" t="s">
        <v>7337</v>
      </c>
      <c r="C7379" t="str">
        <f>IFERROR(__xludf.DUMMYFUNCTION("GOOGLETRANSLATE(B7379, ""zh"", ""en"")"),"Fortunately, the number of code symbols m through 180 was almost too large a little feel very transparent pants! Nene is recommended not too bright (laughs)")</f>
        <v>Fortunately, the number of code symbols m through 180 was almost too large a little feel very transparent pants! Nene is recommended not too bright (laughs)</v>
      </c>
    </row>
    <row r="7380">
      <c r="A7380" s="1">
        <v>4.0</v>
      </c>
      <c r="B7380" s="1" t="s">
        <v>5473</v>
      </c>
      <c r="C7380" t="str">
        <f>IFERROR(__xludf.DUMMYFUNCTION("GOOGLETRANSLATE(B7380, ""zh"", ""en"")"),"Size allowed more fat because I bought this pair of jeans, but wear clothing with loose pants, the way to the Amazon the size is not very accurate, but what version are also very good plus replacement trouble on the left , it is recommended to buy a littl"&amp;"e small.")</f>
        <v>Size allowed more fat because I bought this pair of jeans, but wear clothing with loose pants, the way to the Amazon the size is not very accurate, but what version are also very good plus replacement trouble on the left , it is recommended to buy a little small.</v>
      </c>
    </row>
    <row r="7381">
      <c r="A7381" s="1">
        <v>4.0</v>
      </c>
      <c r="B7381" s="1" t="s">
        <v>7338</v>
      </c>
      <c r="C7381" t="str">
        <f>IFERROR(__xludf.DUMMYFUNCTION("GOOGLETRANSLATE(B7381, ""zh"", ""en"")"),"Small and functional. Gifts for her daughter, very satisfied.")</f>
        <v>Small and functional. Gifts for her daughter, very satisfied.</v>
      </c>
    </row>
    <row r="7382">
      <c r="A7382" s="1">
        <v>5.0</v>
      </c>
      <c r="B7382" s="1" t="s">
        <v>7339</v>
      </c>
      <c r="C7382" t="str">
        <f>IFERROR(__xludf.DUMMYFUNCTION("GOOGLETRANSLATE(B7382, ""zh"", ""en"")"),"Overall satisfaction on or recommendation overall is satisfactory recommend buying a few small problems is a bright lift wrist watch less sensitive sometimes have to lift several times there is a widespread problem at the screen for a specific tone angle "&amp;"often see accustomed also good")</f>
        <v>Overall satisfaction on or recommendation overall is satisfactory recommend buying a few small problems is a bright lift wrist watch less sensitive sometimes have to lift several times there is a widespread problem at the screen for a specific tone angle often see accustomed also good</v>
      </c>
    </row>
    <row r="7383">
      <c r="A7383" s="1">
        <v>5.0</v>
      </c>
      <c r="B7383" s="1" t="s">
        <v>7340</v>
      </c>
      <c r="C7383" t="str">
        <f>IFERROR(__xludf.DUMMYFUNCTION("GOOGLETRANSLATE(B7383, ""zh"", ""en"")"),"Good cheap, and the like or, more suitable for personal wear")</f>
        <v>Good cheap, and the like or, more suitable for personal wear</v>
      </c>
    </row>
    <row r="7384">
      <c r="A7384" s="1">
        <v>5.0</v>
      </c>
      <c r="B7384" s="1" t="s">
        <v>7341</v>
      </c>
      <c r="C7384" t="str">
        <f>IFERROR(__xludf.DUMMYFUNCTION("GOOGLETRANSLATE(B7384, ""zh"", ""en"")"),"Anti-winding worth buying is really very easy to use! Well-designed, but something new is not perfect, a slight bump, a little disappointed.")</f>
        <v>Anti-winding worth buying is really very easy to use! Well-designed, but something new is not perfect, a slight bump, a little disappointed.</v>
      </c>
    </row>
    <row r="7385">
      <c r="A7385" s="1">
        <v>5.0</v>
      </c>
      <c r="B7385" s="1" t="s">
        <v>7342</v>
      </c>
      <c r="C7385" t="str">
        <f>IFERROR(__xludf.DUMMYFUNCTION("GOOGLETRANSLATE(B7385, ""zh"", ""en"")"),"Cost-effective wide section belts belong to, this is good, better than most belt width, comfortable, easy to Alice drawback is that the end of the belt, pants belt to buy 36 of the 38 basic fit, wearing a while and found not much deformity, cost-effective"&amp;" products.")</f>
        <v>Cost-effective wide section belts belong to, this is good, better than most belt width, comfortable, easy to Alice drawback is that the end of the belt, pants belt to buy 36 of the 38 basic fit, wearing a while and found not much deformity, cost-effective products.</v>
      </c>
    </row>
    <row r="7386">
      <c r="A7386" s="1">
        <v>5.0</v>
      </c>
      <c r="B7386" s="1" t="s">
        <v>7343</v>
      </c>
      <c r="C7386" t="str">
        <f>IFERROR(__xludf.DUMMYFUNCTION("GOOGLETRANSLATE(B7386, ""zh"", ""en"")"),"No word is no good, then that is good")</f>
        <v>No word is no good, then that is good</v>
      </c>
    </row>
    <row r="7387">
      <c r="A7387" s="1">
        <v>5.0</v>
      </c>
      <c r="B7387" s="1" t="s">
        <v>7344</v>
      </c>
      <c r="C7387" t="str">
        <f>IFERROR(__xludf.DUMMYFUNCTION("GOOGLETRANSLATE(B7387, ""zh"", ""en"")"),"Pretty easy to use and inexpensive. Very beautiful.")</f>
        <v>Pretty easy to use and inexpensive. Very beautiful.</v>
      </c>
    </row>
    <row r="7388">
      <c r="A7388" s="1">
        <v>5.0</v>
      </c>
      <c r="B7388" s="1" t="s">
        <v>7345</v>
      </c>
      <c r="C7388" t="str">
        <f>IFERROR(__xludf.DUMMYFUNCTION("GOOGLETRANSLATE(B7388, ""zh"", ""en"")"),"A good thing after a long wait, finally arrived, about ten days, more than half of the United States and Asia more than a week, 63.5 kg, 170 upper body slim tight to wear No. S, M No. wear very close, but feeling a lot worse compression")</f>
        <v>A good thing after a long wait, finally arrived, about ten days, more than half of the United States and Asia more than a week, 63.5 kg, 170 upper body slim tight to wear No. S, M No. wear very close, but feeling a lot worse compression</v>
      </c>
    </row>
    <row r="7389">
      <c r="A7389" s="1">
        <v>5.0</v>
      </c>
      <c r="B7389" s="1" t="s">
        <v>7346</v>
      </c>
      <c r="C7389" t="str">
        <f>IFERROR(__xludf.DUMMYFUNCTION("GOOGLETRANSLATE(B7389, ""zh"", ""en"")"),"Quite satisfied with the shopping reference comment, went to the official website to find the size, choose the right size, work can be thinner for spring.")</f>
        <v>Quite satisfied with the shopping reference comment, went to the official website to find the size, choose the right size, work can be thinner for spring.</v>
      </c>
    </row>
    <row r="7390">
      <c r="A7390" s="1">
        <v>5.0</v>
      </c>
      <c r="B7390" s="1" t="s">
        <v>7347</v>
      </c>
      <c r="C7390" t="str">
        <f>IFERROR(__xludf.DUMMYFUNCTION("GOOGLETRANSLATE(B7390, ""zh"", ""en"")"),"Satisfied feeling good, that is a three fight exactly the same, a little disappointed, others are good, I just 179cm 93kg XL")</f>
        <v>Satisfied feeling good, that is a three fight exactly the same, a little disappointed, others are good, I just 179cm 93kg XL</v>
      </c>
    </row>
    <row r="7391">
      <c r="A7391" s="1">
        <v>5.0</v>
      </c>
      <c r="B7391" s="1" t="s">
        <v>7348</v>
      </c>
      <c r="C7391" t="str">
        <f>IFERROR(__xludf.DUMMYFUNCTION("GOOGLETRANSLATE(B7391, ""zh"", ""en"")"),"Value! I bought the day before in a non-cat flagship store (but it is also linked to the Philips name), came back the whole oral toothbrush brush rotten, and each electricity supplier in the country to buy a toothbrush head and a toothbrush are not very f"&amp;"it. The sea in the Amazon Amoy back of the brush head and a toothbrush can be a good fit, compared to many domestic cheaper.")</f>
        <v>Value! I bought the day before in a non-cat flagship store (but it is also linked to the Philips name), came back the whole oral toothbrush brush rotten, and each electricity supplier in the country to buy a toothbrush head and a toothbrush are not very fit. The sea in the Amazon Amoy back of the brush head and a toothbrush can be a good fit, compared to many domestic cheaper.</v>
      </c>
    </row>
    <row r="7392">
      <c r="A7392" s="1">
        <v>5.0</v>
      </c>
      <c r="B7392" s="1" t="s">
        <v>7349</v>
      </c>
      <c r="C7392" t="str">
        <f>IFERROR(__xludf.DUMMYFUNCTION("GOOGLETRANSLATE(B7392, ""zh"", ""en"")"),"Superb sweater, beautiful exquisite quality super good, meticulous workmanship, packaging is also good, super fit, I am 116 pounds wearing a very appropriate L")</f>
        <v>Superb sweater, beautiful exquisite quality super good, meticulous workmanship, packaging is also good, super fit, I am 116 pounds wearing a very appropriate L</v>
      </c>
    </row>
    <row r="7393">
      <c r="A7393" s="1">
        <v>5.0</v>
      </c>
      <c r="B7393" s="1" t="s">
        <v>7350</v>
      </c>
      <c r="C7393" t="str">
        <f>IFERROR(__xludf.DUMMYFUNCTION("GOOGLETRANSLATE(B7393, ""zh"", ""en"")"),"Waterman pen SIM small slit is not very positive, writing into the water smooth, the basic price in accordance with the exchange rate has been changed, still in the trial, no ink pen, should be the new, square pen grip feel special, do not know a long tim"&amp;"e will will not put hand, there is no paper hanging and flying white")</f>
        <v>Waterman pen SIM small slit is not very positive, writing into the water smooth, the basic price in accordance with the exchange rate has been changed, still in the trial, no ink pen, should be the new, square pen grip feel special, do not know a long time will will not put hand, there is no paper hanging and flying white</v>
      </c>
    </row>
    <row r="7394">
      <c r="A7394" s="1">
        <v>5.0</v>
      </c>
      <c r="B7394" s="1" t="s">
        <v>7351</v>
      </c>
      <c r="C7394" t="str">
        <f>IFERROR(__xludf.DUMMYFUNCTION("GOOGLETRANSLATE(B7394, ""zh"", ""en"")"),"Buy goods not worry, you can guarantee the real thing, that is, less merchandise on the page. Shoes put a good shopping experience very satisfied I wanted to buy a large goose expedition series service platform of choice, but you let me down too seized al"&amp;"l the big goose down jacket so disappointed that only three had to go to the Jingdong bought a series of expedition Down do not know my shopping experience can not be the starting point of action.")</f>
        <v>Buy goods not worry, you can guarantee the real thing, that is, less merchandise on the page. Shoes put a good shopping experience very satisfied I wanted to buy a large goose expedition series service platform of choice, but you let me down too seized all the big goose down jacket so disappointed that only three had to go to the Jingdong bought a series of expedition Down do not know my shopping experience can not be the starting point of action.</v>
      </c>
    </row>
    <row r="7395">
      <c r="A7395" s="1">
        <v>5.0</v>
      </c>
      <c r="B7395" s="1" t="s">
        <v>7352</v>
      </c>
      <c r="C7395" t="str">
        <f>IFERROR(__xludf.DUMMYFUNCTION("GOOGLETRANSLATE(B7395, ""zh"", ""en"")"),"CK very good in a very nice family, buy a normal waist circumference Yes, 84CM waist for wear M, CK underwear span of a little big waist, wearing No. L a little loose, wear M and a little tight, but still appropriate number M after all, behind the elastic"&amp;" band will loose")</f>
        <v>CK very good in a very nice family, buy a normal waist circumference Yes, 84CM waist for wear M, CK underwear span of a little big waist, wearing No. L a little loose, wear M and a little tight, but still appropriate number M after all, behind the elastic band will loose</v>
      </c>
    </row>
    <row r="7396">
      <c r="A7396" s="1">
        <v>5.0</v>
      </c>
      <c r="B7396" s="1" t="s">
        <v>7353</v>
      </c>
      <c r="C7396" t="str">
        <f>IFERROR(__xludf.DUMMYFUNCTION("GOOGLETRANSLATE(B7396, ""zh"", ""en"")"),"Fast, easy to use new products, has been set up, connected to the computer can use, speed can transfer video files on between 80-120, very good, the space is large enough, it worries about the next backup photos.")</f>
        <v>Fast, easy to use new products, has been set up, connected to the computer can use, speed can transfer video files on between 80-120, very good, the space is large enough, it worries about the next backup photos.</v>
      </c>
    </row>
    <row r="7397">
      <c r="A7397" s="1">
        <v>5.0</v>
      </c>
      <c r="B7397" s="1" t="s">
        <v>7354</v>
      </c>
      <c r="C7397" t="str">
        <f>IFERROR(__xludf.DUMMYFUNCTION("GOOGLETRANSLATE(B7397, ""zh"", ""en"")"),"Okay good")</f>
        <v>Okay good</v>
      </c>
    </row>
    <row r="7398">
      <c r="A7398" s="1">
        <v>5.0</v>
      </c>
      <c r="B7398" s="1" t="s">
        <v>7355</v>
      </c>
      <c r="C7398" t="str">
        <f>IFERROR(__xludf.DUMMYFUNCTION("GOOGLETRANSLATE(B7398, ""zh"", ""en"")"),"Number for the high cost of clothes, I look at the evaluation and selection number M, a little smaller, but can wear, 173CM72Kg, L number is appropriate.")</f>
        <v>Number for the high cost of clothes, I look at the evaluation and selection number M, a little smaller, but can wear, 173CM72Kg, L number is appropriate.</v>
      </c>
    </row>
    <row r="7399">
      <c r="A7399" s="1">
        <v>5.0</v>
      </c>
      <c r="B7399" s="1" t="s">
        <v>7356</v>
      </c>
      <c r="C7399" t="str">
        <f>IFERROR(__xludf.DUMMYFUNCTION("GOOGLETRANSLATE(B7399, ""zh"", ""en"")"),"Feel good, feel good and smooth water, the water smooth, very easy to use tube feeding ink, ink is also very practical, hold a pen where there is a little bit of small flaws, but does not affect. But the styling is really too moderate a little, until buy "&amp;"LAMY paragraph, Amazon has been out of stock, to buy this, look out Samsung, the rest out!")</f>
        <v>Feel good, feel good and smooth water, the water smooth, very easy to use tube feeding ink, ink is also very practical, hold a pen where there is a little bit of small flaws, but does not affect. But the styling is really too moderate a little, until buy LAMY paragraph, Amazon has been out of stock, to buy this, look out Samsung, the rest out!</v>
      </c>
    </row>
    <row r="7400">
      <c r="A7400" s="1">
        <v>5.0</v>
      </c>
      <c r="B7400" s="1" t="s">
        <v>7357</v>
      </c>
      <c r="C7400" t="str">
        <f>IFERROR(__xludf.DUMMYFUNCTION("GOOGLETRANSLATE(B7400, ""zh"", ""en"")"),"Easy to use inexpensive, durable, good cleaning, steam sterilization without pressure. The only drawback is easy to yellow, do not worry about your baby drink break 0")</f>
        <v>Easy to use inexpensive, durable, good cleaning, steam sterilization without pressure. The only drawback is easy to yellow, do not worry about your baby drink break 0</v>
      </c>
    </row>
    <row r="7401">
      <c r="A7401" s="1">
        <v>5.0</v>
      </c>
      <c r="B7401" s="1" t="s">
        <v>7358</v>
      </c>
      <c r="C7401" t="str">
        <f>IFERROR(__xludf.DUMMYFUNCTION("GOOGLETRANSLATE(B7401, ""zh"", ""en"")"),"Fully functional stuff is still very good, multi-function, home fully adequate, almost all kinds of fancy coffee can. When debugging is installed just arrived for a long time, no Chinese instructions, study and then study, study good news came out.")</f>
        <v>Fully functional stuff is still very good, multi-function, home fully adequate, almost all kinds of fancy coffee can. When debugging is installed just arrived for a long time, no Chinese instructions, study and then study, study good news came out.</v>
      </c>
    </row>
    <row r="7402">
      <c r="A7402" s="1">
        <v>5.0</v>
      </c>
      <c r="B7402" s="1" t="s">
        <v>7359</v>
      </c>
      <c r="C7402" t="str">
        <f>IFERROR(__xludf.DUMMYFUNCTION("GOOGLETRANSLATE(B7402, ""zh"", ""en"")"),"Good quality and good quality, affordable, wearing a handsome, some day re-evaluation")</f>
        <v>Good quality and good quality, affordable, wearing a handsome, some day re-evaluation</v>
      </c>
    </row>
    <row r="7403">
      <c r="A7403" s="1">
        <v>5.0</v>
      </c>
      <c r="B7403" s="1" t="s">
        <v>7360</v>
      </c>
      <c r="C7403" t="str">
        <f>IFERROR(__xludf.DUMMYFUNCTION("GOOGLETRANSLATE(B7403, ""zh"", ""en"")"),"Good shoes! Good quality, high cost, very much!")</f>
        <v>Good shoes! Good quality, high cost, very much!</v>
      </c>
    </row>
    <row r="7404">
      <c r="A7404" s="1">
        <v>2.0</v>
      </c>
      <c r="B7404" s="1" t="s">
        <v>7361</v>
      </c>
      <c r="C7404" t="str">
        <f>IFERROR(__xludf.DUMMYFUNCTION("GOOGLETRANSLATE(B7404, ""zh"", ""en"")"),"Much larger size than a little bigger, 170cm, 58kg, can be worn on the outside jacket, fleece thin, spring and autumn wear")</f>
        <v>Much larger size than a little bigger, 170cm, 58kg, can be worn on the outside jacket, fleece thin, spring and autumn wear</v>
      </c>
    </row>
    <row r="7405">
      <c r="A7405" s="1">
        <v>3.0</v>
      </c>
      <c r="B7405" s="1" t="s">
        <v>7362</v>
      </c>
      <c r="C7405" t="str">
        <f>IFERROR(__xludf.DUMMYFUNCTION("GOOGLETRANSLATE(B7405, ""zh"", ""en"")"),"Heels are worn to buy the right size. But after heel shoes thin and hard place. . . Wear a couple of days have worn the heels. . . Really drunk. I do not know why so much praise. . . Is here and Taobao it as scalping")</f>
        <v>Heels are worn to buy the right size. But after heel shoes thin and hard place. . . Wear a couple of days have worn the heels. . . Really drunk. I do not know why so much praise. . . Is here and Taobao it as scalping</v>
      </c>
    </row>
    <row r="7406">
      <c r="A7406" s="1">
        <v>3.0</v>
      </c>
      <c r="B7406" s="1" t="s">
        <v>7204</v>
      </c>
      <c r="C7406" t="str">
        <f>IFERROR(__xludf.DUMMYFUNCTION("GOOGLETRANSLATE(B7406, ""zh"", ""en"")"),"Notebook may not recognize disk retransmission sent a comment the items purchased before Zaifayici Samsung solid state disk 7mm thin, but does not recognize disk is inserted notebook. But the desktop no problem, the motherboard is Onda DDR3 series. Deskto"&amp;"p performance with the laptop can not, my laptop is DELL Dell insprion, is not an older version of the notebook does not support solid?")</f>
        <v>Notebook may not recognize disk retransmission sent a comment the items purchased before Zaifayici Samsung solid state disk 7mm thin, but does not recognize disk is inserted notebook. But the desktop no problem, the motherboard is Onda DDR3 series. Desktop performance with the laptop can not, my laptop is DELL Dell insprion, is not an older version of the notebook does not support solid?</v>
      </c>
    </row>
    <row r="7407">
      <c r="A7407" s="1">
        <v>3.0</v>
      </c>
      <c r="B7407" s="1" t="s">
        <v>7363</v>
      </c>
      <c r="C7407" t="str">
        <f>IFERROR(__xludf.DUMMYFUNCTION("GOOGLETRANSLATE(B7407, ""zh"", ""en"")"),"Pants pants ingredient labeling inaccurate version comfortable for tall strong man. But not cotton")</f>
        <v>Pants pants ingredient labeling inaccurate version comfortable for tall strong man. But not cotton</v>
      </c>
    </row>
    <row r="7408">
      <c r="A7408" s="1">
        <v>1.0</v>
      </c>
      <c r="B7408" s="1" t="s">
        <v>7364</v>
      </c>
      <c r="C7408" t="str">
        <f>IFERROR(__xludf.DUMMYFUNCTION("GOOGLETRANSLATE(B7408, ""zh"", ""en"")"),"Logistics is too slow and inconsistent orders. The pen does not match the exterior color.")</f>
        <v>Logistics is too slow and inconsistent orders. The pen does not match the exterior color.</v>
      </c>
    </row>
    <row r="7409">
      <c r="A7409" s="1">
        <v>1.0</v>
      </c>
      <c r="B7409" s="1" t="s">
        <v>7365</v>
      </c>
      <c r="C7409" t="str">
        <f>IFERROR(__xludf.DUMMYFUNCTION("GOOGLETRANSLATE(B7409, ""zh"", ""en"")"),"Poor quality is not good new clothes washed four times has also been the dregs fade, the fabric in general")</f>
        <v>Poor quality is not good new clothes washed four times has also been the dregs fade, the fabric in general</v>
      </c>
    </row>
    <row r="7410">
      <c r="A7410" s="1">
        <v>4.0</v>
      </c>
      <c r="B7410" s="1" t="s">
        <v>7366</v>
      </c>
      <c r="C7410" t="str">
        <f>IFERROR(__xludf.DUMMYFUNCTION("GOOGLETRANSLATE(B7410, ""zh"", ""en"")"),"Fortunately, see comment 180 buy m code, a little bit small, l code just fine, pay close attention to lose weight now. Cloth very thick, to buy a brand, nor what bike")</f>
        <v>Fortunately, see comment 180 buy m code, a little bit small, l code just fine, pay close attention to lose weight now. Cloth very thick, to buy a brand, nor what bike</v>
      </c>
    </row>
    <row r="7411">
      <c r="A7411" s="1">
        <v>4.0</v>
      </c>
      <c r="B7411" s="1" t="s">
        <v>7367</v>
      </c>
      <c r="C7411" t="str">
        <f>IFERROR(__xludf.DUMMYFUNCTION("GOOGLETRANSLATE(B7411, ""zh"", ""en"")"),"Still a little slag, slag or a little overall good, overall good")</f>
        <v>Still a little slag, slag or a little overall good, overall good</v>
      </c>
    </row>
    <row r="7412">
      <c r="A7412" s="1">
        <v>4.0</v>
      </c>
      <c r="B7412" s="1" t="s">
        <v>7368</v>
      </c>
      <c r="C7412" t="str">
        <f>IFERROR(__xludf.DUMMYFUNCTION("GOOGLETRANSLATE(B7412, ""zh"", ""en"")"),"2.4 liters pot Oh No pot is 2.4 liters parents in large numbers also are used to all of a sudden do not adapt. Orders the next day rise in price ......")</f>
        <v>2.4 liters pot Oh No pot is 2.4 liters parents in large numbers also are used to all of a sudden do not adapt. Orders the next day rise in price ......</v>
      </c>
    </row>
    <row r="7413">
      <c r="A7413" s="1">
        <v>4.0</v>
      </c>
      <c r="B7413" s="1" t="s">
        <v>7369</v>
      </c>
      <c r="C7413" t="str">
        <f>IFERROR(__xludf.DUMMYFUNCTION("GOOGLETRANSLATE(B7413, ""zh"", ""en"")"),"Slightly shorter than 168cm wear will feel a little short, but do not select the page size of the place, it is recommended to improve")</f>
        <v>Slightly shorter than 168cm wear will feel a little short, but do not select the page size of the place, it is recommended to improve</v>
      </c>
    </row>
    <row r="7414">
      <c r="A7414" s="1">
        <v>4.0</v>
      </c>
      <c r="B7414" s="1" t="s">
        <v>7370</v>
      </c>
      <c r="C7414" t="str">
        <f>IFERROR(__xludf.DUMMYFUNCTION("GOOGLETRANSLATE(B7414, ""zh"", ""en"")"),"👟 then look quite like the color white shoes than the picture but the taste is relatively large mass can it hope")</f>
        <v>👟 then look quite like the color white shoes than the picture but the taste is relatively large mass can it hope</v>
      </c>
    </row>
    <row r="7415">
      <c r="A7415" s="1">
        <v>5.0</v>
      </c>
      <c r="B7415" s="1" t="s">
        <v>7371</v>
      </c>
      <c r="C7415" t="str">
        <f>IFERROR(__xludf.DUMMYFUNCTION("GOOGLETRANSLATE(B7415, ""zh"", ""en"")"),"Good insulation effect good for the baby with")</f>
        <v>Good insulation effect good for the baby with</v>
      </c>
    </row>
    <row r="7416">
      <c r="A7416" s="1">
        <v>5.0</v>
      </c>
      <c r="B7416" s="1" t="s">
        <v>7372</v>
      </c>
      <c r="C7416" t="str">
        <f>IFERROR(__xludf.DUMMYFUNCTION("GOOGLETRANSLATE(B7416, ""zh"", ""en"")"),"Recommend purchase! I am 174cm, 64kg, buy the size is 30Wx30L, upper body is very appropriate. Sea Amoy pants size Basics: 1, Unit Americans are using inches, so multiplied by 2.54 converted into cm; 2, W refers to the waist, L refers to the length of pan"&amp;"ts, to note here is that Americans of long pants L refers to the crotch trousers to the length, not the length of the whole pants!")</f>
        <v>Recommend purchase! I am 174cm, 64kg, buy the size is 30Wx30L, upper body is very appropriate. Sea Amoy pants size Basics: 1, Unit Americans are using inches, so multiplied by 2.54 converted into cm; 2, W refers to the waist, L refers to the length of pants, to note here is that Americans of long pants L refers to the crotch trousers to the length, not the length of the whole pants!</v>
      </c>
    </row>
    <row r="7417">
      <c r="A7417" s="1">
        <v>5.0</v>
      </c>
      <c r="B7417" s="1" t="s">
        <v>7373</v>
      </c>
      <c r="C7417" t="str">
        <f>IFERROR(__xludf.DUMMYFUNCTION("GOOGLETRANSLATE(B7417, ""zh"", ""en"")"),"Value for money used for some time, as it does express, light, dry, hard material but not to hurt the knife, and elastic.")</f>
        <v>Value for money used for some time, as it does express, light, dry, hard material but not to hurt the knife, and elastic.</v>
      </c>
    </row>
    <row r="7418">
      <c r="A7418" s="1">
        <v>5.0</v>
      </c>
      <c r="B7418" s="1" t="s">
        <v>7374</v>
      </c>
      <c r="C7418" t="str">
        <f>IFERROR(__xludf.DUMMYFUNCTION("GOOGLETRANSLATE(B7418, ""zh"", ""en"")"),"Pretty nice round fat man has received a little bit of fat round taste, there is no good at sterilization regret not into a baby do not want to reject it")</f>
        <v>Pretty nice round fat man has received a little bit of fat round taste, there is no good at sterilization regret not into a baby do not want to reject it</v>
      </c>
    </row>
    <row r="7419">
      <c r="A7419" s="1">
        <v>5.0</v>
      </c>
      <c r="B7419" s="1" t="s">
        <v>7375</v>
      </c>
      <c r="C7419" t="str">
        <f>IFERROR(__xludf.DUMMYFUNCTION("GOOGLETRANSLATE(B7419, ""zh"", ""en"")"),"Worth buying more than a year, the daily loading water use, very insulation")</f>
        <v>Worth buying more than a year, the daily loading water use, very insulation</v>
      </c>
    </row>
    <row r="7420">
      <c r="A7420" s="1">
        <v>5.0</v>
      </c>
      <c r="B7420" s="1" t="s">
        <v>7376</v>
      </c>
      <c r="C7420" t="str">
        <f>IFERROR(__xludf.DUMMYFUNCTION("GOOGLETRANSLATE(B7420, ""zh"", ""en"")"),"Good color and picture a little bit of color, colleagues say nice ~ good with")</f>
        <v>Good color and picture a little bit of color, colleagues say nice ~ good with</v>
      </c>
    </row>
    <row r="7421">
      <c r="A7421" s="1">
        <v>5.0</v>
      </c>
      <c r="B7421" s="1" t="s">
        <v>7377</v>
      </c>
      <c r="C7421" t="str">
        <f>IFERROR(__xludf.DUMMYFUNCTION("GOOGLETRANSLATE(B7421, ""zh"", ""en"")"),"Worth starting a cast iron pot arrived eight days, three days earlier than the estimated time. A good way to protect the appearance of no defects. Really heavy, get both hands on when the exercise arm. The cast iron pot still worth buying.")</f>
        <v>Worth starting a cast iron pot arrived eight days, three days earlier than the estimated time. A good way to protect the appearance of no defects. Really heavy, get both hands on when the exercise arm. The cast iron pot still worth buying.</v>
      </c>
    </row>
    <row r="7422">
      <c r="A7422" s="1">
        <v>5.0</v>
      </c>
      <c r="B7422" s="1" t="s">
        <v>7378</v>
      </c>
      <c r="C7422" t="str">
        <f>IFERROR(__xludf.DUMMYFUNCTION("GOOGLETRANSLATE(B7422, ""zh"", ""en"")"),"Very good very cost-effective, quality workmanship are good")</f>
        <v>Very good very cost-effective, quality workmanship are good</v>
      </c>
    </row>
    <row r="7423">
      <c r="A7423" s="1">
        <v>5.0</v>
      </c>
      <c r="B7423" s="1" t="s">
        <v>7379</v>
      </c>
      <c r="C7423" t="str">
        <f>IFERROR(__xludf.DUMMYFUNCTION("GOOGLETRANSLATE(B7423, ""zh"", ""en"")"),"Good bought 2 boxes are broken, a little sad, but the sale process is just fine")</f>
        <v>Good bought 2 boxes are broken, a little sad, but the sale process is just fine</v>
      </c>
    </row>
    <row r="7424">
      <c r="A7424" s="1">
        <v>5.0</v>
      </c>
      <c r="B7424" s="1" t="s">
        <v>7380</v>
      </c>
      <c r="C7424" t="str">
        <f>IFERROR(__xludf.DUMMYFUNCTION("GOOGLETRANSLATE(B7424, ""zh"", ""en"")"),"No. 31 beautiful single No. 5 Arrival, mug looks good, very delicate and very light")</f>
        <v>No. 31 beautiful single No. 5 Arrival, mug looks good, very delicate and very light</v>
      </c>
    </row>
    <row r="7425">
      <c r="A7425" s="1">
        <v>5.0</v>
      </c>
      <c r="B7425" s="1" t="s">
        <v>7381</v>
      </c>
      <c r="C7425" t="str">
        <f>IFERROR(__xludf.DUMMYFUNCTION("GOOGLETRANSLATE(B7425, ""zh"", ""en"")"),"Recommended to buy very good stuff, worth buying")</f>
        <v>Recommended to buy very good stuff, worth buying</v>
      </c>
    </row>
    <row r="7426">
      <c r="A7426" s="1">
        <v>5.0</v>
      </c>
      <c r="B7426" s="1" t="s">
        <v>7382</v>
      </c>
      <c r="C7426" t="str">
        <f>IFERROR(__xludf.DUMMYFUNCTION("GOOGLETRANSLATE(B7426, ""zh"", ""en"")"),"Bottle baby bottle child has been using this, now stockpile to two treasures, the way to help a child buy a brother")</f>
        <v>Bottle baby bottle child has been using this, now stockpile to two treasures, the way to help a child buy a brother</v>
      </c>
    </row>
    <row r="7427">
      <c r="A7427" s="1">
        <v>5.0</v>
      </c>
      <c r="B7427" s="1" t="s">
        <v>7383</v>
      </c>
      <c r="C7427" t="str">
        <f>IFERROR(__xludf.DUMMYFUNCTION("GOOGLETRANSLATE(B7427, ""zh"", ""en"")"),"Baby essential goods amazing, will be white hot, cold water rushing, color restoration. Solved in the hands of the test temperature locked. Spoon soft, children will not bottle, but with a spoon.")</f>
        <v>Baby essential goods amazing, will be white hot, cold water rushing, color restoration. Solved in the hands of the test temperature locked. Spoon soft, children will not bottle, but with a spoon.</v>
      </c>
    </row>
    <row r="7428">
      <c r="A7428" s="1">
        <v>5.0</v>
      </c>
      <c r="B7428" s="1" t="s">
        <v>7384</v>
      </c>
      <c r="C7428" t="str">
        <f>IFERROR(__xludf.DUMMYFUNCTION("GOOGLETRANSLATE(B7428, ""zh"", ""en"")"),"Conair Hc900 smoother trimmer hair clipper said at the shortcomings of it: 1 wants to shave very smooth, then, to come back and forth back and forth too many times, does not take 45 minutes after charging 2, the second time to shave, it must first charge,"&amp;" those soft hair shaved back of the ear and the neck portion 3, a substantially fixed shaving. Currently that's all")</f>
        <v>Conair Hc900 smoother trimmer hair clipper said at the shortcomings of it: 1 wants to shave very smooth, then, to come back and forth back and forth too many times, does not take 45 minutes after charging 2, the second time to shave, it must first charge, those soft hair shaved back of the ear and the neck portion 3, a substantially fixed shaving. Currently that's all</v>
      </c>
    </row>
    <row r="7429">
      <c r="A7429" s="1">
        <v>5.0</v>
      </c>
      <c r="B7429" s="1" t="s">
        <v>7385</v>
      </c>
      <c r="C7429" t="str">
        <f>IFERROR(__xludf.DUMMYFUNCTION("GOOGLETRANSLATE(B7429, ""zh"", ""en"")"),"Also can be cheaper the price is very general, it can also be cheaper")</f>
        <v>Also can be cheaper the price is very general, it can also be cheaper</v>
      </c>
    </row>
    <row r="7430">
      <c r="A7430" s="1">
        <v>5.0</v>
      </c>
      <c r="B7430" s="1" t="s">
        <v>7386</v>
      </c>
      <c r="C7430" t="str">
        <f>IFERROR(__xludf.DUMMYFUNCTION("GOOGLETRANSLATE(B7430, ""zh"", ""en"")"),"The right size, praise more than eight hundred tax-receipt of goods, housewarming gift given to friends, very good")</f>
        <v>The right size, praise more than eight hundred tax-receipt of goods, housewarming gift given to friends, very good</v>
      </c>
    </row>
    <row r="7431">
      <c r="A7431" s="1">
        <v>5.0</v>
      </c>
      <c r="B7431" s="1" t="s">
        <v>7387</v>
      </c>
      <c r="C7431" t="str">
        <f>IFERROR(__xludf.DUMMYFUNCTION("GOOGLETRANSLATE(B7431, ""zh"", ""en"")"),"If there are three good 👌 🈴️ bound to perfect, of course, the price is more expensive than vancomycin burn a lot")</f>
        <v>If there are three good 👌 🈴️ bound to perfect, of course, the price is more expensive than vancomycin burn a lot</v>
      </c>
    </row>
    <row r="7432">
      <c r="A7432" s="1">
        <v>5.0</v>
      </c>
      <c r="B7432" s="1" t="s">
        <v>7388</v>
      </c>
      <c r="C7432" t="str">
        <f>IFERROR(__xludf.DUMMYFUNCTION("GOOGLETRANSLATE(B7432, ""zh"", ""en"")"),"Comfortable right size, like other brand models. Very comfortable to wear, indeed CK.")</f>
        <v>Comfortable right size, like other brand models. Very comfortable to wear, indeed CK.</v>
      </c>
    </row>
    <row r="7433">
      <c r="A7433" s="1">
        <v>5.0</v>
      </c>
      <c r="B7433" s="1" t="s">
        <v>7389</v>
      </c>
      <c r="C7433" t="str">
        <f>IFERROR(__xludf.DUMMYFUNCTION("GOOGLETRANSLATE(B7433, ""zh"", ""en"")"),"Suitable size not too large or too small, before wearing sneakers and almost get a insole")</f>
        <v>Suitable size not too large or too small, before wearing sneakers and almost get a insole</v>
      </c>
    </row>
    <row r="7434">
      <c r="A7434" s="1">
        <v>5.0</v>
      </c>
      <c r="B7434" s="1" t="s">
        <v>7390</v>
      </c>
      <c r="C7434" t="str">
        <f>IFERROR(__xludf.DUMMYFUNCTION("GOOGLETRANSLATE(B7434, ""zh"", ""en"")"),"This pants can really beyond my expectation, 200 dollar things could be so comfortable and decisively to buy two other colors.")</f>
        <v>This pants can really beyond my expectation, 200 dollar things could be so comfortable and decisively to buy two other colors.</v>
      </c>
    </row>
    <row r="7435">
      <c r="A7435" s="1">
        <v>5.0</v>
      </c>
      <c r="B7435" s="1" t="s">
        <v>7391</v>
      </c>
      <c r="C7435" t="str">
        <f>IFERROR(__xludf.DUMMYFUNCTION("GOOGLETRANSLATE(B7435, ""zh"", ""en"")"),"Children and relatives to send gifts to see the little guy has to spend, and very cute, with a spoon is also convenient")</f>
        <v>Children and relatives to send gifts to see the little guy has to spend, and very cute, with a spoon is also convenient</v>
      </c>
    </row>
    <row r="7436">
      <c r="A7436" s="1">
        <v>5.0</v>
      </c>
      <c r="B7436" s="1" t="s">
        <v>7392</v>
      </c>
      <c r="C7436" t="str">
        <f>IFERROR(__xludf.DUMMYFUNCTION("GOOGLETRANSLATE(B7436, ""zh"", ""en"")"),"good light, breathable, made in indonesia, domestic same price estimate can not buy. Feet to buy 43 yards of this very appropriate.")</f>
        <v>good light, breathable, made in indonesia, domestic same price estimate can not buy. Feet to buy 43 yards of this very appropriate.</v>
      </c>
    </row>
    <row r="7437">
      <c r="A7437" s="1">
        <v>2.0</v>
      </c>
      <c r="B7437" s="1" t="s">
        <v>7393</v>
      </c>
      <c r="C7437" t="str">
        <f>IFERROR(__xludf.DUMMYFUNCTION("GOOGLETRANSLATE(B7437, ""zh"", ""en"")"),"And pictures do not conform to receive clothes and pictures do not conform, no logo")</f>
        <v>And pictures do not conform to receive clothes and pictures do not conform, no logo</v>
      </c>
    </row>
    <row r="7438">
      <c r="A7438" s="1">
        <v>3.0</v>
      </c>
      <c r="B7438" s="1" t="s">
        <v>7394</v>
      </c>
      <c r="C7438" t="str">
        <f>IFERROR(__xludf.DUMMYFUNCTION("GOOGLETRANSLATE(B7438, ""zh"", ""en"")"),"Size too small ah, I 178, weight 65 to buy M code models wearing some small but very nice and gave me a younger sister, and took an L size just fit well")</f>
        <v>Size too small ah, I 178, weight 65 to buy M code models wearing some small but very nice and gave me a younger sister, and took an L size just fit well</v>
      </c>
    </row>
    <row r="7439">
      <c r="A7439" s="1">
        <v>3.0</v>
      </c>
      <c r="B7439" s="1" t="s">
        <v>7395</v>
      </c>
      <c r="C7439" t="str">
        <f>IFERROR(__xludf.DUMMYFUNCTION("GOOGLETRANSLATE(B7439, ""zh"", ""en"")"),"The rotational speed is 5400 rpm, the reader is probably more than 120 M, held in the 1950s neither good nor bad, but close to the ear every few seconds Kaca sound speed is 5400 rpm, the reader is probably more than 120 M, held in the 1950s neither good n"&amp;"or bad, but close to the ears every few seconds Kaca cry, do not feel by S &amp; P, any time there is a feeling of collapse, as really easy to use, and slowly re-evaluation")</f>
        <v>The rotational speed is 5400 rpm, the reader is probably more than 120 M, held in the 1950s neither good nor bad, but close to the ear every few seconds Kaca sound speed is 5400 rpm, the reader is probably more than 120 M, held in the 1950s neither good nor bad, but close to the ears every few seconds Kaca cry, do not feel by S &amp; P, any time there is a feeling of collapse, as really easy to use, and slowly re-evaluation</v>
      </c>
    </row>
    <row r="7440">
      <c r="A7440" s="1">
        <v>1.0</v>
      </c>
      <c r="B7440" s="1" t="s">
        <v>7396</v>
      </c>
      <c r="C7440" t="str">
        <f>IFERROR(__xludf.DUMMYFUNCTION("GOOGLETRANSLATE(B7440, ""zh"", ""en"")"),"Sale too bad! ! ! Things took more than one month, it rip. Can not use, sale and is not responsible for the negative, also told me to practice their own brand aftermarket.")</f>
        <v>Sale too bad! ! ! Things took more than one month, it rip. Can not use, sale and is not responsible for the negative, also told me to practice their own brand aftermarket.</v>
      </c>
    </row>
    <row r="7441">
      <c r="A7441" s="1">
        <v>1.0</v>
      </c>
      <c r="B7441" s="1" t="s">
        <v>7397</v>
      </c>
      <c r="C7441" t="str">
        <f>IFERROR(__xludf.DUMMYFUNCTION("GOOGLETRANSLATE(B7441, ""zh"", ""en"")"),"Goods made a mistake. I buy books usually are. Because the exam need, I'll try to buy a watch and see how things used - did not think that gave me the wrong goods. I was given this stock, sold out because the results do not know how or when going on - get"&amp;"s here, the box packaging is the MQ-24-7B. However, the belt table is tagged Num ~ MQ-24-7B3LDF. Watch also the MQ-24-7B3LDF. I feel then. Apply for a replacement. . For less than. Say he sold out, out of stock. Clearly indicating what bully honest people"&amp;". I sincerely want to sell, you sincerely do not want to sell. Hey ~ mad at me. I will not talk to intersect the exceptional.")</f>
        <v>Goods made a mistake. I buy books usually are. Because the exam need, I'll try to buy a watch and see how things used - did not think that gave me the wrong goods. I was given this stock, sold out because the results do not know how or when going on - gets here, the box packaging is the MQ-24-7B. However, the belt table is tagged Num ~ MQ-24-7B3LDF. Watch also the MQ-24-7B3LDF. I feel then. Apply for a replacement. . For less than. Say he sold out, out of stock. Clearly indicating what bully honest people. I sincerely want to sell, you sincerely do not want to sell. Hey ~ mad at me. I will not talk to intersect the exceptional.</v>
      </c>
    </row>
    <row r="7442">
      <c r="A7442" s="1">
        <v>4.0</v>
      </c>
      <c r="B7442" s="1" t="s">
        <v>7398</v>
      </c>
      <c r="C7442" t="str">
        <f>IFERROR(__xludf.DUMMYFUNCTION("GOOGLETRANSLATE(B7442, ""zh"", ""en"")"),"The first one citizen currently feel good, look beautiful, alone comfortable, relatively accurate travel time, is a bit heavy.")</f>
        <v>The first one citizen currently feel good, look beautiful, alone comfortable, relatively accurate travel time, is a bit heavy.</v>
      </c>
    </row>
    <row r="7443">
      <c r="A7443" s="1">
        <v>4.0</v>
      </c>
      <c r="B7443" s="1" t="s">
        <v>7399</v>
      </c>
      <c r="C7443" t="str">
        <f>IFERROR(__xludf.DUMMYFUNCTION("GOOGLETRANSLATE(B7443, ""zh"", ""en"")"),"Good pacifier will drip in the case of rolling with no sucking, baby bottles because it is a silicone material, do not know good clean Oh. But my baby pacifier design does eat, but also good.")</f>
        <v>Good pacifier will drip in the case of rolling with no sucking, baby bottles because it is a silicone material, do not know good clean Oh. But my baby pacifier design does eat, but also good.</v>
      </c>
    </row>
    <row r="7444">
      <c r="A7444" s="1">
        <v>4.0</v>
      </c>
      <c r="B7444" s="1" t="s">
        <v>7400</v>
      </c>
      <c r="C7444" t="str">
        <f>IFERROR(__xludf.DUMMYFUNCTION("GOOGLETRANSLATE(B7444, ""zh"", ""en"")"),"Like a general work in general small slim. Good style")</f>
        <v>Like a general work in general small slim. Good style</v>
      </c>
    </row>
    <row r="7445">
      <c r="A7445" s="1">
        <v>4.0</v>
      </c>
      <c r="B7445" s="1" t="s">
        <v>7401</v>
      </c>
      <c r="C7445" t="str">
        <f>IFERROR(__xludf.DUMMYFUNCTION("GOOGLETRANSLATE(B7445, ""zh"", ""en"")"),"Kids like, a little leak, a little leak! Kids like, a little leak, a little leak!")</f>
        <v>Kids like, a little leak, a little leak! Kids like, a little leak, a little leak!</v>
      </c>
    </row>
    <row r="7446">
      <c r="A7446" s="1">
        <v>4.0</v>
      </c>
      <c r="B7446" s="1" t="s">
        <v>7402</v>
      </c>
      <c r="C7446" t="str">
        <f>IFERROR(__xludf.DUMMYFUNCTION("GOOGLETRANSLATE(B7446, ""zh"", ""en"")"),"So-so also it is more expensive")</f>
        <v>So-so also it is more expensive</v>
      </c>
    </row>
    <row r="7447">
      <c r="A7447" s="1">
        <v>5.0</v>
      </c>
      <c r="B7447" s="1" t="s">
        <v>7403</v>
      </c>
      <c r="C7447" t="str">
        <f>IFERROR(__xludf.DUMMYFUNCTION("GOOGLETRANSLATE(B7447, ""zh"", ""en"")"),"Cost-effective cost-effective, already considerably older, so say nothing expect too clean")</f>
        <v>Cost-effective cost-effective, already considerably older, so say nothing expect too clean</v>
      </c>
    </row>
    <row r="7448">
      <c r="A7448" s="1">
        <v>5.0</v>
      </c>
      <c r="B7448" s="1" t="s">
        <v>7404</v>
      </c>
      <c r="C7448" t="str">
        <f>IFERROR(__xludf.DUMMYFUNCTION("GOOGLETRANSLATE(B7448, ""zh"", ""en"")"),"Pants quality okay good quality pants, pants is a little fat, it 170.68.31 / 29 waist just, length 30 might be better.")</f>
        <v>Pants quality okay good quality pants, pants is a little fat, it 170.68.31 / 29 waist just, length 30 might be better.</v>
      </c>
    </row>
    <row r="7449">
      <c r="A7449" s="1">
        <v>5.0</v>
      </c>
      <c r="B7449" s="1" t="s">
        <v>7405</v>
      </c>
      <c r="C7449" t="str">
        <f>IFERROR(__xludf.DUMMYFUNCTION("GOOGLETRANSLATE(B7449, ""zh"", ""en"")"),"Pilling very powerful version good, very powerful pilling")</f>
        <v>Pilling very powerful version good, very powerful pilling</v>
      </c>
    </row>
    <row r="7450">
      <c r="A7450" s="1">
        <v>5.0</v>
      </c>
      <c r="B7450" s="1" t="s">
        <v>7406</v>
      </c>
      <c r="C7450" t="str">
        <f>IFERROR(__xludf.DUMMYFUNCTION("GOOGLETRANSLATE(B7450, ""zh"", ""en"")"),"168/65 trumpet just size is too large for Chinese people, 168 / wear trumpet just 65, started wearing a black indeed there will be a small domesticated hen fell off, washed twice just fine, wear it is still very good")</f>
        <v>168/65 trumpet just size is too large for Chinese people, 168 / wear trumpet just 65, started wearing a black indeed there will be a small domesticated hen fell off, washed twice just fine, wear it is still very good</v>
      </c>
    </row>
    <row r="7451">
      <c r="A7451" s="1">
        <v>5.0</v>
      </c>
      <c r="B7451" s="1" t="s">
        <v>7407</v>
      </c>
      <c r="C7451" t="str">
        <f>IFERROR(__xludf.DUMMYFUNCTION("GOOGLETRANSLATE(B7451, ""zh"", ""en"")"),"Super value 190/68 kg, shoulder width, thin, L numbers just right, not in the country to buy the right clothes, big also so cheap, to five days. Overseas purchase is really convenient.")</f>
        <v>Super value 190/68 kg, shoulder width, thin, L numbers just right, not in the country to buy the right clothes, big also so cheap, to five days. Overseas purchase is really convenient.</v>
      </c>
    </row>
    <row r="7452">
      <c r="A7452" s="1">
        <v>5.0</v>
      </c>
      <c r="B7452" s="1" t="s">
        <v>7408</v>
      </c>
      <c r="C7452" t="str">
        <f>IFERROR(__xludf.DUMMYFUNCTION("GOOGLETRANSLATE(B7452, ""zh"", ""en"")"),"Braun 9087X very satisfying shopping experience, timely delivery, cargo intact. After the hand, immediately use, great.")</f>
        <v>Braun 9087X very satisfying shopping experience, timely delivery, cargo intact. After the hand, immediately use, great.</v>
      </c>
    </row>
    <row r="7453">
      <c r="A7453" s="1">
        <v>5.0</v>
      </c>
      <c r="B7453" s="1" t="s">
        <v>7409</v>
      </c>
      <c r="C7453" t="str">
        <f>IFERROR(__xludf.DUMMYFUNCTION("GOOGLETRANSLATE(B7453, ""zh"", ""en"")"),"Good thing, it is worth it very well, comfortable, cheap,")</f>
        <v>Good thing, it is worth it very well, comfortable, cheap,</v>
      </c>
    </row>
    <row r="7454">
      <c r="A7454" s="1">
        <v>5.0</v>
      </c>
      <c r="B7454" s="1" t="s">
        <v>7410</v>
      </c>
      <c r="C7454" t="str">
        <f>IFERROR(__xludf.DUMMYFUNCTION("GOOGLETRANSLATE(B7454, ""zh"", ""en"")"),"Comments wrong, good price, good logistics, good quality. Comment is wrong! ! ! Which says size is too small? Take two steps to find out! Obviously as a good or bad! My family has been M, L buy look after this comment, large lot! ! !")</f>
        <v>Comments wrong, good price, good logistics, good quality. Comment is wrong! ! ! Which says size is too small? Take two steps to find out! Obviously as a good or bad! My family has been M, L buy look after this comment, large lot! ! !</v>
      </c>
    </row>
    <row r="7455">
      <c r="A7455" s="1">
        <v>5.0</v>
      </c>
      <c r="B7455" s="1" t="s">
        <v>7411</v>
      </c>
      <c r="C7455" t="str">
        <f>IFERROR(__xludf.DUMMYFUNCTION("GOOGLETRANSLATE(B7455, ""zh"", ""en"")"),"Good texture, no smell no smell, very cute, soft")</f>
        <v>Good texture, no smell no smell, very cute, soft</v>
      </c>
    </row>
    <row r="7456">
      <c r="A7456" s="1">
        <v>5.0</v>
      </c>
      <c r="B7456" s="1" t="s">
        <v>7412</v>
      </c>
      <c r="C7456" t="str">
        <f>IFERROR(__xludf.DUMMYFUNCTION("GOOGLETRANSLATE(B7456, ""zh"", ""en"")"),"Good pen for the first time with Parker pen, indigo blue color is very beautiful, F sharp little thicker than the average F a little bit, writing is very smooth, a bit uncomfortable rustle")</f>
        <v>Good pen for the first time with Parker pen, indigo blue color is very beautiful, F sharp little thicker than the average F a little bit, writing is very smooth, a bit uncomfortable rustle</v>
      </c>
    </row>
    <row r="7457">
      <c r="A7457" s="1">
        <v>5.0</v>
      </c>
      <c r="B7457" s="1" t="s">
        <v>7413</v>
      </c>
      <c r="C7457" t="str">
        <f>IFERROR(__xludf.DUMMYFUNCTION("GOOGLETRANSLATE(B7457, ""zh"", ""en"")"),"Kettle Amazon, I like your point 👍, I will return to the Amazon! When the beloved kettle during transport scratched, the picture after the transfer, the heart block fast enough, I do not hold any hope, and think only bad luck, because I do not have time "&amp;"to talk to businesses struggle, but was returned to the Amazon the full amount, thank you! This is the Amazon, integrity management! Will be responsible for every customer!")</f>
        <v>Kettle Amazon, I like your point 👍, I will return to the Amazon! When the beloved kettle during transport scratched, the picture after the transfer, the heart block fast enough, I do not hold any hope, and think only bad luck, because I do not have time to talk to businesses struggle, but was returned to the Amazon the full amount, thank you! This is the Amazon, integrity management! Will be responsible for every customer!</v>
      </c>
    </row>
    <row r="7458">
      <c r="A7458" s="1">
        <v>5.0</v>
      </c>
      <c r="B7458" s="1" t="s">
        <v>7414</v>
      </c>
      <c r="C7458" t="str">
        <f>IFERROR(__xludf.DUMMYFUNCTION("GOOGLETRANSLATE(B7458, ""zh"", ""en"")"),"Rapidly! Table looks very fashionable at 11.26 single, went to No. 1 December, and rapidly! Too happy, it is a little bit small, was not cleared to see the size, but also good, but also worthy of this price, the key is the real thing.")</f>
        <v>Rapidly! Table looks very fashionable at 11.26 single, went to No. 1 December, and rapidly! Too happy, it is a little bit small, was not cleared to see the size, but also good, but also worthy of this price, the key is the real thing.</v>
      </c>
    </row>
    <row r="7459">
      <c r="A7459" s="1">
        <v>5.0</v>
      </c>
      <c r="B7459" s="1" t="s">
        <v>7415</v>
      </c>
      <c r="C7459" t="str">
        <f>IFERROR(__xludf.DUMMYFUNCTION("GOOGLETRANSLATE(B7459, ""zh"", ""en"")"),"Has not been used, this is said to be the top, it should be easy to use. Open looked at, including a have a bristles are bent. I do not know will not be affected")</f>
        <v>Has not been used, this is said to be the top, it should be easy to use. Open looked at, including a have a bristles are bent. I do not know will not be affected</v>
      </c>
    </row>
    <row r="7460">
      <c r="A7460" s="1">
        <v>5.0</v>
      </c>
      <c r="B7460" s="1" t="s">
        <v>7416</v>
      </c>
      <c r="C7460" t="str">
        <f>IFERROR(__xludf.DUMMYFUNCTION("GOOGLETRANSLATE(B7460, ""zh"", ""en"")"),"Half-price to buy, fair trade accessories rich Amazon, a little lack of power, modern appearance")</f>
        <v>Half-price to buy, fair trade accessories rich Amazon, a little lack of power, modern appearance</v>
      </c>
    </row>
    <row r="7461">
      <c r="A7461" s="1">
        <v>5.0</v>
      </c>
      <c r="B7461" s="1" t="s">
        <v>7417</v>
      </c>
      <c r="C7461" t="str">
        <f>IFERROR(__xludf.DUMMYFUNCTION("GOOGLETRANSLATE(B7461, ""zh"", ""en"")"),"Pants baby received several days, very satisfied! Do not comfortable, do not like the super 👍")</f>
        <v>Pants baby received several days, very satisfied! Do not comfortable, do not like the super 👍</v>
      </c>
    </row>
    <row r="7462">
      <c r="A7462" s="1">
        <v>5.0</v>
      </c>
      <c r="B7462" s="1" t="s">
        <v>7418</v>
      </c>
      <c r="C7462" t="str">
        <f>IFERROR(__xludf.DUMMYFUNCTION("GOOGLETRANSLATE(B7462, ""zh"", ""en"")"),"ECCO Biom Venture Tr Gore-tex hiking shoes men prepared for the winter, ECCO shoes did not have to say, wear comfortable")</f>
        <v>ECCO Biom Venture Tr Gore-tex hiking shoes men prepared for the winter, ECCO shoes did not have to say, wear comfortable</v>
      </c>
    </row>
    <row r="7463">
      <c r="A7463" s="1">
        <v>5.0</v>
      </c>
      <c r="B7463" s="1" t="s">
        <v>7419</v>
      </c>
      <c r="C7463" t="str">
        <f>IFERROR(__xludf.DUMMYFUNCTION("GOOGLETRANSLATE(B7463, ""zh"", ""en"")"),"Very good wearing not tired, still looks beautiful. Feminine, very suitable to wear to work")</f>
        <v>Very good wearing not tired, still looks beautiful. Feminine, very suitable to wear to work</v>
      </c>
    </row>
    <row r="7464">
      <c r="A7464" s="1">
        <v>5.0</v>
      </c>
      <c r="B7464" s="1" t="s">
        <v>7420</v>
      </c>
      <c r="C7464" t="str">
        <f>IFERROR(__xludf.DUMMYFUNCTION("GOOGLETRANSLATE(B7464, ""zh"", ""en"")"),"Easy to use together also bought 360ml of, tried, very good!")</f>
        <v>Easy to use together also bought 360ml of, tried, very good!</v>
      </c>
    </row>
    <row r="7465">
      <c r="A7465" s="1">
        <v>5.0</v>
      </c>
      <c r="B7465" s="1" t="s">
        <v>7421</v>
      </c>
      <c r="C7465" t="str">
        <f>IFERROR(__xludf.DUMMYFUNCTION("GOOGLETRANSLATE(B7465, ""zh"", ""en"")"),"Good quality authentic looked for a long time to buy a very cost-effective price Yen value is also high")</f>
        <v>Good quality authentic looked for a long time to buy a very cost-effective price Yen value is also high</v>
      </c>
    </row>
    <row r="7466">
      <c r="A7466" s="1">
        <v>5.0</v>
      </c>
      <c r="B7466" s="1" t="s">
        <v>7422</v>
      </c>
      <c r="C7466" t="str">
        <f>IFERROR(__xludf.DUMMYFUNCTION("GOOGLETRANSLATE(B7466, ""zh"", ""en"")"),"Good shoes, dorsum of the foot a little tight (high instep beware) usually wear 42 to see comments that this large shoe size, to buy a 41. Overall more appropriate. Perhaps my high instep, instep wearing tight. Additionally feet relationship, lateral toes"&amp;" more crowded, there's still surplus. About Pei-ling would be more appropriate.")</f>
        <v>Good shoes, dorsum of the foot a little tight (high instep beware) usually wear 42 to see comments that this large shoe size, to buy a 41. Overall more appropriate. Perhaps my high instep, instep wearing tight. Additionally feet relationship, lateral toes more crowded, there's still surplus. About Pei-ling would be more appropriate.</v>
      </c>
    </row>
    <row r="7467">
      <c r="A7467" s="1">
        <v>5.0</v>
      </c>
      <c r="B7467" s="1" t="s">
        <v>7423</v>
      </c>
      <c r="C7467" t="str">
        <f>IFERROR(__xludf.DUMMYFUNCTION("GOOGLETRANSLATE(B7467, ""zh"", ""en"")"),"If white not yellow like a good-looking, the disadvantage is environmental ecco soles, just wear once difficult to brush clean, long time back to yellowing")</f>
        <v>If white not yellow like a good-looking, the disadvantage is environmental ecco soles, just wear once difficult to brush clean, long time back to yellowing</v>
      </c>
    </row>
    <row r="7468">
      <c r="A7468" s="1">
        <v>5.0</v>
      </c>
      <c r="B7468" s="1" t="s">
        <v>7424</v>
      </c>
      <c r="C7468" t="str">
        <f>IFERROR(__xludf.DUMMYFUNCTION("GOOGLETRANSLATE(B7468, ""zh"", ""en"")"),"Good Good quality 'next time to buy a smaller size \")</f>
        <v>Good Good quality 'next time to buy a smaller size \</v>
      </c>
    </row>
    <row r="7469">
      <c r="A7469" s="1">
        <v>2.0</v>
      </c>
      <c r="B7469" s="1" t="s">
        <v>7425</v>
      </c>
      <c r="C7469" t="str">
        <f>IFERROR(__xludf.DUMMYFUNCTION("GOOGLETRANSLATE(B7469, ""zh"", ""en"")"),"Really hard to drink. . Really hard to drink. . The taste is too strange. . .")</f>
        <v>Really hard to drink. . Really hard to drink. . The taste is too strange. . .</v>
      </c>
    </row>
    <row r="7470">
      <c r="A7470" s="1">
        <v>3.0</v>
      </c>
      <c r="B7470" s="1" t="s">
        <v>7426</v>
      </c>
      <c r="C7470" t="str">
        <f>IFERROR(__xludf.DUMMYFUNCTION("GOOGLETRANSLATE(B7470, ""zh"", ""en"")"),"Overseas purchase is not recommended to buy electronic products for the first time to the negative feedback a star, never gave negative feedback before Taobao did not expect his first bad review to the Amazon's most trusted. Freeloaders, buy a British-har"&amp;"d, non-destructive package, but it took less than a month appeared bad sectors can not be repaired, contact Amazon customer is a cold to find manufacturers, ask not provide any information (also the first time encountered so proud of the Amazon customer s"&amp;"ervice). See the official website registered a 2-year warranty, but only for the United Kingdom. Tried various ways to repair themselves, are invalid. Zaban, only count myself unlucky, but Amazon, which involves a warranty electronic products do not recom"&amp;"mend or purchased abroad. Supplementary day: a lot, but also very scattered by the sector to change the software testing again, damage can not be maintained through the use of state shield, call the Amazon customer service again, this time in the customer"&amp;" service attitude is very good, is currently processing the return, then will be updated again , the first evaluation instead of Samsung, because Amazon's comment is the only relatively objective review of domestic")</f>
        <v>Overseas purchase is not recommended to buy electronic products for the first time to the negative feedback a star, never gave negative feedback before Taobao did not expect his first bad review to the Amazon's most trusted. Freeloaders, buy a British-hard, non-destructive package, but it took less than a month appeared bad sectors can not be repaired, contact Amazon customer is a cold to find manufacturers, ask not provide any information (also the first time encountered so proud of the Amazon customer service). See the official website registered a 2-year warranty, but only for the United Kingdom. Tried various ways to repair themselves, are invalid. Zaban, only count myself unlucky, but Amazon, which involves a warranty electronic products do not recommend or purchased abroad. Supplementary day: a lot, but also very scattered by the sector to change the software testing again, damage can not be maintained through the use of state shield, call the Amazon customer service again, this time in the customer service attitude is very good, is currently processing the return, then will be updated again , the first evaluation instead of Samsung, because Amazon's comment is the only relatively objective review of domestic</v>
      </c>
    </row>
    <row r="7471">
      <c r="A7471" s="1">
        <v>3.0</v>
      </c>
      <c r="B7471" s="1" t="s">
        <v>7427</v>
      </c>
      <c r="C7471" t="str">
        <f>IFERROR(__xludf.DUMMYFUNCTION("GOOGLETRANSLATE(B7471, ""zh"", ""en"")"),"Not white goose down is not a gray goose white goose down, mind do not shoot.")</f>
        <v>Not white goose down is not a gray goose white goose down, mind do not shoot.</v>
      </c>
    </row>
    <row r="7472">
      <c r="A7472" s="1">
        <v>1.0</v>
      </c>
      <c r="B7472" s="1" t="s">
        <v>7428</v>
      </c>
      <c r="C7472" t="str">
        <f>IFERROR(__xludf.DUMMYFUNCTION("GOOGLETRANSLATE(B7472, ""zh"", ""en"")"),"This fake is a fake, bought simply can not wear, because the child was too busy to see returned. I bought a really, this break open a know to be false, with the eldest daughter to buy a small girl vest (30 yuan) almost - minimal")</f>
        <v>This fake is a fake, bought simply can not wear, because the child was too busy to see returned. I bought a really, this break open a know to be false, with the eldest daughter to buy a small girl vest (30 yuan) almost - minimal</v>
      </c>
    </row>
    <row r="7473">
      <c r="A7473" s="1">
        <v>1.0</v>
      </c>
      <c r="B7473" s="1" t="s">
        <v>7429</v>
      </c>
      <c r="C7473" t="str">
        <f>IFERROR(__xludf.DUMMYFUNCTION("GOOGLETRANSLATE(B7473, ""zh"", ""en"")"),"Poor quality bought before CK underwear, good quality thread that is not. The outgoing head of underwear often will not say, but also a little pull on the pull, there is a bought less than a month has left a bad pull")</f>
        <v>Poor quality bought before CK underwear, good quality thread that is not. The outgoing head of underwear often will not say, but also a little pull on the pull, there is a bought less than a month has left a bad pull</v>
      </c>
    </row>
    <row r="7474">
      <c r="A7474" s="1">
        <v>1.0</v>
      </c>
      <c r="B7474" s="1" t="s">
        <v>7430</v>
      </c>
      <c r="C7474" t="str">
        <f>IFERROR(__xludf.DUMMYFUNCTION("GOOGLETRANSLATE(B7474, ""zh"", ""en"")"),"After leaking joints Bahrain Bahrain after a rain left water leaking joints, exterior wall paint all tilt, this is why?")</f>
        <v>After leaking joints Bahrain Bahrain after a rain left water leaking joints, exterior wall paint all tilt, this is why?</v>
      </c>
    </row>
    <row r="7475">
      <c r="A7475" s="1">
        <v>4.0</v>
      </c>
      <c r="B7475" s="1" t="s">
        <v>7431</v>
      </c>
      <c r="C7475" t="str">
        <f>IFERROR(__xludf.DUMMYFUNCTION("GOOGLETRANSLATE(B7475, ""zh"", ""en"")"),"Defective shoes very surprised velocity stream received the goods, packaging intact, opened, both shoes have the same defect occurs, as shown in FIG obvious traces similar to scratches, while there is a similar stain marks after the damp leather. I ecco s"&amp;"andals similar to the original paragraph, after the rain through, will have a similar marks. I do not know what willing for this result.")</f>
        <v>Defective shoes very surprised velocity stream received the goods, packaging intact, opened, both shoes have the same defect occurs, as shown in FIG obvious traces similar to scratches, while there is a similar stain marks after the damp leather. I ecco sandals similar to the original paragraph, after the rain through, will have a similar marks. I do not know what willing for this result.</v>
      </c>
    </row>
    <row r="7476">
      <c r="A7476" s="1">
        <v>4.0</v>
      </c>
      <c r="B7476" s="1" t="s">
        <v>7432</v>
      </c>
      <c r="C7476" t="str">
        <f>IFERROR(__xludf.DUMMYFUNCTION("GOOGLETRANSLATE(B7476, ""zh"", ""en"")"),"First purchase, valid for goods is too close, not very satisfied! ! Read product introduction, for the first time to buy, the effect could not be evaluated. But too close to the validity of goods, packaging is also some dirty, affect the mood!")</f>
        <v>First purchase, valid for goods is too close, not very satisfied! ! Read product introduction, for the first time to buy, the effect could not be evaluated. But too close to the validity of goods, packaging is also some dirty, affect the mood!</v>
      </c>
    </row>
    <row r="7477">
      <c r="A7477" s="1">
        <v>4.0</v>
      </c>
      <c r="B7477" s="1" t="s">
        <v>7433</v>
      </c>
      <c r="C7477" t="str">
        <f>IFERROR(__xludf.DUMMYFUNCTION("GOOGLETRANSLATE(B7477, ""zh"", ""en"")"),"Good shoes work well, partial reddish brown color, buy a yard EU UK6.5 / 7 is 40, with the former to buy Colombia's outdoor shoes with the code to be larger than at least half a yard of it, foot length 245 mm usually wear sneakers 40.5, shoe insole pad a "&amp;"relatively thick, wear thick socks, and space, foot length 255 mm skinny legs should be able to wear, suitable for winter wear it, the temperature will exceed 15 degrees Wu your feet.")</f>
        <v>Good shoes work well, partial reddish brown color, buy a yard EU UK6.5 / 7 is 40, with the former to buy Colombia's outdoor shoes with the code to be larger than at least half a yard of it, foot length 245 mm usually wear sneakers 40.5, shoe insole pad a relatively thick, wear thick socks, and space, foot length 255 mm skinny legs should be able to wear, suitable for winter wear it, the temperature will exceed 15 degrees Wu your feet.</v>
      </c>
    </row>
    <row r="7478">
      <c r="A7478" s="1">
        <v>4.0</v>
      </c>
      <c r="B7478" s="1" t="s">
        <v>7434</v>
      </c>
      <c r="C7478" t="str">
        <f>IFERROR(__xludf.DUMMYFUNCTION("GOOGLETRANSLATE(B7478, ""zh"", ""en"")"),"Lee in kind with the picture closer, like")</f>
        <v>Lee in kind with the picture closer, like</v>
      </c>
    </row>
    <row r="7479">
      <c r="A7479" s="1">
        <v>4.0</v>
      </c>
      <c r="B7479" s="1" t="s">
        <v>7435</v>
      </c>
      <c r="C7479" t="str">
        <f>IFERROR(__xludf.DUMMYFUNCTION("GOOGLETRANSLATE(B7479, ""zh"", ""en"")"),"Praise the shoes look great, but the yardage or buy big a yard, usually wear 41 yards, 40 yards to buy shoes, buy this little big 8M")</f>
        <v>Praise the shoes look great, but the yardage or buy big a yard, usually wear 41 yards, 40 yards to buy shoes, buy this little big 8M</v>
      </c>
    </row>
    <row r="7480">
      <c r="A7480" s="1">
        <v>5.0</v>
      </c>
      <c r="B7480" s="1" t="s">
        <v>7436</v>
      </c>
      <c r="C7480" t="str">
        <f>IFERROR(__xludf.DUMMYFUNCTION("GOOGLETRANSLATE(B7480, ""zh"", ""en"")"),"Good quality M No. 180 for height, weight 75KG is still slightly larger than a little, but if S is too small a number will")</f>
        <v>Good quality M No. 180 for height, weight 75KG is still slightly larger than a little, but if S is too small a number will</v>
      </c>
    </row>
    <row r="7481">
      <c r="A7481" s="1">
        <v>5.0</v>
      </c>
      <c r="B7481" s="1" t="s">
        <v>7437</v>
      </c>
      <c r="C7481" t="str">
        <f>IFERROR(__xludf.DUMMYFUNCTION("GOOGLETRANSLATE(B7481, ""zh"", ""en"")"),"Stretch jeans uneven thickness suitable for spring wear, texture and comfortable, suitable for car boot")</f>
        <v>Stretch jeans uneven thickness suitable for spring wear, texture and comfortable, suitable for car boot</v>
      </c>
    </row>
    <row r="7482">
      <c r="A7482" s="1">
        <v>5.0</v>
      </c>
      <c r="B7482" s="1" t="s">
        <v>7438</v>
      </c>
      <c r="C7482" t="str">
        <f>IFERROR(__xludf.DUMMYFUNCTION("GOOGLETRANSLATE(B7482, ""zh"", ""en"")"),"Possible &lt;div id = ""video-block-R26FDGQZUZXI5O"" class = ""a-section a-spacing-small a-spacing-top-mini video-block""&gt; &lt;/ div&gt; &lt;input type = ""hidden"" name = "" ""value ="" https://images-cn.ssl-images-amazon.com/images/I/91GLusNNo9S.mp4 ""class ="" vid"&amp;"eo-url ""&gt; &lt;input type ="" hidden ""name ="" ""value ="" https://images-cn.ssl-images-amazon.com/images/I/71XBVrYoxhS.png ""class ="" video-slate-img-url ""&gt; &amp; nbsp; true and false do not know! But you can manually receive broadcast success! I found mysel"&amp;"f a stable! 2000 buy this wave form is good! Express about one week to! Rapidly! Packaging simple point! A box is no other! A simple tag!")</f>
        <v>Possible &lt;div id = "video-block-R26FDGQZUZXI5O" class = "a-section a-spacing-small a-spacing-top-mini video-block"&gt; &lt;/ div&gt; &lt;input type = "hidden" name = " "value =" https://images-cn.ssl-images-amazon.com/images/I/91GLusNNo9S.mp4 "class =" video-url "&gt; &lt;input type =" hidden "name =" "value =" https://images-cn.ssl-images-amazon.com/images/I/71XBVrYoxhS.png "class =" video-slate-img-url "&gt; &amp; nbsp; true and false do not know! But you can manually receive broadcast success! I found myself a stable! 2000 buy this wave form is good! Express about one week to! Rapidly! Packaging simple point! A box is no other! A simple tag!</v>
      </c>
    </row>
    <row r="7483">
      <c r="A7483" s="1">
        <v>5.0</v>
      </c>
      <c r="B7483" s="1" t="s">
        <v>7439</v>
      </c>
      <c r="C7483" t="str">
        <f>IFERROR(__xludf.DUMMYFUNCTION("GOOGLETRANSLATE(B7483, ""zh"", ""en"")"),"Fast, good stuff! Order No. 24, No. 6 June arrived, the speed really fast! Packaging is simple, it sets up a product outside the box, but the packaging is intact. Toothpaste button is pressed, convenience oh ruthless!")</f>
        <v>Fast, good stuff! Order No. 24, No. 6 June arrived, the speed really fast! Packaging is simple, it sets up a product outside the box, but the packaging is intact. Toothpaste button is pressed, convenience oh ruthless!</v>
      </c>
    </row>
    <row r="7484">
      <c r="A7484" s="1">
        <v>5.0</v>
      </c>
      <c r="B7484" s="1" t="s">
        <v>7440</v>
      </c>
      <c r="C7484" t="str">
        <f>IFERROR(__xludf.DUMMYFUNCTION("GOOGLETRANSLATE(B7484, ""zh"", ""en"")"),"Than expected good good, very perfect!")</f>
        <v>Than expected good good, very perfect!</v>
      </c>
    </row>
    <row r="7485">
      <c r="A7485" s="1">
        <v>5.0</v>
      </c>
      <c r="B7485" s="1" t="s">
        <v>7441</v>
      </c>
      <c r="C7485" t="str">
        <f>IFERROR(__xludf.DUMMYFUNCTION("GOOGLETRANSLATE(B7485, ""zh"", ""en"")"),"Lightweight insulation third buyback")</f>
        <v>Lightweight insulation third buyback</v>
      </c>
    </row>
    <row r="7486">
      <c r="A7486" s="1">
        <v>5.0</v>
      </c>
      <c r="B7486" s="1" t="s">
        <v>7442</v>
      </c>
      <c r="C7486" t="str">
        <f>IFERROR(__xludf.DUMMYFUNCTION("GOOGLETRANSLATE(B7486, ""zh"", ""en"")"),"Very good, but the Chinese people small two yards like good quality, is the first time to buy, buy big yards")</f>
        <v>Very good, but the Chinese people small two yards like good quality, is the first time to buy, buy big yards</v>
      </c>
    </row>
    <row r="7487">
      <c r="A7487" s="1">
        <v>5.0</v>
      </c>
      <c r="B7487" s="1" t="s">
        <v>7443</v>
      </c>
      <c r="C7487" t="str">
        <f>IFERROR(__xludf.DUMMYFUNCTION("GOOGLETRANSLATE(B7487, ""zh"", ""en"")"),"Amazon's overseas purchase very good! Material comfort, thin section, cup, girth size are just, like.")</f>
        <v>Amazon's overseas purchase very good! Material comfort, thin section, cup, girth size are just, like.</v>
      </c>
    </row>
    <row r="7488">
      <c r="A7488" s="1">
        <v>5.0</v>
      </c>
      <c r="B7488" s="1" t="s">
        <v>7444</v>
      </c>
      <c r="C7488" t="str">
        <f>IFERROR(__xludf.DUMMYFUNCTION("GOOGLETRANSLATE(B7488, ""zh"", ""en"")"),"Great great, strong, comfortable")</f>
        <v>Great great, strong, comfortable</v>
      </c>
    </row>
    <row r="7489">
      <c r="A7489" s="1">
        <v>5.0</v>
      </c>
      <c r="B7489" s="1" t="s">
        <v>7445</v>
      </c>
      <c r="C7489" t="str">
        <f>IFERROR(__xludf.DUMMYFUNCTION("GOOGLETRANSLATE(B7489, ""zh"", ""en"")"),"Code just to see the clothes of good quality, color is very positive, very comfortable to wear, was thin, very good ~")</f>
        <v>Code just to see the clothes of good quality, color is very positive, very comfortable to wear, was thin, very good ~</v>
      </c>
    </row>
    <row r="7490">
      <c r="A7490" s="1">
        <v>5.0</v>
      </c>
      <c r="B7490" s="1" t="s">
        <v>7446</v>
      </c>
      <c r="C7490" t="str">
        <f>IFERROR(__xludf.DUMMYFUNCTION("GOOGLETRANSLATE(B7490, ""zh"", ""en"")"),"PUMA Men's Thunder Desert leisure sports shoes produced in Vietnam, a good effect on the feet. Other brands wearing us9, this pair of tight, you can wear, it is recommended to buy a number half.")</f>
        <v>PUMA Men's Thunder Desert leisure sports shoes produced in Vietnam, a good effect on the feet. Other brands wearing us9, this pair of tight, you can wear, it is recommended to buy a number half.</v>
      </c>
    </row>
    <row r="7491">
      <c r="A7491" s="1">
        <v>5.0</v>
      </c>
      <c r="B7491" s="1" t="s">
        <v>7447</v>
      </c>
      <c r="C7491" t="str">
        <f>IFERROR(__xludf.DUMMYFUNCTION("GOOGLETRANSLATE(B7491, ""zh"", ""en"")"),"Very good shoes, the right size, but also slightly increased")</f>
        <v>Very good shoes, the right size, but also slightly increased</v>
      </c>
    </row>
    <row r="7492">
      <c r="A7492" s="1">
        <v>5.0</v>
      </c>
      <c r="B7492" s="1" t="s">
        <v>7448</v>
      </c>
      <c r="C7492" t="str">
        <f>IFERROR(__xludf.DUMMYFUNCTION("GOOGLETRANSLATE(B7492, ""zh"", ""en"")"),"Large capacity hard good things, large capacity, so I do not delete the necessary files")</f>
        <v>Large capacity hard good things, large capacity, so I do not delete the necessary files</v>
      </c>
    </row>
    <row r="7493">
      <c r="A7493" s="1">
        <v>5.0</v>
      </c>
      <c r="B7493" s="1" t="s">
        <v>7449</v>
      </c>
      <c r="C7493" t="str">
        <f>IFERROR(__xludf.DUMMYFUNCTION("GOOGLETRANSLATE(B7493, ""zh"", ""en"")"),"Yes Yes Yes Yes No bigger pants I bought last long this time for m s")</f>
        <v>Yes Yes Yes Yes No bigger pants I bought last long this time for m s</v>
      </c>
    </row>
    <row r="7494">
      <c r="A7494" s="1">
        <v>5.0</v>
      </c>
      <c r="B7494" s="1" t="s">
        <v>7450</v>
      </c>
      <c r="C7494" t="str">
        <f>IFERROR(__xludf.DUMMYFUNCTION("GOOGLETRANSLATE(B7494, ""zh"", ""en"")"),"Good yardage very accurate. Full leather inside and outside.")</f>
        <v>Good yardage very accurate. Full leather inside and outside.</v>
      </c>
    </row>
    <row r="7495">
      <c r="A7495" s="1">
        <v>5.0</v>
      </c>
      <c r="B7495" s="1" t="s">
        <v>7451</v>
      </c>
      <c r="C7495" t="str">
        <f>IFERROR(__xludf.DUMMYFUNCTION("GOOGLETRANSLATE(B7495, ""zh"", ""en"")"),"Good quality good quality")</f>
        <v>Good quality good quality</v>
      </c>
    </row>
    <row r="7496">
      <c r="A7496" s="1">
        <v>5.0</v>
      </c>
      <c r="B7496" s="1" t="s">
        <v>7452</v>
      </c>
      <c r="C7496" t="str">
        <f>IFERROR(__xludf.DUMMYFUNCTION("GOOGLETRANSLATE(B7496, ""zh"", ""en"")"),"Fleece inner layer of the inner layer is thinner than a number, but really good! Buy big a yard, wearing more comfortable")</f>
        <v>Fleece inner layer of the inner layer is thinner than a number, but really good! Buy big a yard, wearing more comfortable</v>
      </c>
    </row>
    <row r="7497">
      <c r="A7497" s="1">
        <v>5.0</v>
      </c>
      <c r="B7497" s="1" t="s">
        <v>7453</v>
      </c>
      <c r="C7497" t="str">
        <f>IFERROR(__xludf.DUMMYFUNCTION("GOOGLETRANSLATE(B7497, ""zh"", ""en"")"),"One week we received very satisfied, the right size, comfortable.")</f>
        <v>One week we received very satisfied, the right size, comfortable.</v>
      </c>
    </row>
    <row r="7498">
      <c r="A7498" s="1">
        <v>5.0</v>
      </c>
      <c r="B7498" s="1" t="s">
        <v>7454</v>
      </c>
      <c r="C7498" t="str">
        <f>IFERROR(__xludf.DUMMYFUNCTION("GOOGLETRANSLATE(B7498, ""zh"", ""en"")"),"Pretty watch movement is really beautiful, I feel very value, but also very comfortable to wear, walking is also very accurate")</f>
        <v>Pretty watch movement is really beautiful, I feel very value, but also very comfortable to wear, walking is also very accurate</v>
      </c>
    </row>
    <row r="7499">
      <c r="A7499" s="1">
        <v>5.0</v>
      </c>
      <c r="B7499" s="1" t="s">
        <v>7455</v>
      </c>
      <c r="C7499" t="str">
        <f>IFERROR(__xludf.DUMMYFUNCTION("GOOGLETRANSLATE(B7499, ""zh"", ""en"")"),"Electric meat grinder small, lightweight, suitable, good cleaning.")</f>
        <v>Electric meat grinder small, lightweight, suitable, good cleaning.</v>
      </c>
    </row>
    <row r="7500">
      <c r="A7500" s="1">
        <v>5.0</v>
      </c>
      <c r="B7500" s="1" t="s">
        <v>7456</v>
      </c>
      <c r="C7500" t="str">
        <f>IFERROR(__xludf.DUMMYFUNCTION("GOOGLETRANSLATE(B7500, ""zh"", ""en"")"),"Quite satisfied pants are very fond of, thickness, width version and legs are in line with expectations, that there is no 33-inch waistband, I bought two, tight 32-inch, 34 inch and loose side. Basically in line with inch size indicated, I waistline two f"&amp;"eet six feet long pants about one to buy is 34x30.")</f>
        <v>Quite satisfied pants are very fond of, thickness, width version and legs are in line with expectations, that there is no 33-inch waistband, I bought two, tight 32-inch, 34 inch and loose side. Basically in line with inch size indicated, I waistline two feet six feet long pants about one to buy is 34x30.</v>
      </c>
    </row>
    <row r="7501">
      <c r="A7501" s="1">
        <v>5.0</v>
      </c>
      <c r="B7501" s="1" t="s">
        <v>7457</v>
      </c>
      <c r="C7501" t="str">
        <f>IFERROR(__xludf.DUMMYFUNCTION("GOOGLETRANSLATE(B7501, ""zh"", ""en"")"),"Comfortable not very thick, but very comfortable to wear, very good quality, there are four")</f>
        <v>Comfortable not very thick, but very comfortable to wear, very good quality, there are four</v>
      </c>
    </row>
    <row r="7502">
      <c r="A7502" s="1">
        <v>2.0</v>
      </c>
      <c r="B7502" s="1" t="s">
        <v>7458</v>
      </c>
      <c r="C7502" t="str">
        <f>IFERROR(__xludf.DUMMYFUNCTION("GOOGLETRANSLATE(B7502, ""zh"", ""en"")"),"Not very good quality is not very good, not how good workmanship")</f>
        <v>Not very good quality is not very good, not how good workmanship</v>
      </c>
    </row>
    <row r="7503">
      <c r="A7503" s="1">
        <v>3.0</v>
      </c>
      <c r="B7503" s="1" t="s">
        <v>7459</v>
      </c>
      <c r="C7503" t="str">
        <f>IFERROR(__xludf.DUMMYFUNCTION("GOOGLETRANSLATE(B7503, ""zh"", ""en"")"),"Abnormal sound and do not know the current sound normal, large current sound puff ring does not know whether to change or?")</f>
        <v>Abnormal sound and do not know the current sound normal, large current sound puff ring does not know whether to change or?</v>
      </c>
    </row>
    <row r="7504">
      <c r="A7504" s="1">
        <v>3.0</v>
      </c>
      <c r="B7504" s="1" t="s">
        <v>7460</v>
      </c>
      <c r="C7504" t="str">
        <f>IFERROR(__xludf.DUMMYFUNCTION("GOOGLETRANSLATE(B7504, ""zh"", ""en"")"),"Trachoma sea Amoy unavoidable defect questions, enamel cast iron pot how much are some flaws, there are already prepared mind, the perfect pot, whatever the outcome, there and then sets out cardboard boxes and bubble wrap, packaging be some improvement, b"&amp;"ut the outer wall of a pot can be tolerated trachoma, trachoma has an inner wall of the northeast of rice so much, and properly handle the customer service communication, very good, first with it, I hope next time can buy better goods with commodities")</f>
        <v>Trachoma sea Amoy unavoidable defect questions, enamel cast iron pot how much are some flaws, there are already prepared mind, the perfect pot, whatever the outcome, there and then sets out cardboard boxes and bubble wrap, packaging be some improvement, but the outer wall of a pot can be tolerated trachoma, trachoma has an inner wall of the northeast of rice so much, and properly handle the customer service communication, very good, first with it, I hope next time can buy better goods with commodities</v>
      </c>
    </row>
    <row r="7505">
      <c r="A7505" s="1">
        <v>3.0</v>
      </c>
      <c r="B7505" s="1" t="s">
        <v>7461</v>
      </c>
      <c r="C7505" t="str">
        <f>IFERROR(__xludf.DUMMYFUNCTION("GOOGLETRANSLATE(B7505, ""zh"", ""en"")"),"Too foot wear foot wear too, how do? They are how to deal with?")</f>
        <v>Too foot wear foot wear too, how do? They are how to deal with?</v>
      </c>
    </row>
    <row r="7506">
      <c r="A7506" s="1">
        <v>1.0</v>
      </c>
      <c r="B7506" s="1" t="s">
        <v>7462</v>
      </c>
      <c r="C7506" t="str">
        <f>IFERROR(__xludf.DUMMYFUNCTION("GOOGLETRANSLATE(B7506, ""zh"", ""en"")"),"After receipt of small shoes and photo effects are still some gaps, looks should not retire, 250mm feet, is too small to wear 40, the front flip, back foot wear, uncomfortable, failed. 41 may be appropriate.")</f>
        <v>After receipt of small shoes and photo effects are still some gaps, looks should not retire, 250mm feet, is too small to wear 40, the front flip, back foot wear, uncomfortable, failed. 41 may be appropriate.</v>
      </c>
    </row>
    <row r="7507">
      <c r="A7507" s="1">
        <v>1.0</v>
      </c>
      <c r="B7507" s="1" t="s">
        <v>7463</v>
      </c>
      <c r="C7507" t="str">
        <f>IFERROR(__xludf.DUMMYFUNCTION("GOOGLETRANSLATE(B7507, ""zh"", ""en"")"),"Dress was too big, but also inconsistent. Freshman yards, but the goods are inconsistent with the picture, the picture is white logo, dark arrival mark.")</f>
        <v>Dress was too big, but also inconsistent. Freshman yards, but the goods are inconsistent with the picture, the picture is white logo, dark arrival mark.</v>
      </c>
    </row>
    <row r="7508">
      <c r="A7508" s="1">
        <v>1.0</v>
      </c>
      <c r="B7508" s="1" t="s">
        <v>7464</v>
      </c>
      <c r="C7508" t="str">
        <f>IFERROR(__xludf.DUMMYFUNCTION("GOOGLETRANSLATE(B7508, ""zh"", ""en"")"),"A surge of renewable plastic taste! ! ! Double sealing also buy narrower than before! Strongly suspected to be fake! A surge of renewable plastic taste! ! ! Double sealing also buy narrower than before! Strongly suspected to be fake!")</f>
        <v>A surge of renewable plastic taste! ! ! Double sealing also buy narrower than before! Strongly suspected to be fake! A surge of renewable plastic taste! ! ! Double sealing also buy narrower than before! Strongly suspected to be fake!</v>
      </c>
    </row>
    <row r="7509">
      <c r="A7509" s="1">
        <v>4.0</v>
      </c>
      <c r="B7509" s="1" t="s">
        <v>7465</v>
      </c>
      <c r="C7509" t="str">
        <f>IFERROR(__xludf.DUMMYFUNCTION("GOOGLETRANSLATE(B7509, ""zh"", ""en"")"),"Style / workmanship are possible in the United States since before the Sea Amoy ECCO dress shoes size a bit smaller (mainly width) so repeatedly hesitate to buy this size before, usually 40 or 40.5 shoes I can, finally into the 7.5UK, yesterday I received"&amp;" the shoes found or long or big about one centimeter width touches just right, it will not pressure the instep.")</f>
        <v>Style / workmanship are possible in the United States since before the Sea Amoy ECCO dress shoes size a bit smaller (mainly width) so repeatedly hesitate to buy this size before, usually 40 or 40.5 shoes I can, finally into the 7.5UK, yesterday I received the shoes found or long or big about one centimeter width touches just right, it will not pressure the instep.</v>
      </c>
    </row>
    <row r="7510">
      <c r="A7510" s="1">
        <v>4.0</v>
      </c>
      <c r="B7510" s="1" t="s">
        <v>7466</v>
      </c>
      <c r="C7510" t="str">
        <f>IFERROR(__xludf.DUMMYFUNCTION("GOOGLETRANSLATE(B7510, ""zh"", ""en"")"),"Just wear good shoes soles a little hard, do not know will wear better over time, usually wear leather shoes clarks Uk8 code, Adidas, Nike wear 43 yards, 42 yards, this is appropriate, for reference.")</f>
        <v>Just wear good shoes soles a little hard, do not know will wear better over time, usually wear leather shoes clarks Uk8 code, Adidas, Nike wear 43 yards, 42 yards, this is appropriate, for reference.</v>
      </c>
    </row>
    <row r="7511">
      <c r="A7511" s="1">
        <v>4.0</v>
      </c>
      <c r="B7511" s="1" t="s">
        <v>7467</v>
      </c>
      <c r="C7511" t="str">
        <f>IFERROR(__xludf.DUMMYFUNCTION("GOOGLETRANSLATE(B7511, ""zh"", ""en"")"),"Buy it cheaper than domestic spring and autumn can wear, a little hot in the summer. Some left foot wear heels. Wear a few days just fine")</f>
        <v>Buy it cheaper than domestic spring and autumn can wear, a little hot in the summer. Some left foot wear heels. Wear a few days just fine</v>
      </c>
    </row>
    <row r="7512">
      <c r="A7512" s="1">
        <v>4.0</v>
      </c>
      <c r="B7512" s="1" t="s">
        <v>7468</v>
      </c>
      <c r="C7512" t="str">
        <f>IFERROR(__xludf.DUMMYFUNCTION("GOOGLETRANSLATE(B7512, ""zh"", ""en"")"),"As shown in FIG small code number, the code number is small, fast delivery.")</f>
        <v>As shown in FIG small code number, the code number is small, fast delivery.</v>
      </c>
    </row>
    <row r="7513">
      <c r="A7513" s="1">
        <v>5.0</v>
      </c>
      <c r="B7513" s="1" t="s">
        <v>7469</v>
      </c>
      <c r="C7513" t="str">
        <f>IFERROR(__xludf.DUMMYFUNCTION("GOOGLETRANSLATE(B7513, ""zh"", ""en"")"),"Yes the price is really good, the domestic sell at least six hundred more, is the appearance in general, on the sound quality is worth buying,")</f>
        <v>Yes the price is really good, the domestic sell at least six hundred more, is the appearance in general, on the sound quality is worth buying,</v>
      </c>
    </row>
    <row r="7514">
      <c r="A7514" s="1">
        <v>5.0</v>
      </c>
      <c r="B7514" s="1" t="s">
        <v>7470</v>
      </c>
      <c r="C7514" t="str">
        <f>IFERROR(__xludf.DUMMYFUNCTION("GOOGLETRANSLATE(B7514, ""zh"", ""en"")"),"Brush very good use of good, prices are very affordable, is the packaging a little drama")</f>
        <v>Brush very good use of good, prices are very affordable, is the packaging a little drama</v>
      </c>
    </row>
    <row r="7515">
      <c r="A7515" s="1">
        <v>5.0</v>
      </c>
      <c r="B7515" s="1" t="s">
        <v>7471</v>
      </c>
      <c r="C7515" t="str">
        <f>IFERROR(__xludf.DUMMYFUNCTION("GOOGLETRANSLATE(B7515, ""zh"", ""en"")"),"Thick and very appropriate, spike domestic brand, can not afford to file, not drawing, a good thick")</f>
        <v>Thick and very appropriate, spike domestic brand, can not afford to file, not drawing, a good thick</v>
      </c>
    </row>
    <row r="7516">
      <c r="A7516" s="1">
        <v>5.0</v>
      </c>
      <c r="B7516" s="1" t="s">
        <v>7472</v>
      </c>
      <c r="C7516" t="str">
        <f>IFERROR(__xludf.DUMMYFUNCTION("GOOGLETRANSLATE(B7516, ""zh"", ""en"")"),"Good service is good headphones, very classic, very good service, come again.")</f>
        <v>Good service is good headphones, very classic, very good service, come again.</v>
      </c>
    </row>
    <row r="7517">
      <c r="A7517" s="1">
        <v>5.0</v>
      </c>
      <c r="B7517" s="1" t="s">
        <v>7473</v>
      </c>
      <c r="C7517" t="str">
        <f>IFERROR(__xludf.DUMMYFUNCTION("GOOGLETRANSLATE(B7517, ""zh"", ""en"")"),"Cheap cheap and easy")</f>
        <v>Cheap cheap and easy</v>
      </c>
    </row>
    <row r="7518">
      <c r="A7518" s="1">
        <v>5.0</v>
      </c>
      <c r="B7518" s="1" t="s">
        <v>7474</v>
      </c>
      <c r="C7518" t="str">
        <f>IFERROR(__xludf.DUMMYFUNCTION("GOOGLETRANSLATE(B7518, ""zh"", ""en"")"),"Amazon received the goods have not used, but feel a little bad this package")</f>
        <v>Amazon received the goods have not used, but feel a little bad this package</v>
      </c>
    </row>
    <row r="7519">
      <c r="A7519" s="1">
        <v>5.0</v>
      </c>
      <c r="B7519" s="1" t="s">
        <v>7475</v>
      </c>
      <c r="C7519" t="str">
        <f>IFERROR(__xludf.DUMMYFUNCTION("GOOGLETRANSLATE(B7519, ""zh"", ""en"")"),"Very satisfied, feeling the water of the tropical rain forest is very busy, but pay attention to buy this premise is home to shower water pressure must be enough, then there are the very texture and weight of the shower, the shower at home do not buckle i"&amp;"f the words are not loose , gone!")</f>
        <v>Very satisfied, feeling the water of the tropical rain forest is very busy, but pay attention to buy this premise is home to shower water pressure must be enough, then there are the very texture and weight of the shower, the shower at home do not buckle if the words are not loose , gone!</v>
      </c>
    </row>
    <row r="7520">
      <c r="A7520" s="1">
        <v>5.0</v>
      </c>
      <c r="B7520" s="1" t="s">
        <v>7476</v>
      </c>
      <c r="C7520" t="str">
        <f>IFERROR(__xludf.DUMMYFUNCTION("GOOGLETRANSLATE(B7520, ""zh"", ""en"")"),"Fairly satisfied s code a bit thin, but okay! Next time try to buy m code, estimate legs president! Drawstring design is good, quite satisfactory.")</f>
        <v>Fairly satisfied s code a bit thin, but okay! Next time try to buy m code, estimate legs president! Drawstring design is good, quite satisfactory.</v>
      </c>
    </row>
    <row r="7521">
      <c r="A7521" s="1">
        <v>5.0</v>
      </c>
      <c r="B7521" s="1" t="s">
        <v>7477</v>
      </c>
      <c r="C7521" t="str">
        <f>IFERROR(__xludf.DUMMYFUNCTION("GOOGLETRANSLATE(B7521, ""zh"", ""en"")"),"It really value when buying discount once bought two, little is made in China, is a large Vietnamese, one more than 500 plastic base before 480, should be more shatterproof some of it, before it fell to the bottom 480 some modification stand firm, it is n"&amp;"ot the insulation. Dream gravity Series light and easy to use, even a discount counters off the shelf, why the country to sell it so expensive")</f>
        <v>It really value when buying discount once bought two, little is made in China, is a large Vietnamese, one more than 500 plastic base before 480, should be more shatterproof some of it, before it fell to the bottom 480 some modification stand firm, it is not the insulation. Dream gravity Series light and easy to use, even a discount counters off the shelf, why the country to sell it so expensive</v>
      </c>
    </row>
    <row r="7522">
      <c r="A7522" s="1">
        <v>5.0</v>
      </c>
      <c r="B7522" s="1" t="s">
        <v>7478</v>
      </c>
      <c r="C7522" t="str">
        <f>IFERROR(__xludf.DUMMYFUNCTION("GOOGLETRANSLATE(B7522, ""zh"", ""en"")"),"Taste can also taste, disgusting")</f>
        <v>Taste can also taste, disgusting</v>
      </c>
    </row>
    <row r="7523">
      <c r="A7523" s="1">
        <v>5.0</v>
      </c>
      <c r="B7523" s="1" t="s">
        <v>7479</v>
      </c>
      <c r="C7523" t="str">
        <f>IFERROR(__xludf.DUMMYFUNCTION("GOOGLETRANSLATE(B7523, ""zh"", ""en"")"),"Not bad, replacement equipment easily. Not bad, replacement equipment easily.")</f>
        <v>Not bad, replacement equipment easily. Not bad, replacement equipment easily.</v>
      </c>
    </row>
    <row r="7524">
      <c r="A7524" s="1">
        <v>5.0</v>
      </c>
      <c r="B7524" s="1" t="s">
        <v>7480</v>
      </c>
      <c r="C7524" t="str">
        <f>IFERROR(__xludf.DUMMYFUNCTION("GOOGLETRANSLATE(B7524, ""zh"", ""en"")"),"Price beautiful shoe size, shoe size is somewhat small. Usually wear 36 yards, to buy a little crowded feet 3.5UK, this time to England's try just 4UK.")</f>
        <v>Price beautiful shoe size, shoe size is somewhat small. Usually wear 36 yards, to buy a little crowded feet 3.5UK, this time to England's try just 4UK.</v>
      </c>
    </row>
    <row r="7525">
      <c r="A7525" s="1">
        <v>5.0</v>
      </c>
      <c r="B7525" s="1" t="s">
        <v>7481</v>
      </c>
      <c r="C7525" t="str">
        <f>IFERROR(__xludf.DUMMYFUNCTION("GOOGLETRANSLATE(B7525, ""zh"", ""en"")"),"Is praise is praise, good clothes, it is worth starting")</f>
        <v>Is praise is praise, good clothes, it is worth starting</v>
      </c>
    </row>
    <row r="7526">
      <c r="A7526" s="1">
        <v>5.0</v>
      </c>
      <c r="B7526" s="1" t="s">
        <v>7482</v>
      </c>
      <c r="C7526" t="str">
        <f>IFERROR(__xludf.DUMMYFUNCTION("GOOGLETRANSLATE(B7526, ""zh"", ""en"")"),"Good shoes are very light and comfortable to wear.")</f>
        <v>Good shoes are very light and comfortable to wear.</v>
      </c>
    </row>
    <row r="7527">
      <c r="A7527" s="1">
        <v>5.0</v>
      </c>
      <c r="B7527" s="1" t="s">
        <v>7483</v>
      </c>
      <c r="C7527" t="str">
        <f>IFERROR(__xludf.DUMMYFUNCTION("GOOGLETRANSLATE(B7527, ""zh"", ""en"")"),"Perfect comfortable! awesome! ! Columbia first purchase slacks, comfortable, breathable, also slightly waterproof, hand less than 200, so affordable, comfortable because, again, has ordered two of the other version.")</f>
        <v>Perfect comfortable! awesome! ! Columbia first purchase slacks, comfortable, breathable, also slightly waterproof, hand less than 200, so affordable, comfortable because, again, has ordered two of the other version.</v>
      </c>
    </row>
    <row r="7528">
      <c r="A7528" s="1">
        <v>5.0</v>
      </c>
      <c r="B7528" s="1" t="s">
        <v>7484</v>
      </c>
      <c r="C7528" t="str">
        <f>IFERROR(__xludf.DUMMYFUNCTION("GOOGLETRANSLATE(B7528, ""zh"", ""en"")"),"Just arrived with the market about the same, really not a male form. My classmates wear are also girls. For boys, this table is too small. Because how not used for waterproofing or other effects not to make improper comments. I will comment after the incr"&amp;"ease!")</f>
        <v>Just arrived with the market about the same, really not a male form. My classmates wear are also girls. For boys, this table is too small. Because how not used for waterproofing or other effects not to make improper comments. I will comment after the increase!</v>
      </c>
    </row>
    <row r="7529">
      <c r="A7529" s="1">
        <v>5.0</v>
      </c>
      <c r="B7529" s="1" t="s">
        <v>7485</v>
      </c>
      <c r="C7529" t="str">
        <f>IFERROR(__xludf.DUMMYFUNCTION("GOOGLETRANSLATE(B7529, ""zh"", ""en"")"),"Very good is not good children love feeding bottle")</f>
        <v>Very good is not good children love feeding bottle</v>
      </c>
    </row>
    <row r="7530">
      <c r="A7530" s="1">
        <v>5.0</v>
      </c>
      <c r="B7530" s="1" t="s">
        <v>7486</v>
      </c>
      <c r="C7530" t="str">
        <f>IFERROR(__xludf.DUMMYFUNCTION("GOOGLETRANSLATE(B7530, ""zh"", ""en"")"),"176,73 in yards, slightly larger, longer 176,73 clothes in the yard, slightly larger clothes longer")</f>
        <v>176,73 in yards, slightly larger, longer 176,73 clothes in the yard, slightly larger clothes longer</v>
      </c>
    </row>
    <row r="7531">
      <c r="A7531" s="1">
        <v>5.0</v>
      </c>
      <c r="B7531" s="1" t="s">
        <v>7487</v>
      </c>
      <c r="C7531" t="str">
        <f>IFERROR(__xludf.DUMMYFUNCTION("GOOGLETRANSLATE(B7531, ""zh"", ""en"")"),"Clothes too large clothes too large")</f>
        <v>Clothes too large clothes too large</v>
      </c>
    </row>
    <row r="7532">
      <c r="A7532" s="1">
        <v>5.0</v>
      </c>
      <c r="B7532" s="1" t="s">
        <v>7488</v>
      </c>
      <c r="C7532" t="str">
        <f>IFERROR(__xludf.DUMMYFUNCTION("GOOGLETRANSLATE(B7532, ""zh"", ""en"")"),"Something good good good")</f>
        <v>Something good good good</v>
      </c>
    </row>
    <row r="7533">
      <c r="A7533" s="1">
        <v>5.0</v>
      </c>
      <c r="B7533" s="1" t="s">
        <v>7489</v>
      </c>
      <c r="C7533" t="str">
        <f>IFERROR(__xludf.DUMMYFUNCTION("GOOGLETRANSLATE(B7533, ""zh"", ""en"")"),"Thin, light exercise for the summer, for summer training, the right size. My husband is very fond of")</f>
        <v>Thin, light exercise for the summer, for summer training, the right size. My husband is very fond of</v>
      </c>
    </row>
    <row r="7534">
      <c r="A7534" s="1">
        <v>2.0</v>
      </c>
      <c r="B7534" s="1" t="s">
        <v>7490</v>
      </c>
      <c r="C7534" t="str">
        <f>IFERROR(__xludf.DUMMYFUNCTION("GOOGLETRANSLATE(B7534, ""zh"", ""en"")"),"Did not imagine the easy to use built-in software with a crash. . . I then formatted. . . Why then read and write speeds so slow. . .")</f>
        <v>Did not imagine the easy to use built-in software with a crash. . . I then formatted. . . Why then read and write speeds so slow. . .</v>
      </c>
    </row>
    <row r="7535">
      <c r="A7535" s="1">
        <v>3.0</v>
      </c>
      <c r="B7535" s="1" t="s">
        <v>7491</v>
      </c>
      <c r="C7535" t="str">
        <f>IFERROR(__xludf.DUMMYFUNCTION("GOOGLETRANSLATE(B7535, ""zh"", ""en"")"),"Like a general in the waist, curling, comfort almost, not quite skin-friendly")</f>
        <v>Like a general in the waist, curling, comfort almost, not quite skin-friendly</v>
      </c>
    </row>
    <row r="7536">
      <c r="A7536" s="1">
        <v>3.0</v>
      </c>
      <c r="B7536" s="1" t="s">
        <v>7492</v>
      </c>
      <c r="C7536" t="str">
        <f>IFERROR(__xludf.DUMMYFUNCTION("GOOGLETRANSLATE(B7536, ""zh"", ""en"")"),"Okay Loose and comfortable to wear. There trouser pockets powder, I do not know what yes. Wash once actually did not wash.")</f>
        <v>Okay Loose and comfortable to wear. There trouser pockets powder, I do not know what yes. Wash once actually did not wash.</v>
      </c>
    </row>
    <row r="7537">
      <c r="A7537" s="1">
        <v>1.0</v>
      </c>
      <c r="B7537" s="1" t="s">
        <v>7493</v>
      </c>
      <c r="C7537" t="str">
        <f>IFERROR(__xludf.DUMMYFUNCTION("GOOGLETRANSLATE(B7537, ""zh"", ""en"")"),"There are quality problems, I returned to the United States actually returns to Los Angeles! After locking the drill bit, 2nd and open face, trembling at the next drill. Shutdown Lock drill, hand shaking up and down the bricks, more than a few drill will "&amp;"shake loose from top to bottom, proved to be quality problems, the drill can not be locked. Application to return, I returned to Los Angeles and back only 160 yuan shipping! This stock is so heavy and large, did not return to get it working is a thousand."&amp;" Amazon's overseas purchase seriously disappointed!")</f>
        <v>There are quality problems, I returned to the United States actually returns to Los Angeles! After locking the drill bit, 2nd and open face, trembling at the next drill. Shutdown Lock drill, hand shaking up and down the bricks, more than a few drill will shake loose from top to bottom, proved to be quality problems, the drill can not be locked. Application to return, I returned to Los Angeles and back only 160 yuan shipping! This stock is so heavy and large, did not return to get it working is a thousand. Amazon's overseas purchase seriously disappointed!</v>
      </c>
    </row>
    <row r="7538">
      <c r="A7538" s="1">
        <v>1.0</v>
      </c>
      <c r="B7538" s="1" t="s">
        <v>7494</v>
      </c>
      <c r="C7538" t="str">
        <f>IFERROR(__xludf.DUMMYFUNCTION("GOOGLETRANSLATE(B7538, ""zh"", ""en"")"),"The moon is not necessarily fulfill their right to see the photos, the arrival of a half months, it took less than 10 times, also leather) ~")</f>
        <v>The moon is not necessarily fulfill their right to see the photos, the arrival of a half months, it took less than 10 times, also leather) ~</v>
      </c>
    </row>
    <row r="7539">
      <c r="A7539" s="1">
        <v>4.0</v>
      </c>
      <c r="B7539" s="1" t="s">
        <v>7495</v>
      </c>
      <c r="C7539" t="str">
        <f>IFERROR(__xludf.DUMMYFUNCTION("GOOGLETRANSLATE(B7539, ""zh"", ""en"")"),"Light, good elasticity old father to buy, say good elastic soles, the shoes are very light, walking very well.")</f>
        <v>Light, good elasticity old father to buy, say good elastic soles, the shoes are very light, walking very well.</v>
      </c>
    </row>
    <row r="7540">
      <c r="A7540" s="1">
        <v>4.0</v>
      </c>
      <c r="B7540" s="1" t="s">
        <v>7496</v>
      </c>
      <c r="C7540" t="str">
        <f>IFERROR(__xludf.DUMMYFUNCTION("GOOGLETRANSLATE(B7540, ""zh"", ""en"")"),"Logistics really fast, quality in general. 260 feet long, 8.5 feet of fat into the widened. Just right, work in general is made in China. Quality leather looks good. On foot a little heavy but acceptable, pretty satisfied with it.")</f>
        <v>Logistics really fast, quality in general. 260 feet long, 8.5 feet of fat into the widened. Just right, work in general is made in China. Quality leather looks good. On foot a little heavy but acceptable, pretty satisfied with it.</v>
      </c>
    </row>
    <row r="7541">
      <c r="A7541" s="1">
        <v>4.0</v>
      </c>
      <c r="B7541" s="1" t="s">
        <v>7497</v>
      </c>
      <c r="C7541" t="str">
        <f>IFERROR(__xludf.DUMMYFUNCTION("GOOGLETRANSLATE(B7541, ""zh"", ""en"")"),"Overall satisfaction clothes, detail is not good enough. 175. Height Weight 69. s code fit. No problem clothes surface, inside pocket stitching confusion, thread and more. A look at the origin Bangladesh, no wonder. International big order to save labor u"&amp;"nscrupulous, careful product reputation. Upload pictures failed n times, the Amazon is wonderful.")</f>
        <v>Overall satisfaction clothes, detail is not good enough. 175. Height Weight 69. s code fit. No problem clothes surface, inside pocket stitching confusion, thread and more. A look at the origin Bangladesh, no wonder. International big order to save labor unscrupulous, careful product reputation. Upload pictures failed n times, the Amazon is wonderful.</v>
      </c>
    </row>
    <row r="7542">
      <c r="A7542" s="1">
        <v>4.0</v>
      </c>
      <c r="B7542" s="1" t="s">
        <v>7498</v>
      </c>
      <c r="C7542" t="str">
        <f>IFERROR(__xludf.DUMMYFUNCTION("GOOGLETRANSLATE(B7542, ""zh"", ""en"")"),"Oh well received probiotics, probiotics oh well, is the packaging a little bad, but fortunately for my own use")</f>
        <v>Oh well received probiotics, probiotics oh well, is the packaging a little bad, but fortunately for my own use</v>
      </c>
    </row>
    <row r="7543">
      <c r="A7543" s="1">
        <v>4.0</v>
      </c>
      <c r="B7543" s="1" t="s">
        <v>7499</v>
      </c>
      <c r="C7543" t="str">
        <f>IFERROR(__xludf.DUMMYFUNCTION("GOOGLETRANSLATE(B7543, ""zh"", ""en"")"),"Yes instep that is too low, should buy freshman yards. Oh, good shoes, Lynx double eleven have nearly seven hundred here before tax plus shipping more than five, ten received praise. It should be genuine.")</f>
        <v>Yes instep that is too low, should buy freshman yards. Oh, good shoes, Lynx double eleven have nearly seven hundred here before tax plus shipping more than five, ten received praise. It should be genuine.</v>
      </c>
    </row>
    <row r="7544">
      <c r="A7544" s="1">
        <v>5.0</v>
      </c>
      <c r="B7544" s="1" t="s">
        <v>7500</v>
      </c>
      <c r="C7544" t="str">
        <f>IFERROR(__xludf.DUMMYFUNCTION("GOOGLETRANSLATE(B7544, ""zh"", ""en"")"),"Good sound quality is very good, but wear is not very strong, shake the head will fall.")</f>
        <v>Good sound quality is very good, but wear is not very strong, shake the head will fall.</v>
      </c>
    </row>
    <row r="7545">
      <c r="A7545" s="1">
        <v>5.0</v>
      </c>
      <c r="B7545" s="1" t="s">
        <v>7501</v>
      </c>
      <c r="C7545" t="str">
        <f>IFERROR(__xludf.DUMMYFUNCTION("GOOGLETRANSLATE(B7545, ""zh"", ""en"")"),"Absorb quickly absorbed quickly, slightly sweet taste, a little lighter on the perfect")</f>
        <v>Absorb quickly absorbed quickly, slightly sweet taste, a little lighter on the perfect</v>
      </c>
    </row>
    <row r="7546">
      <c r="A7546" s="1">
        <v>5.0</v>
      </c>
      <c r="B7546" s="1" t="s">
        <v>7502</v>
      </c>
      <c r="C7546" t="str">
        <f>IFERROR(__xludf.DUMMYFUNCTION("GOOGLETRANSLATE(B7546, ""zh"", ""en"")"),"The number is too large, 178,74kg wear M fabrics are good workmanship")</f>
        <v>The number is too large, 178,74kg wear M fabrics are good workmanship</v>
      </c>
    </row>
    <row r="7547">
      <c r="A7547" s="1">
        <v>5.0</v>
      </c>
      <c r="B7547" s="1" t="s">
        <v>7503</v>
      </c>
      <c r="C7547" t="str">
        <f>IFERROR(__xludf.DUMMYFUNCTION("GOOGLETRANSLATE(B7547, ""zh"", ""en"")"),"Citizen old, inexpensive watch quality ok, OK quality. Amazon goods purchased overseas, the Japanese original watch. Solar watch can hear more than six months without charge (but not light).")</f>
        <v>Citizen old, inexpensive watch quality ok, OK quality. Amazon goods purchased overseas, the Japanese original watch. Solar watch can hear more than six months without charge (but not light).</v>
      </c>
    </row>
    <row r="7548">
      <c r="A7548" s="1">
        <v>5.0</v>
      </c>
      <c r="B7548" s="1" t="s">
        <v>7504</v>
      </c>
      <c r="C7548" t="str">
        <f>IFERROR(__xludf.DUMMYFUNCTION("GOOGLETRANSLATE(B7548, ""zh"", ""en"")"),"Conclusion The best piece of dark gray, very good. Medium gray that is some of the lighter gray, that is the most comfortable than most light gray darker than black. Many comfortable than ck. Also a good black, light gray is cotton. Three underwear three "&amp;"materials, the most suitable for spring and autumn and winter wear dark gray, very comfortable")</f>
        <v>Conclusion The best piece of dark gray, very good. Medium gray that is some of the lighter gray, that is the most comfortable than most light gray darker than black. Many comfortable than ck. Also a good black, light gray is cotton. Three underwear three materials, the most suitable for spring and autumn and winter wear dark gray, very comfortable</v>
      </c>
    </row>
    <row r="7549">
      <c r="A7549" s="1">
        <v>5.0</v>
      </c>
      <c r="B7549" s="1" t="s">
        <v>7505</v>
      </c>
      <c r="C7549" t="str">
        <f>IFERROR(__xludf.DUMMYFUNCTION("GOOGLETRANSLATE(B7549, ""zh"", ""en"")"),"Slim version of the same picture and Kazakhstan is self-cultivation models.")</f>
        <v>Slim version of the same picture and Kazakhstan is self-cultivation models.</v>
      </c>
    </row>
    <row r="7550">
      <c r="A7550" s="1">
        <v>5.0</v>
      </c>
      <c r="B7550" s="1" t="s">
        <v>7506</v>
      </c>
      <c r="C7550" t="str">
        <f>IFERROR(__xludf.DUMMYFUNCTION("GOOGLETRANSLATE(B7550, ""zh"", ""en"")"),"thumbs up! Shoe size itself is small, the proposed election of freshman yards. Soft uppers, heel and ankle wrapped well. Getting kids to wear for basketball.")</f>
        <v>thumbs up! Shoe size itself is small, the proposed election of freshman yards. Soft uppers, heel and ankle wrapped well. Getting kids to wear for basketball.</v>
      </c>
    </row>
    <row r="7551">
      <c r="A7551" s="1">
        <v>5.0</v>
      </c>
      <c r="B7551" s="1" t="s">
        <v>7507</v>
      </c>
      <c r="C7551" t="str">
        <f>IFERROR(__xludf.DUMMYFUNCTION("GOOGLETRANSLATE(B7551, ""zh"", ""en"")"),"Very satisfied with the shopping clothes sizes and colors are very appropriate, very satisfied")</f>
        <v>Very satisfied with the shopping clothes sizes and colors are very appropriate, very satisfied</v>
      </c>
    </row>
    <row r="7552">
      <c r="A7552" s="1">
        <v>5.0</v>
      </c>
      <c r="B7552" s="1" t="s">
        <v>7508</v>
      </c>
      <c r="C7552" t="str">
        <f>IFERROR(__xludf.DUMMYFUNCTION("GOOGLETRANSLATE(B7552, ""zh"", ""en"")"),"Praise fourth gear noise reduction is still very effective, very good sound quality analytical, in short, my wife liked, the value of the")</f>
        <v>Praise fourth gear noise reduction is still very effective, very good sound quality analytical, in short, my wife liked, the value of the</v>
      </c>
    </row>
    <row r="7553">
      <c r="A7553" s="1">
        <v>5.0</v>
      </c>
      <c r="B7553" s="1" t="s">
        <v>7509</v>
      </c>
      <c r="C7553" t="str">
        <f>IFERROR(__xludf.DUMMYFUNCTION("GOOGLETRANSLATE(B7553, ""zh"", ""en"")"),"Tries 250cm, buy EU40, US7 code M suitable")</f>
        <v>Tries 250cm, buy EU40, US7 code M suitable</v>
      </c>
    </row>
    <row r="7554">
      <c r="A7554" s="1">
        <v>5.0</v>
      </c>
      <c r="B7554" s="1" t="s">
        <v>7510</v>
      </c>
      <c r="C7554" t="str">
        <f>IFERROR(__xludf.DUMMYFUNCTION("GOOGLETRANSLATE(B7554, ""zh"", ""en"")"),"general. Wear, no effect models.")</f>
        <v>general. Wear, no effect models.</v>
      </c>
    </row>
    <row r="7555">
      <c r="A7555" s="1">
        <v>5.0</v>
      </c>
      <c r="B7555" s="1" t="s">
        <v>7511</v>
      </c>
      <c r="C7555" t="str">
        <f>IFERROR(__xludf.DUMMYFUNCTION("GOOGLETRANSLATE(B7555, ""zh"", ""en"")"),"Easy to use for the first time to buy is bad, this is good, prices are favorable, with a box of brush, very satisfied, very clean brush")</f>
        <v>Easy to use for the first time to buy is bad, this is good, prices are favorable, with a box of brush, very satisfied, very clean brush</v>
      </c>
    </row>
    <row r="7556">
      <c r="A7556" s="1">
        <v>5.0</v>
      </c>
      <c r="B7556" s="1" t="s">
        <v>7512</v>
      </c>
      <c r="C7556" t="str">
        <f>IFERROR(__xludf.DUMMYFUNCTION("GOOGLETRANSLATE(B7556, ""zh"", ""en"")"),"Good health care than the sea bargain is also convenient, overseas purchase like this one!")</f>
        <v>Good health care than the sea bargain is also convenient, overseas purchase like this one!</v>
      </c>
    </row>
    <row r="7557">
      <c r="A7557" s="1">
        <v>5.0</v>
      </c>
      <c r="B7557" s="1" t="s">
        <v>7513</v>
      </c>
      <c r="C7557" t="str">
        <f>IFERROR(__xludf.DUMMYFUNCTION("GOOGLETRANSLATE(B7557, ""zh"", ""en"")"),"Ease of use is very good, I liked")</f>
        <v>Ease of use is very good, I liked</v>
      </c>
    </row>
    <row r="7558">
      <c r="A7558" s="1">
        <v>5.0</v>
      </c>
      <c r="B7558" s="1" t="s">
        <v>7514</v>
      </c>
      <c r="C7558" t="str">
        <f>IFERROR(__xludf.DUMMYFUNCTION("GOOGLETRANSLATE(B7558, ""zh"", ""en"")"),"Cost price excluding tax 238 basic bargain-hunting, right, and quickly re-bought a son, the original that it took three years")</f>
        <v>Cost price excluding tax 238 basic bargain-hunting, right, and quickly re-bought a son, the original that it took three years</v>
      </c>
    </row>
    <row r="7559">
      <c r="A7559" s="1">
        <v>5.0</v>
      </c>
      <c r="B7559" s="1" t="s">
        <v>7515</v>
      </c>
      <c r="C7559" t="str">
        <f>IFERROR(__xludf.DUMMYFUNCTION("GOOGLETRANSLATE(B7559, ""zh"", ""en"")"),"Convenient machine is good, compact and easy, and the hotel as courier at no extra packaging ,, German standard 2-hole plug socket can be directly inserted into GB normal use, the voltage is no problem, but because there is no ground, and there is little "&amp;"risk. The good gift original capsule. Clearance is transferred to the domestic SF sent quickly. Milk foam system, cleaning is very easy to use, not too optimistic about the full scale, is not suitable for people with high frequency.")</f>
        <v>Convenient machine is good, compact and easy, and the hotel as courier at no extra packaging ,, German standard 2-hole plug socket can be directly inserted into GB normal use, the voltage is no problem, but because there is no ground, and there is little risk. The good gift original capsule. Clearance is transferred to the domestic SF sent quickly. Milk foam system, cleaning is very easy to use, not too optimistic about the full scale, is not suitable for people with high frequency.</v>
      </c>
    </row>
    <row r="7560">
      <c r="A7560" s="1">
        <v>5.0</v>
      </c>
      <c r="B7560" s="1" t="s">
        <v>7516</v>
      </c>
      <c r="C7560" t="str">
        <f>IFERROR(__xludf.DUMMYFUNCTION("GOOGLETRANSLATE(B7560, ""zh"", ""en"")"),"Brooks Glycerin 17 Oh mother, just love it!")</f>
        <v>Brooks Glycerin 17 Oh mother, just love it!</v>
      </c>
    </row>
    <row r="7561">
      <c r="A7561" s="1">
        <v>5.0</v>
      </c>
      <c r="B7561" s="1" t="s">
        <v>7517</v>
      </c>
      <c r="C7561" t="str">
        <f>IFERROR(__xludf.DUMMYFUNCTION("GOOGLETRANSLATE(B7561, ""zh"", ""en"")"),"Trusted brand is very good, comfortable, warm and strong")</f>
        <v>Trusted brand is very good, comfortable, warm and strong</v>
      </c>
    </row>
    <row r="7562">
      <c r="A7562" s="1">
        <v>5.0</v>
      </c>
      <c r="B7562" s="1" t="s">
        <v>7518</v>
      </c>
      <c r="C7562" t="str">
        <f>IFERROR(__xludf.DUMMYFUNCTION("GOOGLETRANSLATE(B7562, ""zh"", ""en"")"),"Andy is best to drink Oh ...... treasure one year old Ken drink. A year and a half out of stock ...... hoard goods, refused to drink ...... sour fishy ...")</f>
        <v>Andy is best to drink Oh ...... treasure one year old Ken drink. A year and a half out of stock ...... hoard goods, refused to drink ...... sour fishy ...</v>
      </c>
    </row>
    <row r="7563">
      <c r="A7563" s="1">
        <v>5.0</v>
      </c>
      <c r="B7563" s="1" t="s">
        <v>7519</v>
      </c>
      <c r="C7563" t="str">
        <f>IFERROR(__xludf.DUMMYFUNCTION("GOOGLETRANSLATE(B7563, ""zh"", ""en"")"),"Pantyhose good texture, workmanship is also very good, like")</f>
        <v>Pantyhose good texture, workmanship is also very good, like</v>
      </c>
    </row>
    <row r="7564">
      <c r="A7564" s="1">
        <v>5.0</v>
      </c>
      <c r="B7564" s="1" t="s">
        <v>7520</v>
      </c>
      <c r="C7564" t="str">
        <f>IFERROR(__xludf.DUMMYFUNCTION("GOOGLETRANSLATE(B7564, ""zh"", ""en"")"),"Vest fabric soft and comfortable, the right size, the best time shopping")</f>
        <v>Vest fabric soft and comfortable, the right size, the best time shopping</v>
      </c>
    </row>
    <row r="7565">
      <c r="A7565" s="1">
        <v>5.0</v>
      </c>
      <c r="B7565" s="1" t="s">
        <v>7521</v>
      </c>
      <c r="C7565" t="str">
        <f>IFERROR(__xludf.DUMMYFUNCTION("GOOGLETRANSLATE(B7565, ""zh"", ""en"")"),"The primary gift to the big treasure big treasure to buy a bottle to bring water to school soon")</f>
        <v>The primary gift to the big treasure big treasure to buy a bottle to bring water to school soon</v>
      </c>
    </row>
    <row r="7566">
      <c r="A7566" s="1">
        <v>2.0</v>
      </c>
      <c r="B7566" s="1" t="s">
        <v>7522</v>
      </c>
      <c r="C7566" t="str">
        <f>IFERROR(__xludf.DUMMYFUNCTION("GOOGLETRANSLATE(B7566, ""zh"", ""en"")"),"Some dirty machine functions have not experience yet to use, open and read it feeling a little dirty, like later used to wipe the stains left behind, hey")</f>
        <v>Some dirty machine functions have not experience yet to use, open and read it feeling a little dirty, like later used to wipe the stains left behind, hey</v>
      </c>
    </row>
    <row r="7567">
      <c r="A7567" s="1">
        <v>3.0</v>
      </c>
      <c r="B7567" s="1" t="s">
        <v>7523</v>
      </c>
      <c r="C7567" t="str">
        <f>IFERROR(__xludf.DUMMYFUNCTION("GOOGLETRANSLATE(B7567, ""zh"", ""en"")"),"The filter is not perfect, but this shopping experience is good. Faucet filter simply not work, description of products than good. Good customer service attitude, has been given a reasonable treatment options, good shopping experience.")</f>
        <v>The filter is not perfect, but this shopping experience is good. Faucet filter simply not work, description of products than good. Good customer service attitude, has been given a reasonable treatment options, good shopping experience.</v>
      </c>
    </row>
    <row r="7568">
      <c r="A7568" s="1">
        <v>3.0</v>
      </c>
      <c r="B7568" s="1" t="s">
        <v>7524</v>
      </c>
      <c r="C7568" t="str">
        <f>IFERROR(__xludf.DUMMYFUNCTION("GOOGLETRANSLATE(B7568, ""zh"", ""en"")"),"Satisfied with the general feeling is not genuine")</f>
        <v>Satisfied with the general feeling is not genuine</v>
      </c>
    </row>
    <row r="7569">
      <c r="A7569" s="1">
        <v>1.0</v>
      </c>
      <c r="B7569" s="1" t="s">
        <v>7525</v>
      </c>
      <c r="C7569" t="str">
        <f>IFERROR(__xludf.DUMMYFUNCTION("GOOGLETRANSLATE(B7569, ""zh"", ""en"")"),"And definitely not before several LEE genuine difference is that hairy ball on a pocket lining, I do not know people still use refurbished materials through. 2, back pocket of fabric also broke a hole, 3. Sign the back of the leather used is not leather, "&amp;"color and content are not right, nor is it 4 tag with which to buy before, only a plastic plastic needle. 5, zippers are in the general LEE orange cloth with, this is not, 6, LEE big, generally do not have too many thread to this thread nearly 10 pants, a"&amp;" lot! Comprehensive assessment, fake! Not because bought a month to receive, even if the application returns, estimated to have 2 months of back and forth, well, do not change, and throw away forget!")</f>
        <v>And definitely not before several LEE genuine difference is that hairy ball on a pocket lining, I do not know people still use refurbished materials through. 2, back pocket of fabric also broke a hole, 3. Sign the back of the leather used is not leather, color and content are not right, nor is it 4 tag with which to buy before, only a plastic plastic needle. 5, zippers are in the general LEE orange cloth with, this is not, 6, LEE big, generally do not have too many thread to this thread nearly 10 pants, a lot! Comprehensive assessment, fake! Not because bought a month to receive, even if the application returns, estimated to have 2 months of back and forth, well, do not change, and throw away forget!</v>
      </c>
    </row>
    <row r="7570">
      <c r="A7570" s="1">
        <v>1.0</v>
      </c>
      <c r="B7570" s="1" t="s">
        <v>7526</v>
      </c>
      <c r="C7570" t="str">
        <f>IFERROR(__xludf.DUMMYFUNCTION("GOOGLETRANSLATE(B7570, ""zh"", ""en"")"),"Incredible fake incredible! ! ! Box obvious secondary packaging, the packaging is clearly not one large and one small, are 150 ml, and before I bought this bottle, there is a compartment inside, there is a photo card (the last one that I used to buy ), th"&amp;"is obviously to tear up, in the end it true or false? The overseas purchase also sell fake? ! I want to return.")</f>
        <v>Incredible fake incredible! ! ! Box obvious secondary packaging, the packaging is clearly not one large and one small, are 150 ml, and before I bought this bottle, there is a compartment inside, there is a photo card (the last one that I used to buy ), this obviously to tear up, in the end it true or false? The overseas purchase also sell fake? ! I want to return.</v>
      </c>
    </row>
    <row r="7571">
      <c r="A7571" s="1">
        <v>4.0</v>
      </c>
      <c r="B7571" s="1" t="s">
        <v>7527</v>
      </c>
      <c r="C7571" t="str">
        <f>IFERROR(__xludf.DUMMYFUNCTION("GOOGLETRANSLATE(B7571, ""zh"", ""en"")"),"Thin section a little bit thin, sometimes quite awkward")</f>
        <v>Thin section a little bit thin, sometimes quite awkward</v>
      </c>
    </row>
    <row r="7572">
      <c r="A7572" s="1">
        <v>4.0</v>
      </c>
      <c r="B7572" s="1" t="s">
        <v>7528</v>
      </c>
      <c r="C7572" t="str">
        <f>IFERROR(__xludf.DUMMYFUNCTION("GOOGLETRANSLATE(B7572, ""zh"", ""en"")"),"Cost-effective hand about a month, said that under the use of feelings, earmuffs summer with a little hot, low volume, AKG than before to open with one-third of high volume, clear sound quality for listening to pure music. Baia first time to buy a headset"&amp;", overseas Amazon purchase cost-effective, licensed only half the original price, members receive free shipping about a week.")</f>
        <v>Cost-effective hand about a month, said that under the use of feelings, earmuffs summer with a little hot, low volume, AKG than before to open with one-third of high volume, clear sound quality for listening to pure music. Baia first time to buy a headset, overseas Amazon purchase cost-effective, licensed only half the original price, members receive free shipping about a week.</v>
      </c>
    </row>
    <row r="7573">
      <c r="A7573" s="1">
        <v>4.0</v>
      </c>
      <c r="B7573" s="1" t="s">
        <v>7529</v>
      </c>
      <c r="C7573" t="str">
        <f>IFERROR(__xludf.DUMMYFUNCTION("GOOGLETRANSLATE(B7573, ""zh"", ""en"")"),"Fabric somewhat less")</f>
        <v>Fabric somewhat less</v>
      </c>
    </row>
    <row r="7574">
      <c r="A7574" s="1">
        <v>4.0</v>
      </c>
      <c r="B7574" s="1" t="s">
        <v>7530</v>
      </c>
      <c r="C7574" t="str">
        <f>IFERROR(__xludf.DUMMYFUNCTION("GOOGLETRANSLATE(B7574, ""zh"", ""en"")"),"Baby likes to drink baby likes to drink, I have been drinking this product")</f>
        <v>Baby likes to drink baby likes to drink, I have been drinking this product</v>
      </c>
    </row>
    <row r="7575">
      <c r="A7575" s="1">
        <v>4.0</v>
      </c>
      <c r="B7575" s="1" t="s">
        <v>7531</v>
      </c>
      <c r="C7575" t="str">
        <f>IFERROR(__xludf.DUMMYFUNCTION("GOOGLETRANSLATE(B7575, ""zh"", ""en"")"),"Very flexible feet, the fabric feels very good, very comfortable to wear, but the quality is generally right size, but it seems not very wearable, not long hung a hole, a relatively large color difference")</f>
        <v>Very flexible feet, the fabric feels very good, very comfortable to wear, but the quality is generally right size, but it seems not very wearable, not long hung a hole, a relatively large color difference</v>
      </c>
    </row>
    <row r="7576">
      <c r="A7576" s="1">
        <v>5.0</v>
      </c>
      <c r="B7576" s="1" t="s">
        <v>7532</v>
      </c>
      <c r="C7576" t="str">
        <f>IFERROR(__xludf.DUMMYFUNCTION("GOOGLETRANSLATE(B7576, ""zh"", ""en"")"),"It sounds great then spent a year and a half on TV, very good")</f>
        <v>It sounds great then spent a year and a half on TV, very good</v>
      </c>
    </row>
    <row r="7577">
      <c r="A7577" s="1">
        <v>5.0</v>
      </c>
      <c r="B7577" s="1" t="s">
        <v>7533</v>
      </c>
      <c r="C7577" t="str">
        <f>IFERROR(__xludf.DUMMYFUNCTION("GOOGLETRANSLATE(B7577, ""zh"", ""en"")"),"Good brush 10 brush head home together enough for one year, with the 7000 and 9000 using")</f>
        <v>Good brush 10 brush head home together enough for one year, with the 7000 and 9000 using</v>
      </c>
    </row>
    <row r="7578">
      <c r="A7578" s="1">
        <v>5.0</v>
      </c>
      <c r="B7578" s="1" t="s">
        <v>7534</v>
      </c>
      <c r="C7578" t="str">
        <f>IFERROR(__xludf.DUMMYFUNCTION("GOOGLETRANSLATE(B7578, ""zh"", ""en"")"),"200 yuan can buy the right size belt hugo boss, and value! With soft, buckle exquisite workmanship. Full leather, handmade Tunisia. satisfaction! It refers to the size of the buckle 85 to the third satellite buttonhole length of 85cm, the entire length of"&amp;" the belt 103cm.")</f>
        <v>200 yuan can buy the right size belt hugo boss, and value! With soft, buckle exquisite workmanship. Full leather, handmade Tunisia. satisfaction! It refers to the size of the buckle 85 to the third satellite buttonhole length of 85cm, the entire length of the belt 103cm.</v>
      </c>
    </row>
    <row r="7579">
      <c r="A7579" s="1">
        <v>5.0</v>
      </c>
      <c r="B7579" s="1" t="s">
        <v>7535</v>
      </c>
      <c r="C7579" t="str">
        <f>IFERROR(__xludf.DUMMYFUNCTION("GOOGLETRANSLATE(B7579, ""zh"", ""en"")"),"Prices are very favorable fit, US9 = 27cm, consistent with the normal number of sports shoes, the price was more than 200")</f>
        <v>Prices are very favorable fit, US9 = 27cm, consistent with the normal number of sports shoes, the price was more than 200</v>
      </c>
    </row>
    <row r="7580">
      <c r="A7580" s="1">
        <v>5.0</v>
      </c>
      <c r="B7580" s="1" t="s">
        <v>7536</v>
      </c>
      <c r="C7580" t="str">
        <f>IFERROR(__xludf.DUMMYFUNCTION("GOOGLETRANSLATE(B7580, ""zh"", ""en"")"),"satisfaction. Satisfied, microprojectile fabrics, elastic waist structure, little stomach very comfortable to wear. Normal size. 172,74kg size 32 * 30 straight jeans. Trousers can be smaller perfect.")</f>
        <v>satisfaction. Satisfied, microprojectile fabrics, elastic waist structure, little stomach very comfortable to wear. Normal size. 172,74kg size 32 * 30 straight jeans. Trousers can be smaller perfect.</v>
      </c>
    </row>
    <row r="7581">
      <c r="A7581" s="1">
        <v>5.0</v>
      </c>
      <c r="B7581" s="1" t="s">
        <v>7537</v>
      </c>
      <c r="C7581" t="str">
        <f>IFERROR(__xludf.DUMMYFUNCTION("GOOGLETRANSLATE(B7581, ""zh"", ""en"")"),"Thin section, United States Code belongs to the thin section is too large, the elastic general, United States Code is too large, 170,74kg wearing too m, s just")</f>
        <v>Thin section, United States Code belongs to the thin section is too large, the elastic general, United States Code is too large, 170,74kg wearing too m, s just</v>
      </c>
    </row>
    <row r="7582">
      <c r="A7582" s="1">
        <v>5.0</v>
      </c>
      <c r="B7582" s="1" t="s">
        <v>7538</v>
      </c>
      <c r="C7582" t="str">
        <f>IFERROR(__xludf.DUMMYFUNCTION("GOOGLETRANSLATE(B7582, ""zh"", ""en"")"),"I really witty size, usually wear 35 yards shoes this shoes I want 37 yards is uk4, thinking big can pad insoles, I feel very fit, the right foot at the ankle bones card with a little tight, going to support what shoes. Wear handsome, good cortex, which i"&amp;"s a thin layer of cotton, winter wear is not cold. Drawback is tried off easily from the horizontal. Very satisfied")</f>
        <v>I really witty size, usually wear 35 yards shoes this shoes I want 37 yards is uk4, thinking big can pad insoles, I feel very fit, the right foot at the ankle bones card with a little tight, going to support what shoes. Wear handsome, good cortex, which is a thin layer of cotton, winter wear is not cold. Drawback is tried off easily from the horizontal. Very satisfied</v>
      </c>
    </row>
    <row r="7583">
      <c r="A7583" s="1">
        <v>5.0</v>
      </c>
      <c r="B7583" s="1" t="s">
        <v>7539</v>
      </c>
      <c r="C7583" t="str">
        <f>IFERROR(__xludf.DUMMYFUNCTION("GOOGLETRANSLATE(B7583, ""zh"", ""en"")"),"I deserve to have 44.5 feet high and wide foot, chose 10.5 yards 2e, without adding insole a little big, just the right width, about 1500 prices, relatively satisfactory, recently dropped more than 1,400 for shots. Footwear is definitely a good shoe, the "&amp;"effect after the run-in expectations. The only blocked heart is, shoebox actually not original!")</f>
        <v>I deserve to have 44.5 feet high and wide foot, chose 10.5 yards 2e, without adding insole a little big, just the right width, about 1500 prices, relatively satisfactory, recently dropped more than 1,400 for shots. Footwear is definitely a good shoe, the effect after the run-in expectations. The only blocked heart is, shoebox actually not original!</v>
      </c>
    </row>
    <row r="7584">
      <c r="A7584" s="1">
        <v>5.0</v>
      </c>
      <c r="B7584" s="1" t="s">
        <v>7540</v>
      </c>
      <c r="C7584" t="str">
        <f>IFERROR(__xludf.DUMMYFUNCTION("GOOGLETRANSLATE(B7584, ""zh"", ""en"")"),"Size just good second time to buy, the size can not go wrong. For the first time to buy is recommended to go to the store to try size")</f>
        <v>Size just good second time to buy, the size can not go wrong. For the first time to buy is recommended to go to the store to try size</v>
      </c>
    </row>
    <row r="7585">
      <c r="A7585" s="1">
        <v>5.0</v>
      </c>
      <c r="B7585" s="1" t="s">
        <v>7541</v>
      </c>
      <c r="C7585" t="str">
        <f>IFERROR(__xludf.DUMMYFUNCTION("GOOGLETRANSLATE(B7585, ""zh"", ""en"")"),"Power good is to match supply")</f>
        <v>Power good is to match supply</v>
      </c>
    </row>
    <row r="7586">
      <c r="A7586" s="1">
        <v>5.0</v>
      </c>
      <c r="B7586" s="1" t="s">
        <v>7542</v>
      </c>
      <c r="C7586" t="str">
        <f>IFERROR(__xludf.DUMMYFUNCTION("GOOGLETRANSLATE(B7586, ""zh"", ""en"")"),"Casual shoes before you buy off the three read reviews, it really is relatively wide forefoot, he said most of the code is also for this reason. The shoes fit our feet, leather is very soft, activity is also very easy.")</f>
        <v>Casual shoes before you buy off the three read reviews, it really is relatively wide forefoot, he said most of the code is also for this reason. The shoes fit our feet, leather is very soft, activity is also very easy.</v>
      </c>
    </row>
    <row r="7587">
      <c r="A7587" s="1">
        <v>5.0</v>
      </c>
      <c r="B7587" s="1" t="s">
        <v>7543</v>
      </c>
      <c r="C7587" t="str">
        <f>IFERROR(__xludf.DUMMYFUNCTION("GOOGLETRANSLATE(B7587, ""zh"", ""en"")"),"Detailed specifications are as follows three specially-mail sent today, asked the customer service, customer service told me to help verify the specifications of these three is a pressing piece of children, and two pressure noodles child, specifications a"&amp;"re 2mm thickness and 6.5mm thickness, because page did not write out in detail, we can refer to -")</f>
        <v>Detailed specifications are as follows three specially-mail sent today, asked the customer service, customer service told me to help verify the specifications of these three is a pressing piece of children, and two pressure noodles child, specifications are 2mm thickness and 6.5mm thickness, because page did not write out in detail, we can refer to -</v>
      </c>
    </row>
    <row r="7588">
      <c r="A7588" s="1">
        <v>5.0</v>
      </c>
      <c r="B7588" s="1" t="s">
        <v>7544</v>
      </c>
      <c r="C7588" t="str">
        <f>IFERROR(__xludf.DUMMYFUNCTION("GOOGLETRANSLATE(B7588, ""zh"", ""en"")"),"Very good, very good just right, just right")</f>
        <v>Very good, very good just right, just right</v>
      </c>
    </row>
    <row r="7589">
      <c r="A7589" s="1">
        <v>5.0</v>
      </c>
      <c r="B7589" s="1" t="s">
        <v>7545</v>
      </c>
      <c r="C7589" t="str">
        <f>IFERROR(__xludf.DUMMYFUNCTION("GOOGLETRANSLATE(B7589, ""zh"", ""en"")"),"Great styling and quality modeling nice, good quality.")</f>
        <v>Great styling and quality modeling nice, good quality.</v>
      </c>
    </row>
    <row r="7590">
      <c r="A7590" s="1">
        <v>5.0</v>
      </c>
      <c r="B7590" s="1" t="s">
        <v>7546</v>
      </c>
      <c r="C7590" t="str">
        <f>IFERROR(__xludf.DUMMYFUNCTION("GOOGLETRANSLATE(B7590, ""zh"", ""en"")"),"Put on a very handsome version is not very delicate, is kind of cool. May be due to a broad-brimmed's sake, it is a big foot. 36 feet buy US6, a little little freshman, but winter wear thick socks would be appropriate.")</f>
        <v>Put on a very handsome version is not very delicate, is kind of cool. May be due to a broad-brimmed's sake, it is a big foot. 36 feet buy US6, a little little freshman, but winter wear thick socks would be appropriate.</v>
      </c>
    </row>
    <row r="7591">
      <c r="A7591" s="1">
        <v>5.0</v>
      </c>
      <c r="B7591" s="1" t="s">
        <v>7547</v>
      </c>
      <c r="C7591" t="str">
        <f>IFERROR(__xludf.DUMMYFUNCTION("GOOGLETRANSLATE(B7591, ""zh"", ""en"")"),"CITIZEN solar-powered watch simple atmosphere, affordable.")</f>
        <v>CITIZEN solar-powered watch simple atmosphere, affordable.</v>
      </c>
    </row>
    <row r="7592">
      <c r="A7592" s="1">
        <v>5.0</v>
      </c>
      <c r="B7592" s="1" t="s">
        <v>7548</v>
      </c>
      <c r="C7592" t="str">
        <f>IFERROR(__xludf.DUMMYFUNCTION("GOOGLETRANSLATE(B7592, ""zh"", ""en"")"),"Ladybug ladybug is also very good ah gave niece, children like")</f>
        <v>Ladybug ladybug is also very good ah gave niece, children like</v>
      </c>
    </row>
    <row r="7593">
      <c r="A7593" s="1">
        <v>5.0</v>
      </c>
      <c r="B7593" s="1" t="s">
        <v>7549</v>
      </c>
      <c r="C7593" t="str">
        <f>IFERROR(__xludf.DUMMYFUNCTION("GOOGLETRANSLATE(B7593, ""zh"", ""en"")"),"Shoe size just right, look no scratches, very satisfied with the 245 feet long, usually wear sneakers us7.5, which bought 7.0 pairs of shoes to try on the next, not just right pad insole, but this seems only half insole , in the end you do not need to pad"&amp;" insole?")</f>
        <v>Shoe size just right, look no scratches, very satisfied with the 245 feet long, usually wear sneakers us7.5, which bought 7.0 pairs of shoes to try on the next, not just right pad insole, but this seems only half insole , in the end you do not need to pad insole?</v>
      </c>
    </row>
    <row r="7594">
      <c r="A7594" s="1">
        <v>5.0</v>
      </c>
      <c r="B7594" s="1" t="s">
        <v>7550</v>
      </c>
      <c r="C7594" t="str">
        <f>IFERROR(__xludf.DUMMYFUNCTION("GOOGLETRANSLATE(B7594, ""zh"", ""en"")"),"Support good, wearing a long time does not Le feeling something really good, there is support, wearing a long time did not feel lux, with black the better, not dirt white")</f>
        <v>Support good, wearing a long time does not Le feeling something really good, there is support, wearing a long time did not feel lux, with black the better, not dirt white</v>
      </c>
    </row>
    <row r="7595">
      <c r="A7595" s="1">
        <v>5.0</v>
      </c>
      <c r="B7595" s="1" t="s">
        <v>7551</v>
      </c>
      <c r="C7595" t="str">
        <f>IFERROR(__xludf.DUMMYFUNCTION("GOOGLETRANSLATE(B7595, ""zh"", ""en"")"),"450 premium tax, super cost-effective, but there are a few pieces of cracked. Colorful, watching feel good. No. 6 July received, unpacked only to see today, satisfaction")</f>
        <v>450 premium tax, super cost-effective, but there are a few pieces of cracked. Colorful, watching feel good. No. 6 July received, unpacked only to see today, satisfaction</v>
      </c>
    </row>
    <row r="7596">
      <c r="A7596" s="1">
        <v>5.0</v>
      </c>
      <c r="B7596" s="1" t="s">
        <v>7552</v>
      </c>
      <c r="C7596" t="str">
        <f>IFERROR(__xludf.DUMMYFUNCTION("GOOGLETRANSLATE(B7596, ""zh"", ""en"")"),"Clothes sleeves a bit long, the other bad.")</f>
        <v>Clothes sleeves a bit long, the other bad.</v>
      </c>
    </row>
    <row r="7597">
      <c r="A7597" s="1">
        <v>5.0</v>
      </c>
      <c r="B7597" s="1" t="s">
        <v>7553</v>
      </c>
      <c r="C7597" t="str">
        <f>IFERROR(__xludf.DUMMYFUNCTION("GOOGLETRANSLATE(B7597, ""zh"", ""en"")"),"Waist positive legs wide to buy a fat waist size is very positive, legs too fat, 42 yards trousers mouth 50cm, too")</f>
        <v>Waist positive legs wide to buy a fat waist size is very positive, legs too fat, 42 yards trousers mouth 50cm, too</v>
      </c>
    </row>
    <row r="7598">
      <c r="A7598" s="1">
        <v>2.0</v>
      </c>
      <c r="B7598" s="1" t="s">
        <v>7554</v>
      </c>
      <c r="C7598" t="str">
        <f>IFERROR(__xludf.DUMMYFUNCTION("GOOGLETRANSLATE(B7598, ""zh"", ""en"")"),"Too large a lot of big, only given away,")</f>
        <v>Too large a lot of big, only given away,</v>
      </c>
    </row>
    <row r="7599">
      <c r="A7599" s="1">
        <v>3.0</v>
      </c>
      <c r="B7599" s="1" t="s">
        <v>7555</v>
      </c>
      <c r="C7599" t="str">
        <f>IFERROR(__xludf.DUMMYFUNCTION("GOOGLETRANSLATE(B7599, ""zh"", ""en"")"),"Code number is too small shoes usually wear 40 yards, before ECCO shoes bought yardage is too large, that the sandals will be too large to wear them just a little bit small, should buy 41 yards better.")</f>
        <v>Code number is too small shoes usually wear 40 yards, before ECCO shoes bought yardage is too large, that the sandals will be too large to wear them just a little bit small, should buy 41 yards better.</v>
      </c>
    </row>
    <row r="7600">
      <c r="A7600" s="1">
        <v>3.0</v>
      </c>
      <c r="B7600" s="1" t="s">
        <v>7556</v>
      </c>
      <c r="C7600" t="str">
        <f>IFERROR(__xludf.DUMMYFUNCTION("GOOGLETRANSLATE(B7600, ""zh"", ""en"")"),"Champion of Champions short-sleeved short-sleeved I suggest you buy the Japanese version of the US version of the quality is really not as good as the domestic high imitation.")</f>
        <v>Champion of Champions short-sleeved short-sleeved I suggest you buy the Japanese version of the US version of the quality is really not as good as the domestic high imitation.</v>
      </c>
    </row>
    <row r="7601">
      <c r="A7601" s="1">
        <v>1.0</v>
      </c>
      <c r="B7601" s="1" t="s">
        <v>7557</v>
      </c>
      <c r="C7601" t="str">
        <f>IFERROR(__xludf.DUMMYFUNCTION("GOOGLETRANSLATE(B7601, ""zh"", ""en"")"),"Poor and tone is completely different, I feel like really, the material is too thin, very low chest logo printed, return shipping to 125, Kengren")</f>
        <v>Poor and tone is completely different, I feel like really, the material is too thin, very low chest logo printed, return shipping to 125, Kengren</v>
      </c>
    </row>
    <row r="7602">
      <c r="A7602" s="1">
        <v>1.0</v>
      </c>
      <c r="B7602" s="1" t="s">
        <v>7558</v>
      </c>
      <c r="C7602" t="str">
        <f>IFERROR(__xludf.DUMMYFUNCTION("GOOGLETRANSLATE(B7602, ""zh"", ""en"")"),"Severe hair loss is very disappointing. Wear once and lost a bunch of hair. I never bought so many times leggings. Still had three off the hook. Amazon sold serious doubts Atsugi is designed for shop defective.")</f>
        <v>Severe hair loss is very disappointing. Wear once and lost a bunch of hair. I never bought so many times leggings. Still had three off the hook. Amazon sold serious doubts Atsugi is designed for shop defective.</v>
      </c>
    </row>
    <row r="7603">
      <c r="A7603" s="1">
        <v>1.0</v>
      </c>
      <c r="B7603" s="1" t="s">
        <v>7559</v>
      </c>
      <c r="C7603" t="str">
        <f>IFERROR(__xludf.DUMMYFUNCTION("GOOGLETRANSLATE(B7603, ""zh"", ""en"")"),"Express poor attitude special packaging is not good, not been used, is not very good logistics, express delivery to the point of taking delivery, the attitude is also so bad")</f>
        <v>Express poor attitude special packaging is not good, not been used, is not very good logistics, express delivery to the point of taking delivery, the attitude is also so bad</v>
      </c>
    </row>
    <row r="7604">
      <c r="A7604" s="1">
        <v>4.0</v>
      </c>
      <c r="B7604" s="1" t="s">
        <v>7560</v>
      </c>
      <c r="C7604" t="str">
        <f>IFERROR(__xludf.DUMMYFUNCTION("GOOGLETRANSLATE(B7604, ""zh"", ""en"")"),"Overall very good, did not experience the first time to buy, buy big point overall is very good, did not experience the first time to buy, buy big points. My husband always wanted this brand of shoes, choose a long time before the election was this. Put o"&amp;"n a very handsome.")</f>
        <v>Overall very good, did not experience the first time to buy, buy big point overall is very good, did not experience the first time to buy, buy big points. My husband always wanted this brand of shoes, choose a long time before the election was this. Put on a very handsome.</v>
      </c>
    </row>
    <row r="7605">
      <c r="A7605" s="1">
        <v>4.0</v>
      </c>
      <c r="B7605" s="1" t="s">
        <v>7561</v>
      </c>
      <c r="C7605" t="str">
        <f>IFERROR(__xludf.DUMMYFUNCTION("GOOGLETRANSLATE(B7605, ""zh"", ""en"")"),"Very, very good, never went before the evaluation, I do not know how many wasted points, points can change money now know, they should look carefully evaluated, then I put these words to copy to go, both to earn points, but also the easy way to go where c"&amp;"opy where, most importantly, do not seriously review, do not think how much worse word, sent directly to it, recommend it to everyone")</f>
        <v>Very, very good, never went before the evaluation, I do not know how many wasted points, points can change money now know, they should look carefully evaluated, then I put these words to copy to go, both to earn points, but also the easy way to go where copy where, most importantly, do not seriously review, do not think how much worse word, sent directly to it, recommend it to everyone</v>
      </c>
    </row>
    <row r="7606">
      <c r="A7606" s="1">
        <v>4.0</v>
      </c>
      <c r="B7606" s="1" t="s">
        <v>7562</v>
      </c>
      <c r="C7606" t="str">
        <f>IFERROR(__xludf.DUMMYFUNCTION("GOOGLETRANSLATE(B7606, ""zh"", ""en"")"),"hoppetta purchased hoppetta with grobag sleeping bag, different. Three-piece baby sleeping essential things")</f>
        <v>hoppetta purchased hoppetta with grobag sleeping bag, different. Three-piece baby sleeping essential things</v>
      </c>
    </row>
    <row r="7607">
      <c r="A7607" s="1">
        <v>4.0</v>
      </c>
      <c r="B7607" s="1" t="s">
        <v>7563</v>
      </c>
      <c r="C7607" t="str">
        <f>IFERROR(__xludf.DUMMYFUNCTION("GOOGLETRANSLATE(B7607, ""zh"", ""en"")"),"Please strengthen the package Hey Dea! One thousand yuan lower than similar products on a cat. Due to exchange rate fluctuations may have on the price of the next hundred dollars floating. Exquisite styling than the introductory paragraph, the metallic lu"&amp;"ster obvious sense. My husband likes to say - after the use of Oh! On the packaging is drunk, environmental Dea good province, there is no packaging, Poliaogedong on the packaging, but things did not fall out. This is a star on the buckle. Dea recommended"&amp;" package outside layers of bubble wrap or cushion cartons. If you give it away, then there is a hole to an embarrassing thing ~")</f>
        <v>Please strengthen the package Hey Dea! One thousand yuan lower than similar products on a cat. Due to exchange rate fluctuations may have on the price of the next hundred dollars floating. Exquisite styling than the introductory paragraph, the metallic luster obvious sense. My husband likes to say - after the use of Oh! On the packaging is drunk, environmental Dea good province, there is no packaging, Poliaogedong on the packaging, but things did not fall out. This is a star on the buckle. Dea recommended package outside layers of bubble wrap or cushion cartons. If you give it away, then there is a hole to an embarrassing thing ~</v>
      </c>
    </row>
    <row r="7608">
      <c r="A7608" s="1">
        <v>4.0</v>
      </c>
      <c r="B7608" s="1" t="s">
        <v>7564</v>
      </c>
      <c r="C7608" t="str">
        <f>IFERROR(__xludf.DUMMYFUNCTION("GOOGLETRANSLATE(B7608, ""zh"", ""en"")"),"My daughter seems to have effect after eating, poor digestion problem has improved, but has not yet reached the ideal state")</f>
        <v>My daughter seems to have effect after eating, poor digestion problem has improved, but has not yet reached the ideal state</v>
      </c>
    </row>
    <row r="7609">
      <c r="A7609" s="1">
        <v>5.0</v>
      </c>
      <c r="B7609" s="1" t="s">
        <v>7565</v>
      </c>
      <c r="C7609" t="str">
        <f>IFERROR(__xludf.DUMMYFUNCTION("GOOGLETRANSLATE(B7609, ""zh"", ""en"")"),"Something good height 174, weight 88, wearing just 34w, it should be said than the domestic version of the type larger. In addition the fabric is thick, but feel good feeling, it should be more wear well")</f>
        <v>Something good height 174, weight 88, wearing just 34w, it should be said than the domestic version of the type larger. In addition the fabric is thick, but feel good feeling, it should be more wear well</v>
      </c>
    </row>
    <row r="7610">
      <c r="A7610" s="1">
        <v>5.0</v>
      </c>
      <c r="B7610" s="1" t="s">
        <v>7566</v>
      </c>
      <c r="C7610" t="str">
        <f>IFERROR(__xludf.DUMMYFUNCTION("GOOGLETRANSLATE(B7610, ""zh"", ""en"")"),"Very comfortable and very good, and very warm with winter heating, wear this on it")</f>
        <v>Very comfortable and very good, and very warm with winter heating, wear this on it</v>
      </c>
    </row>
    <row r="7611">
      <c r="A7611" s="1">
        <v>5.0</v>
      </c>
      <c r="B7611" s="1" t="s">
        <v>7567</v>
      </c>
      <c r="C7611" t="str">
        <f>IFERROR(__xludf.DUMMYFUNCTION("GOOGLETRANSLATE(B7611, ""zh"", ""en"")"),"It must be five-star service. Eight days of receipt of goods, free shipping members spent a total of 640 yuan, after receipt found transport temperature control knob violence cracked and fell to a 4 cm seam, after customer complaints told to return or loc"&amp;"al maintenance, trouble considering return receipt local service opened $ 290 Amazon for a refund. Products useless bad reviews, but Amazon sale must be five-star.")</f>
        <v>It must be five-star service. Eight days of receipt of goods, free shipping members spent a total of 640 yuan, after receipt found transport temperature control knob violence cracked and fell to a 4 cm seam, after customer complaints told to return or local maintenance, trouble considering return receipt local service opened $ 290 Amazon for a refund. Products useless bad reviews, but Amazon sale must be five-star.</v>
      </c>
    </row>
    <row r="7612">
      <c r="A7612" s="1">
        <v>5.0</v>
      </c>
      <c r="B7612" s="1" t="s">
        <v>7568</v>
      </c>
      <c r="C7612" t="str">
        <f>IFERROR(__xludf.DUMMYFUNCTION("GOOGLETRANSLATE(B7612, ""zh"", ""en"")"),"Well worth buying. Is the second double their music with affordable, choose the size of a smaller size.")</f>
        <v>Well worth buying. Is the second double their music with affordable, choose the size of a smaller size.</v>
      </c>
    </row>
    <row r="7613">
      <c r="A7613" s="1">
        <v>5.0</v>
      </c>
      <c r="B7613" s="1" t="s">
        <v>7569</v>
      </c>
      <c r="C7613" t="str">
        <f>IFERROR(__xludf.DUMMYFUNCTION("GOOGLETRANSLATE(B7613, ""zh"", ""en"")"),"Good quality original line, good quality, but eventually had to break, that is a common problem")</f>
        <v>Good quality original line, good quality, but eventually had to break, that is a common problem</v>
      </c>
    </row>
    <row r="7614">
      <c r="A7614" s="1">
        <v>5.0</v>
      </c>
      <c r="B7614" s="1" t="s">
        <v>7570</v>
      </c>
      <c r="C7614" t="str">
        <f>IFERROR(__xludf.DUMMYFUNCTION("GOOGLETRANSLATE(B7614, ""zh"", ""en"")"),"Male underwear after washing found a lot of hairs, floating in the water, for the first time must be washed in wear.")</f>
        <v>Male underwear after washing found a lot of hairs, floating in the water, for the first time must be washed in wear.</v>
      </c>
    </row>
    <row r="7615">
      <c r="A7615" s="1">
        <v>5.0</v>
      </c>
      <c r="B7615" s="1" t="s">
        <v>7571</v>
      </c>
      <c r="C7615" t="str">
        <f>IFERROR(__xludf.DUMMYFUNCTION("GOOGLETRANSLATE(B7615, ""zh"", ""en"")"),"Law-abiding, without losing the beauty of speed within the expected range, very light, very beautiful")</f>
        <v>Law-abiding, without losing the beauty of speed within the expected range, very light, very beautiful</v>
      </c>
    </row>
    <row r="7616">
      <c r="A7616" s="1">
        <v>5.0</v>
      </c>
      <c r="B7616" s="1" t="s">
        <v>7572</v>
      </c>
      <c r="C7616" t="str">
        <f>IFERROR(__xludf.DUMMYFUNCTION("GOOGLETRANSLATE(B7616, ""zh"", ""en"")"),"Second purchase essential nursery, bought to give this child a friend's house.")</f>
        <v>Second purchase essential nursery, bought to give this child a friend's house.</v>
      </c>
    </row>
    <row r="7617">
      <c r="A7617" s="1">
        <v>5.0</v>
      </c>
      <c r="B7617" s="1" t="s">
        <v>7573</v>
      </c>
      <c r="C7617" t="str">
        <f>IFERROR(__xludf.DUMMYFUNCTION("GOOGLETRANSLATE(B7617, ""zh"", ""en"")"),"Satisfied with the clothes the right size, very satisfied!")</f>
        <v>Satisfied with the clothes the right size, very satisfied!</v>
      </c>
    </row>
    <row r="7618">
      <c r="A7618" s="1">
        <v>5.0</v>
      </c>
      <c r="B7618" s="1" t="s">
        <v>7574</v>
      </c>
      <c r="C7618" t="str">
        <f>IFERROR(__xludf.DUMMYFUNCTION("GOOGLETRANSLATE(B7618, ""zh"", ""en"")"),"Suitable code number 162 116 kg m code suitable straight cloth")</f>
        <v>Suitable code number 162 116 kg m code suitable straight cloth</v>
      </c>
    </row>
    <row r="7619">
      <c r="A7619" s="1">
        <v>5.0</v>
      </c>
      <c r="B7619" s="1" t="s">
        <v>7575</v>
      </c>
      <c r="C7619" t="str">
        <f>IFERROR(__xludf.DUMMYFUNCTION("GOOGLETRANSLATE(B7619, ""zh"", ""en"")"),"very good! Our family favorite shoes is ecco, I have 10 pairs soon, this time overseas purchase price is very beautiful, to myself and my family bought seven pairs! Haha, when everyone says received so comfortable shoes, size being the most important to s"&amp;"ay three times, comfortable, comfortable, very comfortable! For older people, it is a pleasure to wear ecco walking, walking one day tired. Everyone praised me to help them buy the highest price shoes!")</f>
        <v>very good! Our family favorite shoes is ecco, I have 10 pairs soon, this time overseas purchase price is very beautiful, to myself and my family bought seven pairs! Haha, when everyone says received so comfortable shoes, size being the most important to say three times, comfortable, comfortable, very comfortable! For older people, it is a pleasure to wear ecco walking, walking one day tired. Everyone praised me to help them buy the highest price shoes!</v>
      </c>
    </row>
    <row r="7620">
      <c r="A7620" s="1">
        <v>5.0</v>
      </c>
      <c r="B7620" s="1" t="s">
        <v>7576</v>
      </c>
      <c r="C7620" t="str">
        <f>IFERROR(__xludf.DUMMYFUNCTION("GOOGLETRANSLATE(B7620, ""zh"", ""en"")"),"Really very nice very satisfied particularly comfortable")</f>
        <v>Really very nice very satisfied particularly comfortable</v>
      </c>
    </row>
    <row r="7621">
      <c r="A7621" s="1">
        <v>5.0</v>
      </c>
      <c r="B7621" s="1" t="s">
        <v>7577</v>
      </c>
      <c r="C7621" t="str">
        <f>IFERROR(__xludf.DUMMYFUNCTION("GOOGLETRANSLATE(B7621, ""zh"", ""en"")"),"32W32L 175 Limi 75 kg, 32W32L these pants very fit. Kinda like the color. But the fabric partial thickness should be suitable for spring and autumn wear.")</f>
        <v>32W32L 175 Limi 75 kg, 32W32L these pants very fit. Kinda like the color. But the fabric partial thickness should be suitable for spring and autumn wear.</v>
      </c>
    </row>
    <row r="7622">
      <c r="A7622" s="1">
        <v>5.0</v>
      </c>
      <c r="B7622" s="1" t="s">
        <v>7578</v>
      </c>
      <c r="C7622" t="str">
        <f>IFERROR(__xludf.DUMMYFUNCTION("GOOGLETRANSLATE(B7622, ""zh"", ""en"")"),"Yes ECCO shoes good, very soft leather, soles and comfortable, but some wear heels, wear long after the estimated time of good will")</f>
        <v>Yes ECCO shoes good, very soft leather, soles and comfortable, but some wear heels, wear long after the estimated time of good will</v>
      </c>
    </row>
    <row r="7623">
      <c r="A7623" s="1">
        <v>5.0</v>
      </c>
      <c r="B7623" s="1" t="s">
        <v>7579</v>
      </c>
      <c r="C7623" t="str">
        <f>IFERROR(__xludf.DUMMYFUNCTION("GOOGLETRANSLATE(B7623, ""zh"", ""en"")"),"Practical mini-compact nylon bag package, compartment lot, just to diagonal bottle of mineral water. Positioning summer recreation")</f>
        <v>Practical mini-compact nylon bag package, compartment lot, just to diagonal bottle of mineral water. Positioning summer recreation</v>
      </c>
    </row>
    <row r="7624">
      <c r="A7624" s="1">
        <v>5.0</v>
      </c>
      <c r="B7624" s="1" t="s">
        <v>7580</v>
      </c>
      <c r="C7624" t="str">
        <f>IFERROR(__xludf.DUMMYFUNCTION("GOOGLETRANSLATE(B7624, ""zh"", ""en"")"),"Sanford Charlie Horse is indeed the color of lead 48 color Sanford Charlie Horse color of lead, overlapping color is very good, colorful, easy to color, very smooth stroke - although more expensive, but because it is cheaper than purchasing the direct pur"&amp;"chase of overseas ,worth buying! In addition, if the packaging is quite tight, the inside filled with inflatable bags, probably because it is issued by the US side, but also in the customs inspection frustrating than a few days, the original packaging has"&amp;" been opened at the scene, but was full of useful and easy re-sealing tape well, the things inside intact, this is the first overseas purchase just met g20 summit, it is relatively slow clearance, consult the Amazon customer service, service is good, whet"&amp;"her telephone, e-mail or text messages are all responses have help solve the problem, not neglect, hope to continue their efforts better and better.")</f>
        <v>Sanford Charlie Horse is indeed the color of lead 48 color Sanford Charlie Horse color of lead, overlapping color is very good, colorful, easy to color, very smooth stroke - although more expensive, but because it is cheaper than purchasing the direct purchase of overseas ,worth buying! In addition, if the packaging is quite tight, the inside filled with inflatable bags, probably because it is issued by the US side, but also in the customs inspection frustrating than a few days, the original packaging has been opened at the scene, but was full of useful and easy re-sealing tape well, the things inside intact, this is the first overseas purchase just met g20 summit, it is relatively slow clearance, consult the Amazon customer service, service is good, whether telephone, e-mail or text messages are all responses have help solve the problem, not neglect, hope to continue their efforts better and better.</v>
      </c>
    </row>
    <row r="7625">
      <c r="A7625" s="1">
        <v>5.0</v>
      </c>
      <c r="B7625" s="1" t="s">
        <v>7581</v>
      </c>
      <c r="C7625" t="str">
        <f>IFERROR(__xludf.DUMMYFUNCTION("GOOGLETRANSLATE(B7625, ""zh"", ""en"")"),"For the first time in amzon buy fish oil, fish oil experience a good buy for the first time in amzon, good experience, express speed okay. Fish oil is also required after the effect of the observed effect.")</f>
        <v>For the first time in amzon buy fish oil, fish oil experience a good buy for the first time in amzon, good experience, express speed okay. Fish oil is also required after the effect of the observed effect.</v>
      </c>
    </row>
    <row r="7626">
      <c r="A7626" s="1">
        <v>5.0</v>
      </c>
      <c r="B7626" s="1" t="s">
        <v>7582</v>
      </c>
      <c r="C7626" t="str">
        <f>IFERROR(__xludf.DUMMYFUNCTION("GOOGLETRANSLATE(B7626, ""zh"", ""en"")"),"666 came from the United Kingdom postal 16 days, good quality, style, retro, looked under the Moroccan production, actually used the product in North Africa ..")</f>
        <v>666 came from the United Kingdom postal 16 days, good quality, style, retro, looked under the Moroccan production, actually used the product in North Africa ..</v>
      </c>
    </row>
    <row r="7627">
      <c r="A7627" s="1">
        <v>5.0</v>
      </c>
      <c r="B7627" s="1" t="s">
        <v>7583</v>
      </c>
      <c r="C7627" t="str">
        <f>IFERROR(__xludf.DUMMYFUNCTION("GOOGLETRANSLATE(B7627, ""zh"", ""en"")"),"Baby likes very practical. The baby is like, you can just grab the neck bite is very joyous, cook two back just fine, immediately become the new darling")</f>
        <v>Baby likes very practical. The baby is like, you can just grab the neck bite is very joyous, cook two back just fine, immediately become the new darling</v>
      </c>
    </row>
    <row r="7628">
      <c r="A7628" s="1">
        <v>5.0</v>
      </c>
      <c r="B7628" s="1" t="s">
        <v>7584</v>
      </c>
      <c r="C7628" t="str">
        <f>IFERROR(__xludf.DUMMYFUNCTION("GOOGLETRANSLATE(B7628, ""zh"", ""en"")"),"Well not yet used, beautiful colors")</f>
        <v>Well not yet used, beautiful colors</v>
      </c>
    </row>
    <row r="7629">
      <c r="A7629" s="1">
        <v>5.0</v>
      </c>
      <c r="B7629" s="1" t="s">
        <v>7585</v>
      </c>
      <c r="C7629" t="str">
        <f>IFERROR(__xludf.DUMMYFUNCTION("GOOGLETRANSLATE(B7629, ""zh"", ""en"")"),"Size Standard size is very standard, there is no color, prime members free shipping very cost-effective")</f>
        <v>Size Standard size is very standard, there is no color, prime members free shipping very cost-effective</v>
      </c>
    </row>
    <row r="7630">
      <c r="A7630" s="1">
        <v>5.0</v>
      </c>
      <c r="B7630" s="1" t="s">
        <v>7586</v>
      </c>
      <c r="C7630" t="str">
        <f>IFERROR(__xludf.DUMMYFUNCTION("GOOGLETRANSLATE(B7630, ""zh"", ""en"")"),"Goods have been received very good to eat and what protection see how the effect of")</f>
        <v>Goods have been received very good to eat and what protection see how the effect of</v>
      </c>
    </row>
    <row r="7631">
      <c r="A7631" s="1">
        <v>2.0</v>
      </c>
      <c r="B7631" s="1" t="s">
        <v>7587</v>
      </c>
      <c r="C7631" t="str">
        <f>IFERROR(__xludf.DUMMYFUNCTION("GOOGLETRANSLATE(B7631, ""zh"", ""en"")"),"General ordered Uk4, hair became 4.5, will wear it")</f>
        <v>General ordered Uk4, hair became 4.5, will wear it</v>
      </c>
    </row>
    <row r="7632">
      <c r="A7632" s="1">
        <v>3.0</v>
      </c>
      <c r="B7632" s="1" t="s">
        <v>7588</v>
      </c>
      <c r="C7632" t="str">
        <f>IFERROR(__xludf.DUMMYFUNCTION("GOOGLETRANSLATE(B7632, ""zh"", ""en"")"),"Still want to appropriate a little tight")</f>
        <v>Still want to appropriate a little tight</v>
      </c>
    </row>
    <row r="7633">
      <c r="A7633" s="1">
        <v>3.0</v>
      </c>
      <c r="B7633" s="1" t="s">
        <v>7589</v>
      </c>
      <c r="C7633" t="str">
        <f>IFERROR(__xludf.DUMMYFUNCTION("GOOGLETRANSLATE(B7633, ""zh"", ""en"")"),"Size is too big child chicken thief, 181,85 kg wear l too, in front of a comment misleading, estimates m loose points, s tight point, is not suitable for tall people ah")</f>
        <v>Size is too big child chicken thief, 181,85 kg wear l too, in front of a comment misleading, estimates m loose points, s tight point, is not suitable for tall people ah</v>
      </c>
    </row>
    <row r="7634">
      <c r="A7634" s="1">
        <v>3.0</v>
      </c>
      <c r="B7634" s="1" t="s">
        <v>7590</v>
      </c>
      <c r="C7634" t="str">
        <f>IFERROR(__xludf.DUMMYFUNCTION("GOOGLETRANSLATE(B7634, ""zh"", ""en"")"),"After buying experience and imagine the sound quality gap, the first to buy a 4.5 listening in the office, I feel okay, now that two boxes scattered some bass, voice tight, had wanted to return, think of watching movies at home by the weekend still alrigh"&amp;"t.")</f>
        <v>After buying experience and imagine the sound quality gap, the first to buy a 4.5 listening in the office, I feel okay, now that two boxes scattered some bass, voice tight, had wanted to return, think of watching movies at home by the weekend still alright.</v>
      </c>
    </row>
    <row r="7635">
      <c r="A7635" s="1">
        <v>1.0</v>
      </c>
      <c r="B7635" s="1" t="s">
        <v>7591</v>
      </c>
      <c r="C7635" t="str">
        <f>IFERROR(__xludf.DUMMYFUNCTION("GOOGLETRANSLATE(B7635, ""zh"", ""en"")"),"For the first genuine doubts I trust Amazon, after careful comparison I no receipt. Cause now has been a return period. Why buy second on Amazon and I bought in the United States are not the same, the color would not have said no US PATENT bar code on the"&amp;" key words. (US packaging has the word picture that I bought) after the packaging is opened the bottle handwriting is very shallow (dark picture of the writing color that I bought in the United States) I hope Amazon can give me a reasonable explanation, D"&amp;"o not lose my loyal customers.")</f>
        <v>For the first genuine doubts I trust Amazon, after careful comparison I no receipt. Cause now has been a return period. Why buy second on Amazon and I bought in the United States are not the same, the color would not have said no US PATENT bar code on the key words. (US packaging has the word picture that I bought) after the packaging is opened the bottle handwriting is very shallow (dark picture of the writing color that I bought in the United States) I hope Amazon can give me a reasonable explanation, Do not lose my loyal customers.</v>
      </c>
    </row>
    <row r="7636">
      <c r="A7636" s="1">
        <v>1.0</v>
      </c>
      <c r="B7636" s="1" t="s">
        <v>7592</v>
      </c>
      <c r="C7636" t="str">
        <f>IFERROR(__xludf.DUMMYFUNCTION("GOOGLETRANSLATE(B7636, ""zh"", ""en"")"),"Volume inconsistencies about six months after the left and right volume inconsistencies, stethoscope serious effect, can only eliminate ear hanging by the way.")</f>
        <v>Volume inconsistencies about six months after the left and right volume inconsistencies, stethoscope serious effect, can only eliminate ear hanging by the way.</v>
      </c>
    </row>
    <row r="7637">
      <c r="A7637" s="1">
        <v>1.0</v>
      </c>
      <c r="B7637" s="1" t="s">
        <v>7593</v>
      </c>
      <c r="C7637" t="str">
        <f>IFERROR(__xludf.DUMMYFUNCTION("GOOGLETRANSLATE(B7637, ""zh"", ""en"")"),"Lack of accessories. Missing goods, goods missing from the big cone blade, who to turn to?")</f>
        <v>Lack of accessories. Missing goods, goods missing from the big cone blade, who to turn to?</v>
      </c>
    </row>
    <row r="7638">
      <c r="A7638" s="1">
        <v>4.0</v>
      </c>
      <c r="B7638" s="1" t="s">
        <v>7594</v>
      </c>
      <c r="C7638" t="str">
        <f>IFERROR(__xludf.DUMMYFUNCTION("GOOGLETRANSLATE(B7638, ""zh"", ""en"")"),"180 may also be height, weight 80 kg, XL code just quality grade")</f>
        <v>180 may also be height, weight 80 kg, XL code just quality grade</v>
      </c>
    </row>
    <row r="7639">
      <c r="A7639" s="1">
        <v>4.0</v>
      </c>
      <c r="B7639" s="1" t="s">
        <v>7595</v>
      </c>
      <c r="C7639" t="str">
        <f>IFERROR(__xludf.DUMMYFUNCTION("GOOGLETRANSLATE(B7639, ""zh"", ""en"")"),"Too heavy is too heavy, and the original coating, also once lost, will have to get their own back coating, too much trouble, but really feel this pot can be handed down.")</f>
        <v>Too heavy is too heavy, and the original coating, also once lost, will have to get their own back coating, too much trouble, but really feel this pot can be handed down.</v>
      </c>
    </row>
    <row r="7640">
      <c r="A7640" s="1">
        <v>4.0</v>
      </c>
      <c r="B7640" s="1" t="s">
        <v>7596</v>
      </c>
      <c r="C7640" t="str">
        <f>IFERROR(__xludf.DUMMYFUNCTION("GOOGLETRANSLATE(B7640, ""zh"", ""en"")"),"Good value for money slightly larger in size controllable range, quality okay, no picture is so good-looking kind")</f>
        <v>Good value for money slightly larger in size controllable range, quality okay, no picture is so good-looking kind</v>
      </c>
    </row>
    <row r="7641">
      <c r="A7641" s="1">
        <v>4.0</v>
      </c>
      <c r="B7641" s="1" t="s">
        <v>7597</v>
      </c>
      <c r="C7641" t="str">
        <f>IFERROR(__xludf.DUMMYFUNCTION("GOOGLETRANSLATE(B7641, ""zh"", ""en"")"),"Worthy of brand and price but slightly large, have to buy M, do not buy S?")</f>
        <v>Worthy of brand and price but slightly large, have to buy M, do not buy S?</v>
      </c>
    </row>
    <row r="7642">
      <c r="A7642" s="1">
        <v>5.0</v>
      </c>
      <c r="B7642" s="1" t="s">
        <v>7598</v>
      </c>
      <c r="C7642" t="str">
        <f>IFERROR(__xludf.DUMMYFUNCTION("GOOGLETRANSLATE(B7642, ""zh"", ""en"")"),"Something good is genuine, if I buy a small one yard like, I quite thin legs")</f>
        <v>Something good is genuine, if I buy a small one yard like, I quite thin legs</v>
      </c>
    </row>
    <row r="7643">
      <c r="A7643" s="1">
        <v>5.0</v>
      </c>
      <c r="B7643" s="1" t="s">
        <v>7599</v>
      </c>
      <c r="C7643" t="str">
        <f>IFERROR(__xludf.DUMMYFUNCTION("GOOGLETRANSLATE(B7643, ""zh"", ""en"")"),"Dad to buy, saying that good quality suitable for autumn and winter wear. Daddy long legs about 26cm, buy 42 (UK8) said that slightly larger, but wear thick socks would be appropriate.")</f>
        <v>Dad to buy, saying that good quality suitable for autumn and winter wear. Daddy long legs about 26cm, buy 42 (UK8) said that slightly larger, but wear thick socks would be appropriate.</v>
      </c>
    </row>
    <row r="7644">
      <c r="A7644" s="1">
        <v>5.0</v>
      </c>
      <c r="B7644" s="1" t="s">
        <v>7600</v>
      </c>
      <c r="C7644" t="str">
        <f>IFERROR(__xludf.DUMMYFUNCTION("GOOGLETRANSLATE(B7644, ""zh"", ""en"")"),"Good quality good weight, get great quality hand feeling ......")</f>
        <v>Good quality good weight, get great quality hand feeling ......</v>
      </c>
    </row>
    <row r="7645">
      <c r="A7645" s="1">
        <v>5.0</v>
      </c>
      <c r="B7645" s="1" t="s">
        <v>7601</v>
      </c>
      <c r="C7645" t="str">
        <f>IFERROR(__xludf.DUMMYFUNCTION("GOOGLETRANSLATE(B7645, ""zh"", ""en"")"),"Loose a little bit loose")</f>
        <v>Loose a little bit loose</v>
      </c>
    </row>
    <row r="7646">
      <c r="A7646" s="1">
        <v>5.0</v>
      </c>
      <c r="B7646" s="1" t="s">
        <v>7602</v>
      </c>
      <c r="C7646" t="str">
        <f>IFERROR(__xludf.DUMMYFUNCTION("GOOGLETRANSLATE(B7646, ""zh"", ""en"")"),"Eight very wrong, especially like ^^ Run feeling, really beautiful color, when engaging in activities to buy two sets of different models, especially like ~ packaging there is nothing to point cushion pad, and a little scared inside the lead break, hope i"&amp;"mprove next time.")</f>
        <v>Eight very wrong, especially like ^^ Run feeling, really beautiful color, when engaging in activities to buy two sets of different models, especially like ~ packaging there is nothing to point cushion pad, and a little scared inside the lead break, hope improve next time.</v>
      </c>
    </row>
    <row r="7647">
      <c r="A7647" s="1">
        <v>5.0</v>
      </c>
      <c r="B7647" s="1" t="s">
        <v>7603</v>
      </c>
      <c r="C7647" t="str">
        <f>IFERROR(__xludf.DUMMYFUNCTION("GOOGLETRANSLATE(B7647, ""zh"", ""en"")"),"Good quality, good quality no smell, no smell, feel good bottle")</f>
        <v>Good quality, good quality no smell, no smell, feel good bottle</v>
      </c>
    </row>
    <row r="7648">
      <c r="A7648" s="1">
        <v>5.0</v>
      </c>
      <c r="B7648" s="1" t="s">
        <v>7604</v>
      </c>
      <c r="C7648" t="str">
        <f>IFERROR(__xludf.DUMMYFUNCTION("GOOGLETRANSLATE(B7648, ""zh"", ""en"")"),"Foot feeling very comfortable, suitable for hot days when the foot feeling very comfortable to wear, suitable for hot days wear")</f>
        <v>Foot feeling very comfortable, suitable for hot days when the foot feeling very comfortable to wear, suitable for hot days wear</v>
      </c>
    </row>
    <row r="7649">
      <c r="A7649" s="1">
        <v>5.0</v>
      </c>
      <c r="B7649" s="1" t="s">
        <v>7605</v>
      </c>
      <c r="C7649" t="str">
        <f>IFERROR(__xludf.DUMMYFUNCTION("GOOGLETRANSLATE(B7649, ""zh"", ""en"")"),"The version is good, but a little hair loss 183 CM, 86kg, M code just, a little hair loss, especially in sweat, sticky arm hair. . . . .")</f>
        <v>The version is good, but a little hair loss 183 CM, 86kg, M code just, a little hair loss, especially in sweat, sticky arm hair. . . . .</v>
      </c>
    </row>
    <row r="7650">
      <c r="A7650" s="1">
        <v>5.0</v>
      </c>
      <c r="B7650" s="1" t="s">
        <v>7606</v>
      </c>
      <c r="C7650" t="str">
        <f>IFERROR(__xludf.DUMMYFUNCTION("GOOGLETRANSLATE(B7650, ""zh"", ""en"")"),"Good to my mother to buy, how many feel should have to use it")</f>
        <v>Good to my mother to buy, how many feel should have to use it</v>
      </c>
    </row>
    <row r="7651">
      <c r="A7651" s="1">
        <v>5.0</v>
      </c>
      <c r="B7651" s="1" t="s">
        <v>7607</v>
      </c>
      <c r="C7651" t="str">
        <f>IFERROR(__xludf.DUMMYFUNCTION("GOOGLETRANSLATE(B7651, ""zh"", ""en"")"),"Overseas purchase overall okay, originally November 23 to advance to, fitted sheet box box too simple, table Rengzhao paper bag on the outside of the box, but fortunately the table itself is no problem, strap a little too hard, after all, that is, more th"&amp;"an two hundred yuan things go quite accurate, is not ye luminous watches look OK, place of origin did not see, do not know repurchase.")</f>
        <v>Overseas purchase overall okay, originally November 23 to advance to, fitted sheet box box too simple, table Rengzhao paper bag on the outside of the box, but fortunately the table itself is no problem, strap a little too hard, after all, that is, more than two hundred yuan things go quite accurate, is not ye luminous watches look OK, place of origin did not see, do not know repurchase.</v>
      </c>
    </row>
    <row r="7652">
      <c r="A7652" s="1">
        <v>5.0</v>
      </c>
      <c r="B7652" s="1" t="s">
        <v>7608</v>
      </c>
      <c r="C7652" t="str">
        <f>IFERROR(__xludf.DUMMYFUNCTION("GOOGLETRANSLATE(B7652, ""zh"", ""en"")"),"Table crown looks good, is the crown following a plastic have their own take, the whole for a long time a little trouble!")</f>
        <v>Table crown looks good, is the crown following a plastic have their own take, the whole for a long time a little trouble!</v>
      </c>
    </row>
    <row r="7653">
      <c r="A7653" s="1">
        <v>5.0</v>
      </c>
      <c r="B7653" s="1" t="s">
        <v>7609</v>
      </c>
      <c r="C7653" t="str">
        <f>IFERROR(__xludf.DUMMYFUNCTION("GOOGLETRANSLATE(B7653, ""zh"", ""en"")"),"A good friend of the band, she does not know how. Packaging good")</f>
        <v>A good friend of the band, she does not know how. Packaging good</v>
      </c>
    </row>
    <row r="7654">
      <c r="A7654" s="1">
        <v>5.0</v>
      </c>
      <c r="B7654" s="1" t="s">
        <v>7610</v>
      </c>
      <c r="C7654" t="str">
        <f>IFERROR(__xludf.DUMMYFUNCTION("GOOGLETRANSLATE(B7654, ""zh"", ""en"")"),"Dad very satisfied haha ​​father said to wear very comfortable, very satisfied haha ​​he is too expensive, but worth it")</f>
        <v>Dad very satisfied haha ​​father said to wear very comfortable, very satisfied haha ​​he is too expensive, but worth it</v>
      </c>
    </row>
    <row r="7655">
      <c r="A7655" s="1">
        <v>5.0</v>
      </c>
      <c r="B7655" s="1" t="s">
        <v>7611</v>
      </c>
      <c r="C7655" t="str">
        <f>IFERROR(__xludf.DUMMYFUNCTION("GOOGLETRANSLATE(B7655, ""zh"", ""en"")"),"349 yuan hand value of more than 60 288 plus tax, a total of 349 yuan, the materials can be non-yellow, accurate travel. No bump, the value of the")</f>
        <v>349 yuan hand value of more than 60 288 plus tax, a total of 349 yuan, the materials can be non-yellow, accurate travel. No bump, the value of the</v>
      </c>
    </row>
    <row r="7656">
      <c r="A7656" s="1">
        <v>5.0</v>
      </c>
      <c r="B7656" s="1" t="s">
        <v>7612</v>
      </c>
      <c r="C7656" t="str">
        <f>IFERROR(__xludf.DUMMYFUNCTION("GOOGLETRANSLATE(B7656, ""zh"", ""en"")"),"Good good day net goods than domestic goods cheaper than domestic Japan network cheaper")</f>
        <v>Good good day net goods than domestic goods cheaper than domestic Japan network cheaper</v>
      </c>
    </row>
    <row r="7657">
      <c r="A7657" s="1">
        <v>5.0</v>
      </c>
      <c r="B7657" s="1" t="s">
        <v>7613</v>
      </c>
      <c r="C7657" t="str">
        <f>IFERROR(__xludf.DUMMYFUNCTION("GOOGLETRANSLATE(B7657, ""zh"", ""en"")"),"Very, very good quality pants, the same price spike domestic brands.")</f>
        <v>Very, very good quality pants, the same price spike domestic brands.</v>
      </c>
    </row>
    <row r="7658">
      <c r="A7658" s="1">
        <v>5.0</v>
      </c>
      <c r="B7658" s="1" t="s">
        <v>7614</v>
      </c>
      <c r="C7658" t="str">
        <f>IFERROR(__xludf.DUMMYFUNCTION("GOOGLETRANSLATE(B7658, ""zh"", ""en"")"),"Down a very good price much cheaper than domestic, quality is also guaranteed, 177CM / 80KGS, a little bit big, but acceptable, very pleasant shopping experience")</f>
        <v>Down a very good price much cheaper than domestic, quality is also guaranteed, 177CM / 80KGS, a little bit big, but acceptable, very pleasant shopping experience</v>
      </c>
    </row>
    <row r="7659">
      <c r="A7659" s="1">
        <v>5.0</v>
      </c>
      <c r="B7659" s="1" t="s">
        <v>7615</v>
      </c>
      <c r="C7659" t="str">
        <f>IFERROR(__xludf.DUMMYFUNCTION("GOOGLETRANSLATE(B7659, ""zh"", ""en"")"),"Genuine New Balance shoe can get into the whole very good, neither hard nor soft foot feeling comfortable to wear very nice, very comfortable with the current parcel, good")</f>
        <v>Genuine New Balance shoe can get into the whole very good, neither hard nor soft foot feeling comfortable to wear very nice, very comfortable with the current parcel, good</v>
      </c>
    </row>
    <row r="7660">
      <c r="A7660" s="1">
        <v>5.0</v>
      </c>
      <c r="B7660" s="1" t="s">
        <v>7616</v>
      </c>
      <c r="C7660" t="str">
        <f>IFERROR(__xludf.DUMMYFUNCTION("GOOGLETRANSLATE(B7660, ""zh"", ""en"")"),"Because it is genuine overseas purchase it, but fairly smooth customs clearance, after the arrival of genuine, then still MADE IN USA because before I heard random shipped, mostly inexpensive it, satisfied.")</f>
        <v>Because it is genuine overseas purchase it, but fairly smooth customs clearance, after the arrival of genuine, then still MADE IN USA because before I heard random shipped, mostly inexpensive it, satisfied.</v>
      </c>
    </row>
    <row r="7661">
      <c r="A7661" s="1">
        <v>5.0</v>
      </c>
      <c r="B7661" s="1" t="s">
        <v>7617</v>
      </c>
      <c r="C7661" t="str">
        <f>IFERROR(__xludf.DUMMYFUNCTION("GOOGLETRANSLATE(B7661, ""zh"", ""en"")"),"For the price inexpensive, very good shopping experience, the shoe itself has no flaws. Support amazon.")</f>
        <v>For the price inexpensive, very good shopping experience, the shoe itself has no flaws. Support amazon.</v>
      </c>
    </row>
    <row r="7662">
      <c r="A7662" s="1">
        <v>5.0</v>
      </c>
      <c r="B7662" s="1" t="s">
        <v>7618</v>
      </c>
      <c r="C7662" t="str">
        <f>IFERROR(__xludf.DUMMYFUNCTION("GOOGLETRANSLATE(B7662, ""zh"", ""en"")"),"Very Good Very Good right size cheap Height 171cm Weight 77kg")</f>
        <v>Very Good Very Good right size cheap Height 171cm Weight 77kg</v>
      </c>
    </row>
    <row r="7663">
      <c r="A7663" s="1">
        <v>5.0</v>
      </c>
      <c r="B7663" s="1" t="s">
        <v>7619</v>
      </c>
      <c r="C7663" t="str">
        <f>IFERROR(__xludf.DUMMYFUNCTION("GOOGLETRANSLATE(B7663, ""zh"", ""en"")"),"123 Not bad, it is to buy a little big, thick instep point of wearing uncomfortable")</f>
        <v>123 Not bad, it is to buy a little big, thick instep point of wearing uncomfortable</v>
      </c>
    </row>
    <row r="7664">
      <c r="A7664" s="1">
        <v>2.0</v>
      </c>
      <c r="B7664" s="1" t="s">
        <v>7620</v>
      </c>
      <c r="C7664" t="str">
        <f>IFERROR(__xludf.DUMMYFUNCTION("GOOGLETRANSLATE(B7664, ""zh"", ""en"")"),"Inappropriate size size is too small, not enough to buy the freshman code, at least more than two yards, 2.5 yards feet thick.")</f>
        <v>Inappropriate size size is too small, not enough to buy the freshman code, at least more than two yards, 2.5 yards feet thick.</v>
      </c>
    </row>
    <row r="7665">
      <c r="A7665" s="1">
        <v>3.0</v>
      </c>
      <c r="B7665" s="1" t="s">
        <v>7621</v>
      </c>
      <c r="C7665" t="str">
        <f>IFERROR(__xludf.DUMMYFUNCTION("GOOGLETRANSLATE(B7665, ""zh"", ""en"")"),"Too comfortable")</f>
        <v>Too comfortable</v>
      </c>
    </row>
    <row r="7666">
      <c r="A7666" s="1">
        <v>3.0</v>
      </c>
      <c r="B7666" s="1" t="s">
        <v>7622</v>
      </c>
      <c r="C7666" t="str">
        <f>IFERROR(__xludf.DUMMYFUNCTION("GOOGLETRANSLATE(B7666, ""zh"", ""en"")"),"Leaking stuff is good. But just used three times, total plastic ring seals out how to do? Leak")</f>
        <v>Leaking stuff is good. But just used three times, total plastic ring seals out how to do? Leak</v>
      </c>
    </row>
    <row r="7667">
      <c r="A7667" s="1">
        <v>3.0</v>
      </c>
      <c r="B7667" s="1" t="s">
        <v>7623</v>
      </c>
      <c r="C7667" t="str">
        <f>IFERROR(__xludf.DUMMYFUNCTION("GOOGLETRANSLATE(B7667, ""zh"", ""en"")"),"Rustic foot less bang hard shoes at reasonable prices, looks beautiful, feel good, but a little hard - it compared to my feet.")</f>
        <v>Rustic foot less bang hard shoes at reasonable prices, looks beautiful, feel good, but a little hard - it compared to my feet.</v>
      </c>
    </row>
    <row r="7668">
      <c r="A7668" s="1">
        <v>1.0</v>
      </c>
      <c r="B7668" s="1" t="s">
        <v>7624</v>
      </c>
      <c r="C7668" t="str">
        <f>IFERROR(__xludf.DUMMYFUNCTION("GOOGLETRANSLATE(B7668, ""zh"", ""en"")"),"Fake is fake, right?")</f>
        <v>Fake is fake, right?</v>
      </c>
    </row>
    <row r="7669">
      <c r="A7669" s="1">
        <v>1.0</v>
      </c>
      <c r="B7669" s="1" t="s">
        <v>7625</v>
      </c>
      <c r="C7669" t="str">
        <f>IFERROR(__xludf.DUMMYFUNCTION("GOOGLETRANSLATE(B7669, ""zh"", ""en"")"),"In general, very general, it is too general. And photographs have color, not very big, suitable for children.")</f>
        <v>In general, very general, it is too general. And photographs have color, not very big, suitable for children.</v>
      </c>
    </row>
    <row r="7670">
      <c r="A7670" s="1">
        <v>4.0</v>
      </c>
      <c r="B7670" s="1" t="s">
        <v>7626</v>
      </c>
      <c r="C7670" t="str">
        <f>IFERROR(__xludf.DUMMYFUNCTION("GOOGLETRANSLATE(B7670, ""zh"", ""en"")"),"Some hypertrophy some hypertrophy, the material can also ,,")</f>
        <v>Some hypertrophy some hypertrophy, the material can also ,,</v>
      </c>
    </row>
    <row r="7671">
      <c r="A7671" s="1">
        <v>4.0</v>
      </c>
      <c r="B7671" s="1" t="s">
        <v>7627</v>
      </c>
      <c r="C7671" t="str">
        <f>IFERROR(__xludf.DUMMYFUNCTION("GOOGLETRANSLATE(B7671, ""zh"", ""en"")"),"Good quality too large too large, a big one yards")</f>
        <v>Good quality too large too large, a big one yards</v>
      </c>
    </row>
    <row r="7672">
      <c r="A7672" s="1">
        <v>4.0</v>
      </c>
      <c r="B7672" s="1" t="s">
        <v>7628</v>
      </c>
      <c r="C7672" t="str">
        <f>IFERROR(__xludf.DUMMYFUNCTION("GOOGLETRANSLATE(B7672, ""zh"", ""en"")"),"Shoe size too large more shoes too large a yard, shoes are not allowed to 6uk24.6 cm serious, in fact, say 39, 41 yards. Really good quality leather shoes, which is the size of the Amazon was too shy.")</f>
        <v>Shoe size too large more shoes too large a yard, shoes are not allowed to 6uk24.6 cm serious, in fact, say 39, 41 yards. Really good quality leather shoes, which is the size of the Amazon was too shy.</v>
      </c>
    </row>
    <row r="7673">
      <c r="A7673" s="1">
        <v>4.0</v>
      </c>
      <c r="B7673" s="1" t="s">
        <v>7629</v>
      </c>
      <c r="C7673" t="str">
        <f>IFERROR(__xludf.DUMMYFUNCTION("GOOGLETRANSLATE(B7673, ""zh"", ""en"")"),"Sound good, sound field is generally a small box sound good, front switch, AUX and the headset is very convenient, slightly worse bass, the sound field is certainly not a big box. I do not know than with E5, there will be much difference? ? However, with "&amp;"the line is too general, have to re-buy their own line.")</f>
        <v>Sound good, sound field is generally a small box sound good, front switch, AUX and the headset is very convenient, slightly worse bass, the sound field is certainly not a big box. I do not know than with E5, there will be much difference? ? However, with the line is too general, have to re-buy their own line.</v>
      </c>
    </row>
    <row r="7674">
      <c r="A7674" s="1">
        <v>4.0</v>
      </c>
      <c r="B7674" s="1" t="s">
        <v>7630</v>
      </c>
      <c r="C7674" t="str">
        <f>IFERROR(__xludf.DUMMYFUNCTION("GOOGLETRANSLATE(B7674, ""zh"", ""en"")"),"Import of goods is not easy to say love you these shoes makes me very tangled, say it is not authentic it, all the way from Germany purchased, the middle of that time ah also consistent. Say it is genuine, June 2 delivery, today 22, wearing 20 days, which"&amp;" is that the bottom layer, near the heel of the site has begun to break up, not wear Oh, this is Amazon's self-goods Oh, time really is not easy to say love you. 4 stars it, had wanted a star. If purchased in the country can apply to return, even if in a "&amp;"foreign country, can only be nothing with.")</f>
        <v>Import of goods is not easy to say love you these shoes makes me very tangled, say it is not authentic it, all the way from Germany purchased, the middle of that time ah also consistent. Say it is genuine, June 2 delivery, today 22, wearing 20 days, which is that the bottom layer, near the heel of the site has begun to break up, not wear Oh, this is Amazon's self-goods Oh, time really is not easy to say love you. 4 stars it, had wanted a star. If purchased in the country can apply to return, even if in a foreign country, can only be nothing with.</v>
      </c>
    </row>
    <row r="7675">
      <c r="A7675" s="1">
        <v>5.0</v>
      </c>
      <c r="B7675" s="1" t="s">
        <v>7631</v>
      </c>
      <c r="C7675" t="str">
        <f>IFERROR(__xludf.DUMMYFUNCTION("GOOGLETRANSLATE(B7675, ""zh"", ""en"")"),"Very practical material suitable for children afraid to fall in stainless steel with winter insulation effect is also good a cup or bowl can also be split into two with a very practical")</f>
        <v>Very practical material suitable for children afraid to fall in stainless steel with winter insulation effect is also good a cup or bowl can also be split into two with a very practical</v>
      </c>
    </row>
    <row r="7676">
      <c r="A7676" s="1">
        <v>5.0</v>
      </c>
      <c r="B7676" s="1" t="s">
        <v>7632</v>
      </c>
      <c r="C7676" t="str">
        <f>IFERROR(__xludf.DUMMYFUNCTION("GOOGLETRANSLATE(B7676, ""zh"", ""en"")"),"Cost-effective, the next few days like a single drop seventy, little depressed, but fortunately a lot cheaper than the store, style, leather is also very good, just right yardage than usual casual less than half yards, just wear a little heel foot wear")</f>
        <v>Cost-effective, the next few days like a single drop seventy, little depressed, but fortunately a lot cheaper than the store, style, leather is also very good, just right yardage than usual casual less than half yards, just wear a little heel foot wear</v>
      </c>
    </row>
    <row r="7677">
      <c r="A7677" s="1">
        <v>5.0</v>
      </c>
      <c r="B7677" s="1" t="s">
        <v>7633</v>
      </c>
      <c r="C7677" t="str">
        <f>IFERROR(__xludf.DUMMYFUNCTION("GOOGLETRANSLATE(B7677, ""zh"", ""en"")"),"Price explosive performance is still very good! With a notebook, the data also seen in the past now. Just do not know it really easy getting no warranty invoice")</f>
        <v>Price explosive performance is still very good! With a notebook, the data also seen in the past now. Just do not know it really easy getting no warranty invoice</v>
      </c>
    </row>
    <row r="7678">
      <c r="A7678" s="1">
        <v>5.0</v>
      </c>
      <c r="B7678" s="1" t="s">
        <v>7634</v>
      </c>
      <c r="C7678" t="str">
        <f>IFERROR(__xludf.DUMMYFUNCTION("GOOGLETRANSLATE(B7678, ""zh"", ""en"")"),"Good good good quality, like. If the foot wear thicker may be tight.")</f>
        <v>Good good good quality, like. If the foot wear thicker may be tight.</v>
      </c>
    </row>
    <row r="7679">
      <c r="A7679" s="1">
        <v>5.0</v>
      </c>
      <c r="B7679" s="1" t="s">
        <v>7635</v>
      </c>
      <c r="C7679" t="str">
        <f>IFERROR(__xludf.DUMMYFUNCTION("GOOGLETRANSLATE(B7679, ""zh"", ""en"")"),"Like the right size, but the color is more obvious color, gray kind is lighter, more significant pattern, such a thickness to be a very warm, about 10 degrees properly the completed Shanghai")</f>
        <v>Like the right size, but the color is more obvious color, gray kind is lighter, more significant pattern, such a thickness to be a very warm, about 10 degrees properly the completed Shanghai</v>
      </c>
    </row>
    <row r="7680">
      <c r="A7680" s="1">
        <v>5.0</v>
      </c>
      <c r="B7680" s="1" t="s">
        <v>7636</v>
      </c>
      <c r="C7680" t="str">
        <f>IFERROR(__xludf.DUMMYFUNCTION("GOOGLETRANSLATE(B7680, ""zh"", ""en"")"),"The direction of a good hand sanitizer is a bubble up, with one hand press will be a flower in her hand, this design is practical and fun, won the favorite child.")</f>
        <v>The direction of a good hand sanitizer is a bubble up, with one hand press will be a flower in her hand, this design is practical and fun, won the favorite child.</v>
      </c>
    </row>
    <row r="7681">
      <c r="A7681" s="1">
        <v>5.0</v>
      </c>
      <c r="B7681" s="1" t="s">
        <v>7637</v>
      </c>
      <c r="C7681" t="str">
        <f>IFERROR(__xludf.DUMMYFUNCTION("GOOGLETRANSLATE(B7681, ""zh"", ""en"")"),"Nice nice cream, especially moisturizing")</f>
        <v>Nice nice cream, especially moisturizing</v>
      </c>
    </row>
    <row r="7682">
      <c r="A7682" s="1">
        <v>5.0</v>
      </c>
      <c r="B7682" s="1" t="s">
        <v>7638</v>
      </c>
      <c r="C7682" t="str">
        <f>IFERROR(__xludf.DUMMYFUNCTION("GOOGLETRANSLATE(B7682, ""zh"", ""en"")"),"Continuous read and write speed, but stability is my 1TB, and bring tariffs also cheaper than domestic nearly 1,000 dollars. The spirit of ""science and technology supplies to buy do not buy new old"", and so on for a long time and finally start this 3D S"&amp;"SD. Although TLC, but the quality Sandisk or trustworthy. Terms of performance, compared to my last of a certain brand of a 500G SSD, a distinct advantage of this 3D SSD Sandisk is fast sustained read and write speeds (sustained read and write large files"&amp;" can be stabilized at 300MB / s ~ 400MB between / s, and can not afford to speed. Although the chicken did not meet performance 550MB / s, but I have been very satisfied. this peak speed evaluation software only to run out, and my speed is measured with t"&amp;"he U disk read and write data between, and read between the thumb drive itself is not too fast)")</f>
        <v>Continuous read and write speed, but stability is my 1TB, and bring tariffs also cheaper than domestic nearly 1,000 dollars. The spirit of "science and technology supplies to buy do not buy new old", and so on for a long time and finally start this 3D SSD. Although TLC, but the quality Sandisk or trustworthy. Terms of performance, compared to my last of a certain brand of a 500G SSD, a distinct advantage of this 3D SSD Sandisk is fast sustained read and write speeds (sustained read and write large files can be stabilized at 300MB / s ~ 400MB between / s, and can not afford to speed. Although the chicken did not meet performance 550MB / s, but I have been very satisfied. this peak speed evaluation software only to run out, and my speed is measured with the U disk read and write data between, and read between the thumb drive itself is not too fast)</v>
      </c>
    </row>
    <row r="7683">
      <c r="A7683" s="1">
        <v>5.0</v>
      </c>
      <c r="B7683" s="1" t="s">
        <v>7639</v>
      </c>
      <c r="C7683" t="str">
        <f>IFERROR(__xludf.DUMMYFUNCTION("GOOGLETRANSLATE(B7683, ""zh"", ""en"")"),"Good value for money, bought a kilogram of dark 162-53 28 yards before buying, buy a light-colored, light-colored result is thick section with holes. If the dark autumn and winter wear thick, light-colored thin spring and summer wear fishes ah!")</f>
        <v>Good value for money, bought a kilogram of dark 162-53 28 yards before buying, buy a light-colored, light-colored result is thick section with holes. If the dark autumn and winter wear thick, light-colored thin spring and summer wear fishes ah!</v>
      </c>
    </row>
    <row r="7684">
      <c r="A7684" s="1">
        <v>5.0</v>
      </c>
      <c r="B7684" s="1" t="s">
        <v>7640</v>
      </c>
      <c r="C7684" t="str">
        <f>IFERROR(__xludf.DUMMYFUNCTION("GOOGLETRANSLATE(B7684, ""zh"", ""en"")"),"Comfortable very satisfied, comfortable, large yard can be a little bit more than other brands.")</f>
        <v>Comfortable very satisfied, comfortable, large yard can be a little bit more than other brands.</v>
      </c>
    </row>
    <row r="7685">
      <c r="A7685" s="1">
        <v>5.0</v>
      </c>
      <c r="B7685" s="1" t="s">
        <v>7641</v>
      </c>
      <c r="C7685" t="str">
        <f>IFERROR(__xludf.DUMMYFUNCTION("GOOGLETRANSLATE(B7685, ""zh"", ""en"")"),"Like the bottle is very cute, feel good")</f>
        <v>Like the bottle is very cute, feel good</v>
      </c>
    </row>
    <row r="7686">
      <c r="A7686" s="1">
        <v>5.0</v>
      </c>
      <c r="B7686" s="1" t="s">
        <v>7642</v>
      </c>
      <c r="C7686" t="str">
        <f>IFERROR(__xludf.DUMMYFUNCTION("GOOGLETRANSLATE(B7686, ""zh"", ""en"")"),"Loya cheap. xxxl big bottle. A total of 3 bottles. Too value. I recognize that Siemens dishwasher only brightener. Washed dishes shine.")</f>
        <v>Loya cheap. xxxl big bottle. A total of 3 bottles. Too value. I recognize that Siemens dishwasher only brightener. Washed dishes shine.</v>
      </c>
    </row>
    <row r="7687">
      <c r="A7687" s="1">
        <v>5.0</v>
      </c>
      <c r="B7687" s="1" t="s">
        <v>7643</v>
      </c>
      <c r="C7687" t="str">
        <f>IFERROR(__xludf.DUMMYFUNCTION("GOOGLETRANSLATE(B7687, ""zh"", ""en"")"),"40 This is a content of 40 a day to eat it once, like, need to eat twice 20, is to eat, do not know how to effect? I hope good.")</f>
        <v>40 This is a content of 40 a day to eat it once, like, need to eat twice 20, is to eat, do not know how to effect? I hope good.</v>
      </c>
    </row>
    <row r="7688">
      <c r="A7688" s="1">
        <v>5.0</v>
      </c>
      <c r="B7688" s="1" t="s">
        <v>7644</v>
      </c>
      <c r="C7688" t="str">
        <f>IFERROR(__xludf.DUMMYFUNCTION("GOOGLETRANSLATE(B7688, ""zh"", ""en"")"),". Now it seems very light for 12 hours and can be written specification is try not to drink milk tea or something a little more than a little disappointed")</f>
        <v>. Now it seems very light for 12 hours and can be written specification is try not to drink milk tea or something a little more than a little disappointed</v>
      </c>
    </row>
    <row r="7689">
      <c r="A7689" s="1">
        <v>5.0</v>
      </c>
      <c r="B7689" s="1" t="s">
        <v>7645</v>
      </c>
      <c r="C7689" t="str">
        <f>IFERROR(__xludf.DUMMYFUNCTION("GOOGLETRANSLATE(B7689, ""zh"", ""en"")"),"It can be like a good-looking, retro elegance. Because the plug is English (Hong Kong style), it needs its own with a conversion plug. Try a little, easy to use, time to that of a ""sting"" very sweet ah. But the feeling of running sound a little big.")</f>
        <v>It can be like a good-looking, retro elegance. Because the plug is English (Hong Kong style), it needs its own with a conversion plug. Try a little, easy to use, time to that of a "sting" very sweet ah. But the feeling of running sound a little big.</v>
      </c>
    </row>
    <row r="7690">
      <c r="A7690" s="1">
        <v>5.0</v>
      </c>
      <c r="B7690" s="1" t="s">
        <v>7646</v>
      </c>
      <c r="C7690" t="str">
        <f>IFERROR(__xludf.DUMMYFUNCTION("GOOGLETRANSLATE(B7690, ""zh"", ""en"")"),"Completely different a little bit larger than the domestic counter to buy a completely different indeed large, eight days to the hand, and rapid ...")</f>
        <v>Completely different a little bit larger than the domestic counter to buy a completely different indeed large, eight days to the hand, and rapid ...</v>
      </c>
    </row>
    <row r="7691">
      <c r="A7691" s="1">
        <v>5.0</v>
      </c>
      <c r="B7691" s="1" t="s">
        <v>7647</v>
      </c>
      <c r="C7691" t="str">
        <f>IFERROR(__xludf.DUMMYFUNCTION("GOOGLETRANSLATE(B7691, ""zh"", ""en"")"),"No photo fit, but 178cm / 75㎏ fit")</f>
        <v>No photo fit, but 178cm / 75㎏ fit</v>
      </c>
    </row>
    <row r="7692">
      <c r="A7692" s="1">
        <v>5.0</v>
      </c>
      <c r="B7692" s="1" t="s">
        <v>7648</v>
      </c>
      <c r="C7692" t="str">
        <f>IFERROR(__xludf.DUMMYFUNCTION("GOOGLETRANSLATE(B7692, ""zh"", ""en"")"),"Logistics is very good, for the first time in the Amazon shopping began to worry about a long time to get the goods earlier than expected but a lot of days to logistics force packaging is also very delicate than Taobao")</f>
        <v>Logistics is very good, for the first time in the Amazon shopping began to worry about a long time to get the goods earlier than expected but a lot of days to logistics force packaging is also very delicate than Taobao</v>
      </c>
    </row>
    <row r="7693">
      <c r="A7693" s="1">
        <v>5.0</v>
      </c>
      <c r="B7693" s="1" t="s">
        <v>7649</v>
      </c>
      <c r="C7693" t="str">
        <f>IFERROR(__xludf.DUMMYFUNCTION("GOOGLETRANSLATE(B7693, ""zh"", ""en"")"),"Good 10 days to purchase overseas. Might sound quality is good, the price is also what a bike!")</f>
        <v>Good 10 days to purchase overseas. Might sound quality is good, the price is also what a bike!</v>
      </c>
    </row>
    <row r="7694">
      <c r="A7694" s="1">
        <v>5.0</v>
      </c>
      <c r="B7694" s="1" t="s">
        <v>7650</v>
      </c>
      <c r="C7694" t="str">
        <f>IFERROR(__xludf.DUMMYFUNCTION("GOOGLETRANSLATE(B7694, ""zh"", ""en"")"),"NOMADIC] shoulder bag good quality, but too small, inconvenient to use, the use of a great limitations.")</f>
        <v>NOMADIC] shoulder bag good quality, but too small, inconvenient to use, the use of a great limitations.</v>
      </c>
    </row>
    <row r="7695">
      <c r="A7695" s="1">
        <v>5.0</v>
      </c>
      <c r="B7695" s="1" t="s">
        <v>7651</v>
      </c>
      <c r="C7695" t="str">
        <f>IFERROR(__xludf.DUMMYFUNCTION("GOOGLETRANSLATE(B7695, ""zh"", ""en"")"),"Something good website difficult to use something good, that is, Amazon is really too hard to use, product listing information is also super incomplete, pure supply of goods that should be directed at security")</f>
        <v>Something good website difficult to use something good, that is, Amazon is really too hard to use, product listing information is also super incomplete, pure supply of goods that should be directed at security</v>
      </c>
    </row>
    <row r="7696">
      <c r="A7696" s="1">
        <v>2.0</v>
      </c>
      <c r="B7696" s="1" t="s">
        <v>7652</v>
      </c>
      <c r="C7696" t="str">
        <f>IFERROR(__xludf.DUMMYFUNCTION("GOOGLETRANSLATE(B7696, ""zh"", ""en"")"),"Evaluation of oversized, but also hair loss")</f>
        <v>Evaluation of oversized, but also hair loss</v>
      </c>
    </row>
    <row r="7697">
      <c r="A7697" s="1">
        <v>3.0</v>
      </c>
      <c r="B7697" s="1" t="s">
        <v>7653</v>
      </c>
      <c r="C7697" t="str">
        <f>IFERROR(__xludf.DUMMYFUNCTION("GOOGLETRANSLATE(B7697, ""zh"", ""en"")"),"Styles can also be super fit, material is very general, but champion the price of the clothes are generally material, mainly wear a style, in general, pretty good ~")</f>
        <v>Styles can also be super fit, material is very general, but champion the price of the clothes are generally material, mainly wear a style, in general, pretty good ~</v>
      </c>
    </row>
    <row r="7698">
      <c r="A7698" s="1">
        <v>3.0</v>
      </c>
      <c r="B7698" s="1" t="s">
        <v>7654</v>
      </c>
      <c r="C7698" t="str">
        <f>IFERROR(__xludf.DUMMYFUNCTION("GOOGLETRANSLATE(B7698, ""zh"", ""en"")"),"Size big. I bust 96, waist 85, selected according to the size M of reference, after that try hypertrophy, especially long sleeves and hem. If you choose S number is a little better.")</f>
        <v>Size big. I bust 96, waist 85, selected according to the size M of reference, after that try hypertrophy, especially long sleeves and hem. If you choose S number is a little better.</v>
      </c>
    </row>
    <row r="7699">
      <c r="A7699" s="1">
        <v>1.0</v>
      </c>
      <c r="B7699" s="1" t="s">
        <v>7655</v>
      </c>
      <c r="C7699" t="str">
        <f>IFERROR(__xludf.DUMMYFUNCTION("GOOGLETRANSLATE(B7699, ""zh"", ""en"")"),"Poor, poor super super long, super thin legs, there is no way to wear, 180 will not work, estimated to 190.120 pounds of design")</f>
        <v>Poor, poor super super long, super thin legs, there is no way to wear, 180 will not work, estimated to 190.120 pounds of design</v>
      </c>
    </row>
    <row r="7700">
      <c r="A7700" s="1">
        <v>1.0</v>
      </c>
      <c r="B7700" s="1" t="s">
        <v>7656</v>
      </c>
      <c r="C7700" t="str">
        <f>IFERROR(__xludf.DUMMYFUNCTION("GOOGLETRANSLATE(B7700, ""zh"", ""en"")"),"Poor wear less than two weeks on the broken toe")</f>
        <v>Poor wear less than two weeks on the broken toe</v>
      </c>
    </row>
    <row r="7701">
      <c r="A7701" s="1">
        <v>4.0</v>
      </c>
      <c r="B7701" s="1" t="s">
        <v>7657</v>
      </c>
      <c r="C7701" t="str">
        <f>IFERROR(__xludf.DUMMYFUNCTION("GOOGLETRANSLATE(B7701, ""zh"", ""en"")"),"Asian Size and long of it, in line with Japan's Asian size")</f>
        <v>Asian Size and long of it, in line with Japan's Asian size</v>
      </c>
    </row>
    <row r="7702">
      <c r="A7702" s="1">
        <v>4.0</v>
      </c>
      <c r="B7702" s="1" t="s">
        <v>7658</v>
      </c>
      <c r="C7702" t="str">
        <f>IFERROR(__xludf.DUMMYFUNCTION("GOOGLETRANSLATE(B7702, ""zh"", ""en"")"),"Only German goods firm, which broke box in such a way! Headphone is not broke box are rotten! This is how violent! Too lazy to go back! Fortunately, the headset is not broke! Goldfinger has used 3.5 marks!")</f>
        <v>Only German goods firm, which broke box in such a way! Headphone is not broke box are rotten! This is how violent! Too lazy to go back! Fortunately, the headset is not broke! Goldfinger has used 3.5 marks!</v>
      </c>
    </row>
    <row r="7703">
      <c r="A7703" s="1">
        <v>4.0</v>
      </c>
      <c r="B7703" s="1" t="s">
        <v>7659</v>
      </c>
      <c r="C7703" t="str">
        <f>IFERROR(__xludf.DUMMYFUNCTION("GOOGLETRANSLATE(B7703, ""zh"", ""en"")"),"Good order 10 days hand, helium disk, cost-effective, used as a warehouse disk")</f>
        <v>Good order 10 days hand, helium disk, cost-effective, used as a warehouse disk</v>
      </c>
    </row>
    <row r="7704">
      <c r="A7704" s="1">
        <v>4.0</v>
      </c>
      <c r="B7704" s="1" t="s">
        <v>7660</v>
      </c>
      <c r="C7704" t="str">
        <f>IFERROR(__xludf.DUMMYFUNCTION("GOOGLETRANSLATE(B7704, ""zh"", ""en"")"),"Common commonly eat standing, purple sweet potato pudding")</f>
        <v>Common commonly eat standing, purple sweet potato pudding</v>
      </c>
    </row>
    <row r="7705">
      <c r="A7705" s="1">
        <v>4.0</v>
      </c>
      <c r="B7705" s="1" t="s">
        <v>7661</v>
      </c>
      <c r="C7705" t="str">
        <f>IFERROR(__xludf.DUMMYFUNCTION("GOOGLETRANSLATE(B7705, ""zh"", ""en"")"),"good but a little bit too tight texture, and can plug headphones to share design is very interesting, but because of tight with long ears will hurt")</f>
        <v>good but a little bit too tight texture, and can plug headphones to share design is very interesting, but because of tight with long ears will hurt</v>
      </c>
    </row>
    <row r="7706">
      <c r="A7706" s="1">
        <v>5.0</v>
      </c>
      <c r="B7706" s="1" t="s">
        <v>7662</v>
      </c>
      <c r="C7706" t="str">
        <f>IFERROR(__xludf.DUMMYFUNCTION("GOOGLETRANSLATE(B7706, ""zh"", ""en"")"),"Well a lightweight mobile hard disk! Very small, not of space!")</f>
        <v>Well a lightweight mobile hard disk! Very small, not of space!</v>
      </c>
    </row>
    <row r="7707">
      <c r="A7707" s="1">
        <v>5.0</v>
      </c>
      <c r="B7707" s="1" t="s">
        <v>7663</v>
      </c>
      <c r="C7707" t="str">
        <f>IFERROR(__xludf.DUMMYFUNCTION("GOOGLETRANSLATE(B7707, ""zh"", ""en"")"),"Formatted capacity of about 3.65T, slightly thicker than the ordinary mobile hard disk, the overall feeling is very good after formatted capacity of about 3.65T, slightly thicker than the ordinary mobile hard disk, the overall feeling is very good. WD bac"&amp;"kup tool supporting efficiency is still relatively high, the user is in need of a bit.")</f>
        <v>Formatted capacity of about 3.65T, slightly thicker than the ordinary mobile hard disk, the overall feeling is very good after formatted capacity of about 3.65T, slightly thicker than the ordinary mobile hard disk, the overall feeling is very good. WD backup tool supporting efficiency is still relatively high, the user is in need of a bit.</v>
      </c>
    </row>
    <row r="7708">
      <c r="A7708" s="1">
        <v>5.0</v>
      </c>
      <c r="B7708" s="1" t="s">
        <v>7664</v>
      </c>
      <c r="C7708" t="str">
        <f>IFERROR(__xludf.DUMMYFUNCTION("GOOGLETRANSLATE(B7708, ""zh"", ""en"")"),"Wife of the most satisfying a pair of shoes good shoes, leather quality, the right size,")</f>
        <v>Wife of the most satisfying a pair of shoes good shoes, leather quality, the right size,</v>
      </c>
    </row>
    <row r="7709">
      <c r="A7709" s="1">
        <v>5.0</v>
      </c>
      <c r="B7709" s="1" t="s">
        <v>7665</v>
      </c>
      <c r="C7709" t="str">
        <f>IFERROR(__xludf.DUMMYFUNCTION("GOOGLETRANSLATE(B7709, ""zh"", ""en"")"),"Before the start value has more than 700 500 exquisite leather heel shoes good design shoes before effortlessly rip bought soft7 this high-top shoes to help low wear for a day grind of heel pain than the pressure feet comfortably low to help low to help")</f>
        <v>Before the start value has more than 700 500 exquisite leather heel shoes good design shoes before effortlessly rip bought soft7 this high-top shoes to help low wear for a day grind of heel pain than the pressure feet comfortably low to help low to help</v>
      </c>
    </row>
    <row r="7710">
      <c r="A7710" s="1">
        <v>5.0</v>
      </c>
      <c r="B7710" s="1" t="s">
        <v>7666</v>
      </c>
      <c r="C7710" t="str">
        <f>IFERROR(__xludf.DUMMYFUNCTION("GOOGLETRANSLATE(B7710, ""zh"", ""en"")"),"It is worth to buy her family's shoes, as always, good satisfaction")</f>
        <v>It is worth to buy her family's shoes, as always, good satisfaction</v>
      </c>
    </row>
    <row r="7711">
      <c r="A7711" s="1">
        <v>5.0</v>
      </c>
      <c r="B7711" s="1" t="s">
        <v>7667</v>
      </c>
      <c r="C7711" t="str">
        <f>IFERROR(__xludf.DUMMYFUNCTION("GOOGLETRANSLATE(B7711, ""zh"", ""en"")"),"Easy money is very supple and comfortable! Recommended.")</f>
        <v>Easy money is very supple and comfortable! Recommended.</v>
      </c>
    </row>
    <row r="7712">
      <c r="A7712" s="1">
        <v>5.0</v>
      </c>
      <c r="B7712" s="1" t="s">
        <v>7668</v>
      </c>
      <c r="C7712" t="str">
        <f>IFERROR(__xludf.DUMMYFUNCTION("GOOGLETRANSLATE(B7712, ""zh"", ""en"")"),"The right size, good quality! At that time orders have been worried when the size of the problem, afraid to buy big or buy small, today received a very appropriate! Usually wear sneakers, Adidas or Nike are 43 yards, this time to buy is 43, just right! Ec"&amp;"co quality did not have to say, praise!")</f>
        <v>The right size, good quality! At that time orders have been worried when the size of the problem, afraid to buy big or buy small, today received a very appropriate! Usually wear sneakers, Adidas or Nike are 43 yards, this time to buy is 43, just right! Ecco quality did not have to say, praise!</v>
      </c>
    </row>
    <row r="7713">
      <c r="A7713" s="1">
        <v>5.0</v>
      </c>
      <c r="B7713" s="1" t="s">
        <v>7669</v>
      </c>
      <c r="C7713" t="str">
        <f>IFERROR(__xludf.DUMMYFUNCTION("GOOGLETRANSLATE(B7713, ""zh"", ""en"")"),"Good quality mug in the Amazon because of too many things to buy, have no way to comment in detail eleven. Why buy more, of course, it is because of a good thing. Do not believe you can see how much stuff I bought, the overall quality of service is good! "&amp;"This mug really good! !")</f>
        <v>Good quality mug in the Amazon because of too many things to buy, have no way to comment in detail eleven. Why buy more, of course, it is because of a good thing. Do not believe you can see how much stuff I bought, the overall quality of service is good! This mug really good! !</v>
      </c>
    </row>
    <row r="7714">
      <c r="A7714" s="1">
        <v>5.0</v>
      </c>
      <c r="B7714" s="1" t="s">
        <v>7670</v>
      </c>
      <c r="C7714" t="str">
        <f>IFERROR(__xludf.DUMMYFUNCTION("GOOGLETRANSLATE(B7714, ""zh"", ""en"")"),"Recommend the purchase of goods as well as expected, exquisite workmanship, super fabrics for summer, stress-free, breathable, washable and easy to dry, it is recommended to buy!")</f>
        <v>Recommend the purchase of goods as well as expected, exquisite workmanship, super fabrics for summer, stress-free, breathable, washable and easy to dry, it is recommended to buy!</v>
      </c>
    </row>
    <row r="7715">
      <c r="A7715" s="1">
        <v>5.0</v>
      </c>
      <c r="B7715" s="1" t="s">
        <v>7671</v>
      </c>
      <c r="C7715" t="str">
        <f>IFERROR(__xludf.DUMMYFUNCTION("GOOGLETRANSLATE(B7715, ""zh"", ""en"")"),"I believe you old pair of jeans is a good ah")</f>
        <v>I believe you old pair of jeans is a good ah</v>
      </c>
    </row>
    <row r="7716">
      <c r="A7716" s="1">
        <v>5.0</v>
      </c>
      <c r="B7716" s="1" t="s">
        <v>7672</v>
      </c>
      <c r="C7716" t="str">
        <f>IFERROR(__xludf.DUMMYFUNCTION("GOOGLETRANSLATE(B7716, ""zh"", ""en"")"),"In fact, not too narrow trousers ah very strange lee, before you buy the same brand 34 * 34 Slim Straight jeans, trousers slightly longer. The specially bought 34 * 32. How or slightly longer. And before the same length. But the most important thing waist"&amp;"-hip are very satisfied. No big problem at length.")</f>
        <v>In fact, not too narrow trousers ah very strange lee, before you buy the same brand 34 * 34 Slim Straight jeans, trousers slightly longer. The specially bought 34 * 32. How or slightly longer. And before the same length. But the most important thing waist-hip are very satisfied. No big problem at length.</v>
      </c>
    </row>
    <row r="7717">
      <c r="A7717" s="1">
        <v>5.0</v>
      </c>
      <c r="B7717" s="1" t="s">
        <v>7673</v>
      </c>
      <c r="C7717" t="str">
        <f>IFERROR(__xludf.DUMMYFUNCTION("GOOGLETRANSLATE(B7717, ""zh"", ""en"")"),"Genuine, good quality cost-effective, citizen fine workmanship, cost-effective, worth buying. Much cheaper than the official website, Amazon purchased abroad is still very good. A perfect shopping experience")</f>
        <v>Genuine, good quality cost-effective, citizen fine workmanship, cost-effective, worth buying. Much cheaper than the official website, Amazon purchased abroad is still very good. A perfect shopping experience</v>
      </c>
    </row>
    <row r="7718">
      <c r="A7718" s="1">
        <v>5.0</v>
      </c>
      <c r="B7718" s="1" t="s">
        <v>7674</v>
      </c>
      <c r="C7718" t="str">
        <f>IFERROR(__xludf.DUMMYFUNCTION("GOOGLETRANSLATE(B7718, ""zh"", ""en"")"),"Particularly good. Particularly good. Children with the good.")</f>
        <v>Particularly good. Particularly good. Children with the good.</v>
      </c>
    </row>
    <row r="7719">
      <c r="A7719" s="1">
        <v>5.0</v>
      </c>
      <c r="B7719" s="1" t="s">
        <v>7675</v>
      </c>
      <c r="C7719" t="str">
        <f>IFERROR(__xludf.DUMMYFUNCTION("GOOGLETRANSLATE(B7719, ""zh"", ""en"")"),"Like this brand is also good, very comfortable, classic style matter of opinion")</f>
        <v>Like this brand is also good, very comfortable, classic style matter of opinion</v>
      </c>
    </row>
    <row r="7720">
      <c r="A7720" s="1">
        <v>5.0</v>
      </c>
      <c r="B7720" s="1" t="s">
        <v>7676</v>
      </c>
      <c r="C7720" t="str">
        <f>IFERROR(__xludf.DUMMYFUNCTION("GOOGLETRANSLATE(B7720, ""zh"", ""en"")"),"Well I have to say the price is worth it, very comfortable.")</f>
        <v>Well I have to say the price is worth it, very comfortable.</v>
      </c>
    </row>
    <row r="7721">
      <c r="A7721" s="1">
        <v>5.0</v>
      </c>
      <c r="B7721" s="1" t="s">
        <v>7677</v>
      </c>
      <c r="C7721" t="str">
        <f>IFERROR(__xludf.DUMMYFUNCTION("GOOGLETRANSLATE(B7721, ""zh"", ""en"")"),"Praise to the next day found actually not very easy to carry What's popular brands are very practical praise")</f>
        <v>Praise to the next day found actually not very easy to carry What's popular brands are very practical praise</v>
      </c>
    </row>
    <row r="7722">
      <c r="A7722" s="1">
        <v>5.0</v>
      </c>
      <c r="B7722" s="1" t="s">
        <v>7678</v>
      </c>
      <c r="C7722" t="str">
        <f>IFERROR(__xludf.DUMMYFUNCTION("GOOGLETRANSLATE(B7722, ""zh"", ""en"")"),"very good! Good, very good, the right size. Meticulous workmanship!")</f>
        <v>very good! Good, very good, the right size. Meticulous workmanship!</v>
      </c>
    </row>
    <row r="7723">
      <c r="A7723" s="1">
        <v>5.0</v>
      </c>
      <c r="B7723" s="1" t="s">
        <v>7679</v>
      </c>
      <c r="C7723" t="str">
        <f>IFERROR(__xludf.DUMMYFUNCTION("GOOGLETRANSLATE(B7723, ""zh"", ""en"")"),"Suitable Size")</f>
        <v>Suitable Size</v>
      </c>
    </row>
    <row r="7724">
      <c r="A7724" s="1">
        <v>5.0</v>
      </c>
      <c r="B7724" s="1" t="s">
        <v>7680</v>
      </c>
      <c r="C7724" t="str">
        <f>IFERROR(__xludf.DUMMYFUNCTION("GOOGLETRANSLATE(B7724, ""zh"", ""en"")"),"Like a good price, quality is very good. For the first time in Asia so here buy cheap jeans.")</f>
        <v>Like a good price, quality is very good. For the first time in Asia so here buy cheap jeans.</v>
      </c>
    </row>
    <row r="7725">
      <c r="A7725" s="1">
        <v>5.0</v>
      </c>
      <c r="B7725" s="1" t="s">
        <v>7681</v>
      </c>
      <c r="C7725" t="str">
        <f>IFERROR(__xludf.DUMMYFUNCTION("GOOGLETRANSLATE(B7725, ""zh"", ""en"")"),"First, the good things stop size smaller than I imagined; the second is running very quiet, almost inaudible voice (no exaggeration); the third is a bit detect no bad sectors or something. Very satisfied with the shopping. Usable capacity about 9.1T (nomi"&amp;"nal 10T)")</f>
        <v>First, the good things stop size smaller than I imagined; the second is running very quiet, almost inaudible voice (no exaggeration); the third is a bit detect no bad sectors or something. Very satisfied with the shopping. Usable capacity about 9.1T (nominal 10T)</v>
      </c>
    </row>
    <row r="7726">
      <c r="A7726" s="1">
        <v>5.0</v>
      </c>
      <c r="B7726" s="1" t="s">
        <v>7682</v>
      </c>
      <c r="C7726" t="str">
        <f>IFERROR(__xludf.DUMMYFUNCTION("GOOGLETRANSLATE(B7726, ""zh"", ""en"")"),"Barber just fine with their own previously bought 5530 charge is not into power, buy a new one with")</f>
        <v>Barber just fine with their own previously bought 5530 charge is not into power, buy a new one with</v>
      </c>
    </row>
    <row r="7727">
      <c r="A7727" s="1">
        <v>5.0</v>
      </c>
      <c r="B7727" s="1" t="s">
        <v>7683</v>
      </c>
      <c r="C7727" t="str">
        <f>IFERROR(__xludf.DUMMYFUNCTION("GOOGLETRANSLATE(B7727, ""zh"", ""en"")"),"Color is very beautiful, very comfortable to wear! Good quality, very comfortable to wear! Travel photo look great!")</f>
        <v>Color is very beautiful, very comfortable to wear! Good quality, very comfortable to wear! Travel photo look great!</v>
      </c>
    </row>
    <row r="7728">
      <c r="A7728" s="1">
        <v>2.0</v>
      </c>
      <c r="B7728" s="1" t="s">
        <v>7684</v>
      </c>
      <c r="C7728" t="str">
        <f>IFERROR(__xludf.DUMMYFUNCTION("GOOGLETRANSLATE(B7728, ""zh"", ""en"")"),"Come across the oceans to use plastic bags? ? ? ? ! ! ! Hat quality is no problem, quite like it. but. . . Note, however, that whatever the outcome, across the oceans to express whatever the outcome, I installed a box ah! ! ! You send us a plastic bag on "&amp;"the? ! ! ! ! Hard top front portion of the folded two marks not too obvious ah ~! ! ! ! ! ! ! ! ! ! ! ! !")</f>
        <v>Come across the oceans to use plastic bags? ? ? ? ! ! ! Hat quality is no problem, quite like it. but. . . Note, however, that whatever the outcome, across the oceans to express whatever the outcome, I installed a box ah! ! ! You send us a plastic bag on the? ! ! ! ! Hard top front portion of the folded two marks not too obvious ah ~! ! ! ! ! ! ! ! ! ! ! ! !</v>
      </c>
    </row>
    <row r="7729">
      <c r="A7729" s="1">
        <v>3.0</v>
      </c>
      <c r="B7729" s="1" t="s">
        <v>7685</v>
      </c>
      <c r="C7729" t="str">
        <f>IFERROR(__xludf.DUMMYFUNCTION("GOOGLETRANSLATE(B7729, ""zh"", ""en"")"),"Photo logo is white, is a kind of gray buy S numbers, the situation did not happen too large, but the shoulder where a little wrinkled or do not know is a small version of the problem. Very comfortable to wear, but the photo logo is white, set off by blac"&amp;"k and look great. But it is kind of a gray, negative feedback.")</f>
        <v>Photo logo is white, is a kind of gray buy S numbers, the situation did not happen too large, but the shoulder where a little wrinkled or do not know is a small version of the problem. Very comfortable to wear, but the photo logo is white, set off by black and look great. But it is kind of a gray, negative feedback.</v>
      </c>
    </row>
    <row r="7730">
      <c r="A7730" s="1">
        <v>3.0</v>
      </c>
      <c r="B7730" s="1" t="s">
        <v>7686</v>
      </c>
      <c r="C7730" t="str">
        <f>IFERROR(__xludf.DUMMYFUNCTION("GOOGLETRANSLATE(B7730, ""zh"", ""en"")"),"Crop bad pocket valgus always, it is difficult to see.")</f>
        <v>Crop bad pocket valgus always, it is difficult to see.</v>
      </c>
    </row>
    <row r="7731">
      <c r="A7731" s="1">
        <v>1.0</v>
      </c>
      <c r="B7731" s="1" t="s">
        <v>7687</v>
      </c>
      <c r="C7731" t="str">
        <f>IFERROR(__xludf.DUMMYFUNCTION("GOOGLETRANSLATE(B7731, ""zh"", ""en"")"),"A few days ago where I went to review commented on the size of the purchase of goods, I do not know where to go today. Nobody solve the problem or answers, comments 1 star'd get rid of. My intention is to note that there is a problem of the site, if the s"&amp;"ituation reflects the consumer's true, the site can be adjusted or modified, websites and consumers are good.")</f>
        <v>A few days ago where I went to review commented on the size of the purchase of goods, I do not know where to go today. Nobody solve the problem or answers, comments 1 star'd get rid of. My intention is to note that there is a problem of the site, if the situation reflects the consumer's true, the site can be adjusted or modified, websites and consumers are good.</v>
      </c>
    </row>
    <row r="7732">
      <c r="A7732" s="1">
        <v>1.0</v>
      </c>
      <c r="B7732" s="1" t="s">
        <v>7688</v>
      </c>
      <c r="C7732" t="str">
        <f>IFERROR(__xludf.DUMMYFUNCTION("GOOGLETRANSLATE(B7732, ""zh"", ""en"")"),"Transportation gave the bad luck we buy carefully ah, how to install after the renovation did not respond, find the master to see, express transportation inside the accessories are broke, bad review! Negative Ratings!")</f>
        <v>Transportation gave the bad luck we buy carefully ah, how to install after the renovation did not respond, find the master to see, express transportation inside the accessories are broke, bad review! Negative Ratings!</v>
      </c>
    </row>
    <row r="7733">
      <c r="A7733" s="1">
        <v>1.0</v>
      </c>
      <c r="B7733" s="1" t="s">
        <v>7689</v>
      </c>
      <c r="C7733" t="str">
        <f>IFERROR(__xludf.DUMMYFUNCTION("GOOGLETRANSLATE(B7733, ""zh"", ""en"")"),"This is very depressing that the quality of shoes for less than a week on the open plastic, Amazon bought four men, only a quality is satisfactory!")</f>
        <v>This is very depressing that the quality of shoes for less than a week on the open plastic, Amazon bought four men, only a quality is satisfactory!</v>
      </c>
    </row>
    <row r="7734">
      <c r="A7734" s="1">
        <v>4.0</v>
      </c>
      <c r="B7734" s="1" t="s">
        <v>7690</v>
      </c>
      <c r="C7734" t="str">
        <f>IFERROR(__xludf.DUMMYFUNCTION("GOOGLETRANSLATE(B7734, ""zh"", ""en"")"),"Bib small, because overseas purchase, we are unable to retire")</f>
        <v>Bib small, because overseas purchase, we are unable to retire</v>
      </c>
    </row>
    <row r="7735">
      <c r="A7735" s="1">
        <v>4.0</v>
      </c>
      <c r="B7735" s="1" t="s">
        <v>7691</v>
      </c>
      <c r="C7735" t="str">
        <f>IFERROR(__xludf.DUMMYFUNCTION("GOOGLETRANSLATE(B7735, ""zh"", ""en"")"),"Good toothbrush, brush is also very clean when charging toothbrush lamp has been lit it? The first charge, put up lights do not turn (two toothbrushes are like this), do not know toothbrush charger has a problem or question?")</f>
        <v>Good toothbrush, brush is also very clean when charging toothbrush lamp has been lit it? The first charge, put up lights do not turn (two toothbrushes are like this), do not know toothbrush charger has a problem or question?</v>
      </c>
    </row>
    <row r="7736">
      <c r="A7736" s="1">
        <v>4.0</v>
      </c>
      <c r="B7736" s="1" t="s">
        <v>7692</v>
      </c>
      <c r="C7736" t="str">
        <f>IFERROR(__xludf.DUMMYFUNCTION("GOOGLETRANSLATE(B7736, ""zh"", ""en"")"),"Than I see online just got a little big, simply tried it feel good. Pending further testing. It is much bigger than the pictures online")</f>
        <v>Than I see online just got a little big, simply tried it feel good. Pending further testing. It is much bigger than the pictures online</v>
      </c>
    </row>
    <row r="7737">
      <c r="A7737" s="1">
        <v>4.0</v>
      </c>
      <c r="B7737" s="1" t="s">
        <v>7693</v>
      </c>
      <c r="C7737" t="str">
        <f>IFERROR(__xludf.DUMMYFUNCTION("GOOGLETRANSLATE(B7737, ""zh"", ""en"")"),"Color careful consideration, rubber sole shoes are very comfortable very comfortable, good quality, delivery time is moderate; color to be worse than expected, has been to buy puma nude pink, khaki is the result of this kind, heart stopper; more appropria"&amp;"te size 39 thin feet, 8 US.")</f>
        <v>Color careful consideration, rubber sole shoes are very comfortable very comfortable, good quality, delivery time is moderate; color to be worse than expected, has been to buy puma nude pink, khaki is the result of this kind, heart stopper; more appropriate size 39 thin feet, 8 US.</v>
      </c>
    </row>
    <row r="7738">
      <c r="A7738" s="1">
        <v>4.0</v>
      </c>
      <c r="B7738" s="1" t="s">
        <v>7694</v>
      </c>
      <c r="C7738" t="str">
        <f>IFERROR(__xludf.DUMMYFUNCTION("GOOGLETRANSLATE(B7738, ""zh"", ""en"")"),"Scaling unit scaling the general effect. Sometimes the head will fall off")</f>
        <v>Scaling unit scaling the general effect. Sometimes the head will fall off</v>
      </c>
    </row>
    <row r="7739">
      <c r="A7739" s="1">
        <v>5.0</v>
      </c>
      <c r="B7739" s="1" t="s">
        <v>7695</v>
      </c>
      <c r="C7739" t="str">
        <f>IFERROR(__xludf.DUMMYFUNCTION("GOOGLETRANSLATE(B7739, ""zh"", ""en"")"),"182cm, 100kg, very fit, especially the neck is not Le. 182cm, 100kg, very fit, especially the neck is not Le.")</f>
        <v>182cm, 100kg, very fit, especially the neck is not Le. 182cm, 100kg, very fit, especially the neck is not Le.</v>
      </c>
    </row>
    <row r="7740">
      <c r="A7740" s="1">
        <v>5.0</v>
      </c>
      <c r="B7740" s="1" t="s">
        <v>7696</v>
      </c>
      <c r="C7740" t="str">
        <f>IFERROR(__xludf.DUMMYFUNCTION("GOOGLETRANSLATE(B7740, ""zh"", ""en"")"),"It is praise is praise the quality of clothes, size is normal. After the price is free shipping buy prime members to buy into. In the domestic counter selling expensive. Amazon has become a loyal user, nothing to brush a brush, met cost-effective decisive"&amp;"ly orders. I would recommend it to their friends to buy. keep supporting.")</f>
        <v>It is praise is praise the quality of clothes, size is normal. After the price is free shipping buy prime members to buy into. In the domestic counter selling expensive. Amazon has become a loyal user, nothing to brush a brush, met cost-effective decisively orders. I would recommend it to their friends to buy. keep supporting.</v>
      </c>
    </row>
    <row r="7741">
      <c r="A7741" s="1">
        <v>5.0</v>
      </c>
      <c r="B7741" s="1" t="s">
        <v>7697</v>
      </c>
      <c r="C7741" t="str">
        <f>IFERROR(__xludf.DUMMYFUNCTION("GOOGLETRANSLATE(B7741, ""zh"", ""en"")"),"Very good, as always, good")</f>
        <v>Very good, as always, good</v>
      </c>
    </row>
    <row r="7742">
      <c r="A7742" s="1">
        <v>5.0</v>
      </c>
      <c r="B7742" s="1" t="s">
        <v>7698</v>
      </c>
      <c r="C7742" t="str">
        <f>IFERROR(__xludf.DUMMYFUNCTION("GOOGLETRANSLATE(B7742, ""zh"", ""en"")"),"Value for money right size, comfortable walking.")</f>
        <v>Value for money right size, comfortable walking.</v>
      </c>
    </row>
    <row r="7743">
      <c r="A7743" s="1">
        <v>5.0</v>
      </c>
      <c r="B7743" s="1" t="s">
        <v>7699</v>
      </c>
      <c r="C7743" t="str">
        <f>IFERROR(__xludf.DUMMYFUNCTION("GOOGLETRANSLATE(B7743, ""zh"", ""en"")"),"Origin Netherlands, head of the most critical selection for a long time, and ultimately chose this S5530, a country seemingly without this, there are T +, dual blades, good enough for my beard is not very lush, such a configuration, before Philips shaver "&amp;"used the old section of the pole head, used for several years as a very strong! A round plastic box sealing stickers, essentially no tack and peel off here, no doubt genuine first step, Netherlands origin, date of production in February 2019, and will not"&amp;" be worried about before you buy store goods for a long time, this concern immediately dispel off ~ Original sideburns trimmer, is also very practical, generally speaking, the price is really high, normal power, should be 5 series are similar, significant"&amp;"ly more powerful acceleration mode, the key is to be able to buy Dutch origin head, great ~ domestic auto prices will not say Oh da ~ in addition, this color is also pretty cool, minimalist atmosphere, business full range of children, properly properly sp"&amp;"end five years no problem ~ Finally, consult a domestic Philips customer service, there is British-small ticket in the country as a 2-year sale, the lowest price, highest quality products, why not? Amazon's overseas purchase this very satisfied!")</f>
        <v>Origin Netherlands, head of the most critical selection for a long time, and ultimately chose this S5530, a country seemingly without this, there are T +, dual blades, good enough for my beard is not very lush, such a configuration, before Philips shaver used the old section of the pole head, used for several years as a very strong! A round plastic box sealing stickers, essentially no tack and peel off here, no doubt genuine first step, Netherlands origin, date of production in February 2019, and will not be worried about before you buy store goods for a long time, this concern immediately dispel off ~ Original sideburns trimmer, is also very practical, generally speaking, the price is really high, normal power, should be 5 series are similar, significantly more powerful acceleration mode, the key is to be able to buy Dutch origin head, great ~ domestic auto prices will not say Oh da ~ in addition, this color is also pretty cool, minimalist atmosphere, business full range of children, properly properly spend five years no problem ~ Finally, consult a domestic Philips customer service, there is British-small ticket in the country as a 2-year sale, the lowest price, highest quality products, why not? Amazon's overseas purchase this very satisfied!</v>
      </c>
    </row>
    <row r="7744">
      <c r="A7744" s="1">
        <v>5.0</v>
      </c>
      <c r="B7744" s="1" t="s">
        <v>7700</v>
      </c>
      <c r="C7744" t="str">
        <f>IFERROR(__xludf.DUMMYFUNCTION("GOOGLETRANSLATE(B7744, ""zh"", ""en"")"),"This comfort shoes comfort is very good, leather is also good.")</f>
        <v>This comfort shoes comfort is very good, leather is also good.</v>
      </c>
    </row>
    <row r="7745">
      <c r="A7745" s="1">
        <v>5.0</v>
      </c>
      <c r="B7745" s="1" t="s">
        <v>7701</v>
      </c>
      <c r="C7745" t="str">
        <f>IFERROR(__xludf.DUMMYFUNCTION("GOOGLETRANSLATE(B7745, ""zh"", ""en"")"),"Shuai bottle did not sound really good to boil water is also equipped with a transformer logistics is also fast compared to other sea Amoy Amazon to fly more at ease ah")</f>
        <v>Shuai bottle did not sound really good to boil water is also equipped with a transformer logistics is also fast compared to other sea Amoy Amazon to fly more at ease ah</v>
      </c>
    </row>
    <row r="7746">
      <c r="A7746" s="1">
        <v>5.0</v>
      </c>
      <c r="B7746" s="1" t="s">
        <v>7702</v>
      </c>
      <c r="C7746" t="str">
        <f>IFERROR(__xludf.DUMMYFUNCTION("GOOGLETRANSLATE(B7746, ""zh"", ""en"")"),"Very good, very satisfied! Very fit, material good, cost-effective!")</f>
        <v>Very good, very satisfied! Very fit, material good, cost-effective!</v>
      </c>
    </row>
    <row r="7747">
      <c r="A7747" s="1">
        <v>5.0</v>
      </c>
      <c r="B7747" s="1" t="s">
        <v>7703</v>
      </c>
      <c r="C7747" t="str">
        <f>IFERROR(__xludf.DUMMYFUNCTION("GOOGLETRANSLATE(B7747, ""zh"", ""en"")"),"Small sticks before the United States and Asia bought, very much. This suit is a small branch, fit to go out.")</f>
        <v>Small sticks before the United States and Asia bought, very much. This suit is a small branch, fit to go out.</v>
      </c>
    </row>
    <row r="7748">
      <c r="A7748" s="1">
        <v>5.0</v>
      </c>
      <c r="B7748" s="1" t="s">
        <v>7704</v>
      </c>
      <c r="C7748" t="str">
        <f>IFERROR(__xludf.DUMMYFUNCTION("GOOGLETRANSLATE(B7748, ""zh"", ""en"")"),"Like the Japanese Amazon's packaging is very good, get the goods I liked it, the taste a little bit, put up uneventfully, ready next week for the children to use, price is really good, bought two 249 (Ref), hope can be more there are some of these activit"&amp;"ies.")</f>
        <v>Like the Japanese Amazon's packaging is very good, get the goods I liked it, the taste a little bit, put up uneventfully, ready next week for the children to use, price is really good, bought two 249 (Ref), hope can be more there are some of these activities.</v>
      </c>
    </row>
    <row r="7749">
      <c r="A7749" s="1">
        <v>5.0</v>
      </c>
      <c r="B7749" s="1" t="s">
        <v>7705</v>
      </c>
      <c r="C7749" t="str">
        <f>IFERROR(__xludf.DUMMYFUNCTION("GOOGLETRANSLATE(B7749, ""zh"", ""en"")"),"Work well is still very easy to use, follow the instructions, the first use of heating clean, and now every day with the good.")</f>
        <v>Work well is still very easy to use, follow the instructions, the first use of heating clean, and now every day with the good.</v>
      </c>
    </row>
    <row r="7750">
      <c r="A7750" s="1">
        <v>5.0</v>
      </c>
      <c r="B7750" s="1" t="s">
        <v>7706</v>
      </c>
      <c r="C7750" t="str">
        <f>IFERROR(__xludf.DUMMYFUNCTION("GOOGLETRANSLATE(B7750, ""zh"", ""en"")"),"Good affordable, quality good quality, this brand has been, never been disappointed")</f>
        <v>Good affordable, quality good quality, this brand has been, never been disappointed</v>
      </c>
    </row>
    <row r="7751">
      <c r="A7751" s="1">
        <v>5.0</v>
      </c>
      <c r="B7751" s="1" t="s">
        <v>7707</v>
      </c>
      <c r="C7751" t="str">
        <f>IFERROR(__xludf.DUMMYFUNCTION("GOOGLETRANSLATE(B7751, ""zh"", ""en"")"),"Bought many times liked")</f>
        <v>Bought many times liked</v>
      </c>
    </row>
    <row r="7752">
      <c r="A7752" s="1">
        <v>5.0</v>
      </c>
      <c r="B7752" s="1" t="s">
        <v>7708</v>
      </c>
      <c r="C7752" t="str">
        <f>IFERROR(__xludf.DUMMYFUNCTION("GOOGLETRANSLATE(B7752, ""zh"", ""en"")"),"Good shoes, appropriate shoes, no zippers, high instep of people, foot fat people must choose carefully")</f>
        <v>Good shoes, appropriate shoes, no zippers, high instep of people, foot fat people must choose carefully</v>
      </c>
    </row>
    <row r="7753">
      <c r="A7753" s="1">
        <v>5.0</v>
      </c>
      <c r="B7753" s="1" t="s">
        <v>7709</v>
      </c>
      <c r="C7753" t="str">
        <f>IFERROR(__xludf.DUMMYFUNCTION("GOOGLETRANSLATE(B7753, ""zh"", ""en"")"),"High cost, there are not any good style, good value for money")</f>
        <v>High cost, there are not any good style, good value for money</v>
      </c>
    </row>
    <row r="7754">
      <c r="A7754" s="1">
        <v>5.0</v>
      </c>
      <c r="B7754" s="1" t="s">
        <v>7710</v>
      </c>
      <c r="C7754" t="str">
        <f>IFERROR(__xludf.DUMMYFUNCTION("GOOGLETRANSLATE(B7754, ""zh"", ""en"")"),"Classic AKG headphones made in China. With the first AKG headphones sound very much like characteristics, ready to switch from Sennheiser AKG up. Currently focusrite sound card with Direct Push, IF distant sound is characterized by light, not red ears. Sl"&amp;"owly cook it, it is said to burn hundreds of hours to burn cooked. After the release of the hedgehog, re-entry K701.")</f>
        <v>Classic AKG headphones made in China. With the first AKG headphones sound very much like characteristics, ready to switch from Sennheiser AKG up. Currently focusrite sound card with Direct Push, IF distant sound is characterized by light, not red ears. Slowly cook it, it is said to burn hundreds of hours to burn cooked. After the release of the hedgehog, re-entry K701.</v>
      </c>
    </row>
    <row r="7755">
      <c r="A7755" s="1">
        <v>5.0</v>
      </c>
      <c r="B7755" s="1" t="s">
        <v>7711</v>
      </c>
      <c r="C7755" t="str">
        <f>IFERROR(__xludf.DUMMYFUNCTION("GOOGLETRANSLATE(B7755, ""zh"", ""en"")"),"Amazon, overseas purchase only recognize it ~ shelf life to 19 years, yes! Overseas purchase, than a treasure of a strong east not the slightest bit")</f>
        <v>Amazon, overseas purchase only recognize it ~ shelf life to 19 years, yes! Overseas purchase, than a treasure of a strong east not the slightest bit</v>
      </c>
    </row>
    <row r="7756">
      <c r="A7756" s="1">
        <v>5.0</v>
      </c>
      <c r="B7756" s="1" t="s">
        <v>7712</v>
      </c>
      <c r="C7756" t="str">
        <f>IFERROR(__xludf.DUMMYFUNCTION("GOOGLETRANSLATE(B7756, ""zh"", ""en"")"),"Strongly recommended good sound quality, small size, usually commute particularly convenient, high color value.")</f>
        <v>Strongly recommended good sound quality, small size, usually commute particularly convenient, high color value.</v>
      </c>
    </row>
    <row r="7757">
      <c r="A7757" s="1">
        <v>5.0</v>
      </c>
      <c r="B7757" s="1" t="s">
        <v>7713</v>
      </c>
      <c r="C7757" t="str">
        <f>IFERROR(__xludf.DUMMYFUNCTION("GOOGLETRANSLATE(B7757, ""zh"", ""en"")"),"Atsugi like warm socks")</f>
        <v>Atsugi like warm socks</v>
      </c>
    </row>
    <row r="7758">
      <c r="A7758" s="1">
        <v>5.0</v>
      </c>
      <c r="B7758" s="1" t="s">
        <v>7714</v>
      </c>
      <c r="C7758" t="str">
        <f>IFERROR(__xludf.DUMMYFUNCTION("GOOGLETRANSLATE(B7758, ""zh"", ""en"")"),"Bottle bottles receive friends receive friends not to hoard goods with packaging feel good simple ah, it should be genuine")</f>
        <v>Bottle bottles receive friends receive friends not to hoard goods with packaging feel good simple ah, it should be genuine</v>
      </c>
    </row>
    <row r="7759">
      <c r="A7759" s="1">
        <v>5.0</v>
      </c>
      <c r="B7759" s="1" t="s">
        <v>7715</v>
      </c>
      <c r="C7759" t="str">
        <f>IFERROR(__xludf.DUMMYFUNCTION("GOOGLETRANSLATE(B7759, ""zh"", ""en"")"),"Small and exquisite! nice! Much better than the potential 99 before, the phone Direct Push can produce good sound! Catheter is almost no wire Ye Hao soft, afraid ripped.")</f>
        <v>Small and exquisite! nice! Much better than the potential 99 before, the phone Direct Push can produce good sound! Catheter is almost no wire Ye Hao soft, afraid ripped.</v>
      </c>
    </row>
    <row r="7760">
      <c r="A7760" s="1">
        <v>5.0</v>
      </c>
      <c r="B7760" s="1" t="s">
        <v>7716</v>
      </c>
      <c r="C7760" t="str">
        <f>IFERROR(__xludf.DUMMYFUNCTION("GOOGLETRANSLATE(B7760, ""zh"", ""en"")"),"Quality is very good right length! Quality is very good right length!")</f>
        <v>Quality is very good right length! Quality is very good right length!</v>
      </c>
    </row>
    <row r="7761">
      <c r="A7761" s="1">
        <v>2.0</v>
      </c>
      <c r="B7761" s="1" t="s">
        <v>7717</v>
      </c>
      <c r="C7761" t="str">
        <f>IFERROR(__xludf.DUMMYFUNCTION("GOOGLETRANSLATE(B7761, ""zh"", ""en"")"),"8 installed inside only 6 buy two boxes 8 installed, open a box of which only 6")</f>
        <v>8 installed inside only 6 buy two boxes 8 installed, open a box of which only 6</v>
      </c>
    </row>
    <row r="7762">
      <c r="A7762" s="1">
        <v>3.0</v>
      </c>
      <c r="B7762" s="1" t="s">
        <v>7718</v>
      </c>
      <c r="C7762" t="str">
        <f>IFERROR(__xludf.DUMMYFUNCTION("GOOGLETRANSLATE(B7762, ""zh"", ""en"")"),"Headphone packaging is not very new, work a little rough.")</f>
        <v>Headphone packaging is not very new, work a little rough.</v>
      </c>
    </row>
    <row r="7763">
      <c r="A7763" s="1">
        <v>3.0</v>
      </c>
      <c r="B7763" s="1" t="s">
        <v>7719</v>
      </c>
      <c r="C7763" t="str">
        <f>IFERROR(__xludf.DUMMYFUNCTION("GOOGLETRANSLATE(B7763, ""zh"", ""en"")"),"Sent the wrong size quality looks good, the wrong size, m xl become the No.")</f>
        <v>Sent the wrong size quality looks good, the wrong size, m xl become the No.</v>
      </c>
    </row>
    <row r="7764">
      <c r="A7764" s="1">
        <v>3.0</v>
      </c>
      <c r="B7764" s="1" t="s">
        <v>7720</v>
      </c>
      <c r="C7764" t="str">
        <f>IFERROR(__xludf.DUMMYFUNCTION("GOOGLETRANSLATE(B7764, ""zh"", ""en"")"),"Not bad cloth material, like the kind of pulp dyeing, airtight")</f>
        <v>Not bad cloth material, like the kind of pulp dyeing, airtight</v>
      </c>
    </row>
    <row r="7765">
      <c r="A7765" s="1">
        <v>1.0</v>
      </c>
      <c r="B7765" s="1" t="s">
        <v>7721</v>
      </c>
      <c r="C7765" t="str">
        <f>IFERROR(__xludf.DUMMYFUNCTION("GOOGLETRANSLATE(B7765, ""zh"", ""en"")"),"Selected smaller size does not fit, but still long and large.")</f>
        <v>Selected smaller size does not fit, but still long and large.</v>
      </c>
    </row>
    <row r="7766">
      <c r="A7766" s="1">
        <v>1.0</v>
      </c>
      <c r="B7766" s="1" t="s">
        <v>7722</v>
      </c>
      <c r="C7766" t="str">
        <f>IFERROR(__xludf.DUMMYFUNCTION("GOOGLETRANSLATE(B7766, ""zh"", ""en"")"),"Quality is not a trademark worth it, look before you buy the inner layer should be dark, the result is white, comfort and quality can not keep up Uniqlo, before not wash the inner layer of cotton will stick to the shirt, all turned into small particles af"&amp;"ter washing like a knot together, the outer layer will play ball, a little fooled feeling, feeling rough chaotic system, the foundry itself or a problem in Vietnam so")</f>
        <v>Quality is not a trademark worth it, look before you buy the inner layer should be dark, the result is white, comfort and quality can not keep up Uniqlo, before not wash the inner layer of cotton will stick to the shirt, all turned into small particles after washing like a knot together, the outer layer will play ball, a little fooled feeling, feeling rough chaotic system, the foundry itself or a problem in Vietnam so</v>
      </c>
    </row>
    <row r="7767">
      <c r="A7767" s="1">
        <v>1.0</v>
      </c>
      <c r="B7767" s="1" t="s">
        <v>7723</v>
      </c>
      <c r="C7767" t="str">
        <f>IFERROR(__xludf.DUMMYFUNCTION("GOOGLETRANSLATE(B7767, ""zh"", ""en"")"),"Never used a spell box lid there's no cover, medicine naked, too bad!")</f>
        <v>Never used a spell box lid there's no cover, medicine naked, too bad!</v>
      </c>
    </row>
    <row r="7768">
      <c r="A7768" s="1">
        <v>4.0</v>
      </c>
      <c r="B7768" s="1" t="s">
        <v>7724</v>
      </c>
      <c r="C7768" t="str">
        <f>IFERROR(__xludf.DUMMYFUNCTION("GOOGLETRANSLATE(B7768, ""zh"", ""en"")"),"Okay okay, the fabric is very hard. The cut is loose money, big trousers.")</f>
        <v>Okay okay, the fabric is very hard. The cut is loose money, big trousers.</v>
      </c>
    </row>
    <row r="7769">
      <c r="A7769" s="1">
        <v>4.0</v>
      </c>
      <c r="B7769" s="1" t="s">
        <v>7725</v>
      </c>
      <c r="C7769" t="str">
        <f>IFERROR(__xludf.DUMMYFUNCTION("GOOGLETRANSLATE(B7769, ""zh"", ""en"")"),"The best choice for affordable high-capacity hard drives bought disassemble when NAS hard disk, although speed is a little slow, a little louder, but also stability, there is no any quality problem! Compare appalling is that the hard disk can only be inst"&amp;"alled two screws, contempt")</f>
        <v>The best choice for affordable high-capacity hard drives bought disassemble when NAS hard disk, although speed is a little slow, a little louder, but also stability, there is no any quality problem! Compare appalling is that the hard disk can only be installed two screws, contempt</v>
      </c>
    </row>
    <row r="7770">
      <c r="A7770" s="1">
        <v>4.0</v>
      </c>
      <c r="B7770" s="1" t="s">
        <v>7726</v>
      </c>
      <c r="C7770" t="str">
        <f>IFERROR(__xludf.DUMMYFUNCTION("GOOGLETRANSLATE(B7770, ""zh"", ""en"")"),"Suitable wife recognition, and counter goods are basically the same, the end is good, more comfortable")</f>
        <v>Suitable wife recognition, and counter goods are basically the same, the end is good, more comfortable</v>
      </c>
    </row>
    <row r="7771">
      <c r="A7771" s="1">
        <v>4.0</v>
      </c>
      <c r="B7771" s="1" t="s">
        <v>7727</v>
      </c>
      <c r="C7771" t="str">
        <f>IFERROR(__xludf.DUMMYFUNCTION("GOOGLETRANSLATE(B7771, ""zh"", ""en"")"),"Some long. Height 176, weight 166, Shoulder 48, l buy code. Shoulder least 49 clothes, no amount of length, but should grow at least 4 cm. Good quality.")</f>
        <v>Some long. Height 176, weight 166, Shoulder 48, l buy code. Shoulder least 49 clothes, no amount of length, but should grow at least 4 cm. Good quality.</v>
      </c>
    </row>
    <row r="7772">
      <c r="A7772" s="1">
        <v>4.0</v>
      </c>
      <c r="B7772" s="1" t="s">
        <v>7728</v>
      </c>
      <c r="C7772" t="str">
        <f>IFERROR(__xludf.DUMMYFUNCTION("GOOGLETRANSLATE(B7772, ""zh"", ""en"")"),"So-so product appearance, like your super simple, the price is a little expensive, the quality is generally strap")</f>
        <v>So-so product appearance, like your super simple, the price is a little expensive, the quality is generally strap</v>
      </c>
    </row>
    <row r="7773">
      <c r="A7773" s="1">
        <v>5.0</v>
      </c>
      <c r="B7773" s="1" t="s">
        <v>7729</v>
      </c>
      <c r="C7773" t="str">
        <f>IFERROR(__xludf.DUMMYFUNCTION("GOOGLETRANSLATE(B7773, ""zh"", ""en"")"),"Shoes are better, my shoe size is too large ~ 41 yards, but considering the high to help, buy a hot-headed Ouma 42, refers to the results of freshman around, UGG insole pad after fairly fit; buy after a friend recommended by under normal size single like "&amp;"myself!")</f>
        <v>Shoes are better, my shoe size is too large ~ 41 yards, but considering the high to help, buy a hot-headed Ouma 42, refers to the results of freshman around, UGG insole pad after fairly fit; buy after a friend recommended by under normal size single like myself!</v>
      </c>
    </row>
    <row r="7774">
      <c r="A7774" s="1">
        <v>5.0</v>
      </c>
      <c r="B7774" s="1" t="s">
        <v>7730</v>
      </c>
      <c r="C7774" t="str">
        <f>IFERROR(__xludf.DUMMYFUNCTION("GOOGLETRANSLATE(B7774, ""zh"", ""en"")"),"NIce Watch really like this minimalist style watches, Skagen watches have bought three in the Amazon.")</f>
        <v>NIce Watch really like this minimalist style watches, Skagen watches have bought three in the Amazon.</v>
      </c>
    </row>
    <row r="7775">
      <c r="A7775" s="1">
        <v>5.0</v>
      </c>
      <c r="B7775" s="1" t="s">
        <v>7731</v>
      </c>
      <c r="C7775" t="str">
        <f>IFERROR(__xludf.DUMMYFUNCTION("GOOGLETRANSLATE(B7775, ""zh"", ""en"")"),"Good courier quickly, arrived a week. A large jar, has been eating chocolate, not the taste. How the query whether the tax?")</f>
        <v>Good courier quickly, arrived a week. A large jar, has been eating chocolate, not the taste. How the query whether the tax?</v>
      </c>
    </row>
    <row r="7776">
      <c r="A7776" s="1">
        <v>5.0</v>
      </c>
      <c r="B7776" s="1" t="s">
        <v>7732</v>
      </c>
      <c r="C7776" t="str">
        <f>IFERROR(__xludf.DUMMYFUNCTION("GOOGLETRANSLATE(B7776, ""zh"", ""en"")"),"The metallic color, yellowish, feeling different light discoloration, good")</f>
        <v>The metallic color, yellowish, feeling different light discoloration, good</v>
      </c>
    </row>
    <row r="7777">
      <c r="A7777" s="1">
        <v>5.0</v>
      </c>
      <c r="B7777" s="1" t="s">
        <v>7733</v>
      </c>
      <c r="C7777" t="str">
        <f>IFERROR(__xludf.DUMMYFUNCTION("GOOGLETRANSLATE(B7777, ""zh"", ""en"")"),"Cost is very high ah bottom noise within the acceptable range. Box with a little simple materials, work outside the unit also less elegant, but the absolute value of this price. Resolution, tri-band, the sound field can be.")</f>
        <v>Cost is very high ah bottom noise within the acceptable range. Box with a little simple materials, work outside the unit also less elegant, but the absolute value of this price. Resolution, tri-band, the sound field can be.</v>
      </c>
    </row>
    <row r="7778">
      <c r="A7778" s="1">
        <v>5.0</v>
      </c>
      <c r="B7778" s="1" t="s">
        <v>7734</v>
      </c>
      <c r="C7778" t="str">
        <f>IFERROR(__xludf.DUMMYFUNCTION("GOOGLETRANSLATE(B7778, ""zh"", ""en"")"),"Very nice pen smooth, comfortable grip, suitable thickness, for men, elegant, very beautiful!")</f>
        <v>Very nice pen smooth, comfortable grip, suitable thickness, for men, elegant, very beautiful!</v>
      </c>
    </row>
    <row r="7779">
      <c r="A7779" s="1">
        <v>5.0</v>
      </c>
      <c r="B7779" s="1" t="s">
        <v>7735</v>
      </c>
      <c r="C7779" t="str">
        <f>IFERROR(__xludf.DUMMYFUNCTION("GOOGLETRANSLATE(B7779, ""zh"", ""en"")"),"Easy easy easy easy to use especially on small oh let me 1")</f>
        <v>Easy easy easy easy to use especially on small oh let me 1</v>
      </c>
    </row>
    <row r="7780">
      <c r="A7780" s="1">
        <v>5.0</v>
      </c>
      <c r="B7780" s="1" t="s">
        <v>7736</v>
      </c>
      <c r="C7780" t="str">
        <f>IFERROR(__xludf.DUMMYFUNCTION("GOOGLETRANSLATE(B7780, ""zh"", ""en"")"),"Height 185 bargain recommend buying weight 105kg, once bought four an average of more than 70 cost-effective")</f>
        <v>Height 185 bargain recommend buying weight 105kg, once bought four an average of more than 70 cost-effective</v>
      </c>
    </row>
    <row r="7781">
      <c r="A7781" s="1">
        <v>5.0</v>
      </c>
      <c r="B7781" s="1" t="s">
        <v>7737</v>
      </c>
      <c r="C7781" t="str">
        <f>IFERROR(__xludf.DUMMYFUNCTION("GOOGLETRANSLATE(B7781, ""zh"", ""en"")"),"not bad! Iron Man series, style is simple and functional.")</f>
        <v>not bad! Iron Man series, style is simple and functional.</v>
      </c>
    </row>
    <row r="7782">
      <c r="A7782" s="1">
        <v>5.0</v>
      </c>
      <c r="B7782" s="1" t="s">
        <v>7738</v>
      </c>
      <c r="C7782" t="str">
        <f>IFERROR(__xludf.DUMMYFUNCTION("GOOGLETRANSLATE(B7782, ""zh"", ""en"")"),"Very good worth buying cups, packaging is very good, not only the original packaging intact but outside there is a very good package and fixed, from the United States and Asia to buy a lot better than it.")</f>
        <v>Very good worth buying cups, packaging is very good, not only the original packaging intact but outside there is a very good package and fixed, from the United States and Asia to buy a lot better than it.</v>
      </c>
    </row>
    <row r="7783">
      <c r="A7783" s="1">
        <v>5.0</v>
      </c>
      <c r="B7783" s="1" t="s">
        <v>7739</v>
      </c>
      <c r="C7783" t="str">
        <f>IFERROR(__xludf.DUMMYFUNCTION("GOOGLETRANSLATE(B7783, ""zh"", ""en"")"),"The value of this price to buy this shoe is nothing to find fault with the. 530-in")</f>
        <v>The value of this price to buy this shoe is nothing to find fault with the. 530-in</v>
      </c>
    </row>
    <row r="7784">
      <c r="A7784" s="1">
        <v>5.0</v>
      </c>
      <c r="B7784" s="1" t="s">
        <v>7740</v>
      </c>
      <c r="C7784" t="str">
        <f>IFERROR(__xludf.DUMMYFUNCTION("GOOGLETRANSLATE(B7784, ""zh"", ""en"")"),"499 to buy a good, well, it will be hot in the summer. . .")</f>
        <v>499 to buy a good, well, it will be hot in the summer. . .</v>
      </c>
    </row>
    <row r="7785">
      <c r="A7785" s="1">
        <v>5.0</v>
      </c>
      <c r="B7785" s="1" t="s">
        <v>7741</v>
      </c>
      <c r="C7785" t="str">
        <f>IFERROR(__xludf.DUMMYFUNCTION("GOOGLETRANSLATE(B7785, ""zh"", ""en"")"),"Comfortable, suitable 181 75kg M code is very fit, her husband said very comfortable, feels very comfortable, quick-drying fabric")</f>
        <v>Comfortable, suitable 181 75kg M code is very fit, her husband said very comfortable, feels very comfortable, quick-drying fabric</v>
      </c>
    </row>
    <row r="7786">
      <c r="A7786" s="1">
        <v>5.0</v>
      </c>
      <c r="B7786" s="1" t="s">
        <v>7742</v>
      </c>
      <c r="C7786" t="str">
        <f>IFERROR(__xludf.DUMMYFUNCTION("GOOGLETRANSLATE(B7786, ""zh"", ""en"")"),"Very much like gifts given away on the super tall")</f>
        <v>Very much like gifts given away on the super tall</v>
      </c>
    </row>
    <row r="7787">
      <c r="A7787" s="1">
        <v>5.0</v>
      </c>
      <c r="B7787" s="1" t="s">
        <v>7743</v>
      </c>
      <c r="C7787" t="str">
        <f>IFERROR(__xludf.DUMMYFUNCTION("GOOGLETRANSLATE(B7787, ""zh"", ""en"")"),"Very Good Very nice bottle, to quit the bottle to the children, very quick to adapt. Security did not smell, easy to clean, easy to hand wash, throw the dishwasher can wash. And start very cheap, only half the country when to start.")</f>
        <v>Very Good Very nice bottle, to quit the bottle to the children, very quick to adapt. Security did not smell, easy to clean, easy to hand wash, throw the dishwasher can wash. And start very cheap, only half the country when to start.</v>
      </c>
    </row>
    <row r="7788">
      <c r="A7788" s="1">
        <v>5.0</v>
      </c>
      <c r="B7788" s="1" t="s">
        <v>7744</v>
      </c>
      <c r="C7788" t="str">
        <f>IFERROR(__xludf.DUMMYFUNCTION("GOOGLETRANSLATE(B7788, ""zh"", ""en"")"),"Very good, feeling great value with up and feel better than the red ring, but because auto-rotate written, should not be suitable for fine painting")</f>
        <v>Very good, feeling great value with up and feel better than the red ring, but because auto-rotate written, should not be suitable for fine painting</v>
      </c>
    </row>
    <row r="7789">
      <c r="A7789" s="1">
        <v>5.0</v>
      </c>
      <c r="B7789" s="1" t="s">
        <v>7745</v>
      </c>
      <c r="C7789" t="str">
        <f>IFERROR(__xludf.DUMMYFUNCTION("GOOGLETRANSLATE(B7789, ""zh"", ""en"")"),"Not dirt, dirt is not good texture, good texture")</f>
        <v>Not dirt, dirt is not good texture, good texture</v>
      </c>
    </row>
    <row r="7790">
      <c r="A7790" s="1">
        <v>5.0</v>
      </c>
      <c r="B7790" s="1" t="s">
        <v>7746</v>
      </c>
      <c r="C7790" t="str">
        <f>IFERROR(__xludf.DUMMYFUNCTION("GOOGLETRANSLATE(B7790, ""zh"", ""en"")"),"Bang Bang clatter. Ah well, nice color, no problem.")</f>
        <v>Bang Bang clatter. Ah well, nice color, no problem.</v>
      </c>
    </row>
    <row r="7791">
      <c r="A7791" s="1">
        <v>5.0</v>
      </c>
      <c r="B7791" s="1" t="s">
        <v>7747</v>
      </c>
      <c r="C7791" t="str">
        <f>IFERROR(__xludf.DUMMYFUNCTION("GOOGLETRANSLATE(B7791, ""zh"", ""en"")"),"Type I received inconsistent toothbrush, toothbrush how I look at the bottom of the display model 939B, and 9357 is a model you")</f>
        <v>Type I received inconsistent toothbrush, toothbrush how I look at the bottom of the display model 939B, and 9357 is a model you</v>
      </c>
    </row>
    <row r="7792">
      <c r="A7792" s="1">
        <v>5.0</v>
      </c>
      <c r="B7792" s="1" t="s">
        <v>7748</v>
      </c>
      <c r="C7792" t="str">
        <f>IFERROR(__xludf.DUMMYFUNCTION("GOOGLETRANSLATE(B7792, ""zh"", ""en"")"),"Do not understand the domestic replacement brush head why the price is so high brush and tidy, moderate hardness, simple packaging, quality is also good, the key to affordable, but also to buy rest assured")</f>
        <v>Do not understand the domestic replacement brush head why the price is so high brush and tidy, moderate hardness, simple packaging, quality is also good, the key to affordable, but also to buy rest assured</v>
      </c>
    </row>
    <row r="7793">
      <c r="A7793" s="1">
        <v>5.0</v>
      </c>
      <c r="B7793" s="1" t="s">
        <v>7749</v>
      </c>
      <c r="C7793" t="str">
        <f>IFERROR(__xludf.DUMMYFUNCTION("GOOGLETRANSLATE(B7793, ""zh"", ""en"")"),"The appearance of the watch is very good, fast delivery, beautiful")</f>
        <v>The appearance of the watch is very good, fast delivery, beautiful</v>
      </c>
    </row>
    <row r="7794">
      <c r="A7794" s="1">
        <v>5.0</v>
      </c>
      <c r="B7794" s="1" t="s">
        <v>7750</v>
      </c>
      <c r="C7794" t="str">
        <f>IFERROR(__xludf.DUMMYFUNCTION("GOOGLETRANSLATE(B7794, ""zh"", ""en"")"),"Japanese direct mail, very good! Japanese direct mail, very good! Good quality 👍 a very pleasant shopping!")</f>
        <v>Japanese direct mail, very good! Japanese direct mail, very good! Good quality 👍 a very pleasant shopping!</v>
      </c>
    </row>
    <row r="7795">
      <c r="A7795" s="1">
        <v>2.0</v>
      </c>
      <c r="B7795" s="1" t="s">
        <v>7751</v>
      </c>
      <c r="C7795" t="str">
        <f>IFERROR(__xludf.DUMMYFUNCTION("GOOGLETRANSLATE(B7795, ""zh"", ""en"")"),"Amazon is not the first time to buy very good shoes scratches work is not very fine thread offset many do not know the truth about the foot does not feel right")</f>
        <v>Amazon is not the first time to buy very good shoes scratches work is not very fine thread offset many do not know the truth about the foot does not feel right</v>
      </c>
    </row>
    <row r="7796">
      <c r="A7796" s="1">
        <v>3.0</v>
      </c>
      <c r="B7796" s="1" t="s">
        <v>7752</v>
      </c>
      <c r="C7796" t="str">
        <f>IFERROR(__xludf.DUMMYFUNCTION("GOOGLETRANSLATE(B7796, ""zh"", ""en"")"),"Slim does not recommend buying the calf, crotch is too short, the material quality in general, return shipping to 125 put up, reclaim, and do not recommend buying")</f>
        <v>Slim does not recommend buying the calf, crotch is too short, the material quality in general, return shipping to 125 put up, reclaim, and do not recommend buying</v>
      </c>
    </row>
    <row r="7797">
      <c r="A7797" s="1">
        <v>3.0</v>
      </c>
      <c r="B7797" s="1" t="s">
        <v>7753</v>
      </c>
      <c r="C7797" t="str">
        <f>IFERROR(__xludf.DUMMYFUNCTION("GOOGLETRANSLATE(B7797, ""zh"", ""en"")"),"Good shoes! But five black shoes Kengren price is good shoes, good in all aspects, soft leather, do not wear foot wear. Sports shoes 43, this is very suitable to wear 8UK. but! ! but! I bought during the five black, black fifty-one how it had to cut price"&amp;"s? ? ! Special black pit five buyers it?")</f>
        <v>Good shoes! But five black shoes Kengren price is good shoes, good in all aspects, soft leather, do not wear foot wear. Sports shoes 43, this is very suitable to wear 8UK. but! ! but! I bought during the five black, black fifty-one how it had to cut prices? ? ! Special black pit five buyers it?</v>
      </c>
    </row>
    <row r="7798">
      <c r="A7798" s="1">
        <v>1.0</v>
      </c>
      <c r="B7798" s="1" t="s">
        <v>7754</v>
      </c>
      <c r="C7798" t="str">
        <f>IFERROR(__xludf.DUMMYFUNCTION("GOOGLETRANSLATE(B7798, ""zh"", ""en"")"),"Very Good Very Good, fabrics and styles, the highest price, recommended to buy domestic usually wear a smaller size")</f>
        <v>Very Good Very Good, fabrics and styles, the highest price, recommended to buy domestic usually wear a smaller size</v>
      </c>
    </row>
    <row r="7799">
      <c r="A7799" s="1">
        <v>1.0</v>
      </c>
      <c r="B7799" s="1" t="s">
        <v>7755</v>
      </c>
      <c r="C7799" t="str">
        <f>IFERROR(__xludf.DUMMYFUNCTION("GOOGLETRANSLATE(B7799, ""zh"", ""en"")"),"Improve service too loose, the key question is inappropriate can not be a replacement, only to return, also reached far worse than domestic freight, overseas shopping really inappropriate.")</f>
        <v>Improve service too loose, the key question is inappropriate can not be a replacement, only to return, also reached far worse than domestic freight, overseas shopping really inappropriate.</v>
      </c>
    </row>
    <row r="7800">
      <c r="A7800" s="1">
        <v>4.0</v>
      </c>
      <c r="B7800" s="1" t="s">
        <v>7756</v>
      </c>
      <c r="C7800" t="str">
        <f>IFERROR(__xludf.DUMMYFUNCTION("GOOGLETRANSLATE(B7800, ""zh"", ""en"")"),"Size can also be relatively accurate, quality in line with expectations")</f>
        <v>Size can also be relatively accurate, quality in line with expectations</v>
      </c>
    </row>
    <row r="7801">
      <c r="A7801" s="1">
        <v>4.0</v>
      </c>
      <c r="B7801" s="1" t="s">
        <v>7757</v>
      </c>
      <c r="C7801" t="str">
        <f>IFERROR(__xludf.DUMMYFUNCTION("GOOGLETRANSLATE(B7801, ""zh"", ""en"")"),"How to deal with bad hello, might be broken in a corner of their own transportation, the part can not find out, what other methods to remedy it?")</f>
        <v>How to deal with bad hello, might be broken in a corner of their own transportation, the part can not find out, what other methods to remedy it?</v>
      </c>
    </row>
    <row r="7802">
      <c r="A7802" s="1">
        <v>4.0</v>
      </c>
      <c r="B7802" s="1" t="s">
        <v>7758</v>
      </c>
      <c r="C7802" t="str">
        <f>IFERROR(__xludf.DUMMYFUNCTION("GOOGLETRANSLATE(B7802, ""zh"", ""en"")"),"Ink pen to write still very comfortable, but the pen with blue ink, with warm water also washed out a lot of blue ink. AIU asked the service, said the factory could be sampled. Direct mail is a bit long time, more than a week. After receipt of goods no ta"&amp;"x, the results asked Mayer, does not know there is no tax to 60 days and then know")</f>
        <v>Ink pen to write still very comfortable, but the pen with blue ink, with warm water also washed out a lot of blue ink. AIU asked the service, said the factory could be sampled. Direct mail is a bit long time, more than a week. After receipt of goods no tax, the results asked Mayer, does not know there is no tax to 60 days and then know</v>
      </c>
    </row>
    <row r="7803">
      <c r="A7803" s="1">
        <v>4.0</v>
      </c>
      <c r="B7803" s="1" t="s">
        <v>7759</v>
      </c>
      <c r="C7803" t="str">
        <f>IFERROR(__xludf.DUMMYFUNCTION("GOOGLETRANSLATE(B7803, ""zh"", ""en"")"),"If you have good-looking red like ~ ~ ~")</f>
        <v>If you have good-looking red like ~ ~ ~</v>
      </c>
    </row>
    <row r="7804">
      <c r="A7804" s="1">
        <v>5.0</v>
      </c>
      <c r="B7804" s="1" t="s">
        <v>7760</v>
      </c>
      <c r="C7804" t="str">
        <f>IFERROR(__xludf.DUMMYFUNCTION("GOOGLETRANSLATE(B7804, ""zh"", ""en"")"),"👌 good very good very good, straight jeans, fabric soft, not tight")</f>
        <v>👌 good very good very good, straight jeans, fabric soft, not tight</v>
      </c>
    </row>
    <row r="7805">
      <c r="A7805" s="1">
        <v>5.0</v>
      </c>
      <c r="B7805" s="1" t="s">
        <v>7761</v>
      </c>
      <c r="C7805" t="str">
        <f>IFERROR(__xludf.DUMMYFUNCTION("GOOGLETRANSLATE(B7805, ""zh"", ""en"")"),"satisfaction. Size is very appropriate, very pretty on foot.")</f>
        <v>satisfaction. Size is very appropriate, very pretty on foot.</v>
      </c>
    </row>
    <row r="7806">
      <c r="A7806" s="1">
        <v>5.0</v>
      </c>
      <c r="B7806" s="1" t="s">
        <v>7762</v>
      </c>
      <c r="C7806" t="str">
        <f>IFERROR(__xludf.DUMMYFUNCTION("GOOGLETRANSLATE(B7806, ""zh"", ""en"")"),"Good stuff cheap store several times, no problems.")</f>
        <v>Good stuff cheap store several times, no problems.</v>
      </c>
    </row>
    <row r="7807">
      <c r="A7807" s="1">
        <v>5.0</v>
      </c>
      <c r="B7807" s="1" t="s">
        <v>7763</v>
      </c>
      <c r="C7807" t="str">
        <f>IFERROR(__xludf.DUMMYFUNCTION("GOOGLETRANSLATE(B7807, ""zh"", ""en"")"),"Shoes very good very good shoes, simple, stylish and elegant, but a little small scratches, acceptable, reasonable price, satisfaction")</f>
        <v>Shoes very good very good shoes, simple, stylish and elegant, but a little small scratches, acceptable, reasonable price, satisfaction</v>
      </c>
    </row>
    <row r="7808">
      <c r="A7808" s="1">
        <v>5.0</v>
      </c>
      <c r="B7808" s="1" t="s">
        <v>7764</v>
      </c>
      <c r="C7808" t="str">
        <f>IFERROR(__xludf.DUMMYFUNCTION("GOOGLETRANSLATE(B7808, ""zh"", ""en"")"),"Shoes quite cheap on Amazon is genuine quality guaranteed value for money")</f>
        <v>Shoes quite cheap on Amazon is genuine quality guaranteed value for money</v>
      </c>
    </row>
    <row r="7809">
      <c r="A7809" s="1">
        <v>5.0</v>
      </c>
      <c r="B7809" s="1" t="s">
        <v>7765</v>
      </c>
      <c r="C7809" t="str">
        <f>IFERROR(__xludf.DUMMYFUNCTION("GOOGLETRANSLATE(B7809, ""zh"", ""en"")"),"Good very good, they are worthy of a good under the water, minced properly properly.")</f>
        <v>Good very good, they are worthy of a good under the water, minced properly properly.</v>
      </c>
    </row>
    <row r="7810">
      <c r="A7810" s="1">
        <v>5.0</v>
      </c>
      <c r="B7810" s="1" t="s">
        <v>7766</v>
      </c>
      <c r="C7810" t="str">
        <f>IFERROR(__xludf.DUMMYFUNCTION("GOOGLETRANSLATE(B7810, ""zh"", ""en"")"),"Good kids like it, and brought back the same as the United States")</f>
        <v>Good kids like it, and brought back the same as the United States</v>
      </c>
    </row>
    <row r="7811">
      <c r="A7811" s="1">
        <v>5.0</v>
      </c>
      <c r="B7811" s="1" t="s">
        <v>7767</v>
      </c>
      <c r="C7811" t="str">
        <f>IFERROR(__xludf.DUMMYFUNCTION("GOOGLETRANSLATE(B7811, ""zh"", ""en"")"),"Suitable size, color positive height 178, wear M is appropriate. Color very positive, good ~ ~ ~")</f>
        <v>Suitable size, color positive height 178, wear M is appropriate. Color very positive, good ~ ~ ~</v>
      </c>
    </row>
    <row r="7812">
      <c r="A7812" s="1">
        <v>5.0</v>
      </c>
      <c r="B7812" s="1" t="s">
        <v>7768</v>
      </c>
      <c r="C7812" t="str">
        <f>IFERROR(__xludf.DUMMYFUNCTION("GOOGLETRANSLATE(B7812, ""zh"", ""en"")"),"Very beautiful fabric, style, and quality did not say")</f>
        <v>Very beautiful fabric, style, and quality did not say</v>
      </c>
    </row>
    <row r="7813">
      <c r="A7813" s="1">
        <v>5.0</v>
      </c>
      <c r="B7813" s="1" t="s">
        <v>7769</v>
      </c>
      <c r="C7813" t="str">
        <f>IFERROR(__xludf.DUMMYFUNCTION("GOOGLETRANSLATE(B7813, ""zh"", ""en"")"),"Mitsubishi Pencil great! In addition to expensive, no other disadvantages, not easy to break, the children very much.")</f>
        <v>Mitsubishi Pencil great! In addition to expensive, no other disadvantages, not easy to break, the children very much.</v>
      </c>
    </row>
    <row r="7814">
      <c r="A7814" s="1">
        <v>5.0</v>
      </c>
      <c r="B7814" s="1" t="s">
        <v>7770</v>
      </c>
      <c r="C7814" t="str">
        <f>IFERROR(__xludf.DUMMYFUNCTION("GOOGLETRANSLATE(B7814, ""zh"", ""en"")"),"Suitable comfort is good, with the same picture, than the expected date of arrival in advance, usually some domestic shoes to wear, thin legs 39, ecco38 is appropriate, activities affordable prices, Belle tata's shoes are also four or five hundred, and we"&amp;" feel even more value for money")</f>
        <v>Suitable comfort is good, with the same picture, than the expected date of arrival in advance, usually some domestic shoes to wear, thin legs 39, ecco38 is appropriate, activities affordable prices, Belle tata's shoes are also four or five hundred, and we feel even more value for money</v>
      </c>
    </row>
    <row r="7815">
      <c r="A7815" s="1">
        <v>5.0</v>
      </c>
      <c r="B7815" s="1" t="s">
        <v>7771</v>
      </c>
      <c r="C7815" t="str">
        <f>IFERROR(__xludf.DUMMYFUNCTION("GOOGLETRANSLATE(B7815, ""zh"", ""en"")"),"Cost-effective good price, very satisfied!")</f>
        <v>Cost-effective good price, very satisfied!</v>
      </c>
    </row>
    <row r="7816">
      <c r="A7816" s="1">
        <v>5.0</v>
      </c>
      <c r="B7816" s="1" t="s">
        <v>7772</v>
      </c>
      <c r="C7816" t="str">
        <f>IFERROR(__xludf.DUMMYFUNCTION("GOOGLETRANSLATE(B7816, ""zh"", ""en"")"),"So good. So good!")</f>
        <v>So good. So good!</v>
      </c>
    </row>
    <row r="7817">
      <c r="A7817" s="1">
        <v>5.0</v>
      </c>
      <c r="B7817" s="1" t="s">
        <v>7773</v>
      </c>
      <c r="C7817" t="str">
        <f>IFERROR(__xludf.DUMMYFUNCTION("GOOGLETRANSLATE(B7817, ""zh"", ""en"")"),"Not from the previous evaluation, I do not know how many wasted points, points can change money now know, they should look carefully evaluated, then I put these words to copy to go, both to earn points, but also save trouble, they go where copy , sent dir"&amp;"ectly to it, recommend it to everyone from not evaluated before, do not know how many wasted points, points can change money now know, they should look carefully evaluated, then I put these words to copy to go, both to earn points also save, copy where th"&amp;"ey go, sent directly to it, recommend it to everyone")</f>
        <v>Not from the previous evaluation, I do not know how many wasted points, points can change money now know, they should look carefully evaluated, then I put these words to copy to go, both to earn points, but also save trouble, they go where copy , sent directly to it, recommend it to everyone from not evaluated before, do not know how many wasted points, points can change money now know, they should look carefully evaluated, then I put these words to copy to go, both to earn points also save, copy where they go, sent directly to it, recommend it to everyone</v>
      </c>
    </row>
    <row r="7818">
      <c r="A7818" s="1">
        <v>5.0</v>
      </c>
      <c r="B7818" s="1" t="s">
        <v>7774</v>
      </c>
      <c r="C7818" t="str">
        <f>IFERROR(__xludf.DUMMYFUNCTION("GOOGLETRANSLATE(B7818, ""zh"", ""en"")"),"Has been very wide and very comfortable with Japan's aunt towel, very wide and very comfortable")</f>
        <v>Has been very wide and very comfortable with Japan's aunt towel, very wide and very comfortable</v>
      </c>
    </row>
    <row r="7819">
      <c r="A7819" s="1">
        <v>5.0</v>
      </c>
      <c r="B7819" s="1" t="s">
        <v>7775</v>
      </c>
      <c r="C7819" t="str">
        <f>IFERROR(__xludf.DUMMYFUNCTION("GOOGLETRANSLATE(B7819, ""zh"", ""en"")"),"It is suitable for reference, height 170, Shoulder 40, Chest 100, weight 140, L number. Plus the wear unlined jacket suit, buttoning a shirt to wear thick, the chest will be a little tight.")</f>
        <v>It is suitable for reference, height 170, Shoulder 40, Chest 100, weight 140, L number. Plus the wear unlined jacket suit, buttoning a shirt to wear thick, the chest will be a little tight.</v>
      </c>
    </row>
    <row r="7820">
      <c r="A7820" s="1">
        <v>5.0</v>
      </c>
      <c r="B7820" s="1" t="s">
        <v>7776</v>
      </c>
      <c r="C7820" t="str">
        <f>IFERROR(__xludf.DUMMYFUNCTION("GOOGLETRANSLATE(B7820, ""zh"", ""en"")"),"not bad. 173cm.68kg S code exactly, slightly longer sleeves. The first code S clothes, ha ha. . .")</f>
        <v>not bad. 173cm.68kg S code exactly, slightly longer sleeves. The first code S clothes, ha ha. . .</v>
      </c>
    </row>
    <row r="7821">
      <c r="A7821" s="1">
        <v>5.0</v>
      </c>
      <c r="B7821" s="1" t="s">
        <v>7777</v>
      </c>
      <c r="C7821" t="str">
        <f>IFERROR(__xludf.DUMMYFUNCTION("GOOGLETRANSLATE(B7821, ""zh"", ""en"")"),"Good thing I used on Mr. Braun 340 is appropriate. very satisfied.")</f>
        <v>Good thing I used on Mr. Braun 340 is appropriate. very satisfied.</v>
      </c>
    </row>
    <row r="7822">
      <c r="A7822" s="1">
        <v>5.0</v>
      </c>
      <c r="B7822" s="1" t="s">
        <v>7778</v>
      </c>
      <c r="C7822" t="str">
        <f>IFERROR(__xludf.DUMMYFUNCTION("GOOGLETRANSLATE(B7822, ""zh"", ""en"")"),"Smooth smooth easy to use, 4 boxes, pack 36.")</f>
        <v>Smooth smooth easy to use, 4 boxes, pack 36.</v>
      </c>
    </row>
    <row r="7823">
      <c r="A7823" s="1">
        <v>5.0</v>
      </c>
      <c r="B7823" s="1" t="s">
        <v>7779</v>
      </c>
      <c r="C7823" t="str">
        <f>IFERROR(__xludf.DUMMYFUNCTION("GOOGLETRANSLATE(B7823, ""zh"", ""en"")"),"Expensive, but good. Good texture, Ye Hao use.")</f>
        <v>Expensive, but good. Good texture, Ye Hao use.</v>
      </c>
    </row>
    <row r="7824">
      <c r="A7824" s="1">
        <v>5.0</v>
      </c>
      <c r="B7824" s="1" t="s">
        <v>7780</v>
      </c>
      <c r="C7824" t="str">
        <f>IFERROR(__xludf.DUMMYFUNCTION("GOOGLETRANSLATE(B7824, ""zh"", ""en"")"),"Very good Great ~ cheaper than the domestic half")</f>
        <v>Very good Great ~ cheaper than the domestic half</v>
      </c>
    </row>
    <row r="7825">
      <c r="A7825" s="1">
        <v>5.0</v>
      </c>
      <c r="B7825" s="1" t="s">
        <v>7781</v>
      </c>
      <c r="C7825" t="str">
        <f>IFERROR(__xludf.DUMMYFUNCTION("GOOGLETRANSLATE(B7825, ""zh"", ""en"")"),"I like the Slim models like the clothes, there are a lot of leather Slim models, bought this denim jacket, a different style, 176, weight 63 kg, XS very fit")</f>
        <v>I like the Slim models like the clothes, there are a lot of leather Slim models, bought this denim jacket, a different style, 176, weight 63 kg, XS very fit</v>
      </c>
    </row>
    <row r="7826">
      <c r="A7826" s="1">
        <v>2.0</v>
      </c>
      <c r="B7826" s="1" t="s">
        <v>7782</v>
      </c>
      <c r="C7826" t="str">
        <f>IFERROR(__xludf.DUMMYFUNCTION("GOOGLETRANSLATE(B7826, ""zh"", ""en"")"),"Than the same size pants too long for more than five centimeters!")</f>
        <v>Than the same size pants too long for more than five centimeters!</v>
      </c>
    </row>
    <row r="7827">
      <c r="A7827" s="1">
        <v>3.0</v>
      </c>
      <c r="B7827" s="1" t="s">
        <v>7783</v>
      </c>
      <c r="C7827" t="str">
        <f>IFERROR(__xludf.DUMMYFUNCTION("GOOGLETRANSLATE(B7827, ""zh"", ""en"")"),"173,73 size is too large, a larger wearing M, S of the buy.")</f>
        <v>173,73 size is too large, a larger wearing M, S of the buy.</v>
      </c>
    </row>
    <row r="7828">
      <c r="A7828" s="1">
        <v>3.0</v>
      </c>
      <c r="B7828" s="1" t="s">
        <v>7784</v>
      </c>
      <c r="C7828" t="str">
        <f>IFERROR(__xludf.DUMMYFUNCTION("GOOGLETRANSLATE(B7828, ""zh"", ""en"")"),"Comfortable, but old-fashioned style very comfortable, but very old-fashioned style")</f>
        <v>Comfortable, but old-fashioned style very comfortable, but very old-fashioned style</v>
      </c>
    </row>
    <row r="7829">
      <c r="A7829" s="1">
        <v>1.0</v>
      </c>
      <c r="B7829" s="1" t="s">
        <v>7785</v>
      </c>
      <c r="C7829" t="str">
        <f>IFERROR(__xludf.DUMMYFUNCTION("GOOGLETRANSLATE(B7829, ""zh"", ""en"")"),"there is a problem with my order? how can i contact the shop? there is a problem with my order? how can i contact the shop?")</f>
        <v>there is a problem with my order? how can i contact the shop? there is a problem with my order? how can i contact the shop?</v>
      </c>
    </row>
    <row r="7830">
      <c r="A7830" s="1">
        <v>1.0</v>
      </c>
      <c r="B7830" s="1" t="s">
        <v>7786</v>
      </c>
      <c r="C7830" t="str">
        <f>IFERROR(__xludf.DUMMYFUNCTION("GOOGLETRANSLATE(B7830, ""zh"", ""en"")"),"Next time will not shop at Amazon really like a general quality of the watch, strap quality is very poor, contact customer service several times, Amazon is not the key to return,")</f>
        <v>Next time will not shop at Amazon really like a general quality of the watch, strap quality is very poor, contact customer service several times, Amazon is not the key to return,</v>
      </c>
    </row>
    <row r="7831">
      <c r="A7831" s="1">
        <v>1.0</v>
      </c>
      <c r="B7831" s="1" t="s">
        <v>7787</v>
      </c>
      <c r="C7831" t="str">
        <f>IFERROR(__xludf.DUMMYFUNCTION("GOOGLETRANSLATE(B7831, ""zh"", ""en"")"),"Used watch! British-sent a second-hand goods, watches with of sweat and creased manual, contact the after-sales need to return Britain, speechless.")</f>
        <v>Used watch! British-sent a second-hand goods, watches with of sweat and creased manual, contact the after-sales need to return Britain, speechless.</v>
      </c>
    </row>
    <row r="7832">
      <c r="A7832" s="1">
        <v>4.0</v>
      </c>
      <c r="B7832" s="1" t="s">
        <v>7788</v>
      </c>
      <c r="C7832" t="str">
        <f>IFERROR(__xludf.DUMMYFUNCTION("GOOGLETRANSLATE(B7832, ""zh"", ""en"")"),"Good shoes too long, but the Amazon size chart poisonous! Totally not right. Return shipping expensive, but unfortunately hung salted fish")</f>
        <v>Good shoes too long, but the Amazon size chart poisonous! Totally not right. Return shipping expensive, but unfortunately hung salted fish</v>
      </c>
    </row>
    <row r="7833">
      <c r="A7833" s="1">
        <v>4.0</v>
      </c>
      <c r="B7833" s="1" t="s">
        <v>7789</v>
      </c>
      <c r="C7833" t="str">
        <f>IFERROR(__xludf.DUMMYFUNCTION("GOOGLETRANSLATE(B7833, ""zh"", ""en"")"),"Yes advantage: steel, reliable, simple and solemn appearance Cons: no insulation function")</f>
        <v>Yes advantage: steel, reliable, simple and solemn appearance Cons: no insulation function</v>
      </c>
    </row>
    <row r="7834">
      <c r="A7834" s="1">
        <v>4.0</v>
      </c>
      <c r="B7834" s="1" t="s">
        <v>7790</v>
      </c>
      <c r="C7834" t="str">
        <f>IFERROR(__xludf.DUMMYFUNCTION("GOOGLETRANSLATE(B7834, ""zh"", ""en"")"),"Can also ,,,,,,,")</f>
        <v>Can also ,,,,,,,</v>
      </c>
    </row>
    <row r="7835">
      <c r="A7835" s="1">
        <v>4.0</v>
      </c>
      <c r="B7835" s="1" t="s">
        <v>7791</v>
      </c>
      <c r="C7835" t="str">
        <f>IFERROR(__xludf.DUMMYFUNCTION("GOOGLETRANSLATE(B7835, ""zh"", ""en"")"),"Size small size, height 168, weight 105, L code just right (personally feel that the body is too small to wear a little bit) that you want to model the effect, to buy XL!")</f>
        <v>Size small size, height 168, weight 105, L code just right (personally feel that the body is too small to wear a little bit) that you want to model the effect, to buy XL!</v>
      </c>
    </row>
    <row r="7836">
      <c r="A7836" s="1">
        <v>4.0</v>
      </c>
      <c r="B7836" s="1" t="s">
        <v>7792</v>
      </c>
      <c r="C7836" t="str">
        <f>IFERROR(__xludf.DUMMYFUNCTION("GOOGLETRANSLATE(B7836, ""zh"", ""en"")"),"Waist tight My God, tight waist Well, I bought the small size of the table .... accordance with the results, and has given away")</f>
        <v>Waist tight My God, tight waist Well, I bought the small size of the table .... accordance with the results, and has given away</v>
      </c>
    </row>
    <row r="7837">
      <c r="A7837" s="1">
        <v>5.0</v>
      </c>
      <c r="B7837" s="1" t="s">
        <v>7793</v>
      </c>
      <c r="C7837" t="str">
        <f>IFERROR(__xludf.DUMMYFUNCTION("GOOGLETRANSLATE(B7837, ""zh"", ""en"")"),"Value of good things have been using this water purifier and filter. In short very, very good, with members also buy free shipping, really good, 188 yuan membership fee, buy twice the filter on and earn it")</f>
        <v>Value of good things have been using this water purifier and filter. In short very, very good, with members also buy free shipping, really good, 188 yuan membership fee, buy twice the filter on and earn it</v>
      </c>
    </row>
    <row r="7838">
      <c r="A7838" s="1">
        <v>5.0</v>
      </c>
      <c r="B7838" s="1" t="s">
        <v>7794</v>
      </c>
      <c r="C7838" t="str">
        <f>IFERROR(__xludf.DUMMYFUNCTION("GOOGLETRANSLATE(B7838, ""zh"", ""en"")"),"A good shopping experience pants just right, but the size of the actual size of the target is 31 appeared to be 32. The logistics slower for a few days.")</f>
        <v>A good shopping experience pants just right, but the size of the actual size of the target is 31 appeared to be 32. The logistics slower for a few days.</v>
      </c>
    </row>
    <row r="7839">
      <c r="A7839" s="1">
        <v>5.0</v>
      </c>
      <c r="B7839" s="1" t="s">
        <v>7795</v>
      </c>
      <c r="C7839" t="str">
        <f>IFERROR(__xludf.DUMMYFUNCTION("GOOGLETRANSLATE(B7839, ""zh"", ""en"")"),"Effective to the mother to buy, eating a knee to feel a lot better.")</f>
        <v>Effective to the mother to buy, eating a knee to feel a lot better.</v>
      </c>
    </row>
    <row r="7840">
      <c r="A7840" s="1">
        <v>5.0</v>
      </c>
      <c r="B7840" s="1" t="s">
        <v>7796</v>
      </c>
      <c r="C7840" t="str">
        <f>IFERROR(__xludf.DUMMYFUNCTION("GOOGLETRANSLATE(B7840, ""zh"", ""en"")"),"Much cheaper than similar domestic products, the good has been installed, when the two legs universal installation of multi-point around the raw tape, or water leakage. Toto than the domestic similar products much cheaper, shower faucet point of what Jiuh"&amp;"aola ...... Japan Sea on purchased more than three seems to work very well, like design with a strainer. Domestic generally do not filter thermostatic shower, thermostat valve is certainly easily broken.")</f>
        <v>Much cheaper than similar domestic products, the good has been installed, when the two legs universal installation of multi-point around the raw tape, or water leakage. Toto than the domestic similar products much cheaper, shower faucet point of what Jiuhaola ...... Japan Sea on purchased more than three seems to work very well, like design with a strainer. Domestic generally do not filter thermostatic shower, thermostat valve is certainly easily broken.</v>
      </c>
    </row>
    <row r="7841">
      <c r="A7841" s="1">
        <v>5.0</v>
      </c>
      <c r="B7841" s="1" t="s">
        <v>7797</v>
      </c>
      <c r="C7841" t="str">
        <f>IFERROR(__xludf.DUMMYFUNCTION("GOOGLETRANSLATE(B7841, ""zh"", ""en"")"),"Bang Bang was 173cm65 kg optional 30x30 cotton Slim fit trousers relatively inexpensive great comfort thanks to Amazon")</f>
        <v>Bang Bang was 173cm65 kg optional 30x30 cotton Slim fit trousers relatively inexpensive great comfort thanks to Amazon</v>
      </c>
    </row>
    <row r="7842">
      <c r="A7842" s="1">
        <v>5.0</v>
      </c>
      <c r="B7842" s="1" t="s">
        <v>7798</v>
      </c>
      <c r="C7842" t="str">
        <f>IFERROR(__xludf.DUMMYFUNCTION("GOOGLETRANSLATE(B7842, ""zh"", ""en"")"),"Headset sounds okay, quite like the first world single, the next day received praise")</f>
        <v>Headset sounds okay, quite like the first world single, the next day received praise</v>
      </c>
    </row>
    <row r="7843">
      <c r="A7843" s="1">
        <v>5.0</v>
      </c>
      <c r="B7843" s="1" t="s">
        <v>7799</v>
      </c>
      <c r="C7843" t="str">
        <f>IFERROR(__xludf.DUMMYFUNCTION("GOOGLETRANSLATE(B7843, ""zh"", ""en"")"),"Bathroom accessories installed effect of very good reviews")</f>
        <v>Bathroom accessories installed effect of very good reviews</v>
      </c>
    </row>
    <row r="7844">
      <c r="A7844" s="1">
        <v>5.0</v>
      </c>
      <c r="B7844" s="1" t="s">
        <v>7800</v>
      </c>
      <c r="C7844" t="str">
        <f>IFERROR(__xludf.DUMMYFUNCTION("GOOGLETRANSLATE(B7844, ""zh"", ""en"")"),"Simple hair removal effect just fine with slower long-term adherence only bear fruit right")</f>
        <v>Simple hair removal effect just fine with slower long-term adherence only bear fruit right</v>
      </c>
    </row>
    <row r="7845">
      <c r="A7845" s="1">
        <v>5.0</v>
      </c>
      <c r="B7845" s="1" t="s">
        <v>7801</v>
      </c>
      <c r="C7845" t="str">
        <f>IFERROR(__xludf.DUMMYFUNCTION("GOOGLETRANSLATE(B7845, ""zh"", ""en"")"),"Good overall balance of parity, sound more full")</f>
        <v>Good overall balance of parity, sound more full</v>
      </c>
    </row>
    <row r="7846">
      <c r="A7846" s="1">
        <v>5.0</v>
      </c>
      <c r="B7846" s="1" t="s">
        <v>7802</v>
      </c>
      <c r="C7846" t="str">
        <f>IFERROR(__xludf.DUMMYFUNCTION("GOOGLETRANSLATE(B7846, ""zh"", ""en"")"),"Bluetooth wireless convenience, but too tight to wear my long-suppressed comfortable Bluetooth headset wired Sony scrapped, the biggest feature is the wireless Bluetooth models, the biggest drawback is tight and small sponge, than I that hard before, Sony"&amp;"'s new design for me this unfriendly death house, for runners could not easily point out the friendly")</f>
        <v>Bluetooth wireless convenience, but too tight to wear my long-suppressed comfortable Bluetooth headset wired Sony scrapped, the biggest feature is the wireless Bluetooth models, the biggest drawback is tight and small sponge, than I that hard before, Sony's new design for me this unfriendly death house, for runners could not easily point out the friendly</v>
      </c>
    </row>
    <row r="7847">
      <c r="A7847" s="1">
        <v>5.0</v>
      </c>
      <c r="B7847" s="1" t="s">
        <v>7803</v>
      </c>
      <c r="C7847" t="str">
        <f>IFERROR(__xludf.DUMMYFUNCTION("GOOGLETRANSLATE(B7847, ""zh"", ""en"")"),"Usually wear a good belt waistband 34, buy 36, the shortest hole just to buckle. Belt a little hard, the overall length is shorter. Quality looked good. Overall praise.")</f>
        <v>Usually wear a good belt waistband 34, buy 36, the shortest hole just to buckle. Belt a little hard, the overall length is shorter. Quality looked good. Overall praise.</v>
      </c>
    </row>
    <row r="7848">
      <c r="A7848" s="1">
        <v>5.0</v>
      </c>
      <c r="B7848" s="1" t="s">
        <v>7804</v>
      </c>
      <c r="C7848" t="str">
        <f>IFERROR(__xludf.DUMMYFUNCTION("GOOGLETRANSLATE(B7848, ""zh"", ""en"")"),"Just received with a week's time, speed of delivery is still possible! Watch face is easy to leave fingerprints, others are very good, first with the bar!")</f>
        <v>Just received with a week's time, speed of delivery is still possible! Watch face is easy to leave fingerprints, others are very good, first with the bar!</v>
      </c>
    </row>
    <row r="7849">
      <c r="A7849" s="1">
        <v>5.0</v>
      </c>
      <c r="B7849" s="1" t="s">
        <v>7805</v>
      </c>
      <c r="C7849" t="str">
        <f>IFERROR(__xludf.DUMMYFUNCTION("GOOGLETRANSLATE(B7849, ""zh"", ""en"")"),"Bought a 38 bit long I 176cm72kg, buy 38 long to take it change it, we recommend 36 on the line. As a such a price to buy such quality very good belt cost pricey, it.")</f>
        <v>Bought a 38 bit long I 176cm72kg, buy 38 long to take it change it, we recommend 36 on the line. As a such a price to buy such quality very good belt cost pricey, it.</v>
      </c>
    </row>
    <row r="7850">
      <c r="A7850" s="1">
        <v>5.0</v>
      </c>
      <c r="B7850" s="1" t="s">
        <v>7806</v>
      </c>
      <c r="C7850" t="str">
        <f>IFERROR(__xludf.DUMMYFUNCTION("GOOGLETRANSLATE(B7850, ""zh"", ""en"")"),"Overall very satisfied directed at this shape similar to Apple headphones to buy, the price is very conscience of the hand, with this price quality quite amazing! More comfortable to wear than the other ear Bluetooth headset before you buy, the sound qual"&amp;"ity Ye Hao ~ AirPods many cheap alternatives! The only drawback is that the headphone cable a little too long ......")</f>
        <v>Overall very satisfied directed at this shape similar to Apple headphones to buy, the price is very conscience of the hand, with this price quality quite amazing! More comfortable to wear than the other ear Bluetooth headset before you buy, the sound quality Ye Hao ~ AirPods many cheap alternatives! The only drawback is that the headphone cable a little too long ......</v>
      </c>
    </row>
    <row r="7851">
      <c r="A7851" s="1">
        <v>5.0</v>
      </c>
      <c r="B7851" s="1" t="s">
        <v>7807</v>
      </c>
      <c r="C7851" t="str">
        <f>IFERROR(__xludf.DUMMYFUNCTION("GOOGLETRANSLATE(B7851, ""zh"", ""en"")"),"Pants praise praise praise praise praise praise praise praise praise praise praise praise praise praise praise praise praise praise praise praise praise praise praise praise praise praise praise praise praise praise praise praise praise praise praise prai"&amp;"se praise praise wall cracked recommend good to wear to cry pants bought a microphone for hemp")</f>
        <v>Pants praise praise praise praise praise praise praise praise praise praise praise praise praise praise praise praise praise praise praise praise praise praise praise praise praise praise praise praise praise praise praise praise praise praise praise praise praise praise wall cracked recommend good to wear to cry pants bought a microphone for hemp</v>
      </c>
    </row>
    <row r="7852">
      <c r="A7852" s="1">
        <v>5.0</v>
      </c>
      <c r="B7852" s="1" t="s">
        <v>7808</v>
      </c>
      <c r="C7852" t="str">
        <f>IFERROR(__xludf.DUMMYFUNCTION("GOOGLETRANSLATE(B7852, ""zh"", ""en"")"),"Logistics really fast like a good watch this really fast logistics of cargo 13 single income morning at 10 am This is from Germany or the United Kingdom issued it")</f>
        <v>Logistics really fast like a good watch this really fast logistics of cargo 13 single income morning at 10 am This is from Germany or the United Kingdom issued it</v>
      </c>
    </row>
    <row r="7853">
      <c r="A7853" s="1">
        <v>5.0</v>
      </c>
      <c r="B7853" s="1" t="s">
        <v>7809</v>
      </c>
      <c r="C7853" t="str">
        <f>IFERROR(__xludf.DUMMYFUNCTION("GOOGLETRANSLATE(B7853, ""zh"", ""en"")"),"The best OMEGA3 supplement to and fro picked compare the many brands of fish oil, which is also learned about the different processing fish oil, VIVA offers for higher quality can be said that fish oil, triglycerides process makes the fish more easily abs"&amp;"orbed by the body, each batch of fish oil can be verified from IFOS, which is at a higher energy and lower VIVA this brand Nordic Naturals (Norway fish), to try different fish oil products")</f>
        <v>The best OMEGA3 supplement to and fro picked compare the many brands of fish oil, which is also learned about the different processing fish oil, VIVA offers for higher quality can be said that fish oil, triglycerides process makes the fish more easily absorbed by the body, each batch of fish oil can be verified from IFOS, which is at a higher energy and lower VIVA this brand Nordic Naturals (Norway fish), to try different fish oil products</v>
      </c>
    </row>
    <row r="7854">
      <c r="A7854" s="1">
        <v>5.0</v>
      </c>
      <c r="B7854" s="1" t="s">
        <v>7810</v>
      </c>
      <c r="C7854" t="str">
        <f>IFERROR(__xludf.DUMMYFUNCTION("GOOGLETRANSLATE(B7854, ""zh"", ""en"")"),"The front is very effective to buy a bottle of red, green, and later bought a bottle with MSM, the mother ate, I felt very effective, but also continue to buy in the future")</f>
        <v>The front is very effective to buy a bottle of red, green, and later bought a bottle with MSM, the mother ate, I felt very effective, but also continue to buy in the future</v>
      </c>
    </row>
    <row r="7855">
      <c r="A7855" s="1">
        <v>5.0</v>
      </c>
      <c r="B7855" s="1" t="s">
        <v>7811</v>
      </c>
      <c r="C7855" t="str">
        <f>IFERROR(__xludf.DUMMYFUNCTION("GOOGLETRANSLATE(B7855, ""zh"", ""en"")"),"After some easy homework decided to buy Panasonic battery installed this portable device scaling. Scaling portable device, do not plug, you can easily put the bag, the company is to carry on business, suits my needs.")</f>
        <v>After some easy homework decided to buy Panasonic battery installed this portable device scaling. Scaling portable device, do not plug, you can easily put the bag, the company is to carry on business, suits my needs.</v>
      </c>
    </row>
    <row r="7856">
      <c r="A7856" s="1">
        <v>5.0</v>
      </c>
      <c r="B7856" s="1" t="s">
        <v>7812</v>
      </c>
      <c r="C7856" t="str">
        <f>IFERROR(__xludf.DUMMYFUNCTION("GOOGLETRANSLATE(B7856, ""zh"", ""en"")"),"Really cheap, saying it was a one-time, you can also use two or three days to wear to school on the way")</f>
        <v>Really cheap, saying it was a one-time, you can also use two or three days to wear to school on the way</v>
      </c>
    </row>
    <row r="7857">
      <c r="A7857" s="1">
        <v>5.0</v>
      </c>
      <c r="B7857" s="1" t="s">
        <v>7813</v>
      </c>
      <c r="C7857" t="str">
        <f>IFERROR(__xludf.DUMMYFUNCTION("GOOGLETRANSLATE(B7857, ""zh"", ""en"")"),"Good good pot pot! Satisfaction good pot! satisfaction. Completely non-stick. No coating")</f>
        <v>Good good pot pot! Satisfaction good pot! satisfaction. Completely non-stick. No coating</v>
      </c>
    </row>
    <row r="7858">
      <c r="A7858" s="1">
        <v>5.0</v>
      </c>
      <c r="B7858" s="1" t="s">
        <v>7814</v>
      </c>
      <c r="C7858" t="str">
        <f>IFERROR(__xludf.DUMMYFUNCTION("GOOGLETRANSLATE(B7858, ""zh"", ""en"")"),"Color pencil good 10 days of receipt of goods, the speed is very fast, there is tin stuck to the side collision, but fortunately no problem color pencil, very satisfied")</f>
        <v>Color pencil good 10 days of receipt of goods, the speed is very fast, there is tin stuck to the side collision, but fortunately no problem color pencil, very satisfied</v>
      </c>
    </row>
    <row r="7859">
      <c r="A7859" s="1">
        <v>2.0</v>
      </c>
      <c r="B7859" s="1" t="s">
        <v>7815</v>
      </c>
      <c r="C7859" t="str">
        <f>IFERROR(__xludf.DUMMYFUNCTION("GOOGLETRANSLATE(B7859, ""zh"", ""en"")"),"Do not buy white sister bought the whitest color number or color than I do a lot of yellow")</f>
        <v>Do not buy white sister bought the whitest color number or color than I do a lot of yellow</v>
      </c>
    </row>
    <row r="7860">
      <c r="A7860" s="1">
        <v>3.0</v>
      </c>
      <c r="B7860" s="1" t="s">
        <v>7816</v>
      </c>
      <c r="C7860" t="str">
        <f>IFERROR(__xludf.DUMMYFUNCTION("GOOGLETRANSLATE(B7860, ""zh"", ""en"")"),"Generally too sweet. Entirely candy.")</f>
        <v>Generally too sweet. Entirely candy.</v>
      </c>
    </row>
    <row r="7861">
      <c r="A7861" s="1">
        <v>3.0</v>
      </c>
      <c r="B7861" s="1" t="s">
        <v>7817</v>
      </c>
      <c r="C7861" t="str">
        <f>IFERROR(__xludf.DUMMYFUNCTION("GOOGLETRANSLATE(B7861, ""zh"", ""en"")"),"Table in question, in order to return a lot of trouble ~ ~ ~ very favorable price to buy, but the table in question, the return is too much trouble, is not recommended ~~")</f>
        <v>Table in question, in order to return a lot of trouble ~ ~ ~ very favorable price to buy, but the table in question, the return is too much trouble, is not recommended ~~</v>
      </c>
    </row>
    <row r="7862">
      <c r="A7862" s="1">
        <v>3.0</v>
      </c>
      <c r="B7862" s="1" t="s">
        <v>7818</v>
      </c>
      <c r="C7862" t="str">
        <f>IFERROR(__xludf.DUMMYFUNCTION("GOOGLETRANSLATE(B7862, ""zh"", ""en"")"),"Good friend to buy long sleeves, 4 plus 300 pounds of fat can wear, but wear very ugly, especially long sleeves, long clothes, personal type is not suitable for Asia")</f>
        <v>Good friend to buy long sleeves, 4 plus 300 pounds of fat can wear, but wear very ugly, especially long sleeves, long clothes, personal type is not suitable for Asia</v>
      </c>
    </row>
    <row r="7863">
      <c r="A7863" s="1">
        <v>1.0</v>
      </c>
      <c r="B7863" s="1" t="s">
        <v>7819</v>
      </c>
      <c r="C7863" t="str">
        <f>IFERROR(__xludf.DUMMYFUNCTION("GOOGLETRANSLATE(B7863, ""zh"", ""en"")"),"No chain fade quality is poor quality workmanship")</f>
        <v>No chain fade quality is poor quality workmanship</v>
      </c>
    </row>
    <row r="7864">
      <c r="A7864" s="1">
        <v>1.0</v>
      </c>
      <c r="B7864" s="1" t="s">
        <v>7820</v>
      </c>
      <c r="C7864" t="str">
        <f>IFERROR(__xludf.DUMMYFUNCTION("GOOGLETRANSLATE(B7864, ""zh"", ""en"")"),"Products abnormal sound I think I Maidaojiahuo, after the first wash, which has no water, but the shaking will hear a noise in Macau buy Tiger would not have this problem. Before looking at people's comments also have this problem, that is a case, I did n"&amp;"ot expect to be met, disappointment")</f>
        <v>Products abnormal sound I think I Maidaojiahuo, after the first wash, which has no water, but the shaking will hear a noise in Macau buy Tiger would not have this problem. Before looking at people's comments also have this problem, that is a case, I did not expect to be met, disappointment</v>
      </c>
    </row>
    <row r="7865">
      <c r="A7865" s="1">
        <v>4.0</v>
      </c>
      <c r="B7865" s="1" t="s">
        <v>7821</v>
      </c>
      <c r="C7865" t="str">
        <f>IFERROR(__xludf.DUMMYFUNCTION("GOOGLETRANSLATE(B7865, ""zh"", ""en"")"),"Cold cup cup cold insulation effect is general! Cup looks good, does have a built-in straw taste bubbles scattered scattered gone two or three days, one night before the full complement of water insulation effect, but the next morning with a temperature, "&amp;"your child to drink warm water about thirty-four hours long cold, warm water before going to bed to the middle of the night on the cold estimate, and may have a cup of cold relations, cup snaps at the not very strict customer service that is the reason pa"&amp;"ds, the problem can only say that no other child enough! Insulation effect in general, have a home and a sports bottle 480ml large capacity boiling water can be loaded into the basic insulation three days! The next morning there is a large pot temperature"&amp;" is not hot hot drink! The insulation effect is also poor capacity of small professional relationship then there is cold, or see the care instructions insulating effect of the write-insulation effect is generally a good time! The only effect of cold time!"&amp;" I asked a Japanese friend is no insulation cold cup cold cups, insulation effect!")</f>
        <v>Cold cup cup cold insulation effect is general! Cup looks good, does have a built-in straw taste bubbles scattered scattered gone two or three days, one night before the full complement of water insulation effect, but the next morning with a temperature, your child to drink warm water about thirty-four hours long cold, warm water before going to bed to the middle of the night on the cold estimate, and may have a cup of cold relations, cup snaps at the not very strict customer service that is the reason pads, the problem can only say that no other child enough! Insulation effect in general, have a home and a sports bottle 480ml large capacity boiling water can be loaded into the basic insulation three days! The next morning there is a large pot temperature is not hot hot drink! The insulation effect is also poor capacity of small professional relationship then there is cold, or see the care instructions insulating effect of the write-insulation effect is generally a good time! The only effect of cold time! I asked a Japanese friend is no insulation cold cup cold cups, insulation effect!</v>
      </c>
    </row>
    <row r="7866">
      <c r="A7866" s="1">
        <v>4.0</v>
      </c>
      <c r="B7866" s="1" t="s">
        <v>7822</v>
      </c>
      <c r="C7866" t="str">
        <f>IFERROR(__xludf.DUMMYFUNCTION("GOOGLETRANSLATE(B7866, ""zh"", ""en"")"),"Not very hard. . . Belt head design is very scientific. . . Not recommended")</f>
        <v>Not very hard. . . Belt head design is very scientific. . . Not recommended</v>
      </c>
    </row>
    <row r="7867">
      <c r="A7867" s="1">
        <v>4.0</v>
      </c>
      <c r="B7867" s="1" t="s">
        <v>7823</v>
      </c>
      <c r="C7867" t="str">
        <f>IFERROR(__xludf.DUMMYFUNCTION("GOOGLETRANSLATE(B7867, ""zh"", ""en"")"),"Larger size is too large, the quality can be.")</f>
        <v>Larger size is too large, the quality can be.</v>
      </c>
    </row>
    <row r="7868">
      <c r="A7868" s="1">
        <v>4.0</v>
      </c>
      <c r="B7868" s="1" t="s">
        <v>7824</v>
      </c>
      <c r="C7868" t="str">
        <f>IFERROR(__xludf.DUMMYFUNCTION("GOOGLETRANSLATE(B7868, ""zh"", ""en"")"),"Champions like I liked it, short-sleeved championship quality is good")</f>
        <v>Champions like I liked it, short-sleeved championship quality is good</v>
      </c>
    </row>
    <row r="7869">
      <c r="A7869" s="1">
        <v>4.0</v>
      </c>
      <c r="B7869" s="1" t="s">
        <v>7825</v>
      </c>
      <c r="C7869" t="str">
        <f>IFERROR(__xludf.DUMMYFUNCTION("GOOGLETRANSLATE(B7869, ""zh"", ""en"")"),"Fur, brush head is too big disadvantages too, do not like, but the hair really soft")</f>
        <v>Fur, brush head is too big disadvantages too, do not like, but the hair really soft</v>
      </c>
    </row>
    <row r="7870">
      <c r="A7870" s="1">
        <v>5.0</v>
      </c>
      <c r="B7870" s="1" t="s">
        <v>7826</v>
      </c>
      <c r="C7870" t="str">
        <f>IFERROR(__xludf.DUMMYFUNCTION("GOOGLETRANSLATE(B7870, ""zh"", ""en"")"),"Seagate Seagate Expansion new Core wing 1TB 2.5 Yingcun USB3.0 HDD ... fast, easy to use memory more than 900 G. Quiet little fever.")</f>
        <v>Seagate Seagate Expansion new Core wing 1TB 2.5 Yingcun USB3.0 HDD ... fast, easy to use memory more than 900 G. Quiet little fever.</v>
      </c>
    </row>
    <row r="7871">
      <c r="A7871" s="1">
        <v>5.0</v>
      </c>
      <c r="B7871" s="1" t="s">
        <v>7827</v>
      </c>
      <c r="C7871" t="str">
        <f>IFERROR(__xludf.DUMMYFUNCTION("GOOGLETRANSLATE(B7871, ""zh"", ""en"")"),"As the entry-level purchase, sexual parity can. Very good, very good packaging, no damage, also fast delivery, cheaper than domestic. Is simple to use, simple and meet the needs of children, momentum is also good, 1-5 regulation, can be washed in some pla"&amp;"ces less than usual brush toothbrush. As the entry-level purchase. The disadvantage is finished can of red water, red teeth head a bit loose, according to what you can, not big problems. Of parity can.")</f>
        <v>As the entry-level purchase, sexual parity can. Very good, very good packaging, no damage, also fast delivery, cheaper than domestic. Is simple to use, simple and meet the needs of children, momentum is also good, 1-5 regulation, can be washed in some places less than usual brush toothbrush. As the entry-level purchase. The disadvantage is finished can of red water, red teeth head a bit loose, according to what you can, not big problems. Of parity can.</v>
      </c>
    </row>
    <row r="7872">
      <c r="A7872" s="1">
        <v>5.0</v>
      </c>
      <c r="B7872" s="1" t="s">
        <v>7828</v>
      </c>
      <c r="C7872" t="str">
        <f>IFERROR(__xludf.DUMMYFUNCTION("GOOGLETRANSLATE(B7872, ""zh"", ""en"")"),"Good shoes have been wearing Asics, but has been wearing cushioning system. This time because of plantar fasciitis, try a support line, there was still great. Have the opportunity to store")</f>
        <v>Good shoes have been wearing Asics, but has been wearing cushioning system. This time because of plantar fasciitis, try a support line, there was still great. Have the opportunity to store</v>
      </c>
    </row>
    <row r="7873">
      <c r="A7873" s="1">
        <v>5.0</v>
      </c>
      <c r="B7873" s="1" t="s">
        <v>7829</v>
      </c>
      <c r="C7873" t="str">
        <f>IFERROR(__xludf.DUMMYFUNCTION("GOOGLETRANSLATE(B7873, ""zh"", ""en"")"),"Nice jacket clothes texture, workmanship is very good. Version of the type of those fit, slim effect you want, you can buy a small one yard.")</f>
        <v>Nice jacket clothes texture, workmanship is very good. Version of the type of those fit, slim effect you want, you can buy a small one yard.</v>
      </c>
    </row>
    <row r="7874">
      <c r="A7874" s="1">
        <v>5.0</v>
      </c>
      <c r="B7874" s="1" t="s">
        <v>7830</v>
      </c>
      <c r="C7874" t="str">
        <f>IFERROR(__xludf.DUMMYFUNCTION("GOOGLETRANSLATE(B7874, ""zh"", ""en"")"),"nice nice")</f>
        <v>nice nice</v>
      </c>
    </row>
    <row r="7875">
      <c r="A7875" s="1">
        <v>5.0</v>
      </c>
      <c r="B7875" s="1" t="s">
        <v>7831</v>
      </c>
      <c r="C7875" t="str">
        <f>IFERROR(__xludf.DUMMYFUNCTION("GOOGLETRANSLATE(B7875, ""zh"", ""en"")"),"Winter must-lee belong to the classic style straight section, but thick warm, suitable for middle-aged uncle, frequent price fluctuations, less than 140 can be decisive start.")</f>
        <v>Winter must-lee belong to the classic style straight section, but thick warm, suitable for middle-aged uncle, frequent price fluctuations, less than 140 can be decisive start.</v>
      </c>
    </row>
    <row r="7876">
      <c r="A7876" s="1">
        <v>5.0</v>
      </c>
      <c r="B7876" s="1" t="s">
        <v>7832</v>
      </c>
      <c r="C7876" t="str">
        <f>IFERROR(__xludf.DUMMYFUNCTION("GOOGLETRANSLATE(B7876, ""zh"", ""en"")"),"Closed, good sound quality is very good monitor headphones, sound company edited brother recommended, closed without affecting others in the public space")</f>
        <v>Closed, good sound quality is very good monitor headphones, sound company edited brother recommended, closed without affecting others in the public space</v>
      </c>
    </row>
    <row r="7877">
      <c r="A7877" s="1">
        <v>5.0</v>
      </c>
      <c r="B7877" s="1" t="s">
        <v>7833</v>
      </c>
      <c r="C7877" t="str">
        <f>IFERROR(__xludf.DUMMYFUNCTION("GOOGLETRANSLATE(B7877, ""zh"", ""en"")"),"The effect of my hair seemed to brighten up")</f>
        <v>The effect of my hair seemed to brighten up</v>
      </c>
    </row>
    <row r="7878">
      <c r="A7878" s="1">
        <v>5.0</v>
      </c>
      <c r="B7878" s="1" t="s">
        <v>7834</v>
      </c>
      <c r="C7878" t="str">
        <f>IFERROR(__xludf.DUMMYFUNCTION("GOOGLETRANSLATE(B7878, ""zh"", ""en"")"),"good fine, very big momentum, efforts to clean the first time, I feel fine, I hope more with the health of teeth")</f>
        <v>good fine, very big momentum, efforts to clean the first time, I feel fine, I hope more with the health of teeth</v>
      </c>
    </row>
    <row r="7879">
      <c r="A7879" s="1">
        <v>5.0</v>
      </c>
      <c r="B7879" s="1" t="s">
        <v>7835</v>
      </c>
      <c r="C7879" t="str">
        <f>IFERROR(__xludf.DUMMYFUNCTION("GOOGLETRANSLATE(B7879, ""zh"", ""en"")"),"You can also feel a little tight, the whole can.")</f>
        <v>You can also feel a little tight, the whole can.</v>
      </c>
    </row>
    <row r="7880">
      <c r="A7880" s="1">
        <v>5.0</v>
      </c>
      <c r="B7880" s="1" t="s">
        <v>7836</v>
      </c>
      <c r="C7880" t="str">
        <f>IFERROR(__xludf.DUMMYFUNCTION("GOOGLETRANSLATE(B7880, ""zh"", ""en"")"),"This card is a good look authentic original sealed packaging cards work fine like to see is genuine, the price is cheaper than the store, try test a little feel good, now installed in my Nikon D800 until ready to use, no hope in the future It will be a qu"&amp;"ality problem.")</f>
        <v>This card is a good look authentic original sealed packaging cards work fine like to see is genuine, the price is cheaper than the store, try test a little feel good, now installed in my Nikon D800 until ready to use, no hope in the future It will be a quality problem.</v>
      </c>
    </row>
    <row r="7881">
      <c r="A7881" s="1">
        <v>5.0</v>
      </c>
      <c r="B7881" s="1" t="s">
        <v>7837</v>
      </c>
      <c r="C7881" t="str">
        <f>IFERROR(__xludf.DUMMYFUNCTION("GOOGLETRANSLATE(B7881, ""zh"", ""en"")"),"This is really great coffee machine super-praise! Now drink every day!")</f>
        <v>This is really great coffee machine super-praise! Now drink every day!</v>
      </c>
    </row>
    <row r="7882">
      <c r="A7882" s="1">
        <v>5.0</v>
      </c>
      <c r="B7882" s="1" t="s">
        <v>7838</v>
      </c>
      <c r="C7882" t="str">
        <f>IFERROR(__xludf.DUMMYFUNCTION("GOOGLETRANSLATE(B7882, ""zh"", ""en"")"),"Like being liked very comfortable code")</f>
        <v>Like being liked very comfortable code</v>
      </c>
    </row>
    <row r="7883">
      <c r="A7883" s="1">
        <v>5.0</v>
      </c>
      <c r="B7883" s="1" t="s">
        <v>7839</v>
      </c>
      <c r="C7883" t="str">
        <f>IFERROR(__xludf.DUMMYFUNCTION("GOOGLETRANSLATE(B7883, ""zh"", ""en"")"),"It is worth to help a friend buy, friends said good worth starting")</f>
        <v>It is worth to help a friend buy, friends said good worth starting</v>
      </c>
    </row>
    <row r="7884">
      <c r="A7884" s="1">
        <v>5.0</v>
      </c>
      <c r="B7884" s="1" t="s">
        <v>7840</v>
      </c>
      <c r="C7884" t="str">
        <f>IFERROR(__xludf.DUMMYFUNCTION("GOOGLETRANSLATE(B7884, ""zh"", ""en"")"),"Make a good drink latte fantastic. I like to pour half a glass of fresh milk, put the coffee into it, the taste is very good.")</f>
        <v>Make a good drink latte fantastic. I like to pour half a glass of fresh milk, put the coffee into it, the taste is very good.</v>
      </c>
    </row>
    <row r="7885">
      <c r="A7885" s="1">
        <v>5.0</v>
      </c>
      <c r="B7885" s="1" t="s">
        <v>7841</v>
      </c>
      <c r="C7885" t="str">
        <f>IFERROR(__xludf.DUMMYFUNCTION("GOOGLETRANSLATE(B7885, ""zh"", ""en"")"),"Shoes very good thing, is what I want.")</f>
        <v>Shoes very good thing, is what I want.</v>
      </c>
    </row>
    <row r="7886">
      <c r="A7886" s="1">
        <v>5.0</v>
      </c>
      <c r="B7886" s="1" t="s">
        <v>7842</v>
      </c>
      <c r="C7886" t="str">
        <f>IFERROR(__xludf.DUMMYFUNCTION("GOOGLETRANSLATE(B7886, ""zh"", ""en"")"),"Read reviews chose the S code 173CM, 66KG, feel some short sleeve, jacket hem is short, do not know the M code is too large and will not be, and not to buy control network")</f>
        <v>Read reviews chose the S code 173CM, 66KG, feel some short sleeve, jacket hem is short, do not know the M code is too large and will not be, and not to buy control network</v>
      </c>
    </row>
    <row r="7887">
      <c r="A7887" s="1">
        <v>5.0</v>
      </c>
      <c r="B7887" s="1" t="s">
        <v>7843</v>
      </c>
      <c r="C7887" t="str">
        <f>IFERROR(__xludf.DUMMYFUNCTION("GOOGLETRANSLATE(B7887, ""zh"", ""en"")"),"Lighter shoes, usually wear just right 42 42 The relatively lightweight, fine, normal code selection")</f>
        <v>Lighter shoes, usually wear just right 42 42 The relatively lightweight, fine, normal code selection</v>
      </c>
    </row>
    <row r="7888">
      <c r="A7888" s="1">
        <v>5.0</v>
      </c>
      <c r="B7888" s="1" t="s">
        <v>7844</v>
      </c>
      <c r="C7888" t="str">
        <f>IFERROR(__xludf.DUMMYFUNCTION("GOOGLETRANSLATE(B7888, ""zh"", ""en"")"),"Simple as it is a very good form, so long never wear too slow.")</f>
        <v>Simple as it is a very good form, so long never wear too slow.</v>
      </c>
    </row>
    <row r="7889">
      <c r="A7889" s="1">
        <v>5.0</v>
      </c>
      <c r="B7889" s="1" t="s">
        <v>7845</v>
      </c>
      <c r="C7889" t="str">
        <f>IFERROR(__xludf.DUMMYFUNCTION("GOOGLETRANSLATE(B7889, ""zh"", ""en"")"),"Compared with the domestic price, the price is quite cheap. Compared with the domestic, ingredients should be similar.")</f>
        <v>Compared with the domestic price, the price is quite cheap. Compared with the domestic, ingredients should be similar.</v>
      </c>
    </row>
    <row r="7890">
      <c r="A7890" s="1">
        <v>5.0</v>
      </c>
      <c r="B7890" s="1" t="s">
        <v>7846</v>
      </c>
      <c r="C7890" t="str">
        <f>IFERROR(__xludf.DUMMYFUNCTION("GOOGLETRANSLATE(B7890, ""zh"", ""en"")"),"Too large pants quality is good, but serious too large, I usually wear 30 pants, 30 of which much larger, long pants, this is Kujiao pants feet, should buy a small one yards than usual.")</f>
        <v>Too large pants quality is good, but serious too large, I usually wear 30 pants, 30 of which much larger, long pants, this is Kujiao pants feet, should buy a small one yards than usual.</v>
      </c>
    </row>
    <row r="7891">
      <c r="A7891" s="1">
        <v>2.0</v>
      </c>
      <c r="B7891" s="1" t="s">
        <v>7847</v>
      </c>
      <c r="C7891" t="str">
        <f>IFERROR(__xludf.DUMMYFUNCTION("GOOGLETRANSLATE(B7891, ""zh"", ""en"")"),"M, corresponding to the height 170 is too large, 172, buy a significantly larger number of M, mainly long sleeves, clothes fat, also the length.")</f>
        <v>M, corresponding to the height 170 is too large, 172, buy a significantly larger number of M, mainly long sleeves, clothes fat, also the length.</v>
      </c>
    </row>
    <row r="7892">
      <c r="A7892" s="1">
        <v>3.0</v>
      </c>
      <c r="B7892" s="1" t="s">
        <v>7848</v>
      </c>
      <c r="C7892" t="str">
        <f>IFERROR(__xludf.DUMMYFUNCTION("GOOGLETRANSLATE(B7892, ""zh"", ""en"")"),"Not suitable for kneading dough is bought, but very disappointed, very difficult out dough toast film.")</f>
        <v>Not suitable for kneading dough is bought, but very disappointed, very difficult out dough toast film.</v>
      </c>
    </row>
    <row r="7893">
      <c r="A7893" s="1">
        <v>3.0</v>
      </c>
      <c r="B7893" s="1" t="s">
        <v>7849</v>
      </c>
      <c r="C7893" t="str">
        <f>IFERROR(__xludf.DUMMYFUNCTION("GOOGLETRANSLATE(B7893, ""zh"", ""en"")"),"Zhendian treasure after ten days, the price is 400 yuan commodity can play out, but Amazon only worth two points, put forward what primeday, also Zhendian treasure, down 4908, sold out of stock. After just 10 days replenishment tax the price is 4500, when"&amp;" the customer monkeys playing. No price protection")</f>
        <v>Zhendian treasure after ten days, the price is 400 yuan commodity can play out, but Amazon only worth two points, put forward what primeday, also Zhendian treasure, down 4908, sold out of stock. After just 10 days replenishment tax the price is 4500, when the customer monkeys playing. No price protection</v>
      </c>
    </row>
    <row r="7894">
      <c r="A7894" s="1">
        <v>1.0</v>
      </c>
      <c r="B7894" s="1" t="s">
        <v>7850</v>
      </c>
      <c r="C7894" t="str">
        <f>IFERROR(__xludf.DUMMYFUNCTION("GOOGLETRANSLATE(B7894, ""zh"", ""en"")"),"Quality garbage Amazon, just over 30 days to buy back bad days. Obviously there are quality problems, customer service still matter, a few hundred dollars to a few days, after the Amazon can not buy things, early collapse rub")</f>
        <v>Quality garbage Amazon, just over 30 days to buy back bad days. Obviously there are quality problems, customer service still matter, a few hundred dollars to a few days, after the Amazon can not buy things, early collapse rub</v>
      </c>
    </row>
    <row r="7895">
      <c r="A7895" s="1">
        <v>1.0</v>
      </c>
      <c r="B7895" s="1" t="s">
        <v>7851</v>
      </c>
      <c r="C7895" t="str">
        <f>IFERROR(__xludf.DUMMYFUNCTION("GOOGLETRANSLATE(B7895, ""zh"", ""en"")"),"Poor quality. Philippines production of poor quality.")</f>
        <v>Poor quality. Philippines production of poor quality.</v>
      </c>
    </row>
    <row r="7896">
      <c r="A7896" s="1">
        <v>1.0</v>
      </c>
      <c r="B7896" s="1" t="s">
        <v>7852</v>
      </c>
      <c r="C7896" t="str">
        <f>IFERROR(__xludf.DUMMYFUNCTION("GOOGLETRANSLATE(B7896, ""zh"", ""en"")"),"To buy back non-pure skin care, and less than a month on the broken leather, leather is not pure, but very hard. . .")</f>
        <v>To buy back non-pure skin care, and less than a month on the broken leather, leather is not pure, but very hard. . .</v>
      </c>
    </row>
    <row r="7897">
      <c r="A7897" s="1">
        <v>4.0</v>
      </c>
      <c r="B7897" s="1" t="s">
        <v>7853</v>
      </c>
      <c r="C7897" t="str">
        <f>IFERROR(__xludf.DUMMYFUNCTION("GOOGLETRANSLATE(B7897, ""zh"", ""en"")"),"Each family needs a very good use of such insulation electric kettle insulation effect is not very good because it seems to touch the temperature from the case, did not pay attention before that Tiger is not the night so the appearance looks good, good-lo"&amp;"oking than the state line but if the material can enhance the look just fine")</f>
        <v>Each family needs a very good use of such insulation electric kettle insulation effect is not very good because it seems to touch the temperature from the case, did not pay attention before that Tiger is not the night so the appearance looks good, good-looking than the state line but if the material can enhance the look just fine</v>
      </c>
    </row>
    <row r="7898">
      <c r="A7898" s="1">
        <v>4.0</v>
      </c>
      <c r="B7898" s="1" t="s">
        <v>7854</v>
      </c>
      <c r="C7898" t="str">
        <f>IFERROR(__xludf.DUMMYFUNCTION("GOOGLETRANSLATE(B7898, ""zh"", ""en"")"),"Underwear kind than the picture size is too large, comfortable to use, and bought one.")</f>
        <v>Underwear kind than the picture size is too large, comfortable to use, and bought one.</v>
      </c>
    </row>
    <row r="7899">
      <c r="A7899" s="1">
        <v>4.0</v>
      </c>
      <c r="B7899" s="1" t="s">
        <v>7855</v>
      </c>
      <c r="C7899" t="str">
        <f>IFERROR(__xludf.DUMMYFUNCTION("GOOGLETRANSLATE(B7899, ""zh"", ""en"")"),"Comfortable stylish comfort, significant foot thin. But the soles of the feet heel grinding faster, may also be associated with walking.")</f>
        <v>Comfortable stylish comfort, significant foot thin. But the soles of the feet heel grinding faster, may also be associated with walking.</v>
      </c>
    </row>
    <row r="7900">
      <c r="A7900" s="1">
        <v>4.0</v>
      </c>
      <c r="B7900" s="1" t="s">
        <v>7856</v>
      </c>
      <c r="C7900" t="str">
        <f>IFERROR(__xludf.DUMMYFUNCTION("GOOGLETRANSLATE(B7900, ""zh"", ""en"")"),"Slim version of the type I 173CM, 74KG, have stomach, M code is too small slim.")</f>
        <v>Slim version of the type I 173CM, 74KG, have stomach, M code is too small slim.</v>
      </c>
    </row>
    <row r="7901">
      <c r="A7901" s="1">
        <v>4.0</v>
      </c>
      <c r="B7901" s="1" t="s">
        <v>7857</v>
      </c>
      <c r="C7901" t="str">
        <f>IFERROR(__xludf.DUMMYFUNCTION("GOOGLETRANSLATE(B7901, ""zh"", ""en"")"),"Western-style heavy frying pan for grilling, relatively heavy. Fried steak, lamb chops good, fried egg, then forget it.")</f>
        <v>Western-style heavy frying pan for grilling, relatively heavy. Fried steak, lamb chops good, fried egg, then forget it.</v>
      </c>
    </row>
    <row r="7902">
      <c r="A7902" s="1">
        <v>5.0</v>
      </c>
      <c r="B7902" s="1" t="s">
        <v>7858</v>
      </c>
      <c r="C7902" t="str">
        <f>IFERROR(__xludf.DUMMYFUNCTION("GOOGLETRANSLATE(B7902, ""zh"", ""en"")"),"Please note that the size cautious Fortunately I bought a freshman yards. According to my clarks shoes code to buy is estimated to be squeezed foot bomb. Nice shoes")</f>
        <v>Please note that the size cautious Fortunately I bought a freshman yards. According to my clarks shoes code to buy is estimated to be squeezed foot bomb. Nice shoes</v>
      </c>
    </row>
    <row r="7903">
      <c r="A7903" s="1">
        <v>5.0</v>
      </c>
      <c r="B7903" s="1" t="s">
        <v>7859</v>
      </c>
      <c r="C7903" t="str">
        <f>IFERROR(__xludf.DUMMYFUNCTION("GOOGLETRANSLATE(B7903, ""zh"", ""en"")"),"it's a bargain! Well, not from the previous evaluation, I do not know how many wasted points, points can change money now know, they should look carefully evaluated, then I put these words to copy to go, both to earn points, but also the easy way, where a"&amp;"re copy where, most importantly, do not seriously review, do not think how much worse word, sent directly to it, recommend it to everyone! !")</f>
        <v>it's a bargain! Well, not from the previous evaluation, I do not know how many wasted points, points can change money now know, they should look carefully evaluated, then I put these words to copy to go, both to earn points, but also the easy way, where are copy where, most importantly, do not seriously review, do not think how much worse word, sent directly to it, recommend it to everyone! !</v>
      </c>
    </row>
    <row r="7904">
      <c r="A7904" s="1">
        <v>5.0</v>
      </c>
      <c r="B7904" s="1" t="s">
        <v>7860</v>
      </c>
      <c r="C7904" t="str">
        <f>IFERROR(__xludf.DUMMYFUNCTION("GOOGLETRANSLATE(B7904, ""zh"", ""en"")"),"Good quality shoes good shoes, made in India, I barefoot length 27.3cm, width feet tall, usually wear shoes 43 yards or us9.5, desert known presser shoe so selected us10 m, the upper leg right size, slightly pressure surface, the toe part of the space sur"&amp;"plus, mainly low vamp, bought a big One. Wearing a day, the soles really hard, looking very handsome. Recommended to the brothers behind, buy shoes than their usual size of a larger size to wear, unless your foot thin, the instep is not high, you can buy "&amp;"according to the usual shoe size.")</f>
        <v>Good quality shoes good shoes, made in India, I barefoot length 27.3cm, width feet tall, usually wear shoes 43 yards or us9.5, desert known presser shoe so selected us10 m, the upper leg right size, slightly pressure surface, the toe part of the space surplus, mainly low vamp, bought a big One. Wearing a day, the soles really hard, looking very handsome. Recommended to the brothers behind, buy shoes than their usual size of a larger size to wear, unless your foot thin, the instep is not high, you can buy according to the usual shoe size.</v>
      </c>
    </row>
    <row r="7905">
      <c r="A7905" s="1">
        <v>5.0</v>
      </c>
      <c r="B7905" s="1" t="s">
        <v>7861</v>
      </c>
      <c r="C7905" t="str">
        <f>IFERROR(__xludf.DUMMYFUNCTION("GOOGLETRANSLATE(B7905, ""zh"", ""en"")"),"Very cute cartoon design like this brand very cute and very safe to return to their kids do not like to eat but to play bite spoon thick just afraid to injure himself")</f>
        <v>Very cute cartoon design like this brand very cute and very safe to return to their kids do not like to eat but to play bite spoon thick just afraid to injure himself</v>
      </c>
    </row>
    <row r="7906">
      <c r="A7906" s="1">
        <v>5.0</v>
      </c>
      <c r="B7906" s="1" t="s">
        <v>7862</v>
      </c>
      <c r="C7906" t="str">
        <f>IFERROR(__xludf.DUMMYFUNCTION("GOOGLETRANSLATE(B7906, ""zh"", ""en"")"),"Not bad, not freezing ankle right size, does not particularly thick, but a short time in winter is no problem, twenty below zero °, about 20 minutes walk outside")</f>
        <v>Not bad, not freezing ankle right size, does not particularly thick, but a short time in winter is no problem, twenty below zero °, about 20 minutes walk outside</v>
      </c>
    </row>
    <row r="7907">
      <c r="A7907" s="1">
        <v>5.0</v>
      </c>
      <c r="B7907" s="1" t="s">
        <v>7863</v>
      </c>
      <c r="C7907" t="str">
        <f>IFERROR(__xludf.DUMMYFUNCTION("GOOGLETRANSLATE(B7907, ""zh"", ""en"")"),"Pot good insulation, a sufficient amount, the handle can be opened together with the good. Usually at home doing kettle, bring the car to travel, red hot tea and coffee are convenient.")</f>
        <v>Pot good insulation, a sufficient amount, the handle can be opened together with the good. Usually at home doing kettle, bring the car to travel, red hot tea and coffee are convenient.</v>
      </c>
    </row>
    <row r="7908">
      <c r="A7908" s="1">
        <v>5.0</v>
      </c>
      <c r="B7908" s="1" t="s">
        <v>7864</v>
      </c>
      <c r="C7908" t="str">
        <f>IFERROR(__xludf.DUMMYFUNCTION("GOOGLETRANSLATE(B7908, ""zh"", ""en"")"),"Feeling good usually wear Adidas 41 and a half, this buy 42, children like, than the ultra boost hard spot. Price is not bad.")</f>
        <v>Feeling good usually wear Adidas 41 and a half, this buy 42, children like, than the ultra boost hard spot. Price is not bad.</v>
      </c>
    </row>
    <row r="7909">
      <c r="A7909" s="1">
        <v>5.0</v>
      </c>
      <c r="B7909" s="1" t="s">
        <v>7865</v>
      </c>
      <c r="C7909" t="str">
        <f>IFERROR(__xludf.DUMMYFUNCTION("GOOGLETRANSLATE(B7909, ""zh"", ""en"")"),"Seiko purchase great sea, the box is very pretty, things have to admire the Japanese")</f>
        <v>Seiko purchase great sea, the box is very pretty, things have to admire the Japanese</v>
      </c>
    </row>
    <row r="7910">
      <c r="A7910" s="1">
        <v>5.0</v>
      </c>
      <c r="B7910" s="1" t="s">
        <v>7866</v>
      </c>
      <c r="C7910" t="str">
        <f>IFERROR(__xludf.DUMMYFUNCTION("GOOGLETRANSLATE(B7910, ""zh"", ""en"")"),"Hat good bar - thanks Amazon can provide such a good product")</f>
        <v>Hat good bar - thanks Amazon can provide such a good product</v>
      </c>
    </row>
    <row r="7911">
      <c r="A7911" s="1">
        <v>5.0</v>
      </c>
      <c r="B7911" s="1" t="s">
        <v>7867</v>
      </c>
      <c r="C7911" t="str">
        <f>IFERROR(__xludf.DUMMYFUNCTION("GOOGLETRANSLATE(B7911, ""zh"", ""en"")"),"Be comfortable, simple style with jeans good")</f>
        <v>Be comfortable, simple style with jeans good</v>
      </c>
    </row>
    <row r="7912">
      <c r="A7912" s="1">
        <v>5.0</v>
      </c>
      <c r="B7912" s="1" t="s">
        <v>7868</v>
      </c>
      <c r="C7912" t="str">
        <f>IFERROR(__xludf.DUMMYFUNCTION("GOOGLETRANSLATE(B7912, ""zh"", ""en"")"),"good very good! Well, not from the previous evaluation, I do not know how many wasted points, points can change money now know, they should look carefully evaluated, then I put these words to copy to go, both to earn points, but also save trouble, where o"&amp;"ne copy where, most importantly, do not seriously review, do not think how much worse word, sent directly to it, recommend it to everyone! !")</f>
        <v>good very good! Well, not from the previous evaluation, I do not know how many wasted points, points can change money now know, they should look carefully evaluated, then I put these words to copy to go, both to earn points, but also save trouble, where one copy where, most importantly, do not seriously review, do not think how much worse word, sent directly to it, recommend it to everyone! !</v>
      </c>
    </row>
    <row r="7913">
      <c r="A7913" s="1">
        <v>5.0</v>
      </c>
      <c r="B7913" s="1" t="s">
        <v>7869</v>
      </c>
      <c r="C7913" t="str">
        <f>IFERROR(__xludf.DUMMYFUNCTION("GOOGLETRANSLATE(B7913, ""zh"", ""en"")"),"Delicate, beautiful, lightweight, comfortable delicate, beautiful, lightweight, comfortable. Slightly larger than the number of shoes, sneaker usually more lenient, normal. Price too high!")</f>
        <v>Delicate, beautiful, lightweight, comfortable delicate, beautiful, lightweight, comfortable. Slightly larger than the number of shoes, sneaker usually more lenient, normal. Price too high!</v>
      </c>
    </row>
    <row r="7914">
      <c r="A7914" s="1">
        <v>5.0</v>
      </c>
      <c r="B7914" s="1" t="s">
        <v>7870</v>
      </c>
      <c r="C7914" t="str">
        <f>IFERROR(__xludf.DUMMYFUNCTION("GOOGLETRANSLATE(B7914, ""zh"", ""en"")"),"Perfect perfect - has been used very little intention of re-entry -")</f>
        <v>Perfect perfect - has been used very little intention of re-entry -</v>
      </c>
    </row>
    <row r="7915">
      <c r="A7915" s="1">
        <v>5.0</v>
      </c>
      <c r="B7915" s="1" t="s">
        <v>7871</v>
      </c>
      <c r="C7915" t="str">
        <f>IFERROR(__xludf.DUMMYFUNCTION("GOOGLETRANSLATE(B7915, ""zh"", ""en"")"),"Cheap and easy to use great, after ten o'clock at night down into the rice with meat boiled with water, the next day at half past nine, rice is rotten, not particularly hot, but still very hot, smoldering effect is really excellent!")</f>
        <v>Cheap and easy to use great, after ten o'clock at night down into the rice with meat boiled with water, the next day at half past nine, rice is rotten, not particularly hot, but still very hot, smoldering effect is really excellent!</v>
      </c>
    </row>
    <row r="7916">
      <c r="A7916" s="1">
        <v>5.0</v>
      </c>
      <c r="B7916" s="1" t="s">
        <v>7872</v>
      </c>
      <c r="C7916" t="str">
        <f>IFERROR(__xludf.DUMMYFUNCTION("GOOGLETRANSLATE(B7916, ""zh"", ""en"")"),"The high cost of monitoring headphones voice is warm, durable and comfortable to wear. Resolve general. Amp suitable for use with early burn")</f>
        <v>The high cost of monitoring headphones voice is warm, durable and comfortable to wear. Resolve general. Amp suitable for use with early burn</v>
      </c>
    </row>
    <row r="7917">
      <c r="A7917" s="1">
        <v>5.0</v>
      </c>
      <c r="B7917" s="1" t="s">
        <v>7873</v>
      </c>
      <c r="C7917" t="str">
        <f>IFERROR(__xludf.DUMMYFUNCTION("GOOGLETRANSLATE(B7917, ""zh"", ""en"")"),"Timberland half a month before that, good shoes, usually wear 220, this 5 suitable, you can also wear thick socks, foot does not significantly large")</f>
        <v>Timberland half a month before that, good shoes, usually wear 220, this 5 suitable, you can also wear thick socks, foot does not significantly large</v>
      </c>
    </row>
    <row r="7918">
      <c r="A7918" s="1">
        <v>5.0</v>
      </c>
      <c r="B7918" s="1" t="s">
        <v>7874</v>
      </c>
      <c r="C7918" t="str">
        <f>IFERROR(__xludf.DUMMYFUNCTION("GOOGLETRANSLATE(B7918, ""zh"", ""en"")"),"Price heroic cool my height 188, weight 200 pounds, usually 46 Nike, Carter boots 44. Clarks boots in this section due to the size of British-limited selection bought uk11 (46), the basic hold live, because unlike Carter boots is so wide and Akira, overal"&amp;"l length were thin, wear thick socks if this will be more appropriateness, if uk10.5 may generally be more sheer hosiery bonded. Amazon Logistics ten days from the British capital to the country club, hanging was a force")</f>
        <v>Price heroic cool my height 188, weight 200 pounds, usually 46 Nike, Carter boots 44. Clarks boots in this section due to the size of British-limited selection bought uk11 (46), the basic hold live, because unlike Carter boots is so wide and Akira, overall length were thin, wear thick socks if this will be more appropriateness, if uk10.5 may generally be more sheer hosiery bonded. Amazon Logistics ten days from the British capital to the country club, hanging was a force</v>
      </c>
    </row>
    <row r="7919">
      <c r="A7919" s="1">
        <v>5.0</v>
      </c>
      <c r="B7919" s="1" t="s">
        <v>7875</v>
      </c>
      <c r="C7919" t="str">
        <f>IFERROR(__xludf.DUMMYFUNCTION("GOOGLETRANSLATE(B7919, ""zh"", ""en"")"),"Size accurately 175,85kg, selected L number, just right.")</f>
        <v>Size accurately 175,85kg, selected L number, just right.</v>
      </c>
    </row>
    <row r="7920">
      <c r="A7920" s="1">
        <v>5.0</v>
      </c>
      <c r="B7920" s="1" t="s">
        <v>7876</v>
      </c>
      <c r="C7920" t="str">
        <f>IFERROR(__xludf.DUMMYFUNCTION("GOOGLETRANSLATE(B7920, ""zh"", ""en"")"),"Very good red label boss! Dea went to four days! Genuine, leather good! The packaging is always simple, ha ha ha! More than two hundred of the price is still very fast hardware!")</f>
        <v>Very good red label boss! Dea went to four days! Genuine, leather good! The packaging is always simple, ha ha ha! More than two hundred of the price is still very fast hardware!</v>
      </c>
    </row>
    <row r="7921">
      <c r="A7921" s="1">
        <v>5.0</v>
      </c>
      <c r="B7921" s="1" t="s">
        <v>7877</v>
      </c>
      <c r="C7921" t="str">
        <f>IFERROR(__xludf.DUMMYFUNCTION("GOOGLETRANSLATE(B7921, ""zh"", ""en"")"),"Very satisfied, very cost-effective product is very good, very satisfied, Lynx sell 1199, exactly the same! The spray is pulsed")</f>
        <v>Very satisfied, very cost-effective product is very good, very satisfied, Lynx sell 1199, exactly the same! The spray is pulsed</v>
      </c>
    </row>
    <row r="7922">
      <c r="A7922" s="1">
        <v>5.0</v>
      </c>
      <c r="B7922" s="1" t="s">
        <v>7878</v>
      </c>
      <c r="C7922" t="str">
        <f>IFERROR(__xludf.DUMMYFUNCTION("GOOGLETRANSLATE(B7922, ""zh"", ""en"")"),"Tragedy, with only about twenty times, a stirring rod connecting shaft actually broken only by about twenty times, a stirring rod connecting shaft actually broken, I have reason to suspect that the new machine is not available, contact the service point C"&amp;"aywood , did not reply to this part, look for online service, that want to change the entire gear plate, offer 1350 yuan, do not know whether it was refurbished.")</f>
        <v>Tragedy, with only about twenty times, a stirring rod connecting shaft actually broken only by about twenty times, a stirring rod connecting shaft actually broken, I have reason to suspect that the new machine is not available, contact the service point Caywood , did not reply to this part, look for online service, that want to change the entire gear plate, offer 1350 yuan, do not know whether it was refurbished.</v>
      </c>
    </row>
    <row r="7923">
      <c r="A7923" s="1">
        <v>5.0</v>
      </c>
      <c r="B7923" s="1" t="s">
        <v>7879</v>
      </c>
      <c r="C7923" t="str">
        <f>IFERROR(__xludf.DUMMYFUNCTION("GOOGLETRANSLATE(B7923, ""zh"", ""en"")"),"Super good super good, the right number, comfortable")</f>
        <v>Super good super good, the right number, comfortable</v>
      </c>
    </row>
    <row r="7924">
      <c r="A7924" s="1">
        <v>2.0</v>
      </c>
      <c r="B7924" s="1" t="s">
        <v>7880</v>
      </c>
      <c r="C7924" t="str">
        <f>IFERROR(__xludf.DUMMYFUNCTION("GOOGLETRANSLATE(B7924, ""zh"", ""en"")"),"Not quite fit the size did not take accurate, 175/70, see the comments buy S code, the right shoulder and chest, sleeves and hem is short, afraid to buy a lot of big M code, a little disappointed.")</f>
        <v>Not quite fit the size did not take accurate, 175/70, see the comments buy S code, the right shoulder and chest, sleeves and hem is short, afraid to buy a lot of big M code, a little disappointed.</v>
      </c>
    </row>
    <row r="7925">
      <c r="A7925" s="1">
        <v>3.0</v>
      </c>
      <c r="B7925" s="1" t="s">
        <v>7881</v>
      </c>
      <c r="C7925" t="str">
        <f>IFERROR(__xludf.DUMMYFUNCTION("GOOGLETRANSLATE(B7925, ""zh"", ""en"")"),"First cup lid a little problem watertight, before you buy a Thermos leak before deciding to change, followed by the insulation effect is also good. But but but it is easy to fall when the lid with a straw, looked under, two clips underneath the lid is a b"&amp;"it short, it is easy to cover bounced out, maybe it is not a case")</f>
        <v>First cup lid a little problem watertight, before you buy a Thermos leak before deciding to change, followed by the insulation effect is also good. But but but it is easy to fall when the lid with a straw, looked under, two clips underneath the lid is a bit short, it is easy to cover bounced out, maybe it is not a case</v>
      </c>
    </row>
    <row r="7926">
      <c r="A7926" s="1">
        <v>3.0</v>
      </c>
      <c r="B7926" s="1" t="s">
        <v>7882</v>
      </c>
      <c r="C7926" t="str">
        <f>IFERROR(__xludf.DUMMYFUNCTION("GOOGLETRANSLATE(B7926, ""zh"", ""en"")"),"PU leather is still very disappointed, unlike the leather, more than a thousand shoes, but also well-known brands, there is still thread Hello, I have requested the goods route back half a month, has not received a refund, please help look")</f>
        <v>PU leather is still very disappointed, unlike the leather, more than a thousand shoes, but also well-known brands, there is still thread Hello, I have requested the goods route back half a month, has not received a refund, please help look</v>
      </c>
    </row>
    <row r="7927">
      <c r="A7927" s="1">
        <v>3.0</v>
      </c>
      <c r="B7927" s="1" t="s">
        <v>7883</v>
      </c>
      <c r="C7927" t="str">
        <f>IFERROR(__xludf.DUMMYFUNCTION("GOOGLETRANSLATE(B7927, ""zh"", ""en"")"),"Oh anti-sagging sagging can not")</f>
        <v>Oh anti-sagging sagging can not</v>
      </c>
    </row>
    <row r="7928">
      <c r="A7928" s="1">
        <v>1.0</v>
      </c>
      <c r="B7928" s="1" t="s">
        <v>7884</v>
      </c>
      <c r="C7928" t="str">
        <f>IFERROR(__xludf.DUMMYFUNCTION("GOOGLETRANSLATE(B7928, ""zh"", ""en"")"),"Fake fake Oh, wash clothes once faded chest logo, a claim can fake it?")</f>
        <v>Fake fake Oh, wash clothes once faded chest logo, a claim can fake it?</v>
      </c>
    </row>
    <row r="7929">
      <c r="A7929" s="1">
        <v>1.0</v>
      </c>
      <c r="B7929" s="1" t="s">
        <v>7885</v>
      </c>
      <c r="C7929" t="str">
        <f>IFERROR(__xludf.DUMMYFUNCTION("GOOGLETRANSLATE(B7929, ""zh"", ""en"")"),"Lee mens too large for standard fit straight jeans titanium 28W x 30L [Lee] clothing bags - Amazon China - Foreign direct mail https://www.amazon.cn/gp/product/B01DXI695K/ref=oh_aui_detailpag purchase AIU good quality fabrics, but pants that are too big, "&amp;"can not wear! Hai.")</f>
        <v>Lee mens too large for standard fit straight jeans titanium 28W x 30L [Lee] clothing bags - Amazon China - Foreign direct mail https://www.amazon.cn/gp/product/B01DXI695K/ref=oh_aui_detailpag purchase AIU good quality fabrics, but pants that are too big, can not wear! Hai.</v>
      </c>
    </row>
    <row r="7930">
      <c r="A7930" s="1">
        <v>1.0</v>
      </c>
      <c r="B7930" s="1" t="s">
        <v>7886</v>
      </c>
      <c r="C7930" t="str">
        <f>IFERROR(__xludf.DUMMYFUNCTION("GOOGLETRANSLATE(B7930, ""zh"", ""en"")"),"Actually tainted process actually missing a shoelace hit the nail")</f>
        <v>Actually tainted process actually missing a shoelace hit the nail</v>
      </c>
    </row>
    <row r="7931">
      <c r="A7931" s="1">
        <v>4.0</v>
      </c>
      <c r="B7931" s="1" t="s">
        <v>7887</v>
      </c>
      <c r="C7931" t="str">
        <f>IFERROR(__xludf.DUMMYFUNCTION("GOOGLETRANSLATE(B7931, ""zh"", ""en"")"),"Genuine 150,100 pounds, a little fat, almost M, should be genuine")</f>
        <v>Genuine 150,100 pounds, a little fat, almost M, should be genuine</v>
      </c>
    </row>
    <row r="7932">
      <c r="A7932" s="1">
        <v>4.0</v>
      </c>
      <c r="B7932" s="1" t="s">
        <v>7888</v>
      </c>
      <c r="C7932" t="str">
        <f>IFERROR(__xludf.DUMMYFUNCTION("GOOGLETRANSLATE(B7932, ""zh"", ""en"")"),"Good read evaluation decided to buy most of the code, the right size. There is a little bit bigger, found the sole seems a bit slippery, I do not know about the material with the floor or how.")</f>
        <v>Good read evaluation decided to buy most of the code, the right size. There is a little bit bigger, found the sole seems a bit slippery, I do not know about the material with the floor or how.</v>
      </c>
    </row>
    <row r="7933">
      <c r="A7933" s="1">
        <v>4.0</v>
      </c>
      <c r="B7933" s="1" t="s">
        <v>7889</v>
      </c>
      <c r="C7933" t="str">
        <f>IFERROR(__xludf.DUMMYFUNCTION("GOOGLETRANSLATE(B7933, ""zh"", ""en"")"),"Purchased during the Spring Festival is also good, just bought three days the price has not helpless United States there has been a library. Logistics is still pretty fast. Underpants thin, can work. (3 boxed better than EA's)")</f>
        <v>Purchased during the Spring Festival is also good, just bought three days the price has not helpless United States there has been a library. Logistics is still pretty fast. Underpants thin, can work. (3 boxed better than EA's)</v>
      </c>
    </row>
    <row r="7934">
      <c r="A7934" s="1">
        <v>4.0</v>
      </c>
      <c r="B7934" s="1" t="s">
        <v>7890</v>
      </c>
      <c r="C7934" t="str">
        <f>IFERROR(__xludf.DUMMYFUNCTION("GOOGLETRANSLATE(B7934, ""zh"", ""en"")"),"lee jeans size conversion is shining, slightly larger. Winter wear can. Appropriate key length, not cut trousers. The color does not look good, after washing more difficult to read")</f>
        <v>lee jeans size conversion is shining, slightly larger. Winter wear can. Appropriate key length, not cut trousers. The color does not look good, after washing more difficult to read</v>
      </c>
    </row>
    <row r="7935">
      <c r="A7935" s="1">
        <v>5.0</v>
      </c>
      <c r="B7935" s="1" t="s">
        <v>7891</v>
      </c>
      <c r="C7935" t="str">
        <f>IFERROR(__xludf.DUMMYFUNCTION("GOOGLETRANSLATE(B7935, ""zh"", ""en"")"),"Very good upper body warm a little long, but really warm look, but probably a little bit longer. 178cm, 80kg, wearing m fairly fit.")</f>
        <v>Very good upper body warm a little long, but really warm look, but probably a little bit longer. 178cm, 80kg, wearing m fairly fit.</v>
      </c>
    </row>
    <row r="7936">
      <c r="A7936" s="1">
        <v>5.0</v>
      </c>
      <c r="B7936" s="1" t="s">
        <v>7892</v>
      </c>
      <c r="C7936" t="str">
        <f>IFERROR(__xludf.DUMMYFUNCTION("GOOGLETRANSLATE(B7936, ""zh"", ""en"")"),"Cost-effective high cost of mobile hard disk, speed satisfaction")</f>
        <v>Cost-effective high cost of mobile hard disk, speed satisfaction</v>
      </c>
    </row>
    <row r="7937">
      <c r="A7937" s="1">
        <v>5.0</v>
      </c>
      <c r="B7937" s="1" t="s">
        <v>7893</v>
      </c>
      <c r="C7937" t="str">
        <f>IFERROR(__xludf.DUMMYFUNCTION("GOOGLETRANSLATE(B7937, ""zh"", ""en"")"),"It's very good for their own election")</f>
        <v>It's very good for their own election</v>
      </c>
    </row>
    <row r="7938">
      <c r="A7938" s="1">
        <v>5.0</v>
      </c>
      <c r="B7938" s="1" t="s">
        <v>7894</v>
      </c>
      <c r="C7938" t="str">
        <f>IFERROR(__xludf.DUMMYFUNCTION("GOOGLETRANSLATE(B7938, ""zh"", ""en"")"),"Somewhat fat height 180, weight 140 kg, the code bit fat feeling ~ Biliweisi large one yard.")</f>
        <v>Somewhat fat height 180, weight 140 kg, the code bit fat feeling ~ Biliweisi large one yard.</v>
      </c>
    </row>
    <row r="7939">
      <c r="A7939" s="1">
        <v>5.0</v>
      </c>
      <c r="B7939" s="1" t="s">
        <v>7895</v>
      </c>
      <c r="C7939" t="str">
        <f>IFERROR(__xludf.DUMMYFUNCTION("GOOGLETRANSLATE(B7939, ""zh"", ""en"")"),"Something good, is too sticky hair, as if it will wash something good, that is sticky hair, while necessary to rinse them to give the baby to eat, too sticky hair up")</f>
        <v>Something good, is too sticky hair, as if it will wash something good, that is sticky hair, while necessary to rinse them to give the baby to eat, too sticky hair up</v>
      </c>
    </row>
    <row r="7940">
      <c r="A7940" s="1">
        <v>5.0</v>
      </c>
      <c r="B7940" s="1" t="s">
        <v>7896</v>
      </c>
      <c r="C7940" t="str">
        <f>IFERROR(__xludf.DUMMYFUNCTION("GOOGLETRANSLATE(B7940, ""zh"", ""en"")"),"Before looking to buy a good quality recording are two negative feedback, he says damaged, Dea the spirit of trust and many times a good shopping experience, decided to start with, and the results did not let me down, packaging and product are intact .")</f>
        <v>Before looking to buy a good quality recording are two negative feedback, he says damaged, Dea the spirit of trust and many times a good shopping experience, decided to start with, and the results did not let me down, packaging and product are intact .</v>
      </c>
    </row>
    <row r="7941">
      <c r="A7941" s="1">
        <v>5.0</v>
      </c>
      <c r="B7941" s="1" t="s">
        <v>7897</v>
      </c>
      <c r="C7941" t="str">
        <f>IFERROR(__xludf.DUMMYFUNCTION("GOOGLETRANSLATE(B7941, ""zh"", ""en"")"),"Yes, first of all express recommendation to buy soon, the hand about a week. Low-waist thin section, consistent color and picture. Appropriate number. A little flexibility. Recommended to buy.")</f>
        <v>Yes, first of all express recommendation to buy soon, the hand about a week. Low-waist thin section, consistent color and picture. Appropriate number. A little flexibility. Recommended to buy.</v>
      </c>
    </row>
    <row r="7942">
      <c r="A7942" s="1">
        <v>5.0</v>
      </c>
      <c r="B7942" s="1" t="s">
        <v>7898</v>
      </c>
      <c r="C7942" t="str">
        <f>IFERROR(__xludf.DUMMYFUNCTION("GOOGLETRANSLATE(B7942, ""zh"", ""en"")"),"Super easy super easy to use, stubborn greasy spray on a valid!")</f>
        <v>Super easy super easy to use, stubborn greasy spray on a valid!</v>
      </c>
    </row>
    <row r="7943">
      <c r="A7943" s="1">
        <v>5.0</v>
      </c>
      <c r="B7943" s="1" t="s">
        <v>7899</v>
      </c>
      <c r="C7943" t="str">
        <f>IFERROR(__xludf.DUMMYFUNCTION("GOOGLETRANSLATE(B7943, ""zh"", ""en"")"),"The water should start very small, hit him hurt, shower headband switch, give the baby a bath very convenient")</f>
        <v>The water should start very small, hit him hurt, shower headband switch, give the baby a bath very convenient</v>
      </c>
    </row>
    <row r="7944">
      <c r="A7944" s="1">
        <v>5.0</v>
      </c>
      <c r="B7944" s="1" t="s">
        <v>7900</v>
      </c>
      <c r="C7944" t="str">
        <f>IFERROR(__xludf.DUMMYFUNCTION("GOOGLETRANSLATE(B7944, ""zh"", ""en"")"),"5uk 38 feet 240 feet of suitable length, I foot slim, long big toe is relatively large, are usually 38 shoes, usually before the toes will withstand very hard to accept. This double 5uk of code just before the toes as well as the width of a lot of space, "&amp;"but also just the feet, do not press the instep, very appropriate to wear off a little trouble spots. 18 orders, 25 received, logistics soon! Buy when the price is 336, 400 within the hand is still very value.")</f>
        <v>5uk 38 feet 240 feet of suitable length, I foot slim, long big toe is relatively large, are usually 38 shoes, usually before the toes will withstand very hard to accept. This double 5uk of code just before the toes as well as the width of a lot of space, but also just the feet, do not press the instep, very appropriate to wear off a little trouble spots. 18 orders, 25 received, logistics soon! Buy when the price is 336, 400 within the hand is still very value.</v>
      </c>
    </row>
    <row r="7945">
      <c r="A7945" s="1">
        <v>5.0</v>
      </c>
      <c r="B7945" s="1" t="s">
        <v>7901</v>
      </c>
      <c r="C7945" t="str">
        <f>IFERROR(__xludf.DUMMYFUNCTION("GOOGLETRANSLATE(B7945, ""zh"", ""en"")"),"Value for money lightweight, warm, comfortable wearing stickers.")</f>
        <v>Value for money lightweight, warm, comfortable wearing stickers.</v>
      </c>
    </row>
    <row r="7946">
      <c r="A7946" s="1">
        <v>5.0</v>
      </c>
      <c r="B7946" s="1" t="s">
        <v>7902</v>
      </c>
      <c r="C7946" t="str">
        <f>IFERROR(__xludf.DUMMYFUNCTION("GOOGLETRANSLATE(B7946, ""zh"", ""en"")"),"Affordable affordable, practical, the price is acceptable, you can change the brush head regularly.")</f>
        <v>Affordable affordable, practical, the price is acceptable, you can change the brush head regularly.</v>
      </c>
    </row>
    <row r="7947">
      <c r="A7947" s="1">
        <v>5.0</v>
      </c>
      <c r="B7947" s="1" t="s">
        <v>7903</v>
      </c>
      <c r="C7947" t="str">
        <f>IFERROR(__xludf.DUMMYFUNCTION("GOOGLETRANSLATE(B7947, ""zh"", ""en"")"),"Of BRITA Maxtra + filter has been using it at home to replace the product easy to use, filtered water is clear.")</f>
        <v>Of BRITA Maxtra + filter has been using it at home to replace the product easy to use, filtered water is clear.</v>
      </c>
    </row>
    <row r="7948">
      <c r="A7948" s="1">
        <v>5.0</v>
      </c>
      <c r="B7948" s="1" t="s">
        <v>7904</v>
      </c>
      <c r="C7948" t="str">
        <f>IFERROR(__xludf.DUMMYFUNCTION("GOOGLETRANSLATE(B7948, ""zh"", ""en"")"),"thumbs up. Very good, very heavy pot body, great texture, fried steak necessary.")</f>
        <v>thumbs up. Very good, very heavy pot body, great texture, fried steak necessary.</v>
      </c>
    </row>
    <row r="7949">
      <c r="A7949" s="1">
        <v>5.0</v>
      </c>
      <c r="B7949" s="1" t="s">
        <v>7905</v>
      </c>
      <c r="C7949" t="str">
        <f>IFERROR(__xludf.DUMMYFUNCTION("GOOGLETRANSLATE(B7949, ""zh"", ""en"")"),"Sports and leisure sports and leisure")</f>
        <v>Sports and leisure sports and leisure</v>
      </c>
    </row>
    <row r="7950">
      <c r="A7950" s="1">
        <v>5.0</v>
      </c>
      <c r="B7950" s="1" t="s">
        <v>7906</v>
      </c>
      <c r="C7950" t="str">
        <f>IFERROR(__xludf.DUMMYFUNCTION("GOOGLETRANSLATE(B7950, ""zh"", ""en"")"),"Color of lead hand $ 450, first bought a box of yourself, and later bought about seventy-eight boxes, help friends of painting can buy to buy, and feel this wave quite affordable")</f>
        <v>Color of lead hand $ 450, first bought a box of yourself, and later bought about seventy-eight boxes, help friends of painting can buy to buy, and feel this wave quite affordable</v>
      </c>
    </row>
    <row r="7951">
      <c r="A7951" s="1">
        <v>5.0</v>
      </c>
      <c r="B7951" s="1" t="s">
        <v>7907</v>
      </c>
      <c r="C7951" t="str">
        <f>IFERROR(__xludf.DUMMYFUNCTION("GOOGLETRANSLATE(B7951, ""zh"", ""en"")"),"Well, just a little big two liters received yesterday, Tiger thermos really good, filled with boiling water over the last seven to try the insulation effect, about seven o'clock today still hot, hoping durable.")</f>
        <v>Well, just a little big two liters received yesterday, Tiger thermos really good, filled with boiling water over the last seven to try the insulation effect, about seven o'clock today still hot, hoping durable.</v>
      </c>
    </row>
    <row r="7952">
      <c r="A7952" s="1">
        <v>5.0</v>
      </c>
      <c r="B7952" s="1" t="s">
        <v>7908</v>
      </c>
      <c r="C7952" t="str">
        <f>IFERROR(__xludf.DUMMYFUNCTION("GOOGLETRANSLATE(B7952, ""zh"", ""en"")"),"Champion Wei pants value choice, very satisfied, a pleasant shopping.")</f>
        <v>Champion Wei pants value choice, very satisfied, a pleasant shopping.</v>
      </c>
    </row>
    <row r="7953">
      <c r="A7953" s="1">
        <v>5.0</v>
      </c>
      <c r="B7953" s="1" t="s">
        <v>7909</v>
      </c>
      <c r="C7953" t="str">
        <f>IFERROR(__xludf.DUMMYFUNCTION("GOOGLETRANSLATE(B7953, ""zh"", ""en"")"),"Still very good quality, is too large. Not from the previous evaluation, I do not know how many wasted points, points can change money now know, they should look carefully evaluated, then I put these words to copy to go, both to earn points, but also save"&amp;" trouble, they go where copy the most important thing is, do not seriously review, do not think how much worse word, sent directly to it, recommend it to everyone! !")</f>
        <v>Still very good quality, is too large. Not from the previous evaluation, I do not know how many wasted points, points can change money now know, they should look carefully evaluated, then I put these words to copy to go, both to earn points, but also save trouble, they go where copy the most important thing is, do not seriously review, do not think how much worse word, sent directly to it, recommend it to everyone! !</v>
      </c>
    </row>
    <row r="7954">
      <c r="A7954" s="1">
        <v>5.0</v>
      </c>
      <c r="B7954" s="1" t="s">
        <v>7910</v>
      </c>
      <c r="C7954" t="str">
        <f>IFERROR(__xludf.DUMMYFUNCTION("GOOGLETRANSLATE(B7954, ""zh"", ""en"")"),"Yes 👍 soft and delicate and smooth")</f>
        <v>Yes 👍 soft and delicate and smooth</v>
      </c>
    </row>
    <row r="7955">
      <c r="A7955" s="1">
        <v>5.0</v>
      </c>
      <c r="B7955" s="1" t="s">
        <v>7911</v>
      </c>
      <c r="C7955" t="str">
        <f>IFERROR(__xludf.DUMMYFUNCTION("GOOGLETRANSLATE(B7955, ""zh"", ""en"")"),"Packaging is very good! Today, Siemens dishwasher safe good master said that the stove hood of his family and a very good smoke perfect! I took a picture! But by the time the packaging are rotten, says sister courier checks to see if the part is not lost,"&amp;" worry about losing parts!")</f>
        <v>Packaging is very good! Today, Siemens dishwasher safe good master said that the stove hood of his family and a very good smoke perfect! I took a picture! But by the time the packaging are rotten, says sister courier checks to see if the part is not lost, worry about losing parts!</v>
      </c>
    </row>
    <row r="7956">
      <c r="A7956" s="1">
        <v>5.0</v>
      </c>
      <c r="B7956" s="1" t="s">
        <v>7912</v>
      </c>
      <c r="C7956" t="str">
        <f>IFERROR(__xludf.DUMMYFUNCTION("GOOGLETRANSLATE(B7956, ""zh"", ""en"")"),"Virgo said he was satisfied! really not bad! In particular cuff design, very fit! awesome")</f>
        <v>Virgo said he was satisfied! really not bad! In particular cuff design, very fit! awesome</v>
      </c>
    </row>
    <row r="7957">
      <c r="A7957" s="1">
        <v>2.0</v>
      </c>
      <c r="B7957" s="1" t="s">
        <v>7913</v>
      </c>
      <c r="C7957" t="str">
        <f>IFERROR(__xludf.DUMMYFUNCTION("GOOGLETRANSLATE(B7957, ""zh"", ""en"")"),"Who says these shoes not comfortable comfortable you out, I promise you do not hit X, hard bottom, like Converse, and airtight!")</f>
        <v>Who says these shoes not comfortable comfortable you out, I promise you do not hit X, hard bottom, like Converse, and airtight!</v>
      </c>
    </row>
    <row r="7958">
      <c r="A7958" s="1">
        <v>3.0</v>
      </c>
      <c r="B7958" s="1" t="s">
        <v>7914</v>
      </c>
      <c r="C7958" t="str">
        <f>IFERROR(__xludf.DUMMYFUNCTION("GOOGLETRANSLATE(B7958, ""zh"", ""en"")"),"Product Image Picture article does not match the lower left corner there is LOGO, but not in kind, to see other buyers blueprint packaging and LOGO and I are not the same, always feel strange? But the clothes felt that I could, naked and do not wash")</f>
        <v>Product Image Picture article does not match the lower left corner there is LOGO, but not in kind, to see other buyers blueprint packaging and LOGO and I are not the same, always feel strange? But the clothes felt that I could, naked and do not wash</v>
      </c>
    </row>
    <row r="7959">
      <c r="A7959" s="1">
        <v>3.0</v>
      </c>
      <c r="B7959" s="1" t="s">
        <v>7915</v>
      </c>
      <c r="C7959" t="str">
        <f>IFERROR(__xludf.DUMMYFUNCTION("GOOGLETRANSLATE(B7959, ""zh"", ""en"")"),"Leather heel fragile at my first pair of shoes ecco series in Atlanta dress shoes, ideal for wide feet, changed the understanding of the shoes. But when the first to wear shoes loosen the laces, when skin inside wearing two pairs of the fracture at the he"&amp;"el. I suggested last.")</f>
        <v>Leather heel fragile at my first pair of shoes ecco series in Atlanta dress shoes, ideal for wide feet, changed the understanding of the shoes. But when the first to wear shoes loosen the laces, when skin inside wearing two pairs of the fracture at the heel. I suggested last.</v>
      </c>
    </row>
    <row r="7960">
      <c r="A7960" s="1">
        <v>3.0</v>
      </c>
      <c r="B7960" s="1" t="s">
        <v>7916</v>
      </c>
      <c r="C7960" t="str">
        <f>IFERROR(__xludf.DUMMYFUNCTION("GOOGLETRANSLATE(B7960, ""zh"", ""en"")"),"Less than write speed 10MB / S write speed of less than 10MB / S is the speed of this U disk just the way it?")</f>
        <v>Less than write speed 10MB / S write speed of less than 10MB / S is the speed of this U disk just the way it?</v>
      </c>
    </row>
    <row r="7961">
      <c r="A7961" s="1">
        <v>1.0</v>
      </c>
      <c r="B7961" s="1" t="s">
        <v>7917</v>
      </c>
      <c r="C7961" t="str">
        <f>IFERROR(__xludf.DUMMYFUNCTION("GOOGLETRANSLATE(B7961, ""zh"", ""en"")"),"The failure to failure each guide plate to guide the guide 100, the guide can only be re-closed guide 100. It has exceeded the return period (January to buy), but can not see the maintenance of the application.")</f>
        <v>The failure to failure each guide plate to guide the guide 100, the guide can only be re-closed guide 100. It has exceeded the return period (January to buy), but can not see the maintenance of the application.</v>
      </c>
    </row>
    <row r="7962">
      <c r="A7962" s="1">
        <v>1.0</v>
      </c>
      <c r="B7962" s="1" t="s">
        <v>7918</v>
      </c>
      <c r="C7962" t="str">
        <f>IFERROR(__xludf.DUMMYFUNCTION("GOOGLETRANSLATE(B7962, ""zh"", ""en"")"),"Truth a little skeptical, although already very satisfied to return, but still on the shopping experience very satisfied, expensive shoes, even flawed! Insoles did not stick well! This could be handmade right! I bought a total of two pairs, eight yards of"&amp;" that pair of defective return, and this pair could have been a friend to buy, a comparison and found eight yards with a pair of two things are not the same. First, not made in spain, and product images and I are not the same pair of eight yards on the so"&amp;"les, although I am not superstitious imported, but expensive shoes are not even a place of origin, I do not understand that; second, insole 8 yards and are not the same, is a one-piece, a middle stitching, a word, not a word. This in turn explain how ah. "&amp;"To sum up, I doubt very much true and false goods")</f>
        <v>Truth a little skeptical, although already very satisfied to return, but still on the shopping experience very satisfied, expensive shoes, even flawed! Insoles did not stick well! This could be handmade right! I bought a total of two pairs, eight yards of that pair of defective return, and this pair could have been a friend to buy, a comparison and found eight yards with a pair of two things are not the same. First, not made in spain, and product images and I are not the same pair of eight yards on the soles, although I am not superstitious imported, but expensive shoes are not even a place of origin, I do not understand that; second, insole 8 yards and are not the same, is a one-piece, a middle stitching, a word, not a word. This in turn explain how ah. To sum up, I doubt very much true and false goods</v>
      </c>
    </row>
    <row r="7963">
      <c r="A7963" s="1">
        <v>4.0</v>
      </c>
      <c r="B7963" s="1" t="s">
        <v>7919</v>
      </c>
      <c r="C7963" t="str">
        <f>IFERROR(__xludf.DUMMYFUNCTION("GOOGLETRANSLATE(B7963, ""zh"", ""en"")"),"No elastic pants material is very strong, but there is no flexibility, usually need to buy a bigger exercise, stretching stretch of what will not Bengzhuo.")</f>
        <v>No elastic pants material is very strong, but there is no flexibility, usually need to buy a bigger exercise, stretching stretch of what will not Bengzhuo.</v>
      </c>
    </row>
    <row r="7964">
      <c r="A7964" s="1">
        <v>4.0</v>
      </c>
      <c r="B7964" s="1" t="s">
        <v>7920</v>
      </c>
      <c r="C7964" t="str">
        <f>IFERROR(__xludf.DUMMYFUNCTION("GOOGLETRANSLATE(B7964, ""zh"", ""en"")"),"Bass really good! Bass dive really good, very solid feel. Direct CD player put his ear close to the speaker to hear a slight sound sisi.")</f>
        <v>Bass really good! Bass dive really good, very solid feel. Direct CD player put his ear close to the speaker to hear a slight sound sisi.</v>
      </c>
    </row>
    <row r="7965">
      <c r="A7965" s="1">
        <v>4.0</v>
      </c>
      <c r="B7965" s="1" t="s">
        <v>7921</v>
      </c>
      <c r="C7965" t="str">
        <f>IFERROR(__xludf.DUMMYFUNCTION("GOOGLETRANSLATE(B7965, ""zh"", ""en"")"),"Law-abiding cotton fabric is expected to wear a few times to play ball")</f>
        <v>Law-abiding cotton fabric is expected to wear a few times to play ball</v>
      </c>
    </row>
    <row r="7966">
      <c r="A7966" s="1">
        <v>4.0</v>
      </c>
      <c r="B7966" s="1" t="s">
        <v>7922</v>
      </c>
      <c r="C7966" t="str">
        <f>IFERROR(__xludf.DUMMYFUNCTION("GOOGLETRANSLATE(B7966, ""zh"", ""en"")"),"Pigeon has been good with a pacifier, relatively soft, suction breast sensation")</f>
        <v>Pigeon has been good with a pacifier, relatively soft, suction breast sensation</v>
      </c>
    </row>
    <row r="7967">
      <c r="A7967" s="1">
        <v>4.0</v>
      </c>
      <c r="B7967" s="1" t="s">
        <v>7923</v>
      </c>
      <c r="C7967" t="str">
        <f>IFERROR(__xludf.DUMMYFUNCTION("GOOGLETRANSLATE(B7967, ""zh"", ""en"")"),"A wife too small too mini")</f>
        <v>A wife too small too mini</v>
      </c>
    </row>
    <row r="7968">
      <c r="A7968" s="1">
        <v>5.0</v>
      </c>
      <c r="B7968" s="1" t="s">
        <v>7924</v>
      </c>
      <c r="C7968" t="str">
        <f>IFERROR(__xludf.DUMMYFUNCTION("GOOGLETRANSLATE(B7968, ""zh"", ""en"")"),"Surprisingly, three-inch monitor very satisfied with the choice, I did not expect 3-inch unit with such energetic sound, fully meet the near-field 0.5-1m my bedroom listening needs, in addition to the different regulatory backplane desk flat lf hf mix, yo"&amp;"u can adjust a variety of voice-oriented to meet the needs of different situations, and finally have to talk about this impressive low frequency, amount of sense and dive beyond imagination, just parsing weaker.")</f>
        <v>Surprisingly, three-inch monitor very satisfied with the choice, I did not expect 3-inch unit with such energetic sound, fully meet the near-field 0.5-1m my bedroom listening needs, in addition to the different regulatory backplane desk flat lf hf mix, you can adjust a variety of voice-oriented to meet the needs of different situations, and finally have to talk about this impressive low frequency, amount of sense and dive beyond imagination, just parsing weaker.</v>
      </c>
    </row>
    <row r="7969">
      <c r="A7969" s="1">
        <v>5.0</v>
      </c>
      <c r="B7969" s="1" t="s">
        <v>7925</v>
      </c>
      <c r="C7969" t="str">
        <f>IFERROR(__xludf.DUMMYFUNCTION("GOOGLETRANSLATE(B7969, ""zh"", ""en"")"),"Yes it is very cheap but also what a bike!")</f>
        <v>Yes it is very cheap but also what a bike!</v>
      </c>
    </row>
    <row r="7970">
      <c r="A7970" s="1">
        <v>5.0</v>
      </c>
      <c r="B7970" s="1" t="s">
        <v>7926</v>
      </c>
      <c r="C7970" t="str">
        <f>IFERROR(__xludf.DUMMYFUNCTION("GOOGLETRANSLATE(B7970, ""zh"", ""en"")"),"Solar can watch how long? Pretty classic solar watches, to give them will love.")</f>
        <v>Solar can watch how long? Pretty classic solar watches, to give them will love.</v>
      </c>
    </row>
    <row r="7971">
      <c r="A7971" s="1">
        <v>5.0</v>
      </c>
      <c r="B7971" s="1" t="s">
        <v>7927</v>
      </c>
      <c r="C7971" t="str">
        <f>IFERROR(__xludf.DUMMYFUNCTION("GOOGLETRANSLATE(B7971, ""zh"", ""en"")"),"Children like second time to buy, a good bottle, the child born from the use of bottles, pacifiers simulation is very fond of children, because mixed feeding, breast milk, milk free to switch, but I feel like I also found that children seem to prefer milk"&amp;" bottle feeling.")</f>
        <v>Children like second time to buy, a good bottle, the child born from the use of bottles, pacifiers simulation is very fond of children, because mixed feeding, breast milk, milk free to switch, but I feel like I also found that children seem to prefer milk bottle feeling.</v>
      </c>
    </row>
    <row r="7972">
      <c r="A7972" s="1">
        <v>5.0</v>
      </c>
      <c r="B7972" s="1" t="s">
        <v>7928</v>
      </c>
      <c r="C7972" t="str">
        <f>IFERROR(__xludf.DUMMYFUNCTION("GOOGLETRANSLATE(B7972, ""zh"", ""en"")"),"""There is no middleman to make the difference"", worth buying! Personal circumstances: height 180, weight 78Kg, waist is about 83cm. This CK jeans, price tag $ 69.50; moderate thickness, suitable for spring and autumn; origin Mauritius, zipper YKK; W31L3"&amp;"2, do not wear long johns, waist very appropriate; in fact, long pants L30 can also be selected, I like a little longer, standing It seems a little longer, but sat still cover the ankle socks. Originally wanted to buy Levis or Lee. In a particular local a"&amp;" newly opened large ShoppingMall after dinner stroll up a CK Jeans stores, said the store's Purchasing Guide CK jeans ¥ 1600 yuan .... I think the domestic Levis or Lee then sell expensive than abroad, it will not be sold for ¥ 1600 yuan, right? About 10 "&amp;"years ago, a local media interview clothing wholesale market (also do retail), said that because the shop rental prices, the purchase price of ¥ ¥ 300 100 of clothing to sell. Now renovated upscale ShoppingMall estimated purchase price of ¥ ¥ 500 100 of t"&amp;"he sell. That ¥ 1600 of CK jeans, their purchase price of ¥ 300 more. Amazon this CK jeans hand less than ¥ 300, known as the ""no middlemen to make the difference,"" the.")</f>
        <v>"There is no middleman to make the difference", worth buying! Personal circumstances: height 180, weight 78Kg, waist is about 83cm. This CK jeans, price tag $ 69.50; moderate thickness, suitable for spring and autumn; origin Mauritius, zipper YKK; W31L32, do not wear long johns, waist very appropriate; in fact, long pants L30 can also be selected, I like a little longer, standing It seems a little longer, but sat still cover the ankle socks. Originally wanted to buy Levis or Lee. In a particular local a newly opened large ShoppingMall after dinner stroll up a CK Jeans stores, said the store's Purchasing Guide CK jeans ¥ 1600 yuan .... I think the domestic Levis or Lee then sell expensive than abroad, it will not be sold for ¥ 1600 yuan, right? About 10 years ago, a local media interview clothing wholesale market (also do retail), said that because the shop rental prices, the purchase price of ¥ ¥ 300 100 of clothing to sell. Now renovated upscale ShoppingMall estimated purchase price of ¥ ¥ 500 100 of the sell. That ¥ 1600 of CK jeans, their purchase price of ¥ 300 more. Amazon this CK jeans hand less than ¥ 300, known as the "no middlemen to make the difference," the.</v>
      </c>
    </row>
    <row r="7973">
      <c r="A7973" s="1">
        <v>5.0</v>
      </c>
      <c r="B7973" s="1" t="s">
        <v>7929</v>
      </c>
      <c r="C7973" t="str">
        <f>IFERROR(__xludf.DUMMYFUNCTION("GOOGLETRANSLATE(B7973, ""zh"", ""en"")"),"Chan looks good, boil water quickly")</f>
        <v>Chan looks good, boil water quickly</v>
      </c>
    </row>
    <row r="7974">
      <c r="A7974" s="1">
        <v>5.0</v>
      </c>
      <c r="B7974" s="1" t="s">
        <v>7930</v>
      </c>
      <c r="C7974" t="str">
        <f>IFERROR(__xludf.DUMMYFUNCTION("GOOGLETRANSLATE(B7974, ""zh"", ""en"")"),"Good elasticity very flexible, more comfortable")</f>
        <v>Good elasticity very flexible, more comfortable</v>
      </c>
    </row>
    <row r="7975">
      <c r="A7975" s="1">
        <v>5.0</v>
      </c>
      <c r="B7975" s="1" t="s">
        <v>7931</v>
      </c>
      <c r="C7975" t="str">
        <f>IFERROR(__xludf.DUMMYFUNCTION("GOOGLETRANSLATE(B7975, ""zh"", ""en"")"),"Looks pretty good not yet begun to drink, a few days come back evaluation")</f>
        <v>Looks pretty good not yet begun to drink, a few days come back evaluation</v>
      </c>
    </row>
    <row r="7976">
      <c r="A7976" s="1">
        <v>5.0</v>
      </c>
      <c r="B7976" s="1" t="s">
        <v>7932</v>
      </c>
      <c r="C7976" t="str">
        <f>IFERROR(__xludf.DUMMYFUNCTION("GOOGLETRANSLATE(B7976, ""zh"", ""en"")"),"Yes this really did not have to say, pretty good")</f>
        <v>Yes this really did not have to say, pretty good</v>
      </c>
    </row>
    <row r="7977">
      <c r="A7977" s="1">
        <v>5.0</v>
      </c>
      <c r="B7977" s="1" t="s">
        <v>7933</v>
      </c>
      <c r="C7977" t="str">
        <f>IFERROR(__xludf.DUMMYFUNCTION("GOOGLETRANSLATE(B7977, ""zh"", ""en"")"),"Satisfaction lightweight, easy to carry, to the family, very satisfied.")</f>
        <v>Satisfaction lightweight, easy to carry, to the family, very satisfied.</v>
      </c>
    </row>
    <row r="7978">
      <c r="A7978" s="1">
        <v>5.0</v>
      </c>
      <c r="B7978" s="1" t="s">
        <v>7934</v>
      </c>
      <c r="C7978" t="str">
        <f>IFERROR(__xludf.DUMMYFUNCTION("GOOGLETRANSLATE(B7978, ""zh"", ""en"")"),"Appropriate right size, like")</f>
        <v>Appropriate right size, like</v>
      </c>
    </row>
    <row r="7979">
      <c r="A7979" s="1">
        <v>5.0</v>
      </c>
      <c r="B7979" s="1" t="s">
        <v>7935</v>
      </c>
      <c r="C7979" t="str">
        <f>IFERROR(__xludf.DUMMYFUNCTION("GOOGLETRANSLATE(B7979, ""zh"", ""en"")"),"Satisfaction good, very satisfied.")</f>
        <v>Satisfaction good, very satisfied.</v>
      </c>
    </row>
    <row r="7980">
      <c r="A7980" s="1">
        <v>5.0</v>
      </c>
      <c r="B7980" s="1" t="s">
        <v>7936</v>
      </c>
      <c r="C7980" t="str">
        <f>IFERROR(__xludf.DUMMYFUNCTION("GOOGLETRANSLATE(B7980, ""zh"", ""en"")"),"Slightly larger but does not affect normal wear 31, slightly larger, loose money is worth buying")</f>
        <v>Slightly larger but does not affect normal wear 31, slightly larger, loose money is worth buying</v>
      </c>
    </row>
    <row r="7981">
      <c r="A7981" s="1">
        <v>5.0</v>
      </c>
      <c r="B7981" s="1" t="s">
        <v>7937</v>
      </c>
      <c r="C7981" t="str">
        <f>IFERROR(__xludf.DUMMYFUNCTION("GOOGLETRANSLATE(B7981, ""zh"", ""en"")"),"Very appropriate fit, very comfortable, cheap")</f>
        <v>Very appropriate fit, very comfortable, cheap</v>
      </c>
    </row>
    <row r="7982">
      <c r="A7982" s="1">
        <v>5.0</v>
      </c>
      <c r="B7982" s="1" t="s">
        <v>7938</v>
      </c>
      <c r="C7982" t="str">
        <f>IFERROR(__xludf.DUMMYFUNCTION("GOOGLETRANSLATE(B7982, ""zh"", ""en"")"),"There are nice and comfortable to wear and comfortable to wear good-looking there")</f>
        <v>There are nice and comfortable to wear and comfortable to wear good-looking there</v>
      </c>
    </row>
    <row r="7983">
      <c r="A7983" s="1">
        <v>5.0</v>
      </c>
      <c r="B7983" s="1" t="s">
        <v>7939</v>
      </c>
      <c r="C7983" t="str">
        <f>IFERROR(__xludf.DUMMYFUNCTION("GOOGLETRANSLATE(B7983, ""zh"", ""en"")"),"Suitable for thin legs shoes are very beautiful, suitable for thin feet wide needs freshman code")</f>
        <v>Suitable for thin legs shoes are very beautiful, suitable for thin feet wide needs freshman code</v>
      </c>
    </row>
    <row r="7984">
      <c r="A7984" s="1">
        <v>5.0</v>
      </c>
      <c r="B7984" s="1" t="s">
        <v>7940</v>
      </c>
      <c r="C7984" t="str">
        <f>IFERROR(__xludf.DUMMYFUNCTION("GOOGLETRANSLATE(B7984, ""zh"", ""en"")"),"Packaging intact very good father very satisfied with big trust")</f>
        <v>Packaging intact very good father very satisfied with big trust</v>
      </c>
    </row>
    <row r="7985">
      <c r="A7985" s="1">
        <v>5.0</v>
      </c>
      <c r="B7985" s="1" t="s">
        <v>7941</v>
      </c>
      <c r="C7985" t="str">
        <f>IFERROR(__xludf.DUMMYFUNCTION("GOOGLETRANSLATE(B7985, ""zh"", ""en"")"),"Recommended cheap, but good. Well, not from the previous evaluation, I do not know how many wasted points, points can change money now know, they should look carefully evaluated, then I put these words to copy to go, both to earn points, but also the easy"&amp;" way, where are copy where, most importantly, do not seriously review, do not think how much worse word, sent directly to it, recommend it to everyone! !")</f>
        <v>Recommended cheap, but good. Well, not from the previous evaluation, I do not know how many wasted points, points can change money now know, they should look carefully evaluated, then I put these words to copy to go, both to earn points, but also the easy way, where are copy where, most importantly, do not seriously review, do not think how much worse word, sent directly to it, recommend it to everyone! !</v>
      </c>
    </row>
    <row r="7986">
      <c r="A7986" s="1">
        <v>5.0</v>
      </c>
      <c r="B7986" s="1" t="s">
        <v>7942</v>
      </c>
      <c r="C7986" t="str">
        <f>IFERROR(__xludf.DUMMYFUNCTION("GOOGLETRANSLATE(B7986, ""zh"", ""en"")"),"Very cute, the price is also good, with my colleagues bought a one person, very very cute, the price is also good, with my colleagues bought a one, good")</f>
        <v>Very cute, the price is also good, with my colleagues bought a one person, very very cute, the price is also good, with my colleagues bought a one, good</v>
      </c>
    </row>
    <row r="7987">
      <c r="A7987" s="1">
        <v>5.0</v>
      </c>
      <c r="B7987" s="1" t="s">
        <v>7943</v>
      </c>
      <c r="C7987" t="str">
        <f>IFERROR(__xludf.DUMMYFUNCTION("GOOGLETRANSLATE(B7987, ""zh"", ""en"")"),"Nice shoes. Shoes to wear for a few days, I feel good. Much cheaper than the store, the orders, the price of shoes, cheap tens of dollars.")</f>
        <v>Nice shoes. Shoes to wear for a few days, I feel good. Much cheaper than the store, the orders, the price of shoes, cheap tens of dollars.</v>
      </c>
    </row>
    <row r="7988">
      <c r="A7988" s="1">
        <v>5.0</v>
      </c>
      <c r="B7988" s="1" t="s">
        <v>7944</v>
      </c>
      <c r="C7988" t="str">
        <f>IFERROR(__xludf.DUMMYFUNCTION("GOOGLETRANSLATE(B7988, ""zh"", ""en"")"),"Very practical to store baby puree sauce to a very convenient, simple and easy to take.")</f>
        <v>Very practical to store baby puree sauce to a very convenient, simple and easy to take.</v>
      </c>
    </row>
    <row r="7989">
      <c r="A7989" s="1">
        <v>5.0</v>
      </c>
      <c r="B7989" s="1" t="s">
        <v>7945</v>
      </c>
      <c r="C7989" t="str">
        <f>IFERROR(__xludf.DUMMYFUNCTION("GOOGLETRANSLATE(B7989, ""zh"", ""en"")"),"Recommended to buy ink sac easy to use! Color is not hard, it is recommended to buy.")</f>
        <v>Recommended to buy ink sac easy to use! Color is not hard, it is recommended to buy.</v>
      </c>
    </row>
    <row r="7990">
      <c r="A7990" s="1">
        <v>2.0</v>
      </c>
      <c r="B7990" s="1" t="s">
        <v>7946</v>
      </c>
      <c r="C7990" t="str">
        <f>IFERROR(__xludf.DUMMYFUNCTION("GOOGLETRANSLATE(B7990, ""zh"", ""en"")"),"Normal body can not wear normal stature inappropriate, M No. 75,100 kg of 1 m is appropriate.")</f>
        <v>Normal body can not wear normal stature inappropriate, M No. 75,100 kg of 1 m is appropriate.</v>
      </c>
    </row>
    <row r="7991">
      <c r="A7991" s="1">
        <v>3.0</v>
      </c>
      <c r="B7991" s="1" t="s">
        <v>7947</v>
      </c>
      <c r="C7991" t="str">
        <f>IFERROR(__xludf.DUMMYFUNCTION("GOOGLETRANSLATE(B7991, ""zh"", ""en"")"),"The product does not do any protective measures have not used this product, the entire package packaging is intact, the entire parcel only two cans filled with product and a paper in English, but two bottles of the product without any protection, so long "&amp;"transportation process, product appearance but there are some signs of a slight collision, but fortunately no broken plastic shell products, I think it is not the manufacturer of these two cans of the material is not particularly self-confidence, I think "&amp;"we should believe it or not this product is not shipped over from the United States? If so, there's no any protection, people to see too worried, if Amazon protection products can do better, I want to buy products who want to see more, too We believe Amaz"&amp;"on's attitude and products. product users are also more at ease some")</f>
        <v>The product does not do any protective measures have not used this product, the entire package packaging is intact, the entire parcel only two cans filled with product and a paper in English, but two bottles of the product without any protection, so long transportation process, product appearance but there are some signs of a slight collision, but fortunately no broken plastic shell products, I think it is not the manufacturer of these two cans of the material is not particularly self-confidence, I think we should believe it or not this product is not shipped over from the United States? If so, there's no any protection, people to see too worried, if Amazon protection products can do better, I want to buy products who want to see more, too We believe Amazon's attitude and products. product users are also more at ease some</v>
      </c>
    </row>
    <row r="7992">
      <c r="A7992" s="1">
        <v>3.0</v>
      </c>
      <c r="B7992" s="1" t="s">
        <v>7948</v>
      </c>
      <c r="C7992" t="str">
        <f>IFERROR(__xludf.DUMMYFUNCTION("GOOGLETRANSLATE(B7992, ""zh"", ""en"")"),"No domestic mainstream comfortable! Sole airtight! Uncomfortable to wear! No domestic mainstream comfortable!")</f>
        <v>No domestic mainstream comfortable! Sole airtight! Uncomfortable to wear! No domestic mainstream comfortable!</v>
      </c>
    </row>
    <row r="7993">
      <c r="A7993" s="1">
        <v>1.0</v>
      </c>
      <c r="B7993" s="1" t="s">
        <v>7949</v>
      </c>
      <c r="C7993" t="str">
        <f>IFERROR(__xludf.DUMMYFUNCTION("GOOGLETRANSLATE(B7993, ""zh"", ""en"")"),"No warranty bought two red plate do NAS, almost simultaneously in two disk bad sectors during the warranty period. No domestic warranty. Amoy hard not to recommend the sea, there are pit.")</f>
        <v>No warranty bought two red plate do NAS, almost simultaneously in two disk bad sectors during the warranty period. No domestic warranty. Amoy hard not to recommend the sea, there are pit.</v>
      </c>
    </row>
    <row r="7994">
      <c r="A7994" s="1">
        <v>1.0</v>
      </c>
      <c r="B7994" s="1" t="s">
        <v>7950</v>
      </c>
      <c r="C7994" t="str">
        <f>IFERROR(__xludf.DUMMYFUNCTION("GOOGLETRANSLATE(B7994, ""zh"", ""en"")"),"Amazon shopping experience failure rough work, thread bare leak out too much, it feels like a fake, clothing sizes too large, need to pay huge return postage, returned to only 36 yuan, determined to give a good choice when the rag, Amazon disappointed dis"&amp;"appointed disappointed, remove the software, a poor-quality shopping experience, the small partners carefully to buy it")</f>
        <v>Amazon shopping experience failure rough work, thread bare leak out too much, it feels like a fake, clothing sizes too large, need to pay huge return postage, returned to only 36 yuan, determined to give a good choice when the rag, Amazon disappointed disappointed disappointed, remove the software, a poor-quality shopping experience, the small partners carefully to buy it</v>
      </c>
    </row>
    <row r="7995">
      <c r="A7995" s="1">
        <v>4.0</v>
      </c>
      <c r="B7995" s="1" t="s">
        <v>7951</v>
      </c>
      <c r="C7995" t="str">
        <f>IFERROR(__xludf.DUMMYFUNCTION("GOOGLETRANSLATE(B7995, ""zh"", ""en"")"),"Pants thigh a little big pants a little too big thigh")</f>
        <v>Pants thigh a little big pants a little too big thigh</v>
      </c>
    </row>
    <row r="7996">
      <c r="A7996" s="1">
        <v>4.0</v>
      </c>
      <c r="B7996" s="1" t="s">
        <v>7952</v>
      </c>
      <c r="C7996" t="str">
        <f>IFERROR(__xludf.DUMMYFUNCTION("GOOGLETRANSLATE(B7996, ""zh"", ""en"")"),"Good quality, good quality code too big, a little freshman code, I usually are M, the obvious big, give it away.")</f>
        <v>Good quality, good quality code too big, a little freshman code, I usually are M, the obvious big, give it away.</v>
      </c>
    </row>
    <row r="7997">
      <c r="A7997" s="1">
        <v>4.0</v>
      </c>
      <c r="B7997" s="1" t="s">
        <v>7953</v>
      </c>
      <c r="C7997" t="str">
        <f>IFERROR(__xludf.DUMMYFUNCTION("GOOGLETRANSLATE(B7997, ""zh"", ""en"")"),"General effect only boring millet, when thermal pot use")</f>
        <v>General effect only boring millet, when thermal pot use</v>
      </c>
    </row>
    <row r="7998">
      <c r="A7998" s="1">
        <v>4.0</v>
      </c>
      <c r="B7998" s="1" t="s">
        <v>7954</v>
      </c>
      <c r="C7998" t="str">
        <f>IFERROR(__xludf.DUMMYFUNCTION("GOOGLETRANSLATE(B7998, ""zh"", ""en"")"),"Comfortable, fat, slippery soles of shoes a little big, a little fat version of Puma shoes, soles after cleaning the bathroom a bit slippery, but it is very comfortable to wear.")</f>
        <v>Comfortable, fat, slippery soles of shoes a little big, a little fat version of Puma shoes, soles after cleaning the bathroom a bit slippery, but it is very comfortable to wear.</v>
      </c>
    </row>
    <row r="7999">
      <c r="A7999" s="1">
        <v>4.0</v>
      </c>
      <c r="B7999" s="1" t="s">
        <v>7955</v>
      </c>
      <c r="C7999" t="str">
        <f>IFERROR(__xludf.DUMMYFUNCTION("GOOGLETRANSLATE(B7999, ""zh"", ""en"")"),"Indeed wok experienced almost a month to get it, it was to customs inspection. Sure enough, just enough to Americans, a naked pot lying on a broken box, but fortunately this pot strong enough impact, but really heavy, need two hand to pick it up. Used a f"&amp;"ew times a little stick pan, now run every time after raising the pot, hoping to get better and better.")</f>
        <v>Indeed wok experienced almost a month to get it, it was to customs inspection. Sure enough, just enough to Americans, a naked pot lying on a broken box, but fortunately this pot strong enough impact, but really heavy, need two hand to pick it up. Used a few times a little stick pan, now run every time after raising the pot, hoping to get better and better.</v>
      </c>
    </row>
    <row r="8000">
      <c r="A8000" s="1">
        <v>5.0</v>
      </c>
      <c r="B8000" s="1" t="s">
        <v>7956</v>
      </c>
      <c r="C8000" t="str">
        <f>IFERROR(__xludf.DUMMYFUNCTION("GOOGLETRANSLATE(B8000, ""zh"", ""en"")"),"Grohe faucet good quality for the first time to buy Grohe faucets and angle valve, quality is also good. Dea activity relatively affordable price, logistics speed is very fast, a discount will continue to buy.")</f>
        <v>Grohe faucet good quality for the first time to buy Grohe faucets and angle valve, quality is also good. Dea activity relatively affordable price, logistics speed is very fast, a discount will continue to buy.</v>
      </c>
    </row>
    <row r="8001">
      <c r="A8001" s="1">
        <v>5.0</v>
      </c>
      <c r="B8001" s="1" t="s">
        <v>7957</v>
      </c>
      <c r="C8001" t="str">
        <f>IFERROR(__xludf.DUMMYFUNCTION("GOOGLETRANSLATE(B8001, ""zh"", ""en"")"),"Like a dog bowl dog bowl to store girl. . . Engage in activities more cost effective")</f>
        <v>Like a dog bowl dog bowl to store girl. . . Engage in activities more cost effective</v>
      </c>
    </row>
    <row r="8002">
      <c r="A8002" s="1">
        <v>5.0</v>
      </c>
      <c r="B8002" s="1" t="s">
        <v>7958</v>
      </c>
      <c r="C8002" t="str">
        <f>IFERROR(__xludf.DUMMYFUNCTION("GOOGLETRANSLATE(B8002, ""zh"", ""en"")"),"Stylish, affordable I 186 high, 82 kg, the election of xl, very fit, but the fabric is not cotton and cotton basic no difference, this advantage is not easy to wash after wearing variant, like,")</f>
        <v>Stylish, affordable I 186 high, 82 kg, the election of xl, very fit, but the fabric is not cotton and cotton basic no difference, this advantage is not easy to wash after wearing variant, like,</v>
      </c>
    </row>
    <row r="8003">
      <c r="A8003" s="1">
        <v>5.0</v>
      </c>
      <c r="B8003" s="1" t="s">
        <v>7959</v>
      </c>
      <c r="C8003" t="str">
        <f>IFERROR(__xludf.DUMMYFUNCTION("GOOGLETRANSLATE(B8003, ""zh"", ""en"")"),"Good workmanship, lightweight cup cup has been to buy, the domestic price activity has been higher than this, we start with. Has been worried about the bright side will be too bright, get our hands still feel quite like, relatively low-key color in his ha"&amp;"nd is very light, work did not have to say, praise, and Haitao very pleasant experience.")</f>
        <v>Good workmanship, lightweight cup cup has been to buy, the domestic price activity has been higher than this, we start with. Has been worried about the bright side will be too bright, get our hands still feel quite like, relatively low-key color in his hand is very light, work did not have to say, praise, and Haitao very pleasant experience.</v>
      </c>
    </row>
    <row r="8004">
      <c r="A8004" s="1">
        <v>5.0</v>
      </c>
      <c r="B8004" s="1" t="s">
        <v>7960</v>
      </c>
      <c r="C8004" t="str">
        <f>IFERROR(__xludf.DUMMYFUNCTION("GOOGLETRANSLATE(B8004, ""zh"", ""en"")"),"Nice, small hand pretty good, actually very small hand")</f>
        <v>Nice, small hand pretty good, actually very small hand</v>
      </c>
    </row>
    <row r="8005">
      <c r="A8005" s="1">
        <v>5.0</v>
      </c>
      <c r="B8005" s="1" t="s">
        <v>7961</v>
      </c>
      <c r="C8005" t="str">
        <f>IFERROR(__xludf.DUMMYFUNCTION("GOOGLETRANSLATE(B8005, ""zh"", ""en"")"),"Satisfaction very easy to use, set directly on the breast pump, a bottle brush can be less")</f>
        <v>Satisfaction very easy to use, set directly on the breast pump, a bottle brush can be less</v>
      </c>
    </row>
    <row r="8006">
      <c r="A8006" s="1">
        <v>5.0</v>
      </c>
      <c r="B8006" s="1" t="s">
        <v>7962</v>
      </c>
      <c r="C8006" t="str">
        <f>IFERROR(__xludf.DUMMYFUNCTION("GOOGLETRANSLATE(B8006, ""zh"", ""en"")"),"Very nice jacket buy the second piece, good, satisfactory.")</f>
        <v>Very nice jacket buy the second piece, good, satisfactory.</v>
      </c>
    </row>
    <row r="8007">
      <c r="A8007" s="1">
        <v>5.0</v>
      </c>
      <c r="B8007" s="1" t="s">
        <v>7963</v>
      </c>
      <c r="C8007" t="str">
        <f>IFERROR(__xludf.DUMMYFUNCTION("GOOGLETRANSLATE(B8007, ""zh"", ""en"")"),"Look at the reviews before perfect size, said size is too large, but try that size is very fit, my height 179, weight 68 kg, about 39.5 Neck, completely fit, especially Sleeve, very consistent with my standards. The shirt and thin, and somewhat transparen"&amp;"t, it is recommended spring and summer wear.")</f>
        <v>Look at the reviews before perfect size, said size is too large, but try that size is very fit, my height 179, weight 68 kg, about 39.5 Neck, completely fit, especially Sleeve, very consistent with my standards. The shirt and thin, and somewhat transparent, it is recommended spring and summer wear.</v>
      </c>
    </row>
    <row r="8008">
      <c r="A8008" s="1">
        <v>5.0</v>
      </c>
      <c r="B8008" s="1" t="s">
        <v>7964</v>
      </c>
      <c r="C8008" t="str">
        <f>IFERROR(__xludf.DUMMYFUNCTION("GOOGLETRANSLATE(B8008, ""zh"", ""en"")"),"Satisfaction appropriate satisfaction")</f>
        <v>Satisfaction appropriate satisfaction</v>
      </c>
    </row>
    <row r="8009">
      <c r="A8009" s="1">
        <v>5.0</v>
      </c>
      <c r="B8009" s="1" t="s">
        <v>7965</v>
      </c>
      <c r="C8009" t="str">
        <f>IFERROR(__xludf.DUMMYFUNCTION("GOOGLETRANSLATE(B8009, ""zh"", ""en"")"),"Good that money should buy green, this too much ice, the results were good, it will repurchase")</f>
        <v>Good that money should buy green, this too much ice, the results were good, it will repurchase</v>
      </c>
    </row>
    <row r="8010">
      <c r="A8010" s="1">
        <v>5.0</v>
      </c>
      <c r="B8010" s="1" t="s">
        <v>7966</v>
      </c>
      <c r="C8010" t="str">
        <f>IFERROR(__xludf.DUMMYFUNCTION("GOOGLETRANSLATE(B8010, ""zh"", ""en"")"),"Good good stuff")</f>
        <v>Good good stuff</v>
      </c>
    </row>
    <row r="8011">
      <c r="A8011" s="1">
        <v>5.0</v>
      </c>
      <c r="B8011" s="1" t="s">
        <v>7967</v>
      </c>
      <c r="C8011" t="str">
        <f>IFERROR(__xludf.DUMMYFUNCTION("GOOGLETRANSLATE(B8011, ""zh"", ""en"")"),"Something good, is not insured, it is not satisfied with something received, good, very satisfied. But ah, however, bought after the price drop, and 1000 dropped to 938, this is a bit much, less than 20 is acceptable. Asked the customer service, said to b"&amp;"e the first to reject buy, but then, on Saturday did not get to sign up directly to me, today was sent on Monday, simply can not refuse. . .")</f>
        <v>Something good, is not insured, it is not satisfied with something received, good, very satisfied. But ah, however, bought after the price drop, and 1000 dropped to 938, this is a bit much, less than 20 is acceptable. Asked the customer service, said to be the first to reject buy, but then, on Saturday did not get to sign up directly to me, today was sent on Monday, simply can not refuse. . .</v>
      </c>
    </row>
    <row r="8012">
      <c r="A8012" s="1">
        <v>5.0</v>
      </c>
      <c r="B8012" s="1" t="s">
        <v>4200</v>
      </c>
      <c r="C8012" t="str">
        <f>IFERROR(__xludf.DUMMYFUNCTION("GOOGLETRANSLATE(B8012, ""zh"", ""en"")"),"Good to wear! recommend! Postpartum bought so a variety of plastic body pants, it is best to wear a. When wearing very tight, I do not even put Le, praise!")</f>
        <v>Good to wear! recommend! Postpartum bought so a variety of plastic body pants, it is best to wear a. When wearing very tight, I do not even put Le, praise!</v>
      </c>
    </row>
    <row r="8013">
      <c r="A8013" s="1">
        <v>5.0</v>
      </c>
      <c r="B8013" s="1" t="s">
        <v>7968</v>
      </c>
      <c r="C8013" t="str">
        <f>IFERROR(__xludf.DUMMYFUNCTION("GOOGLETRANSLATE(B8013, ""zh"", ""en"")"),"Fit my height 170 m, weight 62 kg, selected 31X30, very fit")</f>
        <v>Fit my height 170 m, weight 62 kg, selected 31X30, very fit</v>
      </c>
    </row>
    <row r="8014">
      <c r="A8014" s="1">
        <v>5.0</v>
      </c>
      <c r="B8014" s="1" t="s">
        <v>7969</v>
      </c>
      <c r="C8014" t="str">
        <f>IFERROR(__xludf.DUMMYFUNCTION("GOOGLETRANSLATE(B8014, ""zh"", ""en"")"),"Perfect master very, very soft, weekend breaks Chuan Chuan usually do not wear to work. It is more likely to dirty white border")</f>
        <v>Perfect master very, very soft, weekend breaks Chuan Chuan usually do not wear to work. It is more likely to dirty white border</v>
      </c>
    </row>
    <row r="8015">
      <c r="A8015" s="1">
        <v>5.0</v>
      </c>
      <c r="B8015" s="1" t="s">
        <v>7970</v>
      </c>
      <c r="C8015" t="str">
        <f>IFERROR(__xludf.DUMMYFUNCTION("GOOGLETRANSLATE(B8015, ""zh"", ""en"")"),"Buy small buy small")</f>
        <v>Buy small buy small</v>
      </c>
    </row>
    <row r="8016">
      <c r="A8016" s="1">
        <v>5.0</v>
      </c>
      <c r="B8016" s="1" t="s">
        <v>7971</v>
      </c>
      <c r="C8016" t="str">
        <f>IFERROR(__xludf.DUMMYFUNCTION("GOOGLETRANSLATE(B8016, ""zh"", ""en"")"),"Good very good, size is too small")</f>
        <v>Good very good, size is too small</v>
      </c>
    </row>
    <row r="8017">
      <c r="A8017" s="1">
        <v>5.0</v>
      </c>
      <c r="B8017" s="1" t="s">
        <v>7972</v>
      </c>
      <c r="C8017" t="str">
        <f>IFERROR(__xludf.DUMMYFUNCTION("GOOGLETRANSLATE(B8017, ""zh"", ""en"")"),"RMB493 start with significantly higher anti-B cell, into two pieces, like, to the Amazon to buy overseas like this one!")</f>
        <v>RMB493 start with significantly higher anti-B cell, into two pieces, like, to the Amazon to buy overseas like this one!</v>
      </c>
    </row>
    <row r="8018">
      <c r="A8018" s="1">
        <v>5.0</v>
      </c>
      <c r="B8018" s="1" t="s">
        <v>7973</v>
      </c>
      <c r="C8018" t="str">
        <f>IFERROR(__xludf.DUMMYFUNCTION("GOOGLETRANSLATE(B8018, ""zh"", ""en"")"),"Bass is a little heavy and 7506, said the same, but I really do not feel like bass heavier, there is no clear 7506, earmuffs depth is not enough.")</f>
        <v>Bass is a little heavy and 7506, said the same, but I really do not feel like bass heavier, there is no clear 7506, earmuffs depth is not enough.</v>
      </c>
    </row>
    <row r="8019">
      <c r="A8019" s="1">
        <v>5.0</v>
      </c>
      <c r="B8019" s="1" t="s">
        <v>7974</v>
      </c>
      <c r="C8019" t="str">
        <f>IFERROR(__xludf.DUMMYFUNCTION("GOOGLETRANSLATE(B8019, ""zh"", ""en"")"),"Amazon shopping fly home kitchen appliances are WMF, 18/10 stainless steel with them at ease. Amazon's overseas self-logistics and soon, when the order was expected for a long time, in fact, Beijing orders just one week you can receive. The kettle can sta"&amp;"rt with a good quality.")</f>
        <v>Amazon shopping fly home kitchen appliances are WMF, 18/10 stainless steel with them at ease. Amazon's overseas self-logistics and soon, when the order was expected for a long time, in fact, Beijing orders just one week you can receive. The kettle can start with a good quality.</v>
      </c>
    </row>
    <row r="8020">
      <c r="A8020" s="1">
        <v>5.0</v>
      </c>
      <c r="B8020" s="1" t="s">
        <v>7975</v>
      </c>
      <c r="C8020" t="str">
        <f>IFERROR(__xludf.DUMMYFUNCTION("GOOGLETRANSLATE(B8020, ""zh"", ""en"")"),"Very Good! This is to help my colleagues to buy, deliberately chose Dea! After all, people are more assured of origin! Colleagues with a feel good! The price is very appropriate")</f>
        <v>Very Good! This is to help my colleagues to buy, deliberately chose Dea! After all, people are more assured of origin! Colleagues with a feel good! The price is very appropriate</v>
      </c>
    </row>
    <row r="8021">
      <c r="A8021" s="1">
        <v>5.0</v>
      </c>
      <c r="B8021" s="1" t="s">
        <v>7976</v>
      </c>
      <c r="C8021" t="str">
        <f>IFERROR(__xludf.DUMMYFUNCTION("GOOGLETRANSLATE(B8021, ""zh"", ""en"")"),"Color beautiful color is very beautiful, the insulation effect Tiger was never any good.")</f>
        <v>Color beautiful color is very beautiful, the insulation effect Tiger was never any good.</v>
      </c>
    </row>
    <row r="8022">
      <c r="A8022" s="1">
        <v>2.0</v>
      </c>
      <c r="B8022" s="1" t="s">
        <v>7977</v>
      </c>
      <c r="C8022" t="str">
        <f>IFERROR(__xludf.DUMMYFUNCTION("GOOGLETRANSLATE(B8022, ""zh"", ""en"")"),"Shelf life is too short, doubt is not the environment for a long time heat storage and transportation cause quality problems receive opening the sealed foil cover which is full of gas, liquid, like a loud noise with champagne with Coke pouring out, it sho"&amp;"uld have been so confused ? And 7 months now to buy shelf life to 18 December short point of it ......")</f>
        <v>Shelf life is too short, doubt is not the environment for a long time heat storage and transportation cause quality problems receive opening the sealed foil cover which is full of gas, liquid, like a loud noise with champagne with Coke pouring out, it should have been so confused ? And 7 months now to buy shelf life to 18 December short point of it ......</v>
      </c>
    </row>
    <row r="8023">
      <c r="A8023" s="1">
        <v>3.0</v>
      </c>
      <c r="B8023" s="1" t="s">
        <v>7978</v>
      </c>
      <c r="C8023" t="str">
        <f>IFERROR(__xludf.DUMMYFUNCTION("GOOGLETRANSLATE(B8023, ""zh"", ""en"")"),"May really like, made of barley, it looks very pretty, but the insulation effect in general.")</f>
        <v>May really like, made of barley, it looks very pretty, but the insulation effect in general.</v>
      </c>
    </row>
    <row r="8024">
      <c r="A8024" s="1">
        <v>1.0</v>
      </c>
      <c r="B8024" s="1" t="s">
        <v>7979</v>
      </c>
      <c r="C8024" t="str">
        <f>IFERROR(__xludf.DUMMYFUNCTION("GOOGLETRANSLATE(B8024, ""zh"", ""en"")"),"Taste too fake no doubt, the taste is very heavy, pungent taste")</f>
        <v>Taste too fake no doubt, the taste is very heavy, pungent taste</v>
      </c>
    </row>
    <row r="8025">
      <c r="A8025" s="1">
        <v>1.0</v>
      </c>
      <c r="B8025" s="1" t="s">
        <v>7980</v>
      </c>
      <c r="C8025" t="str">
        <f>IFERROR(__xludf.DUMMYFUNCTION("GOOGLETRANSLATE(B8025, ""zh"", ""en"")"),"Quality is very general memory card less than a year, has been broken.")</f>
        <v>Quality is very general memory card less than a year, has been broken.</v>
      </c>
    </row>
    <row r="8026">
      <c r="A8026" s="1">
        <v>1.0</v>
      </c>
      <c r="B8026" s="1" t="s">
        <v>7981</v>
      </c>
      <c r="C8026" t="str">
        <f>IFERROR(__xludf.DUMMYFUNCTION("GOOGLETRANSLATE(B8026, ""zh"", ""en"")"),"Return more than a month, has not received a refund did not like, trousers too wide, not self-cultivation, the return has been 11.30, and it has not received a return and refund display, but also lodge complaints.")</f>
        <v>Return more than a month, has not received a refund did not like, trousers too wide, not self-cultivation, the return has been 11.30, and it has not received a return and refund display, but also lodge complaints.</v>
      </c>
    </row>
    <row r="8027">
      <c r="A8027" s="1">
        <v>4.0</v>
      </c>
      <c r="B8027" s="1" t="s">
        <v>7982</v>
      </c>
      <c r="C8027" t="str">
        <f>IFERROR(__xludf.DUMMYFUNCTION("GOOGLETRANSLATE(B8027, ""zh"", ""en"")"),"Size always look good to buy things on Amazon always look bad size, size table completely in line with people's reading habits, product size labels really do not understand. Nor models try information, so do not buy clothes always fit, several pieces have"&amp;" been wrong size, the next really can not buy a dress on Amazon. Your reference, this XL number, height 180 or 185 who should wear appropriate.")</f>
        <v>Size always look good to buy things on Amazon always look bad size, size table completely in line with people's reading habits, product size labels really do not understand. Nor models try information, so do not buy clothes always fit, several pieces have been wrong size, the next really can not buy a dress on Amazon. Your reference, this XL number, height 180 or 185 who should wear appropriate.</v>
      </c>
    </row>
    <row r="8028">
      <c r="A8028" s="1">
        <v>4.0</v>
      </c>
      <c r="B8028" s="1" t="s">
        <v>7983</v>
      </c>
      <c r="C8028" t="str">
        <f>IFERROR(__xludf.DUMMYFUNCTION("GOOGLETRANSLATE(B8028, ""zh"", ""en"")"),"Make do make do, not expected comfort, with the average brand almost good enough for the brand.")</f>
        <v>Make do make do, not expected comfort, with the average brand almost good enough for the brand.</v>
      </c>
    </row>
    <row r="8029">
      <c r="A8029" s="1">
        <v>4.0</v>
      </c>
      <c r="B8029" s="1" t="s">
        <v>7984</v>
      </c>
      <c r="C8029" t="str">
        <f>IFERROR(__xludf.DUMMYFUNCTION("GOOGLETRANSLATE(B8029, ""zh"", ""en"")"),"Slightly smaller good quality socks view size chart says fits all, in fact, not quite right, the 19_22cm feet long or short, generally not all 25_27 it? Cheche also just be able to wear it, this fear is easily broken.")</f>
        <v>Slightly smaller good quality socks view size chart says fits all, in fact, not quite right, the 19_22cm feet long or short, generally not all 25_27 it? Cheche also just be able to wear it, this fear is easily broken.</v>
      </c>
    </row>
    <row r="8030">
      <c r="A8030" s="1">
        <v>4.0</v>
      </c>
      <c r="B8030" s="1" t="s">
        <v>7985</v>
      </c>
      <c r="C8030" t="str">
        <f>IFERROR(__xludf.DUMMYFUNCTION("GOOGLETRANSLATE(B8030, ""zh"", ""en"")"),"Overall satisfaction with beautiful colors, relatively light, easy to carry, good insulation effect. But the work is not particularly good, there is a small teardrop-shaped mark on the interior, paint is glossy, and relatively soft, easy to scratch.")</f>
        <v>Overall satisfaction with beautiful colors, relatively light, easy to carry, good insulation effect. But the work is not particularly good, there is a small teardrop-shaped mark on the interior, paint is glossy, and relatively soft, easy to scratch.</v>
      </c>
    </row>
    <row r="8031">
      <c r="A8031" s="1">
        <v>4.0</v>
      </c>
      <c r="B8031" s="1" t="s">
        <v>7986</v>
      </c>
      <c r="C8031" t="str">
        <f>IFERROR(__xludf.DUMMYFUNCTION("GOOGLETRANSLATE(B8031, ""zh"", ""en"")"),"Codons for Elongated Man I feel the most appropriate S code is 173CM weight about 65 kg, to buy time to pay attention.")</f>
        <v>Codons for Elongated Man I feel the most appropriate S code is 173CM weight about 65 kg, to buy time to pay attention.</v>
      </c>
    </row>
    <row r="8032">
      <c r="A8032" s="1">
        <v>5.0</v>
      </c>
      <c r="B8032" s="1" t="s">
        <v>7987</v>
      </c>
      <c r="C8032" t="str">
        <f>IFERROR(__xludf.DUMMYFUNCTION("GOOGLETRANSLATE(B8032, ""zh"", ""en"")"),"Good shoes style, quality is very good, breathable mesh, suitable for hot feet of people, 99 minutes of it")</f>
        <v>Good shoes style, quality is very good, breathable mesh, suitable for hot feet of people, 99 minutes of it</v>
      </c>
    </row>
    <row r="8033">
      <c r="A8033" s="1">
        <v>5.0</v>
      </c>
      <c r="B8033" s="1" t="s">
        <v>7988</v>
      </c>
      <c r="C8033" t="str">
        <f>IFERROR(__xludf.DUMMYFUNCTION("GOOGLETRANSLATE(B8033, ""zh"", ""en"")"),"Very good, nice, comfortable!")</f>
        <v>Very good, nice, comfortable!</v>
      </c>
    </row>
    <row r="8034">
      <c r="A8034" s="1">
        <v>5.0</v>
      </c>
      <c r="B8034" s="1" t="s">
        <v>7989</v>
      </c>
      <c r="C8034" t="str">
        <f>IFERROR(__xludf.DUMMYFUNCTION("GOOGLETRANSLATE(B8034, ""zh"", ""en"")"),"I feel very good, I feel very good looking, good-looking")</f>
        <v>I feel very good, I feel very good looking, good-looking</v>
      </c>
    </row>
    <row r="8035">
      <c r="A8035" s="1">
        <v>5.0</v>
      </c>
      <c r="B8035" s="1" t="s">
        <v>7990</v>
      </c>
      <c r="C8035" t="str">
        <f>IFERROR(__xludf.DUMMYFUNCTION("GOOGLETRANSLATE(B8035, ""zh"", ""en"")"),"Soft lead, blending natural, Ref 495 all very full, I do not know not to use the core postal how. Color is very good, blending natural! very talented!")</f>
        <v>Soft lead, blending natural, Ref 495 all very full, I do not know not to use the core postal how. Color is very good, blending natural! very talented!</v>
      </c>
    </row>
    <row r="8036">
      <c r="A8036" s="1">
        <v>5.0</v>
      </c>
      <c r="B8036" s="1" t="s">
        <v>7991</v>
      </c>
      <c r="C8036" t="str">
        <f>IFERROR(__xludf.DUMMYFUNCTION("GOOGLETRANSLATE(B8036, ""zh"", ""en"")"),"Comfortable cotton material is actually written black dark green tie, comfortable cotton, the quality can be!")</f>
        <v>Comfortable cotton material is actually written black dark green tie, comfortable cotton, the quality can be!</v>
      </c>
    </row>
    <row r="8037">
      <c r="A8037" s="1">
        <v>5.0</v>
      </c>
      <c r="B8037" s="1" t="s">
        <v>7992</v>
      </c>
      <c r="C8037" t="str">
        <f>IFERROR(__xludf.DUMMYFUNCTION("GOOGLETRANSLATE(B8037, ""zh"", ""en"")"),"This price does not trumpet the US deficit equivalent to our medium. I 173,140 pounds, s appropriate number. Good quality, Chinese production.")</f>
        <v>This price does not trumpet the US deficit equivalent to our medium. I 173,140 pounds, s appropriate number. Good quality, Chinese production.</v>
      </c>
    </row>
    <row r="8038">
      <c r="A8038" s="1">
        <v>5.0</v>
      </c>
      <c r="B8038" s="1" t="s">
        <v>7993</v>
      </c>
      <c r="C8038" t="str">
        <f>IFERROR(__xludf.DUMMYFUNCTION("GOOGLETRANSLATE(B8038, ""zh"", ""en"")"),"Chicken stick Chicken stick. . . Price is also very good, praised. After Parker ah, starting later accidentally fell a couple of times, the water is still very smooth.")</f>
        <v>Chicken stick Chicken stick. . . Price is also very good, praised. After Parker ah, starting later accidentally fell a couple of times, the water is still very smooth.</v>
      </c>
    </row>
    <row r="8039">
      <c r="A8039" s="1">
        <v>5.0</v>
      </c>
      <c r="B8039" s="1" t="s">
        <v>7994</v>
      </c>
      <c r="C8039" t="str">
        <f>IFERROR(__xludf.DUMMYFUNCTION("GOOGLETRANSLATE(B8039, ""zh"", ""en"")"),"Good from order to receipt, just seven days, the United States overseas purchase this cycle fairly OK. A large jar, shelf life to 2021. A large tablet, light mint green, pretty good, right, it should be genuine.")</f>
        <v>Good from order to receipt, just seven days, the United States overseas purchase this cycle fairly OK. A large jar, shelf life to 2021. A large tablet, light mint green, pretty good, right, it should be genuine.</v>
      </c>
    </row>
    <row r="8040">
      <c r="A8040" s="1">
        <v>5.0</v>
      </c>
      <c r="B8040" s="1" t="s">
        <v>7995</v>
      </c>
      <c r="C8040" t="str">
        <f>IFERROR(__xludf.DUMMYFUNCTION("GOOGLETRANSLATE(B8040, ""zh"", ""en"")"),"Dr. Martin studied for a long time and finally bought it for their own good skin haí")</f>
        <v>Dr. Martin studied for a long time and finally bought it for their own good skin haí</v>
      </c>
    </row>
    <row r="8041">
      <c r="A8041" s="1">
        <v>5.0</v>
      </c>
      <c r="B8041" s="1" t="s">
        <v>7996</v>
      </c>
      <c r="C8041" t="str">
        <f>IFERROR(__xludf.DUMMYFUNCTION("GOOGLETRANSLATE(B8041, ""zh"", ""en"")"),"perfect! Value! First of all this leather and leather work that's Leverage drop! Second, it can only be described as perfect to wear it after the old lady was indescribable excited, awesome, sisters, stunning the upper body, handsome do not do it! 168, L "&amp;"code, as if tailor-made! In the perfect time to open shop Bang Bang da 👍 😊")</f>
        <v>perfect! Value! First of all this leather and leather work that's Leverage drop! Second, it can only be described as perfect to wear it after the old lady was indescribable excited, awesome, sisters, stunning the upper body, handsome do not do it! 168, L code, as if tailor-made! In the perfect time to open shop Bang Bang da 👍 😊</v>
      </c>
    </row>
    <row r="8042">
      <c r="A8042" s="1">
        <v>5.0</v>
      </c>
      <c r="B8042" s="1" t="s">
        <v>7997</v>
      </c>
      <c r="C8042" t="str">
        <f>IFERROR(__xludf.DUMMYFUNCTION("GOOGLETRANSLATE(B8042, ""zh"", ""en"")"),"Very good shoes more delicate, it is also more comfortable to wear, good workmanship.")</f>
        <v>Very good shoes more delicate, it is also more comfortable to wear, good workmanship.</v>
      </c>
    </row>
    <row r="8043">
      <c r="A8043" s="1">
        <v>5.0</v>
      </c>
      <c r="B8043" s="1" t="s">
        <v>7998</v>
      </c>
      <c r="C8043" t="str">
        <f>IFERROR(__xludf.DUMMYFUNCTION("GOOGLETRANSLATE(B8043, ""zh"", ""en"")"),"lee good price. Waist 86cm, buy 30w, just right.")</f>
        <v>lee good price. Waist 86cm, buy 30w, just right.</v>
      </c>
    </row>
    <row r="8044">
      <c r="A8044" s="1">
        <v>5.0</v>
      </c>
      <c r="B8044" s="1" t="s">
        <v>7999</v>
      </c>
      <c r="C8044" t="str">
        <f>IFERROR(__xludf.DUMMYFUNCTION("GOOGLETRANSLATE(B8044, ""zh"", ""en"")"),"Not to dirty already installed, is easy to use")</f>
        <v>Not to dirty already installed, is easy to use</v>
      </c>
    </row>
    <row r="8045">
      <c r="A8045" s="1">
        <v>5.0</v>
      </c>
      <c r="B8045" s="1" t="s">
        <v>8000</v>
      </c>
      <c r="C8045" t="str">
        <f>IFERROR(__xludf.DUMMYFUNCTION("GOOGLETRANSLATE(B8045, ""zh"", ""en"")"),"Nice nice quality is very good son liked it Like")</f>
        <v>Nice nice quality is very good son liked it Like</v>
      </c>
    </row>
    <row r="8046">
      <c r="A8046" s="1">
        <v>5.0</v>
      </c>
      <c r="B8046" s="1" t="s">
        <v>8001</v>
      </c>
      <c r="C8046" t="str">
        <f>IFERROR(__xludf.DUMMYFUNCTION("GOOGLETRANSLATE(B8046, ""zh"", ""en"")"),"Good quality material does not smell, grind fruit very easy to very easy to make baby food supplement is a good tool")</f>
        <v>Good quality material does not smell, grind fruit very easy to very easy to make baby food supplement is a good tool</v>
      </c>
    </row>
    <row r="8047">
      <c r="A8047" s="1">
        <v>5.0</v>
      </c>
      <c r="B8047" s="1" t="s">
        <v>8002</v>
      </c>
      <c r="C8047" t="str">
        <f>IFERROR(__xludf.DUMMYFUNCTION("GOOGLETRANSLATE(B8047, ""zh"", ""en"")"),"Satisfied with the good. With a baby still acceptable, may be the reason has been the bottle, the pacifier nipple and similar, pacifier short of the point, has rattled the children touch the gums, but does not affect use, but also looking at the beautiful")</f>
        <v>Satisfied with the good. With a baby still acceptable, may be the reason has been the bottle, the pacifier nipple and similar, pacifier short of the point, has rattled the children touch the gums, but does not affect use, but also looking at the beautiful</v>
      </c>
    </row>
    <row r="8048">
      <c r="A8048" s="1">
        <v>5.0</v>
      </c>
      <c r="B8048" s="1" t="s">
        <v>8003</v>
      </c>
      <c r="C8048" t="str">
        <f>IFERROR(__xludf.DUMMYFUNCTION("GOOGLETRANSLATE(B8048, ""zh"", ""en"")"),"Good fabric feel good, suitable for summer wear, just the size, 170,68 kg")</f>
        <v>Good fabric feel good, suitable for summer wear, just the size, 170,68 kg</v>
      </c>
    </row>
    <row r="8049">
      <c r="A8049" s="1">
        <v>5.0</v>
      </c>
      <c r="B8049" s="1" t="s">
        <v>8004</v>
      </c>
      <c r="C8049" t="str">
        <f>IFERROR(__xludf.DUMMYFUNCTION("GOOGLETRANSLATE(B8049, ""zh"", ""en"")"),"173cm 90kg L code just to work pretty good, very thick, there are velvet. L code just being good, nor too long legs. Fat gospel: D")</f>
        <v>173cm 90kg L code just to work pretty good, very thick, there are velvet. L code just being good, nor too long legs. Fat gospel: D</v>
      </c>
    </row>
    <row r="8050">
      <c r="A8050" s="1">
        <v>5.0</v>
      </c>
      <c r="B8050" s="1" t="s">
        <v>8005</v>
      </c>
      <c r="C8050" t="str">
        <f>IFERROR(__xludf.DUMMYFUNCTION("GOOGLETRANSLATE(B8050, ""zh"", ""en"")"),"Something affordable, easy to use them something affordable, easy to use them")</f>
        <v>Something affordable, easy to use them something affordable, easy to use them</v>
      </c>
    </row>
    <row r="8051">
      <c r="A8051" s="1">
        <v>5.0</v>
      </c>
      <c r="B8051" s="1" t="s">
        <v>8006</v>
      </c>
      <c r="C8051" t="str">
        <f>IFERROR(__xludf.DUMMYFUNCTION("GOOGLETRANSLATE(B8051, ""zh"", ""en"")"),"I do not know how things have been received .......... what effect do not know how the effect has been received ..........")</f>
        <v>I do not know how things have been received .......... what effect do not know how the effect has been received ..........</v>
      </c>
    </row>
    <row r="8052">
      <c r="A8052" s="1">
        <v>5.0</v>
      </c>
      <c r="B8052" s="1" t="s">
        <v>8007</v>
      </c>
      <c r="C8052" t="str">
        <f>IFERROR(__xludf.DUMMYFUNCTION("GOOGLETRANSLATE(B8052, ""zh"", ""en"")"),"176 70KG M numbers just right, relaxed and comfortable! 176 70KG M numbers just right, relaxed and comfortable!")</f>
        <v>176 70KG M numbers just right, relaxed and comfortable! 176 70KG M numbers just right, relaxed and comfortable!</v>
      </c>
    </row>
    <row r="8053">
      <c r="A8053" s="1">
        <v>2.0</v>
      </c>
      <c r="B8053" s="1" t="s">
        <v>8008</v>
      </c>
      <c r="C8053" t="str">
        <f>IFERROR(__xludf.DUMMYFUNCTION("GOOGLETRANSLATE(B8053, ""zh"", ""en"")"),"Note: It is not 10361, fuzzy overseas purchase recommendation, the difference in assessment! Want to buy this pair of shoes must pay attention to see that this is not the classic 10361, I had the time to buy from Amazon search 10361 recommended to me that"&amp;" I did not look carefully at that time, choose the right size to buy, a look back upper logo on the right, a closer look than 10361, is the other models, buy must pay attention to.")</f>
        <v>Note: It is not 10361, fuzzy overseas purchase recommendation, the difference in assessment! Want to buy this pair of shoes must pay attention to see that this is not the classic 10361, I had the time to buy from Amazon search 10361 recommended to me that I did not look carefully at that time, choose the right size to buy, a look back upper logo on the right, a closer look than 10361, is the other models, buy must pay attention to.</v>
      </c>
    </row>
    <row r="8054">
      <c r="A8054" s="1">
        <v>3.0</v>
      </c>
      <c r="B8054" s="1" t="s">
        <v>8009</v>
      </c>
      <c r="C8054" t="str">
        <f>IFERROR(__xludf.DUMMYFUNCTION("GOOGLETRANSLATE(B8054, ""zh"", ""en"")"),"Le buying shoes is not suitable for front feet, shoe size is not small for me to see the number of comments buy more than half, but the shoes too large inappropriate.")</f>
        <v>Le buying shoes is not suitable for front feet, shoe size is not small for me to see the number of comments buy more than half, but the shoes too large inappropriate.</v>
      </c>
    </row>
    <row r="8055">
      <c r="A8055" s="1">
        <v>3.0</v>
      </c>
      <c r="B8055" s="1" t="s">
        <v>8010</v>
      </c>
      <c r="C8055" t="str">
        <f>IFERROR(__xludf.DUMMYFUNCTION("GOOGLETRANSLATE(B8055, ""zh"", ""en"")"),"Philips shaver for some time, it is quite easy to use, but the head is not sharp, I did not buy Braun easy to use! Philips this price is a little high, cost-effective point of difference.")</f>
        <v>Philips shaver for some time, it is quite easy to use, but the head is not sharp, I did not buy Braun easy to use! Philips this price is a little high, cost-effective point of difference.</v>
      </c>
    </row>
    <row r="8056">
      <c r="A8056" s="1">
        <v>3.0</v>
      </c>
      <c r="B8056" s="1" t="s">
        <v>8011</v>
      </c>
      <c r="C8056" t="str">
        <f>IFERROR(__xludf.DUMMYFUNCTION("GOOGLETRANSLATE(B8056, ""zh"", ""en"")"),"Generally relatively small hard disk capacity is large enough speed in general, slower when it is 30M for multi-store photo, infrequent access to things that can tolerate it has not arrived on the price, there is no price protection, back up now")</f>
        <v>Generally relatively small hard disk capacity is large enough speed in general, slower when it is 30M for multi-store photo, infrequent access to things that can tolerate it has not arrived on the price, there is no price protection, back up now</v>
      </c>
    </row>
    <row r="8057">
      <c r="A8057" s="1">
        <v>1.0</v>
      </c>
      <c r="B8057" s="1" t="s">
        <v>8012</v>
      </c>
      <c r="C8057" t="str">
        <f>IFERROR(__xludf.DUMMYFUNCTION("GOOGLETRANSLATE(B8057, ""zh"", ""en"")"),"Garbage, garbage can not charge two months, two months can not be charged, to maintain their own contact Philips, Philips to provide invoices, said Amazon does not provide overseas purchase invoice, no solution.")</f>
        <v>Garbage, garbage can not charge two months, two months can not be charged, to maintain their own contact Philips, Philips to provide invoices, said Amazon does not provide overseas purchase invoice, no solution.</v>
      </c>
    </row>
    <row r="8058">
      <c r="A8058" s="1">
        <v>1.0</v>
      </c>
      <c r="B8058" s="1" t="s">
        <v>8013</v>
      </c>
      <c r="C8058" t="str">
        <f>IFERROR(__xludf.DUMMYFUNCTION("GOOGLETRANSLATE(B8058, ""zh"", ""en"")"),"Smell, the United States has requested a refund and sea scouring boxes of different textures, buy when the show is American, Hong Kong is actually shipped. Carefully smell the next taste, and the United States do have differences transport back. Not recom"&amp;"mended to buy.")</f>
        <v>Smell, the United States has requested a refund and sea scouring boxes of different textures, buy when the show is American, Hong Kong is actually shipped. Carefully smell the next taste, and the United States do have differences transport back. Not recommended to buy.</v>
      </c>
    </row>
    <row r="8059">
      <c r="A8059" s="1">
        <v>1.0</v>
      </c>
      <c r="B8059" s="1" t="s">
        <v>8014</v>
      </c>
      <c r="C8059" t="str">
        <f>IFERROR(__xludf.DUMMYFUNCTION("GOOGLETRANSLATE(B8059, ""zh"", ""en"")"),"Overseas direct mail is not a bad soldiers overseas direct mail, has been Shan comments, or not to pass")</f>
        <v>Overseas direct mail is not a bad soldiers overseas direct mail, has been Shan comments, or not to pass</v>
      </c>
    </row>
    <row r="8060">
      <c r="A8060" s="1">
        <v>4.0</v>
      </c>
      <c r="B8060" s="1" t="s">
        <v>8015</v>
      </c>
      <c r="C8060" t="str">
        <f>IFERROR(__xludf.DUMMYFUNCTION("GOOGLETRANSLATE(B8060, ""zh"", ""en"")"),"Sennheiser is also good, with almost expected, made in China, East 200 yuan cheaper than milk")</f>
        <v>Sennheiser is also good, with almost expected, made in China, East 200 yuan cheaper than milk</v>
      </c>
    </row>
    <row r="8061">
      <c r="A8061" s="1">
        <v>4.0</v>
      </c>
      <c r="B8061" s="1" t="s">
        <v>8016</v>
      </c>
      <c r="C8061" t="str">
        <f>IFERROR(__xludf.DUMMYFUNCTION("GOOGLETRANSLATE(B8061, ""zh"", ""en"")"),"Warm slightly larger slightly longer warm longer contains slightly larger velvet smooth")</f>
        <v>Warm slightly larger slightly longer warm longer contains slightly larger velvet smooth</v>
      </c>
    </row>
    <row r="8062">
      <c r="A8062" s="1">
        <v>4.0</v>
      </c>
      <c r="B8062" s="1" t="s">
        <v>8017</v>
      </c>
      <c r="C8062" t="str">
        <f>IFERROR(__xludf.DUMMYFUNCTION("GOOGLETRANSLATE(B8062, ""zh"", ""en"")"),"Note washing instructions! 173cm, 95kg, somewhat longer wingspan, M number just arm Shoulder waist too. OK good warm clothes. Note washed by washing instructions, not with softeners, drying can not be! Since the super fine filler with the electrostatic ch"&amp;"arge will be drilled out and then drying the softener! ! !")</f>
        <v>Note washing instructions! 173cm, 95kg, somewhat longer wingspan, M number just arm Shoulder waist too. OK good warm clothes. Note washed by washing instructions, not with softeners, drying can not be! Since the super fine filler with the electrostatic charge will be drilled out and then drying the softener! ! !</v>
      </c>
    </row>
    <row r="8063">
      <c r="A8063" s="1">
        <v>4.0</v>
      </c>
      <c r="B8063" s="1" t="s">
        <v>8018</v>
      </c>
      <c r="C8063" t="str">
        <f>IFERROR(__xludf.DUMMYFUNCTION("GOOGLETRANSLATE(B8063, ""zh"", ""en"")"),"Have purchased this product step resilient material, like wearing tight points can buy a small one yard.")</f>
        <v>Have purchased this product step resilient material, like wearing tight points can buy a small one yard.</v>
      </c>
    </row>
    <row r="8064">
      <c r="A8064" s="1">
        <v>4.0</v>
      </c>
      <c r="B8064" s="1" t="s">
        <v>8019</v>
      </c>
      <c r="C8064" t="str">
        <f>IFERROR(__xludf.DUMMYFUNCTION("GOOGLETRANSLATE(B8064, ""zh"", ""en"")"),"Want to know how ink pen arrived, the first time the piston ink pen, do not know how to use, is directly transferred to the back end of the pen and ink do, God help you big request, please!")</f>
        <v>Want to know how ink pen arrived, the first time the piston ink pen, do not know how to use, is directly transferred to the back end of the pen and ink do, God help you big request, please!</v>
      </c>
    </row>
    <row r="8065">
      <c r="A8065" s="1">
        <v>5.0</v>
      </c>
      <c r="B8065" s="1" t="s">
        <v>8020</v>
      </c>
      <c r="C8065" t="str">
        <f>IFERROR(__xludf.DUMMYFUNCTION("GOOGLETRANSLATE(B8065, ""zh"", ""en"")"),"Although Taiwan is satisfied, but read and write speed is also good! Logistics super-fast!")</f>
        <v>Although Taiwan is satisfied, but read and write speed is also good! Logistics super-fast!</v>
      </c>
    </row>
    <row r="8066">
      <c r="A8066" s="1">
        <v>5.0</v>
      </c>
      <c r="B8066" s="1" t="s">
        <v>8021</v>
      </c>
      <c r="C8066" t="str">
        <f>IFERROR(__xludf.DUMMYFUNCTION("GOOGLETRANSLATE(B8066, ""zh"", ""en"")"),"Have the effect of enhancing leg strength, the effect is obvious")</f>
        <v>Have the effect of enhancing leg strength, the effect is obvious</v>
      </c>
    </row>
    <row r="8067">
      <c r="A8067" s="1">
        <v>5.0</v>
      </c>
      <c r="B8067" s="1" t="s">
        <v>8022</v>
      </c>
      <c r="C8067" t="str">
        <f>IFERROR(__xludf.DUMMYFUNCTION("GOOGLETRANSLATE(B8067, ""zh"", ""en"")"),"The price is very good, a box of 87 hand, very satisfied, stockpile price is very good, a box of 87 hand, very satisfied, store goods, the only regret there is little box of a little dent, but not serious, US imperialism too environmentally friendly packa"&amp;"ging up")</f>
        <v>The price is very good, a box of 87 hand, very satisfied, stockpile price is very good, a box of 87 hand, very satisfied, store goods, the only regret there is little box of a little dent, but not serious, US imperialism too environmentally friendly packaging up</v>
      </c>
    </row>
    <row r="8068">
      <c r="A8068" s="1">
        <v>5.0</v>
      </c>
      <c r="B8068" s="1" t="s">
        <v>8023</v>
      </c>
      <c r="C8068" t="str">
        <f>IFERROR(__xludf.DUMMYFUNCTION("GOOGLETRANSLATE(B8068, ""zh"", ""en"")"),"After a lapse of sense to use a pen to write many years writing gel pen again so many years, suddenly miss a child's pen, on the order. German brand German production, more refined packaging is also very practical, look more ordinary pen, but the ink rota"&amp;"ry vacuum suction way is actually very new, comes with a gall ink. Compared to other aspects of the chromatic color, do not hesitate to select black pen should be black or other types of metallic color. So there are a little small are not satisfied, so th"&amp;"e price of a pen, plastic shell is a bit should not be")</f>
        <v>After a lapse of sense to use a pen to write many years writing gel pen again so many years, suddenly miss a child's pen, on the order. German brand German production, more refined packaging is also very practical, look more ordinary pen, but the ink rotary vacuum suction way is actually very new, comes with a gall ink. Compared to other aspects of the chromatic color, do not hesitate to select black pen should be black or other types of metallic color. So there are a little small are not satisfied, so the price of a pen, plastic shell is a bit should not be</v>
      </c>
    </row>
    <row r="8069">
      <c r="A8069" s="1">
        <v>5.0</v>
      </c>
      <c r="B8069" s="1" t="s">
        <v>8024</v>
      </c>
      <c r="C8069" t="str">
        <f>IFERROR(__xludf.DUMMYFUNCTION("GOOGLETRANSLATE(B8069, ""zh"", ""en"")"),"Just to be cheap and easy, cheap to purchase, enough for a long time with the")</f>
        <v>Just to be cheap and easy, cheap to purchase, enough for a long time with the</v>
      </c>
    </row>
    <row r="8070">
      <c r="A8070" s="1">
        <v>5.0</v>
      </c>
      <c r="B8070" s="1" t="s">
        <v>8025</v>
      </c>
      <c r="C8070" t="str">
        <f>IFERROR(__xludf.DUMMYFUNCTION("GOOGLETRANSLATE(B8070, ""zh"", ""en"")"),"Although love it, D hat and Ting brother does not match it, but still love this hat")</f>
        <v>Although love it, D hat and Ting brother does not match it, but still love this hat</v>
      </c>
    </row>
    <row r="8071">
      <c r="A8071" s="1">
        <v>5.0</v>
      </c>
      <c r="B8071" s="1" t="s">
        <v>8026</v>
      </c>
      <c r="C8071" t="str">
        <f>IFERROR(__xludf.DUMMYFUNCTION("GOOGLETRANSLATE(B8071, ""zh"", ""en"")"),"Good hard disk 1, large capacity, the relatively cool; 2, if waking up from sleep, the noise is relatively large. . . . . . . .")</f>
        <v>Good hard disk 1, large capacity, the relatively cool; 2, if waking up from sleep, the noise is relatively large. . . . . . . .</v>
      </c>
    </row>
    <row r="8072">
      <c r="A8072" s="1">
        <v>5.0</v>
      </c>
      <c r="B8072" s="1" t="s">
        <v>8027</v>
      </c>
      <c r="C8072" t="str">
        <f>IFERROR(__xludf.DUMMYFUNCTION("GOOGLETRANSLATE(B8072, ""zh"", ""en"")"),"Dimensions 17265 to buy S code just a good fit. Members will deal with prime free shipping 😄")</f>
        <v>Dimensions 17265 to buy S code just a good fit. Members will deal with prime free shipping 😄</v>
      </c>
    </row>
    <row r="8073">
      <c r="A8073" s="1">
        <v>5.0</v>
      </c>
      <c r="B8073" s="1" t="s">
        <v>8028</v>
      </c>
      <c r="C8073" t="str">
        <f>IFERROR(__xludf.DUMMYFUNCTION("GOOGLETRANSLATE(B8073, ""zh"", ""en"")"),"Good shoes is a bit hard, should wear like a few days, the absolute value of this price")</f>
        <v>Good shoes is a bit hard, should wear like a few days, the absolute value of this price</v>
      </c>
    </row>
    <row r="8074">
      <c r="A8074" s="1">
        <v>5.0</v>
      </c>
      <c r="B8074" s="1" t="s">
        <v>8029</v>
      </c>
      <c r="C8074" t="str">
        <f>IFERROR(__xludf.DUMMYFUNCTION("GOOGLETRANSLATE(B8074, ""zh"", ""en"")"),"Thin soft very comfortable, soft light fitting")</f>
        <v>Thin soft very comfortable, soft light fitting</v>
      </c>
    </row>
    <row r="8075">
      <c r="A8075" s="1">
        <v>5.0</v>
      </c>
      <c r="B8075" s="1" t="s">
        <v>8030</v>
      </c>
      <c r="C8075" t="str">
        <f>IFERROR(__xludf.DUMMYFUNCTION("GOOGLETRANSLATE(B8075, ""zh"", ""en"")"),"Comfortable bought the most comfortable pair of shoes")</f>
        <v>Comfortable bought the most comfortable pair of shoes</v>
      </c>
    </row>
    <row r="8076">
      <c r="A8076" s="1">
        <v>5.0</v>
      </c>
      <c r="B8076" s="1" t="s">
        <v>8031</v>
      </c>
      <c r="C8076" t="str">
        <f>IFERROR(__xludf.DUMMYFUNCTION("GOOGLETRANSLATE(B8076, ""zh"", ""en"")"),"Pitt Zander arrived two months, and now to evaluate, the quality is not good at home, the original kettle is always a lot of scale, after evaluating various water purification after the final choice Pitt Zander, the fact that the choice of up with no inst"&amp;"allation transformation all kinds of trouble, and now the family no longer scale the kettle")</f>
        <v>Pitt Zander arrived two months, and now to evaluate, the quality is not good at home, the original kettle is always a lot of scale, after evaluating various water purification after the final choice Pitt Zander, the fact that the choice of up with no installation transformation all kinds of trouble, and now the family no longer scale the kettle</v>
      </c>
    </row>
    <row r="8077">
      <c r="A8077" s="1">
        <v>5.0</v>
      </c>
      <c r="B8077" s="1" t="s">
        <v>8032</v>
      </c>
      <c r="C8077" t="str">
        <f>IFERROR(__xludf.DUMMYFUNCTION("GOOGLETRANSLATE(B8077, ""zh"", ""en"")"),"Comfortable to wear very comfortable, soft leather, soles not hard, the key price is less than half the counter")</f>
        <v>Comfortable to wear very comfortable, soft leather, soles not hard, the key price is less than half the counter</v>
      </c>
    </row>
    <row r="8078">
      <c r="A8078" s="1">
        <v>5.0</v>
      </c>
      <c r="B8078" s="1" t="s">
        <v>8033</v>
      </c>
      <c r="C8078" t="str">
        <f>IFERROR(__xludf.DUMMYFUNCTION("GOOGLETRANSLATE(B8078, ""zh"", ""en"")"),"Good quality good quality")</f>
        <v>Good quality good quality</v>
      </c>
    </row>
    <row r="8079">
      <c r="A8079" s="1">
        <v>5.0</v>
      </c>
      <c r="B8079" s="1" t="s">
        <v>8034</v>
      </c>
      <c r="C8079" t="str">
        <f>IFERROR(__xludf.DUMMYFUNCTION("GOOGLETRANSLATE(B8079, ""zh"", ""en"")"),"Thin version of shoes shoes are very thin, also marked the EU, recommended to buy thin legs, fat feet is not recommended to buy.")</f>
        <v>Thin version of shoes shoes are very thin, also marked the EU, recommended to buy thin legs, fat feet is not recommended to buy.</v>
      </c>
    </row>
    <row r="8080">
      <c r="A8080" s="1">
        <v>5.0</v>
      </c>
      <c r="B8080" s="1" t="s">
        <v>8035</v>
      </c>
      <c r="C8080" t="str">
        <f>IFERROR(__xludf.DUMMYFUNCTION("GOOGLETRANSLATE(B8080, ""zh"", ""en"")"),"Good results received on the same day taking, leg cramps before more serious, now is not the foot cramp.")</f>
        <v>Good results received on the same day taking, leg cramps before more serious, now is not the foot cramp.</v>
      </c>
    </row>
    <row r="8081">
      <c r="A8081" s="1">
        <v>5.0</v>
      </c>
      <c r="B8081" s="1" t="s">
        <v>8036</v>
      </c>
      <c r="C8081" t="str">
        <f>IFERROR(__xludf.DUMMYFUNCTION("GOOGLETRANSLATE(B8081, ""zh"", ""en"")"),"It is worth to buy a lot of things packed, very good")</f>
        <v>It is worth to buy a lot of things packed, very good</v>
      </c>
    </row>
    <row r="8082">
      <c r="A8082" s="1">
        <v>5.0</v>
      </c>
      <c r="B8082" s="1" t="s">
        <v>8037</v>
      </c>
      <c r="C8082" t="str">
        <f>IFERROR(__xludf.DUMMYFUNCTION("GOOGLETRANSLATE(B8082, ""zh"", ""en"")"),"Good quality socks care is high, fall and winter wear")</f>
        <v>Good quality socks care is high, fall and winter wear</v>
      </c>
    </row>
    <row r="8083">
      <c r="A8083" s="1">
        <v>5.0</v>
      </c>
      <c r="B8083" s="1" t="s">
        <v>8038</v>
      </c>
      <c r="C8083" t="str">
        <f>IFERROR(__xludf.DUMMYFUNCTION("GOOGLETRANSLATE(B8083, ""zh"", ""en"")"),"Beautiful style usually wear shoes 40, this time into the 40EU, the right size, cool style, not too expensive.")</f>
        <v>Beautiful style usually wear shoes 40, this time into the 40EU, the right size, cool style, not too expensive.</v>
      </c>
    </row>
    <row r="8084">
      <c r="A8084" s="1">
        <v>5.0</v>
      </c>
      <c r="B8084" s="1" t="s">
        <v>8039</v>
      </c>
      <c r="C8084" t="str">
        <f>IFERROR(__xludf.DUMMYFUNCTION("GOOGLETRANSLATE(B8084, ""zh"", ""en"")"),"nice logistics quickly, 24 orders, 31 you will receive friends ~ 265 feet long, 9 wide, chose eight yards W, very fit, others can refer to the color and with pictures is a little lighter than no map on so bright, work okay, wearing more comfortable, taste"&amp;" is a bit large, more ~~")</f>
        <v>nice logistics quickly, 24 orders, 31 you will receive friends ~ 265 feet long, 9 wide, chose eight yards W, very fit, others can refer to the color and with pictures is a little lighter than no map on so bright, work okay, wearing more comfortable, taste is a bit large, more ~~</v>
      </c>
    </row>
    <row r="8085">
      <c r="A8085" s="1">
        <v>5.0</v>
      </c>
      <c r="B8085" s="1" t="s">
        <v>8040</v>
      </c>
      <c r="C8085" t="str">
        <f>IFERROR(__xludf.DUMMYFUNCTION("GOOGLETRANSLATE(B8085, ""zh"", ""en"")"),"Fun of hand sanitizer Andy liked, rich dense foam")</f>
        <v>Fun of hand sanitizer Andy liked, rich dense foam</v>
      </c>
    </row>
    <row r="8086">
      <c r="A8086" s="1">
        <v>5.0</v>
      </c>
      <c r="B8086" s="1" t="s">
        <v>8041</v>
      </c>
      <c r="C8086" t="str">
        <f>IFERROR(__xludf.DUMMYFUNCTION("GOOGLETRANSLATE(B8086, ""zh"", ""en"")"),"Just wear a footrest, a week later wearing a very comfortable quality, leather is very good, just wear a slightly harder time, some footrest, one week after the run is still very comfortable to wear, it is recommended with some thick socks.")</f>
        <v>Just wear a footrest, a week later wearing a very comfortable quality, leather is very good, just wear a slightly harder time, some footrest, one week after the run is still very comfortable to wear, it is recommended with some thick socks.</v>
      </c>
    </row>
    <row r="8087">
      <c r="A8087" s="1">
        <v>2.0</v>
      </c>
      <c r="B8087" s="1" t="s">
        <v>8042</v>
      </c>
      <c r="C8087" t="str">
        <f>IFERROR(__xludf.DUMMYFUNCTION("GOOGLETRANSLATE(B8087, ""zh"", ""en"")"),"Size is too large size is simply not allowed, a lot of big")</f>
        <v>Size is too large size is simply not allowed, a lot of big</v>
      </c>
    </row>
    <row r="8088">
      <c r="A8088" s="1">
        <v>3.0</v>
      </c>
      <c r="B8088" s="1" t="s">
        <v>8043</v>
      </c>
      <c r="C8088" t="str">
        <f>IFERROR(__xludf.DUMMYFUNCTION("GOOGLETRANSLATE(B8088, ""zh"", ""en"")"),"Pretty good bar a bit too big, but very comfortable to wear")</f>
        <v>Pretty good bar a bit too big, but very comfortable to wear</v>
      </c>
    </row>
    <row r="8089">
      <c r="A8089" s="1">
        <v>3.0</v>
      </c>
      <c r="B8089" s="1" t="s">
        <v>8044</v>
      </c>
      <c r="C8089" t="str">
        <f>IFERROR(__xludf.DUMMYFUNCTION("GOOGLETRANSLATE(B8089, ""zh"", ""en"")"),"Buy with me in the store to buy a nursing home is not the same, I bought smaller than")</f>
        <v>Buy with me in the store to buy a nursing home is not the same, I bought smaller than</v>
      </c>
    </row>
    <row r="8090">
      <c r="A8090" s="1">
        <v>3.0</v>
      </c>
      <c r="B8090" s="1" t="s">
        <v>8045</v>
      </c>
      <c r="C8090" t="str">
        <f>IFERROR(__xludf.DUMMYFUNCTION("GOOGLETRANSLATE(B8090, ""zh"", ""en"")"),"Quality is generally positive (brown) leather can still use no cracks. The back surface (Black) poor cortex, cracks, fade.")</f>
        <v>Quality is generally positive (brown) leather can still use no cracks. The back surface (Black) poor cortex, cracks, fade.</v>
      </c>
    </row>
    <row r="8091">
      <c r="A8091" s="1">
        <v>1.0</v>
      </c>
      <c r="B8091" s="1" t="s">
        <v>8046</v>
      </c>
      <c r="C8091" t="str">
        <f>IFERROR(__xludf.DUMMYFUNCTION("GOOGLETRANSLATE(B8091, ""zh"", ""en"")"),"Fake goods received today from single packaging is particularly impressed! German direct mail can arrive safely indeed formidable! Too fake it!")</f>
        <v>Fake goods received today from single packaging is particularly impressed! German direct mail can arrive safely indeed formidable! Too fake it!</v>
      </c>
    </row>
    <row r="8092">
      <c r="A8092" s="1">
        <v>1.0</v>
      </c>
      <c r="B8092" s="1" t="s">
        <v>8047</v>
      </c>
      <c r="C8092" t="str">
        <f>IFERROR(__xludf.DUMMYFUNCTION("GOOGLETRANSLATE(B8092, ""zh"", ""en"")"),"Time really slow too much garbage did not take long to buy back a few minutes time is always slow")</f>
        <v>Time really slow too much garbage did not take long to buy back a few minutes time is always slow</v>
      </c>
    </row>
    <row r="8093">
      <c r="A8093" s="1">
        <v>4.0</v>
      </c>
      <c r="B8093" s="1" t="s">
        <v>8048</v>
      </c>
      <c r="C8093" t="str">
        <f>IFERROR(__xludf.DUMMYFUNCTION("GOOGLETRANSLATE(B8093, ""zh"", ""en"")"),"Finally arrived the finally received the goods, to help people buy, feel super amazing. Delivery process twists and turns, this stare UPS real-time data every day, because the battery in HK reason detained for several days, seeing the sister of the expect"&amp;"ed date just around the corner, almost to give up this product, and suddenly UPS courier brother told me arrived, it feels quite unexpectedly, it can be considered a surprise! As for the product itself, absolutely nice.")</f>
        <v>Finally arrived the finally received the goods, to help people buy, feel super amazing. Delivery process twists and turns, this stare UPS real-time data every day, because the battery in HK reason detained for several days, seeing the sister of the expected date just around the corner, almost to give up this product, and suddenly UPS courier brother told me arrived, it feels quite unexpectedly, it can be considered a surprise! As for the product itself, absolutely nice.</v>
      </c>
    </row>
    <row r="8094">
      <c r="A8094" s="1">
        <v>4.0</v>
      </c>
      <c r="B8094" s="1" t="s">
        <v>4402</v>
      </c>
      <c r="C8094" t="str">
        <f>IFERROR(__xludf.DUMMYFUNCTION("GOOGLETRANSLATE(B8094, ""zh"", ""en"")"),"Bra bra no rims very comfortable to wear, but the bust is too large to wear a little loose.")</f>
        <v>Bra bra no rims very comfortable to wear, but the bust is too large to wear a little loose.</v>
      </c>
    </row>
    <row r="8095">
      <c r="A8095" s="1">
        <v>4.0</v>
      </c>
      <c r="B8095" s="1" t="s">
        <v>8049</v>
      </c>
      <c r="C8095" t="str">
        <f>IFERROR(__xludf.DUMMYFUNCTION("GOOGLETRANSLATE(B8095, ""zh"", ""en"")"),"Color is good, but size is too large leather color is, good leather, but really big, buy the 4.5 just received the goods, totally big finger 1, 4 code to be replaced you contact me")</f>
        <v>Color is good, but size is too large leather color is, good leather, but really big, buy the 4.5 just received the goods, totally big finger 1, 4 code to be replaced you contact me</v>
      </c>
    </row>
    <row r="8096">
      <c r="A8096" s="1">
        <v>4.0</v>
      </c>
      <c r="B8096" s="1" t="s">
        <v>8050</v>
      </c>
      <c r="C8096" t="str">
        <f>IFERROR(__xludf.DUMMYFUNCTION("GOOGLETRANSLATE(B8096, ""zh"", ""en"")"),"In addition to good-looking, other general use a few weeks, watch dial looks good, that is too thick may have 14mm, running up feeling a little inconvenient, color values ​​can hide everything. Timing feel there is a problem, several days after they get t"&amp;"o know six eye dial is the second hand has been going, large dial chronograph second hand when it is transferred, and nine three-point eye eyes a little confused, simply, timing function is tasteless. See the calendar luminous dial, only to see time, okay"&amp;", I did not think so perfect. When the new watch not get our hands on these protective films ah, bare a watch, but also (that is the side of the return), when the transfer button card also had a white plastic ring does not walk to get it out watch (it sho"&amp;"uld be on not anymore ^ O ^), engage in a long time to get it out. Carefully ha ha! Overall is good, quite accurate travel time, mostly nice! Nice! Nice! For the price it is a matter of personal, and I think it almost right! (Friends say this dial lights "&amp;"up as before seventy-eight dollar electronic watches as 😂, as if still quite like)!")</f>
        <v>In addition to good-looking, other general use a few weeks, watch dial looks good, that is too thick may have 14mm, running up feeling a little inconvenient, color values ​​can hide everything. Timing feel there is a problem, several days after they get to know six eye dial is the second hand has been going, large dial chronograph second hand when it is transferred, and nine three-point eye eyes a little confused, simply, timing function is tasteless. See the calendar luminous dial, only to see time, okay, I did not think so perfect. When the new watch not get our hands on these protective films ah, bare a watch, but also (that is the side of the return), when the transfer button card also had a white plastic ring does not walk to get it out watch (it should be on not anymore ^ O ^), engage in a long time to get it out. Carefully ha ha! Overall is good, quite accurate travel time, mostly nice! Nice! Nice! For the price it is a matter of personal, and I think it almost right! (Friends say this dial lights up as before seventy-eight dollar electronic watches as 😂, as if still quite like)!</v>
      </c>
    </row>
    <row r="8097">
      <c r="A8097" s="1">
        <v>5.0</v>
      </c>
      <c r="B8097" s="1" t="s">
        <v>8051</v>
      </c>
      <c r="C8097" t="str">
        <f>IFERROR(__xludf.DUMMYFUNCTION("GOOGLETRANSLATE(B8097, ""zh"", ""en"")"),"Size is too large clothing sizes too large, 177/82, L code is too large, wear very loose cross!")</f>
        <v>Size is too large clothing sizes too large, 177/82, L code is too large, wear very loose cross!</v>
      </c>
    </row>
    <row r="8098">
      <c r="A8098" s="1">
        <v>5.0</v>
      </c>
      <c r="B8098" s="1" t="s">
        <v>8052</v>
      </c>
      <c r="C8098" t="str">
        <f>IFERROR(__xludf.DUMMYFUNCTION("GOOGLETRANSLATE(B8098, ""zh"", ""en"")"),"Value for money within 600 purchase, recommend to buy, just US7.5 40 feet, laces may make you feel a little short. Timberland is not suitable for increasing the insole.")</f>
        <v>Value for money within 600 purchase, recommend to buy, just US7.5 40 feet, laces may make you feel a little short. Timberland is not suitable for increasing the insole.</v>
      </c>
    </row>
    <row r="8099">
      <c r="A8099" s="1">
        <v>5.0</v>
      </c>
      <c r="B8099" s="1" t="s">
        <v>8053</v>
      </c>
      <c r="C8099" t="str">
        <f>IFERROR(__xludf.DUMMYFUNCTION("GOOGLETRANSLATE(B8099, ""zh"", ""en"")"),"Casual Pei-ling ... fabric work is indeed general .... In fact, you can look like a point ... good quality ... 160 ... m height 176 weight a little small for reference ...")</f>
        <v>Casual Pei-ling ... fabric work is indeed general .... In fact, you can look like a point ... good quality ... 160 ... m height 176 weight a little small for reference ...</v>
      </c>
    </row>
    <row r="8100">
      <c r="A8100" s="1">
        <v>5.0</v>
      </c>
      <c r="B8100" s="1" t="s">
        <v>8054</v>
      </c>
      <c r="C8100" t="str">
        <f>IFERROR(__xludf.DUMMYFUNCTION("GOOGLETRANSLATE(B8100, ""zh"", ""en"")"),"Value for money exquisite designs, quality is very good. Insulation effect beautifully")</f>
        <v>Value for money exquisite designs, quality is very good. Insulation effect beautifully</v>
      </c>
    </row>
    <row r="8101">
      <c r="A8101" s="1">
        <v>5.0</v>
      </c>
      <c r="B8101" s="1" t="s">
        <v>8055</v>
      </c>
      <c r="C8101" t="str">
        <f>IFERROR(__xludf.DUMMYFUNCTION("GOOGLETRANSLATE(B8101, ""zh"", ""en"")"),"Bosch food grinder MMR08R2 Red Pros: Bosch small appliances in the well-known dishes artifact, commonly known as Little Red Riding Hood; German standard two plug can be used directly without conversion socket; voltage 220V-240V, suitable for use in mainla"&amp;"nd China; manufacture of Slovenia, the real import products; work extremely well, enough materials, the perfect flawless; comes standard with two heads, head a can break all kinds of meat, vegetables, fruits, head shakes and B can play like jam; ratio dom"&amp;"estic brands strong times, making fillings artifact, buns and dumplings is no longer troublesome. Cons: In fact, there is no real drawbacks. Original bit is broken because the end use, it can only be labeled as fines, not labeled as a powder.")</f>
        <v>Bosch food grinder MMR08R2 Red Pros: Bosch small appliances in the well-known dishes artifact, commonly known as Little Red Riding Hood; German standard two plug can be used directly without conversion socket; voltage 220V-240V, suitable for use in mainland China; manufacture of Slovenia, the real import products; work extremely well, enough materials, the perfect flawless; comes standard with two heads, head a can break all kinds of meat, vegetables, fruits, head shakes and B can play like jam; ratio domestic brands strong times, making fillings artifact, buns and dumplings is no longer troublesome. Cons: In fact, there is no real drawbacks. Original bit is broken because the end use, it can only be labeled as fines, not labeled as a powder.</v>
      </c>
    </row>
    <row r="8102">
      <c r="A8102" s="1">
        <v>5.0</v>
      </c>
      <c r="B8102" s="1" t="s">
        <v>8056</v>
      </c>
      <c r="C8102" t="str">
        <f>IFERROR(__xludf.DUMMYFUNCTION("GOOGLETRANSLATE(B8102, ""zh"", ""en"")"),"Overall good feels very comfortable when washing will not fall down quite warm")</f>
        <v>Overall good feels very comfortable when washing will not fall down quite warm</v>
      </c>
    </row>
    <row r="8103">
      <c r="A8103" s="1">
        <v>5.0</v>
      </c>
      <c r="B8103" s="1" t="s">
        <v>8057</v>
      </c>
      <c r="C8103" t="str">
        <f>IFERROR(__xludf.DUMMYFUNCTION("GOOGLETRANSLATE(B8103, ""zh"", ""en"")"),"Spike, there is the invoice price is not the cheapest, brought back childhood like painting hearts, and sometimes like to buy. Packaging okay, first with")</f>
        <v>Spike, there is the invoice price is not the cheapest, brought back childhood like painting hearts, and sometimes like to buy. Packaging okay, first with</v>
      </c>
    </row>
    <row r="8104">
      <c r="A8104" s="1">
        <v>5.0</v>
      </c>
      <c r="B8104" s="1" t="s">
        <v>8058</v>
      </c>
      <c r="C8104" t="str">
        <f>IFERROR(__xludf.DUMMYFUNCTION("GOOGLETRANSLATE(B8104, ""zh"", ""en"")"),"Peace of mind to her mother bought. Genuine, but also peace of mind.")</f>
        <v>Peace of mind to her mother bought. Genuine, but also peace of mind.</v>
      </c>
    </row>
    <row r="8105">
      <c r="A8105" s="1">
        <v>5.0</v>
      </c>
      <c r="B8105" s="1" t="s">
        <v>8059</v>
      </c>
      <c r="C8105" t="str">
        <f>IFERROR(__xludf.DUMMYFUNCTION("GOOGLETRANSLATE(B8105, ""zh"", ""en"")"),"Good things cost-effective, completely different is correct, you can work on foot comfort, love the ECCO brand")</f>
        <v>Good things cost-effective, completely different is correct, you can work on foot comfort, love the ECCO brand</v>
      </c>
    </row>
    <row r="8106">
      <c r="A8106" s="1">
        <v>5.0</v>
      </c>
      <c r="B8106" s="1" t="s">
        <v>8060</v>
      </c>
      <c r="C8106" t="str">
        <f>IFERROR(__xludf.DUMMYFUNCTION("GOOGLETRANSLATE(B8106, ""zh"", ""en"")"),"Comfortable to wear, the size just right. Delivery fast, comfortable, genuine.")</f>
        <v>Comfortable to wear, the size just right. Delivery fast, comfortable, genuine.</v>
      </c>
    </row>
    <row r="8107">
      <c r="A8107" s="1">
        <v>5.0</v>
      </c>
      <c r="B8107" s="1" t="s">
        <v>8061</v>
      </c>
      <c r="C8107" t="str">
        <f>IFERROR(__xludf.DUMMYFUNCTION("GOOGLETRANSLATE(B8107, ""zh"", ""en"")"),"Praise good quality, very comfortable to wear, good-looking style")</f>
        <v>Praise good quality, very comfortable to wear, good-looking style</v>
      </c>
    </row>
    <row r="8108">
      <c r="A8108" s="1">
        <v>5.0</v>
      </c>
      <c r="B8108" s="1" t="s">
        <v>8062</v>
      </c>
      <c r="C8108" t="str">
        <f>IFERROR(__xludf.DUMMYFUNCTION("GOOGLETRANSLATE(B8108, ""zh"", ""en"")"),"Suitable lowest whole network, too appropriate.")</f>
        <v>Suitable lowest whole network, too appropriate.</v>
      </c>
    </row>
    <row r="8109">
      <c r="A8109" s="1">
        <v>5.0</v>
      </c>
      <c r="B8109" s="1" t="s">
        <v>8063</v>
      </c>
      <c r="C8109" t="str">
        <f>IFERROR(__xludf.DUMMYFUNCTION("GOOGLETRANSLATE(B8109, ""zh"", ""en"")"),"Good clothes, good clothes, is the normal number of online tagging problems, get our hands or large")</f>
        <v>Good clothes, good clothes, is the normal number of online tagging problems, get our hands or large</v>
      </c>
    </row>
    <row r="8110">
      <c r="A8110" s="1">
        <v>5.0</v>
      </c>
      <c r="B8110" s="1" t="s">
        <v>8064</v>
      </c>
      <c r="C8110" t="str">
        <f>IFERROR(__xludf.DUMMYFUNCTION("GOOGLETRANSLATE(B8110, ""zh"", ""en"")"),"The recommended choice for children in kindergarten indoor shoes")</f>
        <v>The recommended choice for children in kindergarten indoor shoes</v>
      </c>
    </row>
    <row r="8111">
      <c r="A8111" s="1">
        <v>5.0</v>
      </c>
      <c r="B8111" s="1" t="s">
        <v>8065</v>
      </c>
      <c r="C8111" t="str">
        <f>IFERROR(__xludf.DUMMYFUNCTION("GOOGLETRANSLATE(B8111, ""zh"", ""en"")"),"Appropriateness or a fitted shirt, cuff but more buttons the better")</f>
        <v>Appropriateness or a fitted shirt, cuff but more buttons the better</v>
      </c>
    </row>
    <row r="8112">
      <c r="A8112" s="1">
        <v>5.0</v>
      </c>
      <c r="B8112" s="1" t="s">
        <v>8066</v>
      </c>
      <c r="C8112" t="str">
        <f>IFERROR(__xludf.DUMMYFUNCTION("GOOGLETRANSLATE(B8112, ""zh"", ""en"")"),"Good sound quality, convenient and affordable connection, the songs sound quality is not particularly good, but feel good enough, iphone connection is very fast, very satisfied with it")</f>
        <v>Good sound quality, convenient and affordable connection, the songs sound quality is not particularly good, but feel good enough, iphone connection is very fast, very satisfied with it</v>
      </c>
    </row>
    <row r="8113">
      <c r="A8113" s="1">
        <v>5.0</v>
      </c>
      <c r="B8113" s="1" t="s">
        <v>8067</v>
      </c>
      <c r="C8113" t="str">
        <f>IFERROR(__xludf.DUMMYFUNCTION("GOOGLETRANSLATE(B8113, ""zh"", ""en"")"),"Good quality good place to grind the heel of balloons, the overall quality is good 👍 very flexible, very dense, velvet")</f>
        <v>Good quality good place to grind the heel of balloons, the overall quality is good 👍 very flexible, very dense, velvet</v>
      </c>
    </row>
    <row r="8114">
      <c r="A8114" s="1">
        <v>5.0</v>
      </c>
      <c r="B8114" s="1" t="s">
        <v>3131</v>
      </c>
      <c r="C8114" t="str">
        <f>IFERROR(__xludf.DUMMYFUNCTION("GOOGLETRANSLATE(B8114, ""zh"", ""en"")"),"Optimistic pacifier model easy to use, is to use a long time before we know too optimistic pacifier models")</f>
        <v>Optimistic pacifier model easy to use, is to use a long time before we know too optimistic pacifier models</v>
      </c>
    </row>
    <row r="8115">
      <c r="A8115" s="1">
        <v>5.0</v>
      </c>
      <c r="B8115" s="1" t="s">
        <v>5103</v>
      </c>
      <c r="C8115" t="str">
        <f>IFERROR(__xludf.DUMMYFUNCTION("GOOGLETRANSLATE(B8115, ""zh"", ""en"")"),"Good workmanship, fabric texture are good, relatively thin")</f>
        <v>Good workmanship, fabric texture are good, relatively thin</v>
      </c>
    </row>
    <row r="8116">
      <c r="A8116" s="1">
        <v>5.0</v>
      </c>
      <c r="B8116" s="1" t="s">
        <v>8068</v>
      </c>
      <c r="C8116" t="str">
        <f>IFERROR(__xludf.DUMMYFUNCTION("GOOGLETRANSLATE(B8116, ""zh"", ""en"")"),"A nice Moka used to have a little, this time to buy a large. The product itself is not to say, classic is classic, very easy to use.")</f>
        <v>A nice Moka used to have a little, this time to buy a large. The product itself is not to say, classic is classic, very easy to use.</v>
      </c>
    </row>
    <row r="8117">
      <c r="A8117" s="1">
        <v>5.0</v>
      </c>
      <c r="B8117" s="1" t="s">
        <v>8069</v>
      </c>
      <c r="C8117" t="str">
        <f>IFERROR(__xludf.DUMMYFUNCTION("GOOGLETRANSLATE(B8117, ""zh"", ""en"")"),"Yan high value baby also love to use very good very good very good very comfortable and practical small hand grip")</f>
        <v>Yan high value baby also love to use very good very good very good very comfortable and practical small hand grip</v>
      </c>
    </row>
    <row r="8118">
      <c r="A8118" s="1">
        <v>5.0</v>
      </c>
      <c r="B8118" s="1" t="s">
        <v>8070</v>
      </c>
      <c r="C8118" t="str">
        <f>IFERROR(__xludf.DUMMYFUNCTION("GOOGLETRANSLATE(B8118, ""zh"", ""en"")"),"koss ksc75 very good headset, the low-end artifacts")</f>
        <v>koss ksc75 very good headset, the low-end artifacts</v>
      </c>
    </row>
    <row r="8119">
      <c r="A8119" s="1">
        <v>2.0</v>
      </c>
      <c r="B8119" s="1" t="s">
        <v>8071</v>
      </c>
      <c r="C8119" t="str">
        <f>IFERROR(__xludf.DUMMYFUNCTION("GOOGLETRANSLATE(B8119, ""zh"", ""en"")"),"Is not too complicated machines are not suitable for long distances egg efficiency is indeed high, no splash, protein dense, but fought a protein, then stopped halfway can never get started. . . Domestic brand maintenance-free, only to find a private, aft"&amp;"er-sales is very bad, there is not air motor can not return, thought it happened to catch up, bought a new one ,,, problem is more serious, severe motor noise is not normal, residual protein, there turned around at the exposed oil. . . wtf")</f>
        <v>Is not too complicated machines are not suitable for long distances egg efficiency is indeed high, no splash, protein dense, but fought a protein, then stopped halfway can never get started. . . Domestic brand maintenance-free, only to find a private, after-sales is very bad, there is not air motor can not return, thought it happened to catch up, bought a new one ,,, problem is more serious, severe motor noise is not normal, residual protein, there turned around at the exposed oil. . . wtf</v>
      </c>
    </row>
    <row r="8120">
      <c r="A8120" s="1">
        <v>3.0</v>
      </c>
      <c r="B8120" s="1" t="s">
        <v>8072</v>
      </c>
      <c r="C8120" t="str">
        <f>IFERROR(__xludf.DUMMYFUNCTION("GOOGLETRANSLATE(B8120, ""zh"", ""en"")"),"Something a little more expensive than your expensive things many people, next time you buy something when I will shop around")</f>
        <v>Something a little more expensive than your expensive things many people, next time you buy something when I will shop around</v>
      </c>
    </row>
    <row r="8121">
      <c r="A8121" s="1">
        <v>3.0</v>
      </c>
      <c r="B8121" s="1" t="s">
        <v>8073</v>
      </c>
      <c r="C8121" t="str">
        <f>IFERROR(__xludf.DUMMYFUNCTION("GOOGLETRANSLATE(B8121, ""zh"", ""en"")"),"When men to wear women's quality is not imagined thin, fairly good, as is the women to wear it, this short-sleeved men too long, directly over the hip.")</f>
        <v>When men to wear women's quality is not imagined thin, fairly good, as is the women to wear it, this short-sleeved men too long, directly over the hip.</v>
      </c>
    </row>
    <row r="8122">
      <c r="A8122" s="1">
        <v>1.0</v>
      </c>
      <c r="B8122" s="1" t="s">
        <v>8074</v>
      </c>
      <c r="C8122" t="str">
        <f>IFERROR(__xludf.DUMMYFUNCTION("GOOGLETRANSLATE(B8122, ""zh"", ""en"")"),"I do not know really big plastic water taste. The material is very hard, and people buy a lot worse. I really do not know what to say. I feel very sorry for the children, I did not find the beginning, and later taste a saliva that adults can not stand the"&amp;" taste.")</f>
        <v>I do not know really big plastic water taste. The material is very hard, and people buy a lot worse. I really do not know what to say. I feel very sorry for the children, I did not find the beginning, and later taste a saliva that adults can not stand the taste.</v>
      </c>
    </row>
    <row r="8123">
      <c r="A8123" s="1">
        <v>1.0</v>
      </c>
      <c r="B8123" s="1" t="s">
        <v>8075</v>
      </c>
      <c r="C8123" t="str">
        <f>IFERROR(__xludf.DUMMYFUNCTION("GOOGLETRANSLATE(B8123, ""zh"", ""en"")"),"Too loose pants too big, bloated")</f>
        <v>Too loose pants too big, bloated</v>
      </c>
    </row>
    <row r="8124">
      <c r="A8124" s="1">
        <v>4.0</v>
      </c>
      <c r="B8124" s="1" t="s">
        <v>8076</v>
      </c>
      <c r="C8124" t="str">
        <f>IFERROR(__xludf.DUMMYFUNCTION("GOOGLETRANSLATE(B8124, ""zh"", ""en"")"),"Very practical glass material to put some meat is very reassuring, very good sealing lid food supplement often used is not easy to fold bad, relatively heavy weight")</f>
        <v>Very practical glass material to put some meat is very reassuring, very good sealing lid food supplement often used is not easy to fold bad, relatively heavy weight</v>
      </c>
    </row>
    <row r="8125">
      <c r="A8125" s="1">
        <v>4.0</v>
      </c>
      <c r="B8125" s="1" t="s">
        <v>8077</v>
      </c>
      <c r="C8125" t="str">
        <f>IFERROR(__xludf.DUMMYFUNCTION("GOOGLETRANSLATE(B8125, ""zh"", ""en"")"),"Logistics too quickly, very thin, cotton. Is a little too big, too high estimate of M 180 people can fit.")</f>
        <v>Logistics too quickly, very thin, cotton. Is a little too big, too high estimate of M 180 people can fit.</v>
      </c>
    </row>
    <row r="8126">
      <c r="A8126" s="1">
        <v>4.0</v>
      </c>
      <c r="B8126" s="1" t="s">
        <v>8078</v>
      </c>
      <c r="C8126" t="str">
        <f>IFERROR(__xludf.DUMMYFUNCTION("GOOGLETRANSLATE(B8126, ""zh"", ""en"")"),"In addition to smaller slightly smaller outer line with expectations, one wearing a three-month is not a problem. Usually 29-30 jeans slacks, dresses pants 38, No. S close.")</f>
        <v>In addition to smaller slightly smaller outer line with expectations, one wearing a three-month is not a problem. Usually 29-30 jeans slacks, dresses pants 38, No. S close.</v>
      </c>
    </row>
    <row r="8127">
      <c r="A8127" s="1">
        <v>4.0</v>
      </c>
      <c r="B8127" s="1" t="s">
        <v>8079</v>
      </c>
      <c r="C8127" t="str">
        <f>IFERROR(__xludf.DUMMYFUNCTION("GOOGLETRANSLATE(B8127, ""zh"", ""en"")"),"To others it is recommended to buy height and weight 187cm / 86kg, size XL. Denim jacket is very soft, feel very comfortable to wear on the body. Shoulder cut wide, hem place than shoulder to charge a lot, dress length is short, wear them just above the w"&amp;"aistband of the pants. Long sleeves, but that does not mean chock son. I wear them a little looser, more suitable for inverted triangle, relatively strong body of people.")</f>
        <v>To others it is recommended to buy height and weight 187cm / 86kg, size XL. Denim jacket is very soft, feel very comfortable to wear on the body. Shoulder cut wide, hem place than shoulder to charge a lot, dress length is short, wear them just above the waistband of the pants. Long sleeves, but that does not mean chock son. I wear them a little looser, more suitable for inverted triangle, relatively strong body of people.</v>
      </c>
    </row>
    <row r="8128">
      <c r="A8128" s="1">
        <v>4.0</v>
      </c>
      <c r="B8128" s="1" t="s">
        <v>8080</v>
      </c>
      <c r="C8128" t="str">
        <f>IFERROR(__xludf.DUMMYFUNCTION("GOOGLETRANSLATE(B8128, ""zh"", ""en"")"),"Clothes of good quality, but too much clothing as we did the evaluation. 180 / 100kg, can not wear too")</f>
        <v>Clothes of good quality, but too much clothing as we did the evaluation. 180 / 100kg, can not wear too</v>
      </c>
    </row>
    <row r="8129">
      <c r="A8129" s="1">
        <v>5.0</v>
      </c>
      <c r="B8129" s="1" t="s">
        <v>8081</v>
      </c>
      <c r="C8129" t="str">
        <f>IFERROR(__xludf.DUMMYFUNCTION("GOOGLETRANSLATE(B8129, ""zh"", ""en"")"),"Very Good very good, very appropriate, will continue to buy back. Children like to see, buy comfortable, with the happy, at ease to know. Service is really good, a very pleasant shopping experience. The future will continue to buy buy buy. You can be assu"&amp;"red to buy buy buy Kazakhstan. Recommended Recommended Recommended, highly recommended. Praise praise praise! !")</f>
        <v>Very Good very good, very appropriate, will continue to buy back. Children like to see, buy comfortable, with the happy, at ease to know. Service is really good, a very pleasant shopping experience. The future will continue to buy buy buy. You can be assured to buy buy buy Kazakhstan. Recommended Recommended Recommended, highly recommended. Praise praise praise! !</v>
      </c>
    </row>
    <row r="8130">
      <c r="A8130" s="1">
        <v>5.0</v>
      </c>
      <c r="B8130" s="1" t="s">
        <v>8082</v>
      </c>
      <c r="C8130" t="str">
        <f>IFERROR(__xludf.DUMMYFUNCTION("GOOGLETRANSLATE(B8130, ""zh"", ""en"")"),"Very satisfied because I almost can not buy domestic large waist jeans where you can buy 42 get 42 important is the right size is very satisfied with the fabric is very thick in the country suitable to wear in autumn or winter ~~~")</f>
        <v>Very satisfied because I almost can not buy domestic large waist jeans where you can buy 42 get 42 important is the right size is very satisfied with the fabric is very thick in the country suitable to wear in autumn or winter ~~~</v>
      </c>
    </row>
    <row r="8131">
      <c r="A8131" s="1">
        <v>5.0</v>
      </c>
      <c r="B8131" s="1" t="s">
        <v>8083</v>
      </c>
      <c r="C8131" t="str">
        <f>IFERROR(__xludf.DUMMYFUNCTION("GOOGLETRANSLATE(B8131, ""zh"", ""en"")"),"Good knot nephew, it should be quite satisfactory")</f>
        <v>Good knot nephew, it should be quite satisfactory</v>
      </c>
    </row>
    <row r="8132">
      <c r="A8132" s="1">
        <v>5.0</v>
      </c>
      <c r="B8132" s="1" t="s">
        <v>8084</v>
      </c>
      <c r="C8132" t="str">
        <f>IFERROR(__xludf.DUMMYFUNCTION("GOOGLETRANSLATE(B8132, ""zh"", ""en"")"),"Very Good! very good briefs wonderful, good material, workmanship Ye Hao!")</f>
        <v>Very Good! very good briefs wonderful, good material, workmanship Ye Hao!</v>
      </c>
    </row>
    <row r="8133">
      <c r="A8133" s="1">
        <v>5.0</v>
      </c>
      <c r="B8133" s="1" t="s">
        <v>8085</v>
      </c>
      <c r="C8133" t="str">
        <f>IFERROR(__xludf.DUMMYFUNCTION("GOOGLETRANSLATE(B8133, ""zh"", ""en"")"),"Helium Helium disc tray hope this durable")</f>
        <v>Helium Helium disc tray hope this durable</v>
      </c>
    </row>
    <row r="8134">
      <c r="A8134" s="1">
        <v>5.0</v>
      </c>
      <c r="B8134" s="1" t="s">
        <v>8086</v>
      </c>
      <c r="C8134" t="str">
        <f>IFERROR(__xludf.DUMMYFUNCTION("GOOGLETRANSLATE(B8134, ""zh"", ""en"")"),"Comfort comfortable, good workmanship. After the cotton is washed several times, it has shrunk a bit smaller.")</f>
        <v>Comfort comfortable, good workmanship. After the cotton is washed several times, it has shrunk a bit smaller.</v>
      </c>
    </row>
    <row r="8135">
      <c r="A8135" s="1">
        <v>5.0</v>
      </c>
      <c r="B8135" s="1" t="s">
        <v>8087</v>
      </c>
      <c r="C8135" t="str">
        <f>IFERROR(__xludf.DUMMYFUNCTION("GOOGLETRANSLATE(B8135, ""zh"", ""en"")"),"1 is suitable for outdoor waterproof boots this time in Germany and Asia in a row to buy four pairs of ECCO, which backgammon bar Wu, kicker lightweight, non-slip, good, a lot lighter than my hiking boots and Las Bela Chan's, Leather is very soft, but not"&amp;" the Yak leather with Geer Tai shoes usually wear jeans jacket rain is certainly cool. worth having.")</f>
        <v>1 is suitable for outdoor waterproof boots this time in Germany and Asia in a row to buy four pairs of ECCO, which backgammon bar Wu, kicker lightweight, non-slip, good, a lot lighter than my hiking boots and Las Bela Chan's, Leather is very soft, but not the Yak leather with Geer Tai shoes usually wear jeans jacket rain is certainly cool. worth having.</v>
      </c>
    </row>
    <row r="8136">
      <c r="A8136" s="1">
        <v>5.0</v>
      </c>
      <c r="B8136" s="1" t="s">
        <v>8088</v>
      </c>
      <c r="C8136" t="str">
        <f>IFERROR(__xludf.DUMMYFUNCTION("GOOGLETRANSLATE(B8136, ""zh"", ""en"")"),"Recommended to buy her daughter height 165 cm, weight 65 kg just right ,, beautiful, thin models.")</f>
        <v>Recommended to buy her daughter height 165 cm, weight 65 kg just right ,, beautiful, thin models.</v>
      </c>
    </row>
    <row r="8137">
      <c r="A8137" s="1">
        <v>5.0</v>
      </c>
      <c r="B8137" s="1" t="s">
        <v>8089</v>
      </c>
      <c r="C8137" t="str">
        <f>IFERROR(__xludf.DUMMYFUNCTION("GOOGLETRANSLATE(B8137, ""zh"", ""en"")"),"Pants are still good, relatively warm, the price is reasonable.")</f>
        <v>Pants are still good, relatively warm, the price is reasonable.</v>
      </c>
    </row>
    <row r="8138">
      <c r="A8138" s="1">
        <v>5.0</v>
      </c>
      <c r="B8138" s="1" t="s">
        <v>8090</v>
      </c>
      <c r="C8138" t="str">
        <f>IFERROR(__xludf.DUMMYFUNCTION("GOOGLETRANSLATE(B8138, ""zh"", ""en"")"),"Something very heavy, is new stuff December 23 Kusakabe single, crates January 19 received, 20 received genius, tried to come back, very easy to use, receives a simple yellow box , it will not be refurbished machine! I hope not! Hit the orange juice and a"&amp;"pple juice, a little thick, foam with a lot of other functions being studied! We hope to make more delicious! You may also want to use a little longer!")</f>
        <v>Something very heavy, is new stuff December 23 Kusakabe single, crates January 19 received, 20 received genius, tried to come back, very easy to use, receives a simple yellow box , it will not be refurbished machine! I hope not! Hit the orange juice and apple juice, a little thick, foam with a lot of other functions being studied! We hope to make more delicious! You may also want to use a little longer!</v>
      </c>
    </row>
    <row r="8139">
      <c r="A8139" s="1">
        <v>5.0</v>
      </c>
      <c r="B8139" s="1" t="s">
        <v>8091</v>
      </c>
      <c r="C8139" t="str">
        <f>IFERROR(__xludf.DUMMYFUNCTION("GOOGLETRANSLATE(B8139, ""zh"", ""en"")"),"Practical easy to use, easy to fall off, essential food supplement")</f>
        <v>Practical easy to use, easy to fall off, essential food supplement</v>
      </c>
    </row>
    <row r="8140">
      <c r="A8140" s="1">
        <v>5.0</v>
      </c>
      <c r="B8140" s="1" t="s">
        <v>8092</v>
      </c>
      <c r="C8140" t="str">
        <f>IFERROR(__xludf.DUMMYFUNCTION("GOOGLETRANSLATE(B8140, ""zh"", ""en"")"),"Good eraser, wiping 🉐️ not so hard")</f>
        <v>Good eraser, wiping 🉐️ not so hard</v>
      </c>
    </row>
    <row r="8141">
      <c r="A8141" s="1">
        <v>5.0</v>
      </c>
      <c r="B8141" s="1" t="s">
        <v>8093</v>
      </c>
      <c r="C8141" t="str">
        <f>IFERROR(__xludf.DUMMYFUNCTION("GOOGLETRANSLATE(B8141, ""zh"", ""en"")"),"Like good quality, handmade good, solid material. Praise, it is recommended!")</f>
        <v>Like good quality, handmade good, solid material. Praise, it is recommended!</v>
      </c>
    </row>
    <row r="8142">
      <c r="A8142" s="1">
        <v>5.0</v>
      </c>
      <c r="B8142" s="1" t="s">
        <v>8094</v>
      </c>
      <c r="C8142" t="str">
        <f>IFERROR(__xludf.DUMMYFUNCTION("GOOGLETRANSLATE(B8142, ""zh"", ""en"")"),"General comfort. Okay, that is not enough fabric softness, comfort lacking.")</f>
        <v>General comfort. Okay, that is not enough fabric softness, comfort lacking.</v>
      </c>
    </row>
    <row r="8143">
      <c r="A8143" s="1">
        <v>5.0</v>
      </c>
      <c r="B8143" s="1" t="s">
        <v>8095</v>
      </c>
      <c r="C8143" t="str">
        <f>IFERROR(__xludf.DUMMYFUNCTION("GOOGLETRANSLATE(B8143, ""zh"", ""en"")"),"Well good, that is fairly thick cloth, do not know is not good cotton")</f>
        <v>Well good, that is fairly thick cloth, do not know is not good cotton</v>
      </c>
    </row>
    <row r="8144">
      <c r="A8144" s="1">
        <v>5.0</v>
      </c>
      <c r="B8144" s="1" t="s">
        <v>8096</v>
      </c>
      <c r="C8144" t="str">
        <f>IFERROR(__xludf.DUMMYFUNCTION("GOOGLETRANSLATE(B8144, ""zh"", ""en"")"),"Great temperament worth buying a watch with a long time")</f>
        <v>Great temperament worth buying a watch with a long time</v>
      </c>
    </row>
    <row r="8145">
      <c r="A8145" s="1">
        <v>5.0</v>
      </c>
      <c r="B8145" s="1" t="s">
        <v>8097</v>
      </c>
      <c r="C8145" t="str">
        <f>IFERROR(__xludf.DUMMYFUNCTION("GOOGLETRANSLATE(B8145, ""zh"", ""en"")"),"GOOD cost is high, an average of less than one point higher than the domestic cost-effective to buy a lot, it is recommended")</f>
        <v>GOOD cost is high, an average of less than one point higher than the domestic cost-effective to buy a lot, it is recommended</v>
      </c>
    </row>
    <row r="8146">
      <c r="A8146" s="1">
        <v>5.0</v>
      </c>
      <c r="B8146" s="1" t="s">
        <v>8098</v>
      </c>
      <c r="C8146" t="str">
        <f>IFERROR(__xludf.DUMMYFUNCTION("GOOGLETRANSLATE(B8146, ""zh"", ""en"")"),"Timberland PRO Men 40 mm tooling belt Brown / Rivet 34 82cm waist, is appropriate.")</f>
        <v>Timberland PRO Men 40 mm tooling belt Brown / Rivet 34 82cm waist, is appropriate.</v>
      </c>
    </row>
    <row r="8147">
      <c r="A8147" s="1">
        <v>5.0</v>
      </c>
      <c r="B8147" s="1" t="s">
        <v>8099</v>
      </c>
      <c r="C8147" t="str">
        <f>IFERROR(__xludf.DUMMYFUNCTION("GOOGLETRANSLATE(B8147, ""zh"", ""en"")"),"Thank compared to other domestic bustling shopping site, Amazon has always been so professional and low-key, quiet like an old friend, silently watching you, there is no routine only sincere. So many years, and even web style is a few decades, some rustic"&amp;" simplicity worse without modification. Every time I turn on instantly feel the time back to the 2014 ...... 2012 ...... 2010 ...... again points praise, praise.")</f>
        <v>Thank compared to other domestic bustling shopping site, Amazon has always been so professional and low-key, quiet like an old friend, silently watching you, there is no routine only sincere. So many years, and even web style is a few decades, some rustic simplicity worse without modification. Every time I turn on instantly feel the time back to the 2014 ...... 2012 ...... 2010 ...... again points praise, praise.</v>
      </c>
    </row>
    <row r="8148">
      <c r="A8148" s="1">
        <v>5.0</v>
      </c>
      <c r="B8148" s="1" t="s">
        <v>8100</v>
      </c>
      <c r="C8148" t="str">
        <f>IFERROR(__xludf.DUMMYFUNCTION("GOOGLETRANSLATE(B8148, ""zh"", ""en"")"),"Good good, what to buy three bottles to give as gifts, very fresh date, to 19 years in May, about 90 bottle of hand, with the introduction of prime hand started out of control")</f>
        <v>Good good, what to buy three bottles to give as gifts, very fresh date, to 19 years in May, about 90 bottle of hand, with the introduction of prime hand started out of control</v>
      </c>
    </row>
    <row r="8149">
      <c r="A8149" s="1">
        <v>5.0</v>
      </c>
      <c r="B8149" s="1" t="s">
        <v>8101</v>
      </c>
      <c r="C8149" t="str">
        <f>IFERROR(__xludf.DUMMYFUNCTION("GOOGLETRANSLATE(B8149, ""zh"", ""en"")"),"The right size, nice color than the picture on 6.5 yards usually wear, thin legs, this brand for the first time to buy, buy 6.5 yards just right, light color than the picture, good-looking than the picture.")</f>
        <v>The right size, nice color than the picture on 6.5 yards usually wear, thin legs, this brand for the first time to buy, buy 6.5 yards just right, light color than the picture, good-looking than the picture.</v>
      </c>
    </row>
    <row r="8150">
      <c r="A8150" s="1">
        <v>5.0</v>
      </c>
      <c r="B8150" s="1" t="s">
        <v>8102</v>
      </c>
      <c r="C8150" t="str">
        <f>IFERROR(__xludf.DUMMYFUNCTION("GOOGLETRANSLATE(B8150, ""zh"", ""en"")"),"Satisfaction wrapped very tight, absolutely no taste, very satisfied with the shopping!")</f>
        <v>Satisfaction wrapped very tight, absolutely no taste, very satisfied with the shopping!</v>
      </c>
    </row>
    <row r="8151">
      <c r="A8151" s="1">
        <v>2.0</v>
      </c>
      <c r="B8151" s="1" t="s">
        <v>8103</v>
      </c>
      <c r="C8151" t="str">
        <f>IFERROR(__xludf.DUMMYFUNCTION("GOOGLETRANSLATE(B8151, ""zh"", ""en"")"),"Not long, about the same quality and to spread the goods")</f>
        <v>Not long, about the same quality and to spread the goods</v>
      </c>
    </row>
    <row r="8152">
      <c r="A8152" s="1">
        <v>3.0</v>
      </c>
      <c r="B8152" s="1" t="s">
        <v>8104</v>
      </c>
      <c r="C8152" t="str">
        <f>IFERROR(__xludf.DUMMYFUNCTION("GOOGLETRANSLATE(B8152, ""zh"", ""en"")"),"Fade serious than usual small one yards, soles hard, relatively thin, suitable for spring wear, but only wear one day fade, do not know is not a quality problem")</f>
        <v>Fade serious than usual small one yards, soles hard, relatively thin, suitable for spring wear, but only wear one day fade, do not know is not a quality problem</v>
      </c>
    </row>
    <row r="8153">
      <c r="A8153" s="1">
        <v>3.0</v>
      </c>
      <c r="B8153" s="1" t="s">
        <v>8105</v>
      </c>
      <c r="C8153" t="str">
        <f>IFERROR(__xludf.DUMMYFUNCTION("GOOGLETRANSLATE(B8153, ""zh"", ""en"")"),"This size is too big, bust M code 120 are the.")</f>
        <v>This size is too big, bust M code 120 are the.</v>
      </c>
    </row>
    <row r="8154">
      <c r="A8154" s="1">
        <v>1.0</v>
      </c>
      <c r="B8154" s="1" t="s">
        <v>8106</v>
      </c>
      <c r="C8154" t="str">
        <f>IFERROR(__xludf.DUMMYFUNCTION("GOOGLETRANSLATE(B8154, ""zh"", ""en"")"),"Too small, poor health do not buy small, slim, do not have the stomach to buy")</f>
        <v>Too small, poor health do not buy small, slim, do not have the stomach to buy</v>
      </c>
    </row>
    <row r="8155">
      <c r="A8155" s="1">
        <v>1.0</v>
      </c>
      <c r="B8155" s="1" t="s">
        <v>8107</v>
      </c>
      <c r="C8155" t="str">
        <f>IFERROR(__xludf.DUMMYFUNCTION("GOOGLETRANSLATE(B8155, ""zh"", ""en"")"),"Buy carefully, using ten months ten months scrapped scrapped! Transmission of data to burn the disc! Completely scrapped, my data! Tears! Life really is too short, so how do I do ah")</f>
        <v>Buy carefully, using ten months ten months scrapped scrapped! Transmission of data to burn the disc! Completely scrapped, my data! Tears! Life really is too short, so how do I do ah</v>
      </c>
    </row>
    <row r="8156">
      <c r="A8156" s="1">
        <v>1.0</v>
      </c>
      <c r="B8156" s="1" t="s">
        <v>8108</v>
      </c>
      <c r="C8156" t="str">
        <f>IFERROR(__xludf.DUMMYFUNCTION("GOOGLETRANSLATE(B8156, ""zh"", ""en"")"),"excuse me (black question mark face .jpg) Let me talk a little late to comment on this shoebox tag followed did not want to say anything I do not bother myself on Tiger bashing Figure")</f>
        <v>excuse me (black question mark face .jpg) Let me talk a little late to comment on this shoebox tag followed did not want to say anything I do not bother myself on Tiger bashing Figure</v>
      </c>
    </row>
    <row r="8157">
      <c r="A8157" s="1">
        <v>4.0</v>
      </c>
      <c r="B8157" s="1" t="s">
        <v>8109</v>
      </c>
      <c r="C8157" t="str">
        <f>IFERROR(__xludf.DUMMYFUNCTION("GOOGLETRANSLATE(B8157, ""zh"", ""en"")"),"Steel is very bright, easy to use, very good, children like to use")</f>
        <v>Steel is very bright, easy to use, very good, children like to use</v>
      </c>
    </row>
    <row r="8158">
      <c r="A8158" s="1">
        <v>4.0</v>
      </c>
      <c r="B8158" s="1" t="s">
        <v>8110</v>
      </c>
      <c r="C8158" t="str">
        <f>IFERROR(__xludf.DUMMYFUNCTION("GOOGLETRANSLATE(B8158, ""zh"", ""en"")"),"Will shrink will shrink washed, cotton, other better, not soft")</f>
        <v>Will shrink will shrink washed, cotton, other better, not soft</v>
      </c>
    </row>
    <row r="8159">
      <c r="A8159" s="1">
        <v>4.0</v>
      </c>
      <c r="B8159" s="1" t="s">
        <v>8111</v>
      </c>
      <c r="C8159" t="str">
        <f>IFERROR(__xludf.DUMMYFUNCTION("GOOGLETRANSLATE(B8159, ""zh"", ""en"")"),"The most touching of a delivery. . . Although the prime members, but never received the goods purchased overseas in a week, I thought Amazon jerking off. Said the question: how to cut prices? ! Well, for the first time with Sennheiser headphones, I know i"&amp;"t's low-end machines, but about the same 200 cell phone headset, sony broken my bass is much more stable, this bass a little growled, hoping to listen to a period of time will be better, no way, and I love the Paula Tsui Tsai. In addition, small my ears, "&amp;"this is only the size of the two ear plugs (only to see the product description, obviously there are four types of large and small, in the end I met God ghost horse?!) Too small to wear slightly larger.")</f>
        <v>The most touching of a delivery. . . Although the prime members, but never received the goods purchased overseas in a week, I thought Amazon jerking off. Said the question: how to cut prices? ! Well, for the first time with Sennheiser headphones, I know it's low-end machines, but about the same 200 cell phone headset, sony broken my bass is much more stable, this bass a little growled, hoping to listen to a period of time will be better, no way, and I love the Paula Tsui Tsai. In addition, small my ears, this is only the size of the two ear plugs (only to see the product description, obviously there are four types of large and small, in the end I met God ghost horse?!) Too small to wear slightly larger.</v>
      </c>
    </row>
    <row r="8160">
      <c r="A8160" s="1">
        <v>4.0</v>
      </c>
      <c r="B8160" s="1" t="s">
        <v>8112</v>
      </c>
      <c r="C8160" t="str">
        <f>IFERROR(__xludf.DUMMYFUNCTION("GOOGLETRANSLATE(B8160, ""zh"", ""en"")"),"The price is also appropriate, not with, is also looking at the appropriate price printed very vague, not with, is to see a printed very vague, do not know the true and false")</f>
        <v>The price is also appropriate, not with, is also looking at the appropriate price printed very vague, not with, is to see a printed very vague, do not know the true and false</v>
      </c>
    </row>
    <row r="8161">
      <c r="A8161" s="1">
        <v>4.0</v>
      </c>
      <c r="B8161" s="1" t="s">
        <v>8113</v>
      </c>
      <c r="C8161" t="str">
        <f>IFERROR(__xludf.DUMMYFUNCTION("GOOGLETRANSLATE(B8161, ""zh"", ""en"")"),"178/68 M code is too large not afford to support, the job should buy S")</f>
        <v>178/68 M code is too large not afford to support, the job should buy S</v>
      </c>
    </row>
    <row r="8162">
      <c r="A8162" s="1">
        <v>5.0</v>
      </c>
      <c r="B8162" s="1" t="s">
        <v>8114</v>
      </c>
      <c r="C8162" t="str">
        <f>IFERROR(__xludf.DUMMYFUNCTION("GOOGLETRANSLATE(B8162, ""zh"", ""en"")"),"This product is good for the Slim models Slim models, slightly thinner than the other style size, 174cm, 75kg, m code relatively fit, slightly narrower shoulders, little effect, put on a very self-cultivation, a large belly were careful to buy")</f>
        <v>This product is good for the Slim models Slim models, slightly thinner than the other style size, 174cm, 75kg, m code relatively fit, slightly narrower shoulders, little effect, put on a very self-cultivation, a large belly were careful to buy</v>
      </c>
    </row>
    <row r="8163">
      <c r="A8163" s="1">
        <v>5.0</v>
      </c>
      <c r="B8163" s="1" t="s">
        <v>8115</v>
      </c>
      <c r="C8163" t="str">
        <f>IFERROR(__xludf.DUMMYFUNCTION("GOOGLETRANSLATE(B8163, ""zh"", ""en"")"),"Inexpensive loud enough to boil water is negligible, no steam, easy to use")</f>
        <v>Inexpensive loud enough to boil water is negligible, no steam, easy to use</v>
      </c>
    </row>
    <row r="8164">
      <c r="A8164" s="1">
        <v>5.0</v>
      </c>
      <c r="B8164" s="1" t="s">
        <v>8116</v>
      </c>
      <c r="C8164" t="str">
        <f>IFERROR(__xludf.DUMMYFUNCTION("GOOGLETRANSLATE(B8164, ""zh"", ""en"")"),"Logistics fast, things are genuine My baby has been eating the ddrops, very easy to get a drop.")</f>
        <v>Logistics fast, things are genuine My baby has been eating the ddrops, very easy to get a drop.</v>
      </c>
    </row>
    <row r="8165">
      <c r="A8165" s="1">
        <v>5.0</v>
      </c>
      <c r="B8165" s="1" t="s">
        <v>8117</v>
      </c>
      <c r="C8165" t="str">
        <f>IFERROR(__xludf.DUMMYFUNCTION("GOOGLETRANSLATE(B8165, ""zh"", ""en"")"),"Worth buying six days after order sent. Very thick, the heating temperature is maintained well, easy fried stripes.")</f>
        <v>Worth buying six days after order sent. Very thick, the heating temperature is maintained well, easy fried stripes.</v>
      </c>
    </row>
    <row r="8166">
      <c r="A8166" s="1">
        <v>5.0</v>
      </c>
      <c r="B8166" s="1" t="s">
        <v>8118</v>
      </c>
      <c r="C8166" t="str">
        <f>IFERROR(__xludf.DUMMYFUNCTION("GOOGLETRANSLATE(B8166, ""zh"", ""en"")"),"Very comfortable and very good very good, has bought a second piece. But has faded wash")</f>
        <v>Very comfortable and very good very good, has bought a second piece. But has faded wash</v>
      </c>
    </row>
    <row r="8167">
      <c r="A8167" s="1">
        <v>5.0</v>
      </c>
      <c r="B8167" s="1" t="s">
        <v>8119</v>
      </c>
      <c r="C8167" t="str">
        <f>IFERROR(__xludf.DUMMYFUNCTION("GOOGLETRANSLATE(B8167, ""zh"", ""en"")"),"Quality is very good quality is very good, feeling fine writing, do not hang paper. China to deeper color than writing flexibility is very good!")</f>
        <v>Quality is very good quality is very good, feeling fine writing, do not hang paper. China to deeper color than writing flexibility is very good!</v>
      </c>
    </row>
    <row r="8168">
      <c r="A8168" s="1">
        <v>5.0</v>
      </c>
      <c r="B8168" s="1" t="s">
        <v>8120</v>
      </c>
      <c r="C8168" t="str">
        <f>IFERROR(__xludf.DUMMYFUNCTION("GOOGLETRANSLATE(B8168, ""zh"", ""en"")"),"Very good very good, before you buy a 300ml require a smaller, easy to carry")</f>
        <v>Very good very good, before you buy a 300ml require a smaller, easy to carry</v>
      </c>
    </row>
    <row r="8169">
      <c r="A8169" s="1">
        <v>5.0</v>
      </c>
      <c r="B8169" s="1" t="s">
        <v>8121</v>
      </c>
      <c r="C8169" t="str">
        <f>IFERROR(__xludf.DUMMYFUNCTION("GOOGLETRANSLATE(B8169, ""zh"", ""en"")"),"Good sweat, sweat a lot")</f>
        <v>Good sweat, sweat a lot</v>
      </c>
    </row>
    <row r="8170">
      <c r="A8170" s="1">
        <v>5.0</v>
      </c>
      <c r="B8170" s="1" t="s">
        <v>8122</v>
      </c>
      <c r="C8170" t="str">
        <f>IFERROR(__xludf.DUMMYFUNCTION("GOOGLETRANSLATE(B8170, ""zh"", ""en"")"),"Help sleep! Amazon's self-days-dimensional beauty. . . Believed to be authentic, the real thing. . . Its affordable, sleep more helpful! It is more action, better melatonin products. . .")</f>
        <v>Help sleep! Amazon's self-days-dimensional beauty. . . Believed to be authentic, the real thing. . . Its affordable, sleep more helpful! It is more action, better melatonin products. . .</v>
      </c>
    </row>
    <row r="8171">
      <c r="A8171" s="1">
        <v>5.0</v>
      </c>
      <c r="B8171" s="1" t="s">
        <v>8123</v>
      </c>
      <c r="C8171" t="str">
        <f>IFERROR(__xludf.DUMMYFUNCTION("GOOGLETRANSLATE(B8171, ""zh"", ""en"")"),"Genuine! Like very satisfied! Very good, a lot of functions, will not start with, then go to the official website to download instructions in Chinese will use! Genuine! Wearing a nice swimming! Very much! Look abroad came in the mail courier, a bit slow f"&amp;"or ten days! Hurry!")</f>
        <v>Genuine! Like very satisfied! Very good, a lot of functions, will not start with, then go to the official website to download instructions in Chinese will use! Genuine! Wearing a nice swimming! Very much! Look abroad came in the mail courier, a bit slow for ten days! Hurry!</v>
      </c>
    </row>
    <row r="8172">
      <c r="A8172" s="1">
        <v>5.0</v>
      </c>
      <c r="B8172" s="1" t="s">
        <v>8124</v>
      </c>
      <c r="C8172" t="str">
        <f>IFERROR(__xludf.DUMMYFUNCTION("GOOGLETRANSLATE(B8172, ""zh"", ""en"")"),"Simple T-shirt height 170, weight 65kg positive fit, simple style very satisfied.")</f>
        <v>Simple T-shirt height 170, weight 65kg positive fit, simple style very satisfied.</v>
      </c>
    </row>
    <row r="8173">
      <c r="A8173" s="1">
        <v>5.0</v>
      </c>
      <c r="B8173" s="1" t="s">
        <v>8125</v>
      </c>
      <c r="C8173" t="str">
        <f>IFERROR(__xludf.DUMMYFUNCTION("GOOGLETRANSLATE(B8173, ""zh"", ""en"")"),"Jeans 27, L exactly. 160/104 / pear-shaped body with a pot, 27 jeans. Just L, cotton fabric, thickening belly, ah ah trace modal comfortable than that slippery.")</f>
        <v>Jeans 27, L exactly. 160/104 / pear-shaped body with a pot, 27 jeans. Just L, cotton fabric, thickening belly, ah ah trace modal comfortable than that slippery.</v>
      </c>
    </row>
    <row r="8174">
      <c r="A8174" s="1">
        <v>5.0</v>
      </c>
      <c r="B8174" s="1" t="s">
        <v>8126</v>
      </c>
      <c r="C8174" t="str">
        <f>IFERROR(__xludf.DUMMYFUNCTION("GOOGLETRANSLATE(B8174, ""zh"", ""en"")"),"Appropriate cost-effective. I feel very cost-effective to buy ah. There are just my size. Packaging very carefully, received after the wash, do not fade.")</f>
        <v>Appropriate cost-effective. I feel very cost-effective to buy ah. There are just my size. Packaging very carefully, received after the wash, do not fade.</v>
      </c>
    </row>
    <row r="8175">
      <c r="A8175" s="1">
        <v>5.0</v>
      </c>
      <c r="B8175" s="1" t="s">
        <v>8127</v>
      </c>
      <c r="C8175" t="str">
        <f>IFERROR(__xludf.DUMMYFUNCTION("GOOGLETRANSLATE(B8175, ""zh"", ""en"")"),"Number too large height 174, weight 74 kg, feel more close")</f>
        <v>Number too large height 174, weight 74 kg, feel more close</v>
      </c>
    </row>
    <row r="8176">
      <c r="A8176" s="1">
        <v>5.0</v>
      </c>
      <c r="B8176" s="1" t="s">
        <v>8128</v>
      </c>
      <c r="C8176" t="str">
        <f>IFERROR(__xludf.DUMMYFUNCTION("GOOGLETRANSLATE(B8176, ""zh"", ""en"")"),"Drain half a bottle a bottle of change, if a plastic bag, at least, did not have to cover a hole in the handle, or else what's the point.")</f>
        <v>Drain half a bottle a bottle of change, if a plastic bag, at least, did not have to cover a hole in the handle, or else what's the point.</v>
      </c>
    </row>
    <row r="8177">
      <c r="A8177" s="1">
        <v>5.0</v>
      </c>
      <c r="B8177" s="1" t="s">
        <v>8129</v>
      </c>
      <c r="C8177" t="str">
        <f>IFERROR(__xludf.DUMMYFUNCTION("GOOGLETRANSLATE(B8177, ""zh"", ""en"")"),"Beautiful gray fog. Fog gray, close look close to the skin, seen from afar has been shrouded in a layer of soot. Vaguely very beautiful.")</f>
        <v>Beautiful gray fog. Fog gray, close look close to the skin, seen from afar has been shrouded in a layer of soot. Vaguely very beautiful.</v>
      </c>
    </row>
    <row r="8178">
      <c r="A8178" s="1">
        <v>5.0</v>
      </c>
      <c r="B8178" s="1" t="s">
        <v>8130</v>
      </c>
      <c r="C8178" t="str">
        <f>IFERROR(__xludf.DUMMYFUNCTION("GOOGLETRANSLATE(B8178, ""zh"", ""en"")"),"Like looking good")</f>
        <v>Like looking good</v>
      </c>
    </row>
    <row r="8179">
      <c r="A8179" s="1">
        <v>5.0</v>
      </c>
      <c r="B8179" s="1" t="s">
        <v>8131</v>
      </c>
      <c r="C8179" t="str">
        <f>IFERROR(__xludf.DUMMYFUNCTION("GOOGLETRANSLATE(B8179, ""zh"", ""en"")"),"Comments tranches of a small, easy to use")</f>
        <v>Comments tranches of a small, easy to use</v>
      </c>
    </row>
    <row r="8180">
      <c r="A8180" s="1">
        <v>5.0</v>
      </c>
      <c r="B8180" s="1" t="s">
        <v>8132</v>
      </c>
      <c r="C8180" t="str">
        <f>IFERROR(__xludf.DUMMYFUNCTION("GOOGLETRANSLATE(B8180, ""zh"", ""en"")"),"A bit like Aunt comfortable pants, but wearing really comfortable")</f>
        <v>A bit like Aunt comfortable pants, but wearing really comfortable</v>
      </c>
    </row>
    <row r="8181">
      <c r="A8181" s="1">
        <v>5.0</v>
      </c>
      <c r="B8181" s="1" t="s">
        <v>8133</v>
      </c>
      <c r="C8181" t="str">
        <f>IFERROR(__xludf.DUMMYFUNCTION("GOOGLETRANSLATE(B8181, ""zh"", ""en"")"),"Cost-effective sound quality is quite good, worth having")</f>
        <v>Cost-effective sound quality is quite good, worth having</v>
      </c>
    </row>
    <row r="8182">
      <c r="A8182" s="1">
        <v>5.0</v>
      </c>
      <c r="B8182" s="1" t="s">
        <v>8134</v>
      </c>
      <c r="C8182" t="str">
        <f>IFERROR(__xludf.DUMMYFUNCTION("GOOGLETRANSLATE(B8182, ""zh"", ""en"")"),"Very, very good, ah, have been repurchased products")</f>
        <v>Very, very good, ah, have been repurchased products</v>
      </c>
    </row>
    <row r="8183">
      <c r="A8183" s="1">
        <v>5.0</v>
      </c>
      <c r="B8183" s="1" t="s">
        <v>8135</v>
      </c>
      <c r="C8183" t="str">
        <f>IFERROR(__xludf.DUMMYFUNCTION("GOOGLETRANSLATE(B8183, ""zh"", ""en"")"),"Something good has begun to use, very good, is to force, but friends say very beautiful")</f>
        <v>Something good has begun to use, very good, is to force, but friends say very beautiful</v>
      </c>
    </row>
    <row r="8184">
      <c r="A8184" s="1">
        <v>2.0</v>
      </c>
      <c r="B8184" s="1" t="s">
        <v>8136</v>
      </c>
      <c r="C8184" t="str">
        <f>IFERROR(__xludf.DUMMYFUNCTION("GOOGLETRANSLATE(B8184, ""zh"", ""en"")"),"Suspected or defective products during transport bump in the obviously just received today, have to say 11.28 in stock shipped 12.4 days to have the Amazon to transport cattle B, these shoes have a scratch behind it is clear, even suspected bump marks, kn"&amp;"ow is not the transportation process arise. There is just a bump in front of a small piece, I do not know why it is incomplete it? If the size of 3.5 yards, many partial too big, usually boots 36, this pair needs to wear a little thick socks, stockings or"&amp;" larger thin semi code. Some meat on the instep, but not much. Net purchase shoes need to be cautious 😢")</f>
        <v>Suspected or defective products during transport bump in the obviously just received today, have to say 11.28 in stock shipped 12.4 days to have the Amazon to transport cattle B, these shoes have a scratch behind it is clear, even suspected bump marks, know is not the transportation process arise. There is just a bump in front of a small piece, I do not know why it is incomplete it? If the size of 3.5 yards, many partial too big, usually boots 36, this pair needs to wear a little thick socks, stockings or larger thin semi code. Some meat on the instep, but not much. Net purchase shoes need to be cautious 😢</v>
      </c>
    </row>
    <row r="8185">
      <c r="A8185" s="1">
        <v>3.0</v>
      </c>
      <c r="B8185" s="1" t="s">
        <v>8137</v>
      </c>
      <c r="C8185" t="str">
        <f>IFERROR(__xludf.DUMMYFUNCTION("GOOGLETRANSLATE(B8185, ""zh"", ""en"")"),"Not outside the box, it sent a tattered not outside the box, sent me a tattered, under the two orders, the second single outside the box must be emphasized, is still ignored. After unpacking vegetable purees parts of the propeller off, plastic foam fragme"&amp;"ntation seriously affect mood, had wanted to return, think about too much trouble, give up.")</f>
        <v>Not outside the box, it sent a tattered not outside the box, sent me a tattered, under the two orders, the second single outside the box must be emphasized, is still ignored. After unpacking vegetable purees parts of the propeller off, plastic foam fragmentation seriously affect mood, had wanted to return, think about too much trouble, give up.</v>
      </c>
    </row>
    <row r="8186">
      <c r="A8186" s="1">
        <v>3.0</v>
      </c>
      <c r="B8186" s="1" t="s">
        <v>8138</v>
      </c>
      <c r="C8186" t="str">
        <f>IFERROR(__xludf.DUMMYFUNCTION("GOOGLETRANSLATE(B8186, ""zh"", ""en"")"),"Crater pit, the pit is not affordable ah, actually refills, the ink absorption is not")</f>
        <v>Crater pit, the pit is not affordable ah, actually refills, the ink absorption is not</v>
      </c>
    </row>
    <row r="8187">
      <c r="A8187" s="1">
        <v>3.0</v>
      </c>
      <c r="B8187" s="1" t="s">
        <v>8139</v>
      </c>
      <c r="C8187" t="str">
        <f>IFERROR(__xludf.DUMMYFUNCTION("GOOGLETRANSLATE(B8187, ""zh"", ""en"")"),"The color is too light to say the comments darker than the picture, and that was not deep, shallow particular, do not like")</f>
        <v>The color is too light to say the comments darker than the picture, and that was not deep, shallow particular, do not like</v>
      </c>
    </row>
    <row r="8188">
      <c r="A8188" s="1">
        <v>1.0</v>
      </c>
      <c r="B8188" s="1" t="s">
        <v>8140</v>
      </c>
      <c r="C8188" t="str">
        <f>IFERROR(__xludf.DUMMYFUNCTION("GOOGLETRANSLATE(B8188, ""zh"", ""en"")"),"Shoes cracking, poor quality is very poor quality, did not wear a month, shoes unglued cracking up.")</f>
        <v>Shoes cracking, poor quality is very poor quality, did not wear a month, shoes unglued cracking up.</v>
      </c>
    </row>
    <row r="8189">
      <c r="A8189" s="1">
        <v>1.0</v>
      </c>
      <c r="B8189" s="1" t="s">
        <v>8141</v>
      </c>
      <c r="C8189" t="str">
        <f>IFERROR(__xludf.DUMMYFUNCTION("GOOGLETRANSLATE(B8189, ""zh"", ""en"")"),"With the goods received under the single Figure 2 is not the same as a single color, Figure 1 is a goods received, speechless, can only retreat.")</f>
        <v>With the goods received under the single Figure 2 is not the same as a single color, Figure 1 is a goods received, speechless, can only retreat.</v>
      </c>
    </row>
    <row r="8190">
      <c r="A8190" s="1">
        <v>1.0</v>
      </c>
      <c r="B8190" s="1" t="s">
        <v>8142</v>
      </c>
      <c r="C8190" t="str">
        <f>IFERROR(__xludf.DUMMYFUNCTION("GOOGLETRANSLATE(B8190, ""zh"", ""en"")"),"The feeling is fake fake refunds and inconvenient, the giant multi-thread machine I use the fire burned for half an hour")</f>
        <v>The feeling is fake fake refunds and inconvenient, the giant multi-thread machine I use the fire burned for half an hour</v>
      </c>
    </row>
    <row r="8191">
      <c r="A8191" s="1">
        <v>4.0</v>
      </c>
      <c r="B8191" s="1" t="s">
        <v>8143</v>
      </c>
      <c r="C8191" t="str">
        <f>IFERROR(__xludf.DUMMYFUNCTION("GOOGLETRANSLATE(B8191, ""zh"", ""en"")"),"Good wholesale set Item hx6016 / 26, semi-hard plastic seal, yes. US production. From the British-made hand over about six days.")</f>
        <v>Good wholesale set Item hx6016 / 26, semi-hard plastic seal, yes. US production. From the British-made hand over about six days.</v>
      </c>
    </row>
    <row r="8192">
      <c r="A8192" s="1">
        <v>4.0</v>
      </c>
      <c r="B8192" s="1" t="s">
        <v>8144</v>
      </c>
      <c r="C8192" t="str">
        <f>IFERROR(__xludf.DUMMYFUNCTION("GOOGLETRANSLATE(B8192, ""zh"", ""en"")"),"Okay. It is the size you want, you can hold iPad mini. But I think that some of the material will be real hard, things will put panels are, in fact, the material is too soft. And there is no special place location of the phone, the bag is only one partiti"&amp;"on. In short do not meet expectations.")</f>
        <v>Okay. It is the size you want, you can hold iPad mini. But I think that some of the material will be real hard, things will put panels are, in fact, the material is too soft. And there is no special place location of the phone, the bag is only one partition. In short do not meet expectations.</v>
      </c>
    </row>
    <row r="8193">
      <c r="A8193" s="1">
        <v>4.0</v>
      </c>
      <c r="B8193" s="1" t="s">
        <v>8145</v>
      </c>
      <c r="C8193" t="str">
        <f>IFERROR(__xludf.DUMMYFUNCTION("GOOGLETRANSLATE(B8193, ""zh"", ""en"")"),"(1 •. • 1) no picture shows so well, even do the old, too long, no tag thought through it")</f>
        <v>(1 •. • 1) no picture shows so well, even do the old, too long, no tag thought through it</v>
      </c>
    </row>
    <row r="8194">
      <c r="A8194" s="1">
        <v>4.0</v>
      </c>
      <c r="B8194" s="1" t="s">
        <v>8146</v>
      </c>
      <c r="C8194" t="str">
        <f>IFERROR(__xludf.DUMMYFUNCTION("GOOGLETRANSLATE(B8194, ""zh"", ""en"")"),"Okay there is color, we can accept. It seems a little lint")</f>
        <v>Okay there is color, we can accept. It seems a little lint</v>
      </c>
    </row>
    <row r="8195">
      <c r="A8195" s="1">
        <v>4.0</v>
      </c>
      <c r="B8195" s="1" t="s">
        <v>8147</v>
      </c>
      <c r="C8195" t="str">
        <f>IFERROR(__xludf.DUMMYFUNCTION("GOOGLETRANSLATE(B8195, ""zh"", ""en"")"),"Note color, other 👌 shoes no problem, a little excess glue, mainly the color is not the picture, is actually brown 🏾")</f>
        <v>Note color, other 👌 shoes no problem, a little excess glue, mainly the color is not the picture, is actually brown 🏾</v>
      </c>
    </row>
    <row r="8196">
      <c r="A8196" s="1">
        <v>5.0</v>
      </c>
      <c r="B8196" s="1" t="s">
        <v>8148</v>
      </c>
      <c r="C8196" t="str">
        <f>IFERROR(__xludf.DUMMYFUNCTION("GOOGLETRANSLATE(B8196, ""zh"", ""en"")"),"Corset pants good, very recoil. That is, put a bit of meat zip top")</f>
        <v>Corset pants good, very recoil. That is, put a bit of meat zip top</v>
      </c>
    </row>
    <row r="8197">
      <c r="A8197" s="1">
        <v>5.0</v>
      </c>
      <c r="B8197" s="1" t="s">
        <v>8149</v>
      </c>
      <c r="C8197" t="str">
        <f>IFERROR(__xludf.DUMMYFUNCTION("GOOGLETRANSLATE(B8197, ""zh"", ""en"")"),"Orange is quite beautiful, insulation performance is also beautifully! Good insulation properties, tested two in the afternoon into the boiling water, the next morning still hot mouth. Similar 500 ml bought, is easily deflated and paint chips off the grou"&amp;"nd, it is estimated that, too, but in-kind orange is quite beautiful, the impression that no such Taobao color!")</f>
        <v>Orange is quite beautiful, insulation performance is also beautifully! Good insulation properties, tested two in the afternoon into the boiling water, the next morning still hot mouth. Similar 500 ml bought, is easily deflated and paint chips off the ground, it is estimated that, too, but in-kind orange is quite beautiful, the impression that no such Taobao color!</v>
      </c>
    </row>
    <row r="8198">
      <c r="A8198" s="1">
        <v>5.0</v>
      </c>
      <c r="B8198" s="1" t="s">
        <v>8150</v>
      </c>
      <c r="C8198" t="str">
        <f>IFERROR(__xludf.DUMMYFUNCTION("GOOGLETRANSLATE(B8198, ""zh"", ""en"")"),"Good second purchase, very good! !")</f>
        <v>Good second purchase, very good! !</v>
      </c>
    </row>
    <row r="8199">
      <c r="A8199" s="1">
        <v>5.0</v>
      </c>
      <c r="B8199" s="1" t="s">
        <v>8151</v>
      </c>
      <c r="C8199" t="str">
        <f>IFERROR(__xludf.DUMMYFUNCTION("GOOGLETRANSLATE(B8199, ""zh"", ""en"")"),"Cheap ah cheaper than domestic official website. 12 sense to use for a long time. Although more expensive than the average electric toothbrush doing manual toothbrushes, but really clean than hand brush")</f>
        <v>Cheap ah cheaper than domestic official website. 12 sense to use for a long time. Although more expensive than the average electric toothbrush doing manual toothbrushes, but really clean than hand brush</v>
      </c>
    </row>
    <row r="8200">
      <c r="A8200" s="1">
        <v>5.0</v>
      </c>
      <c r="B8200" s="1" t="s">
        <v>8152</v>
      </c>
      <c r="C8200" t="str">
        <f>IFERROR(__xludf.DUMMYFUNCTION("GOOGLETRANSLATE(B8200, ""zh"", ""en"")"),"Useful and effective this good, to the elders bought a week to clear up")</f>
        <v>Useful and effective this good, to the elders bought a week to clear up</v>
      </c>
    </row>
    <row r="8201">
      <c r="A8201" s="1">
        <v>5.0</v>
      </c>
      <c r="B8201" s="1" t="s">
        <v>8153</v>
      </c>
      <c r="C8201" t="str">
        <f>IFERROR(__xludf.DUMMYFUNCTION("GOOGLETRANSLATE(B8201, ""zh"", ""en"")"),"The price is too much to force the price too much to force, grass long, long time, and finally a bed of roses. However, the high side, cool colors, a lot of blue green, red is not enough")</f>
        <v>The price is too much to force the price too much to force, grass long, long time, and finally a bed of roses. However, the high side, cool colors, a lot of blue green, red is not enough</v>
      </c>
    </row>
    <row r="8202">
      <c r="A8202" s="1">
        <v>5.0</v>
      </c>
      <c r="B8202" s="1" t="s">
        <v>8154</v>
      </c>
      <c r="C8202" t="str">
        <f>IFERROR(__xludf.DUMMYFUNCTION("GOOGLETRANSLATE(B8202, ""zh"", ""en"")"),". Relatively thin, fabric work are also good, 173,64 kg bust slightly broad s number should be no problem")</f>
        <v>. Relatively thin, fabric work are also good, 173,64 kg bust slightly broad s number should be no problem</v>
      </c>
    </row>
    <row r="8203">
      <c r="A8203" s="1">
        <v>5.0</v>
      </c>
      <c r="B8203" s="1" t="s">
        <v>8155</v>
      </c>
      <c r="C8203" t="str">
        <f>IFERROR(__xludf.DUMMYFUNCTION("GOOGLETRANSLATE(B8203, ""zh"", ""en"")"),"Very satisfied with the shoes slim, style and quality is very good")</f>
        <v>Very satisfied with the shoes slim, style and quality is very good</v>
      </c>
    </row>
    <row r="8204">
      <c r="A8204" s="1">
        <v>5.0</v>
      </c>
      <c r="B8204" s="1" t="s">
        <v>8156</v>
      </c>
      <c r="C8204" t="str">
        <f>IFERROR(__xludf.DUMMYFUNCTION("GOOGLETRANSLATE(B8204, ""zh"", ""en"")"),"Very cost-effective to buy, satisfied. Black is buying a very cost-effective, according to a review of the size to buy, S code 17359 is appropriate. Commodity title is full zipper, the picture is no zipper, that commodity is the picture that section of th"&amp;"e zipper did not get the goods there is a zipper, prefer zippered sweater, feel earned, the first overseas purchase, is to buy overseas Receiving a long time point, overall very satisfied.")</f>
        <v>Very cost-effective to buy, satisfied. Black is buying a very cost-effective, according to a review of the size to buy, S code 17359 is appropriate. Commodity title is full zipper, the picture is no zipper, that commodity is the picture that section of the zipper did not get the goods there is a zipper, prefer zippered sweater, feel earned, the first overseas purchase, is to buy overseas Receiving a long time point, overall very satisfied.</v>
      </c>
    </row>
    <row r="8205">
      <c r="A8205" s="1">
        <v>5.0</v>
      </c>
      <c r="B8205" s="1" t="s">
        <v>8157</v>
      </c>
      <c r="C8205" t="str">
        <f>IFERROR(__xludf.DUMMYFUNCTION("GOOGLETRANSLATE(B8205, ""zh"", ""en"")"),"Trench gas for my faith, must buy!")</f>
        <v>Trench gas for my faith, must buy!</v>
      </c>
    </row>
    <row r="8206">
      <c r="A8206" s="1">
        <v>5.0</v>
      </c>
      <c r="B8206" s="1" t="s">
        <v>8158</v>
      </c>
      <c r="C8206" t="str">
        <f>IFERROR(__xludf.DUMMYFUNCTION("GOOGLETRANSLATE(B8206, ""zh"", ""en"")"),"Pretty good praise normal size right size looks good praise")</f>
        <v>Pretty good praise normal size right size looks good praise</v>
      </c>
    </row>
    <row r="8207">
      <c r="A8207" s="1">
        <v>5.0</v>
      </c>
      <c r="B8207" s="1" t="s">
        <v>8159</v>
      </c>
      <c r="C8207" t="str">
        <f>IFERROR(__xludf.DUMMYFUNCTION("GOOGLETRANSLATE(B8207, ""zh"", ""en"")"),"Recommended pants very good, 163cm, 57kg, 28W30L nice, the length is right.")</f>
        <v>Recommended pants very good, 163cm, 57kg, 28W30L nice, the length is right.</v>
      </c>
    </row>
    <row r="8208">
      <c r="A8208" s="1">
        <v>5.0</v>
      </c>
      <c r="B8208" s="1" t="s">
        <v>8160</v>
      </c>
      <c r="C8208" t="str">
        <f>IFERROR(__xludf.DUMMYFUNCTION("GOOGLETRANSLATE(B8208, ""zh"", ""en"")"),"Small brim is narrow brim, a large man with a larger face significant face")</f>
        <v>Small brim is narrow brim, a large man with a larger face significant face</v>
      </c>
    </row>
    <row r="8209">
      <c r="A8209" s="1">
        <v>5.0</v>
      </c>
      <c r="B8209" s="1" t="s">
        <v>8161</v>
      </c>
      <c r="C8209" t="str">
        <f>IFERROR(__xludf.DUMMYFUNCTION("GOOGLETRANSLATE(B8209, ""zh"", ""en"")"),"gshock good good, very good with clothes brought ah.")</f>
        <v>gshock good good, very good with clothes brought ah.</v>
      </c>
    </row>
    <row r="8210">
      <c r="A8210" s="1">
        <v>5.0</v>
      </c>
      <c r="B8210" s="1" t="s">
        <v>8162</v>
      </c>
      <c r="C8210" t="str">
        <f>IFERROR(__xludf.DUMMYFUNCTION("GOOGLETRANSLATE(B8210, ""zh"", ""en"")"),"Brush cost-effective, it bought more than twenty")</f>
        <v>Brush cost-effective, it bought more than twenty</v>
      </c>
    </row>
    <row r="8211">
      <c r="A8211" s="1">
        <v>5.0</v>
      </c>
      <c r="B8211" s="1" t="s">
        <v>8163</v>
      </c>
      <c r="C8211" t="str">
        <f>IFERROR(__xludf.DUMMYFUNCTION("GOOGLETRANSLATE(B8211, ""zh"", ""en"")"),"Very, very good evaluation, delivery took only four days to Guangzhou, Hong Kong to buy cheaper than a hundred praise 👍")</f>
        <v>Very, very good evaluation, delivery took only four days to Guangzhou, Hong Kong to buy cheaper than a hundred praise 👍</v>
      </c>
    </row>
    <row r="8212">
      <c r="A8212" s="1">
        <v>5.0</v>
      </c>
      <c r="B8212" s="1" t="s">
        <v>8164</v>
      </c>
      <c r="C8212" t="str">
        <f>IFERROR(__xludf.DUMMYFUNCTION("GOOGLETRANSLATE(B8212, ""zh"", ""en"")"),"Cost-effective, clean and free of background noise sound at the end do not write about feelings, many advantages online. My pc pick decoder, less than 1,000 yuan decoder, no background noise, they did not say what caused the ground, ah, no! Standby Ye Hao"&amp;" clean. DSD files and lossless put a very good sound quality. In addition the election E5 or E8? On a more personal view, if, like me, come get it home listening to music, not to engage in professional musicians, then the computer is recommended to buy 5-"&amp;"inch, 8-inch connection on TV. If you put the family living room only buy a pair of speakers, it is strongly recommended 8-inch. I love 8-inch, but eventually began to buy E8 for the five-inch to pick 23.8 inches desktop computer, because I have a 5.1 spe"&amp;"aker television equipment. Well, these long-winded, it is to see its quality, how the life!")</f>
        <v>Cost-effective, clean and free of background noise sound at the end do not write about feelings, many advantages online. My pc pick decoder, less than 1,000 yuan decoder, no background noise, they did not say what caused the ground, ah, no! Standby Ye Hao clean. DSD files and lossless put a very good sound quality. In addition the election E5 or E8? On a more personal view, if, like me, come get it home listening to music, not to engage in professional musicians, then the computer is recommended to buy 5-inch, 8-inch connection on TV. If you put the family living room only buy a pair of speakers, it is strongly recommended 8-inch. I love 8-inch, but eventually began to buy E8 for the five-inch to pick 23.8 inches desktop computer, because I have a 5.1 speaker television equipment. Well, these long-winded, it is to see its quality, how the life!</v>
      </c>
    </row>
    <row r="8213">
      <c r="A8213" s="1">
        <v>5.0</v>
      </c>
      <c r="B8213" s="1" t="s">
        <v>8165</v>
      </c>
      <c r="C8213" t="str">
        <f>IFERROR(__xludf.DUMMYFUNCTION("GOOGLETRANSLATE(B8213, ""zh"", ""en"")"),"Pretty casual table for casual occasions to wear. Especially like the two time swap feature is convenient when traveling abroad.")</f>
        <v>Pretty casual table for casual occasions to wear. Especially like the two time swap feature is convenient when traveling abroad.</v>
      </c>
    </row>
    <row r="8214">
      <c r="A8214" s="1">
        <v>5.0</v>
      </c>
      <c r="B8214" s="1" t="s">
        <v>8166</v>
      </c>
      <c r="C8214" t="str">
        <f>IFERROR(__xludf.DUMMYFUNCTION("GOOGLETRANSLATE(B8214, ""zh"", ""en"")"),"Very satisfied with the right size, very satisfied")</f>
        <v>Very satisfied with the right size, very satisfied</v>
      </c>
    </row>
    <row r="8215">
      <c r="A8215" s="1">
        <v>5.0</v>
      </c>
      <c r="B8215" s="1" t="s">
        <v>8167</v>
      </c>
      <c r="C8215" t="str">
        <f>IFERROR(__xludf.DUMMYFUNCTION("GOOGLETRANSLATE(B8215, ""zh"", ""en"")"),"Interesting shoes very light, good fashion, shoes, shoe size standard")</f>
        <v>Interesting shoes very light, good fashion, shoes, shoe size standard</v>
      </c>
    </row>
    <row r="8216">
      <c r="A8216" s="1">
        <v>5.0</v>
      </c>
      <c r="B8216" s="1" t="s">
        <v>8168</v>
      </c>
      <c r="C8216" t="str">
        <f>IFERROR(__xludf.DUMMYFUNCTION("GOOGLETRANSLATE(B8216, ""zh"", ""en"")"),"Lee Men's Modern series of extreme sports Slim Straight jeans Hype 34W x 32L ... my personal criteria: 90 out of 100. The work (slightly less acceptable defect) 85. The elastic thickness of 80 (partial thickness), height 181CM,. weight 90KG, 34W32L very a"&amp;"ppropriate. And because you can set a flexible leggings inside.")</f>
        <v>Lee Men's Modern series of extreme sports Slim Straight jeans Hype 34W x 32L ... my personal criteria: 90 out of 100. The work (slightly less acceptable defect) 85. The elastic thickness of 80 (partial thickness), height 181CM,. weight 90KG, 34W32L very appropriate. And because you can set a flexible leggings inside.</v>
      </c>
    </row>
    <row r="8217">
      <c r="A8217" s="1">
        <v>2.0</v>
      </c>
      <c r="B8217" s="1" t="s">
        <v>8169</v>
      </c>
      <c r="C8217" t="str">
        <f>IFERROR(__xludf.DUMMYFUNCTION("GOOGLETRANSLATE(B8217, ""zh"", ""en"")"),"Size difference is too big size difference is too great, according to the normal size to buy, I feel at least the difference between the two yards")</f>
        <v>Size difference is too big size difference is too great, according to the normal size to buy, I feel at least the difference between the two yards</v>
      </c>
    </row>
    <row r="8218">
      <c r="A8218" s="1">
        <v>3.0</v>
      </c>
      <c r="B8218" s="1" t="s">
        <v>8170</v>
      </c>
      <c r="C8218" t="str">
        <f>IFERROR(__xludf.DUMMYFUNCTION("GOOGLETRANSLATE(B8218, ""zh"", ""en"")"),"The expected value is too high to send the ink stripe is blue, I feel very general. . .")</f>
        <v>The expected value is too high to send the ink stripe is blue, I feel very general. . .</v>
      </c>
    </row>
    <row r="8219">
      <c r="A8219" s="1">
        <v>3.0</v>
      </c>
      <c r="B8219" s="1" t="s">
        <v>8171</v>
      </c>
      <c r="C8219" t="str">
        <f>IFERROR(__xludf.DUMMYFUNCTION("GOOGLETRANSLATE(B8219, ""zh"", ""en"")"),"Good quality, style is really very general style is very general ah, sole upturned, not type, wear does not look good, SOIL.")</f>
        <v>Good quality, style is really very general style is very general ah, sole upturned, not type, wear does not look good, SOIL.</v>
      </c>
    </row>
    <row r="8220">
      <c r="A8220" s="1">
        <v>3.0</v>
      </c>
      <c r="B8220" s="1" t="s">
        <v>8172</v>
      </c>
      <c r="C8220" t="str">
        <f>IFERROR(__xludf.DUMMYFUNCTION("GOOGLETRANSLATE(B8220, ""zh"", ""en"")"),"Exposed to dust, the vast expanse exposed to dust, the vast expanse")</f>
        <v>Exposed to dust, the vast expanse exposed to dust, the vast expanse</v>
      </c>
    </row>
    <row r="8221">
      <c r="A8221" s="1">
        <v>1.0</v>
      </c>
      <c r="B8221" s="1" t="s">
        <v>8173</v>
      </c>
      <c r="C8221" t="str">
        <f>IFERROR(__xludf.DUMMYFUNCTION("GOOGLETRANSLATE(B8221, ""zh"", ""en"")"),"Made in China overseas purchase, to buy Chinese-made goods is really sick, why buy made in China but also from Japan Post? Not manufactured in Japan, consumer fraud, I knew Made in China to buy domestic version just fine!")</f>
        <v>Made in China overseas purchase, to buy Chinese-made goods is really sick, why buy made in China but also from Japan Post? Not manufactured in Japan, consumer fraud, I knew Made in China to buy domestic version just fine!</v>
      </c>
    </row>
    <row r="8222">
      <c r="A8222" s="1">
        <v>1.0</v>
      </c>
      <c r="B8222" s="1" t="s">
        <v>8174</v>
      </c>
      <c r="C8222" t="str">
        <f>IFERROR(__xludf.DUMMYFUNCTION("GOOGLETRANSLATE(B8222, ""zh"", ""en"")"),"Goods and Services tolerance, this no longer afraid to buy clothes, which lasted a half months into the hands of the twists and turns of the plot do not want to say, like the quality of goods is too general, there is no value for money, definitely will no"&amp;"t buy, a tube enough")</f>
        <v>Goods and Services tolerance, this no longer afraid to buy clothes, which lasted a half months into the hands of the twists and turns of the plot do not want to say, like the quality of goods is too general, there is no value for money, definitely will not buy, a tube enough</v>
      </c>
    </row>
    <row r="8223">
      <c r="A8223" s="1">
        <v>4.0</v>
      </c>
      <c r="B8223" s="1" t="s">
        <v>8175</v>
      </c>
      <c r="C8223" t="str">
        <f>IFERROR(__xludf.DUMMYFUNCTION("GOOGLETRANSLATE(B8223, ""zh"", ""en"")"),"Shoes and feel good, too bad insoles, wearing shoes inside fade and sense perception are very good, and very light, but the insole is very bad, I began to think to buy a fake, and another pair of shoes insoles sense of superb quality before this feeling s"&amp;"treet shoe insole 60, and 5 minutes put on socks was dyed, do not know the future will be how long the dye")</f>
        <v>Shoes and feel good, too bad insoles, wearing shoes inside fade and sense perception are very good, and very light, but the insole is very bad, I began to think to buy a fake, and another pair of shoes insoles sense of superb quality before this feeling street shoe insole 60, and 5 minutes put on socks was dyed, do not know the future will be how long the dye</v>
      </c>
    </row>
    <row r="8224">
      <c r="A8224" s="1">
        <v>4.0</v>
      </c>
      <c r="B8224" s="1" t="s">
        <v>8176</v>
      </c>
      <c r="C8224" t="str">
        <f>IFERROR(__xludf.DUMMYFUNCTION("GOOGLETRANSLATE(B8224, ""zh"", ""en"")"),"Code number 183 is larger than the domestic lot of height and weight 95 kg, after reading reviews, but fortunately, bought the L number. In addition to the collar point slightly tight, very fit")</f>
        <v>Code number 183 is larger than the domestic lot of height and weight 95 kg, after reading reviews, but fortunately, bought the L number. In addition to the collar point slightly tight, very fit</v>
      </c>
    </row>
    <row r="8225">
      <c r="A8225" s="1">
        <v>4.0</v>
      </c>
      <c r="B8225" s="1" t="s">
        <v>8177</v>
      </c>
      <c r="C8225" t="str">
        <f>IFERROR(__xludf.DUMMYFUNCTION("GOOGLETRANSLATE(B8225, ""zh"", ""en"")"),"There is not even plastic bags are not packed even on bare ,, send, but fortunately no damage. . . . See also uncomfortable")</f>
        <v>There is not even plastic bags are not packed even on bare ,, send, but fortunately no damage. . . . See also uncomfortable</v>
      </c>
    </row>
    <row r="8226">
      <c r="A8226" s="1">
        <v>4.0</v>
      </c>
      <c r="B8226" s="1" t="s">
        <v>8178</v>
      </c>
      <c r="C8226" t="str">
        <f>IFERROR(__xludf.DUMMYFUNCTION("GOOGLETRANSLATE(B8226, ""zh"", ""en"")"),"Good use of a few times I feel pretty good, is not good shave the hair around the ears.")</f>
        <v>Good use of a few times I feel pretty good, is not good shave the hair around the ears.</v>
      </c>
    </row>
    <row r="8227">
      <c r="A8227" s="1">
        <v>5.0</v>
      </c>
      <c r="B8227" s="1" t="s">
        <v>8179</v>
      </c>
      <c r="C8227" t="str">
        <f>IFERROR(__xludf.DUMMYFUNCTION("GOOGLETRANSLATE(B8227, ""zh"", ""en"")"),"Very good is not optimistic about the US code. . . too big. . . Good material. . . Date code must be optimistic about the US code")</f>
        <v>Very good is not optimistic about the US code. . . too big. . . Good material. . . Date code must be optimistic about the US code</v>
      </c>
    </row>
    <row r="8228">
      <c r="A8228" s="1">
        <v>5.0</v>
      </c>
      <c r="B8228" s="1" t="s">
        <v>8180</v>
      </c>
      <c r="C8228" t="str">
        <f>IFERROR(__xludf.DUMMYFUNCTION("GOOGLETRANSLATE(B8228, ""zh"", ""en"")"),"Good texture and accurate travel time, travel time accurately, it is like")</f>
        <v>Good texture and accurate travel time, travel time accurately, it is like</v>
      </c>
    </row>
    <row r="8229">
      <c r="A8229" s="1">
        <v>5.0</v>
      </c>
      <c r="B8229" s="1" t="s">
        <v>8181</v>
      </c>
      <c r="C8229" t="str">
        <f>IFERROR(__xludf.DUMMYFUNCTION("GOOGLETRANSLATE(B8229, ""zh"", ""en"")"),"Very very comfortable, her husband satisfied")</f>
        <v>Very very comfortable, her husband satisfied</v>
      </c>
    </row>
    <row r="8230">
      <c r="A8230" s="1">
        <v>5.0</v>
      </c>
      <c r="B8230" s="1" t="s">
        <v>8182</v>
      </c>
      <c r="C8230" t="str">
        <f>IFERROR(__xludf.DUMMYFUNCTION("GOOGLETRANSLATE(B8230, ""zh"", ""en"")"),"too big. . . The quality is very good, what the details are ok, but really ridiculously large. I 180cm, 85kg, wearing L code a large substantially whole code, given away too lazy to change, the next honestly buy M")</f>
        <v>too big. . . The quality is very good, what the details are ok, but really ridiculously large. I 180cm, 85kg, wearing L code a large substantially whole code, given away too lazy to change, the next honestly buy M</v>
      </c>
    </row>
    <row r="8231">
      <c r="A8231" s="1">
        <v>5.0</v>
      </c>
      <c r="B8231" s="1" t="s">
        <v>8183</v>
      </c>
      <c r="C8231" t="str">
        <f>IFERROR(__xludf.DUMMYFUNCTION("GOOGLETRANSLATE(B8231, ""zh"", ""en"")"),"Good results well, the price of small expensive.")</f>
        <v>Good results well, the price of small expensive.</v>
      </c>
    </row>
    <row r="8232">
      <c r="A8232" s="1">
        <v>5.0</v>
      </c>
      <c r="B8232" s="1" t="s">
        <v>8184</v>
      </c>
      <c r="C8232" t="str">
        <f>IFERROR(__xludf.DUMMYFUNCTION("GOOGLETRANSLATE(B8232, ""zh"", ""en"")"),"Good good, very good, to help a friend buy, friends, very satisfied.")</f>
        <v>Good good, very good, to help a friend buy, friends, very satisfied.</v>
      </c>
    </row>
    <row r="8233">
      <c r="A8233" s="1">
        <v>5.0</v>
      </c>
      <c r="B8233" s="1" t="s">
        <v>8185</v>
      </c>
      <c r="C8233" t="str">
        <f>IFERROR(__xludf.DUMMYFUNCTION("GOOGLETRANSLATE(B8233, ""zh"", ""en"")"),"A little tight skinny legs a little tight fit for thin legs look really good")</f>
        <v>A little tight skinny legs a little tight fit for thin legs look really good</v>
      </c>
    </row>
    <row r="8234">
      <c r="A8234" s="1">
        <v>5.0</v>
      </c>
      <c r="B8234" s="1" t="s">
        <v>8186</v>
      </c>
      <c r="C8234" t="str">
        <f>IFERROR(__xludf.DUMMYFUNCTION("GOOGLETRANSLATE(B8234, ""zh"", ""en"")"),"very good. Good for about 175 Height")</f>
        <v>very good. Good for about 175 Height</v>
      </c>
    </row>
    <row r="8235">
      <c r="A8235" s="1">
        <v>5.0</v>
      </c>
      <c r="B8235" s="1" t="s">
        <v>8187</v>
      </c>
      <c r="C8235" t="str">
        <f>IFERROR(__xludf.DUMMYFUNCTION("GOOGLETRANSLATE(B8235, ""zh"", ""en"")"),"Genuine, deserve the right size, comfortable to wear.")</f>
        <v>Genuine, deserve the right size, comfortable to wear.</v>
      </c>
    </row>
    <row r="8236">
      <c r="A8236" s="1">
        <v>5.0</v>
      </c>
      <c r="B8236" s="1" t="s">
        <v>8188</v>
      </c>
      <c r="C8236" t="str">
        <f>IFERROR(__xludf.DUMMYFUNCTION("GOOGLETRANSLATE(B8236, ""zh"", ""en"")"),"Very satisfied. Size models are suitable! Very satisfied. Size models are suitable!")</f>
        <v>Very satisfied. Size models are suitable! Very satisfied. Size models are suitable!</v>
      </c>
    </row>
    <row r="8237">
      <c r="A8237" s="1">
        <v>5.0</v>
      </c>
      <c r="B8237" s="1" t="s">
        <v>8189</v>
      </c>
      <c r="C8237" t="str">
        <f>IFERROR(__xludf.DUMMYFUNCTION("GOOGLETRANSLATE(B8237, ""zh"", ""en"")"),"Comfortable great time shopping, soft light, the arrival earlier than predicted five days I 173,82kg, wear appropriate L, XL I wear completely different country")</f>
        <v>Comfortable great time shopping, soft light, the arrival earlier than predicted five days I 173,82kg, wear appropriate L, XL I wear completely different country</v>
      </c>
    </row>
    <row r="8238">
      <c r="A8238" s="1">
        <v>5.0</v>
      </c>
      <c r="B8238" s="1" t="s">
        <v>8190</v>
      </c>
      <c r="C8238" t="str">
        <f>IFERROR(__xludf.DUMMYFUNCTION("GOOGLETRANSLATE(B8238, ""zh"", ""en"")"),"Very good very good, at least the new machine to go through two months of grinding in order to fit their own face, the noise can also accept 430 to start a good hour fast charge")</f>
        <v>Very good very good, at least the new machine to go through two months of grinding in order to fit their own face, the noise can also accept 430 to start a good hour fast charge</v>
      </c>
    </row>
    <row r="8239">
      <c r="A8239" s="1">
        <v>5.0</v>
      </c>
      <c r="B8239" s="1" t="s">
        <v>8191</v>
      </c>
      <c r="C8239" t="str">
        <f>IFERROR(__xludf.DUMMYFUNCTION("GOOGLETRANSLATE(B8239, ""zh"", ""en"")"),"Good shoes always wanted a pair of casual shoes, these shoes bought twice before finally buy the right size, a start point card ankle, after wearing for a long time basically adapted. By the way Tucao about the first return, Amazon's return process a bit "&amp;"complicated.")</f>
        <v>Good shoes always wanted a pair of casual shoes, these shoes bought twice before finally buy the right size, a start point card ankle, after wearing for a long time basically adapted. By the way Tucao about the first return, Amazon's return process a bit complicated.</v>
      </c>
    </row>
    <row r="8240">
      <c r="A8240" s="1">
        <v>5.0</v>
      </c>
      <c r="B8240" s="1" t="s">
        <v>8192</v>
      </c>
      <c r="C8240" t="str">
        <f>IFERROR(__xludf.DUMMYFUNCTION("GOOGLETRANSLATE(B8240, ""zh"", ""en"")"),"Convenient easy to use, very easy to cut food")</f>
        <v>Convenient easy to use, very easy to cut food</v>
      </c>
    </row>
    <row r="8241">
      <c r="A8241" s="1">
        <v>5.0</v>
      </c>
      <c r="B8241" s="1" t="s">
        <v>8193</v>
      </c>
      <c r="C8241" t="str">
        <f>IFERROR(__xludf.DUMMYFUNCTION("GOOGLETRANSLATE(B8241, ""zh"", ""en"")"),"Inexpensive inexpensive, and can be used for a long time.")</f>
        <v>Inexpensive inexpensive, and can be used for a long time.</v>
      </c>
    </row>
    <row r="8242">
      <c r="A8242" s="1">
        <v>5.0</v>
      </c>
      <c r="B8242" s="1" t="s">
        <v>8194</v>
      </c>
      <c r="C8242" t="str">
        <f>IFERROR(__xludf.DUMMYFUNCTION("GOOGLETRANSLATE(B8242, ""zh"", ""en"")"),"Do not look at those comments do not see those comments in the normal yardage buy on line, I just read the comments buy small")</f>
        <v>Do not look at those comments do not see those comments in the normal yardage buy on line, I just read the comments buy small</v>
      </c>
    </row>
    <row r="8243">
      <c r="A8243" s="1">
        <v>5.0</v>
      </c>
      <c r="B8243" s="1" t="s">
        <v>8195</v>
      </c>
      <c r="C8243" t="str">
        <f>IFERROR(__xludf.DUMMYFUNCTION("GOOGLETRANSLATE(B8243, ""zh"", ""en"")"),"Direct mail is very fast speed vial of how it can be still very cute, foreign packaging is very simple, protect the environment, unlike the domestic product, the packaging layer after layer. To be honest there is a little taste. How can what is the US bra"&amp;"nd, made in Korea. It is genuine.")</f>
        <v>Direct mail is very fast speed vial of how it can be still very cute, foreign packaging is very simple, protect the environment, unlike the domestic product, the packaging layer after layer. To be honest there is a little taste. How can what is the US brand, made in Korea. It is genuine.</v>
      </c>
    </row>
    <row r="8244">
      <c r="A8244" s="1">
        <v>5.0</v>
      </c>
      <c r="B8244" s="1" t="s">
        <v>8196</v>
      </c>
      <c r="C8244" t="str">
        <f>IFERROR(__xludf.DUMMYFUNCTION("GOOGLETRANSLATE(B8244, ""zh"", ""en"")"),"I do not know that the origin is not authentic Japanese factory no? It can also right, is not yet available.")</f>
        <v>I do not know that the origin is not authentic Japanese factory no? It can also right, is not yet available.</v>
      </c>
    </row>
    <row r="8245">
      <c r="A8245" s="1">
        <v>5.0</v>
      </c>
      <c r="B8245" s="1" t="s">
        <v>8197</v>
      </c>
      <c r="C8245" t="str">
        <f>IFERROR(__xludf.DUMMYFUNCTION("GOOGLETRANSLATE(B8245, ""zh"", ""en"")"),"Rhubarb boots very good very, very good shoes do not know is not the same as the state of the foot in the store or how to feel more comfortable shoes than try not to wear formal wear to go home no foot wear very comfortable feeling, but also very heavy co"&amp;"mfortable shoes can be a great increase")</f>
        <v>Rhubarb boots very good very, very good shoes do not know is not the same as the state of the foot in the store or how to feel more comfortable shoes than try not to wear formal wear to go home no foot wear very comfortable feeling, but also very heavy comfortable shoes can be a great increase</v>
      </c>
    </row>
    <row r="8246">
      <c r="A8246" s="1">
        <v>5.0</v>
      </c>
      <c r="B8246" s="1" t="s">
        <v>8198</v>
      </c>
      <c r="C8246" t="str">
        <f>IFERROR(__xludf.DUMMYFUNCTION("GOOGLETRANSLATE(B8246, ""zh"", ""en"")"),"Comfortable to wear suitable, comfortable, good quality")</f>
        <v>Comfortable to wear suitable, comfortable, good quality</v>
      </c>
    </row>
    <row r="8247">
      <c r="A8247" s="1">
        <v>5.0</v>
      </c>
      <c r="B8247" s="1" t="s">
        <v>8199</v>
      </c>
      <c r="C8247" t="str">
        <f>IFERROR(__xludf.DUMMYFUNCTION("GOOGLETRANSLATE(B8247, ""zh"", ""en"")"),"Suitable for the first time to buy the Japanese version, the Japanese version is still good, mainly fit, 18,070 kilograms, not my upper body fat, XL just the right. Quality is also good, washed down nothing changes")</f>
        <v>Suitable for the first time to buy the Japanese version, the Japanese version is still good, mainly fit, 18,070 kilograms, not my upper body fat, XL just the right. Quality is also good, washed down nothing changes</v>
      </c>
    </row>
    <row r="8248">
      <c r="A8248" s="1">
        <v>5.0</v>
      </c>
      <c r="B8248" s="1" t="s">
        <v>8200</v>
      </c>
      <c r="C8248" t="str">
        <f>IFERROR(__xludf.DUMMYFUNCTION("GOOGLETRANSLATE(B8248, ""zh"", ""en"")"),"Many in line with expectations quantity")</f>
        <v>Many in line with expectations quantity</v>
      </c>
    </row>
    <row r="8249">
      <c r="A8249" s="1">
        <v>2.0</v>
      </c>
      <c r="B8249" s="1" t="s">
        <v>8201</v>
      </c>
      <c r="C8249" t="str">
        <f>IFERROR(__xludf.DUMMYFUNCTION("GOOGLETRANSLATE(B8249, ""zh"", ""en"")"),"We do not recommend buyers particularly thin, cloth hope sets. Hypertrophy, summer wear. Height and weight of 108 pounds 171. Buy S OK number length does not change too fat to wear no hair. Workmanship can only say so-so, how can how simple it is to do si"&amp;"mple, inexpensive reasons, can only buy brand of it!")</f>
        <v>We do not recommend buyers particularly thin, cloth hope sets. Hypertrophy, summer wear. Height and weight of 108 pounds 171. Buy S OK number length does not change too fat to wear no hair. Workmanship can only say so-so, how can how simple it is to do simple, inexpensive reasons, can only buy brand of it!</v>
      </c>
    </row>
    <row r="8250">
      <c r="A8250" s="1">
        <v>3.0</v>
      </c>
      <c r="B8250" s="1" t="s">
        <v>8202</v>
      </c>
      <c r="C8250" t="str">
        <f>IFERROR(__xludf.DUMMYFUNCTION("GOOGLETRANSLATE(B8250, ""zh"", ""en"")"),"Doubts about the quality of the use of this very bad feeling, I have been with four teats simultaneously. Before buying a bottle with a nipple M from the problem at no less than three months to use seven and a half months, the L bought in less than two we"&amp;"eks on the break, had to turn back and then M. Do not you know why!")</f>
        <v>Doubts about the quality of the use of this very bad feeling, I have been with four teats simultaneously. Before buying a bottle with a nipple M from the problem at no less than three months to use seven and a half months, the L bought in less than two weeks on the break, had to turn back and then M. Do not you know why!</v>
      </c>
    </row>
    <row r="8251">
      <c r="A8251" s="1">
        <v>3.0</v>
      </c>
      <c r="B8251" s="1" t="s">
        <v>8203</v>
      </c>
      <c r="C8251" t="str">
        <f>IFERROR(__xludf.DUMMYFUNCTION("GOOGLETRANSLATE(B8251, ""zh"", ""en"")"),"Well inside surface is not white is a little off-white grace the inside surface is not white is a little off-white if I found simply not buying white is off-white favorability drops = =")</f>
        <v>Well inside surface is not white is a little off-white grace the inside surface is not white is a little off-white if I found simply not buying white is off-white favorability drops = =</v>
      </c>
    </row>
    <row r="8252">
      <c r="A8252" s="1">
        <v>1.0</v>
      </c>
      <c r="B8252" s="1" t="s">
        <v>8204</v>
      </c>
      <c r="C8252" t="str">
        <f>IFERROR(__xludf.DUMMYFUNCTION("GOOGLETRANSLATE(B8252, ""zh"", ""en"")"),"made in china is not leather, but also super-hard skin is not made in china, but also super hard, no professional puncher, estimates have not put it together. Science does not buy it overseas.")</f>
        <v>made in china is not leather, but also super-hard skin is not made in china, but also super hard, no professional puncher, estimates have not put it together. Science does not buy it overseas.</v>
      </c>
    </row>
    <row r="8253">
      <c r="A8253" s="1">
        <v>1.0</v>
      </c>
      <c r="B8253" s="1" t="s">
        <v>8205</v>
      </c>
      <c r="C8253" t="str">
        <f>IFERROR(__xludf.DUMMYFUNCTION("GOOGLETRANSLATE(B8253, ""zh"", ""en"")"),"Immediately expired in July to buy No. 8.9 arrives and consequently do not say. Due in November are several meanings?! Baoma prudent to buy it.")</f>
        <v>Immediately expired in July to buy No. 8.9 arrives and consequently do not say. Due in November are several meanings?! Baoma prudent to buy it.</v>
      </c>
    </row>
    <row r="8254">
      <c r="A8254" s="1">
        <v>4.0</v>
      </c>
      <c r="B8254" s="1" t="s">
        <v>8206</v>
      </c>
      <c r="C8254" t="str">
        <f>IFERROR(__xludf.DUMMYFUNCTION("GOOGLETRANSLATE(B8254, ""zh"", ""en"")"),"Worthy of its price quite like the dial is really easy to scratch distressed ah o (╯ □ ╰) o so buy later to take good care of (⊙o⊙) Oh")</f>
        <v>Worthy of its price quite like the dial is really easy to scratch distressed ah o (╯ □ ╰) o so buy later to take good care of (⊙o⊙) Oh</v>
      </c>
    </row>
    <row r="8255">
      <c r="A8255" s="1">
        <v>4.0</v>
      </c>
      <c r="B8255" s="1" t="s">
        <v>8207</v>
      </c>
      <c r="C8255" t="str">
        <f>IFERROR(__xludf.DUMMYFUNCTION("GOOGLETRANSLATE(B8255, ""zh"", ""en"")"),"Comfort hundred percent I bought freshman yards, shoes to wear off strenuous, but on foot comfort hundred percent.")</f>
        <v>Comfort hundred percent I bought freshman yards, shoes to wear off strenuous, but on foot comfort hundred percent.</v>
      </c>
    </row>
    <row r="8256">
      <c r="A8256" s="1">
        <v>4.0</v>
      </c>
      <c r="B8256" s="1" t="s">
        <v>8208</v>
      </c>
      <c r="C8256" t="str">
        <f>IFERROR(__xludf.DUMMYFUNCTION("GOOGLETRANSLATE(B8256, ""zh"", ""en"")"),"Good workmanship and leather shoes from the point of view, should not be fake, but the dress and the domestic counter or a little different. Domestic counter the feeling to be lighter. But there are still wearing ECCO's comfort.")</f>
        <v>Good workmanship and leather shoes from the point of view, should not be fake, but the dress and the domestic counter or a little different. Domestic counter the feeling to be lighter. But there are still wearing ECCO's comfort.</v>
      </c>
    </row>
    <row r="8257">
      <c r="A8257" s="1">
        <v>4.0</v>
      </c>
      <c r="B8257" s="1" t="s">
        <v>8209</v>
      </c>
      <c r="C8257" t="str">
        <f>IFERROR(__xludf.DUMMYFUNCTION("GOOGLETRANSLATE(B8257, ""zh"", ""en"")"),"Buy a small one yard is very good, regardless of appearance or comfort, nike41, this 6.5")</f>
        <v>Buy a small one yard is very good, regardless of appearance or comfort, nike41, this 6.5</v>
      </c>
    </row>
    <row r="8258">
      <c r="A8258" s="1">
        <v>4.0</v>
      </c>
      <c r="B8258" s="1" t="s">
        <v>8210</v>
      </c>
      <c r="C8258" t="str">
        <f>IFERROR(__xludf.DUMMYFUNCTION("GOOGLETRANSLATE(B8258, ""zh"", ""en"")"),"And page display package does not match the previous page and bought in Japan as shown, but received Pigeon is shown on the website of the packaging, the same hope")</f>
        <v>And page display package does not match the previous page and bought in Japan as shown, but received Pigeon is shown on the website of the packaging, the same hope</v>
      </c>
    </row>
    <row r="8259">
      <c r="A8259" s="1">
        <v>5.0</v>
      </c>
      <c r="B8259" s="1" t="s">
        <v>8211</v>
      </c>
      <c r="C8259" t="str">
        <f>IFERROR(__xludf.DUMMYFUNCTION("GOOGLETRANSLATE(B8259, ""zh"", ""en"")"),"well! Pants type is very good! Flexible, very satisfied with the shopping experience! Great!")</f>
        <v>well! Pants type is very good! Flexible, very satisfied with the shopping experience! Great!</v>
      </c>
    </row>
    <row r="8260">
      <c r="A8260" s="1">
        <v>5.0</v>
      </c>
      <c r="B8260" s="1" t="s">
        <v>8212</v>
      </c>
      <c r="C8260" t="str">
        <f>IFERROR(__xludf.DUMMYFUNCTION("GOOGLETRANSLATE(B8260, ""zh"", ""en"")"),"Good value for money received more than 10 days, but fortunately looked comment, not really snakeskin, an ordinary black. Cortex is also good, in addition to the inside of a piece has a lot of wrinkles. N represents a suitable uk6 39 yards, little pressur"&amp;"e through the first day of the instep, hoping to running.")</f>
        <v>Good value for money received more than 10 days, but fortunately looked comment, not really snakeskin, an ordinary black. Cortex is also good, in addition to the inside of a piece has a lot of wrinkles. N represents a suitable uk6 39 yards, little pressure through the first day of the instep, hoping to running.</v>
      </c>
    </row>
    <row r="8261">
      <c r="A8261" s="1">
        <v>5.0</v>
      </c>
      <c r="B8261" s="1" t="s">
        <v>8213</v>
      </c>
      <c r="C8261" t="str">
        <f>IFERROR(__xludf.DUMMYFUNCTION("GOOGLETRANSLATE(B8261, ""zh"", ""en"")"),"Father to father to buy, but wanted the father to buy")</f>
        <v>Father to father to buy, but wanted the father to buy</v>
      </c>
    </row>
    <row r="8262">
      <c r="A8262" s="1">
        <v>5.0</v>
      </c>
      <c r="B8262" s="1" t="s">
        <v>8214</v>
      </c>
      <c r="C8262" t="str">
        <f>IFERROR(__xludf.DUMMYFUNCTION("GOOGLETRANSLATE(B8262, ""zh"", ""en"")"),"Value quality and style are very good, value")</f>
        <v>Value quality and style are very good, value</v>
      </c>
    </row>
    <row r="8263">
      <c r="A8263" s="1">
        <v>5.0</v>
      </c>
      <c r="B8263" s="1" t="s">
        <v>8215</v>
      </c>
      <c r="C8263" t="str">
        <f>IFERROR(__xludf.DUMMYFUNCTION("GOOGLETRANSLATE(B8263, ""zh"", ""en"")"),"Nice nice look just fine")</f>
        <v>Nice nice look just fine</v>
      </c>
    </row>
    <row r="8264">
      <c r="A8264" s="1">
        <v>5.0</v>
      </c>
      <c r="B8264" s="1" t="s">
        <v>8216</v>
      </c>
      <c r="C8264" t="str">
        <f>IFERROR(__xludf.DUMMYFUNCTION("GOOGLETRANSLATE(B8264, ""zh"", ""en"")"),"Comfortable fit fit")</f>
        <v>Comfortable fit fit</v>
      </c>
    </row>
    <row r="8265">
      <c r="A8265" s="1">
        <v>5.0</v>
      </c>
      <c r="B8265" s="1" t="s">
        <v>8217</v>
      </c>
      <c r="C8265" t="str">
        <f>IFERROR(__xludf.DUMMYFUNCTION("GOOGLETRANSLATE(B8265, ""zh"", ""en"")"),"Shoe size to buy most of the code, OK")</f>
        <v>Shoe size to buy most of the code, OK</v>
      </c>
    </row>
    <row r="8266">
      <c r="A8266" s="1">
        <v>5.0</v>
      </c>
      <c r="B8266" s="1" t="s">
        <v>8218</v>
      </c>
      <c r="C8266" t="str">
        <f>IFERROR(__xludf.DUMMYFUNCTION("GOOGLETRANSLATE(B8266, ""zh"", ""en"")"),"I am in excellent buy second block Casio watches like the reason is because in Initial D Jay worn inside, I was also Casio FANS JAY fans. Of course, I myself was very fond of this watch!")</f>
        <v>I am in excellent buy second block Casio watches like the reason is because in Initial D Jay worn inside, I was also Casio FANS JAY fans. Of course, I myself was very fond of this watch!</v>
      </c>
    </row>
    <row r="8267">
      <c r="A8267" s="1">
        <v>5.0</v>
      </c>
      <c r="B8267" s="1" t="s">
        <v>8219</v>
      </c>
      <c r="C8267" t="str">
        <f>IFERROR(__xludf.DUMMYFUNCTION("GOOGLETRANSLATE(B8267, ""zh"", ""en"")"),"Very satisfied with this brand mug is recognized as a good ~ Express is also quite a force!")</f>
        <v>Very satisfied with this brand mug is recognized as a good ~ Express is also quite a force!</v>
      </c>
    </row>
    <row r="8268">
      <c r="A8268" s="1">
        <v>5.0</v>
      </c>
      <c r="B8268" s="1" t="s">
        <v>8220</v>
      </c>
      <c r="C8268" t="str">
        <f>IFERROR(__xludf.DUMMYFUNCTION("GOOGLETRANSLATE(B8268, ""zh"", ""en"")"),"Fit very fit, wearing free.")</f>
        <v>Fit very fit, wearing free.</v>
      </c>
    </row>
    <row r="8269">
      <c r="A8269" s="1">
        <v>5.0</v>
      </c>
      <c r="B8269" s="1" t="s">
        <v>8221</v>
      </c>
      <c r="C8269" t="str">
        <f>IFERROR(__xludf.DUMMYFUNCTION("GOOGLETRANSLATE(B8269, ""zh"", ""en"")"),"Good good quality and cheap price. Height 173, weight 90. Also more relaxed.")</f>
        <v>Good good quality and cheap price. Height 173, weight 90. Also more relaxed.</v>
      </c>
    </row>
    <row r="8270">
      <c r="A8270" s="1">
        <v>5.0</v>
      </c>
      <c r="B8270" s="1" t="s">
        <v>8222</v>
      </c>
      <c r="C8270" t="str">
        <f>IFERROR(__xludf.DUMMYFUNCTION("GOOGLETRANSLATE(B8270, ""zh"", ""en"")"),"Slim version of ck nice pants, Slim version, put on just right. Too many price than domestic deals!")</f>
        <v>Slim version of ck nice pants, Slim version, put on just right. Too many price than domestic deals!</v>
      </c>
    </row>
    <row r="8271">
      <c r="A8271" s="1">
        <v>5.0</v>
      </c>
      <c r="B8271" s="1" t="s">
        <v>8223</v>
      </c>
      <c r="C8271" t="str">
        <f>IFERROR(__xludf.DUMMYFUNCTION("GOOGLETRANSLATE(B8271, ""zh"", ""en"")"),"Good pot cheap stuff is also beautifully!")</f>
        <v>Good pot cheap stuff is also beautifully!</v>
      </c>
    </row>
    <row r="8272">
      <c r="A8272" s="1">
        <v>5.0</v>
      </c>
      <c r="B8272" s="1" t="s">
        <v>8224</v>
      </c>
      <c r="C8272" t="str">
        <f>IFERROR(__xludf.DUMMYFUNCTION("GOOGLETRANSLATE(B8272, ""zh"", ""en"")"),"Appropriate console 29.660 machines feature compact Qi, affordable home is a suitable model for two of three home made coffee. But Amazon price changes too much, a few days after the order and the price.")</f>
        <v>Appropriate console 29.660 machines feature compact Qi, affordable home is a suitable model for two of three home made coffee. But Amazon price changes too much, a few days after the order and the price.</v>
      </c>
    </row>
    <row r="8273">
      <c r="A8273" s="1">
        <v>5.0</v>
      </c>
      <c r="B8273" s="1" t="s">
        <v>8225</v>
      </c>
      <c r="C8273" t="str">
        <f>IFERROR(__xludf.DUMMYFUNCTION("GOOGLETRANSLATE(B8273, ""zh"", ""en"")"),"123 big, how many girls head circumference how much to buy on the line, the boys buy a small one yard more agile and more tide.")</f>
        <v>123 big, how many girls head circumference how much to buy on the line, the boys buy a small one yard more agile and more tide.</v>
      </c>
    </row>
    <row r="8274">
      <c r="A8274" s="1">
        <v>5.0</v>
      </c>
      <c r="B8274" s="1" t="s">
        <v>8226</v>
      </c>
      <c r="C8274" t="str">
        <f>IFERROR(__xludf.DUMMYFUNCTION("GOOGLETRANSLATE(B8274, ""zh"", ""en"")"),"Shoes are very satisfied with a bit bigger, but does not affect wear. Amazon import of goods of good quality, not the first time to buy their shoes.")</f>
        <v>Shoes are very satisfied with a bit bigger, but does not affect wear. Amazon import of goods of good quality, not the first time to buy their shoes.</v>
      </c>
    </row>
    <row r="8275">
      <c r="A8275" s="1">
        <v>5.0</v>
      </c>
      <c r="B8275" s="1" t="s">
        <v>8227</v>
      </c>
      <c r="C8275" t="str">
        <f>IFERROR(__xludf.DUMMYFUNCTION("GOOGLETRANSLATE(B8275, ""zh"", ""en"")"),"The first men's shoe size actually selected no less, the code is very positive!")</f>
        <v>The first men's shoe size actually selected no less, the code is very positive!</v>
      </c>
    </row>
    <row r="8276">
      <c r="A8276" s="1">
        <v>5.0</v>
      </c>
      <c r="B8276" s="1" t="s">
        <v>8228</v>
      </c>
      <c r="C8276" t="str">
        <f>IFERROR(__xludf.DUMMYFUNCTION("GOOGLETRANSLATE(B8276, ""zh"", ""en"")"),"Comfortable to wear comfortable, good quality")</f>
        <v>Comfortable to wear comfortable, good quality</v>
      </c>
    </row>
    <row r="8277">
      <c r="A8277" s="1">
        <v>5.0</v>
      </c>
      <c r="B8277" s="1" t="s">
        <v>5556</v>
      </c>
      <c r="C8277" t="str">
        <f>IFERROR(__xludf.DUMMYFUNCTION("GOOGLETRANSLATE(B8277, ""zh"", ""en"")"),"Very good very good")</f>
        <v>Very good very good</v>
      </c>
    </row>
    <row r="8278">
      <c r="A8278" s="1">
        <v>5.0</v>
      </c>
      <c r="B8278" s="1" t="s">
        <v>8229</v>
      </c>
      <c r="C8278" t="str">
        <f>IFERROR(__xludf.DUMMYFUNCTION("GOOGLETRANSLATE(B8278, ""zh"", ""en"")"),"Practical, large capacity. Although thin, but very good toughness, put 180ml up to write, in fact, more than 200 can be put, there is no smell.")</f>
        <v>Practical, large capacity. Although thin, but very good toughness, put 180ml up to write, in fact, more than 200 can be put, there is no smell.</v>
      </c>
    </row>
    <row r="8279">
      <c r="A8279" s="1">
        <v>5.0</v>
      </c>
      <c r="B8279" s="1" t="s">
        <v>2477</v>
      </c>
      <c r="C8279" t="str">
        <f>IFERROR(__xludf.DUMMYFUNCTION("GOOGLETRANSLATE(B8279, ""zh"", ""en"")"),"Not bad")</f>
        <v>Not bad</v>
      </c>
    </row>
    <row r="8280">
      <c r="A8280" s="1">
        <v>5.0</v>
      </c>
      <c r="B8280" s="1" t="s">
        <v>8230</v>
      </c>
      <c r="C8280" t="str">
        <f>IFERROR(__xludf.DUMMYFUNCTION("GOOGLETRANSLATE(B8280, ""zh"", ""en"")"),"Very good very appropriate, feel good")</f>
        <v>Very good very appropriate, feel good</v>
      </c>
    </row>
    <row r="8281">
      <c r="A8281" s="1">
        <v>2.0</v>
      </c>
      <c r="B8281" s="1" t="s">
        <v>8231</v>
      </c>
      <c r="C8281" t="str">
        <f>IFERROR(__xludf.DUMMYFUNCTION("GOOGLETRANSLATE(B8281, ""zh"", ""en"")"),"Not recommended to buy the courier too bad, receive packages leak, and packaging plan is not decent, not give it away, only in my possession. Belonging to the particular kind of small, installed a small wallet on the full, installed phone feel too crowded"&amp;", mini-fried chicken, not practical.")</f>
        <v>Not recommended to buy the courier too bad, receive packages leak, and packaging plan is not decent, not give it away, only in my possession. Belonging to the particular kind of small, installed a small wallet on the full, installed phone feel too crowded, mini-fried chicken, not practical.</v>
      </c>
    </row>
    <row r="8282">
      <c r="A8282" s="1">
        <v>3.0</v>
      </c>
      <c r="B8282" s="1" t="s">
        <v>8232</v>
      </c>
      <c r="C8282" t="str">
        <f>IFERROR(__xludf.DUMMYFUNCTION("GOOGLETRANSLATE(B8282, ""zh"", ""en"")"),"OK 170 68 kg, s code, lanky, is elastic fabrics, the belly revealed beyond doubt, good for tall people.")</f>
        <v>OK 170 68 kg, s code, lanky, is elastic fabrics, the belly revealed beyond doubt, good for tall people.</v>
      </c>
    </row>
    <row r="8283">
      <c r="A8283" s="1">
        <v>1.0</v>
      </c>
      <c r="B8283" s="1" t="s">
        <v>8233</v>
      </c>
      <c r="C8283" t="str">
        <f>IFERROR(__xludf.DUMMYFUNCTION("GOOGLETRANSLATE(B8283, ""zh"", ""en"")"),"Disappointed checked a lot of information and say good buy is a high intensity of support did not think most can only be considered low intensity want to run is impossible to jump in place are shaking very powerful and do not know the reason behind the pl"&amp;"astic pad wear good heat really disappointed")</f>
        <v>Disappointed checked a lot of information and say good buy is a high intensity of support did not think most can only be considered low intensity want to run is impossible to jump in place are shaking very powerful and do not know the reason behind the plastic pad wear good heat really disappointed</v>
      </c>
    </row>
    <row r="8284">
      <c r="A8284" s="1">
        <v>1.0</v>
      </c>
      <c r="B8284" s="1" t="s">
        <v>8234</v>
      </c>
      <c r="C8284" t="str">
        <f>IFERROR(__xludf.DUMMYFUNCTION("GOOGLETRANSLATE(B8284, ""zh"", ""en"")"),"Shoulder strap is too long, too large as a whole, returns and super troublesome shoulder strap is too long, too large as a whole, returns and super trouble")</f>
        <v>Shoulder strap is too long, too large as a whole, returns and super troublesome shoulder strap is too long, too large as a whole, returns and super trouble</v>
      </c>
    </row>
    <row r="8285">
      <c r="A8285" s="1">
        <v>1.0</v>
      </c>
      <c r="B8285" s="1" t="s">
        <v>8235</v>
      </c>
      <c r="C8285" t="str">
        <f>IFERROR(__xludf.DUMMYFUNCTION("GOOGLETRANSLATE(B8285, ""zh"", ""en"")"),"Spread the goods fabric is to spread the goods, completely fooled")</f>
        <v>Spread the goods fabric is to spread the goods, completely fooled</v>
      </c>
    </row>
    <row r="8286">
      <c r="A8286" s="1">
        <v>4.0</v>
      </c>
      <c r="B8286" s="1" t="s">
        <v>8236</v>
      </c>
      <c r="C8286" t="str">
        <f>IFERROR(__xludf.DUMMYFUNCTION("GOOGLETRANSLATE(B8286, ""zh"", ""en"")"),"Particularly good you can refer to 168,110 pounds")</f>
        <v>Particularly good you can refer to 168,110 pounds</v>
      </c>
    </row>
    <row r="8287">
      <c r="A8287" s="1">
        <v>4.0</v>
      </c>
      <c r="B8287" s="1" t="s">
        <v>8237</v>
      </c>
      <c r="C8287" t="str">
        <f>IFERROR(__xludf.DUMMYFUNCTION("GOOGLETRANSLATE(B8287, ""zh"", ""en"")"),"Can not buy the size press size table, the table size of around 36 m is selected from s to buy or small.")</f>
        <v>Can not buy the size press size table, the table size of around 36 m is selected from s to buy or small.</v>
      </c>
    </row>
    <row r="8288">
      <c r="A8288" s="1">
        <v>4.0</v>
      </c>
      <c r="B8288" s="1" t="s">
        <v>8238</v>
      </c>
      <c r="C8288" t="str">
        <f>IFERROR(__xludf.DUMMYFUNCTION("GOOGLETRANSLATE(B8288, ""zh"", ""en"")"),"Too hard too cumbersome for return, two months and no refund! Some big, overall okay, habitual praise.")</f>
        <v>Too hard too cumbersome for return, two months and no refund! Some big, overall okay, habitual praise.</v>
      </c>
    </row>
    <row r="8289">
      <c r="A8289" s="1">
        <v>4.0</v>
      </c>
      <c r="B8289" s="1" t="s">
        <v>8239</v>
      </c>
      <c r="C8289" t="str">
        <f>IFERROR(__xludf.DUMMYFUNCTION("GOOGLETRANSLATE(B8289, ""zh"", ""en"")"),"ecco cortex poorly with the price of the recommended American niche brand greats and koio")</f>
        <v>ecco cortex poorly with the price of the recommended American niche brand greats and koio</v>
      </c>
    </row>
    <row r="8290">
      <c r="A8290" s="1">
        <v>4.0</v>
      </c>
      <c r="B8290" s="1" t="s">
        <v>8240</v>
      </c>
      <c r="C8290" t="str">
        <f>IFERROR(__xludf.DUMMYFUNCTION("GOOGLETRANSLATE(B8290, ""zh"", ""en"")"),"Pigeon best! ! ! Better than anything else! Daily stockpile, but the glass is really heavy plastic is also recommended temperature.")</f>
        <v>Pigeon best! ! ! Better than anything else! Daily stockpile, but the glass is really heavy plastic is also recommended temperature.</v>
      </c>
    </row>
    <row r="8291">
      <c r="A8291" s="1">
        <v>5.0</v>
      </c>
      <c r="B8291" s="1" t="s">
        <v>8241</v>
      </c>
      <c r="C8291" t="str">
        <f>IFERROR(__xludf.DUMMYFUNCTION("GOOGLETRANSLATE(B8291, ""zh"", ""en"")"),"Good cheap, that is, plus shipping, or more than the price of domestic outlets, also offers, is to 9 days. Work, the right size. &lt;A data-hook = ""product-link-linked"" class = ""a-link-normal"" href = ""/ Calvin-Klein- Calvin Klein - Men's cotton -3 small"&amp;" elastic bar mounted briefs - blue - ? -S No. gray / dp / B00JQRSCHG / ref = cm_cr_getr_d_rvw_txt ie = UTF8 ""&gt; Calvin Klein Calvin Klein men's three fitted elastic cotton briefs small blue / gray S No. &lt;/a&gt; &amp; nbsp; the future will buy .")</f>
        <v>Good cheap, that is, plus shipping, or more than the price of domestic outlets, also offers, is to 9 days. Work, the right size. &lt;A data-hook = "product-link-linked" class = "a-link-normal" href = "/ Calvin-Klein- Calvin Klein - Men's cotton -3 small elastic bar mounted briefs - blue - ? -S No. gray / dp / B00JQRSCHG / ref = cm_cr_getr_d_rvw_txt ie = UTF8 "&gt; Calvin Klein Calvin Klein men's three fitted elastic cotton briefs small blue / gray S No. &lt;/a&gt; &amp; nbsp; the future will buy .</v>
      </c>
    </row>
    <row r="8292">
      <c r="A8292" s="1">
        <v>5.0</v>
      </c>
      <c r="B8292" s="1" t="s">
        <v>8242</v>
      </c>
      <c r="C8292" t="str">
        <f>IFERROR(__xludf.DUMMYFUNCTION("GOOGLETRANSLATE(B8292, ""zh"", ""en"")"),"Compared to listen to listen to music more suitable for low dive enough force, good details IF resolution, high frequency is not bad. However, the degree of reduction compared to 770 or AKGK6-K7 series, to be worse. Or with the rendering. But not too much"&amp;", it can also do listen, no problem. In short, a headset is very good, very cost-effective to buy the discount. Chop hand party cheer.")</f>
        <v>Compared to listen to listen to music more suitable for low dive enough force, good details IF resolution, high frequency is not bad. However, the degree of reduction compared to 770 or AKGK6-K7 series, to be worse. Or with the rendering. But not too much, it can also do listen, no problem. In short, a headset is very good, very cost-effective to buy the discount. Chop hand party cheer.</v>
      </c>
    </row>
    <row r="8293">
      <c r="A8293" s="1">
        <v>5.0</v>
      </c>
      <c r="B8293" s="1" t="s">
        <v>8243</v>
      </c>
      <c r="C8293" t="str">
        <f>IFERROR(__xludf.DUMMYFUNCTION("GOOGLETRANSLATE(B8293, ""zh"", ""en"")"),"User comments used a few times to adapt to, the effect is very good, battery life is a bit weak, uncertain whether washable.")</f>
        <v>User comments used a few times to adapt to, the effect is very good, battery life is a bit weak, uncertain whether washable.</v>
      </c>
    </row>
    <row r="8294">
      <c r="A8294" s="1">
        <v>5.0</v>
      </c>
      <c r="B8294" s="1" t="s">
        <v>8244</v>
      </c>
      <c r="C8294" t="str">
        <f>IFERROR(__xludf.DUMMYFUNCTION("GOOGLETRANSLATE(B8294, ""zh"", ""en"")"),"A good three months, two people a year are enough.")</f>
        <v>A good three months, two people a year are enough.</v>
      </c>
    </row>
    <row r="8295">
      <c r="A8295" s="1">
        <v>5.0</v>
      </c>
      <c r="B8295" s="1" t="s">
        <v>8245</v>
      </c>
      <c r="C8295" t="str">
        <f>IFERROR(__xludf.DUMMYFUNCTION("GOOGLETRANSLATE(B8295, ""zh"", ""en"")"),"Really good! Buy a headset will not regret! Such a long time to wait until the next depression without special orders, listened almost a month to evaluate! DT880 can be said to be bought will not regret headphones, 250 Euro fine, I was filled with Qianlon"&amp;"g lossless player push really a word: cool! Sound quality is really good ah! 1499 yuan true value! Amazon true to the force!")</f>
        <v>Really good! Buy a headset will not regret! Such a long time to wait until the next depression without special orders, listened almost a month to evaluate! DT880 can be said to be bought will not regret headphones, 250 Euro fine, I was filled with Qianlong lossless player push really a word: cool! Sound quality is really good ah! 1499 yuan true value! Amazon true to the force!</v>
      </c>
    </row>
    <row r="8296">
      <c r="A8296" s="1">
        <v>5.0</v>
      </c>
      <c r="B8296" s="1" t="s">
        <v>8246</v>
      </c>
      <c r="C8296" t="str">
        <f>IFERROR(__xludf.DUMMYFUNCTION("GOOGLETRANSLATE(B8296, ""zh"", ""en"")"),"Quality has a good quality assurance")</f>
        <v>Quality has a good quality assurance</v>
      </c>
    </row>
    <row r="8297">
      <c r="A8297" s="1">
        <v>5.0</v>
      </c>
      <c r="B8297" s="1" t="s">
        <v>8247</v>
      </c>
      <c r="C8297" t="str">
        <f>IFERROR(__xludf.DUMMYFUNCTION("GOOGLETRANSLATE(B8297, ""zh"", ""en"")"),"Good to her husband bought washed twice pretty good to wear good quality without distortion can also find it very expensive ah ...... it is cheaper and more good again")</f>
        <v>Good to her husband bought washed twice pretty good to wear good quality without distortion can also find it very expensive ah ...... it is cheaper and more good again</v>
      </c>
    </row>
    <row r="8298">
      <c r="A8298" s="1">
        <v>5.0</v>
      </c>
      <c r="B8298" s="1" t="s">
        <v>8248</v>
      </c>
      <c r="C8298" t="str">
        <f>IFERROR(__xludf.DUMMYFUNCTION("GOOGLETRANSLATE(B8298, ""zh"", ""en"")"),"good is like brand, color beautiful, light shoes, engaging")</f>
        <v>good is like brand, color beautiful, light shoes, engaging</v>
      </c>
    </row>
    <row r="8299">
      <c r="A8299" s="1">
        <v>5.0</v>
      </c>
      <c r="B8299" s="1" t="s">
        <v>8249</v>
      </c>
      <c r="C8299" t="str">
        <f>IFERROR(__xludf.DUMMYFUNCTION("GOOGLETRANSLATE(B8299, ""zh"", ""en"")"),"Satisfied with my husband and my mother said good-looking, but the name is ""dog dish"" Ha, easy to use on the line")</f>
        <v>Satisfied with my husband and my mother said good-looking, but the name is "dog dish" Ha, easy to use on the line</v>
      </c>
    </row>
    <row r="8300">
      <c r="A8300" s="1">
        <v>5.0</v>
      </c>
      <c r="B8300" s="1" t="s">
        <v>8250</v>
      </c>
      <c r="C8300" t="str">
        <f>IFERROR(__xludf.DUMMYFUNCTION("GOOGLETRANSLATE(B8300, ""zh"", ""en"")"),"Smooth and very slippery degree of good writing")</f>
        <v>Smooth and very slippery degree of good writing</v>
      </c>
    </row>
    <row r="8301">
      <c r="A8301" s="1">
        <v>5.0</v>
      </c>
      <c r="B8301" s="1" t="s">
        <v>8251</v>
      </c>
      <c r="C8301" t="str">
        <f>IFERROR(__xludf.DUMMYFUNCTION("GOOGLETRANSLATE(B8301, ""zh"", ""en"")"),"ecco outdoor shoes fit very well, especially the foot arc, very anti-skid")</f>
        <v>ecco outdoor shoes fit very well, especially the foot arc, very anti-skid</v>
      </c>
    </row>
    <row r="8302">
      <c r="A8302" s="1">
        <v>5.0</v>
      </c>
      <c r="B8302" s="1" t="s">
        <v>249</v>
      </c>
      <c r="C8302" t="str">
        <f>IFERROR(__xludf.DUMMYFUNCTION("GOOGLETRANSLATE(B8302, ""zh"", ""en"")"),"Good straight jeans, nice and comfortable, standard size.")</f>
        <v>Good straight jeans, nice and comfortable, standard size.</v>
      </c>
    </row>
    <row r="8303">
      <c r="A8303" s="1">
        <v>5.0</v>
      </c>
      <c r="B8303" s="1" t="s">
        <v>8252</v>
      </c>
      <c r="C8303" t="str">
        <f>IFERROR(__xludf.DUMMYFUNCTION("GOOGLETRANSLATE(B8303, ""zh"", ""en"")"),"Good for wrist watches relatively thick heavy crowd watches size is large enough, the outer black scale do not wear, do not know if I have to sell replacement? 5 seconds slower every day when walking, diving function to be tested, good watch")</f>
        <v>Good for wrist watches relatively thick heavy crowd watches size is large enough, the outer black scale do not wear, do not know if I have to sell replacement? 5 seconds slower every day when walking, diving function to be tested, good watch</v>
      </c>
    </row>
    <row r="8304">
      <c r="A8304" s="1">
        <v>5.0</v>
      </c>
      <c r="B8304" s="1" t="s">
        <v>8253</v>
      </c>
      <c r="C8304" t="str">
        <f>IFERROR(__xludf.DUMMYFUNCTION("GOOGLETRANSLATE(B8304, ""zh"", ""en"")"),"Ah, really good incense, fine")</f>
        <v>Ah, really good incense, fine</v>
      </c>
    </row>
    <row r="8305">
      <c r="A8305" s="1">
        <v>5.0</v>
      </c>
      <c r="B8305" s="1" t="s">
        <v>8254</v>
      </c>
      <c r="C8305" t="str">
        <f>IFERROR(__xludf.DUMMYFUNCTION("GOOGLETRANSLATE(B8305, ""zh"", ""en"")"),"Very very nice sweater, suitable for spring, but the size is too small, 172,108 pounds of L code just right. ,")</f>
        <v>Very very nice sweater, suitable for spring, but the size is too small, 172,108 pounds of L code just right. ,</v>
      </c>
    </row>
    <row r="8306">
      <c r="A8306" s="1">
        <v>5.0</v>
      </c>
      <c r="B8306" s="1" t="s">
        <v>8255</v>
      </c>
      <c r="C8306" t="str">
        <f>IFERROR(__xludf.DUMMYFUNCTION("GOOGLETRANSLATE(B8306, ""zh"", ""en"")"),"Very warm 170 cm, 68 kg just wearing this model, warm good results")</f>
        <v>Very warm 170 cm, 68 kg just wearing this model, warm good results</v>
      </c>
    </row>
    <row r="8307">
      <c r="A8307" s="1">
        <v>5.0</v>
      </c>
      <c r="B8307" s="1" t="s">
        <v>8256</v>
      </c>
      <c r="C8307" t="str">
        <f>IFERROR(__xludf.DUMMYFUNCTION("GOOGLETRANSLATE(B8307, ""zh"", ""en"")"),"Red did not find something useful effect of better use, easy to clean, but did not find the role of the red dot")</f>
        <v>Red did not find something useful effect of better use, easy to clean, but did not find the role of the red dot</v>
      </c>
    </row>
    <row r="8308">
      <c r="A8308" s="1">
        <v>5.0</v>
      </c>
      <c r="B8308" s="1" t="s">
        <v>8257</v>
      </c>
      <c r="C8308" t="str">
        <f>IFERROR(__xludf.DUMMYFUNCTION("GOOGLETRANSLATE(B8308, ""zh"", ""en"")"),"Big quality did not have to say, it is the large size ah!")</f>
        <v>Big quality did not have to say, it is the large size ah!</v>
      </c>
    </row>
    <row r="8309">
      <c r="A8309" s="1">
        <v>5.0</v>
      </c>
      <c r="B8309" s="1" t="s">
        <v>8258</v>
      </c>
      <c r="C8309" t="str">
        <f>IFERROR(__xludf.DUMMYFUNCTION("GOOGLETRANSLATE(B8309, ""zh"", ""en"")"),"it is good! Friends say looked beautiful! Etc., etc. I was anxious receipt")</f>
        <v>it is good! Friends say looked beautiful! Etc., etc. I was anxious receipt</v>
      </c>
    </row>
    <row r="8310">
      <c r="A8310" s="1">
        <v>5.0</v>
      </c>
      <c r="B8310" s="1" t="s">
        <v>8259</v>
      </c>
      <c r="C8310" t="str">
        <f>IFERROR(__xludf.DUMMYFUNCTION("GOOGLETRANSLATE(B8310, ""zh"", ""en"")"),"Yes really works, I feel much better tone")</f>
        <v>Yes really works, I feel much better tone</v>
      </c>
    </row>
    <row r="8311">
      <c r="A8311" s="1">
        <v>5.0</v>
      </c>
      <c r="B8311" s="1" t="s">
        <v>8260</v>
      </c>
      <c r="C8311" t="str">
        <f>IFERROR(__xludf.DUMMYFUNCTION("GOOGLETRANSLATE(B8311, ""zh"", ""en"")"),"Start taking began taking shortly, need long-term use can only display, at least for now does not appear unwell")</f>
        <v>Start taking began taking shortly, need long-term use can only display, at least for now does not appear unwell</v>
      </c>
    </row>
    <row r="8312">
      <c r="A8312" s="1">
        <v>5.0</v>
      </c>
      <c r="B8312" s="1" t="s">
        <v>8261</v>
      </c>
      <c r="C8312" t="str">
        <f>IFERROR(__xludf.DUMMYFUNCTION("GOOGLETRANSLATE(B8312, ""zh"", ""en"")"),"I believe Amazon is believed to be genuine overseas purchase, to help colleagues to buy, than I used to buy direct mail from Nichia back to cost.")</f>
        <v>I believe Amazon is believed to be genuine overseas purchase, to help colleagues to buy, than I used to buy direct mail from Nichia back to cost.</v>
      </c>
    </row>
    <row r="8313">
      <c r="A8313" s="1">
        <v>2.0</v>
      </c>
      <c r="B8313" s="1" t="s">
        <v>8262</v>
      </c>
      <c r="C8313" t="str">
        <f>IFERROR(__xludf.DUMMYFUNCTION("GOOGLETRANSLATE(B8313, ""zh"", ""en"")"),"Vitamin poor vitamin Why eat this, after exercise or long mouth sores? Vitamins and eat your point of other brands not long mouth sores?")</f>
        <v>Vitamin poor vitamin Why eat this, after exercise or long mouth sores? Vitamins and eat your point of other brands not long mouth sores?</v>
      </c>
    </row>
    <row r="8314">
      <c r="A8314" s="1">
        <v>3.0</v>
      </c>
      <c r="B8314" s="1" t="s">
        <v>8263</v>
      </c>
      <c r="C8314" t="str">
        <f>IFERROR(__xludf.DUMMYFUNCTION("GOOGLETRANSLATE(B8314, ""zh"", ""en"")"),"Size is too large size is too large, 1.63 m, 90 kg. No physical chest logo, there are velvet, but is thin")</f>
        <v>Size is too large size is too large, 1.63 m, 90 kg. No physical chest logo, there are velvet, but is thin</v>
      </c>
    </row>
    <row r="8315">
      <c r="A8315" s="1">
        <v>3.0</v>
      </c>
      <c r="B8315" s="1" t="s">
        <v>8264</v>
      </c>
      <c r="C8315" t="str">
        <f>IFERROR(__xludf.DUMMYFUNCTION("GOOGLETRANSLATE(B8315, ""zh"", ""en"")"),"Quality in general lee of 31x30 been wearing jeans, but obviously oversized pants. Baitai Ming significant wear knee position.")</f>
        <v>Quality in general lee of 31x30 been wearing jeans, but obviously oversized pants. Baitai Ming significant wear knee position.</v>
      </c>
    </row>
    <row r="8316">
      <c r="A8316" s="1">
        <v>3.0</v>
      </c>
      <c r="B8316" s="1" t="s">
        <v>8265</v>
      </c>
      <c r="C8316" t="str">
        <f>IFERROR(__xludf.DUMMYFUNCTION("GOOGLETRANSLATE(B8316, ""zh"", ""en"")"),"Good comfortable, very appropriate size")</f>
        <v>Good comfortable, very appropriate size</v>
      </c>
    </row>
    <row r="8317">
      <c r="A8317" s="1">
        <v>1.0</v>
      </c>
      <c r="B8317" s="1" t="s">
        <v>8266</v>
      </c>
      <c r="C8317" t="str">
        <f>IFERROR(__xludf.DUMMYFUNCTION("GOOGLETRANSLATE(B8317, ""zh"", ""en"")"),"Casio f-91w have color! It is ginger and a little.")</f>
        <v>Casio f-91w have color! It is ginger and a little.</v>
      </c>
    </row>
    <row r="8318">
      <c r="A8318" s="1">
        <v>1.0</v>
      </c>
      <c r="B8318" s="1" t="s">
        <v>8267</v>
      </c>
      <c r="C8318" t="str">
        <f>IFERROR(__xludf.DUMMYFUNCTION("GOOGLETRANSLATE(B8318, ""zh"", ""en"")"),"Is simply too much garbage! Clothes did not tag, poor workmanship, like second-hand, poor and thin cloth feeling that tears easily")</f>
        <v>Is simply too much garbage! Clothes did not tag, poor workmanship, like second-hand, poor and thin cloth feeling that tears easily</v>
      </c>
    </row>
    <row r="8319">
      <c r="A8319" s="1">
        <v>1.0</v>
      </c>
      <c r="B8319" s="1" t="s">
        <v>8268</v>
      </c>
      <c r="C8319" t="str">
        <f>IFERROR(__xludf.DUMMYFUNCTION("GOOGLETRANSLATE(B8319, ""zh"", ""en"")"),"c spicy chicken products, please do not buy ...")</f>
        <v>c spicy chicken products, please do not buy ...</v>
      </c>
    </row>
    <row r="8320">
      <c r="A8320" s="1">
        <v>4.0</v>
      </c>
      <c r="B8320" s="1" t="s">
        <v>8269</v>
      </c>
      <c r="C8320" t="str">
        <f>IFERROR(__xludf.DUMMYFUNCTION("GOOGLETRANSLATE(B8320, ""zh"", ""en"")"),"Buckle shoes very good customer service to a star, 260 feet long wear eight yards appropriate, into his finger. Instep pressure a little irritated that the order of things, contact customer service four times, because two weeks after orders not shipped. T"&amp;"he first customer service that I paid a problem, a few days after the second customer service said no problem was picking, I do not see it here, just a few days after the third call back system is a bit tricky point that makes me question re-orders, good "&amp;"attitude back to me make up the difference, mainly the first two customer service a little gas, and even told me that no problem exo me")</f>
        <v>Buckle shoes very good customer service to a star, 260 feet long wear eight yards appropriate, into his finger. Instep pressure a little irritated that the order of things, contact customer service four times, because two weeks after orders not shipped. The first customer service that I paid a problem, a few days after the second customer service said no problem was picking, I do not see it here, just a few days after the third call back system is a bit tricky point that makes me question re-orders, good attitude back to me make up the difference, mainly the first two customer service a little gas, and even told me that no problem exo me</v>
      </c>
    </row>
    <row r="8321">
      <c r="A8321" s="1">
        <v>4.0</v>
      </c>
      <c r="B8321" s="1" t="s">
        <v>8270</v>
      </c>
      <c r="C8321" t="str">
        <f>IFERROR(__xludf.DUMMYFUNCTION("GOOGLETRANSLATE(B8321, ""zh"", ""en"")"),"Warm sportswear, good quality warm, good quality, set a little bit large, M code suitable for 170 people or 180 fat little slim.")</f>
        <v>Warm sportswear, good quality warm, good quality, set a little bit large, M code suitable for 170 people or 180 fat little slim.</v>
      </c>
    </row>
    <row r="8322">
      <c r="A8322" s="1">
        <v>4.0</v>
      </c>
      <c r="B8322" s="1" t="s">
        <v>8271</v>
      </c>
      <c r="C8322" t="str">
        <f>IFERROR(__xludf.DUMMYFUNCTION("GOOGLETRANSLATE(B8322, ""zh"", ""en"")"),"Comfortable to wear very comfortable, the right size, is the fear of difficult to take care")</f>
        <v>Comfortable to wear very comfortable, the right size, is the fear of difficult to take care</v>
      </c>
    </row>
    <row r="8323">
      <c r="A8323" s="1">
        <v>4.0</v>
      </c>
      <c r="B8323" s="1" t="s">
        <v>8272</v>
      </c>
      <c r="C8323" t="str">
        <f>IFERROR(__xludf.DUMMYFUNCTION("GOOGLETRANSLATE(B8323, ""zh"", ""en"")"),"Yes purse is leather, but leather in general, inside the documents folder is dead, if it is to live like, gift boxes, quite on the level, send the key chain useless. India produced.")</f>
        <v>Yes purse is leather, but leather in general, inside the documents folder is dead, if it is to live like, gift boxes, quite on the level, send the key chain useless. India produced.</v>
      </c>
    </row>
    <row r="8324">
      <c r="A8324" s="1">
        <v>4.0</v>
      </c>
      <c r="B8324" s="1" t="s">
        <v>8273</v>
      </c>
      <c r="C8324" t="str">
        <f>IFERROR(__xludf.DUMMYFUNCTION("GOOGLETRANSLATE(B8324, ""zh"", ""en"")"),"Severe bleaching clothes can be, is a multi-thread, severe bleaching, saline soaked wash a few water is still very powerful, the water dark")</f>
        <v>Severe bleaching clothes can be, is a multi-thread, severe bleaching, saline soaked wash a few water is still very powerful, the water dark</v>
      </c>
    </row>
    <row r="8325">
      <c r="A8325" s="1">
        <v>5.0</v>
      </c>
      <c r="B8325" s="1" t="s">
        <v>8274</v>
      </c>
      <c r="C8325" t="str">
        <f>IFERROR(__xludf.DUMMYFUNCTION("GOOGLETRANSLATE(B8325, ""zh"", ""en"")"),"Good is said to be the best of the US version of quantum, can now bowl are not particularly dirty it, and did not feel what quantum Deya not the same place")</f>
        <v>Good is said to be the best of the US version of quantum, can now bowl are not particularly dirty it, and did not feel what quantum Deya not the same place</v>
      </c>
    </row>
    <row r="8326">
      <c r="A8326" s="1">
        <v>5.0</v>
      </c>
      <c r="B8326" s="1" t="s">
        <v>8275</v>
      </c>
      <c r="C8326" t="str">
        <f>IFERROR(__xludf.DUMMYFUNCTION("GOOGLETRANSLATE(B8326, ""zh"", ""en"")"),"Completely and I think the same, including the larger size than the size of the domestic GAP and then a small number of buy two, have to say, because Americans are getting fatter, they began to follow the size of clothes are changed, you must stay in mind"&amp;" . Finally, a word just right, the color, softness are good, the price did not catch five black super cheap, but buying CK Jeans and domestic value of the ratio must be.")</f>
        <v>Completely and I think the same, including the larger size than the size of the domestic GAP and then a small number of buy two, have to say, because Americans are getting fatter, they began to follow the size of clothes are changed, you must stay in mind . Finally, a word just right, the color, softness are good, the price did not catch five black super cheap, but buying CK Jeans and domestic value of the ratio must be.</v>
      </c>
    </row>
    <row r="8327">
      <c r="A8327" s="1">
        <v>5.0</v>
      </c>
      <c r="B8327" s="1" t="s">
        <v>8276</v>
      </c>
      <c r="C8327" t="str">
        <f>IFERROR(__xludf.DUMMYFUNCTION("GOOGLETRANSLATE(B8327, ""zh"", ""en"")"),"Recommended to choose less expensive imported imported Yan practical value of similar goods is recommended to choose to play overseas purchase function live together")</f>
        <v>Recommended to choose less expensive imported imported Yan practical value of similar goods is recommended to choose to play overseas purchase function live together</v>
      </c>
    </row>
    <row r="8328">
      <c r="A8328" s="1">
        <v>5.0</v>
      </c>
      <c r="B8328" s="1" t="s">
        <v>8277</v>
      </c>
      <c r="C8328" t="str">
        <f>IFERROR(__xludf.DUMMYFUNCTION("GOOGLETRANSLATE(B8328, ""zh"", ""en"")"),"Hair Dryer received today, it should be pretty good")</f>
        <v>Hair Dryer received today, it should be pretty good</v>
      </c>
    </row>
    <row r="8329">
      <c r="A8329" s="1">
        <v>5.0</v>
      </c>
      <c r="B8329" s="1" t="s">
        <v>8278</v>
      </c>
      <c r="C8329" t="str">
        <f>IFERROR(__xludf.DUMMYFUNCTION("GOOGLETRANSLATE(B8329, ""zh"", ""en"")"),"How no customer bought shoes and clothes are not good to wear, shoes, small, big clothes,")</f>
        <v>How no customer bought shoes and clothes are not good to wear, shoes, small, big clothes,</v>
      </c>
    </row>
    <row r="8330">
      <c r="A8330" s="1">
        <v>5.0</v>
      </c>
      <c r="B8330" s="1" t="s">
        <v>8279</v>
      </c>
      <c r="C8330" t="str">
        <f>IFERROR(__xludf.DUMMYFUNCTION("GOOGLETRANSLATE(B8330, ""zh"", ""en"")"),"C Yes, only 17,575 can not slim version just slightly longer sleeves but can hold live good friends")</f>
        <v>C Yes, only 17,575 can not slim version just slightly longer sleeves but can hold live good friends</v>
      </c>
    </row>
    <row r="8331">
      <c r="A8331" s="1">
        <v>5.0</v>
      </c>
      <c r="B8331" s="1" t="s">
        <v>8280</v>
      </c>
      <c r="C8331" t="str">
        <f>IFERROR(__xludf.DUMMYFUNCTION("GOOGLETRANSLATE(B8331, ""zh"", ""en"")"),"Good speakers do not quite understand what the quality of the sound field what, it sounds very comfortable")</f>
        <v>Good speakers do not quite understand what the quality of the sound field what, it sounds very comfortable</v>
      </c>
    </row>
    <row r="8332">
      <c r="A8332" s="1">
        <v>5.0</v>
      </c>
      <c r="B8332" s="1" t="s">
        <v>8281</v>
      </c>
      <c r="C8332" t="str">
        <f>IFERROR(__xludf.DUMMYFUNCTION("GOOGLETRANSLATE(B8332, ""zh"", ""en"")"),"Well great shorts, breathable, supple")</f>
        <v>Well great shorts, breathable, supple</v>
      </c>
    </row>
    <row r="8333">
      <c r="A8333" s="1">
        <v>5.0</v>
      </c>
      <c r="B8333" s="1" t="s">
        <v>8282</v>
      </c>
      <c r="C8333" t="str">
        <f>IFERROR(__xludf.DUMMYFUNCTION("GOOGLETRANSLATE(B8333, ""zh"", ""en"")"),"Good to wear underwear right size and comfortable to wear, very good to wear. I suggest that you buy.")</f>
        <v>Good to wear underwear right size and comfortable to wear, very good to wear. I suggest that you buy.</v>
      </c>
    </row>
    <row r="8334">
      <c r="A8334" s="1">
        <v>5.0</v>
      </c>
      <c r="B8334" s="1" t="s">
        <v>8283</v>
      </c>
      <c r="C8334" t="str">
        <f>IFERROR(__xludf.DUMMYFUNCTION("GOOGLETRANSLATE(B8334, ""zh"", ""en"")"),"Great casual style shoes look good, wear sports comfortable, affordable")</f>
        <v>Great casual style shoes look good, wear sports comfortable, affordable</v>
      </c>
    </row>
    <row r="8335">
      <c r="A8335" s="1">
        <v>5.0</v>
      </c>
      <c r="B8335" s="1" t="s">
        <v>8284</v>
      </c>
      <c r="C8335" t="str">
        <f>IFERROR(__xludf.DUMMYFUNCTION("GOOGLETRANSLATE(B8335, ""zh"", ""en"")"),"This is where the production ,, usually 43-43.5 shoe size, high instep. This bis 9-9.5 (43 yards) Very suitable")</f>
        <v>This is where the production ,, usually 43-43.5 shoe size, high instep. This bis 9-9.5 (43 yards) Very suitable</v>
      </c>
    </row>
    <row r="8336">
      <c r="A8336" s="1">
        <v>5.0</v>
      </c>
      <c r="B8336" s="1" t="s">
        <v>8285</v>
      </c>
      <c r="C8336" t="str">
        <f>IFERROR(__xludf.DUMMYFUNCTION("GOOGLETRANSLATE(B8336, ""zh"", ""en"")"),"Cheaper than domestic prices wearing just her husband, the price of beauty")</f>
        <v>Cheaper than domestic prices wearing just her husband, the price of beauty</v>
      </c>
    </row>
    <row r="8337">
      <c r="A8337" s="1">
        <v>5.0</v>
      </c>
      <c r="B8337" s="1" t="s">
        <v>8286</v>
      </c>
      <c r="C8337" t="str">
        <f>IFERROR(__xludf.DUMMYFUNCTION("GOOGLETRANSLATE(B8337, ""zh"", ""en"")"),"Leading is not expensive faucet is not expensive, but with the need to turn Angle 2 4 3 (100 yuan), also need to add two extension tubes (190 yuan Grohe original, cheap no-name), which spend nearly out 300 yuan, ha ha, down overall feeling is not cheap .."&amp;"....")</f>
        <v>Leading is not expensive faucet is not expensive, but with the need to turn Angle 2 4 3 (100 yuan), also need to add two extension tubes (190 yuan Grohe original, cheap no-name), which spend nearly out 300 yuan, ha ha, down overall feeling is not cheap ......</v>
      </c>
    </row>
    <row r="8338">
      <c r="A8338" s="1">
        <v>5.0</v>
      </c>
      <c r="B8338" s="1" t="s">
        <v>8287</v>
      </c>
      <c r="C8338" t="str">
        <f>IFERROR(__xludf.DUMMYFUNCTION("GOOGLETRANSLATE(B8338, ""zh"", ""en"")"),"Genuine shoes are very comfortable, good!")</f>
        <v>Genuine shoes are very comfortable, good!</v>
      </c>
    </row>
    <row r="8339">
      <c r="A8339" s="1">
        <v>5.0</v>
      </c>
      <c r="B8339" s="1" t="s">
        <v>8288</v>
      </c>
      <c r="C8339" t="str">
        <f>IFERROR(__xludf.DUMMYFUNCTION("GOOGLETRANSLATE(B8339, ""zh"", ""en"")"),"1 thing is good is the color pictures and objects are not the same kind of deep color than the picture")</f>
        <v>1 thing is good is the color pictures and objects are not the same kind of deep color than the picture</v>
      </c>
    </row>
    <row r="8340">
      <c r="A8340" s="1">
        <v>5.0</v>
      </c>
      <c r="B8340" s="1" t="s">
        <v>8289</v>
      </c>
      <c r="C8340" t="str">
        <f>IFERROR(__xludf.DUMMYFUNCTION("GOOGLETRANSLATE(B8340, ""zh"", ""en"")"),"Good very good. Very small, there are many separate")</f>
        <v>Good very good. Very small, there are many separate</v>
      </c>
    </row>
    <row r="8341">
      <c r="A8341" s="1">
        <v>5.0</v>
      </c>
      <c r="B8341" s="1" t="s">
        <v>8290</v>
      </c>
      <c r="C8341" t="str">
        <f>IFERROR(__xludf.DUMMYFUNCTION("GOOGLETRANSLATE(B8341, ""zh"", ""en"")"),"Super good children's use is very good. well")</f>
        <v>Super good children's use is very good. well</v>
      </c>
    </row>
    <row r="8342">
      <c r="A8342" s="1">
        <v>5.0</v>
      </c>
      <c r="B8342" s="1" t="s">
        <v>8291</v>
      </c>
      <c r="C8342" t="str">
        <f>IFERROR(__xludf.DUMMYFUNCTION("GOOGLETRANSLATE(B8342, ""zh"", ""en"")"),"Inexpensive hand looks like about 185. Order No. 5, No. 10 hand. Unlike mug cup bottom, a circle is applied to a plastic pad, afraid cup base paint scratches. Cup uncoated, do not know will not produce odor. Coated mug and kettle, which put a long time th"&amp;"ere will not be water odor. Cup is a common way to swing open. Color is dark cocoa color, no color, and KB48 classic dark cocoa color as texture. 750ml single hand fit, no Tisheng. Like something printed, insulation goes without saying.")</f>
        <v>Inexpensive hand looks like about 185. Order No. 5, No. 10 hand. Unlike mug cup bottom, a circle is applied to a plastic pad, afraid cup base paint scratches. Cup uncoated, do not know will not produce odor. Coated mug and kettle, which put a long time there will not be water odor. Cup is a common way to swing open. Color is dark cocoa color, no color, and KB48 classic dark cocoa color as texture. 750ml single hand fit, no Tisheng. Like something printed, insulation goes without saying.</v>
      </c>
    </row>
    <row r="8343">
      <c r="A8343" s="1">
        <v>5.0</v>
      </c>
      <c r="B8343" s="1" t="s">
        <v>8292</v>
      </c>
      <c r="C8343" t="str">
        <f>IFERROR(__xludf.DUMMYFUNCTION("GOOGLETRANSLATE(B8343, ""zh"", ""en"")"),"Good price standard to replace the head, two years do not seem to buy")</f>
        <v>Good price standard to replace the head, two years do not seem to buy</v>
      </c>
    </row>
    <row r="8344">
      <c r="A8344" s="1">
        <v>5.0</v>
      </c>
      <c r="B8344" s="1" t="s">
        <v>8293</v>
      </c>
      <c r="C8344" t="str">
        <f>IFERROR(__xludf.DUMMYFUNCTION("GOOGLETRANSLATE(B8344, ""zh"", ""en"")"),"Loose version type, suitable for wearing fat. 170cm, 90kg, L code suitable wear")</f>
        <v>Loose version type, suitable for wearing fat. 170cm, 90kg, L code suitable wear</v>
      </c>
    </row>
    <row r="8345">
      <c r="A8345" s="1">
        <v>5.0</v>
      </c>
      <c r="B8345" s="1" t="s">
        <v>8294</v>
      </c>
      <c r="C8345" t="str">
        <f>IFERROR(__xludf.DUMMYFUNCTION("GOOGLETRANSLATE(B8345, ""zh"", ""en"")"),"Nice hat slightly larger a little bit, the other nothing to be desired.")</f>
        <v>Nice hat slightly larger a little bit, the other nothing to be desired.</v>
      </c>
    </row>
    <row r="8346">
      <c r="A8346" s="1">
        <v>5.0</v>
      </c>
      <c r="B8346" s="1" t="s">
        <v>8295</v>
      </c>
      <c r="C8346" t="str">
        <f>IFERROR(__xludf.DUMMYFUNCTION("GOOGLETRANSLATE(B8346, ""zh"", ""en"")"),"You can also Mmm not use, looked good, very good quality")</f>
        <v>You can also Mmm not use, looked good, very good quality</v>
      </c>
    </row>
    <row r="8347">
      <c r="A8347" s="1">
        <v>2.0</v>
      </c>
      <c r="B8347" s="1" t="s">
        <v>8296</v>
      </c>
      <c r="C8347" t="str">
        <f>IFERROR(__xludf.DUMMYFUNCTION("GOOGLETRANSLATE(B8347, ""zh"", ""en"")"),"Iron Belt Iron Belt deducted deducted paint paint, really disappointed")</f>
        <v>Iron Belt Iron Belt deducted deducted paint paint, really disappointed</v>
      </c>
    </row>
    <row r="8348">
      <c r="A8348" s="1">
        <v>3.0</v>
      </c>
      <c r="B8348" s="1" t="s">
        <v>8297</v>
      </c>
      <c r="C8348" t="str">
        <f>IFERROR(__xludf.DUMMYFUNCTION("GOOGLETRANSLATE(B8348, ""zh"", ""en"")"),"Pants good price, better quality, is too big pants Honestly receive quality is very good, freight is also cheap, remember that chose sizes 34, 36 becomes inexplicable how the return shipping is too expensive and had low price Taobao disposed of")</f>
        <v>Pants good price, better quality, is too big pants Honestly receive quality is very good, freight is also cheap, remember that chose sizes 34, 36 becomes inexplicable how the return shipping is too expensive and had low price Taobao disposed of</v>
      </c>
    </row>
    <row r="8349">
      <c r="A8349" s="1">
        <v>3.0</v>
      </c>
      <c r="B8349" s="1" t="s">
        <v>8298</v>
      </c>
      <c r="C8349" t="str">
        <f>IFERROR(__xludf.DUMMYFUNCTION("GOOGLETRANSLATE(B8349, ""zh"", ""en"")"),"Wash it again, discolored water was amazing! I do not know is not genuine, last night, I wash it and found good water discoloration deep, I do not know the back will not fade very powerful!")</f>
        <v>Wash it again, discolored water was amazing! I do not know is not genuine, last night, I wash it and found good water discoloration deep, I do not know the back will not fade very powerful!</v>
      </c>
    </row>
    <row r="8350">
      <c r="A8350" s="1">
        <v>3.0</v>
      </c>
      <c r="B8350" s="1" t="s">
        <v>8299</v>
      </c>
      <c r="C8350" t="str">
        <f>IFERROR(__xludf.DUMMYFUNCTION("GOOGLETRANSLATE(B8350, ""zh"", ""en"")"),"Size too big too big US version of the larger than usual wear")</f>
        <v>Size too big too big US version of the larger than usual wear</v>
      </c>
    </row>
    <row r="8351">
      <c r="A8351" s="1">
        <v>1.0</v>
      </c>
      <c r="B8351" s="1" t="s">
        <v>8300</v>
      </c>
      <c r="C8351" t="str">
        <f>IFERROR(__xludf.DUMMYFUNCTION("GOOGLETRANSLATE(B8351, ""zh"", ""en"")"),"Overpriced stuff overpaid, a few days down 500 yuan, after things do not touch JBL")</f>
        <v>Overpriced stuff overpaid, a few days down 500 yuan, after things do not touch JBL</v>
      </c>
    </row>
    <row r="8352">
      <c r="A8352" s="1">
        <v>1.0</v>
      </c>
      <c r="B8352" s="1" t="s">
        <v>8301</v>
      </c>
      <c r="C8352" t="str">
        <f>IFERROR(__xludf.DUMMYFUNCTION("GOOGLETRANSLATE(B8352, ""zh"", ""en"")"),"madeinchina transport speed is satisfied, waist 32, this belt buckle two countdown, cheap feeling full, packed on a plastic bag Nautica brand clothes do not match at every turn thousands, to buy time did not read reviews, too lazy to back , 100 pieces of "&amp;"stuff")</f>
        <v>madeinchina transport speed is satisfied, waist 32, this belt buckle two countdown, cheap feeling full, packed on a plastic bag Nautica brand clothes do not match at every turn thousands, to buy time did not read reviews, too lazy to back , 100 pieces of stuff</v>
      </c>
    </row>
    <row r="8353">
      <c r="A8353" s="1">
        <v>4.0</v>
      </c>
      <c r="B8353" s="1" t="s">
        <v>8302</v>
      </c>
      <c r="C8353" t="str">
        <f>IFERROR(__xludf.DUMMYFUNCTION("GOOGLETRANSLATE(B8353, ""zh"", ""en"")"),"Very satisfied with the right size, feel good, I am 170cm, 65kg, thin, suitable for inside wear")</f>
        <v>Very satisfied with the right size, feel good, I am 170cm, 65kg, thin, suitable for inside wear</v>
      </c>
    </row>
    <row r="8354">
      <c r="A8354" s="1">
        <v>4.0</v>
      </c>
      <c r="B8354" s="1" t="s">
        <v>8303</v>
      </c>
      <c r="C8354" t="str">
        <f>IFERROR(__xludf.DUMMYFUNCTION("GOOGLETRANSLATE(B8354, ""zh"", ""en"")"),"Not too large from previous reviews, I do not know how many wasted points, points can change money now know, they should look carefully evaluated, then I put these words to copy to go, both to earn points, but also save trouble, where one copy where, most"&amp;" importantly, do not seriously review, do not think how much worse word, sent directly to it, recommend it to everyone! !")</f>
        <v>Not too large from previous reviews, I do not know how many wasted points, points can change money now know, they should look carefully evaluated, then I put these words to copy to go, both to earn points, but also save trouble, where one copy where, most importantly, do not seriously review, do not think how much worse word, sent directly to it, recommend it to everyone! !</v>
      </c>
    </row>
    <row r="8355">
      <c r="A8355" s="1">
        <v>4.0</v>
      </c>
      <c r="B8355" s="1" t="s">
        <v>8304</v>
      </c>
      <c r="C8355" t="str">
        <f>IFERROR(__xludf.DUMMYFUNCTION("GOOGLETRANSLATE(B8355, ""zh"", ""en"")"),"Okay Usually wear Adidas shoes 38, 37.5 wear this just right, girls wear. As true and false do not judge, we own discretion, the label produced in Vietnam. This shoe is a side view of the United States and the United States. Less than six hundred prices g"&amp;"et, the black is buying, Europe and Asia")</f>
        <v>Okay Usually wear Adidas shoes 38, 37.5 wear this just right, girls wear. As true and false do not judge, we own discretion, the label produced in Vietnam. This shoe is a side view of the United States and the United States. Less than six hundred prices get, the black is buying, Europe and Asia</v>
      </c>
    </row>
    <row r="8356">
      <c r="A8356" s="1">
        <v>4.0</v>
      </c>
      <c r="B8356" s="1" t="s">
        <v>8305</v>
      </c>
      <c r="C8356" t="str">
        <f>IFERROR(__xludf.DUMMYFUNCTION("GOOGLETRANSLATE(B8356, ""zh"", ""en"")"),"Use a good cleaning to eat watermelon in the summer, but unfortunately also eat once a quarter, buy a juicer that is simple, easy to use and easy to clean. It should be used to make smoothies, and free to try ~")</f>
        <v>Use a good cleaning to eat watermelon in the summer, but unfortunately also eat once a quarter, buy a juicer that is simple, easy to use and easy to clean. It should be used to make smoothies, and free to try ~</v>
      </c>
    </row>
    <row r="8357">
      <c r="A8357" s="1">
        <v>4.0</v>
      </c>
      <c r="B8357" s="1" t="s">
        <v>8306</v>
      </c>
      <c r="C8357" t="str">
        <f>IFERROR(__xludf.DUMMYFUNCTION("GOOGLETRANSLATE(B8357, ""zh"", ""en"")"),"This figure also sorry material generally clothes, tight stomach too big, trying to lose weight well worthy of this dress.")</f>
        <v>This figure also sorry material generally clothes, tight stomach too big, trying to lose weight well worthy of this dress.</v>
      </c>
    </row>
    <row r="8358">
      <c r="A8358" s="1">
        <v>5.0</v>
      </c>
      <c r="B8358" s="1" t="s">
        <v>8307</v>
      </c>
      <c r="C8358" t="str">
        <f>IFERROR(__xludf.DUMMYFUNCTION("GOOGLETRANSLATE(B8358, ""zh"", ""en"")"),"Buy 1TB, prices are JD, TT cheap nearly 1,000, it is value. 15 years in 11 double TT 240G bought a Toshiba SSDs, the only hard drive on a laptop, less than a year corrupted data loss, can not be repaired, the other students at the same time also scrapped "&amp;"some time ago to buy, buy SSDs choose from after the decision large capacity, and bid farewell to TT, the TT really buy electronic products do not mind a little spectrum, what to buy anything bad, memory, solid state drives, and so on. He said that this s"&amp;"olid-state drive, my laptop is 12 years to buy Fujitsu LH772,4G of 1600MH memory, i5-3210CPU, evaluation as it is, you can reference. The hard, really, there is only one commodity SSDs, I also installed inside the notebook support under that thing, where "&amp;"two one yuan RMB fold. SanDisk written above, Warranty, 3 year warranty.")</f>
        <v>Buy 1TB, prices are JD, TT cheap nearly 1,000, it is value. 15 years in 11 double TT 240G bought a Toshiba SSDs, the only hard drive on a laptop, less than a year corrupted data loss, can not be repaired, the other students at the same time also scrapped some time ago to buy, buy SSDs choose from after the decision large capacity, and bid farewell to TT, the TT really buy electronic products do not mind a little spectrum, what to buy anything bad, memory, solid state drives, and so on. He said that this solid-state drive, my laptop is 12 years to buy Fujitsu LH772,4G of 1600MH memory, i5-3210CPU, evaluation as it is, you can reference. The hard, really, there is only one commodity SSDs, I also installed inside the notebook support under that thing, where two one yuan RMB fold. SanDisk written above, Warranty, 3 year warranty.</v>
      </c>
    </row>
    <row r="8359">
      <c r="A8359" s="1">
        <v>5.0</v>
      </c>
      <c r="B8359" s="1" t="s">
        <v>8308</v>
      </c>
      <c r="C8359" t="str">
        <f>IFERROR(__xludf.DUMMYFUNCTION("GOOGLETRANSLATE(B8359, ""zh"", ""en"")"),"When the opportunity to purchase good quality depreciation, start with the first eight, the quality is very good, with random distribution brush than did feel a different place, in general, value!")</f>
        <v>When the opportunity to purchase good quality depreciation, start with the first eight, the quality is very good, with random distribution brush than did feel a different place, in general, value!</v>
      </c>
    </row>
    <row r="8360">
      <c r="A8360" s="1">
        <v>5.0</v>
      </c>
      <c r="B8360" s="1" t="s">
        <v>8309</v>
      </c>
      <c r="C8360" t="str">
        <f>IFERROR(__xludf.DUMMYFUNCTION("GOOGLETRANSLATE(B8360, ""zh"", ""en"")"),"Good fit, comfortable fabric good texture!")</f>
        <v>Good fit, comfortable fabric good texture!</v>
      </c>
    </row>
    <row r="8361">
      <c r="A8361" s="1">
        <v>5.0</v>
      </c>
      <c r="B8361" s="1" t="s">
        <v>8310</v>
      </c>
      <c r="C8361" t="str">
        <f>IFERROR(__xludf.DUMMYFUNCTION("GOOGLETRANSLATE(B8361, ""zh"", ""en"")"),"Complementary feeding spoon baby was two months, supplementary food stockpile for the future.")</f>
        <v>Complementary feeding spoon baby was two months, supplementary food stockpile for the future.</v>
      </c>
    </row>
    <row r="8362">
      <c r="A8362" s="1">
        <v>5.0</v>
      </c>
      <c r="B8362" s="1" t="s">
        <v>8311</v>
      </c>
      <c r="C8362" t="str">
        <f>IFERROR(__xludf.DUMMYFUNCTION("GOOGLETRANSLATE(B8362, ""zh"", ""en"")"),"Recommended feel comfortable buying new, beautiful, ultra-light, super-insulation for girls schools, but also for going out or office! Big and cheap, recommended, already bought the N")</f>
        <v>Recommended feel comfortable buying new, beautiful, ultra-light, super-insulation for girls schools, but also for going out or office! Big and cheap, recommended, already bought the N</v>
      </c>
    </row>
    <row r="8363">
      <c r="A8363" s="1">
        <v>5.0</v>
      </c>
      <c r="B8363" s="1" t="s">
        <v>8312</v>
      </c>
      <c r="C8363" t="str">
        <f>IFERROR(__xludf.DUMMYFUNCTION("GOOGLETRANSLATE(B8363, ""zh"", ""en"")"),"Work good work good, details are in place")</f>
        <v>Work good work good, details are in place</v>
      </c>
    </row>
    <row r="8364">
      <c r="A8364" s="1">
        <v>5.0</v>
      </c>
      <c r="B8364" s="1" t="s">
        <v>8313</v>
      </c>
      <c r="C8364" t="str">
        <f>IFERROR(__xludf.DUMMYFUNCTION("GOOGLETRANSLATE(B8364, ""zh"", ""en"")"),"Affordable easy to use and affordable, than the domestic offer 200")</f>
        <v>Affordable easy to use and affordable, than the domestic offer 200</v>
      </c>
    </row>
    <row r="8365">
      <c r="A8365" s="1">
        <v>5.0</v>
      </c>
      <c r="B8365" s="1" t="s">
        <v>8314</v>
      </c>
      <c r="C8365" t="str">
        <f>IFERROR(__xludf.DUMMYFUNCTION("GOOGLETRANSLATE(B8365, ""zh"", ""en"")"),"Pilling right size, material is very thin, very comfortable to wear, is washed several times pilling up")</f>
        <v>Pilling right size, material is very thin, very comfortable to wear, is washed several times pilling up</v>
      </c>
    </row>
    <row r="8366">
      <c r="A8366" s="1">
        <v>5.0</v>
      </c>
      <c r="B8366" s="1" t="s">
        <v>8315</v>
      </c>
      <c r="C8366" t="str">
        <f>IFERROR(__xludf.DUMMYFUNCTION("GOOGLETRANSLATE(B8366, ""zh"", ""en"")"),"Good marathon equipment originally bought glycerol 15, retired, 16 the price is very appropriate. Ready to run the course, so buy big half a yard.")</f>
        <v>Good marathon equipment originally bought glycerol 15, retired, 16 the price is very appropriate. Ready to run the course, so buy big half a yard.</v>
      </c>
    </row>
    <row r="8367">
      <c r="A8367" s="1">
        <v>5.0</v>
      </c>
      <c r="B8367" s="1" t="s">
        <v>8316</v>
      </c>
      <c r="C8367" t="str">
        <f>IFERROR(__xludf.DUMMYFUNCTION("GOOGLETRANSLATE(B8367, ""zh"", ""en"")"),"After washing once water is not yet a good thing, but do not wash after water yet?")</f>
        <v>After washing once water is not yet a good thing, but do not wash after water yet?</v>
      </c>
    </row>
    <row r="8368">
      <c r="A8368" s="1">
        <v>5.0</v>
      </c>
      <c r="B8368" s="1" t="s">
        <v>8317</v>
      </c>
      <c r="C8368" t="str">
        <f>IFERROR(__xludf.DUMMYFUNCTION("GOOGLETRANSLATE(B8368, ""zh"", ""en"")"),"Very satisfied Martin's 2976 Chelsea than 1460 comfortable to wear too much, on the other has oiled the arrival of winter, the first overseas purchase very satisfied, praise!")</f>
        <v>Very satisfied Martin's 2976 Chelsea than 1460 comfortable to wear too much, on the other has oiled the arrival of winter, the first overseas purchase very satisfied, praise!</v>
      </c>
    </row>
    <row r="8369">
      <c r="A8369" s="1">
        <v>5.0</v>
      </c>
      <c r="B8369" s="1" t="s">
        <v>8318</v>
      </c>
      <c r="C8369" t="str">
        <f>IFERROR(__xludf.DUMMYFUNCTION("GOOGLETRANSLATE(B8369, ""zh"", ""en"")"),"My comments I feel very good and satisfactory")</f>
        <v>My comments I feel very good and satisfactory</v>
      </c>
    </row>
    <row r="8370">
      <c r="A8370" s="1">
        <v>5.0</v>
      </c>
      <c r="B8370" s="1" t="s">
        <v>8319</v>
      </c>
      <c r="C8370" t="str">
        <f>IFERROR(__xludf.DUMMYFUNCTION("GOOGLETRANSLATE(B8370, ""zh"", ""en"")"),"It is good to wear, soft, long walk will not foot discomfort")</f>
        <v>It is good to wear, soft, long walk will not foot discomfort</v>
      </c>
    </row>
    <row r="8371">
      <c r="A8371" s="1">
        <v>5.0</v>
      </c>
      <c r="B8371" s="1" t="s">
        <v>8320</v>
      </c>
      <c r="C8371" t="str">
        <f>IFERROR(__xludf.DUMMYFUNCTION("GOOGLETRANSLATE(B8371, ""zh"", ""en"")"),"Also can be plastic pot, the water did not taste burnt several times, the price is really cheap")</f>
        <v>Also can be plastic pot, the water did not taste burnt several times, the price is really cheap</v>
      </c>
    </row>
    <row r="8372">
      <c r="A8372" s="1">
        <v>5.0</v>
      </c>
      <c r="B8372" s="1" t="s">
        <v>8321</v>
      </c>
      <c r="C8372" t="str">
        <f>IFERROR(__xludf.DUMMYFUNCTION("GOOGLETRANSLATE(B8372, ""zh"", ""en"")"),"Good elastic fabric for the first time to buy on the success of the domestic code is 27 yards, wear this 2short very fit, 160 height, the length of the ankle so. This pair of jeans elasticity is very good, oh, the fabric is also very comfortable. That is "&amp;"a little thread, Bangladesh products. All in all still very worthwhile.")</f>
        <v>Good elastic fabric for the first time to buy on the success of the domestic code is 27 yards, wear this 2short very fit, 160 height, the length of the ankle so. This pair of jeans elasticity is very good, oh, the fabric is also very comfortable. That is a little thread, Bangladesh products. All in all still very worthwhile.</v>
      </c>
    </row>
    <row r="8373">
      <c r="A8373" s="1">
        <v>5.0</v>
      </c>
      <c r="B8373" s="1" t="s">
        <v>8322</v>
      </c>
      <c r="C8373" t="str">
        <f>IFERROR(__xludf.DUMMYFUNCTION("GOOGLETRANSLATE(B8373, ""zh"", ""en"")"),"Pretty fond of children, place of origin is not found")</f>
        <v>Pretty fond of children, place of origin is not found</v>
      </c>
    </row>
    <row r="8374">
      <c r="A8374" s="1">
        <v>5.0</v>
      </c>
      <c r="B8374" s="1" t="s">
        <v>8323</v>
      </c>
      <c r="C8374" t="str">
        <f>IFERROR(__xludf.DUMMYFUNCTION("GOOGLETRANSLATE(B8374, ""zh"", ""en"")"),"Good coat of fine workmanship, the price is much cheaper than domestic. Usually XL, L this is enough, but the shoulder is too small")</f>
        <v>Good coat of fine workmanship, the price is much cheaper than domestic. Usually XL, L this is enough, but the shoulder is too small</v>
      </c>
    </row>
    <row r="8375">
      <c r="A8375" s="1">
        <v>5.0</v>
      </c>
      <c r="B8375" s="1" t="s">
        <v>8324</v>
      </c>
      <c r="C8375" t="str">
        <f>IFERROR(__xludf.DUMMYFUNCTION("GOOGLETRANSLATE(B8375, ""zh"", ""en"")"),"Well not fade, just the right size")</f>
        <v>Well not fade, just the right size</v>
      </c>
    </row>
    <row r="8376">
      <c r="A8376" s="1">
        <v>5.0</v>
      </c>
      <c r="B8376" s="1" t="s">
        <v>8325</v>
      </c>
      <c r="C8376" t="str">
        <f>IFERROR(__xludf.DUMMYFUNCTION("GOOGLETRANSLATE(B8376, ""zh"", ""en"")"),"Japanese warm pants leggings color is very beautiful, very comfortable upper body is not feeling a little tight, light and thin. like very much")</f>
        <v>Japanese warm pants leggings color is very beautiful, very comfortable upper body is not feeling a little tight, light and thin. like very much</v>
      </c>
    </row>
    <row r="8377">
      <c r="A8377" s="1">
        <v>5.0</v>
      </c>
      <c r="B8377" s="1" t="s">
        <v>8326</v>
      </c>
      <c r="C8377" t="str">
        <f>IFERROR(__xludf.DUMMYFUNCTION("GOOGLETRANSLATE(B8377, ""zh"", ""en"")"),"Spent a long time, fly! There are four things Royce, the brand is very good.")</f>
        <v>Spent a long time, fly! There are four things Royce, the brand is very good.</v>
      </c>
    </row>
    <row r="8378">
      <c r="A8378" s="1">
        <v>5.0</v>
      </c>
      <c r="B8378" s="1" t="s">
        <v>8327</v>
      </c>
      <c r="C8378" t="str">
        <f>IFERROR(__xludf.DUMMYFUNCTION("GOOGLETRANSLATE(B8378, ""zh"", ""en"")"),"Very good color is not very good lightweight models")</f>
        <v>Very good color is not very good lightweight models</v>
      </c>
    </row>
    <row r="8379">
      <c r="A8379" s="1">
        <v>2.0</v>
      </c>
      <c r="B8379" s="1" t="s">
        <v>8328</v>
      </c>
      <c r="C8379" t="str">
        <f>IFERROR(__xludf.DUMMYFUNCTION("GOOGLETRANSLATE(B8379, ""zh"", ""en"")"),"bad quality. El Salvador produced, the quality is really super poor, wearing once pilling up.")</f>
        <v>bad quality. El Salvador produced, the quality is really super poor, wearing once pilling up.</v>
      </c>
    </row>
    <row r="8380">
      <c r="A8380" s="1">
        <v>3.0</v>
      </c>
      <c r="B8380" s="1" t="s">
        <v>8329</v>
      </c>
      <c r="C8380" t="str">
        <f>IFERROR(__xludf.DUMMYFUNCTION("GOOGLETRANSLATE(B8380, ""zh"", ""en"")"),"Feeling bad, said mast overalls shirt")</f>
        <v>Feeling bad, said mast overalls shirt</v>
      </c>
    </row>
    <row r="8381">
      <c r="A8381" s="1">
        <v>3.0</v>
      </c>
      <c r="B8381" s="1" t="s">
        <v>8330</v>
      </c>
      <c r="C8381" t="str">
        <f>IFERROR(__xludf.DUMMYFUNCTION("GOOGLETRANSLATE(B8381, ""zh"", ""en"")"),"Definitely not new pants! Pants can be, material is also very good, it's time to get our hands on the pants just feel that I do not know have been back many times! All the papers are not like the wrinkly!")</f>
        <v>Definitely not new pants! Pants can be, material is also very good, it's time to get our hands on the pants just feel that I do not know have been back many times! All the papers are not like the wrinkly!</v>
      </c>
    </row>
    <row r="8382">
      <c r="A8382" s="1">
        <v>1.0</v>
      </c>
      <c r="B8382" s="1" t="s">
        <v>8331</v>
      </c>
      <c r="C8382" t="str">
        <f>IFERROR(__xludf.DUMMYFUNCTION("GOOGLETRANSLATE(B8382, ""zh"", ""en"")"),"Poor-quality counterfeit know why there is no star yet? Counterfeit and shoddy products, bleaching hair loss to the degree of contamination of the skin. Simply rubbish. He urged not to buy anymore. I direct the trash.")</f>
        <v>Poor-quality counterfeit know why there is no star yet? Counterfeit and shoddy products, bleaching hair loss to the degree of contamination of the skin. Simply rubbish. He urged not to buy anymore. I direct the trash.</v>
      </c>
    </row>
    <row r="8383">
      <c r="A8383" s="1">
        <v>1.0</v>
      </c>
      <c r="B8383" s="1" t="s">
        <v>8332</v>
      </c>
      <c r="C8383" t="str">
        <f>IFERROR(__xludf.DUMMYFUNCTION("GOOGLETRANSLATE(B8383, ""zh"", ""en"")"),"Why is it called wool vest! A little wool are free, why called soft wool vest? ? ?")</f>
        <v>Why is it called wool vest! A little wool are free, why called soft wool vest? ? ?</v>
      </c>
    </row>
    <row r="8384">
      <c r="A8384" s="1">
        <v>1.0</v>
      </c>
      <c r="B8384" s="1" t="s">
        <v>8333</v>
      </c>
      <c r="C8384" t="str">
        <f>IFERROR(__xludf.DUMMYFUNCTION("GOOGLETRANSLATE(B8384, ""zh"", ""en"")"),"Of the cook into")</f>
        <v>Of the cook into</v>
      </c>
    </row>
    <row r="8385">
      <c r="A8385" s="1">
        <v>4.0</v>
      </c>
      <c r="B8385" s="1" t="s">
        <v>8334</v>
      </c>
      <c r="C8385" t="str">
        <f>IFERROR(__xludf.DUMMYFUNCTION("GOOGLETRANSLATE(B8385, ""zh"", ""en"")"),"Size, color values ​​in line with expectations. Black shot five black glossy, hand turned out to be chocolate ... Americans do work really rough ... ah, size is recommended: I 255 feet long, 41 to wear Nike, 40 domestic shoes, these shoes studied for a lo"&amp;"ng time, buy US7 .5, put on the right. Wearing experience: do a little pressure instep, proved to be genuine ha ha ... but twelve days like to wear, shoes will have the ability to adapt according to foot. Soles more rigid, but delicate shoes look good, bu"&amp;"t how hard a little.")</f>
        <v>Size, color values ​​in line with expectations. Black shot five black glossy, hand turned out to be chocolate ... Americans do work really rough ... ah, size is recommended: I 255 feet long, 41 to wear Nike, 40 domestic shoes, these shoes studied for a long time, buy US7 .5, put on the right. Wearing experience: do a little pressure instep, proved to be genuine ha ha ... but twelve days like to wear, shoes will have the ability to adapt according to foot. Soles more rigid, but delicate shoes look good, but how hard a little.</v>
      </c>
    </row>
    <row r="8386">
      <c r="A8386" s="1">
        <v>4.0</v>
      </c>
      <c r="B8386" s="1" t="s">
        <v>8335</v>
      </c>
      <c r="C8386" t="str">
        <f>IFERROR(__xludf.DUMMYFUNCTION("GOOGLETRANSLATE(B8386, ""zh"", ""en"")"),"Small caps small, can bring to a child. Too lazy to back!")</f>
        <v>Small caps small, can bring to a child. Too lazy to back!</v>
      </c>
    </row>
    <row r="8387">
      <c r="A8387" s="1">
        <v>4.0</v>
      </c>
      <c r="B8387" s="1" t="s">
        <v>8336</v>
      </c>
      <c r="C8387" t="str">
        <f>IFERROR(__xludf.DUMMYFUNCTION("GOOGLETRANSLATE(B8387, ""zh"", ""en"")"),"Cost-effective to wear very comfortable")</f>
        <v>Cost-effective to wear very comfortable</v>
      </c>
    </row>
    <row r="8388">
      <c r="A8388" s="1">
        <v>4.0</v>
      </c>
      <c r="B8388" s="1" t="s">
        <v>8337</v>
      </c>
      <c r="C8388" t="str">
        <f>IFERROR(__xludf.DUMMYFUNCTION("GOOGLETRANSLATE(B8388, ""zh"", ""en"")"),"Children very nice food scissors recommended childhood food very good with scissors! The only problem is UFA board the aircraft, only be checked, remember the.")</f>
        <v>Children very nice food scissors recommended childhood food very good with scissors! The only problem is UFA board the aircraft, only be checked, remember the.</v>
      </c>
    </row>
    <row r="8389">
      <c r="A8389" s="1">
        <v>5.0</v>
      </c>
      <c r="B8389" s="1" t="s">
        <v>8338</v>
      </c>
      <c r="C8389" t="str">
        <f>IFERROR(__xludf.DUMMYFUNCTION("GOOGLETRANSLATE(B8389, ""zh"", ""en"")"),"Belt beautiful, good quality. Product appearance, good quality and fine workmanship.")</f>
        <v>Belt beautiful, good quality. Product appearance, good quality and fine workmanship.</v>
      </c>
    </row>
    <row r="8390">
      <c r="A8390" s="1">
        <v>5.0</v>
      </c>
      <c r="B8390" s="1" t="s">
        <v>8339</v>
      </c>
      <c r="C8390" t="str">
        <f>IFERROR(__xludf.DUMMYFUNCTION("GOOGLETRANSLATE(B8390, ""zh"", ""en"")"),"Zojirushi mug This ultra lightweight water bottle, insulation effect is very good")</f>
        <v>Zojirushi mug This ultra lightweight water bottle, insulation effect is very good</v>
      </c>
    </row>
    <row r="8391">
      <c r="A8391" s="1">
        <v>5.0</v>
      </c>
      <c r="B8391" s="1" t="s">
        <v>8340</v>
      </c>
      <c r="C8391" t="str">
        <f>IFERROR(__xludf.DUMMYFUNCTION("GOOGLETRANSLATE(B8391, ""zh"", ""en"")"),"Good quality, but a little too big, I 177cm, 82kg good quality, but a little too big, I 177cm, 82kg")</f>
        <v>Good quality, but a little too big, I 177cm, 82kg good quality, but a little too big, I 177cm, 82kg</v>
      </c>
    </row>
    <row r="8392">
      <c r="A8392" s="1">
        <v>5.0</v>
      </c>
      <c r="B8392" s="1" t="s">
        <v>8341</v>
      </c>
      <c r="C8392" t="str">
        <f>IFERROR(__xludf.DUMMYFUNCTION("GOOGLETRANSLATE(B8392, ""zh"", ""en"")"),"Experience received the goods, worth the price.")</f>
        <v>Experience received the goods, worth the price.</v>
      </c>
    </row>
    <row r="8393">
      <c r="A8393" s="1">
        <v>5.0</v>
      </c>
      <c r="B8393" s="1" t="s">
        <v>8342</v>
      </c>
      <c r="C8393" t="str">
        <f>IFERROR(__xludf.DUMMYFUNCTION("GOOGLETRANSLATE(B8393, ""zh"", ""en"")"),"Value received, good table! But unfortunately not the sapphire glass!")</f>
        <v>Value received, good table! But unfortunately not the sapphire glass!</v>
      </c>
    </row>
    <row r="8394">
      <c r="A8394" s="1">
        <v>5.0</v>
      </c>
      <c r="B8394" s="1" t="s">
        <v>8343</v>
      </c>
      <c r="C8394" t="str">
        <f>IFERROR(__xludf.DUMMYFUNCTION("GOOGLETRANSLATE(B8394, ""zh"", ""en"")"),"Good feel good today for the first time wearing")</f>
        <v>Good feel good today for the first time wearing</v>
      </c>
    </row>
    <row r="8395">
      <c r="A8395" s="1">
        <v>5.0</v>
      </c>
      <c r="B8395" s="1" t="s">
        <v>8344</v>
      </c>
      <c r="C8395" t="str">
        <f>IFERROR(__xludf.DUMMYFUNCTION("GOOGLETRANSLATE(B8395, ""zh"", ""en"")"),"Waiting to see the prices some time ago bought a piece, spike again in the afternoon to see the price, bought to give as gifts, Oh, pretty good say")</f>
        <v>Waiting to see the prices some time ago bought a piece, spike again in the afternoon to see the price, bought to give as gifts, Oh, pretty good say</v>
      </c>
    </row>
    <row r="8396">
      <c r="A8396" s="1">
        <v>5.0</v>
      </c>
      <c r="B8396" s="1" t="s">
        <v>8345</v>
      </c>
      <c r="C8396" t="str">
        <f>IFERROR(__xludf.DUMMYFUNCTION("GOOGLETRANSLATE(B8396, ""zh"", ""en"")"),"Taobao cheaper than very satisfied, the key fidelity! Good insulation effect")</f>
        <v>Taobao cheaper than very satisfied, the key fidelity! Good insulation effect</v>
      </c>
    </row>
    <row r="8397">
      <c r="A8397" s="1">
        <v>5.0</v>
      </c>
      <c r="B8397" s="1" t="s">
        <v>8346</v>
      </c>
      <c r="C8397" t="str">
        <f>IFERROR(__xludf.DUMMYFUNCTION("GOOGLETRANSLATE(B8397, ""zh"", ""en"")"),"worth collecting. People really like the design of water, especially the Rhine series, worthy of collection.")</f>
        <v>worth collecting. People really like the design of water, especially the Rhine series, worthy of collection.</v>
      </c>
    </row>
    <row r="8398">
      <c r="A8398" s="1">
        <v>5.0</v>
      </c>
      <c r="B8398" s="1" t="s">
        <v>8347</v>
      </c>
      <c r="C8398" t="str">
        <f>IFERROR(__xludf.DUMMYFUNCTION("GOOGLETRANSLATE(B8398, ""zh"", ""en"")"),"Very good thermal insulation works well, appearance is shining, the sun or the lights look good")</f>
        <v>Very good thermal insulation works well, appearance is shining, the sun or the lights look good</v>
      </c>
    </row>
    <row r="8399">
      <c r="A8399" s="1">
        <v>5.0</v>
      </c>
      <c r="B8399" s="1" t="s">
        <v>8348</v>
      </c>
      <c r="C8399" t="str">
        <f>IFERROR(__xludf.DUMMYFUNCTION("GOOGLETRANSLATE(B8399, ""zh"", ""en"")"),"Brand very much like the brand, good quality!")</f>
        <v>Brand very much like the brand, good quality!</v>
      </c>
    </row>
    <row r="8400">
      <c r="A8400" s="1">
        <v>5.0</v>
      </c>
      <c r="B8400" s="1" t="s">
        <v>8349</v>
      </c>
      <c r="C8400" t="str">
        <f>IFERROR(__xludf.DUMMYFUNCTION("GOOGLETRANSLATE(B8400, ""zh"", ""en"")"),"May repurchase price is satisfactory, and almost imagined CK. Modal very comfortable")</f>
        <v>May repurchase price is satisfactory, and almost imagined CK. Modal very comfortable</v>
      </c>
    </row>
    <row r="8401">
      <c r="A8401" s="1">
        <v>5.0</v>
      </c>
      <c r="B8401" s="1" t="s">
        <v>8350</v>
      </c>
      <c r="C8401" t="str">
        <f>IFERROR(__xludf.DUMMYFUNCTION("GOOGLETRANSLATE(B8401, ""zh"", ""en"")"),"Genuine suitable bought two, a husband wearing a wearing their own, spent about a week received. The size of the fine, fine workmanship, a look that is genuine doubt")</f>
        <v>Genuine suitable bought two, a husband wearing a wearing their own, spent about a week received. The size of the fine, fine workmanship, a look that is genuine doubt</v>
      </c>
    </row>
    <row r="8402">
      <c r="A8402" s="1">
        <v>5.0</v>
      </c>
      <c r="B8402" s="1" t="s">
        <v>8351</v>
      </c>
      <c r="C8402" t="str">
        <f>IFERROR(__xludf.DUMMYFUNCTION("GOOGLETRANSLATE(B8402, ""zh"", ""en"")"),"Take a lovely sound and very cute, stainless steel wash clean, very easy to handle large holding, bought some dishes, this is quite satisfactory, the only downside is that there is no box, is not convenient to go out with the overall recommendation to buy")</f>
        <v>Take a lovely sound and very cute, stainless steel wash clean, very easy to handle large holding, bought some dishes, this is quite satisfactory, the only downside is that there is no box, is not convenient to go out with the overall recommendation to buy</v>
      </c>
    </row>
    <row r="8403">
      <c r="A8403" s="1">
        <v>5.0</v>
      </c>
      <c r="B8403" s="1" t="s">
        <v>8352</v>
      </c>
      <c r="C8403" t="str">
        <f>IFERROR(__xludf.DUMMYFUNCTION("GOOGLETRANSLATE(B8403, ""zh"", ""en"")"),"The first double danner much, taking advantage of lower prices to buy, the price of less than 1600 hand, feel earned ... shoes to wear for a week, running pretty good!")</f>
        <v>The first double danner much, taking advantage of lower prices to buy, the price of less than 1600 hand, feel earned ... shoes to wear for a week, running pretty good!</v>
      </c>
    </row>
    <row r="8404">
      <c r="A8404" s="1">
        <v>5.0</v>
      </c>
      <c r="B8404" s="1" t="s">
        <v>8353</v>
      </c>
      <c r="C8404" t="str">
        <f>IFERROR(__xludf.DUMMYFUNCTION("GOOGLETRANSLATE(B8404, ""zh"", ""en"")"),"Foot long 265 uk8 code very appropriate third-line town, from order to hand about eight days feel very fast. Below that the next shoe: buy white hand feel little difference with the picture is very fat toe from above but may be a bit ugly out to the stree"&amp;"ts if the side is great. White also feels very unlikely to pick with the piercing will not like black cloth shoes. Very soft leather uppers is not a single layer of white cream feeling a bit biased so I'm afraid it is easy to wear dirty rainy day must not"&amp;" usually have to go below ground to take care of is the same as turning light gray fur is very soft v-bottom soles surely we We do not know much describes it. Overall, still very comfortable to wear light, soft. I concluded that under the feet long size 2"&amp;"65 yards is very appropriate to wear uk8 hope this review can help you")</f>
        <v>Foot long 265 uk8 code very appropriate third-line town, from order to hand about eight days feel very fast. Below that the next shoe: buy white hand feel little difference with the picture is very fat toe from above but may be a bit ugly out to the streets if the side is great. White also feels very unlikely to pick with the piercing will not like black cloth shoes. Very soft leather uppers is not a single layer of white cream feeling a bit biased so I'm afraid it is easy to wear dirty rainy day must not usually have to go below ground to take care of is the same as turning light gray fur is very soft v-bottom soles surely we We do not know much describes it. Overall, still very comfortable to wear light, soft. I concluded that under the feet long size 265 yards is very appropriate to wear uk8 hope this review can help you</v>
      </c>
    </row>
    <row r="8405">
      <c r="A8405" s="1">
        <v>5.0</v>
      </c>
      <c r="B8405" s="1" t="s">
        <v>8354</v>
      </c>
      <c r="C8405" t="str">
        <f>IFERROR(__xludf.DUMMYFUNCTION("GOOGLETRANSLATE(B8405, ""zh"", ""en"")"),"Next time to buy good taste, sweet and sour taste, the amount is enough.")</f>
        <v>Next time to buy good taste, sweet and sour taste, the amount is enough.</v>
      </c>
    </row>
    <row r="8406">
      <c r="A8406" s="1">
        <v>5.0</v>
      </c>
      <c r="B8406" s="1" t="s">
        <v>8355</v>
      </c>
      <c r="C8406" t="str">
        <f>IFERROR(__xludf.DUMMYFUNCTION("GOOGLETRANSLATE(B8406, ""zh"", ""en"")"),"Praise to wear very comfortable, not at all taste")</f>
        <v>Praise to wear very comfortable, not at all taste</v>
      </c>
    </row>
    <row r="8407">
      <c r="A8407" s="1">
        <v>5.0</v>
      </c>
      <c r="B8407" s="1" t="s">
        <v>8356</v>
      </c>
      <c r="C8407" t="str">
        <f>IFERROR(__xludf.DUMMYFUNCTION("GOOGLETRANSLATE(B8407, ""zh"", ""en"")"),"Like good wear cheap, light and comfortable")</f>
        <v>Like good wear cheap, light and comfortable</v>
      </c>
    </row>
    <row r="8408">
      <c r="A8408" s="1">
        <v>5.0</v>
      </c>
      <c r="B8408" s="1" t="s">
        <v>8357</v>
      </c>
      <c r="C8408" t="str">
        <f>IFERROR(__xludf.DUMMYFUNCTION("GOOGLETRANSLATE(B8408, ""zh"", ""en"")"),"As recommended by buying shoes men wear a long, 610 scored feeling very reasonable price of. Nike usually wear 40, adidas through 39.5, 245 within the length of the shoe wearing just within this buy 8 yards c / d long label 250, slightly more appropriate "&amp;"balance. On foot leather a bit hard, hard soles normal wear for a long time sensory cortex gradually softened, and then running back I believe it would look more fit, the overall very satisfied!")</f>
        <v>As recommended by buying shoes men wear a long, 610 scored feeling very reasonable price of. Nike usually wear 40, adidas through 39.5, 245 within the length of the shoe wearing just within this buy 8 yards c / d long label 250, slightly more appropriate balance. On foot leather a bit hard, hard soles normal wear for a long time sensory cortex gradually softened, and then running back I believe it would look more fit, the overall very satisfied!</v>
      </c>
    </row>
    <row r="8409">
      <c r="A8409" s="1">
        <v>5.0</v>
      </c>
      <c r="B8409" s="1" t="s">
        <v>8358</v>
      </c>
      <c r="C8409" t="str">
        <f>IFERROR(__xludf.DUMMYFUNCTION("GOOGLETRANSLATE(B8409, ""zh"", ""en"")"),"Emporio Armani Men UNDERWEAR Black X-Large very satisfied, very fit, good quality")</f>
        <v>Emporio Armani Men UNDERWEAR Black X-Large very satisfied, very fit, good quality</v>
      </c>
    </row>
    <row r="8410">
      <c r="A8410" s="1">
        <v>5.0</v>
      </c>
      <c r="B8410" s="1" t="s">
        <v>8359</v>
      </c>
      <c r="C8410" t="str">
        <f>IFERROR(__xludf.DUMMYFUNCTION("GOOGLETRANSLATE(B8410, ""zh"", ""en"")"),"Its cheap price to buy a dozen good deal of leisure at home")</f>
        <v>Its cheap price to buy a dozen good deal of leisure at home</v>
      </c>
    </row>
    <row r="8411">
      <c r="A8411" s="1">
        <v>2.0</v>
      </c>
      <c r="B8411" s="1" t="s">
        <v>8360</v>
      </c>
      <c r="C8411" t="str">
        <f>IFERROR(__xludf.DUMMYFUNCTION("GOOGLETRANSLATE(B8411, ""zh"", ""en"")"),"Not allowed to serious size, big dual 11 activities to buy, too, not a replacement, did not know, after not blindly shopping. . .")</f>
        <v>Not allowed to serious size, big dual 11 activities to buy, too, not a replacement, did not know, after not blindly shopping. . .</v>
      </c>
    </row>
    <row r="8412">
      <c r="A8412" s="1">
        <v>3.0</v>
      </c>
      <c r="B8412" s="1" t="s">
        <v>8361</v>
      </c>
      <c r="C8412" t="str">
        <f>IFERROR(__xludf.DUMMYFUNCTION("GOOGLETRANSLATE(B8412, ""zh"", ""en"")"),"Comfortable foot ankle too tight but elastic ankle part of the shoe is tight able to trace it out Le wearing very tough")</f>
        <v>Comfortable foot ankle too tight but elastic ankle part of the shoe is tight able to trace it out Le wearing very tough</v>
      </c>
    </row>
    <row r="8413">
      <c r="A8413" s="1">
        <v>3.0</v>
      </c>
      <c r="B8413" s="1" t="s">
        <v>8362</v>
      </c>
      <c r="C8413" t="str">
        <f>IFERROR(__xludf.DUMMYFUNCTION("GOOGLETRANSLATE(B8413, ""zh"", ""en"")"),"Not wear pants 178,68kg. I bought two pairs of jeans, size 32/32 are in. This is just a waist, long pants just right. Another lot inseam.")</f>
        <v>Not wear pants 178,68kg. I bought two pairs of jeans, size 32/32 are in. This is just a waist, long pants just right. Another lot inseam.</v>
      </c>
    </row>
    <row r="8414">
      <c r="A8414" s="1">
        <v>3.0</v>
      </c>
      <c r="B8414" s="1" t="s">
        <v>8363</v>
      </c>
      <c r="C8414" t="str">
        <f>IFERROR(__xludf.DUMMYFUNCTION("GOOGLETRANSLATE(B8414, ""zh"", ""en"")"),"Partial simple and elegant white rice, low cost.")</f>
        <v>Partial simple and elegant white rice, low cost.</v>
      </c>
    </row>
    <row r="8415">
      <c r="A8415" s="1">
        <v>1.0</v>
      </c>
      <c r="B8415" s="1" t="s">
        <v>8364</v>
      </c>
      <c r="C8415" t="str">
        <f>IFERROR(__xludf.DUMMYFUNCTION("GOOGLETRANSLATE(B8415, ""zh"", ""en"")"),"Too much foreign yards, too, but a bit hard material.")</f>
        <v>Too much foreign yards, too, but a bit hard material.</v>
      </c>
    </row>
    <row r="8416">
      <c r="A8416" s="1">
        <v>1.0</v>
      </c>
      <c r="B8416" s="1" t="s">
        <v>8365</v>
      </c>
      <c r="C8416" t="str">
        <f>IFERROR(__xludf.DUMMYFUNCTION("GOOGLETRANSLATE(B8416, ""zh"", ""en"")"),"Clothes marked No. too big too")</f>
        <v>Clothes marked No. too big too</v>
      </c>
    </row>
    <row r="8417">
      <c r="A8417" s="1">
        <v>4.0</v>
      </c>
      <c r="B8417" s="1" t="s">
        <v>8366</v>
      </c>
      <c r="C8417" t="str">
        <f>IFERROR(__xludf.DUMMYFUNCTION("GOOGLETRANSLATE(B8417, ""zh"", ""en"")"),"It looks good feels very comfortable, but a little dirt out of the way is a little narrow.")</f>
        <v>It looks good feels very comfortable, but a little dirt out of the way is a little narrow.</v>
      </c>
    </row>
    <row r="8418">
      <c r="A8418" s="1">
        <v>4.0</v>
      </c>
      <c r="B8418" s="1" t="s">
        <v>8367</v>
      </c>
      <c r="C8418" t="str">
        <f>IFERROR(__xludf.DUMMYFUNCTION("GOOGLETRANSLATE(B8418, ""zh"", ""en"")"),"Bought three bottles of good quality and believe that Amazon's self-feed their children good")</f>
        <v>Bought three bottles of good quality and believe that Amazon's self-feed their children good</v>
      </c>
    </row>
    <row r="8419">
      <c r="A8419" s="1">
        <v>4.0</v>
      </c>
      <c r="B8419" s="1" t="s">
        <v>8368</v>
      </c>
      <c r="C8419" t="str">
        <f>IFERROR(__xludf.DUMMYFUNCTION("GOOGLETRANSLATE(B8419, ""zh"", ""en"")"),"I may be too large size may be 166 150 m when the wear oversize")</f>
        <v>I may be too large size may be 166 150 m when the wear oversize</v>
      </c>
    </row>
    <row r="8420">
      <c r="A8420" s="1">
        <v>4.0</v>
      </c>
      <c r="B8420" s="1" t="s">
        <v>8369</v>
      </c>
      <c r="C8420" t="str">
        <f>IFERROR(__xludf.DUMMYFUNCTION("GOOGLETRANSLATE(B8420, ""zh"", ""en"")"),"Worth buying the machine received a few days, and today tried a little out. In general we are satisfied with a transformer (power purchase suitable transformer), successfully made bread and cakes, the liberation of their own hands. Noise within the accept"&amp;"able range, the only drawback is that the machine does have the rise of the phenomenon. Overseas purchase price to buy much cheaper than domestic.")</f>
        <v>Worth buying the machine received a few days, and today tried a little out. In general we are satisfied with a transformer (power purchase suitable transformer), successfully made bread and cakes, the liberation of their own hands. Noise within the acceptable range, the only drawback is that the machine does have the rise of the phenomenon. Overseas purchase price to buy much cheaper than domestic.</v>
      </c>
    </row>
    <row r="8421">
      <c r="A8421" s="1">
        <v>4.0</v>
      </c>
      <c r="B8421" s="1" t="s">
        <v>8370</v>
      </c>
      <c r="C8421" t="str">
        <f>IFERROR(__xludf.DUMMYFUNCTION("GOOGLETRANSLATE(B8421, ""zh"", ""en"")"),"Very strong wind blowing puppy, well, six kinds of combinations of temperature and wind speed")</f>
        <v>Very strong wind blowing puppy, well, six kinds of combinations of temperature and wind speed</v>
      </c>
    </row>
    <row r="8422">
      <c r="A8422" s="1">
        <v>5.0</v>
      </c>
      <c r="B8422" s="1" t="s">
        <v>8371</v>
      </c>
      <c r="C8422" t="str">
        <f>IFERROR(__xludf.DUMMYFUNCTION("GOOGLETRANSLATE(B8422, ""zh"", ""en"")"),"Nice shoes, nice shoes, wearing down a little, feeling very light, very soft bottom.")</f>
        <v>Nice shoes, nice shoes, wearing down a little, feeling very light, very soft bottom.</v>
      </c>
    </row>
    <row r="8423">
      <c r="A8423" s="1">
        <v>5.0</v>
      </c>
      <c r="B8423" s="1" t="s">
        <v>8372</v>
      </c>
      <c r="C8423" t="str">
        <f>IFERROR(__xludf.DUMMYFUNCTION("GOOGLETRANSLATE(B8423, ""zh"", ""en"")"),"it is good! 177/120 m code very relaxed feel very good!")</f>
        <v>it is good! 177/120 m code very relaxed feel very good!</v>
      </c>
    </row>
    <row r="8424">
      <c r="A8424" s="1">
        <v>5.0</v>
      </c>
      <c r="B8424" s="1" t="s">
        <v>8373</v>
      </c>
      <c r="C8424" t="str">
        <f>IFERROR(__xludf.DUMMYFUNCTION("GOOGLETRANSLATE(B8424, ""zh"", ""en"")"),"Yes well, and as the United States to buy things shelf life is very new. To 18 June.")</f>
        <v>Yes well, and as the United States to buy things shelf life is very new. To 18 June.</v>
      </c>
    </row>
    <row r="8425">
      <c r="A8425" s="1">
        <v>5.0</v>
      </c>
      <c r="B8425" s="1" t="s">
        <v>8374</v>
      </c>
      <c r="C8425" t="str">
        <f>IFERROR(__xludf.DUMMYFUNCTION("GOOGLETRANSLATE(B8425, ""zh"", ""en"")"),"Easy to use. Very very satisfied, affordable, hopes to use for a long time. Nothing wrong")</f>
        <v>Easy to use. Very very satisfied, affordable, hopes to use for a long time. Nothing wrong</v>
      </c>
    </row>
    <row r="8426">
      <c r="A8426" s="1">
        <v>5.0</v>
      </c>
      <c r="B8426" s="1" t="s">
        <v>8375</v>
      </c>
      <c r="C8426" t="str">
        <f>IFERROR(__xludf.DUMMYFUNCTION("GOOGLETRANSLATE(B8426, ""zh"", ""en"")"),"A little big, but very cheap cost-effective, but also more comfortable. Other ck models are just wearing L, which is a bit bigger")</f>
        <v>A little big, but very cheap cost-effective, but also more comfortable. Other ck models are just wearing L, which is a bit bigger</v>
      </c>
    </row>
    <row r="8427">
      <c r="A8427" s="1">
        <v>5.0</v>
      </c>
      <c r="B8427" s="1" t="s">
        <v>8376</v>
      </c>
      <c r="C8427" t="str">
        <f>IFERROR(__xludf.DUMMYFUNCTION("GOOGLETRANSLATE(B8427, ""zh"", ""en"")"),"Very good material like wool blend sweater? Underwear plus velvet pilling is normal wear champion mainly through its version and size models or m175 L180")</f>
        <v>Very good material like wool blend sweater? Underwear plus velvet pilling is normal wear champion mainly through its version and size models or m175 L180</v>
      </c>
    </row>
    <row r="8428">
      <c r="A8428" s="1">
        <v>5.0</v>
      </c>
      <c r="B8428" s="1" t="s">
        <v>8377</v>
      </c>
      <c r="C8428" t="str">
        <f>IFERROR(__xludf.DUMMYFUNCTION("GOOGLETRANSLATE(B8428, ""zh"", ""en"")"),"Good good, good insulation effect.")</f>
        <v>Good good, good insulation effect.</v>
      </c>
    </row>
    <row r="8429">
      <c r="A8429" s="1">
        <v>5.0</v>
      </c>
      <c r="B8429" s="1" t="s">
        <v>8378</v>
      </c>
      <c r="C8429" t="str">
        <f>IFERROR(__xludf.DUMMYFUNCTION("GOOGLETRANSLATE(B8429, ""zh"", ""en"")"),"Comfortable, breathable soft and delicate appropriate comfortable!")</f>
        <v>Comfortable, breathable soft and delicate appropriate comfortable!</v>
      </c>
    </row>
    <row r="8430">
      <c r="A8430" s="1">
        <v>5.0</v>
      </c>
      <c r="B8430" s="1" t="s">
        <v>8379</v>
      </c>
      <c r="C8430" t="str">
        <f>IFERROR(__xludf.DUMMYFUNCTION("GOOGLETRANSLATE(B8430, ""zh"", ""en"")"),"Yes! Nice!")</f>
        <v>Yes! Nice!</v>
      </c>
    </row>
    <row r="8431">
      <c r="A8431" s="1">
        <v>5.0</v>
      </c>
      <c r="B8431" s="1" t="s">
        <v>8380</v>
      </c>
      <c r="C8431" t="str">
        <f>IFERROR(__xludf.DUMMYFUNCTION("GOOGLETRANSLATE(B8431, ""zh"", ""en"")"),"Shoe size fit, comfortable to wear. Look good-looking, comfortable to wear, once a rare Clarks shoe size so standard. Amazon is the most affordable price, logistics is great as before, for five days, before all the next day on the same day to a maximum of"&amp;".")</f>
        <v>Shoe size fit, comfortable to wear. Look good-looking, comfortable to wear, once a rare Clarks shoe size so standard. Amazon is the most affordable price, logistics is great as before, for five days, before all the next day on the same day to a maximum of.</v>
      </c>
    </row>
    <row r="8432">
      <c r="A8432" s="1">
        <v>5.0</v>
      </c>
      <c r="B8432" s="1" t="s">
        <v>8381</v>
      </c>
      <c r="C8432" t="str">
        <f>IFERROR(__xludf.DUMMYFUNCTION("GOOGLETRANSLATE(B8432, ""zh"", ""en"")"),"Biting good, good writing is written very smooth and very straight, very beautiful style, writing written very smooth, no leak ink, with more than one month, I feel very good use. Talk about the shortcomings, plastics feel too strong, feeling a bit worth "&amp;"the price. After the lid is not very tight, now shaking a little loose. It can be evaluated as 5 stars.")</f>
        <v>Biting good, good writing is written very smooth and very straight, very beautiful style, writing written very smooth, no leak ink, with more than one month, I feel very good use. Talk about the shortcomings, plastics feel too strong, feeling a bit worth the price. After the lid is not very tight, now shaking a little loose. It can be evaluated as 5 stars.</v>
      </c>
    </row>
    <row r="8433">
      <c r="A8433" s="1">
        <v>5.0</v>
      </c>
      <c r="B8433" s="1" t="s">
        <v>8382</v>
      </c>
      <c r="C8433" t="str">
        <f>IFERROR(__xludf.DUMMYFUNCTION("GOOGLETRANSLATE(B8433, ""zh"", ""en"")"),"Packing better packaging is better, the effect aside some time to know")</f>
        <v>Packing better packaging is better, the effect aside some time to know</v>
      </c>
    </row>
    <row r="8434">
      <c r="A8434" s="1">
        <v>5.0</v>
      </c>
      <c r="B8434" s="1" t="s">
        <v>8383</v>
      </c>
      <c r="C8434" t="str">
        <f>IFERROR(__xludf.DUMMYFUNCTION("GOOGLETRANSLATE(B8434, ""zh"", ""en"")"),"Warm shoes yo just received to comment on, my mother liked. As appropriate with the usual 38 yards.")</f>
        <v>Warm shoes yo just received to comment on, my mother liked. As appropriate with the usual 38 yards.</v>
      </c>
    </row>
    <row r="8435">
      <c r="A8435" s="1">
        <v>5.0</v>
      </c>
      <c r="B8435" s="1" t="s">
        <v>8384</v>
      </c>
      <c r="C8435" t="str">
        <f>IFERROR(__xludf.DUMMYFUNCTION("GOOGLETRANSLATE(B8435, ""zh"", ""en"")"),"Amazon's service made me feel comfortable buying wanted to buy 33w * 30l, but considering summer wear, so buy a 32w * 30l, try it just right.")</f>
        <v>Amazon's service made me feel comfortable buying wanted to buy 33w * 30l, but considering summer wear, so buy a 32w * 30l, try it just right.</v>
      </c>
    </row>
    <row r="8436">
      <c r="A8436" s="1">
        <v>5.0</v>
      </c>
      <c r="B8436" s="1" t="s">
        <v>8385</v>
      </c>
      <c r="C8436" t="str">
        <f>IFERROR(__xludf.DUMMYFUNCTION("GOOGLETRANSLATE(B8436, ""zh"", ""en"")"),"Meet the now popular, very heavy but comfortable, summer and winter appropriate.")</f>
        <v>Meet the now popular, very heavy but comfortable, summer and winter appropriate.</v>
      </c>
    </row>
    <row r="8437">
      <c r="A8437" s="1">
        <v>5.0</v>
      </c>
      <c r="B8437" s="1" t="s">
        <v>830</v>
      </c>
      <c r="C8437" t="str">
        <f>IFERROR(__xludf.DUMMYFUNCTION("GOOGLETRANSLATE(B8437, ""zh"", ""en"")"),"good, very good")</f>
        <v>good, very good</v>
      </c>
    </row>
    <row r="8438">
      <c r="A8438" s="1">
        <v>5.0</v>
      </c>
      <c r="B8438" s="1" t="s">
        <v>8386</v>
      </c>
      <c r="C8438" t="str">
        <f>IFERROR(__xludf.DUMMYFUNCTION("GOOGLETRANSLATE(B8438, ""zh"", ""en"")"),"A little big of good quality and fine workmanship satisfied even if a lot of his great big one yards")</f>
        <v>A little big of good quality and fine workmanship satisfied even if a lot of his great big one yards</v>
      </c>
    </row>
    <row r="8439">
      <c r="A8439" s="1">
        <v>5.0</v>
      </c>
      <c r="B8439" s="1" t="s">
        <v>8387</v>
      </c>
      <c r="C8439" t="str">
        <f>IFERROR(__xludf.DUMMYFUNCTION("GOOGLETRANSLATE(B8439, ""zh"", ""en"")"),"Like good-looking, it is a bit thin, but the packaging is very good, not hot!")</f>
        <v>Like good-looking, it is a bit thin, but the packaging is very good, not hot!</v>
      </c>
    </row>
    <row r="8440">
      <c r="A8440" s="1">
        <v>5.0</v>
      </c>
      <c r="B8440" s="1" t="s">
        <v>8388</v>
      </c>
      <c r="C8440" t="str">
        <f>IFERROR(__xludf.DUMMYFUNCTION("GOOGLETRANSLATE(B8440, ""zh"", ""en"")"),"When buying price, but still cost-effective after the discovery of fluctuations in the price of 150 very powerful, do not know this is the real price in the end is how much. 150 times cheaper than the 132, but the catch-up activities. . The pen is very ea"&amp;"sy to use, but the overall tone gray, need to be used in conjunction with other pen, there is a good fast. . .")</f>
        <v>When buying price, but still cost-effective after the discovery of fluctuations in the price of 150 very powerful, do not know this is the real price in the end is how much. 150 times cheaper than the 132, but the catch-up activities. . The pen is very easy to use, but the overall tone gray, need to be used in conjunction with other pen, there is a good fast. . .</v>
      </c>
    </row>
    <row r="8441">
      <c r="A8441" s="1">
        <v>5.0</v>
      </c>
      <c r="B8441" s="1" t="s">
        <v>8389</v>
      </c>
      <c r="C8441" t="str">
        <f>IFERROR(__xludf.DUMMYFUNCTION("GOOGLETRANSLATE(B8441, ""zh"", ""en"")"),"Nichia package fast time 3-4 days, Nichia the plate than domestic 4T 1T 5 mm thinner, lighter than some AIU also stronger than expected. Hand need to format the grid to play the available space around 3.6. I put a new and 1T previously inserted in a hard "&amp;"seat, test data, the speed of only a few dozen megabytes, is it hard seat is 2.0? Available in desktop try hanging, when the warehouse disc also lacks requirements. With the hope to live. There Nichia package than the United States and Asia is much strong"&amp;"er.")</f>
        <v>Nichia package fast time 3-4 days, Nichia the plate than domestic 4T 1T 5 mm thinner, lighter than some AIU also stronger than expected. Hand need to format the grid to play the available space around 3.6. I put a new and 1T previously inserted in a hard seat, test data, the speed of only a few dozen megabytes, is it hard seat is 2.0? Available in desktop try hanging, when the warehouse disc also lacks requirements. With the hope to live. There Nichia package than the United States and Asia is much stronger.</v>
      </c>
    </row>
    <row r="8442">
      <c r="A8442" s="1">
        <v>5.0</v>
      </c>
      <c r="B8442" s="1" t="s">
        <v>8390</v>
      </c>
      <c r="C8442" t="str">
        <f>IFERROR(__xludf.DUMMYFUNCTION("GOOGLETRANSLATE(B8442, ""zh"", ""en"")"),"A nice little set of speakers has been to buy on the bedroom speakers, multimedia active attention, active listening, also considered a passive amplifier with a small box, select the last entry in this special time, feeling enough performance, bedroom mor"&amp;"e than 10 square feet, clear treble, low-sufficient.")</f>
        <v>A nice little set of speakers has been to buy on the bedroom speakers, multimedia active attention, active listening, also considered a passive amplifier with a small box, select the last entry in this special time, feeling enough performance, bedroom more than 10 square feet, clear treble, low-sufficient.</v>
      </c>
    </row>
    <row r="8443">
      <c r="A8443" s="1">
        <v>5.0</v>
      </c>
      <c r="B8443" s="1" t="s">
        <v>8391</v>
      </c>
      <c r="C8443" t="str">
        <f>IFERROR(__xludf.DUMMYFUNCTION("GOOGLETRANSLATE(B8443, ""zh"", ""en"")"),"Very permitted for some time to come to comment, really good, and beautiful walking time and accurately, with several days fast for a few seconds, I did not expect!")</f>
        <v>Very permitted for some time to come to comment, really good, and beautiful walking time and accurately, with several days fast for a few seconds, I did not expect!</v>
      </c>
    </row>
    <row r="8444">
      <c r="A8444" s="1">
        <v>2.0</v>
      </c>
      <c r="B8444" s="1" t="s">
        <v>8392</v>
      </c>
      <c r="C8444" t="str">
        <f>IFERROR(__xludf.DUMMYFUNCTION("GOOGLETRANSLATE(B8444, ""zh"", ""en"")"),"Which turned out to be the sole shoe size skin ...... more accidents. A little big yardage, but fortunately,")</f>
        <v>Which turned out to be the sole shoe size skin ...... more accidents. A little big yardage, but fortunately,</v>
      </c>
    </row>
    <row r="8445">
      <c r="A8445" s="1">
        <v>3.0</v>
      </c>
      <c r="B8445" s="1" t="s">
        <v>8393</v>
      </c>
      <c r="C8445" t="str">
        <f>IFERROR(__xludf.DUMMYFUNCTION("GOOGLETRANSLATE(B8445, ""zh"", ""en"")"),"U.S. codes too, 177-80KG M code is too large, the following is recommended to select S code sleeve 180 cupped fat giant long, about 10 cm long, said line really suitable wear gibbon")</f>
        <v>U.S. codes too, 177-80KG M code is too large, the following is recommended to select S code sleeve 180 cupped fat giant long, about 10 cm long, said line really suitable wear gibbon</v>
      </c>
    </row>
    <row r="8446">
      <c r="A8446" s="1">
        <v>3.0</v>
      </c>
      <c r="B8446" s="1" t="s">
        <v>8394</v>
      </c>
      <c r="C8446" t="str">
        <f>IFERROR(__xludf.DUMMYFUNCTION("GOOGLETRANSLATE(B8446, ""zh"", ""en"")"),"There are shares of taste pale toothpaste take Shuitang after the baby to eat, lick himself a bit, feeling a little strange, uncomfortable. Smell a bit careful there are shares of toothpaste flavor. I do not know is not genuine. Has been sent, and also di"&amp;"splayed on the Amazon is on the way, a few days after the expected arrival ............")</f>
        <v>There are shares of taste pale toothpaste take Shuitang after the baby to eat, lick himself a bit, feeling a little strange, uncomfortable. Smell a bit careful there are shares of toothpaste flavor. I do not know is not genuine. Has been sent, and also displayed on the Amazon is on the way, a few days after the expected arrival ............</v>
      </c>
    </row>
    <row r="8447">
      <c r="A8447" s="1">
        <v>1.0</v>
      </c>
      <c r="B8447" s="1" t="s">
        <v>8395</v>
      </c>
      <c r="C8447" t="str">
        <f>IFERROR(__xludf.DUMMYFUNCTION("GOOGLETRANSLATE(B8447, ""zh"", ""en"")"),"Simple packaging, packing a serious bump angle is too simple. On a hard drive simply wrapped in two layers of foam cartons a thin inside. Hard disk has found a corner bump marks. Currently in the slow scan to see if there is a problem. It has been found a"&amp;"bnormal sound.")</f>
        <v>Simple packaging, packing a serious bump angle is too simple. On a hard drive simply wrapped in two layers of foam cartons a thin inside. Hard disk has found a corner bump marks. Currently in the slow scan to see if there is a problem. It has been found abnormal sound.</v>
      </c>
    </row>
    <row r="8448">
      <c r="A8448" s="1">
        <v>1.0</v>
      </c>
      <c r="B8448" s="1" t="s">
        <v>8396</v>
      </c>
      <c r="C8448" t="str">
        <f>IFERROR(__xludf.DUMMYFUNCTION("GOOGLETRANSLATE(B8448, ""zh"", ""en"")"),"Poor Poor Poor August 15, 2017 to buy, now No. 10 November this way, not quality")</f>
        <v>Poor Poor Poor August 15, 2017 to buy, now No. 10 November this way, not quality</v>
      </c>
    </row>
    <row r="8449">
      <c r="A8449" s="1">
        <v>1.0</v>
      </c>
      <c r="B8449" s="1" t="s">
        <v>8397</v>
      </c>
      <c r="C8449" t="str">
        <f>IFERROR(__xludf.DUMMYFUNCTION("GOOGLETRANSLATE(B8449, ""zh"", ""en"")"),"Back smell, complaints, give a refund, saying that the manufacturers of individual commodities have problems, do not know how there are such cases, but there are problems to refund the attitude is good, also worth continuing to Amazon")</f>
        <v>Back smell, complaints, give a refund, saying that the manufacturers of individual commodities have problems, do not know how there are such cases, but there are problems to refund the attitude is good, also worth continuing to Amazon</v>
      </c>
    </row>
    <row r="8450">
      <c r="A8450" s="1">
        <v>4.0</v>
      </c>
      <c r="B8450" s="1" t="s">
        <v>8398</v>
      </c>
      <c r="C8450" t="str">
        <f>IFERROR(__xludf.DUMMYFUNCTION("GOOGLETRANSLATE(B8450, ""zh"", ""en"")"),"The right size shoes to faster than expected in a few days, synthetic leather, it is difficult to wear off, uppers and soles hard, used to wear shoes, I do not recommend buying.")</f>
        <v>The right size shoes to faster than expected in a few days, synthetic leather, it is difficult to wear off, uppers and soles hard, used to wear shoes, I do not recommend buying.</v>
      </c>
    </row>
    <row r="8451">
      <c r="A8451" s="1">
        <v>4.0</v>
      </c>
      <c r="B8451" s="1" t="s">
        <v>8399</v>
      </c>
      <c r="C8451" t="str">
        <f>IFERROR(__xludf.DUMMYFUNCTION("GOOGLETRANSLATE(B8451, ""zh"", ""en"")"),"Cheap, easy to start a pro, crimp-type wire is similar to a telephone line, preventing me to go with a bad stretch, take a few direct push sound quality than the monster ... the street for a variety of bass")</f>
        <v>Cheap, easy to start a pro, crimp-type wire is similar to a telephone line, preventing me to go with a bad stretch, take a few direct push sound quality than the monster ... the street for a variety of bass</v>
      </c>
    </row>
    <row r="8452">
      <c r="A8452" s="1">
        <v>4.0</v>
      </c>
      <c r="B8452" s="1" t="s">
        <v>8400</v>
      </c>
      <c r="C8452" t="str">
        <f>IFERROR(__xludf.DUMMYFUNCTION("GOOGLETRANSLATE(B8452, ""zh"", ""en"")"),"Yes ~ 183,85KG, L slightly larger number, quality is also good ~")</f>
        <v>Yes ~ 183,85KG, L slightly larger number, quality is also good ~</v>
      </c>
    </row>
    <row r="8453">
      <c r="A8453" s="1">
        <v>4.0</v>
      </c>
      <c r="B8453" s="1" t="s">
        <v>8401</v>
      </c>
      <c r="C8453" t="str">
        <f>IFERROR(__xludf.DUMMYFUNCTION("GOOGLETRANSLATE(B8453, ""zh"", ""en"")"),"Although the price is not high do look fine, but some details are not good, people feel stall, the only worry is that the dial will not be easy to scratch, the overall okay")</f>
        <v>Although the price is not high do look fine, but some details are not good, people feel stall, the only worry is that the dial will not be easy to scratch, the overall okay</v>
      </c>
    </row>
    <row r="8454">
      <c r="A8454" s="1">
        <v>4.0</v>
      </c>
      <c r="B8454" s="1" t="s">
        <v>8402</v>
      </c>
      <c r="C8454" t="str">
        <f>IFERROR(__xludf.DUMMYFUNCTION("GOOGLETRANSLATE(B8454, ""zh"", ""en"")"),"This is the second piece height 178, weight 100 kg, for the first time the election of xl, buy big, fat and then returned to the big, can not wear, because overseas purchase, can not return, we had to prepare to give as gifts. Because of the color look go"&amp;"od, but unfortunately they shoot an L code, this time can wear. Some high costs")</f>
        <v>This is the second piece height 178, weight 100 kg, for the first time the election of xl, buy big, fat and then returned to the big, can not wear, because overseas purchase, can not return, we had to prepare to give as gifts. Because of the color look good, but unfortunately they shoot an L code, this time can wear. Some high costs</v>
      </c>
    </row>
    <row r="8455">
      <c r="A8455" s="1">
        <v>5.0</v>
      </c>
      <c r="B8455" s="1" t="s">
        <v>8403</v>
      </c>
      <c r="C8455" t="str">
        <f>IFERROR(__xludf.DUMMYFUNCTION("GOOGLETRANSLATE(B8455, ""zh"", ""en"")"),"I thought to be a long wait for the results to five days in advance, Sennheiser's first happy, satisfied after slowly come ~")</f>
        <v>I thought to be a long wait for the results to five days in advance, Sennheiser's first happy, satisfied after slowly come ~</v>
      </c>
    </row>
    <row r="8456">
      <c r="A8456" s="1">
        <v>5.0</v>
      </c>
      <c r="B8456" s="1" t="s">
        <v>8404</v>
      </c>
      <c r="C8456" t="str">
        <f>IFERROR(__xludf.DUMMYFUNCTION("GOOGLETRANSLATE(B8456, ""zh"", ""en"")"),"Very good, very good as always comfortable, always comfortable, very comfortable in summer")</f>
        <v>Very good, very good as always comfortable, always comfortable, very comfortable in summer</v>
      </c>
    </row>
    <row r="8457">
      <c r="A8457" s="1">
        <v>5.0</v>
      </c>
      <c r="B8457" s="1" t="s">
        <v>8405</v>
      </c>
      <c r="C8457" t="str">
        <f>IFERROR(__xludf.DUMMYFUNCTION("GOOGLETRANSLATE(B8457, ""zh"", ""en"")"),"Good quality shoes are very positive! Like go to the store, but there is little difference between the work material, may be in different countries work materials are different reasons, but the quality did not have to say! Still like!")</f>
        <v>Good quality shoes are very positive! Like go to the store, but there is little difference between the work material, may be in different countries work materials are different reasons, but the quality did not have to say! Still like!</v>
      </c>
    </row>
    <row r="8458">
      <c r="A8458" s="1">
        <v>5.0</v>
      </c>
      <c r="B8458" s="1" t="s">
        <v>8406</v>
      </c>
      <c r="C8458" t="str">
        <f>IFERROR(__xludf.DUMMYFUNCTION("GOOGLETRANSLATE(B8458, ""zh"", ""en"")"),"Thick thick cotton cotton comfortable clothes, buy too large, the effect is pretty good!")</f>
        <v>Thick thick cotton cotton comfortable clothes, buy too large, the effect is pretty good!</v>
      </c>
    </row>
    <row r="8459">
      <c r="A8459" s="1">
        <v>5.0</v>
      </c>
      <c r="B8459" s="1" t="s">
        <v>8407</v>
      </c>
      <c r="C8459" t="str">
        <f>IFERROR(__xludf.DUMMYFUNCTION("GOOGLETRANSLATE(B8459, ""zh"", ""en"")"),"Classic good, worthy of a PUMA classic models, wearing thin.")</f>
        <v>Classic good, worthy of a PUMA classic models, wearing thin.</v>
      </c>
    </row>
    <row r="8460">
      <c r="A8460" s="1">
        <v>5.0</v>
      </c>
      <c r="B8460" s="1" t="s">
        <v>8408</v>
      </c>
      <c r="C8460" t="str">
        <f>IFERROR(__xludf.DUMMYFUNCTION("GOOGLETRANSLATE(B8460, ""zh"", ""en"")"),"The right size, good quality. The right size, good quality.")</f>
        <v>The right size, good quality. The right size, good quality.</v>
      </c>
    </row>
    <row r="8461">
      <c r="A8461" s="1">
        <v>5.0</v>
      </c>
      <c r="B8461" s="1" t="s">
        <v>8409</v>
      </c>
      <c r="C8461" t="str">
        <f>IFERROR(__xludf.DUMMYFUNCTION("GOOGLETRANSLATE(B8461, ""zh"", ""en"")"),"This is very good very good to wear, is No. Do not buy big, just wear just finished birth, then still a little big belly, now partial loose, but comfortable fabric, elastic good. recommend!")</f>
        <v>This is very good very good to wear, is No. Do not buy big, just wear just finished birth, then still a little big belly, now partial loose, but comfortable fabric, elastic good. recommend!</v>
      </c>
    </row>
    <row r="8462">
      <c r="A8462" s="1">
        <v>5.0</v>
      </c>
      <c r="B8462" s="1" t="s">
        <v>8410</v>
      </c>
      <c r="C8462" t="str">
        <f>IFERROR(__xludf.DUMMYFUNCTION("GOOGLETRANSLATE(B8462, ""zh"", ""en"")"),"Comfortable and just the right size to do more standard, good, style Ye Hao.")</f>
        <v>Comfortable and just the right size to do more standard, good, style Ye Hao.</v>
      </c>
    </row>
    <row r="8463">
      <c r="A8463" s="1">
        <v>5.0</v>
      </c>
      <c r="B8463" s="1" t="s">
        <v>8411</v>
      </c>
      <c r="C8463" t="str">
        <f>IFERROR(__xludf.DUMMYFUNCTION("GOOGLETRANSLATE(B8463, ""zh"", ""en"")"),"very useful. Easy to use, convenient and tasteless. I believe this brand.")</f>
        <v>very useful. Easy to use, convenient and tasteless. I believe this brand.</v>
      </c>
    </row>
    <row r="8464">
      <c r="A8464" s="1">
        <v>5.0</v>
      </c>
      <c r="B8464" s="1" t="s">
        <v>8412</v>
      </c>
      <c r="C8464" t="str">
        <f>IFERROR(__xludf.DUMMYFUNCTION("GOOGLETRANSLATE(B8464, ""zh"", ""en"")"),"173 77KG M fit, a relatively thin 173 77KG M is fit, is relatively thin")</f>
        <v>173 77KG M fit, a relatively thin 173 77KG M is fit, is relatively thin</v>
      </c>
    </row>
    <row r="8465">
      <c r="A8465" s="1">
        <v>5.0</v>
      </c>
      <c r="B8465" s="1" t="s">
        <v>8413</v>
      </c>
      <c r="C8465" t="str">
        <f>IFERROR(__xludf.DUMMYFUNCTION("GOOGLETRANSLATE(B8465, ""zh"", ""en"")"),"Lexar 1066X 64G memory card for the first time on the Amazon shopping, thought it would be a long time to receive the goods, but in order to buy US products, I will wait, because in the past to buy all domestic factories, to see the United States how to l"&amp;"ocally produced, anyway, and feeling at ease. I did not expect No. 3 February they received, tried it good. give it a like. The future will buy.")</f>
        <v>Lexar 1066X 64G memory card for the first time on the Amazon shopping, thought it would be a long time to receive the goods, but in order to buy US products, I will wait, because in the past to buy all domestic factories, to see the United States how to locally produced, anyway, and feeling at ease. I did not expect No. 3 February they received, tried it good. give it a like. The future will buy.</v>
      </c>
    </row>
    <row r="8466">
      <c r="A8466" s="1">
        <v>5.0</v>
      </c>
      <c r="B8466" s="1" t="s">
        <v>8414</v>
      </c>
      <c r="C8466" t="str">
        <f>IFERROR(__xludf.DUMMYFUNCTION("GOOGLETRANSLATE(B8466, ""zh"", ""en"")"),"Very very good, the right size.")</f>
        <v>Very very good, the right size.</v>
      </c>
    </row>
    <row r="8467">
      <c r="A8467" s="1">
        <v>5.0</v>
      </c>
      <c r="B8467" s="1" t="s">
        <v>8415</v>
      </c>
      <c r="C8467" t="str">
        <f>IFERROR(__xludf.DUMMYFUNCTION("GOOGLETRANSLATE(B8467, ""zh"", ""en"")"),"Very good very good hiking package, also suitable weight, moderate hardness sole, simple color, sports shoes 42, 41 just this")</f>
        <v>Very good very good hiking package, also suitable weight, moderate hardness sole, simple color, sports shoes 42, 41 just this</v>
      </c>
    </row>
    <row r="8468">
      <c r="A8468" s="1">
        <v>5.0</v>
      </c>
      <c r="B8468" s="1" t="s">
        <v>8416</v>
      </c>
      <c r="C8468" t="str">
        <f>IFERROR(__xludf.DUMMYFUNCTION("GOOGLETRANSLATE(B8468, ""zh"", ""en"")"),"Good taste, as a snack appropriate to add such as the title. Looks tastes are like candy. There is little q.")</f>
        <v>Good taste, as a snack appropriate to add such as the title. Looks tastes are like candy. There is little q.</v>
      </c>
    </row>
    <row r="8469">
      <c r="A8469" s="1">
        <v>5.0</v>
      </c>
      <c r="B8469" s="1" t="s">
        <v>8417</v>
      </c>
      <c r="C8469" t="str">
        <f>IFERROR(__xludf.DUMMYFUNCTION("GOOGLETRANSLATE(B8469, ""zh"", ""en"")"),"Well really comfortable, China 1300, where tax increases like 750, No taste, girls, 162,55 kg, no problem, give us a reference to it.")</f>
        <v>Well really comfortable, China 1300, where tax increases like 750, No taste, girls, 162,55 kg, no problem, give us a reference to it.</v>
      </c>
    </row>
    <row r="8470">
      <c r="A8470" s="1">
        <v>5.0</v>
      </c>
      <c r="B8470" s="1" t="s">
        <v>8418</v>
      </c>
      <c r="C8470" t="str">
        <f>IFERROR(__xludf.DUMMYFUNCTION("GOOGLETRANSLATE(B8470, ""zh"", ""en"")"),"Very good United States Code may be the reason of it, 165,53kg s wear some slightly large, loose. Soft denim clothes, what color is also very well.")</f>
        <v>Very good United States Code may be the reason of it, 165,53kg s wear some slightly large, loose. Soft denim clothes, what color is also very well.</v>
      </c>
    </row>
    <row r="8471">
      <c r="A8471" s="1">
        <v>5.0</v>
      </c>
      <c r="B8471" s="1" t="s">
        <v>8419</v>
      </c>
      <c r="C8471" t="str">
        <f>IFERROR(__xludf.DUMMYFUNCTION("GOOGLETRANSLATE(B8471, ""zh"", ""en"")"),"Cheap, fast delivery easy to use, and now this is the highest frequency of use my home kitchen electric")</f>
        <v>Cheap, fast delivery easy to use, and now this is the highest frequency of use my home kitchen electric</v>
      </c>
    </row>
    <row r="8472">
      <c r="A8472" s="1">
        <v>5.0</v>
      </c>
      <c r="B8472" s="1" t="s">
        <v>8420</v>
      </c>
      <c r="C8472" t="str">
        <f>IFERROR(__xludf.DUMMYFUNCTION("GOOGLETRANSLATE(B8472, ""zh"", ""en"")"),"Genuine color of lead very good, good like oh, is genuine")</f>
        <v>Genuine color of lead very good, good like oh, is genuine</v>
      </c>
    </row>
    <row r="8473">
      <c r="A8473" s="1">
        <v>5.0</v>
      </c>
      <c r="B8473" s="1" t="s">
        <v>8421</v>
      </c>
      <c r="C8473" t="str">
        <f>IFERROR(__xludf.DUMMYFUNCTION("GOOGLETRANSLATE(B8473, ""zh"", ""en"")"),"Good quality and very good quality of much larger than expected")</f>
        <v>Good quality and very good quality of much larger than expected</v>
      </c>
    </row>
    <row r="8474">
      <c r="A8474" s="1">
        <v>5.0</v>
      </c>
      <c r="B8474" s="1" t="s">
        <v>8422</v>
      </c>
      <c r="C8474" t="str">
        <f>IFERROR(__xludf.DUMMYFUNCTION("GOOGLETRANSLATE(B8474, ""zh"", ""en"")"),"Good quality material relatively thick, good quality, better than the Uniqlo and the like.")</f>
        <v>Good quality material relatively thick, good quality, better than the Uniqlo and the like.</v>
      </c>
    </row>
    <row r="8475">
      <c r="A8475" s="1">
        <v>5.0</v>
      </c>
      <c r="B8475" s="1" t="s">
        <v>8423</v>
      </c>
      <c r="C8475" t="str">
        <f>IFERROR(__xludf.DUMMYFUNCTION("GOOGLETRANSLATE(B8475, ""zh"", ""en"")"),"I did not expect such a large-capacity hard disk can buy at this price! Before and after they have had two external hard drives, but the capacity is 2T, put the information on the feeling is not quite enough, often going to cut out some of the content, bu"&amp;"t the capacity of expensive, accidentally visit Amazon to see this, 8T tax increases as long as more than 1000 points, you know that I have a 600 2T two hard drives, and also free shipping after trial prime, shipments from the United States four days to g"&amp;"o, the use of a few days, feeling write speed is not fast, but acceptable, hard disk size smaller than expected, because larger capacity, external power supply, I usually mobile hard disk scenes are relatively fixed, so it is not need portability, so if y"&amp;"ou need a large-capacity mechanical hard drive, this is highly recommended! ! !")</f>
        <v>I did not expect such a large-capacity hard disk can buy at this price! Before and after they have had two external hard drives, but the capacity is 2T, put the information on the feeling is not quite enough, often going to cut out some of the content, but the capacity of expensive, accidentally visit Amazon to see this, 8T tax increases as long as more than 1000 points, you know that I have a 600 2T two hard drives, and also free shipping after trial prime, shipments from the United States four days to go, the use of a few days, feeling write speed is not fast, but acceptable, hard disk size smaller than expected, because larger capacity, external power supply, I usually mobile hard disk scenes are relatively fixed, so it is not need portability, so if you need a large-capacity mechanical hard drive, this is highly recommended! ! !</v>
      </c>
    </row>
    <row r="8476">
      <c r="A8476" s="1">
        <v>5.0</v>
      </c>
      <c r="B8476" s="1" t="s">
        <v>8424</v>
      </c>
      <c r="C8476" t="str">
        <f>IFERROR(__xludf.DUMMYFUNCTION("GOOGLETRANSLATE(B8476, ""zh"", ""en"")"),"Genuine no problem, the dial color deeper than the picture. Should be genuine, that is, the dial color is dark blue, deeper color than the picture")</f>
        <v>Genuine no problem, the dial color deeper than the picture. Should be genuine, that is, the dial color is dark blue, deeper color than the picture</v>
      </c>
    </row>
    <row r="8477">
      <c r="A8477" s="1">
        <v>2.0</v>
      </c>
      <c r="B8477" s="1" t="s">
        <v>8425</v>
      </c>
      <c r="C8477" t="str">
        <f>IFERROR(__xludf.DUMMYFUNCTION("GOOGLETRANSLATE(B8477, ""zh"", ""en"")"),"I do not recommend buying Height 174 Weight 77 m No big number two can not wear this away")</f>
        <v>I do not recommend buying Height 174 Weight 77 m No big number two can not wear this away</v>
      </c>
    </row>
    <row r="8478">
      <c r="A8478" s="1">
        <v>3.0</v>
      </c>
      <c r="B8478" s="1" t="s">
        <v>8426</v>
      </c>
      <c r="C8478" t="str">
        <f>IFERROR(__xludf.DUMMYFUNCTION("GOOGLETRANSLATE(B8478, ""zh"", ""en"")"),"Jeans a week or so soon received. I do not know whether it is the US direct mail. 4 Ye great big do not know in the end is how the size of the corresponding domestic and pants but also quality.")</f>
        <v>Jeans a week or so soon received. I do not know whether it is the US direct mail. 4 Ye great big do not know in the end is how the size of the corresponding domestic and pants but also quality.</v>
      </c>
    </row>
    <row r="8479">
      <c r="A8479" s="1">
        <v>3.0</v>
      </c>
      <c r="B8479" s="1" t="s">
        <v>8427</v>
      </c>
      <c r="C8479" t="str">
        <f>IFERROR(__xludf.DUMMYFUNCTION("GOOGLETRANSLATE(B8479, ""zh"", ""en"")"),"Bristles are not very good quality is not very good feeling about it simple version brushing hair relatively uneven")</f>
        <v>Bristles are not very good quality is not very good feeling about it simple version brushing hair relatively uneven</v>
      </c>
    </row>
    <row r="8480">
      <c r="A8480" s="1">
        <v>3.0</v>
      </c>
      <c r="B8480" s="1" t="s">
        <v>8428</v>
      </c>
      <c r="C8480" t="str">
        <f>IFERROR(__xludf.DUMMYFUNCTION("GOOGLETRANSLATE(B8480, ""zh"", ""en"")"),"Big pants work well, but too big")</f>
        <v>Big pants work well, but too big</v>
      </c>
    </row>
    <row r="8481">
      <c r="A8481" s="1">
        <v>1.0</v>
      </c>
      <c r="B8481" s="1" t="s">
        <v>8429</v>
      </c>
      <c r="C8481" t="str">
        <f>IFERROR(__xludf.DUMMYFUNCTION("GOOGLETRANSLATE(B8481, ""zh"", ""en"")"),"Taste super large straw taste of how to wash the taste is put in")</f>
        <v>Taste super large straw taste of how to wash the taste is put in</v>
      </c>
    </row>
    <row r="8482">
      <c r="A8482" s="1">
        <v>1.0</v>
      </c>
      <c r="B8482" s="1" t="s">
        <v>8430</v>
      </c>
      <c r="C8482" t="str">
        <f>IFERROR(__xludf.DUMMYFUNCTION("GOOGLETRANSLATE(B8482, ""zh"", ""en"")"),"The small hand is not easy to open lid bottle bottle is very soft, but the wife's hand is relatively small, relatively difficult to open the lid! By the way, comes with a two drops of nipple ...... overall a good deal")</f>
        <v>The small hand is not easy to open lid bottle bottle is very soft, but the wife's hand is relatively small, relatively difficult to open the lid! By the way, comes with a two drops of nipple ...... overall a good deal</v>
      </c>
    </row>
    <row r="8483">
      <c r="A8483" s="1">
        <v>1.0</v>
      </c>
      <c r="B8483" s="1" t="s">
        <v>8431</v>
      </c>
      <c r="C8483" t="str">
        <f>IFERROR(__xludf.DUMMYFUNCTION("GOOGLETRANSLATE(B8483, ""zh"", ""en"")"),"Obviously orders given time to write 1000W is a machine, the machine does 700W received! ! Directed 1000W buy, receive indeed 700W, my hand-held cooking machine is 750W, customer service let me return, and so have time to buy 1000W. . .")</f>
        <v>Obviously orders given time to write 1000W is a machine, the machine does 700W received! ! Directed 1000W buy, receive indeed 700W, my hand-held cooking machine is 750W, customer service let me return, and so have time to buy 1000W. . .</v>
      </c>
    </row>
    <row r="8484">
      <c r="A8484" s="1">
        <v>4.0</v>
      </c>
      <c r="B8484" s="1" t="s">
        <v>8432</v>
      </c>
      <c r="C8484" t="str">
        <f>IFERROR(__xludf.DUMMYFUNCTION("GOOGLETRANSLATE(B8484, ""zh"", ""en"")"),"Product reviews good shoes at affordable prices.")</f>
        <v>Product reviews good shoes at affordable prices.</v>
      </c>
    </row>
    <row r="8485">
      <c r="A8485" s="1">
        <v>4.0</v>
      </c>
      <c r="B8485" s="1" t="s">
        <v>8433</v>
      </c>
      <c r="C8485" t="str">
        <f>IFERROR(__xludf.DUMMYFUNCTION("GOOGLETRANSLATE(B8485, ""zh"", ""en"")"),"Good price beautiful style law-abiding, but still some type")</f>
        <v>Good price beautiful style law-abiding, but still some type</v>
      </c>
    </row>
    <row r="8486">
      <c r="A8486" s="1">
        <v>4.0</v>
      </c>
      <c r="B8486" s="1" t="s">
        <v>8434</v>
      </c>
      <c r="C8486" t="str">
        <f>IFERROR(__xludf.DUMMYFUNCTION("GOOGLETRANSLATE(B8486, ""zh"", ""en"")"),"Production Date Production date is worn away")</f>
        <v>Production Date Production date is worn away</v>
      </c>
    </row>
    <row r="8487">
      <c r="A8487" s="1">
        <v>4.0</v>
      </c>
      <c r="B8487" s="1" t="s">
        <v>8435</v>
      </c>
      <c r="C8487" t="str">
        <f>IFERROR(__xludf.DUMMYFUNCTION("GOOGLETRANSLATE(B8487, ""zh"", ""en"")"),"Work can, at the same time to buy than the male puma socks, some details are not great work okay, there's logo at the seam of a mess. Thicker toe, ankle socks so low almost no barrel. Plastic packaging line stretched tight when removed easily hooked lines"&amp;", bright color, thick bar")</f>
        <v>Work can, at the same time to buy than the male puma socks, some details are not great work okay, there's logo at the seam of a mess. Thicker toe, ankle socks so low almost no barrel. Plastic packaging line stretched tight when removed easily hooked lines, bright color, thick bar</v>
      </c>
    </row>
    <row r="8488">
      <c r="A8488" s="1">
        <v>4.0</v>
      </c>
      <c r="B8488" s="1" t="s">
        <v>8436</v>
      </c>
      <c r="C8488" t="str">
        <f>IFERROR(__xludf.DUMMYFUNCTION("GOOGLETRANSLATE(B8488, ""zh"", ""en"")"),"Work fine work fine. Height 193 is slightly shorter jacket, should buy 46 extended specifications.")</f>
        <v>Work fine work fine. Height 193 is slightly shorter jacket, should buy 46 extended specifications.</v>
      </c>
    </row>
    <row r="8489">
      <c r="A8489" s="1">
        <v>5.0</v>
      </c>
      <c r="B8489" s="1" t="s">
        <v>8437</v>
      </c>
      <c r="C8489" t="str">
        <f>IFERROR(__xludf.DUMMYFUNCTION("GOOGLETRANSLATE(B8489, ""zh"", ""en"")"),"We need to mark a clear size, easy to choose! Buy the freshman code than the recommended size, a little big!")</f>
        <v>We need to mark a clear size, easy to choose! Buy the freshman code than the recommended size, a little big!</v>
      </c>
    </row>
    <row r="8490">
      <c r="A8490" s="1">
        <v>5.0</v>
      </c>
      <c r="B8490" s="1" t="s">
        <v>8438</v>
      </c>
      <c r="C8490" t="str">
        <f>IFERROR(__xludf.DUMMYFUNCTION("GOOGLETRANSLATE(B8490, ""zh"", ""en"")"),"Focus is on cost-effective much cheaper than domestic. Indeed cross action brush cleaner, mouthwash oral b with the use of water, the wisdom black plaque gradually becomes less. But after all, still have to tooth extraction, tooth extraction strategies te"&amp;"mporary waiting period now.")</f>
        <v>Focus is on cost-effective much cheaper than domestic. Indeed cross action brush cleaner, mouthwash oral b with the use of water, the wisdom black plaque gradually becomes less. But after all, still have to tooth extraction, tooth extraction strategies temporary waiting period now.</v>
      </c>
    </row>
    <row r="8491">
      <c r="A8491" s="1">
        <v>5.0</v>
      </c>
      <c r="B8491" s="1" t="s">
        <v>8439</v>
      </c>
      <c r="C8491" t="str">
        <f>IFERROR(__xludf.DUMMYFUNCTION("GOOGLETRANSLATE(B8491, ""zh"", ""en"")"),"The perfect choice is strongly recommended to buy MF tip, household class, there is support before white turtle F sharp, the crude Yeah, big water, but also finished airing dare to turn the page, this Sharaku perfect solution, the only regret there is no "&amp;"ink, a small problem, buy one. The first time to buy Asian sea Amoy Johnson, did not expect so easy to use, PRIME members invincible price")</f>
        <v>The perfect choice is strongly recommended to buy MF tip, household class, there is support before white turtle F sharp, the crude Yeah, big water, but also finished airing dare to turn the page, this Sharaku perfect solution, the only regret there is no ink, a small problem, buy one. The first time to buy Asian sea Amoy Johnson, did not expect so easy to use, PRIME members invincible price</v>
      </c>
    </row>
    <row r="8492">
      <c r="A8492" s="1">
        <v>5.0</v>
      </c>
      <c r="B8492" s="1" t="s">
        <v>8440</v>
      </c>
      <c r="C8492" t="str">
        <f>IFERROR(__xludf.DUMMYFUNCTION("GOOGLETRANSLATE(B8492, ""zh"", ""en"")"),"Can, number too large one yard can be cost-effective, it is to buy big on the 1st.")</f>
        <v>Can, number too large one yard can be cost-effective, it is to buy big on the 1st.</v>
      </c>
    </row>
    <row r="8493">
      <c r="A8493" s="1">
        <v>5.0</v>
      </c>
      <c r="B8493" s="1" t="s">
        <v>8441</v>
      </c>
      <c r="C8493" t="str">
        <f>IFERROR(__xludf.DUMMYFUNCTION("GOOGLETRANSLATE(B8493, ""zh"", ""en"")"),"Good small details are very good odor-free fabric a little thin, sewing is also good, the right size")</f>
        <v>Good small details are very good odor-free fabric a little thin, sewing is also good, the right size</v>
      </c>
    </row>
    <row r="8494">
      <c r="A8494" s="1">
        <v>5.0</v>
      </c>
      <c r="B8494" s="1" t="s">
        <v>8442</v>
      </c>
      <c r="C8494" t="str">
        <f>IFERROR(__xludf.DUMMYFUNCTION("GOOGLETRANSLATE(B8494, ""zh"", ""en"")"),"Anta handsome wear 41, the 7.5D just right, very masculine pulling the wind")</f>
        <v>Anta handsome wear 41, the 7.5D just right, very masculine pulling the wind</v>
      </c>
    </row>
    <row r="8495">
      <c r="A8495" s="1">
        <v>5.0</v>
      </c>
      <c r="B8495" s="1" t="s">
        <v>8443</v>
      </c>
      <c r="C8495" t="str">
        <f>IFERROR(__xludf.DUMMYFUNCTION("GOOGLETRANSLATE(B8495, ""zh"", ""en"")"),"The first single to feel pretty good yet to be born baby store, and get a taste of shares silicone smell, the hope is genuine, two very cost-effective, for the first time to buy things on Amazon very good, No. 15 order No. 26 arrived, very good")</f>
        <v>The first single to feel pretty good yet to be born baby store, and get a taste of shares silicone smell, the hope is genuine, two very cost-effective, for the first time to buy things on Amazon very good, No. 15 order No. 26 arrived, very good</v>
      </c>
    </row>
    <row r="8496">
      <c r="A8496" s="1">
        <v>5.0</v>
      </c>
      <c r="B8496" s="1" t="s">
        <v>8444</v>
      </c>
      <c r="C8496" t="str">
        <f>IFERROR(__xludf.DUMMYFUNCTION("GOOGLETRANSLATE(B8496, ""zh"", ""en"")"),"Praise not useful yet, but word of mouth has been good, and mailing fast!")</f>
        <v>Praise not useful yet, but word of mouth has been good, and mailing fast!</v>
      </c>
    </row>
    <row r="8497">
      <c r="A8497" s="1">
        <v>5.0</v>
      </c>
      <c r="B8497" s="1" t="s">
        <v>8445</v>
      </c>
      <c r="C8497" t="str">
        <f>IFERROR(__xludf.DUMMYFUNCTION("GOOGLETRANSLATE(B8497, ""zh"", ""en"")"),"Good writing fluency, after the ink, the pen will be significantly heavier, or good drop.")</f>
        <v>Good writing fluency, after the ink, the pen will be significantly heavier, or good drop.</v>
      </c>
    </row>
    <row r="8498">
      <c r="A8498" s="1">
        <v>5.0</v>
      </c>
      <c r="B8498" s="1" t="s">
        <v>8446</v>
      </c>
      <c r="C8498" t="str">
        <f>IFERROR(__xludf.DUMMYFUNCTION("GOOGLETRANSLATE(B8498, ""zh"", ""en"")"),"Value for money power is so small, beat egg whites but as long as two minutes, not to mention the dough completely liberated my hands, make bread do bread cake noodles, a family of four is sufficient. And legendary as easy to use.")</f>
        <v>Value for money power is so small, beat egg whites but as long as two minutes, not to mention the dough completely liberated my hands, make bread do bread cake noodles, a family of four is sufficient. And legendary as easy to use.</v>
      </c>
    </row>
    <row r="8499">
      <c r="A8499" s="1">
        <v>5.0</v>
      </c>
      <c r="B8499" s="1" t="s">
        <v>8447</v>
      </c>
      <c r="C8499" t="str">
        <f>IFERROR(__xludf.DUMMYFUNCTION("GOOGLETRANSLATE(B8499, ""zh"", ""en"")"),"Fitness club foot feeling very satisfied with the pair of shoes, the first price cheaper than the counter. The most important thing is comfort, very fit, wearing a long foot is not tired really great.")</f>
        <v>Fitness club foot feeling very satisfied with the pair of shoes, the first price cheaper than the counter. The most important thing is comfort, very fit, wearing a long foot is not tired really great.</v>
      </c>
    </row>
    <row r="8500">
      <c r="A8500" s="1">
        <v>5.0</v>
      </c>
      <c r="B8500" s="1" t="s">
        <v>8448</v>
      </c>
      <c r="C8500" t="str">
        <f>IFERROR(__xludf.DUMMYFUNCTION("GOOGLETRANSLATE(B8500, ""zh"", ""en"")"),"Asians wearing some fat. Americans wear appropriate clothes were Asians fat. Fabric rather hard, the general comfort.")</f>
        <v>Asians wearing some fat. Americans wear appropriate clothes were Asians fat. Fabric rather hard, the general comfort.</v>
      </c>
    </row>
    <row r="8501">
      <c r="A8501" s="1">
        <v>5.0</v>
      </c>
      <c r="B8501" s="1" t="s">
        <v>8449</v>
      </c>
      <c r="C8501" t="str">
        <f>IFERROR(__xludf.DUMMYFUNCTION("GOOGLETRANSLATE(B8501, ""zh"", ""en"")"),"Good quality kids really like")</f>
        <v>Good quality kids really like</v>
      </c>
    </row>
    <row r="8502">
      <c r="A8502" s="1">
        <v>5.0</v>
      </c>
      <c r="B8502" s="1" t="s">
        <v>8450</v>
      </c>
      <c r="C8502" t="str">
        <f>IFERROR(__xludf.DUMMYFUNCTION("GOOGLETRANSLATE(B8502, ""zh"", ""en"")"),"Very satisfied from the United States sent to Lhasa, packaging very carefully, shoes is intact. This is by far the most satisfactory first sea Amoy experience, feeling really earned!")</f>
        <v>Very satisfied from the United States sent to Lhasa, packaging very carefully, shoes is intact. This is by far the most satisfactory first sea Amoy experience, feeling really earned!</v>
      </c>
    </row>
    <row r="8503">
      <c r="A8503" s="1">
        <v>5.0</v>
      </c>
      <c r="B8503" s="1" t="s">
        <v>8451</v>
      </c>
      <c r="C8503" t="str">
        <f>IFERROR(__xludf.DUMMYFUNCTION("GOOGLETRANSLATE(B8503, ""zh"", ""en"")"),"The pretty and positive! Insulation effect, if there are other capacities thousand million!")</f>
        <v>The pretty and positive! Insulation effect, if there are other capacities thousand million!</v>
      </c>
    </row>
    <row r="8504">
      <c r="A8504" s="1">
        <v>5.0</v>
      </c>
      <c r="B8504" s="1" t="s">
        <v>8452</v>
      </c>
      <c r="C8504" t="str">
        <f>IFERROR(__xludf.DUMMYFUNCTION("GOOGLETRANSLATE(B8504, ""zh"", ""en"")"),"The surging water is indeed very good, for signature, or write poetry, calligraphy and the like, if students write papers, or doing homework, do not buy")</f>
        <v>The surging water is indeed very good, for signature, or write poetry, calligraphy and the like, if students write papers, or doing homework, do not buy</v>
      </c>
    </row>
    <row r="8505">
      <c r="A8505" s="1">
        <v>5.0</v>
      </c>
      <c r="B8505" s="1" t="s">
        <v>8453</v>
      </c>
      <c r="C8505" t="str">
        <f>IFERROR(__xludf.DUMMYFUNCTION("GOOGLETRANSLATE(B8505, ""zh"", ""en"")"),"Whether leather is leather uppers of leather, I do not know whether the counter and sell materials, as the counter is leather. In addition to this question, other are very satisfied.")</f>
        <v>Whether leather is leather uppers of leather, I do not know whether the counter and sell materials, as the counter is leather. In addition to this question, other are very satisfied.</v>
      </c>
    </row>
    <row r="8506">
      <c r="A8506" s="1">
        <v>5.0</v>
      </c>
      <c r="B8506" s="1" t="s">
        <v>8454</v>
      </c>
      <c r="C8506" t="str">
        <f>IFERROR(__xludf.DUMMYFUNCTION("GOOGLETRANSLATE(B8506, ""zh"", ""en"")"),"The first overseas purchase recommendation to buy, because prices and see a big change on the official website of some domestic websites, though do not know why but if you buy it feeling a little empty. First, the logistics faster total six days. Secondly"&amp;", the product quality is very good, writing thickness is very suitable for everyday use, smooth feel in the absence of other comments occurrence of scratch paper, plus comes with the ink bladder writing experience great. There is no ink, a need to purchas"&amp;"e, if the purchase intention Please note. After a period of time to find a problem, if sometimes write more water than dry you will find the time to just start writing less, resulting in ink a little light, but also to write off the case even faster ink a"&amp;"ppears. I do not know there is a problem with the paper or how, in general, this pen writing experience is good.")</f>
        <v>The first overseas purchase recommendation to buy, because prices and see a big change on the official website of some domestic websites, though do not know why but if you buy it feeling a little empty. First, the logistics faster total six days. Secondly, the product quality is very good, writing thickness is very suitable for everyday use, smooth feel in the absence of other comments occurrence of scratch paper, plus comes with the ink bladder writing experience great. There is no ink, a need to purchase, if the purchase intention Please note. After a period of time to find a problem, if sometimes write more water than dry you will find the time to just start writing less, resulting in ink a little light, but also to write off the case even faster ink appears. I do not know there is a problem with the paper or how, in general, this pen writing experience is good.</v>
      </c>
    </row>
    <row r="8507">
      <c r="A8507" s="1">
        <v>5.0</v>
      </c>
      <c r="B8507" s="1" t="s">
        <v>8455</v>
      </c>
      <c r="C8507" t="str">
        <f>IFERROR(__xludf.DUMMYFUNCTION("GOOGLETRANSLATE(B8507, ""zh"", ""en"")"),"Chicken pretty good-looking, ah, he's super like. I could not help but bring a bit, but I think girls can buy a pink, the boys with fried chicken cool. This time sent a good tune, great. Words can not express.")</f>
        <v>Chicken pretty good-looking, ah, he's super like. I could not help but bring a bit, but I think girls can buy a pink, the boys with fried chicken cool. This time sent a good tune, great. Words can not express.</v>
      </c>
    </row>
    <row r="8508">
      <c r="A8508" s="1">
        <v>5.0</v>
      </c>
      <c r="B8508" s="1" t="s">
        <v>8456</v>
      </c>
      <c r="C8508" t="str">
        <f>IFERROR(__xludf.DUMMYFUNCTION("GOOGLETRANSLATE(B8508, ""zh"", ""en"")"),"More general, no big feeling waist smaller number than the domestic, rough, thick fabric, 168cm, waist 75kg, 32 are tight, loose can be one size larger. Workmanship is very general, wearing more comfortable, cotton fabric is also good.")</f>
        <v>More general, no big feeling waist smaller number than the domestic, rough, thick fabric, 168cm, waist 75kg, 32 are tight, loose can be one size larger. Workmanship is very general, wearing more comfortable, cotton fabric is also good.</v>
      </c>
    </row>
    <row r="8509">
      <c r="A8509" s="1">
        <v>5.0</v>
      </c>
      <c r="B8509" s="1" t="s">
        <v>8457</v>
      </c>
      <c r="C8509" t="str">
        <f>IFERROR(__xludf.DUMMYFUNCTION("GOOGLETRANSLATE(B8509, ""zh"", ""en"")"),"Buy discount buy the second time, her mother after eating good feedback.")</f>
        <v>Buy discount buy the second time, her mother after eating good feedback.</v>
      </c>
    </row>
    <row r="8510">
      <c r="A8510" s="1">
        <v>5.0</v>
      </c>
      <c r="B8510" s="1" t="s">
        <v>8458</v>
      </c>
      <c r="C8510" t="str">
        <f>IFERROR(__xludf.DUMMYFUNCTION("GOOGLETRANSLATE(B8510, ""zh"", ""en"")"),"Men's pants pocket mesh Champion Black S code work well, thin breathable, really good.")</f>
        <v>Men's pants pocket mesh Champion Black S code work well, thin breathable, really good.</v>
      </c>
    </row>
    <row r="8511">
      <c r="A8511" s="1">
        <v>2.0</v>
      </c>
      <c r="B8511" s="1" t="s">
        <v>8459</v>
      </c>
      <c r="C8511" t="str">
        <f>IFERROR(__xludf.DUMMYFUNCTION("GOOGLETRANSLATE(B8511, ""zh"", ""en"")"),"Slim does not express the packaging very carefully. Slim but not as large as up and down, in particular, put on a big back foot and ankle. No domestic brand design is good, disappointed, but the return is not convenient to buy overseas. Manufacturers reco"&amp;"mmend improvements")</f>
        <v>Slim does not express the packaging very carefully. Slim but not as large as up and down, in particular, put on a big back foot and ankle. No domestic brand design is good, disappointed, but the return is not convenient to buy overseas. Manufacturers recommend improvements</v>
      </c>
    </row>
    <row r="8512">
      <c r="A8512" s="1">
        <v>3.0</v>
      </c>
      <c r="B8512" s="1" t="s">
        <v>5400</v>
      </c>
      <c r="C8512" t="str">
        <f>IFERROR(__xludf.DUMMYFUNCTION("GOOGLETRANSLATE(B8512, ""zh"", ""en"")"),"Generally white version is not recommended to buy L code is not very large it is easy to dirty beige feeling will touch the dirty")</f>
        <v>Generally white version is not recommended to buy L code is not very large it is easy to dirty beige feeling will touch the dirty</v>
      </c>
    </row>
    <row r="8513">
      <c r="A8513" s="1">
        <v>3.0</v>
      </c>
      <c r="B8513" s="1" t="s">
        <v>8460</v>
      </c>
      <c r="C8513" t="str">
        <f>IFERROR(__xludf.DUMMYFUNCTION("GOOGLETRANSLATE(B8513, ""zh"", ""en"")"),"Ah ah ah ah ah do not recommend to buy color, I bought, too dark, unless your skin is really dark and yellow!")</f>
        <v>Ah ah ah ah ah do not recommend to buy color, I bought, too dark, unless your skin is really dark and yellow!</v>
      </c>
    </row>
    <row r="8514">
      <c r="A8514" s="1">
        <v>1.0</v>
      </c>
      <c r="B8514" s="1" t="s">
        <v>8461</v>
      </c>
      <c r="C8514" t="str">
        <f>IFERROR(__xludf.DUMMYFUNCTION("GOOGLETRANSLATE(B8514, ""zh"", ""en"")"),"He said men's watch, a very small single dial, bracelet too short, 12 years of age for men it said that men's watch, a very small single dial, bracelet too short, the 12-year-old man to use it")</f>
        <v>He said men's watch, a very small single dial, bracelet too short, 12 years of age for men it said that men's watch, a very small single dial, bracelet too short, the 12-year-old man to use it</v>
      </c>
    </row>
    <row r="8515">
      <c r="A8515" s="1">
        <v>1.0</v>
      </c>
      <c r="B8515" s="1" t="s">
        <v>8462</v>
      </c>
      <c r="C8515" t="str">
        <f>IFERROR(__xludf.DUMMYFUNCTION("GOOGLETRANSLATE(B8515, ""zh"", ""en"")"),"Cup cup design bad bad cup, cup flat with European and American systems ...... big change compared to the breast shape, as European and American systems is a natural bra, cup do much better.")</f>
        <v>Cup cup design bad bad cup, cup flat with European and American systems ...... big change compared to the breast shape, as European and American systems is a natural bra, cup do much better.</v>
      </c>
    </row>
    <row r="8516">
      <c r="A8516" s="1">
        <v>4.0</v>
      </c>
      <c r="B8516" s="1" t="s">
        <v>8463</v>
      </c>
      <c r="C8516" t="str">
        <f>IFERROR(__xludf.DUMMYFUNCTION("GOOGLETRANSLATE(B8516, ""zh"", ""en"")"),"Vest to wear for a long time will find Le lightweight breathable, but wear a long time will find Le Due shoulder strap can not be adjusted, always will be out, I want to reach out and look at clothes lira.")</f>
        <v>Vest to wear for a long time will find Le lightweight breathable, but wear a long time will find Le Due shoulder strap can not be adjusted, always will be out, I want to reach out and look at clothes lira.</v>
      </c>
    </row>
    <row r="8517">
      <c r="A8517" s="1">
        <v>4.0</v>
      </c>
      <c r="B8517" s="1" t="s">
        <v>8464</v>
      </c>
      <c r="C8517" t="str">
        <f>IFERROR(__xludf.DUMMYFUNCTION("GOOGLETRANSLATE(B8517, ""zh"", ""en"")"),"Has not been used, but after receiving the physical map and color map advertising serious challenges based on your ad pictures blue and orange, the hand felt good ugly, the color of good low ah. cry! It does not look good. So we should see more buyers sho"&amp;"w, advertising photos are drawing ever wear.")</f>
        <v>Has not been used, but after receiving the physical map and color map advertising serious challenges based on your ad pictures blue and orange, the hand felt good ugly, the color of good low ah. cry! It does not look good. So we should see more buyers show, advertising photos are drawing ever wear.</v>
      </c>
    </row>
    <row r="8518">
      <c r="A8518" s="1">
        <v>4.0</v>
      </c>
      <c r="B8518" s="1" t="s">
        <v>8465</v>
      </c>
      <c r="C8518" t="str">
        <f>IFERROR(__xludf.DUMMYFUNCTION("GOOGLETRANSLATE(B8518, ""zh"", ""en"")"),"Taste good taste good, good price, domestic seemingly unpopular")</f>
        <v>Taste good taste good, good price, domestic seemingly unpopular</v>
      </c>
    </row>
    <row r="8519">
      <c r="A8519" s="1">
        <v>4.0</v>
      </c>
      <c r="B8519" s="1" t="s">
        <v>8466</v>
      </c>
      <c r="C8519" t="str">
        <f>IFERROR(__xludf.DUMMYFUNCTION("GOOGLETRANSLATE(B8519, ""zh"", ""en"")"),"Enough fat is large enough to wear in summer, thin, good quality")</f>
        <v>Enough fat is large enough to wear in summer, thin, good quality</v>
      </c>
    </row>
    <row r="8520">
      <c r="A8520" s="1">
        <v>4.0</v>
      </c>
      <c r="B8520" s="1" t="s">
        <v>8467</v>
      </c>
      <c r="C8520" t="str">
        <f>IFERROR(__xludf.DUMMYFUNCTION("GOOGLETRANSLATE(B8520, ""zh"", ""en"")"),"Really big shoe size shoe size is really big, usually wear 42.5, this dress can be stuffed two fingers, you can estimate 41, a cushion insole can be a good point.")</f>
        <v>Really big shoe size shoe size is really big, usually wear 42.5, this dress can be stuffed two fingers, you can estimate 41, a cushion insole can be a good point.</v>
      </c>
    </row>
    <row r="8521">
      <c r="A8521" s="1">
        <v>5.0</v>
      </c>
      <c r="B8521" s="1" t="s">
        <v>8468</v>
      </c>
      <c r="C8521" t="str">
        <f>IFERROR(__xludf.DUMMYFUNCTION("GOOGLETRANSLATE(B8521, ""zh"", ""en"")"),"Practical simple and practical, a good match, sufficient to meet the daily commute")</f>
        <v>Practical simple and practical, a good match, sufficient to meet the daily commute</v>
      </c>
    </row>
    <row r="8522">
      <c r="A8522" s="1">
        <v>5.0</v>
      </c>
      <c r="B8522" s="1" t="s">
        <v>8469</v>
      </c>
      <c r="C8522" t="str">
        <f>IFERROR(__xludf.DUMMYFUNCTION("GOOGLETRANSLATE(B8522, ""zh"", ""en"")"),"Very good size fit, comfortable to wear.")</f>
        <v>Very good size fit, comfortable to wear.</v>
      </c>
    </row>
    <row r="8523">
      <c r="A8523" s="1">
        <v>5.0</v>
      </c>
      <c r="B8523" s="1" t="s">
        <v>8470</v>
      </c>
      <c r="C8523" t="str">
        <f>IFERROR(__xludf.DUMMYFUNCTION("GOOGLETRANSLATE(B8523, ""zh"", ""en"")"),"Timberland shoes and boots rhubarb is very suitable, comfortable and durable.")</f>
        <v>Timberland shoes and boots rhubarb is very suitable, comfortable and durable.</v>
      </c>
    </row>
    <row r="8524">
      <c r="A8524" s="1">
        <v>5.0</v>
      </c>
      <c r="B8524" s="1" t="s">
        <v>8471</v>
      </c>
      <c r="C8524" t="str">
        <f>IFERROR(__xludf.DUMMYFUNCTION("GOOGLETRANSLATE(B8524, ""zh"", ""en"")"),"Good clothes very thin very light, very good")</f>
        <v>Good clothes very thin very light, very good</v>
      </c>
    </row>
    <row r="8525">
      <c r="A8525" s="1">
        <v>5.0</v>
      </c>
      <c r="B8525" s="1" t="s">
        <v>8472</v>
      </c>
      <c r="C8525" t="str">
        <f>IFERROR(__xludf.DUMMYFUNCTION("GOOGLETRANSLATE(B8525, ""zh"", ""en"")"),"Bottle very good baby, very much!")</f>
        <v>Bottle very good baby, very much!</v>
      </c>
    </row>
    <row r="8526">
      <c r="A8526" s="1">
        <v>5.0</v>
      </c>
      <c r="B8526" s="1" t="s">
        <v>8473</v>
      </c>
      <c r="C8526" t="str">
        <f>IFERROR(__xludf.DUMMYFUNCTION("GOOGLETRANSLATE(B8526, ""zh"", ""en"")"),"Size just fine, and then the next single. Some elasticity, wear a little thin for spring and autumn, 177cm / 75kg w33l32 just bought.")</f>
        <v>Size just fine, and then the next single. Some elasticity, wear a little thin for spring and autumn, 177cm / 75kg w33l32 just bought.</v>
      </c>
    </row>
    <row r="8527">
      <c r="A8527" s="1">
        <v>5.0</v>
      </c>
      <c r="B8527" s="1" t="s">
        <v>8474</v>
      </c>
      <c r="C8527" t="str">
        <f>IFERROR(__xludf.DUMMYFUNCTION("GOOGLETRANSLATE(B8527, ""zh"", ""en"")"),"Well try it, and indeed very comfortable, worth buying.")</f>
        <v>Well try it, and indeed very comfortable, worth buying.</v>
      </c>
    </row>
    <row r="8528">
      <c r="A8528" s="1">
        <v>5.0</v>
      </c>
      <c r="B8528" s="1" t="s">
        <v>8475</v>
      </c>
      <c r="C8528" t="str">
        <f>IFERROR(__xludf.DUMMYFUNCTION("GOOGLETRANSLATE(B8528, ""zh"", ""en"")"),"Strong sense of design pants, size slightly larger, but does not affect the store to buy a dress before the G star jeans, so these pants can also buy the same size W31L32 and found that as little else comments after receipt of some larger, but does not af"&amp;"fect the wear, do not wear a belt and also will not fall off, pants cut as G star of 3D design is very stylish, very suitable for pocket a lot of people are not used with a bag, be noted that the packaging because the cause of the trousers are rolled up s"&amp;"o pants just received a very wrinkled, it is recommended to wash again after drying wear.")</f>
        <v>Strong sense of design pants, size slightly larger, but does not affect the store to buy a dress before the G star jeans, so these pants can also buy the same size W31L32 and found that as little else comments after receipt of some larger, but does not affect the wear, do not wear a belt and also will not fall off, pants cut as G star of 3D design is very stylish, very suitable for pocket a lot of people are not used with a bag, be noted that the packaging because the cause of the trousers are rolled up so pants just received a very wrinkled, it is recommended to wash again after drying wear.</v>
      </c>
    </row>
    <row r="8529">
      <c r="A8529" s="1">
        <v>5.0</v>
      </c>
      <c r="B8529" s="1" t="s">
        <v>8476</v>
      </c>
      <c r="C8529" t="str">
        <f>IFERROR(__xludf.DUMMYFUNCTION("GOOGLETRANSLATE(B8529, ""zh"", ""en"")"),"Size good gray hat, wear very nice.")</f>
        <v>Size good gray hat, wear very nice.</v>
      </c>
    </row>
    <row r="8530">
      <c r="A8530" s="1">
        <v>5.0</v>
      </c>
      <c r="B8530" s="1" t="s">
        <v>8477</v>
      </c>
      <c r="C8530" t="str">
        <f>IFERROR(__xludf.DUMMYFUNCTION("GOOGLETRANSLATE(B8530, ""zh"", ""en"")"),"Very good, very good simple and elegant, simple and elegant, very much")</f>
        <v>Very good, very good simple and elegant, simple and elegant, very much</v>
      </c>
    </row>
    <row r="8531">
      <c r="A8531" s="1">
        <v>5.0</v>
      </c>
      <c r="B8531" s="1" t="s">
        <v>8478</v>
      </c>
      <c r="C8531" t="str">
        <f>IFERROR(__xludf.DUMMYFUNCTION("GOOGLETRANSLATE(B8531, ""zh"", ""en"")"),"Height 194, weight 175, just wear L code height 194, weight 175, see the comments before the election code L, just, like the color blue")</f>
        <v>Height 194, weight 175, just wear L code height 194, weight 175, see the comments before the election code L, just, like the color blue</v>
      </c>
    </row>
    <row r="8532">
      <c r="A8532" s="1">
        <v>5.0</v>
      </c>
      <c r="B8532" s="1" t="s">
        <v>8479</v>
      </c>
      <c r="C8532" t="str">
        <f>IFERROR(__xludf.DUMMYFUNCTION("GOOGLETRANSLATE(B8532, ""zh"", ""en"")"),"Good genuine, it is to buy small")</f>
        <v>Good genuine, it is to buy small</v>
      </c>
    </row>
    <row r="8533">
      <c r="A8533" s="1">
        <v>5.0</v>
      </c>
      <c r="B8533" s="1" t="s">
        <v>8480</v>
      </c>
      <c r="C8533" t="str">
        <f>IFERROR(__xludf.DUMMYFUNCTION("GOOGLETRANSLATE(B8533, ""zh"", ""en"")"),"Daughter likes a good style Xie, the daughter very much, comfortable to wear")</f>
        <v>Daughter likes a good style Xie, the daughter very much, comfortable to wear</v>
      </c>
    </row>
    <row r="8534">
      <c r="A8534" s="1">
        <v>5.0</v>
      </c>
      <c r="B8534" s="1" t="s">
        <v>8481</v>
      </c>
      <c r="C8534" t="str">
        <f>IFERROR(__xludf.DUMMYFUNCTION("GOOGLETRANSLATE(B8534, ""zh"", ""en"")"),"Very good motorcycle models, handsome. Materials and design are perfect, not squeamish. I was just tall and 160, slightly Length, subject to the limitations with. More than 165 girls do not wear too beautiful.")</f>
        <v>Very good motorcycle models, handsome. Materials and design are perfect, not squeamish. I was just tall and 160, slightly Length, subject to the limitations with. More than 165 girls do not wear too beautiful.</v>
      </c>
    </row>
    <row r="8535">
      <c r="A8535" s="1">
        <v>5.0</v>
      </c>
      <c r="B8535" s="1" t="s">
        <v>8482</v>
      </c>
      <c r="C8535" t="str">
        <f>IFERROR(__xludf.DUMMYFUNCTION("GOOGLETRANSLATE(B8535, ""zh"", ""en"")"),"Headphones great spent six years KSC75 have a headset does not ring, this time to re-buy one, AIU sent me, the price is much cheaper than before, as always, good sound quality!")</f>
        <v>Headphones great spent six years KSC75 have a headset does not ring, this time to re-buy one, AIU sent me, the price is much cheaper than before, as always, good sound quality!</v>
      </c>
    </row>
    <row r="8536">
      <c r="A8536" s="1">
        <v>5.0</v>
      </c>
      <c r="B8536" s="1" t="s">
        <v>8483</v>
      </c>
      <c r="C8536" t="str">
        <f>IFERROR(__xludf.DUMMYFUNCTION("GOOGLETRANSLATE(B8536, ""zh"", ""en"")"),"Baby bottles good that delivery time is not very long, clearance is also fast, the scale is sometimes not very nice.")</f>
        <v>Baby bottles good that delivery time is not very long, clearance is also fast, the scale is sometimes not very nice.</v>
      </c>
    </row>
    <row r="8537">
      <c r="A8537" s="1">
        <v>5.0</v>
      </c>
      <c r="B8537" s="1" t="s">
        <v>8484</v>
      </c>
      <c r="C8537" t="str">
        <f>IFERROR(__xludf.DUMMYFUNCTION("GOOGLETRANSLATE(B8537, ""zh"", ""en"")"),"Product reviews glossy children's shoes will play a crease in the toes, the shoes slim, micro hard vamp children")</f>
        <v>Product reviews glossy children's shoes will play a crease in the toes, the shoes slim, micro hard vamp children</v>
      </c>
    </row>
    <row r="8538">
      <c r="A8538" s="1">
        <v>5.0</v>
      </c>
      <c r="B8538" s="1" t="s">
        <v>8485</v>
      </c>
      <c r="C8538" t="str">
        <f>IFERROR(__xludf.DUMMYFUNCTION("GOOGLETRANSLATE(B8538, ""zh"", ""en"")"),"Quality assurance is very good, not from the previous evaluation, I do not know how many wasted points, points can change money now know, they should look carefully evaluated, then I put these words to copy to go, both to earn points, but also the easy wa"&amp;"y to go where copy where, most importantly, do not seriously review, do not think how much worse word, sent directly to it, recommend it to everyone! !")</f>
        <v>Quality assurance is very good, not from the previous evaluation, I do not know how many wasted points, points can change money now know, they should look carefully evaluated, then I put these words to copy to go, both to earn points, but also the easy way to go where copy where, most importantly, do not seriously review, do not think how much worse word, sent directly to it, recommend it to everyone! !</v>
      </c>
    </row>
    <row r="8539">
      <c r="A8539" s="1">
        <v>5.0</v>
      </c>
      <c r="B8539" s="1" t="s">
        <v>8486</v>
      </c>
      <c r="C8539" t="str">
        <f>IFERROR(__xludf.DUMMYFUNCTION("GOOGLETRANSLATE(B8539, ""zh"", ""en"")"),"Sports shoes are very fit, 40 yards, just, well, like a child")</f>
        <v>Sports shoes are very fit, 40 yards, just, well, like a child</v>
      </c>
    </row>
    <row r="8540">
      <c r="A8540" s="1">
        <v>5.0</v>
      </c>
      <c r="B8540" s="1" t="s">
        <v>8487</v>
      </c>
      <c r="C8540" t="str">
        <f>IFERROR(__xludf.DUMMYFUNCTION("GOOGLETRANSLATE(B8540, ""zh"", ""en"")"),"very good elasticity jeans, very comfortable.")</f>
        <v>very good elasticity jeans, very comfortable.</v>
      </c>
    </row>
    <row r="8541">
      <c r="A8541" s="1">
        <v>5.0</v>
      </c>
      <c r="B8541" s="1" t="s">
        <v>8488</v>
      </c>
      <c r="C8541" t="str">
        <f>IFERROR(__xludf.DUMMYFUNCTION("GOOGLETRANSLATE(B8541, ""zh"", ""en"")"),"Shoe accurate and comfortable to wear no other black five from order to receipt of nine days, it still is relatively fast. Shoe size is relatively standard, no extra insole to wear after a few days may be a little loose. Leather uppers, waterproof perform"&amp;"ance should be pretty good in itself, it is part of the front tip of suede. Suitable for autumn and winter wear, parcels and supporting better. Shoebox no certificate like, I do not know where the production, sorry.")</f>
        <v>Shoe accurate and comfortable to wear no other black five from order to receipt of nine days, it still is relatively fast. Shoe size is relatively standard, no extra insole to wear after a few days may be a little loose. Leather uppers, waterproof performance should be pretty good in itself, it is part of the front tip of suede. Suitable for autumn and winter wear, parcels and supporting better. Shoebox no certificate like, I do not know where the production, sorry.</v>
      </c>
    </row>
    <row r="8542">
      <c r="A8542" s="1">
        <v>2.0</v>
      </c>
      <c r="B8542" s="1" t="s">
        <v>8489</v>
      </c>
      <c r="C8542" t="str">
        <f>IFERROR(__xludf.DUMMYFUNCTION("GOOGLETRANSLATE(B8542, ""zh"", ""en"")"),"Not recommended to buy clothes and thin, poor quality, and very inappropriate Sleeve")</f>
        <v>Not recommended to buy clothes and thin, poor quality, and very inappropriate Sleeve</v>
      </c>
    </row>
    <row r="8543">
      <c r="A8543" s="1">
        <v>3.0</v>
      </c>
      <c r="B8543" s="1" t="s">
        <v>8490</v>
      </c>
      <c r="C8543" t="str">
        <f>IFERROR(__xludf.DUMMYFUNCTION("GOOGLETRANSLATE(B8543, ""zh"", ""en"")"),"Cost-effective cost-effective, comfortable, is the skin will fade Mi")</f>
        <v>Cost-effective cost-effective, comfortable, is the skin will fade Mi</v>
      </c>
    </row>
    <row r="8544">
      <c r="A8544" s="1">
        <v>3.0</v>
      </c>
      <c r="B8544" s="1" t="s">
        <v>8491</v>
      </c>
      <c r="C8544" t="str">
        <f>IFERROR(__xludf.DUMMYFUNCTION("GOOGLETRANSLATE(B8544, ""zh"", ""en"")"),"Not sure if genuine first time in the Amazon to buy health care products packaging feeling rough trademark posted muster can not determine it is not genuine")</f>
        <v>Not sure if genuine first time in the Amazon to buy health care products packaging feeling rough trademark posted muster can not determine it is not genuine</v>
      </c>
    </row>
    <row r="8545">
      <c r="A8545" s="1">
        <v>1.0</v>
      </c>
      <c r="B8545" s="1" t="s">
        <v>8492</v>
      </c>
      <c r="C8545" t="str">
        <f>IFERROR(__xludf.DUMMYFUNCTION("GOOGLETRANSLATE(B8545, ""zh"", ""en"")"),"Super hard to attach to no feeling is not wearing trousers, a cardboard plate. Want to change to change the length of scissors was found broken.")</f>
        <v>Super hard to attach to no feeling is not wearing trousers, a cardboard plate. Want to change to change the length of scissors was found broken.</v>
      </c>
    </row>
    <row r="8546">
      <c r="A8546" s="1">
        <v>1.0</v>
      </c>
      <c r="B8546" s="1" t="s">
        <v>8493</v>
      </c>
      <c r="C8546" t="str">
        <f>IFERROR(__xludf.DUMMYFUNCTION("GOOGLETRANSLATE(B8546, ""zh"", ""en"")"),"If this new shoe is broken gadgets, and I ate it!")</f>
        <v>If this new shoe is broken gadgets, and I ate it!</v>
      </c>
    </row>
    <row r="8547">
      <c r="A8547" s="1">
        <v>1.0</v>
      </c>
      <c r="B8547" s="1" t="s">
        <v>8494</v>
      </c>
      <c r="C8547" t="str">
        <f>IFERROR(__xludf.DUMMYFUNCTION("GOOGLETRANSLATE(B8547, ""zh"", ""en"")"),"Poor workmanship! I did not expect to wait a month before pants, a total of more than three hundred, and received a look, turned out to be the level of labor protection work overalls. After ten million too cautious shopping.")</f>
        <v>Poor workmanship! I did not expect to wait a month before pants, a total of more than three hundred, and received a look, turned out to be the level of labor protection work overalls. After ten million too cautious shopping.</v>
      </c>
    </row>
    <row r="8548">
      <c r="A8548" s="1">
        <v>4.0</v>
      </c>
      <c r="B8548" s="1" t="s">
        <v>8495</v>
      </c>
      <c r="C8548" t="str">
        <f>IFERROR(__xludf.DUMMYFUNCTION("GOOGLETRANSLATE(B8548, ""zh"", ""en"")"),"The same number of 37, wearing a big dress in the store to try on when 37 yards just right, not particularly comfortable foot wear heels. But just when the shoes on the feet heel grind feel, or summer wear socks shallow mouth, directly worn, but just fine"&amp;" two days later. Then Yuechuan Yue great, and now the heel can be put down fingers. Really good-looking, durable and comfortable. Washed once, do not bother to clean up, clean finish is not a problem as deformation.")</f>
        <v>The same number of 37, wearing a big dress in the store to try on when 37 yards just right, not particularly comfortable foot wear heels. But just when the shoes on the feet heel grind feel, or summer wear socks shallow mouth, directly worn, but just fine two days later. Then Yuechuan Yue great, and now the heel can be put down fingers. Really good-looking, durable and comfortable. Washed once, do not bother to clean up, clean finish is not a problem as deformation.</v>
      </c>
    </row>
    <row r="8549">
      <c r="A8549" s="1">
        <v>4.0</v>
      </c>
      <c r="B8549" s="1" t="s">
        <v>8496</v>
      </c>
      <c r="C8549" t="str">
        <f>IFERROR(__xludf.DUMMYFUNCTION("GOOGLETRANSLATE(B8549, ""zh"", ""en"")"),"Thin windproof jacket fabric as expected, the other better")</f>
        <v>Thin windproof jacket fabric as expected, the other better</v>
      </c>
    </row>
    <row r="8550">
      <c r="A8550" s="1">
        <v>4.0</v>
      </c>
      <c r="B8550" s="1" t="s">
        <v>8497</v>
      </c>
      <c r="C8550" t="str">
        <f>IFERROR(__xludf.DUMMYFUNCTION("GOOGLETRANSLATE(B8550, ""zh"", ""en"")"),"There is a problem, everybody's head shaking very bad? Like in this video? &lt;Div id = ""video-block-RPXH5NAP2ZBD"" class = ""a-section a-spacing-small a-spacing-top-mini video-block""&gt; &lt;/ div&gt; &lt;input type = ""hidden"" name = """" value = ""https://images-c"&amp;"n.ssl-images-amazon.com/images/I/91FdWqUdv1S.mp4"" class = ""video-url""&gt; &lt;input type = ""hidden"" name = """" value = ""https: //images-cn.ssl-images-amazon.com/images/I/B1dc1uomhrS.png ""class ="" video-slate-img-url ""&gt; &amp; nbsp; with dough hook when mor"&amp;"e powerful vertically movable head, do not have the time, head shaking more obvious, what we are all like this?")</f>
        <v>There is a problem, everybody's head shaking very bad? Like in this video? &lt;Div id = "video-block-RPXH5NAP2ZBD" class = "a-section a-spacing-small a-spacing-top-mini video-block"&gt; &lt;/ div&gt; &lt;input type = "hidden" name = "" value = "https://images-cn.ssl-images-amazon.com/images/I/91FdWqUdv1S.mp4" class = "video-url"&gt; &lt;input type = "hidden" name = "" value = "https: //images-cn.ssl-images-amazon.com/images/I/B1dc1uomhrS.png "class =" video-slate-img-url "&gt; &amp; nbsp; with dough hook when more powerful vertically movable head, do not have the time, head shaking more obvious, what we are all like this?</v>
      </c>
    </row>
    <row r="8551">
      <c r="A8551" s="1">
        <v>4.0</v>
      </c>
      <c r="B8551" s="1" t="s">
        <v>8498</v>
      </c>
      <c r="C8551" t="str">
        <f>IFERROR(__xludf.DUMMYFUNCTION("GOOGLETRANSLATE(B8551, ""zh"", ""en"")"),"Pen is very beautiful, packaging and packaging too rough to die too, with the last to buy the same, even a crash are reluctant to put a bubble, recessed box two corners are the")</f>
        <v>Pen is very beautiful, packaging and packaging too rough to die too, with the last to buy the same, even a crash are reluctant to put a bubble, recessed box two corners are the</v>
      </c>
    </row>
    <row r="8552">
      <c r="A8552" s="1">
        <v>5.0</v>
      </c>
      <c r="B8552" s="1" t="s">
        <v>8499</v>
      </c>
      <c r="C8552" t="str">
        <f>IFERROR(__xludf.DUMMYFUNCTION("GOOGLETRANSLATE(B8552, ""zh"", ""en"")"),"Evaluation of good size looks good, it is recommended Amazon wants a size table for everyone to see")</f>
        <v>Evaluation of good size looks good, it is recommended Amazon wants a size table for everyone to see</v>
      </c>
    </row>
    <row r="8553">
      <c r="A8553" s="1">
        <v>5.0</v>
      </c>
      <c r="B8553" s="1" t="s">
        <v>8500</v>
      </c>
      <c r="C8553" t="str">
        <f>IFERROR(__xludf.DUMMYFUNCTION("GOOGLETRANSLATE(B8553, ""zh"", ""en"")"),"Good boots 199 excluding tax. Wife skinny legs, usually 39 yards, net feet long about 24.4cm, single uk5.5, found just after the hand. Shoes solid materials, good workmanship, foot feeling good. Color is generally right, wife overall satisfaction.")</f>
        <v>Good boots 199 excluding tax. Wife skinny legs, usually 39 yards, net feet long about 24.4cm, single uk5.5, found just after the hand. Shoes solid materials, good workmanship, foot feeling good. Color is generally right, wife overall satisfaction.</v>
      </c>
    </row>
    <row r="8554">
      <c r="A8554" s="1">
        <v>5.0</v>
      </c>
      <c r="B8554" s="1" t="s">
        <v>8501</v>
      </c>
      <c r="C8554" t="str">
        <f>IFERROR(__xludf.DUMMYFUNCTION("GOOGLETRANSLATE(B8554, ""zh"", ""en"")"),"Suitable try in a little, but just right after the add insoles, foot big bad pair of shoes, most of the country in some 45 yards knock feet, only made purchased abroad")</f>
        <v>Suitable try in a little, but just right after the add insoles, foot big bad pair of shoes, most of the country in some 45 yards knock feet, only made purchased abroad</v>
      </c>
    </row>
    <row r="8555">
      <c r="A8555" s="1">
        <v>5.0</v>
      </c>
      <c r="B8555" s="1" t="s">
        <v>8502</v>
      </c>
      <c r="C8555" t="str">
        <f>IFERROR(__xludf.DUMMYFUNCTION("GOOGLETRANSLATE(B8555, ""zh"", ""en"")"),"Yes, the Amazon supports the second pair of boots in the Amazon abroad, and this dual-beautiful, ultra-low-cost over 460 hand")</f>
        <v>Yes, the Amazon supports the second pair of boots in the Amazon abroad, and this dual-beautiful, ultra-low-cost over 460 hand</v>
      </c>
    </row>
    <row r="8556">
      <c r="A8556" s="1">
        <v>5.0</v>
      </c>
      <c r="B8556" s="1" t="s">
        <v>8503</v>
      </c>
      <c r="C8556" t="str">
        <f>IFERROR(__xludf.DUMMYFUNCTION("GOOGLETRANSLATE(B8556, ""zh"", ""en"")"),"This cost-effective, just one year.")</f>
        <v>This cost-effective, just one year.</v>
      </c>
    </row>
    <row r="8557">
      <c r="A8557" s="1">
        <v>5.0</v>
      </c>
      <c r="B8557" s="1" t="s">
        <v>8504</v>
      </c>
      <c r="C8557" t="str">
        <f>IFERROR(__xludf.DUMMYFUNCTION("GOOGLETRANSLATE(B8557, ""zh"", ""en"")"),"Did not taste nice, do not throw rotten, very convenient to use")</f>
        <v>Did not taste nice, do not throw rotten, very convenient to use</v>
      </c>
    </row>
    <row r="8558">
      <c r="A8558" s="1">
        <v>5.0</v>
      </c>
      <c r="B8558" s="1" t="s">
        <v>8505</v>
      </c>
      <c r="C8558" t="str">
        <f>IFERROR(__xludf.DUMMYFUNCTION("GOOGLETRANSLATE(B8558, ""zh"", ""en"")"),"Quality, reliable, cost-effective! Use more than six months, it is mainly used to practice calligraphy, although M is sharp, but the character did not imagine so thick; currently all steel tip pen personal best use. They are worthy of the blotter, Ling US"&amp;" blue-black ink with which the water system is very stable and reliable, neither Loumo, not dry tip. Initially, it was time to start more than 260 pieces, premium feel, the same price also do not see any rival.")</f>
        <v>Quality, reliable, cost-effective! Use more than six months, it is mainly used to practice calligraphy, although M is sharp, but the character did not imagine so thick; currently all steel tip pen personal best use. They are worthy of the blotter, Ling US blue-black ink with which the water system is very stable and reliable, neither Loumo, not dry tip. Initially, it was time to start more than 260 pieces, premium feel, the same price also do not see any rival.</v>
      </c>
    </row>
    <row r="8559">
      <c r="A8559" s="1">
        <v>5.0</v>
      </c>
      <c r="B8559" s="1" t="s">
        <v>8506</v>
      </c>
      <c r="C8559" t="str">
        <f>IFERROR(__xludf.DUMMYFUNCTION("GOOGLETRANSLATE(B8559, ""zh"", ""en"")"),"1 received today, with 6730 is also available. Very affordable, recommend!")</f>
        <v>1 received today, with 6730 is also available. Very affordable, recommend!</v>
      </c>
    </row>
    <row r="8560">
      <c r="A8560" s="1">
        <v>5.0</v>
      </c>
      <c r="B8560" s="1" t="s">
        <v>7517</v>
      </c>
      <c r="C8560" t="str">
        <f>IFERROR(__xludf.DUMMYFUNCTION("GOOGLETRANSLATE(B8560, ""zh"", ""en"")"),"Trusted brand is very good, comfortable, warm and strong")</f>
        <v>Trusted brand is very good, comfortable, warm and strong</v>
      </c>
    </row>
    <row r="8561">
      <c r="A8561" s="1">
        <v>5.0</v>
      </c>
      <c r="B8561" s="1" t="s">
        <v>8507</v>
      </c>
      <c r="C8561" t="str">
        <f>IFERROR(__xludf.DUMMYFUNCTION("GOOGLETRANSLATE(B8561, ""zh"", ""en"")"),"Relatively satisfied logistics speed quickly, although a time when the Ching Ming Festival, stew beaker very good workmanship. Thailand OEM, foreign body like a cup of plastic material only complaint is the packaging broken.")</f>
        <v>Relatively satisfied logistics speed quickly, although a time when the Ching Ming Festival, stew beaker very good workmanship. Thailand OEM, foreign body like a cup of plastic material only complaint is the packaging broken.</v>
      </c>
    </row>
    <row r="8562">
      <c r="A8562" s="1">
        <v>5.0</v>
      </c>
      <c r="B8562" s="1" t="s">
        <v>8508</v>
      </c>
      <c r="C8562" t="str">
        <f>IFERROR(__xludf.DUMMYFUNCTION("GOOGLETRANSLATE(B8562, ""zh"", ""en"")"),"Price too appropriate baby has been using this bottle, I did not find a bad place. Amazon's overseas purchase price of the whole network the most appropriate")</f>
        <v>Price too appropriate baby has been using this bottle, I did not find a bad place. Amazon's overseas purchase price of the whole network the most appropriate</v>
      </c>
    </row>
    <row r="8563">
      <c r="A8563" s="1">
        <v>5.0</v>
      </c>
      <c r="B8563" s="1" t="s">
        <v>8509</v>
      </c>
      <c r="C8563" t="str">
        <f>IFERROR(__xludf.DUMMYFUNCTION("GOOGLETRANSLATE(B8563, ""zh"", ""en"")"),"Well bought a lot of things in the Amazon, and there have been others refuse to buy watched Poor experience, but later found some of the negative feedback may not be objective, so I decided to buy something later, if good give to make a point. Noble to sa"&amp;"y, remember the history of the greatest tragedy is not the bad guys hustle and bustle of society, but the silence of good people; to say low, I hope Amazon can get a fair deal.")</f>
        <v>Well bought a lot of things in the Amazon, and there have been others refuse to buy watched Poor experience, but later found some of the negative feedback may not be objective, so I decided to buy something later, if good give to make a point. Noble to say, remember the history of the greatest tragedy is not the bad guys hustle and bustle of society, but the silence of good people; to say low, I hope Amazon can get a fair deal.</v>
      </c>
    </row>
    <row r="8564">
      <c r="A8564" s="1">
        <v>5.0</v>
      </c>
      <c r="B8564" s="1" t="s">
        <v>8510</v>
      </c>
      <c r="C8564" t="str">
        <f>IFERROR(__xludf.DUMMYFUNCTION("GOOGLETRANSLATE(B8564, ""zh"", ""en"")"),"Easy to use easy to use")</f>
        <v>Easy to use easy to use</v>
      </c>
    </row>
    <row r="8565">
      <c r="A8565" s="1">
        <v>5.0</v>
      </c>
      <c r="B8565" s="1" t="s">
        <v>8511</v>
      </c>
      <c r="C8565" t="str">
        <f>IFERROR(__xludf.DUMMYFUNCTION("GOOGLETRANSLATE(B8565, ""zh"", ""en"")"),"Good experience something very positive, the right size, cheap 😊")</f>
        <v>Good experience something very positive, the right size, cheap 😊</v>
      </c>
    </row>
    <row r="8566">
      <c r="A8566" s="1">
        <v>5.0</v>
      </c>
      <c r="B8566" s="1" t="s">
        <v>8512</v>
      </c>
      <c r="C8566" t="str">
        <f>IFERROR(__xludf.DUMMYFUNCTION("GOOGLETRANSLATE(B8566, ""zh"", ""en"")"),"Quality open very pleasantly surprised, yes, for the first time Daikaxiou watches, satisfied.")</f>
        <v>Quality open very pleasantly surprised, yes, for the first time Daikaxiou watches, satisfied.</v>
      </c>
    </row>
    <row r="8567">
      <c r="A8567" s="1">
        <v>5.0</v>
      </c>
      <c r="B8567" s="1" t="s">
        <v>8513</v>
      </c>
      <c r="C8567" t="str">
        <f>IFERROR(__xludf.DUMMYFUNCTION("GOOGLETRANSLATE(B8567, ""zh"", ""en"")"),"Easy to use and nice to experience a sense of good, with a big transformer, but also with a rice cooker but with kettle. Capacity is a little small, or the like 5L, 3L one day have to add two or three times the water, no steam was like, burning 3L water w"&amp;"as probably about 20 minutes, the temperature can be set after a few burned, you can also power down insulation value Yen high, strong push.")</f>
        <v>Easy to use and nice to experience a sense of good, with a big transformer, but also with a rice cooker but with kettle. Capacity is a little small, or the like 5L, 3L one day have to add two or three times the water, no steam was like, burning 3L water was probably about 20 minutes, the temperature can be set after a few burned, you can also power down insulation value Yen high, strong push.</v>
      </c>
    </row>
    <row r="8568">
      <c r="A8568" s="1">
        <v>5.0</v>
      </c>
      <c r="B8568" s="1" t="s">
        <v>8514</v>
      </c>
      <c r="C8568" t="str">
        <f>IFERROR(__xludf.DUMMYFUNCTION("GOOGLETRANSLATE(B8568, ""zh"", ""en"")"),"Liked very much! Surprise, it cowboy style! Very appropriate size")</f>
        <v>Liked very much! Surprise, it cowboy style! Very appropriate size</v>
      </c>
    </row>
    <row r="8569">
      <c r="A8569" s="1">
        <v>5.0</v>
      </c>
      <c r="B8569" s="1" t="s">
        <v>8515</v>
      </c>
      <c r="C8569" t="str">
        <f>IFERROR(__xludf.DUMMYFUNCTION("GOOGLETRANSLATE(B8569, ""zh"", ""en"")"),"The first feeling is good scouring the sea quite a character, and eleven days of arrival, shoe size, style and color are very good. Amazon should be grateful, it gives us a wider choice and we hope to add more outstanding products. But I do not dare to bu"&amp;"y trousers, the comparison numbers, too tough to understand.")</f>
        <v>The first feeling is good scouring the sea quite a character, and eleven days of arrival, shoe size, style and color are very good. Amazon should be grateful, it gives us a wider choice and we hope to add more outstanding products. But I do not dare to buy trousers, the comparison numbers, too tough to understand.</v>
      </c>
    </row>
    <row r="8570">
      <c r="A8570" s="1">
        <v>5.0</v>
      </c>
      <c r="B8570" s="1" t="s">
        <v>8516</v>
      </c>
      <c r="C8570" t="str">
        <f>IFERROR(__xludf.DUMMYFUNCTION("GOOGLETRANSLATE(B8570, ""zh"", ""en"")"),"7 days of receipt of scouring the sea for the first time, after it is ordered not wait to wait to receive the parcel, but looked very small and very easy to use, small voice stirred up very stable, very much!")</f>
        <v>7 days of receipt of scouring the sea for the first time, after it is ordered not wait to wait to receive the parcel, but looked very small and very easy to use, small voice stirred up very stable, very much!</v>
      </c>
    </row>
    <row r="8571">
      <c r="A8571" s="1">
        <v>5.0</v>
      </c>
      <c r="B8571" s="1" t="s">
        <v>8517</v>
      </c>
      <c r="C8571" t="str">
        <f>IFERROR(__xludf.DUMMYFUNCTION("GOOGLETRANSLATE(B8571, ""zh"", ""en"")"),"Something good quality pants and pants are good, I liked! Just buy big on the 1st, returns too expensive, give up, decisively smaller size and then the next single! I am 178cm, 80kg, under 36W32L, the right length, waist circumference is too large, and th"&amp;"erefore should be 34W32L my yard!")</f>
        <v>Something good quality pants and pants are good, I liked! Just buy big on the 1st, returns too expensive, give up, decisively smaller size and then the next single! I am 178cm, 80kg, under 36W32L, the right length, waist circumference is too large, and therefore should be 34W32L my yard!</v>
      </c>
    </row>
    <row r="8572">
      <c r="A8572" s="1">
        <v>5.0</v>
      </c>
      <c r="B8572" s="1" t="s">
        <v>8518</v>
      </c>
      <c r="C8572" t="str">
        <f>IFERROR(__xludf.DUMMYFUNCTION("GOOGLETRANSLATE(B8572, ""zh"", ""en"")"),"Like very comfortable and warm and breathable, the length just right.")</f>
        <v>Like very comfortable and warm and breathable, the length just right.</v>
      </c>
    </row>
    <row r="8573">
      <c r="A8573" s="1">
        <v>5.0</v>
      </c>
      <c r="B8573" s="1" t="s">
        <v>8519</v>
      </c>
      <c r="C8573" t="str">
        <f>IFERROR(__xludf.DUMMYFUNCTION("GOOGLETRANSLATE(B8573, ""zh"", ""en"")"),"Like the wind and waterproof fabric, padded models, simple and elegant style, pocket design is very practical, the right size, 180,83")</f>
        <v>Like the wind and waterproof fabric, padded models, simple and elegant style, pocket design is very practical, the right size, 180,83</v>
      </c>
    </row>
    <row r="8574">
      <c r="A8574" s="1">
        <v>2.0</v>
      </c>
      <c r="B8574" s="1" t="s">
        <v>8520</v>
      </c>
      <c r="C8574" t="str">
        <f>IFERROR(__xludf.DUMMYFUNCTION("GOOGLETRANSLATE(B8574, ""zh"", ""en"")"),"Comfortable shoes are very comfortable shoes! Husband feet wide, particularly difficult to buy comfortable shoes, finally met. Leather soft and comfortable considered these days to buy another pair with the money for the wear. recommend!")</f>
        <v>Comfortable shoes are very comfortable shoes! Husband feet wide, particularly difficult to buy comfortable shoes, finally met. Leather soft and comfortable considered these days to buy another pair with the money for the wear. recommend!</v>
      </c>
    </row>
    <row r="8575">
      <c r="A8575" s="1">
        <v>3.0</v>
      </c>
      <c r="B8575" s="1" t="s">
        <v>8521</v>
      </c>
      <c r="C8575" t="str">
        <f>IFERROR(__xludf.DUMMYFUNCTION("GOOGLETRANSLATE(B8575, ""zh"", ""en"")"),"175cm buy S code base suitable size can, however, quality is not ye!")</f>
        <v>175cm buy S code base suitable size can, however, quality is not ye!</v>
      </c>
    </row>
    <row r="8576">
      <c r="A8576" s="1">
        <v>3.0</v>
      </c>
      <c r="B8576" s="1" t="s">
        <v>8522</v>
      </c>
      <c r="C8576" t="str">
        <f>IFERROR(__xludf.DUMMYFUNCTION("GOOGLETRANSLATE(B8576, ""zh"", ""en"")"),"A big completely different, sad reminders, still Underwear, but also to close completely different big, sad reminders, still Underwear, but also to close")</f>
        <v>A big completely different, sad reminders, still Underwear, but also to close completely different big, sad reminders, still Underwear, but also to close</v>
      </c>
    </row>
    <row r="8577">
      <c r="A8577" s="1">
        <v>3.0</v>
      </c>
      <c r="B8577" s="1" t="s">
        <v>8523</v>
      </c>
      <c r="C8577" t="str">
        <f>IFERROR(__xludf.DUMMYFUNCTION("GOOGLETRANSLATE(B8577, ""zh"", ""en"")"),"Code good quality than the domestic big thing, but too much, I bought all domestic CK 38B or 38C, 38B buy this, feel the cup around the bottom and are great, with an estimated 36B is appropriate.")</f>
        <v>Code good quality than the domestic big thing, but too much, I bought all domestic CK 38B or 38C, 38B buy this, feel the cup around the bottom and are great, with an estimated 36B is appropriate.</v>
      </c>
    </row>
    <row r="8578">
      <c r="A8578" s="1">
        <v>1.0</v>
      </c>
      <c r="B8578" s="1" t="s">
        <v>8524</v>
      </c>
      <c r="C8578" t="str">
        <f>IFERROR(__xludf.DUMMYFUNCTION("GOOGLETRANSLATE(B8578, ""zh"", ""en"")"),"Foot thick missed a lot of size too small, can not wear completely.")</f>
        <v>Foot thick missed a lot of size too small, can not wear completely.</v>
      </c>
    </row>
    <row r="8579">
      <c r="A8579" s="1">
        <v>1.0</v>
      </c>
      <c r="B8579" s="1" t="s">
        <v>8525</v>
      </c>
      <c r="C8579" t="str">
        <f>IFERROR(__xludf.DUMMYFUNCTION("GOOGLETRANSLATE(B8579, ""zh"", ""en"")"),"Quality is not as intimate apparel hair loss is very serious, sticky layer on the skin. In this work next door ck or change it.")</f>
        <v>Quality is not as intimate apparel hair loss is very serious, sticky layer on the skin. In this work next door ck or change it.</v>
      </c>
    </row>
    <row r="8580">
      <c r="A8580" s="1">
        <v>4.0</v>
      </c>
      <c r="B8580" s="1" t="s">
        <v>8526</v>
      </c>
      <c r="C8580" t="str">
        <f>IFERROR(__xludf.DUMMYFUNCTION("GOOGLETRANSLATE(B8580, ""zh"", ""en"")"),"The only good thing was the size of the foundation is a bit hard")</f>
        <v>The only good thing was the size of the foundation is a bit hard</v>
      </c>
    </row>
    <row r="8581">
      <c r="A8581" s="1">
        <v>4.0</v>
      </c>
      <c r="B8581" s="1" t="s">
        <v>8527</v>
      </c>
      <c r="C8581" t="str">
        <f>IFERROR(__xludf.DUMMYFUNCTION("GOOGLETRANSLATE(B8581, ""zh"", ""en"")"),"Very comfortable very comfortable looks good I'm afraid One big positive is actually very little code to buy")</f>
        <v>Very comfortable very comfortable looks good I'm afraid One big positive is actually very little code to buy</v>
      </c>
    </row>
    <row r="8582">
      <c r="A8582" s="1">
        <v>4.0</v>
      </c>
      <c r="B8582" s="1" t="s">
        <v>8528</v>
      </c>
      <c r="C8582" t="str">
        <f>IFERROR(__xludf.DUMMYFUNCTION("GOOGLETRANSLATE(B8582, ""zh"", ""en"")"),"Easy to use good use ... for the first time with a bottle of blue than green bottle .. to be a little sweet.")</f>
        <v>Easy to use good use ... for the first time with a bottle of blue than green bottle .. to be a little sweet.</v>
      </c>
    </row>
    <row r="8583">
      <c r="A8583" s="1">
        <v>4.0</v>
      </c>
      <c r="B8583" s="1" t="s">
        <v>8529</v>
      </c>
      <c r="C8583" t="str">
        <f>IFERROR(__xludf.DUMMYFUNCTION("GOOGLETRANSLATE(B8583, ""zh"", ""en"")"),"The role of the mother is still a little older, sometimes walking time is slightly longer, will foot pain, her friend introduced this drug, you look up at Amazon, about six days to get the goods, specifically so my mother ate more than one week before to "&amp;"comment, to listen to her a little effect, and so finished, you should buy the")</f>
        <v>The role of the mother is still a little older, sometimes walking time is slightly longer, will foot pain, her friend introduced this drug, you look up at Amazon, about six days to get the goods, specifically so my mother ate more than one week before to comment, to listen to her a little effect, and so finished, you should buy the</v>
      </c>
    </row>
    <row r="8584">
      <c r="A8584" s="1">
        <v>4.0</v>
      </c>
      <c r="B8584" s="1" t="s">
        <v>8530</v>
      </c>
      <c r="C8584" t="str">
        <f>IFERROR(__xludf.DUMMYFUNCTION("GOOGLETRANSLATE(B8584, ""zh"", ""en"")"),"Workmanship is not so good, can only say that the price is right waist pants appropriate length a little longer, maybe I have chosen completely different question, 182cm, 75kg, election 32/34, pants workmanship really bad compliment, and domestic lee anim"&amp;"al")</f>
        <v>Workmanship is not so good, can only say that the price is right waist pants appropriate length a little longer, maybe I have chosen completely different question, 182cm, 75kg, election 32/34, pants workmanship really bad compliment, and domestic lee animal</v>
      </c>
    </row>
    <row r="8585">
      <c r="A8585" s="1">
        <v>5.0</v>
      </c>
      <c r="B8585" s="1" t="s">
        <v>8531</v>
      </c>
      <c r="C8585" t="str">
        <f>IFERROR(__xludf.DUMMYFUNCTION("GOOGLETRANSLATE(B8585, ""zh"", ""en"")"),"Yes 173CM, weight 75KG, M code just a little thin, spring appropriate")</f>
        <v>Yes 173CM, weight 75KG, M code just a little thin, spring appropriate</v>
      </c>
    </row>
    <row r="8586">
      <c r="A8586" s="1">
        <v>5.0</v>
      </c>
      <c r="B8586" s="1" t="s">
        <v>8532</v>
      </c>
      <c r="C8586" t="str">
        <f>IFERROR(__xludf.DUMMYFUNCTION("GOOGLETRANSLATE(B8586, ""zh"", ""en"")"),"Recommend to the first time you use Sennheiser headphones to hear the music, I am not fans, just like the songs, personally feel very good quality, value for money! !")</f>
        <v>Recommend to the first time you use Sennheiser headphones to hear the music, I am not fans, just like the songs, personally feel very good quality, value for money! !</v>
      </c>
    </row>
    <row r="8587">
      <c r="A8587" s="1">
        <v>5.0</v>
      </c>
      <c r="B8587" s="1" t="s">
        <v>8533</v>
      </c>
      <c r="C8587" t="str">
        <f>IFERROR(__xludf.DUMMYFUNCTION("GOOGLETRANSLATE(B8587, ""zh"", ""en"")"),"I want to say I'm here to make a blueprint of veteran health care products, I believe will be useful")</f>
        <v>I want to say I'm here to make a blueprint of veteran health care products, I believe will be useful</v>
      </c>
    </row>
    <row r="8588">
      <c r="A8588" s="1">
        <v>5.0</v>
      </c>
      <c r="B8588" s="1" t="s">
        <v>8534</v>
      </c>
      <c r="C8588" t="str">
        <f>IFERROR(__xludf.DUMMYFUNCTION("GOOGLETRANSLATE(B8588, ""zh"", ""en"")"),"It is like my favorite, light, petite, go anywhere with you.")</f>
        <v>It is like my favorite, light, petite, go anywhere with you.</v>
      </c>
    </row>
    <row r="8589">
      <c r="A8589" s="1">
        <v>5.0</v>
      </c>
      <c r="B8589" s="1" t="s">
        <v>8535</v>
      </c>
      <c r="C8589" t="str">
        <f>IFERROR(__xludf.DUMMYFUNCTION("GOOGLETRANSLATE(B8589, ""zh"", ""en"")"),"Size just right! Usually wear shoes 41 yards, through clarks us7.5 code, rockport us8 code, the code is just these shoes, but lower instep, may be tight high instep. ecco indeed unique, legendary ""instant fit""! Soles hard, but the shoes are very Genjiao"&amp;", receptor technology is not white to, not a long walk feet feel tired.")</f>
        <v>Size just right! Usually wear shoes 41 yards, through clarks us7.5 code, rockport us8 code, the code is just these shoes, but lower instep, may be tight high instep. ecco indeed unique, legendary "instant fit"! Soles hard, but the shoes are very Genjiao, receptor technology is not white to, not a long walk feet feel tired.</v>
      </c>
    </row>
    <row r="8590">
      <c r="A8590" s="1">
        <v>5.0</v>
      </c>
      <c r="B8590" s="1" t="s">
        <v>8536</v>
      </c>
      <c r="C8590" t="str">
        <f>IFERROR(__xludf.DUMMYFUNCTION("GOOGLETRANSLATE(B8590, ""zh"", ""en"")"),"good quality? good quality. Recommended to buy.")</f>
        <v>good quality? good quality. Recommended to buy.</v>
      </c>
    </row>
    <row r="8591">
      <c r="A8591" s="1">
        <v>5.0</v>
      </c>
      <c r="B8591" s="1" t="s">
        <v>8537</v>
      </c>
      <c r="C8591" t="str">
        <f>IFERROR(__xludf.DUMMYFUNCTION("GOOGLETRANSLATE(B8591, ""zh"", ""en"")"),"Stretch Slim, buy a smaller size than usual jeans is perfect five-star, a small number of buy to wear than usual to buy a yard stretch because it is self-cultivation, I am 171 pounds 67 kilograms. 31. If you buy this usually wear 30 to perfect. Amazon sho"&amp;"pping a little awkward, no way to directly exchange and sellers size")</f>
        <v>Stretch Slim, buy a smaller size than usual jeans is perfect five-star, a small number of buy to wear than usual to buy a yard stretch because it is self-cultivation, I am 171 pounds 67 kilograms. 31. If you buy this usually wear 30 to perfect. Amazon shopping a little awkward, no way to directly exchange and sellers size</v>
      </c>
    </row>
    <row r="8592">
      <c r="A8592" s="1">
        <v>5.0</v>
      </c>
      <c r="B8592" s="1" t="s">
        <v>8538</v>
      </c>
      <c r="C8592" t="str">
        <f>IFERROR(__xludf.DUMMYFUNCTION("GOOGLETRANSLATE(B8592, ""zh"", ""en"")"),"Watch real handsome than the picture, quite like")</f>
        <v>Watch real handsome than the picture, quite like</v>
      </c>
    </row>
    <row r="8593">
      <c r="A8593" s="1">
        <v>5.0</v>
      </c>
      <c r="B8593" s="1" t="s">
        <v>8539</v>
      </c>
      <c r="C8593" t="str">
        <f>IFERROR(__xludf.DUMMYFUNCTION("GOOGLETRANSLATE(B8593, ""zh"", ""en"")"),"Belt rather hard, the color looks good the price is right, the color is also good, the price is also very satisfied to spend a year")</f>
        <v>Belt rather hard, the color looks good the price is right, the color is also good, the price is also very satisfied to spend a year</v>
      </c>
    </row>
    <row r="8594">
      <c r="A8594" s="1">
        <v>5.0</v>
      </c>
      <c r="B8594" s="1" t="s">
        <v>8540</v>
      </c>
      <c r="C8594" t="str">
        <f>IFERROR(__xludf.DUMMYFUNCTION("GOOGLETRANSLATE(B8594, ""zh"", ""en"")"),"Classic stuff is good, very good to 6 days.")</f>
        <v>Classic stuff is good, very good to 6 days.</v>
      </c>
    </row>
    <row r="8595">
      <c r="A8595" s="1">
        <v>5.0</v>
      </c>
      <c r="B8595" s="1" t="s">
        <v>8541</v>
      </c>
      <c r="C8595" t="str">
        <f>IFERROR(__xludf.DUMMYFUNCTION("GOOGLETRANSLATE(B8595, ""zh"", ""en"")"),"Like suitable for summer wear, waist circumference 2 feet 6, weighing 73.5 kg, height 173, just wear 31/30")</f>
        <v>Like suitable for summer wear, waist circumference 2 feet 6, weighing 73.5 kg, height 173, just wear 31/30</v>
      </c>
    </row>
    <row r="8596">
      <c r="A8596" s="1">
        <v>5.0</v>
      </c>
      <c r="B8596" s="1" t="s">
        <v>8542</v>
      </c>
      <c r="C8596" t="str">
        <f>IFERROR(__xludf.DUMMYFUNCTION("GOOGLETRANSLATE(B8596, ""zh"", ""en"")"),"Express too much to force the price! 29, No. 4 on the orders received the goods. Also happens to be the same size and usually wear 44, the price is really cheap and store a lot of difference, plus tax 550 hand very good time shopping. Write a comment is n"&amp;"ot to give points that can top 💰 with ah! There are no words required ah!")</f>
        <v>Express too much to force the price! 29, No. 4 on the orders received the goods. Also happens to be the same size and usually wear 44, the price is really cheap and store a lot of difference, plus tax 550 hand very good time shopping. Write a comment is not to give points that can top 💰 with ah! There are no words required ah!</v>
      </c>
    </row>
    <row r="8597">
      <c r="A8597" s="1">
        <v>5.0</v>
      </c>
      <c r="B8597" s="1" t="s">
        <v>8543</v>
      </c>
      <c r="C8597" t="str">
        <f>IFERROR(__xludf.DUMMYFUNCTION("GOOGLETRANSLATE(B8597, ""zh"", ""en"")"),"Note that size only took about ten days received. Shoes are very beautiful, good quality, mainly the size of the problem, hesitated for a long time. Fortunately, the selected code number is also suitable")</f>
        <v>Note that size only took about ten days received. Shoes are very beautiful, good quality, mainly the size of the problem, hesitated for a long time. Fortunately, the selected code number is also suitable</v>
      </c>
    </row>
    <row r="8598">
      <c r="A8598" s="1">
        <v>5.0</v>
      </c>
      <c r="B8598" s="1" t="s">
        <v>8544</v>
      </c>
      <c r="C8598" t="str">
        <f>IFERROR(__xludf.DUMMYFUNCTION("GOOGLETRANSLATE(B8598, ""zh"", ""en"")"),"Color Chaoliang recommended by others, not useful, prepare the")</f>
        <v>Color Chaoliang recommended by others, not useful, prepare the</v>
      </c>
    </row>
    <row r="8599">
      <c r="A8599" s="1">
        <v>5.0</v>
      </c>
      <c r="B8599" s="1" t="s">
        <v>8545</v>
      </c>
      <c r="C8599" t="str">
        <f>IFERROR(__xludf.DUMMYFUNCTION("GOOGLETRANSLATE(B8599, ""zh"", ""en"")"),"Belt with good good, very fit, it should be genuine")</f>
        <v>Belt with good good, very fit, it should be genuine</v>
      </c>
    </row>
    <row r="8600">
      <c r="A8600" s="1">
        <v>5.0</v>
      </c>
      <c r="B8600" s="1" t="s">
        <v>8546</v>
      </c>
      <c r="C8600" t="str">
        <f>IFERROR(__xludf.DUMMYFUNCTION("GOOGLETRANSLATE(B8600, ""zh"", ""en"")"),"Good thickness, straight 175 bit stomach 81 kg, 33/103 cm length 30, a tight waist Chuan Chuan little loose, just legs feel.")</f>
        <v>Good thickness, straight 175 bit stomach 81 kg, 33/103 cm length 30, a tight waist Chuan Chuan little loose, just legs feel.</v>
      </c>
    </row>
    <row r="8601">
      <c r="A8601" s="1">
        <v>5.0</v>
      </c>
      <c r="B8601" s="1" t="s">
        <v>8547</v>
      </c>
      <c r="C8601" t="str">
        <f>IFERROR(__xludf.DUMMYFUNCTION("GOOGLETRANSLATE(B8601, ""zh"", ""en"")"),"Cost-effective flexible, cost-effective")</f>
        <v>Cost-effective flexible, cost-effective</v>
      </c>
    </row>
    <row r="8602">
      <c r="A8602" s="1">
        <v>5.0</v>
      </c>
      <c r="B8602" s="1" t="s">
        <v>8548</v>
      </c>
      <c r="C8602" t="str">
        <f>IFERROR(__xludf.DUMMYFUNCTION("GOOGLETRANSLATE(B8602, ""zh"", ""en"")"),"The quality is actually good I had to give it away to buy a little from the previous evaluation do not, do not know how many wasted points, points can change money now know, they should look carefully evaluated, then I put these words to copy to go, both "&amp;"to earn points also save, copy where they go, the most important thing is, do not seriously review, do not think how much worse word, made directly on it, we try")</f>
        <v>The quality is actually good I had to give it away to buy a little from the previous evaluation do not, do not know how many wasted points, points can change money now know, they should look carefully evaluated, then I put these words to copy to go, both to earn points also save, copy where they go, the most important thing is, do not seriously review, do not think how much worse word, made directly on it, we try</v>
      </c>
    </row>
    <row r="8603">
      <c r="A8603" s="1">
        <v>5.0</v>
      </c>
      <c r="B8603" s="1" t="s">
        <v>8549</v>
      </c>
      <c r="C8603" t="str">
        <f>IFERROR(__xludf.DUMMYFUNCTION("GOOGLETRANSLATE(B8603, ""zh"", ""en"")"),"I want to make a very okay? Single 18 under, 19 hair goods, 26 to get the shoes, the speed is quite good, before Amazon UK also bought a pair of shoes, as always, good efficiency; small shoes have been worried before did not get shoes not wear return also"&amp;" troublesome, after all, belong to this category of children's shoes, and now it seems that I worry about. After today to get the shoes, could not wait to try, overjoyed that this completely different is simply tailored in accordance with my size, like, j"&amp;"ust the right size, than I went to the store to buy shoes still fit, I foot slim, this control, or can, shoes belonging to the M models, very Nuys, Amway strong look, the price is quite high, although of a lower version, but the price is absolutely awesom"&amp;"e, next time buy a pair of holes 7, quality no problem the only Tucao about lace is a little thin, the other perfectly.")</f>
        <v>I want to make a very okay? Single 18 under, 19 hair goods, 26 to get the shoes, the speed is quite good, before Amazon UK also bought a pair of shoes, as always, good efficiency; small shoes have been worried before did not get shoes not wear return also troublesome, after all, belong to this category of children's shoes, and now it seems that I worry about. After today to get the shoes, could not wait to try, overjoyed that this completely different is simply tailored in accordance with my size, like, just the right size, than I went to the store to buy shoes still fit, I foot slim, this control, or can, shoes belonging to the M models, very Nuys, Amway strong look, the price is quite high, although of a lower version, but the price is absolutely awesome, next time buy a pair of holes 7, quality no problem the only Tucao about lace is a little thin, the other perfectly.</v>
      </c>
    </row>
    <row r="8604">
      <c r="A8604" s="1">
        <v>5.0</v>
      </c>
      <c r="B8604" s="1" t="s">
        <v>8550</v>
      </c>
      <c r="C8604" t="str">
        <f>IFERROR(__xludf.DUMMYFUNCTION("GOOGLETRANSLATE(B8604, ""zh"", ""en"")"),"When the value of the high Yen province stew, steamed rice is particularly delicious. Good value with a high color pot. like!")</f>
        <v>When the value of the high Yen province stew, steamed rice is particularly delicious. Good value with a high color pot. like!</v>
      </c>
    </row>
    <row r="8605">
      <c r="A8605" s="1">
        <v>5.0</v>
      </c>
      <c r="B8605" s="1" t="s">
        <v>8551</v>
      </c>
      <c r="C8605" t="str">
        <f>IFERROR(__xludf.DUMMYFUNCTION("GOOGLETRANSLATE(B8605, ""zh"", ""en"")"),"like! ! ! Cherry red leather, number 11822600. Usually wear 37/38, aj through 37.5, 235 feet long, thin pin. Buy uk4 / us6, very appropriate. Mental preparation to do before you buy will be very foot wear, the result was not so bad, on the back side where"&amp;" the highest upper leg wear a little sore, a little loose the laces would have been better, and slowly running it. But everyone is not as likely to wear foot section. Like love, crusty handsome, stylish! Amazon speed too, and after seven days under Britis"&amp;"h direct mail single hand. A lot cheaper than a cat, a cat one pair of price Amazon can buy two pairs.")</f>
        <v>like! ! ! Cherry red leather, number 11822600. Usually wear 37/38, aj through 37.5, 235 feet long, thin pin. Buy uk4 / us6, very appropriate. Mental preparation to do before you buy will be very foot wear, the result was not so bad, on the back side where the highest upper leg wear a little sore, a little loose the laces would have been better, and slowly running it. But everyone is not as likely to wear foot section. Like love, crusty handsome, stylish! Amazon speed too, and after seven days under British direct mail single hand. A lot cheaper than a cat, a cat one pair of price Amazon can buy two pairs.</v>
      </c>
    </row>
    <row r="8606">
      <c r="A8606" s="1">
        <v>5.0</v>
      </c>
      <c r="B8606" s="1" t="s">
        <v>8552</v>
      </c>
      <c r="C8606" t="str">
        <f>IFERROR(__xludf.DUMMYFUNCTION("GOOGLETRANSLATE(B8606, ""zh"", ""en"")"),"Hope hope good value for money value for money! Immediately autumn")</f>
        <v>Hope hope good value for money value for money! Immediately autumn</v>
      </c>
    </row>
    <row r="8607">
      <c r="A8607" s="1">
        <v>2.0</v>
      </c>
      <c r="B8607" s="1" t="s">
        <v>8553</v>
      </c>
      <c r="C8607" t="str">
        <f>IFERROR(__xludf.DUMMYFUNCTION("GOOGLETRANSLATE(B8607, ""zh"", ""en"")"),"The content appropriate code number, the cortex is also good, is the sole is too hard, phrenic feet hurt, can not wear, in addition, high instep do not recommend to buy, purchase returns overseas trouble, or else return the")</f>
        <v>The content appropriate code number, the cortex is also good, is the sole is too hard, phrenic feet hurt, can not wear, in addition, high instep do not recommend to buy, purchase returns overseas trouble, or else return the</v>
      </c>
    </row>
    <row r="8608">
      <c r="A8608" s="1">
        <v>3.0</v>
      </c>
      <c r="B8608" s="1" t="s">
        <v>8554</v>
      </c>
      <c r="C8608" t="str">
        <f>IFERROR(__xludf.DUMMYFUNCTION("GOOGLETRANSLATE(B8608, ""zh"", ""en"")"),"Image does not match shoddy version, not the color of the word above function, open look just thought they were buying a cottage. To facing the sun to see, only opened to see the white word")</f>
        <v>Image does not match shoddy version, not the color of the word above function, open look just thought they were buying a cottage. To facing the sun to see, only opened to see the white word</v>
      </c>
    </row>
    <row r="8609">
      <c r="A8609" s="1">
        <v>3.0</v>
      </c>
      <c r="B8609" s="1" t="s">
        <v>8555</v>
      </c>
      <c r="C8609" t="str">
        <f>IFERROR(__xludf.DUMMYFUNCTION("GOOGLETRANSLATE(B8609, ""zh"", ""en"")"),"Overseas return for a long time to see comments that big shoes completely different, to buy less than half yards, the result was a little small, and can only return. Overseas reason to buy a long time, the refund amount is also wrong, and good customer se"&amp;"rvice is good, I finally gave in to offset the new order. Overseas purchase need to be cautious!")</f>
        <v>Overseas return for a long time to see comments that big shoes completely different, to buy less than half yards, the result was a little small, and can only return. Overseas reason to buy a long time, the refund amount is also wrong, and good customer service is good, I finally gave in to offset the new order. Overseas purchase need to be cautious!</v>
      </c>
    </row>
    <row r="8610">
      <c r="A8610" s="1">
        <v>1.0</v>
      </c>
      <c r="B8610" s="1" t="s">
        <v>8556</v>
      </c>
      <c r="C8610" t="str">
        <f>IFERROR(__xludf.DUMMYFUNCTION("GOOGLETRANSLATE(B8610, ""zh"", ""en"")"),"Actually received the goods made in China, is actually made in China, really it should be a joke.")</f>
        <v>Actually received the goods made in China, is actually made in China, really it should be a joke.</v>
      </c>
    </row>
    <row r="8611">
      <c r="A8611" s="1">
        <v>1.0</v>
      </c>
      <c r="B8611" s="1" t="s">
        <v>8557</v>
      </c>
      <c r="C8611" t="str">
        <f>IFERROR(__xludf.DUMMYFUNCTION("GOOGLETRANSLATE(B8611, ""zh"", ""en"")"),"General store and the gap")</f>
        <v>General store and the gap</v>
      </c>
    </row>
    <row r="8612">
      <c r="A8612" s="1">
        <v>1.0</v>
      </c>
      <c r="B8612" s="1" t="s">
        <v>8558</v>
      </c>
      <c r="C8612" t="str">
        <f>IFERROR(__xludf.DUMMYFUNCTION("GOOGLETRANSLATE(B8612, ""zh"", ""en"")"),"Rough spread the goods, rough work, look at the price tag twenty-five dollars, is to spread the goods, the huge size of the United States, reportedly return shipping more than goods prices, directly into the area of ​​waste recycling bins clothing, pay fo"&amp;"r lessons, and")</f>
        <v>Rough spread the goods, rough work, look at the price tag twenty-five dollars, is to spread the goods, the huge size of the United States, reportedly return shipping more than goods prices, directly into the area of ​​waste recycling bins clothing, pay for lessons, and</v>
      </c>
    </row>
    <row r="8613">
      <c r="A8613" s="1">
        <v>4.0</v>
      </c>
      <c r="B8613" s="1" t="s">
        <v>8559</v>
      </c>
      <c r="C8613" t="str">
        <f>IFERROR(__xludf.DUMMYFUNCTION("GOOGLETRANSLATE(B8613, ""zh"", ""en"")"),"Good texture, wearing leg portions too loose thin it makes me feel then, pants leg and thigh portions as thick part, the results simply do not hold to the calf, I had no choice but to change, and damaged a small place, but do not want to exchange or retur"&amp;"n a harmless")</f>
        <v>Good texture, wearing leg portions too loose thin it makes me feel then, pants leg and thigh portions as thick part, the results simply do not hold to the calf, I had no choice but to change, and damaged a small place, but do not want to exchange or return a harmless</v>
      </c>
    </row>
    <row r="8614">
      <c r="A8614" s="1">
        <v>4.0</v>
      </c>
      <c r="B8614" s="1" t="s">
        <v>8560</v>
      </c>
      <c r="C8614" t="str">
        <f>IFERROR(__xludf.DUMMYFUNCTION("GOOGLETRANSLATE(B8614, ""zh"", ""en"")"),"On the way, cotton Polo color is not too bright, a little old old feeling, good design, fabric on the way")</f>
        <v>On the way, cotton Polo color is not too bright, a little old old feeling, good design, fabric on the way</v>
      </c>
    </row>
    <row r="8615">
      <c r="A8615" s="1">
        <v>4.0</v>
      </c>
      <c r="B8615" s="1" t="s">
        <v>8561</v>
      </c>
      <c r="C8615" t="str">
        <f>IFERROR(__xludf.DUMMYFUNCTION("GOOGLETRANSLATE(B8615, ""zh"", ""en"")"),"Pants with elastic, according to the usual size to buy! See previous comment, I thought it too large pants! I 160,48kg, usually wear 25 pants, bought a 26 × 30, and then just a big a completely different, a little bit too long ...... have to someone else,"&amp;" hey.")</f>
        <v>Pants with elastic, according to the usual size to buy! See previous comment, I thought it too large pants! I 160,48kg, usually wear 25 pants, bought a 26 × 30, and then just a big a completely different, a little bit too long ...... have to someone else, hey.</v>
      </c>
    </row>
    <row r="8616">
      <c r="A8616" s="1">
        <v>4.0</v>
      </c>
      <c r="B8616" s="1" t="s">
        <v>8562</v>
      </c>
      <c r="C8616" t="str">
        <f>IFERROR(__xludf.DUMMYFUNCTION("GOOGLETRANSLATE(B8616, ""zh"", ""en"")"),"Cortex is very good value for money, wear very comfortable. For Spring and Autumn Annals, very good shoes. The only fly in the ointment soles with minor flaws")</f>
        <v>Cortex is very good value for money, wear very comfortable. For Spring and Autumn Annals, very good shoes. The only fly in the ointment soles with minor flaws</v>
      </c>
    </row>
    <row r="8617">
      <c r="A8617" s="1">
        <v>4.0</v>
      </c>
      <c r="B8617" s="1" t="s">
        <v>8563</v>
      </c>
      <c r="C8617" t="str">
        <f>IFERROR(__xludf.DUMMYFUNCTION("GOOGLETRANSLATE(B8617, ""zh"", ""en"")"),"The effect takes time? Short-term can not see the obvious results. It may require the test of time?")</f>
        <v>The effect takes time? Short-term can not see the obvious results. It may require the test of time?</v>
      </c>
    </row>
    <row r="8618">
      <c r="A8618" s="1">
        <v>5.0</v>
      </c>
      <c r="B8618" s="1" t="s">
        <v>8564</v>
      </c>
      <c r="C8618" t="str">
        <f>IFERROR(__xludf.DUMMYFUNCTION("GOOGLETRANSLATE(B8618, ""zh"", ""en"")"),"Recommended very nice, with a set of the same series")</f>
        <v>Recommended very nice, with a set of the same series</v>
      </c>
    </row>
    <row r="8619">
      <c r="A8619" s="1">
        <v>5.0</v>
      </c>
      <c r="B8619" s="1" t="s">
        <v>8565</v>
      </c>
      <c r="C8619" t="str">
        <f>IFERROR(__xludf.DUMMYFUNCTION("GOOGLETRANSLATE(B8619, ""zh"", ""en"")"),"Quality very, very good quality, can make for a long time.")</f>
        <v>Quality very, very good quality, can make for a long time.</v>
      </c>
    </row>
    <row r="8620">
      <c r="A8620" s="1">
        <v>5.0</v>
      </c>
      <c r="B8620" s="1" t="s">
        <v>8566</v>
      </c>
      <c r="C8620" t="str">
        <f>IFERROR(__xludf.DUMMYFUNCTION("GOOGLETRANSLATE(B8620, ""zh"", ""en"")"),"Very nice and comfortable to buy more than 200, very comfortable shoes to buy US to 39 yards appropriate code 8")</f>
        <v>Very nice and comfortable to buy more than 200, very comfortable shoes to buy US to 39 yards appropriate code 8</v>
      </c>
    </row>
    <row r="8621">
      <c r="A8621" s="1">
        <v>5.0</v>
      </c>
      <c r="B8621" s="1" t="s">
        <v>8567</v>
      </c>
      <c r="C8621" t="str">
        <f>IFERROR(__xludf.DUMMYFUNCTION("GOOGLETRANSLATE(B8621, ""zh"", ""en"")"),"K240S Yadeng inquired, genuine and correct. Very light headphones, circumaural, do not burn or chuck clip ear problems (I still own glasses), in ~~~~~")</f>
        <v>K240S Yadeng inquired, genuine and correct. Very light headphones, circumaural, do not burn or chuck clip ear problems (I still own glasses), in ~~~~~</v>
      </c>
    </row>
    <row r="8622">
      <c r="A8622" s="1">
        <v>5.0</v>
      </c>
      <c r="B8622" s="1" t="s">
        <v>8568</v>
      </c>
      <c r="C8622" t="str">
        <f>IFERROR(__xludf.DUMMYFUNCTION("GOOGLETRANSLATE(B8622, ""zh"", ""en"")"),"Compact and practical use for a long period of time, the quality did not have to say, when things go out with only a small amount of this package is quite convenient and comfortable")</f>
        <v>Compact and practical use for a long period of time, the quality did not have to say, when things go out with only a small amount of this package is quite convenient and comfortable</v>
      </c>
    </row>
    <row r="8623">
      <c r="A8623" s="1">
        <v>5.0</v>
      </c>
      <c r="B8623" s="1" t="s">
        <v>8569</v>
      </c>
      <c r="C8623" t="str">
        <f>IFERROR(__xludf.DUMMYFUNCTION("GOOGLETRANSLATE(B8623, ""zh"", ""en"")"),"It should be okay for the unborn baby to buy, not to use. Before bought replacement pacifier, smoked after the results easily deflated go, I hope this is not a phenomenon")</f>
        <v>It should be okay for the unborn baby to buy, not to use. Before bought replacement pacifier, smoked after the results easily deflated go, I hope this is not a phenomenon</v>
      </c>
    </row>
    <row r="8624">
      <c r="A8624" s="1">
        <v>5.0</v>
      </c>
      <c r="B8624" s="1" t="s">
        <v>8570</v>
      </c>
      <c r="C8624" t="str">
        <f>IFERROR(__xludf.DUMMYFUNCTION("GOOGLETRANSLATE(B8624, ""zh"", ""en"")"),"Cheap ready when the warehouse, save the data.")</f>
        <v>Cheap ready when the warehouse, save the data.</v>
      </c>
    </row>
    <row r="8625">
      <c r="A8625" s="1">
        <v>5.0</v>
      </c>
      <c r="B8625" s="1" t="s">
        <v>8571</v>
      </c>
      <c r="C8625" t="str">
        <f>IFERROR(__xludf.DUMMYFUNCTION("GOOGLETRANSLATE(B8625, ""zh"", ""en"")"),"Great cup right size, just take the baby in his hand, will not leak, and very ruggedness. Before buying a domestic, a nice start, and later on not suck. Baby likes. Go to buy a full set, great ~!")</f>
        <v>Great cup right size, just take the baby in his hand, will not leak, and very ruggedness. Before buying a domestic, a nice start, and later on not suck. Baby likes. Go to buy a full set, great ~!</v>
      </c>
    </row>
    <row r="8626">
      <c r="A8626" s="1">
        <v>5.0</v>
      </c>
      <c r="B8626" s="1" t="s">
        <v>8572</v>
      </c>
      <c r="C8626" t="str">
        <f>IFERROR(__xludf.DUMMYFUNCTION("GOOGLETRANSLATE(B8626, ""zh"", ""en"")"),"Tiger mug to give his mug, compact, light, small size, can be placed on the package. Pink mug like this, it is worth buying.")</f>
        <v>Tiger mug to give his mug, compact, light, small size, can be placed on the package. Pink mug like this, it is worth buying.</v>
      </c>
    </row>
    <row r="8627">
      <c r="A8627" s="1">
        <v>5.0</v>
      </c>
      <c r="B8627" s="1" t="s">
        <v>8573</v>
      </c>
      <c r="C8627" t="str">
        <f>IFERROR(__xludf.DUMMYFUNCTION("GOOGLETRANSLATE(B8627, ""zh"", ""en"")"),"Worth buying pot for two weeks, improved sound, listen to a symphony is very good, sound shocking, resolution of a good, tri-band more balanced, but more 880 and 990 are also slightly less, but the price worth recommending, but also the United States of $"&amp;" 199 it , headphones within the thousand absolute prime choice.")</f>
        <v>Worth buying pot for two weeks, improved sound, listen to a symphony is very good, sound shocking, resolution of a good, tri-band more balanced, but more 880 and 990 are also slightly less, but the price worth recommending, but also the United States of $ 199 it , headphones within the thousand absolute prime choice.</v>
      </c>
    </row>
    <row r="8628">
      <c r="A8628" s="1">
        <v>5.0</v>
      </c>
      <c r="B8628" s="1" t="s">
        <v>8574</v>
      </c>
      <c r="C8628" t="str">
        <f>IFERROR(__xludf.DUMMYFUNCTION("GOOGLETRANSLATE(B8628, ""zh"", ""en"")"),"Worth buying product design is very scientific, very good quality workmanship. Acceptable weight, filled with water for pre-school children a little heavy. Good insulation effect, a hot water inlet may be charged at night, but also a slight temperature th"&amp;"e next morning.")</f>
        <v>Worth buying product design is very scientific, very good quality workmanship. Acceptable weight, filled with water for pre-school children a little heavy. Good insulation effect, a hot water inlet may be charged at night, but also a slight temperature the next morning.</v>
      </c>
    </row>
    <row r="8629">
      <c r="A8629" s="1">
        <v>5.0</v>
      </c>
      <c r="B8629" s="1" t="s">
        <v>8575</v>
      </c>
      <c r="C8629" t="str">
        <f>IFERROR(__xludf.DUMMYFUNCTION("GOOGLETRANSLATE(B8629, ""zh"", ""en"")"),"Good absorption of the calcium content of calcium did not see one, a calcium more than 400 mg, not a bottle. There is also a large bottle of a calcium 640mg. Friend recommended this brand of calcium, absorption, pregnant and postpartum been eating. I boug"&amp;"ht 4 bottles to Grandmother to eat.")</f>
        <v>Good absorption of the calcium content of calcium did not see one, a calcium more than 400 mg, not a bottle. There is also a large bottle of a calcium 640mg. Friend recommended this brand of calcium, absorption, pregnant and postpartum been eating. I bought 4 bottles to Grandmother to eat.</v>
      </c>
    </row>
    <row r="8630">
      <c r="A8630" s="1">
        <v>5.0</v>
      </c>
      <c r="B8630" s="1" t="s">
        <v>8576</v>
      </c>
      <c r="C8630" t="str">
        <f>IFERROR(__xludf.DUMMYFUNCTION("GOOGLETRANSLATE(B8630, ""zh"", ""en"")"),"Trench brush price is very affordable, worth buying.")</f>
        <v>Trench brush price is very affordable, worth buying.</v>
      </c>
    </row>
    <row r="8631">
      <c r="A8631" s="1">
        <v>5.0</v>
      </c>
      <c r="B8631" s="1" t="s">
        <v>8577</v>
      </c>
      <c r="C8631" t="str">
        <f>IFERROR(__xludf.DUMMYFUNCTION("GOOGLETRANSLATE(B8631, ""zh"", ""en"")"),"Breathable and comfortable clothes made similar quick-drying fabric breathable good summer")</f>
        <v>Breathable and comfortable clothes made similar quick-drying fabric breathable good summer</v>
      </c>
    </row>
    <row r="8632">
      <c r="A8632" s="1">
        <v>5.0</v>
      </c>
      <c r="B8632" s="1" t="s">
        <v>8578</v>
      </c>
      <c r="C8632" t="str">
        <f>IFERROR(__xludf.DUMMYFUNCTION("GOOGLETRANSLATE(B8632, ""zh"", ""en"")"),"Suitable light a little dark is not easy to look at, and probably my eyes is not right, the right size, not the mainstream of large surface, with my hand wear compare, I can afford to do a IWC, wearing Casio person")</f>
        <v>Suitable light a little dark is not easy to look at, and probably my eyes is not right, the right size, not the mainstream of large surface, with my hand wear compare, I can afford to do a IWC, wearing Casio person</v>
      </c>
    </row>
    <row r="8633">
      <c r="A8633" s="1">
        <v>5.0</v>
      </c>
      <c r="B8633" s="1" t="s">
        <v>8579</v>
      </c>
      <c r="C8633" t="str">
        <f>IFERROR(__xludf.DUMMYFUNCTION("GOOGLETRANSLATE(B8633, ""zh"", ""en"")"),"36 * 30, a suitable height 176CM weight 88kg 36 * 30, a suitable height 176CM weight 88KG. Good quality, but also very warm.")</f>
        <v>36 * 30, a suitable height 176CM weight 88kg 36 * 30, a suitable height 176CM weight 88KG. Good quality, but also very warm.</v>
      </c>
    </row>
    <row r="8634">
      <c r="A8634" s="1">
        <v>5.0</v>
      </c>
      <c r="B8634" s="1" t="s">
        <v>8580</v>
      </c>
      <c r="C8634" t="str">
        <f>IFERROR(__xludf.DUMMYFUNCTION("GOOGLETRANSLATE(B8634, ""zh"", ""en"")"),"Cotton, very comfortable compared with the last paragraph of this election is cotton, good quality, comfortable to wear, yardage standards. Chinese manufacturing Oh, those who think it is all overseas purchase made overseas who do not consider this a cafe"&amp;".")</f>
        <v>Cotton, very comfortable compared with the last paragraph of this election is cotton, good quality, comfortable to wear, yardage standards. Chinese manufacturing Oh, those who think it is all overseas purchase made overseas who do not consider this a cafe.</v>
      </c>
    </row>
    <row r="8635">
      <c r="A8635" s="1">
        <v>5.0</v>
      </c>
      <c r="B8635" s="1" t="s">
        <v>8581</v>
      </c>
      <c r="C8635" t="str">
        <f>IFERROR(__xludf.DUMMYFUNCTION("GOOGLETRANSLATE(B8635, ""zh"", ""en"")"),"Good quality, good price volatility great quality clothes, according to the bust size is also very appropriate choice, but this price volatility suck too, has not been a single case of receipt, drop a small one hundred")</f>
        <v>Good quality, good price volatility great quality clothes, according to the bust size is also very appropriate choice, but this price volatility suck too, has not been a single case of receipt, drop a small one hundred</v>
      </c>
    </row>
    <row r="8636">
      <c r="A8636" s="1">
        <v>5.0</v>
      </c>
      <c r="B8636" s="1" t="s">
        <v>8582</v>
      </c>
      <c r="C8636" t="str">
        <f>IFERROR(__xludf.DUMMYFUNCTION("GOOGLETRANSLATE(B8636, ""zh"", ""en"")"),"Fashionable, foot pole foot beautifully I belong to a little fat, a little tight to wear this shoe top of that, Pei-ling do, I usually wear 37 yards, this deliberately bought 3.5uk still ahead amount, fortunately did not buy 4uk, lean legs than usual, som"&amp;"e small one yards")</f>
        <v>Fashionable, foot pole foot beautifully I belong to a little fat, a little tight to wear this shoe top of that, Pei-ling do, I usually wear 37 yards, this deliberately bought 3.5uk still ahead amount, fortunately did not buy 4uk, lean legs than usual, some small one yards</v>
      </c>
    </row>
    <row r="8637">
      <c r="A8637" s="1">
        <v>5.0</v>
      </c>
      <c r="B8637" s="1" t="s">
        <v>8583</v>
      </c>
      <c r="C8637" t="str">
        <f>IFERROR(__xludf.DUMMYFUNCTION("GOOGLETRANSLATE(B8637, ""zh"", ""en"")"),"Reader Kusakabe single well February 21, March 1 received goods. The reader is very small, good-looking, with that came up with the speed of 32G, then, roughly Figure")</f>
        <v>Reader Kusakabe single well February 21, March 1 received goods. The reader is very small, good-looking, with that came up with the speed of 32G, then, roughly Figure</v>
      </c>
    </row>
    <row r="8638">
      <c r="A8638" s="1">
        <v>5.0</v>
      </c>
      <c r="B8638" s="1" t="s">
        <v>8584</v>
      </c>
      <c r="C8638" t="str">
        <f>IFERROR(__xludf.DUMMYFUNCTION("GOOGLETRANSLATE(B8638, ""zh"", ""en"")"),"Do not take place to clean Read all comments before buying, really good, cut carrots, onions, garlic Ding no longer have to bother, a few clicks to get. A little flaw is to prescribe the lid do not know scratch or crack. Seemingly does not affect the use,"&amp;" take a look at the situation say.")</f>
        <v>Do not take place to clean Read all comments before buying, really good, cut carrots, onions, garlic Ding no longer have to bother, a few clicks to get. A little flaw is to prescribe the lid do not know scratch or crack. Seemingly does not affect the use, take a look at the situation say.</v>
      </c>
    </row>
    <row r="8639">
      <c r="A8639" s="1">
        <v>5.0</v>
      </c>
      <c r="B8639" s="1" t="s">
        <v>8585</v>
      </c>
      <c r="C8639" t="str">
        <f>IFERROR(__xludf.DUMMYFUNCTION("GOOGLETRANSLATE(B8639, ""zh"", ""en"")"),"The right size 185cm 82kg L is very fit color is also good looks and pictures")</f>
        <v>The right size 185cm 82kg L is very fit color is also good looks and pictures</v>
      </c>
    </row>
    <row r="8640">
      <c r="A8640" s="1">
        <v>2.0</v>
      </c>
      <c r="B8640" s="1" t="s">
        <v>8586</v>
      </c>
      <c r="C8640" t="str">
        <f>IFERROR(__xludf.DUMMYFUNCTION("GOOGLETRANSLATE(B8640, ""zh"", ""en"")"),"Oh pants can give four weeks, Amazon pricing can only give a star, one week before the document is black, said five or 228 yuan, 171 yuan now become. Non-price-gouging and how? Never buy things in active! These trousers are produced in Mexico, Nicaragua p"&amp;"roduction of inferior workmanship.")</f>
        <v>Oh pants can give four weeks, Amazon pricing can only give a star, one week before the document is black, said five or 228 yuan, 171 yuan now become. Non-price-gouging and how? Never buy things in active! These trousers are produced in Mexico, Nicaragua production of inferior workmanship.</v>
      </c>
    </row>
    <row r="8641">
      <c r="A8641" s="1">
        <v>3.0</v>
      </c>
      <c r="B8641" s="1" t="s">
        <v>8587</v>
      </c>
      <c r="C8641" t="str">
        <f>IFERROR(__xludf.DUMMYFUNCTION("GOOGLETRANSLATE(B8641, ""zh"", ""en"")"),"Good quality stuff very good, is imported, the water shortage is not an adapter, hot and cold pipe is short, to buy their own.")</f>
        <v>Good quality stuff very good, is imported, the water shortage is not an adapter, hot and cold pipe is short, to buy their own.</v>
      </c>
    </row>
    <row r="8642">
      <c r="A8642" s="1">
        <v>3.0</v>
      </c>
      <c r="B8642" s="1" t="s">
        <v>8588</v>
      </c>
      <c r="C8642" t="str">
        <f>IFERROR(__xludf.DUMMYFUNCTION("GOOGLETRANSLATE(B8642, ""zh"", ""en"")"),"Generally like a general, the results were not seen")</f>
        <v>Generally like a general, the results were not seen</v>
      </c>
    </row>
    <row r="8643">
      <c r="A8643" s="1">
        <v>3.0</v>
      </c>
      <c r="B8643" s="1" t="s">
        <v>8589</v>
      </c>
      <c r="C8643" t="str">
        <f>IFERROR(__xludf.DUMMYFUNCTION("GOOGLETRANSLATE(B8643, ""zh"", ""en"")"),"too heavy. . . This line is too heavy, worn on the head, breaking her neck")</f>
        <v>too heavy. . . This line is too heavy, worn on the head, breaking her neck</v>
      </c>
    </row>
    <row r="8644">
      <c r="A8644" s="1">
        <v>1.0</v>
      </c>
      <c r="B8644" s="1" t="s">
        <v>8590</v>
      </c>
      <c r="C8644" t="str">
        <f>IFERROR(__xludf.DUMMYFUNCTION("GOOGLETRANSLATE(B8644, ""zh"", ""en"")"),"Sad Sad I am a Chinese buyer, I really like this pair of shoes, but the fear of fakes on China's electronic business platform, although expensive, but chose Amazon sea Amoy. Soon to express, I recommend the Amazon according to the number of code to buy, b"&amp;"ut tried it feeling too, want to return. I applied, got the return guidelines and documents, first try the first courier company, the information provided by Amazon can not form a complete filling this company, could not be sent, so I went to the second c"&amp;"ompany, which company courier fee is five hundred yuan, has exceeded sixty percent I could get a refund, I think not worth it, there is no retreat. Now I have a pair of shoes I can not wear, very sad. I am a Chinese buyer. I like these shoes very much, bu"&amp;"t I am afraid of buying fake shoes on the e-commerce platform in China. Although the price is more expensive, I still choose Amazon Haitao. I got the shoes very quickly. I bought it according to the size recommended by Amazon, but it is still too big for "&amp;"me and I want to return it. I submitted the application, got the guide and documents for the return, first tried the first courier company, the information provided by Amazon could not fill the form of the company, could not be sent, so I came to the seco"&amp;"nd company, and this The courier fee of the company is 500 yuan, which is more than 60% of the refund I can get. I do not think it is worth it, so I cancel the returning. Now I have a pair of shoes that I can not wear, I am very sad.")</f>
        <v>Sad Sad I am a Chinese buyer, I really like this pair of shoes, but the fear of fakes on China's electronic business platform, although expensive, but chose Amazon sea Amoy. Soon to express, I recommend the Amazon according to the number of code to buy, but tried it feeling too, want to return. I applied, got the return guidelines and documents, first try the first courier company, the information provided by Amazon can not form a complete filling this company, could not be sent, so I went to the second company, which company courier fee is five hundred yuan, has exceeded sixty percent I could get a refund, I think not worth it, there is no retreat. Now I have a pair of shoes I can not wear, very sad. I am a Chinese buyer. I like these shoes very much, but I am afraid of buying fake shoes on the e-commerce platform in China. Although the price is more expensive, I still choose Amazon Haitao. I got the shoes very quickly. I bought it according to the size recommended by Amazon, but it is still too big for me and I want to return it. I submitted the application, got the guide and documents for the return, first tried the first courier company, the information provided by Amazon could not fill the form of the company, could not be sent, so I came to the second company, and this The courier fee of the company is 500 yuan, which is more than 60% of the refund I can get. I do not think it is worth it, so I cancel the returning. Now I have a pair of shoes that I can not wear, I am very sad.</v>
      </c>
    </row>
    <row r="8645">
      <c r="A8645" s="1">
        <v>1.0</v>
      </c>
      <c r="B8645" s="1" t="s">
        <v>8591</v>
      </c>
      <c r="C8645" t="str">
        <f>IFERROR(__xludf.DUMMYFUNCTION("GOOGLETRANSLATE(B8645, ""zh"", ""en"")"),"For this leather shoes clarks disappointed I am very disappointed, good wrinkled leather.")</f>
        <v>For this leather shoes clarks disappointed I am very disappointed, good wrinkled leather.</v>
      </c>
    </row>
    <row r="8646">
      <c r="A8646" s="1">
        <v>4.0</v>
      </c>
      <c r="B8646" s="1" t="s">
        <v>8592</v>
      </c>
      <c r="C8646" t="str">
        <f>IFERROR(__xludf.DUMMYFUNCTION("GOOGLETRANSLATE(B8646, ""zh"", ""en"")"),"Comfortable and consistent domestic counter size underwear comfortable to wear, I Waist 85, before the recommended size of the domestic counter to buy M, but the crotch too tight, so diao large chosen. The L buy the right size. In addition there are sever"&amp;"al thread, other perfectly.")</f>
        <v>Comfortable and consistent domestic counter size underwear comfortable to wear, I Waist 85, before the recommended size of the domestic counter to buy M, but the crotch too tight, so diao large chosen. The L buy the right size. In addition there are several thread, other perfectly.</v>
      </c>
    </row>
    <row r="8647">
      <c r="A8647" s="1">
        <v>4.0</v>
      </c>
      <c r="B8647" s="1" t="s">
        <v>8593</v>
      </c>
      <c r="C8647" t="str">
        <f>IFERROR(__xludf.DUMMYFUNCTION("GOOGLETRANSLATE(B8647, ""zh"", ""en"")"),"M code slightly to buy M 179 72kg M code is still slightly larger buy the S code should hope you can help!")</f>
        <v>M code slightly to buy M 179 72kg M code is still slightly larger buy the S code should hope you can help!</v>
      </c>
    </row>
    <row r="8648">
      <c r="A8648" s="1">
        <v>4.0</v>
      </c>
      <c r="B8648" s="1" t="s">
        <v>8594</v>
      </c>
      <c r="C8648" t="str">
        <f>IFERROR(__xludf.DUMMYFUNCTION("GOOGLETRANSLATE(B8648, ""zh"", ""en"")"),"Product quality is acceptable fabric soft, pure color, work on the middle, slightly elastic, good style, is the lack of local sewing needle stitched where it can leak")</f>
        <v>Product quality is acceptable fabric soft, pure color, work on the middle, slightly elastic, good style, is the lack of local sewing needle stitched where it can leak</v>
      </c>
    </row>
    <row r="8649">
      <c r="A8649" s="1">
        <v>4.0</v>
      </c>
      <c r="B8649" s="1" t="s">
        <v>8595</v>
      </c>
      <c r="C8649" t="str">
        <f>IFERROR(__xludf.DUMMYFUNCTION("GOOGLETRANSLATE(B8649, ""zh"", ""en"")"),"Price was okay to buy early for a long time, spend more than 70. Too thick, I put inside doubt two multi-disk disk instead of")</f>
        <v>Price was okay to buy early for a long time, spend more than 70. Too thick, I put inside doubt two multi-disk disk instead of</v>
      </c>
    </row>
    <row r="8650">
      <c r="A8650" s="1">
        <v>4.0</v>
      </c>
      <c r="B8650" s="1" t="s">
        <v>8596</v>
      </c>
      <c r="C8650" t="str">
        <f>IFERROR(__xludf.DUMMYFUNCTION("GOOGLETRANSLATE(B8650, ""zh"", ""en"")"),"Well quality line strap is too easily broken engineers do not recommend buying")</f>
        <v>Well quality line strap is too easily broken engineers do not recommend buying</v>
      </c>
    </row>
    <row r="8651">
      <c r="A8651" s="1">
        <v>5.0</v>
      </c>
      <c r="B8651" s="1" t="s">
        <v>8597</v>
      </c>
      <c r="C8651" t="str">
        <f>IFERROR(__xludf.DUMMYFUNCTION("GOOGLETRANSLATE(B8651, ""zh"", ""en"")"),"Very good shaping underwear super good! Annual baby before I found this a good thing, I hope not too late, slowly shaping correction pelvis.")</f>
        <v>Very good shaping underwear super good! Annual baby before I found this a good thing, I hope not too late, slowly shaping correction pelvis.</v>
      </c>
    </row>
    <row r="8652">
      <c r="A8652" s="1">
        <v>5.0</v>
      </c>
      <c r="B8652" s="1" t="s">
        <v>8598</v>
      </c>
      <c r="C8652" t="str">
        <f>IFERROR(__xludf.DUMMYFUNCTION("GOOGLETRANSLATE(B8652, ""zh"", ""en"")"),"Welcome to CHINA tell myself every day to work, even if you do not see hope, and still believe in yourself. Not someone trying to pressure than you, than you cross cattle but several times people are still working on it. Every good person has a period of "&amp;"silent time. During that time, they are paid a lot of effort, to endure loneliness and solitude, do not complain do not complain, when talking about the future, even their own can be moved by the day. Only too tired, too busy square. Only bitter too, know"&amp;" the sweet.")</f>
        <v>Welcome to CHINA tell myself every day to work, even if you do not see hope, and still believe in yourself. Not someone trying to pressure than you, than you cross cattle but several times people are still working on it. Every good person has a period of silent time. During that time, they are paid a lot of effort, to endure loneliness and solitude, do not complain do not complain, when talking about the future, even their own can be moved by the day. Only too tired, too busy square. Only bitter too, know the sweet.</v>
      </c>
    </row>
    <row r="8653">
      <c r="A8653" s="1">
        <v>5.0</v>
      </c>
      <c r="B8653" s="1" t="s">
        <v>8599</v>
      </c>
      <c r="C8653" t="str">
        <f>IFERROR(__xludf.DUMMYFUNCTION("GOOGLETRANSLATE(B8653, ""zh"", ""en"")"),"Tax 215 yuan to buy a treasure has been on the grass, finally chose here direct mail, insulation is not already know, inside the shell and can be layered, so the receipt of these are not a problem, and no shell scratches, very satisfied, bought 215 includ"&amp;"ing tax, this is the most satisfactory.")</f>
        <v>Tax 215 yuan to buy a treasure has been on the grass, finally chose here direct mail, insulation is not already know, inside the shell and can be layered, so the receipt of these are not a problem, and no shell scratches, very satisfied, bought 215 including tax, this is the most satisfactory.</v>
      </c>
    </row>
    <row r="8654">
      <c r="A8654" s="1">
        <v>5.0</v>
      </c>
      <c r="B8654" s="1" t="s">
        <v>8600</v>
      </c>
      <c r="C8654" t="str">
        <f>IFERROR(__xludf.DUMMYFUNCTION("GOOGLETRANSLATE(B8654, ""zh"", ""en"")"),"Need good decoder and need a good amp and amp decoder, mp3 and general computer sound card can only speak, the general effect")</f>
        <v>Need good decoder and need a good amp and amp decoder, mp3 and general computer sound card can only speak, the general effect</v>
      </c>
    </row>
    <row r="8655">
      <c r="A8655" s="1">
        <v>5.0</v>
      </c>
      <c r="B8655" s="1" t="s">
        <v>8601</v>
      </c>
      <c r="C8655" t="str">
        <f>IFERROR(__xludf.DUMMYFUNCTION("GOOGLETRANSLATE(B8655, ""zh"", ""en"")"),"Inexpensive, appropriate and comfortable in accordance with the size of the domestic buy just right, top with very comfortable")</f>
        <v>Inexpensive, appropriate and comfortable in accordance with the size of the domestic buy just right, top with very comfortable</v>
      </c>
    </row>
    <row r="8656">
      <c r="A8656" s="1">
        <v>5.0</v>
      </c>
      <c r="B8656" s="1" t="s">
        <v>8602</v>
      </c>
      <c r="C8656" t="str">
        <f>IFERROR(__xludf.DUMMYFUNCTION("GOOGLETRANSLATE(B8656, ""zh"", ""en"")"),"The high cost of milk foam cleaning function somewhat complicated, occasionally, the color value is very high.")</f>
        <v>The high cost of milk foam cleaning function somewhat complicated, occasionally, the color value is very high.</v>
      </c>
    </row>
    <row r="8657">
      <c r="A8657" s="1">
        <v>5.0</v>
      </c>
      <c r="B8657" s="1" t="s">
        <v>8603</v>
      </c>
      <c r="C8657" t="str">
        <f>IFERROR(__xludf.DUMMYFUNCTION("GOOGLETRANSLATE(B8657, ""zh"", ""en"")"),"Timex watch a good, inexpensive, nylon strap for summer. This is a series of tables Expeditionary Force, the military table style.")</f>
        <v>Timex watch a good, inexpensive, nylon strap for summer. This is a series of tables Expeditionary Force, the military table style.</v>
      </c>
    </row>
    <row r="8658">
      <c r="A8658" s="1">
        <v>5.0</v>
      </c>
      <c r="B8658" s="1" t="s">
        <v>8604</v>
      </c>
      <c r="C8658" t="str">
        <f>IFERROR(__xludf.DUMMYFUNCTION("GOOGLETRANSLATE(B8658, ""zh"", ""en"")"),"Worth buying a product just received today, the pot looks good, American style, strong and heavy. Logistics is a bit slow, Kusakabe single from November 23 to December 16 receipt, but Amazon is very kind, after the agreed arrival time late, give me back t"&amp;"he shipping costs and customs duties. I'm just going to ask the appointed time electrical why have not arrived yet, determine what you can deliver, Amazon gave me the initiative to apply for the refund shipping costs and customs duties. I suppose a large "&amp;"company commercial principles, although customers do not demand more, but Amazon comply with the rules, which I think is commendable spirit of contract, Amazon has this commercial principles, where shopping more at ease.")</f>
        <v>Worth buying a product just received today, the pot looks good, American style, strong and heavy. Logistics is a bit slow, Kusakabe single from November 23 to December 16 receipt, but Amazon is very kind, after the agreed arrival time late, give me back the shipping costs and customs duties. I'm just going to ask the appointed time electrical why have not arrived yet, determine what you can deliver, Amazon gave me the initiative to apply for the refund shipping costs and customs duties. I suppose a large company commercial principles, although customers do not demand more, but Amazon comply with the rules, which I think is commendable spirit of contract, Amazon has this commercial principles, where shopping more at ease.</v>
      </c>
    </row>
    <row r="8659">
      <c r="A8659" s="1">
        <v>5.0</v>
      </c>
      <c r="B8659" s="1" t="s">
        <v>8605</v>
      </c>
      <c r="C8659" t="str">
        <f>IFERROR(__xludf.DUMMYFUNCTION("GOOGLETRANSLATE(B8659, ""zh"", ""en"")"),"Super soft especially soft, purely to satisfy their preferences to buy")</f>
        <v>Super soft especially soft, purely to satisfy their preferences to buy</v>
      </c>
    </row>
    <row r="8660">
      <c r="A8660" s="1">
        <v>5.0</v>
      </c>
      <c r="B8660" s="1" t="s">
        <v>8606</v>
      </c>
      <c r="C8660" t="str">
        <f>IFERROR(__xludf.DUMMYFUNCTION("GOOGLETRANSLATE(B8660, ""zh"", ""en"")"),"Send to friends, love. Tiger cup bought a lot of, like, it should be even better in Japan.")</f>
        <v>Send to friends, love. Tiger cup bought a lot of, like, it should be even better in Japan.</v>
      </c>
    </row>
    <row r="8661">
      <c r="A8661" s="1">
        <v>5.0</v>
      </c>
      <c r="B8661" s="1" t="s">
        <v>8607</v>
      </c>
      <c r="C8661" t="str">
        <f>IFERROR(__xludf.DUMMYFUNCTION("GOOGLETRANSLATE(B8661, ""zh"", ""en"")"),"Good quality Leverage")</f>
        <v>Good quality Leverage</v>
      </c>
    </row>
    <row r="8662">
      <c r="A8662" s="1">
        <v>5.0</v>
      </c>
      <c r="B8662" s="1" t="s">
        <v>8608</v>
      </c>
      <c r="C8662" t="str">
        <f>IFERROR(__xludf.DUMMYFUNCTION("GOOGLETRANSLATE(B8662, ""zh"", ""en"")"),"Very good looking very very delicate dress shoes feet, my feet fat foot tall, these shoes initially tried the instep and toes are just at, not crowded, I do not know what will happen to wear a long, lace is very light.")</f>
        <v>Very good looking very very delicate dress shoes feet, my feet fat foot tall, these shoes initially tried the instep and toes are just at, not crowded, I do not know what will happen to wear a long, lace is very light.</v>
      </c>
    </row>
    <row r="8663">
      <c r="A8663" s="1">
        <v>5.0</v>
      </c>
      <c r="B8663" s="1" t="s">
        <v>8609</v>
      </c>
      <c r="C8663" t="str">
        <f>IFERROR(__xludf.DUMMYFUNCTION("GOOGLETRANSLATE(B8663, ""zh"", ""en"")"),"great now everything is normal, the noise is much smaller than the previous version buy 2TB.")</f>
        <v>great now everything is normal, the noise is much smaller than the previous version buy 2TB.</v>
      </c>
    </row>
    <row r="8664">
      <c r="A8664" s="1">
        <v>5.0</v>
      </c>
      <c r="B8664" s="1" t="s">
        <v>8610</v>
      </c>
      <c r="C8664" t="str">
        <f>IFERROR(__xludf.DUMMYFUNCTION("GOOGLETRANSLATE(B8664, ""zh"", ""en"")"),"Nice accent very good, compact, long time is to wear ear clip")</f>
        <v>Nice accent very good, compact, long time is to wear ear clip</v>
      </c>
    </row>
    <row r="8665">
      <c r="A8665" s="1">
        <v>5.0</v>
      </c>
      <c r="B8665" s="1" t="s">
        <v>8611</v>
      </c>
      <c r="C8665" t="str">
        <f>IFERROR(__xludf.DUMMYFUNCTION("GOOGLETRANSLATE(B8665, ""zh"", ""en"")"),"It has a variety of color classic style all expected. Classic, foot feeling is also very good. Can leisure, sport can be. When driving through puma also very suitable.")</f>
        <v>It has a variety of color classic style all expected. Classic, foot feeling is also very good. Can leisure, sport can be. When driving through puma also very suitable.</v>
      </c>
    </row>
    <row r="8666">
      <c r="A8666" s="1">
        <v>5.0</v>
      </c>
      <c r="B8666" s="1" t="s">
        <v>8612</v>
      </c>
      <c r="C8666" t="str">
        <f>IFERROR(__xludf.DUMMYFUNCTION("GOOGLETRANSLATE(B8666, ""zh"", ""en"")"),"Misled by previous reviews! Misled by previous reviews, yardage pants are standard. I usually 34W30L, seen in front of some people say code number is relatively large, bought 32W30L, come home and find small, because the belt is scalable, can barely wear,"&amp;" but which can not add any underwear, shirts and even can not tuck inside. Thick and heavy pants, summer could not wear. Code number from the original recommendation to wear what code on what code do not buy small.")</f>
        <v>Misled by previous reviews! Misled by previous reviews, yardage pants are standard. I usually 34W30L, seen in front of some people say code number is relatively large, bought 32W30L, come home and find small, because the belt is scalable, can barely wear, but which can not add any underwear, shirts and even can not tuck inside. Thick and heavy pants, summer could not wear. Code number from the original recommendation to wear what code on what code do not buy small.</v>
      </c>
    </row>
    <row r="8667">
      <c r="A8667" s="1">
        <v>5.0</v>
      </c>
      <c r="B8667" s="1" t="s">
        <v>8613</v>
      </c>
      <c r="C8667" t="str">
        <f>IFERROR(__xludf.DUMMYFUNCTION("GOOGLETRANSLATE(B8667, ""zh"", ""en"")"),"Very satisfied very satisfied with online shopping, the quality of shoes did not have to say. Size is very accurate")</f>
        <v>Very satisfied very satisfied with online shopping, the quality of shoes did not have to say. Size is very accurate</v>
      </c>
    </row>
    <row r="8668">
      <c r="A8668" s="1">
        <v>5.0</v>
      </c>
      <c r="B8668" s="1" t="s">
        <v>8614</v>
      </c>
      <c r="C8668" t="str">
        <f>IFERROR(__xludf.DUMMYFUNCTION("GOOGLETRANSLATE(B8668, ""zh"", ""en"")"),"Satisfaction, speed, packaging perfect, beautiful color. Good insulation, see the specification, slightly worse than the image print. But that is difficult to clean. I do not know will not be the same and Thermos, then let the milk, plastic mat will not b"&amp;"e black.")</f>
        <v>Satisfaction, speed, packaging perfect, beautiful color. Good insulation, see the specification, slightly worse than the image print. But that is difficult to clean. I do not know will not be the same and Thermos, then let the milk, plastic mat will not be black.</v>
      </c>
    </row>
    <row r="8669">
      <c r="A8669" s="1">
        <v>5.0</v>
      </c>
      <c r="B8669" s="1" t="s">
        <v>8615</v>
      </c>
      <c r="C8669" t="str">
        <f>IFERROR(__xludf.DUMMYFUNCTION("GOOGLETRANSLATE(B8669, ""zh"", ""en"")"),"Easy installation and easy to install. Not enough time to drink clean water.")</f>
        <v>Easy installation and easy to install. Not enough time to drink clean water.</v>
      </c>
    </row>
    <row r="8670">
      <c r="A8670" s="1">
        <v>5.0</v>
      </c>
      <c r="B8670" s="1" t="s">
        <v>8616</v>
      </c>
      <c r="C8670" t="str">
        <f>IFERROR(__xludf.DUMMYFUNCTION("GOOGLETRANSLATE(B8670, ""zh"", ""en"")"),"2E is a side width of perfect shoes, the shoes a little wide in front does not look good, no attention is 2E width. Wearing very comfortable")</f>
        <v>2E is a side width of perfect shoes, the shoes a little wide in front does not look good, no attention is 2E width. Wearing very comfortable</v>
      </c>
    </row>
    <row r="8671">
      <c r="A8671" s="1">
        <v>5.0</v>
      </c>
      <c r="B8671" s="1" t="s">
        <v>8617</v>
      </c>
      <c r="C8671" t="str">
        <f>IFERROR(__xludf.DUMMYFUNCTION("GOOGLETRANSLATE(B8671, ""zh"", ""en"")"),"ECCO ECCO shoes work shoes, wear very comfortable, very satisfied.")</f>
        <v>ECCO ECCO shoes work shoes, wear very comfortable, very satisfied.</v>
      </c>
    </row>
    <row r="8672">
      <c r="A8672" s="1">
        <v>5.0</v>
      </c>
      <c r="B8672" s="1" t="s">
        <v>8618</v>
      </c>
      <c r="C8672" t="str">
        <f>IFERROR(__xludf.DUMMYFUNCTION("GOOGLETRANSLATE(B8672, ""zh"", ""en"")"),"Chan is genuine, but also cheaper than purchasing, hope to continue")</f>
        <v>Chan is genuine, but also cheaper than purchasing, hope to continue</v>
      </c>
    </row>
    <row r="8673">
      <c r="A8673" s="1">
        <v>2.0</v>
      </c>
      <c r="B8673" s="1" t="s">
        <v>8619</v>
      </c>
      <c r="C8673" t="str">
        <f>IFERROR(__xludf.DUMMYFUNCTION("GOOGLETRANSLATE(B8673, ""zh"", ""en"")"),"General quality of the cup lids have a problem, do not cover tight!")</f>
        <v>General quality of the cup lids have a problem, do not cover tight!</v>
      </c>
    </row>
    <row r="8674">
      <c r="A8674" s="1">
        <v>3.0</v>
      </c>
      <c r="B8674" s="1" t="s">
        <v>8620</v>
      </c>
      <c r="C8674" t="str">
        <f>IFERROR(__xludf.DUMMYFUNCTION("GOOGLETRANSLATE(B8674, ""zh"", ""en"")"),"Thick, it is not recommended to start. Advantages: stylish, spirit. Disadvantages: thick, up to 30 degrees can not wear. White through point. In short, in general.")</f>
        <v>Thick, it is not recommended to start. Advantages: stylish, spirit. Disadvantages: thick, up to 30 degrees can not wear. White through point. In short, in general.</v>
      </c>
    </row>
    <row r="8675">
      <c r="A8675" s="1">
        <v>3.0</v>
      </c>
      <c r="B8675" s="1" t="s">
        <v>8621</v>
      </c>
      <c r="C8675" t="str">
        <f>IFERROR(__xludf.DUMMYFUNCTION("GOOGLETRANSLATE(B8675, ""zh"", ""en"")"),"Gym treadmill, watching from the cost is not high buy a gym with a treadmill, watching from the cost is not high, given the brand a premium fair.")</f>
        <v>Gym treadmill, watching from the cost is not high buy a gym with a treadmill, watching from the cost is not high, given the brand a premium fair.</v>
      </c>
    </row>
    <row r="8676">
      <c r="A8676" s="1">
        <v>1.0</v>
      </c>
      <c r="B8676" s="1" t="s">
        <v>8622</v>
      </c>
      <c r="C8676" t="str">
        <f>IFERROR(__xludf.DUMMYFUNCTION("GOOGLETRANSLATE(B8676, ""zh"", ""en"")"),"Product secondary sales is really secondary sales. The original sticker affixed to the new location was kind enough not in the same position. And sticker little dirty. I would like to see at the next APP with others how many times. But I do not know how t"&amp;"he next.")</f>
        <v>Product secondary sales is really secondary sales. The original sticker affixed to the new location was kind enough not in the same position. And sticker little dirty. I would like to see at the next APP with others how many times. But I do not know how the next.</v>
      </c>
    </row>
    <row r="8677">
      <c r="A8677" s="1">
        <v>1.0</v>
      </c>
      <c r="B8677" s="1" t="s">
        <v>8623</v>
      </c>
      <c r="C8677" t="str">
        <f>IFERROR(__xludf.DUMMYFUNCTION("GOOGLETRANSLATE(B8677, ""zh"", ""en"")"),"Very bad, Bad Poor Poor If you can not give a star, shoddy version will not say, customer service is a drag flicker")</f>
        <v>Very bad, Bad Poor Poor If you can not give a star, shoddy version will not say, customer service is a drag flicker</v>
      </c>
    </row>
    <row r="8678">
      <c r="A8678" s="1">
        <v>1.0</v>
      </c>
      <c r="B8678" s="1" t="s">
        <v>8624</v>
      </c>
      <c r="C8678" t="str">
        <f>IFERROR(__xludf.DUMMYFUNCTION("GOOGLETRANSLATE(B8678, ""zh"", ""en"")"),"Flip these shoes work well, and the other with the number of different colors in comparison with the money, serious flip pedicure, wearing a while hurts like hell.")</f>
        <v>Flip these shoes work well, and the other with the number of different colors in comparison with the money, serious flip pedicure, wearing a while hurts like hell.</v>
      </c>
    </row>
    <row r="8679">
      <c r="A8679" s="1">
        <v>4.0</v>
      </c>
      <c r="B8679" s="1" t="s">
        <v>8625</v>
      </c>
      <c r="C8679" t="str">
        <f>IFERROR(__xludf.DUMMYFUNCTION("GOOGLETRANSLATE(B8679, ""zh"", ""en"")"),"Chong's very gentle my teeth is not very good, a little sparse, gum is not very stable. Before buying a Philips red teeth, the intensity is too large, sometimes teeth will bleed red. So I bought it. Since the sink is not spacious, I bought a portable. The"&amp;" third gear water, uniform washing, Flush teeth very comfortable. Of course, use warm water, or Ice very uncomfortable. The only problem is that sometimes the red does not move. It still needs time to get it with the help of Philips.")</f>
        <v>Chong's very gentle my teeth is not very good, a little sparse, gum is not very stable. Before buying a Philips red teeth, the intensity is too large, sometimes teeth will bleed red. So I bought it. Since the sink is not spacious, I bought a portable. The third gear water, uniform washing, Flush teeth very comfortable. Of course, use warm water, or Ice very uncomfortable. The only problem is that sometimes the red does not move. It still needs time to get it with the help of Philips.</v>
      </c>
    </row>
    <row r="8680">
      <c r="A8680" s="1">
        <v>4.0</v>
      </c>
      <c r="B8680" s="1" t="s">
        <v>8626</v>
      </c>
      <c r="C8680" t="str">
        <f>IFERROR(__xludf.DUMMYFUNCTION("GOOGLETRANSLATE(B8680, ""zh"", ""en"")"),"Very very appropriate I 177 high 86 waist 90 waist suitable length enough to have the right price is excellent aspects of ventilation")</f>
        <v>Very very appropriate I 177 high 86 waist 90 waist suitable length enough to have the right price is excellent aspects of ventilation</v>
      </c>
    </row>
    <row r="8681">
      <c r="A8681" s="1">
        <v>4.0</v>
      </c>
      <c r="B8681" s="1" t="s">
        <v>8627</v>
      </c>
      <c r="C8681" t="str">
        <f>IFERROR(__xludf.DUMMYFUNCTION("GOOGLETRANSLATE(B8681, ""zh"", ""en"")"),"Fortunately, European and American version of the type larger, thin pants, long, long pants, quality feeling can also be right")</f>
        <v>Fortunately, European and American version of the type larger, thin pants, long, long pants, quality feeling can also be right</v>
      </c>
    </row>
    <row r="8682">
      <c r="A8682" s="1">
        <v>4.0</v>
      </c>
      <c r="B8682" s="1" t="s">
        <v>8628</v>
      </c>
      <c r="C8682" t="str">
        <f>IFERROR(__xludf.DUMMYFUNCTION("GOOGLETRANSLATE(B8682, ""zh"", ""en"")"),"Not bad just try to buy prime free shipping, recently lost weight, my height 178cm, 66Kg, buy the S number, very fit!")</f>
        <v>Not bad just try to buy prime free shipping, recently lost weight, my height 178cm, 66Kg, buy the S number, very fit!</v>
      </c>
    </row>
    <row r="8683">
      <c r="A8683" s="1">
        <v>5.0</v>
      </c>
      <c r="B8683" s="1" t="s">
        <v>8629</v>
      </c>
      <c r="C8683" t="str">
        <f>IFERROR(__xludf.DUMMYFUNCTION("GOOGLETRANSLATE(B8683, ""zh"", ""en"")"),"Recommended sweet and sour fruit flavor, and taste very convenient")</f>
        <v>Recommended sweet and sour fruit flavor, and taste very convenient</v>
      </c>
    </row>
    <row r="8684">
      <c r="A8684" s="1">
        <v>5.0</v>
      </c>
      <c r="B8684" s="1" t="s">
        <v>8630</v>
      </c>
      <c r="C8684" t="str">
        <f>IFERROR(__xludf.DUMMYFUNCTION("GOOGLETRANSLATE(B8684, ""zh"", ""en"")"),"Shoe size is too large've always liked their music shoes, comfortable fit, wear walking is not tired. Shoes are very light. Just big shoes than expected., Nearly One big, some regret.")</f>
        <v>Shoe size is too large've always liked their music shoes, comfortable fit, wear walking is not tired. Shoes are very light. Just big shoes than expected., Nearly One big, some regret.</v>
      </c>
    </row>
    <row r="8685">
      <c r="A8685" s="1">
        <v>5.0</v>
      </c>
      <c r="B8685" s="1" t="s">
        <v>8631</v>
      </c>
      <c r="C8685" t="str">
        <f>IFERROR(__xludf.DUMMYFUNCTION("GOOGLETRANSLATE(B8685, ""zh"", ""en"")"),"SanDisk big own identification no doubt genuine, good quality.")</f>
        <v>SanDisk big own identification no doubt genuine, good quality.</v>
      </c>
    </row>
    <row r="8686">
      <c r="A8686" s="1">
        <v>5.0</v>
      </c>
      <c r="B8686" s="1" t="s">
        <v>8632</v>
      </c>
      <c r="C8686" t="str">
        <f>IFERROR(__xludf.DUMMYFUNCTION("GOOGLETRANSLATE(B8686, ""zh"", ""en"")"),"175 cm high fit 65KG, M code fit. Fabric is soft, good.")</f>
        <v>175 cm high fit 65KG, M code fit. Fabric is soft, good.</v>
      </c>
    </row>
    <row r="8687">
      <c r="A8687" s="1">
        <v>5.0</v>
      </c>
      <c r="B8687" s="1" t="s">
        <v>8633</v>
      </c>
      <c r="C8687" t="str">
        <f>IFERROR(__xludf.DUMMYFUNCTION("GOOGLETRANSLATE(B8687, ""zh"", ""en"")"),"Value for money is appropriate, fabric work are good, value for money, than usual small one yard just")</f>
        <v>Value for money is appropriate, fabric work are good, value for money, than usual small one yard just</v>
      </c>
    </row>
    <row r="8688">
      <c r="A8688" s="1">
        <v>5.0</v>
      </c>
      <c r="B8688" s="1" t="s">
        <v>8634</v>
      </c>
      <c r="C8688" t="str">
        <f>IFERROR(__xludf.DUMMYFUNCTION("GOOGLETRANSLATE(B8688, ""zh"", ""en"")"),"Look good on the grade super nice on the grade you have your truth many small details of the design is very intimate sound package with the lid open feel very thick Senior")</f>
        <v>Look good on the grade super nice on the grade you have your truth many small details of the design is very intimate sound package with the lid open feel very thick Senior</v>
      </c>
    </row>
    <row r="8689">
      <c r="A8689" s="1">
        <v>5.0</v>
      </c>
      <c r="B8689" s="1" t="s">
        <v>8635</v>
      </c>
      <c r="C8689" t="str">
        <f>IFERROR(__xludf.DUMMYFUNCTION("GOOGLETRANSLATE(B8689, ""zh"", ""en"")"),"Some skinny tight, need to gradually beer belly")</f>
        <v>Some skinny tight, need to gradually beer belly</v>
      </c>
    </row>
    <row r="8690">
      <c r="A8690" s="1">
        <v>5.0</v>
      </c>
      <c r="B8690" s="1" t="s">
        <v>8636</v>
      </c>
      <c r="C8690" t="str">
        <f>IFERROR(__xludf.DUMMYFUNCTION("GOOGLETRANSLATE(B8690, ""zh"", ""en"")"),"Very good very good very comfortable, very fast to buy it!")</f>
        <v>Very good very good very comfortable, very fast to buy it!</v>
      </c>
    </row>
    <row r="8691">
      <c r="A8691" s="1">
        <v>5.0</v>
      </c>
      <c r="B8691" s="1" t="s">
        <v>8637</v>
      </c>
      <c r="C8691" t="str">
        <f>IFERROR(__xludf.DUMMYFUNCTION("GOOGLETRANSLATE(B8691, ""zh"", ""en"")"),"This entry belt belt high quality and low, that is, short of the point of purchase.")</f>
        <v>This entry belt belt high quality and low, that is, short of the point of purchase.</v>
      </c>
    </row>
    <row r="8692">
      <c r="A8692" s="1">
        <v>5.0</v>
      </c>
      <c r="B8692" s="1" t="s">
        <v>8638</v>
      </c>
      <c r="C8692" t="str">
        <f>IFERROR(__xludf.DUMMYFUNCTION("GOOGLETRANSLATE(B8692, ""zh"", ""en"")"),", Too, you are recommended to buy a small number two")</f>
        <v>, Too, you are recommended to buy a small number two</v>
      </c>
    </row>
    <row r="8693">
      <c r="A8693" s="1">
        <v>5.0</v>
      </c>
      <c r="B8693" s="1" t="s">
        <v>8639</v>
      </c>
      <c r="C8693" t="str">
        <f>IFERROR(__xludf.DUMMYFUNCTION("GOOGLETRANSLATE(B8693, ""zh"", ""en"")"),"Nice plus shipping costs only 200 yuan, with a period of time, the speed is fast.")</f>
        <v>Nice plus shipping costs only 200 yuan, with a period of time, the speed is fast.</v>
      </c>
    </row>
    <row r="8694">
      <c r="A8694" s="1">
        <v>5.0</v>
      </c>
      <c r="B8694" s="1" t="s">
        <v>8640</v>
      </c>
      <c r="C8694" t="str">
        <f>IFERROR(__xludf.DUMMYFUNCTION("GOOGLETRANSLATE(B8694, ""zh"", ""en"")"),"The most satisfied with the size of a very fit, pants a little longer.")</f>
        <v>The most satisfied with the size of a very fit, pants a little longer.</v>
      </c>
    </row>
    <row r="8695">
      <c r="A8695" s="1">
        <v>5.0</v>
      </c>
      <c r="B8695" s="1" t="s">
        <v>8641</v>
      </c>
      <c r="C8695" t="str">
        <f>IFERROR(__xludf.DUMMYFUNCTION("GOOGLETRANSLATE(B8695, ""zh"", ""en"")"),"Recommended to buy underwear is very comfortable, very satisfied")</f>
        <v>Recommended to buy underwear is very comfortable, very satisfied</v>
      </c>
    </row>
    <row r="8696">
      <c r="A8696" s="1">
        <v>5.0</v>
      </c>
      <c r="B8696" s="1" t="s">
        <v>8642</v>
      </c>
      <c r="C8696" t="str">
        <f>IFERROR(__xludf.DUMMYFUNCTION("GOOGLETRANSLATE(B8696, ""zh"", ""en"")"),"Very nice pants right size, I 180,85KG, 33 * 32, very fit, slightly slim, but very good elasticity, comfortable")</f>
        <v>Very nice pants right size, I 180,85KG, 33 * 32, very fit, slightly slim, but very good elasticity, comfortable</v>
      </c>
    </row>
    <row r="8697">
      <c r="A8697" s="1">
        <v>5.0</v>
      </c>
      <c r="B8697" s="1" t="s">
        <v>8643</v>
      </c>
      <c r="C8697" t="str">
        <f>IFERROR(__xludf.DUMMYFUNCTION("GOOGLETRANSLATE(B8697, ""zh"", ""en"")"),"Speed ​​cycle very fast, the taste is a little big shoes made in china good, taste is a big rubber, the right size")</f>
        <v>Speed ​​cycle very fast, the taste is a little big shoes made in china good, taste is a big rubber, the right size</v>
      </c>
    </row>
    <row r="8698">
      <c r="A8698" s="1">
        <v>5.0</v>
      </c>
      <c r="B8698" s="1" t="s">
        <v>8644</v>
      </c>
      <c r="C8698" t="str">
        <f>IFERROR(__xludf.DUMMYFUNCTION("GOOGLETRANSLATE(B8698, ""zh"", ""en"")"),"Praise to help a friend buy, more satisfied")</f>
        <v>Praise to help a friend buy, more satisfied</v>
      </c>
    </row>
    <row r="8699">
      <c r="A8699" s="1">
        <v>5.0</v>
      </c>
      <c r="B8699" s="1" t="s">
        <v>8645</v>
      </c>
      <c r="C8699" t="str">
        <f>IFERROR(__xludf.DUMMYFUNCTION("GOOGLETRANSLATE(B8699, ""zh"", ""en"")"),"Fu Teng Bao buy kitchen spoon still very good")</f>
        <v>Fu Teng Bao buy kitchen spoon still very good</v>
      </c>
    </row>
    <row r="8700">
      <c r="A8700" s="1">
        <v>5.0</v>
      </c>
      <c r="B8700" s="1" t="s">
        <v>8646</v>
      </c>
      <c r="C8700" t="str">
        <f>IFERROR(__xludf.DUMMYFUNCTION("GOOGLETRANSLATE(B8700, ""zh"", ""en"")"),"Handy! Handy, perfect match of solar water heaters. Such a good stuff to be found as soon as possible. Because easy to use, immediately I bought a put at home all changed.")</f>
        <v>Handy! Handy, perfect match of solar water heaters. Such a good stuff to be found as soon as possible. Because easy to use, immediately I bought a put at home all changed.</v>
      </c>
    </row>
    <row r="8701">
      <c r="A8701" s="1">
        <v>5.0</v>
      </c>
      <c r="B8701" s="1" t="s">
        <v>8647</v>
      </c>
      <c r="C8701" t="str">
        <f>IFERROR(__xludf.DUMMYFUNCTION("GOOGLETRANSLATE(B8701, ""zh"", ""en"")"),"Dishwasher essential consumables necessary, stockpile")</f>
        <v>Dishwasher essential consumables necessary, stockpile</v>
      </c>
    </row>
    <row r="8702">
      <c r="A8702" s="1">
        <v>5.0</v>
      </c>
      <c r="B8702" s="1" t="s">
        <v>8648</v>
      </c>
      <c r="C8702" t="str">
        <f>IFERROR(__xludf.DUMMYFUNCTION("GOOGLETRANSLATE(B8702, ""zh"", ""en"")"),"Affordable fast delivery security label eating and feel of the original bought as affordable security label delivery fast eating and feeling the same as the original bought")</f>
        <v>Affordable fast delivery security label eating and feel of the original bought as affordable security label delivery fast eating and feeling the same as the original bought</v>
      </c>
    </row>
    <row r="8703">
      <c r="A8703" s="1">
        <v>5.0</v>
      </c>
      <c r="B8703" s="1" t="s">
        <v>8649</v>
      </c>
      <c r="C8703" t="str">
        <f>IFERROR(__xludf.DUMMYFUNCTION("GOOGLETRANSLATE(B8703, ""zh"", ""en"")"),"Just right feet 37, buy 6.5WD, just right, very good")</f>
        <v>Just right feet 37, buy 6.5WD, just right, very good</v>
      </c>
    </row>
    <row r="8704">
      <c r="A8704" s="1">
        <v>2.0</v>
      </c>
      <c r="B8704" s="1" t="s">
        <v>8650</v>
      </c>
      <c r="C8704" t="str">
        <f>IFERROR(__xludf.DUMMYFUNCTION("GOOGLETRANSLATE(B8704, ""zh"", ""en"")"),"Shoes with laces sales promotion looks inconsistent inconsistent style, customer service failed to give a reasonable explanation")</f>
        <v>Shoes with laces sales promotion looks inconsistent inconsistent style, customer service failed to give a reasonable explanation</v>
      </c>
    </row>
    <row r="8705">
      <c r="A8705" s="1">
        <v>3.0</v>
      </c>
      <c r="B8705" s="1" t="s">
        <v>8651</v>
      </c>
      <c r="C8705" t="str">
        <f>IFERROR(__xludf.DUMMYFUNCTION("GOOGLETRANSLATE(B8705, ""zh"", ""en"")"),"Amazon is not easy to buy clothes on the return must be careful to look at the size, the price of my clothes to more than 200, according to the usual size used to try to buy too did not expect this to be a freight tariffs and no more than 200 together, he"&amp;"y ~")</f>
        <v>Amazon is not easy to buy clothes on the return must be careful to look at the size, the price of my clothes to more than 200, according to the usual size used to try to buy too did not expect this to be a freight tariffs and no more than 200 together, hey ~</v>
      </c>
    </row>
    <row r="8706">
      <c r="A8706" s="1">
        <v>3.0</v>
      </c>
      <c r="B8706" s="1" t="s">
        <v>8652</v>
      </c>
      <c r="C8706" t="str">
        <f>IFERROR(__xludf.DUMMYFUNCTION("GOOGLETRANSLATE(B8706, ""zh"", ""en"")"),"Sennheiser sound quality did not always belong to seasonal products, wear out very hot, sweaty ugly sound quality is not good existing MX760, the price is twice as high")</f>
        <v>Sennheiser sound quality did not always belong to seasonal products, wear out very hot, sweaty ugly sound quality is not good existing MX760, the price is twice as high</v>
      </c>
    </row>
    <row r="8707">
      <c r="A8707" s="1">
        <v>3.0</v>
      </c>
      <c r="B8707" s="1" t="s">
        <v>8653</v>
      </c>
      <c r="C8707" t="str">
        <f>IFERROR(__xludf.DUMMYFUNCTION("GOOGLETRANSLATE(B8707, ""zh"", ""en"")"),"Very rough, American workmanship! Size is appropriate! Very rough, American workmanship! Size is appropriate!")</f>
        <v>Very rough, American workmanship! Size is appropriate! Very rough, American workmanship! Size is appropriate!</v>
      </c>
    </row>
    <row r="8708">
      <c r="A8708" s="1">
        <v>1.0</v>
      </c>
      <c r="B8708" s="1" t="s">
        <v>8654</v>
      </c>
      <c r="C8708" t="str">
        <f>IFERROR(__xludf.DUMMYFUNCTION("GOOGLETRANSLATE(B8708, ""zh"", ""en"")"),"Good-looking shoes have long received a wild, domestic 38 yards usually buy shoes us7.5 just, I foot wide, open a little taste, overall pretty good, worth buying, not expensive")</f>
        <v>Good-looking shoes have long received a wild, domestic 38 yards usually buy shoes us7.5 just, I foot wide, open a little taste, overall pretty good, worth buying, not expensive</v>
      </c>
    </row>
    <row r="8709">
      <c r="A8709" s="1">
        <v>1.0</v>
      </c>
      <c r="B8709" s="1" t="s">
        <v>8655</v>
      </c>
      <c r="C8709" t="str">
        <f>IFERROR(__xludf.DUMMYFUNCTION("GOOGLETRANSLATE(B8709, ""zh"", ""en"")"),"Suspected of second-hand goods like Kaifeng! Box on each side of the two stickers affixed to the other side seal stickers only half, on top of it and a superimposed, the other side is like pasting opened before. Disgusting, so I can not do anything trust "&amp;"Amazon. It would not come.")</f>
        <v>Suspected of second-hand goods like Kaifeng! Box on each side of the two stickers affixed to the other side seal stickers only half, on top of it and a superimposed, the other side is like pasting opened before. Disgusting, so I can not do anything trust Amazon. It would not come.</v>
      </c>
    </row>
    <row r="8710">
      <c r="A8710" s="1">
        <v>4.0</v>
      </c>
      <c r="B8710" s="1" t="s">
        <v>8656</v>
      </c>
      <c r="C8710" t="str">
        <f>IFERROR(__xludf.DUMMYFUNCTION("GOOGLETRANSLATE(B8710, ""zh"", ""en"")"),"Price ok, size is too large. I 173,65kg, bust 91, s code is too large, for reference purposes only.")</f>
        <v>Price ok, size is too large. I 173,65kg, bust 91, s code is too large, for reference purposes only.</v>
      </c>
    </row>
    <row r="8711">
      <c r="A8711" s="1">
        <v>4.0</v>
      </c>
      <c r="B8711" s="1" t="s">
        <v>8657</v>
      </c>
      <c r="C8711" t="str">
        <f>IFERROR(__xludf.DUMMYFUNCTION("GOOGLETRANSLATE(B8711, ""zh"", ""en"")"),"We pay for it, how to write a review? You pay for it, you want to scouring the treasure is not possible. The price and quality, so it was right. Unlike timberland work, but occasionally also heard very different origin of the quality difference. But this "&amp;"quality, looks okay, burrs are completely closed beta, but added unlike other reviews of sticky, but do not know for a while with respect Tianyi hot sticky or fade up. In short first so with it. Not expensive. Temporarily not believe the quality of timber"&amp;"land, the United States also has a cottage, right?")</f>
        <v>We pay for it, how to write a review? You pay for it, you want to scouring the treasure is not possible. The price and quality, so it was right. Unlike timberland work, but occasionally also heard very different origin of the quality difference. But this quality, looks okay, burrs are completely closed beta, but added unlike other reviews of sticky, but do not know for a while with respect Tianyi hot sticky or fade up. In short first so with it. Not expensive. Temporarily not believe the quality of timberland, the United States also has a cottage, right?</v>
      </c>
    </row>
    <row r="8712">
      <c r="A8712" s="1">
        <v>4.0</v>
      </c>
      <c r="B8712" s="1" t="s">
        <v>8658</v>
      </c>
      <c r="C8712" t="str">
        <f>IFERROR(__xludf.DUMMYFUNCTION("GOOGLETRANSLATE(B8712, ""zh"", ""en"")"),"Size is too large overseas biggest advantage is inexpensive Amoy, but this really is just the right size allowed, Amazon's table can not provide an accurate reference, my husband of 42 feet, ecco counter test of 41, 41 only this pair cushion insoles to we"&amp;"ar ...... too lazy to back, and the shoes are defective, customer service hit 10% off?")</f>
        <v>Size is too large overseas biggest advantage is inexpensive Amoy, but this really is just the right size allowed, Amazon's table can not provide an accurate reference, my husband of 42 feet, ecco counter test of 41, 41 only this pair cushion insoles to wear ...... too lazy to back, and the shoes are defective, customer service hit 10% off?</v>
      </c>
    </row>
    <row r="8713">
      <c r="A8713" s="1">
        <v>4.0</v>
      </c>
      <c r="B8713" s="1" t="s">
        <v>8659</v>
      </c>
      <c r="C8713" t="str">
        <f>IFERROR(__xludf.DUMMYFUNCTION("GOOGLETRANSLATE(B8713, ""zh"", ""en"")"),"Okay, okay imports, imports")</f>
        <v>Okay, okay imports, imports</v>
      </c>
    </row>
    <row r="8714">
      <c r="A8714" s="1">
        <v>4.0</v>
      </c>
      <c r="B8714" s="1" t="s">
        <v>8660</v>
      </c>
      <c r="C8714" t="str">
        <f>IFERROR(__xludf.DUMMYFUNCTION("GOOGLETRANSLATE(B8714, ""zh"", ""en"")"),"General wear out like this relatively easy-month-old small relatively coarse-month-old baby is not detailed enough short or food supplement machine once and for all")</f>
        <v>General wear out like this relatively easy-month-old small relatively coarse-month-old baby is not detailed enough short or food supplement machine once and for all</v>
      </c>
    </row>
    <row r="8715">
      <c r="A8715" s="1">
        <v>5.0</v>
      </c>
      <c r="B8715" s="1" t="s">
        <v>8661</v>
      </c>
      <c r="C8715" t="str">
        <f>IFERROR(__xludf.DUMMYFUNCTION("GOOGLETRANSLATE(B8715, ""zh"", ""en"")"),"Well great, but the sea Amoy, brush them off")</f>
        <v>Well great, but the sea Amoy, brush them off</v>
      </c>
    </row>
    <row r="8716">
      <c r="A8716" s="1">
        <v>5.0</v>
      </c>
      <c r="B8716" s="1" t="s">
        <v>8662</v>
      </c>
      <c r="C8716" t="str">
        <f>IFERROR(__xludf.DUMMYFUNCTION("GOOGLETRANSLATE(B8716, ""zh"", ""en"")"),"Very good very good, delivery speed are great!")</f>
        <v>Very good very good, delivery speed are great!</v>
      </c>
    </row>
    <row r="8717">
      <c r="A8717" s="1">
        <v>5.0</v>
      </c>
      <c r="B8717" s="1" t="s">
        <v>8663</v>
      </c>
      <c r="C8717" t="str">
        <f>IFERROR(__xludf.DUMMYFUNCTION("GOOGLETRANSLATE(B8717, ""zh"", ""en"")"),"Premium sound atmosphere, value for money; movie class.")</f>
        <v>Premium sound atmosphere, value for money; movie class.</v>
      </c>
    </row>
    <row r="8718">
      <c r="A8718" s="1">
        <v>5.0</v>
      </c>
      <c r="B8718" s="1" t="s">
        <v>8664</v>
      </c>
      <c r="C8718" t="str">
        <f>IFERROR(__xludf.DUMMYFUNCTION("GOOGLETRANSLATE(B8718, ""zh"", ""en"")"),"Good quality, value for money can be good quality, very thick, much cheaper compared to domestic, worthy of the price.")</f>
        <v>Good quality, value for money can be good quality, very thick, much cheaper compared to domestic, worthy of the price.</v>
      </c>
    </row>
    <row r="8719">
      <c r="A8719" s="1">
        <v>5.0</v>
      </c>
      <c r="B8719" s="1" t="s">
        <v>8665</v>
      </c>
      <c r="C8719" t="str">
        <f>IFERROR(__xludf.DUMMYFUNCTION("GOOGLETRANSLATE(B8719, ""zh"", ""en"")"),"Appropriate right size, it is woven barrel, well, better than expected")</f>
        <v>Appropriate right size, it is woven barrel, well, better than expected</v>
      </c>
    </row>
    <row r="8720">
      <c r="A8720" s="1">
        <v>5.0</v>
      </c>
      <c r="B8720" s="1" t="s">
        <v>8666</v>
      </c>
      <c r="C8720" t="str">
        <f>IFERROR(__xludf.DUMMYFUNCTION("GOOGLETRANSLATE(B8720, ""zh"", ""en"")"),"The first overseas purchase also my first overseas purchase clothing size is the most confusing and courier delivery time two things. My height 182, weight 66 kg, buy m of (reference before you comment, thank you), I feel more fit (Of course, this sounds "&amp;"like the style pants legs a little thick). Delivery time is 28 days is expected to actually only nine days, the feeling is good. Clothing materials and workmanship feels good, just running in autumn when worn. Added: fat, thin, very appropriate, but a lit"&amp;"tle bit longer, to walk heel will always step on pants, then shook himself under trousers, it is appropriate.")</f>
        <v>The first overseas purchase also my first overseas purchase clothing size is the most confusing and courier delivery time two things. My height 182, weight 66 kg, buy m of (reference before you comment, thank you), I feel more fit (Of course, this sounds like the style pants legs a little thick). Delivery time is 28 days is expected to actually only nine days, the feeling is good. Clothing materials and workmanship feels good, just running in autumn when worn. Added: fat, thin, very appropriate, but a little bit longer, to walk heel will always step on pants, then shook himself under trousers, it is appropriate.</v>
      </c>
    </row>
    <row r="8721">
      <c r="A8721" s="1">
        <v>5.0</v>
      </c>
      <c r="B8721" s="1" t="s">
        <v>8667</v>
      </c>
      <c r="C8721" t="str">
        <f>IFERROR(__xludf.DUMMYFUNCTION("GOOGLETRANSLATE(B8721, ""zh"", ""en"")"),"Convenient health with a lid scissors health is also relatively easy to clean and carry")</f>
        <v>Convenient health with a lid scissors health is also relatively easy to clean and carry</v>
      </c>
    </row>
    <row r="8722">
      <c r="A8722" s="1">
        <v>5.0</v>
      </c>
      <c r="B8722" s="1" t="s">
        <v>8668</v>
      </c>
      <c r="C8722" t="str">
        <f>IFERROR(__xludf.DUMMYFUNCTION("GOOGLETRANSLATE(B8722, ""zh"", ""en"")"),"Size can be a little thin, just a little thin")</f>
        <v>Size can be a little thin, just a little thin</v>
      </c>
    </row>
    <row r="8723">
      <c r="A8723" s="1">
        <v>5.0</v>
      </c>
      <c r="B8723" s="1" t="s">
        <v>8669</v>
      </c>
      <c r="C8723" t="str">
        <f>IFERROR(__xludf.DUMMYFUNCTION("GOOGLETRANSLATE(B8723, ""zh"", ""en"")"),"Ah look good, but you can buy a small point of normal size")</f>
        <v>Ah look good, but you can buy a small point of normal size</v>
      </c>
    </row>
    <row r="8724">
      <c r="A8724" s="1">
        <v>5.0</v>
      </c>
      <c r="B8724" s="1" t="s">
        <v>8670</v>
      </c>
      <c r="C8724" t="str">
        <f>IFERROR(__xludf.DUMMYFUNCTION("GOOGLETRANSLATE(B8724, ""zh"", ""en"")"),"Comfort is very comfortable, Bust 90, L code is not loose, is a small significant chest, ha ha ha.")</f>
        <v>Comfort is very comfortable, Bust 90, L code is not loose, is a small significant chest, ha ha ha.</v>
      </c>
    </row>
    <row r="8725">
      <c r="A8725" s="1">
        <v>5.0</v>
      </c>
      <c r="B8725" s="1" t="s">
        <v>8671</v>
      </c>
      <c r="C8725" t="str">
        <f>IFERROR(__xludf.DUMMYFUNCTION("GOOGLETRANSLATE(B8725, ""zh"", ""en"")"),"The right size, very comfortable very comfortable, flexible right size, very comfortable")</f>
        <v>The right size, very comfortable very comfortable, flexible right size, very comfortable</v>
      </c>
    </row>
    <row r="8726">
      <c r="A8726" s="1">
        <v>5.0</v>
      </c>
      <c r="B8726" s="1" t="s">
        <v>8672</v>
      </c>
      <c r="C8726" t="str">
        <f>IFERROR(__xludf.DUMMYFUNCTION("GOOGLETRANSLATE(B8726, ""zh"", ""en"")"),"Has been used, the taste is not strong, good quality blue next try, the taste does not stimulate, comfortable")</f>
        <v>Has been used, the taste is not strong, good quality blue next try, the taste does not stimulate, comfortable</v>
      </c>
    </row>
    <row r="8727">
      <c r="A8727" s="1">
        <v>5.0</v>
      </c>
      <c r="B8727" s="1" t="s">
        <v>8673</v>
      </c>
      <c r="C8727" t="str">
        <f>IFERROR(__xludf.DUMMYFUNCTION("GOOGLETRANSLATE(B8727, ""zh"", ""en"")"),"very suitable. Two days after delivery orders, logistics took seven days, very quickly. 250mm thin foot, wear suitable shoes unexpected, us8.5M length width are exactly n. Foot width w, may be selected.")</f>
        <v>very suitable. Two days after delivery orders, logistics took seven days, very quickly. 250mm thin foot, wear suitable shoes unexpected, us8.5M length width are exactly n. Foot width w, may be selected.</v>
      </c>
    </row>
    <row r="8728">
      <c r="A8728" s="1">
        <v>5.0</v>
      </c>
      <c r="B8728" s="1" t="s">
        <v>8674</v>
      </c>
      <c r="C8728" t="str">
        <f>IFERROR(__xludf.DUMMYFUNCTION("GOOGLETRANSLATE(B8728, ""zh"", ""en"")"),"Cute, easy to use my wife very much!")</f>
        <v>Cute, easy to use my wife very much!</v>
      </c>
    </row>
    <row r="8729">
      <c r="A8729" s="1">
        <v>5.0</v>
      </c>
      <c r="B8729" s="1" t="s">
        <v>8675</v>
      </c>
      <c r="C8729" t="str">
        <f>IFERROR(__xludf.DUMMYFUNCTION("GOOGLETRANSLATE(B8729, ""zh"", ""en"")"),"It's good Adidas sports shoes 41 yards, the shoes 8 a little bit slightly larger, but the impact is very small, everyday use can be regarded as very suitable for basic")</f>
        <v>It's good Adidas sports shoes 41 yards, the shoes 8 a little bit slightly larger, but the impact is very small, everyday use can be regarded as very suitable for basic</v>
      </c>
    </row>
    <row r="8730">
      <c r="A8730" s="1">
        <v>5.0</v>
      </c>
      <c r="B8730" s="1" t="s">
        <v>8676</v>
      </c>
      <c r="C8730" t="str">
        <f>IFERROR(__xludf.DUMMYFUNCTION("GOOGLETRANSLATE(B8730, ""zh"", ""en"")"),"Value for money sleeping bag is very soft, washed the same type. Baby wear comfortable, does not affect the stand. Already recommended to friends. Unfortunately it rises. Sights or to start it on!")</f>
        <v>Value for money sleeping bag is very soft, washed the same type. Baby wear comfortable, does not affect the stand. Already recommended to friends. Unfortunately it rises. Sights or to start it on!</v>
      </c>
    </row>
    <row r="8731">
      <c r="A8731" s="1">
        <v>5.0</v>
      </c>
      <c r="B8731" s="1" t="s">
        <v>8677</v>
      </c>
      <c r="C8731" t="str">
        <f>IFERROR(__xludf.DUMMYFUNCTION("GOOGLETRANSLATE(B8731, ""zh"", ""en"")"),"Good shoes a few days earlier than expected arrival time to buy 6 yards, larger, 5.5 yards should be just, fat feet 38 can only buy large do not buy small, lightweight and comfortable to wear, but also significantly small feet, for the first time scouring"&amp;" the sea shoes, affordable, very satisfied.")</f>
        <v>Good shoes a few days earlier than expected arrival time to buy 6 yards, larger, 5.5 yards should be just, fat feet 38 can only buy large do not buy small, lightweight and comfortable to wear, but also significantly small feet, for the first time scouring the sea shoes, affordable, very satisfied.</v>
      </c>
    </row>
    <row r="8732">
      <c r="A8732" s="1">
        <v>5.0</v>
      </c>
      <c r="B8732" s="1" t="s">
        <v>8678</v>
      </c>
      <c r="C8732" t="str">
        <f>IFERROR(__xludf.DUMMYFUNCTION("GOOGLETRANSLATE(B8732, ""zh"", ""en"")"),"Worth the wait to send over from the UK, one week or soon also, for the first time to listen to much, a bit stuffy, a greater improvement after a few hours, especially bass strong, there will be no feeling of boom head. Baoji look forward to after effects"&amp;". Headphone cable is very long, for the one line of Sennheiser, the effect is very good. A lot cheaper than the state line.")</f>
        <v>Worth the wait to send over from the UK, one week or soon also, for the first time to listen to much, a bit stuffy, a greater improvement after a few hours, especially bass strong, there will be no feeling of boom head. Baoji look forward to after effects. Headphone cable is very long, for the one line of Sennheiser, the effect is very good. A lot cheaper than the state line.</v>
      </c>
    </row>
    <row r="8733">
      <c r="A8733" s="1">
        <v>5.0</v>
      </c>
      <c r="B8733" s="1" t="s">
        <v>8679</v>
      </c>
      <c r="C8733" t="str">
        <f>IFERROR(__xludf.DUMMYFUNCTION("GOOGLETRANSLATE(B8733, ""zh"", ""en"")"),"Very very good, the right size. Very very good, the right size.")</f>
        <v>Very very good, the right size. Very very good, the right size.</v>
      </c>
    </row>
    <row r="8734">
      <c r="A8734" s="1">
        <v>5.0</v>
      </c>
      <c r="B8734" s="1" t="s">
        <v>8680</v>
      </c>
      <c r="C8734" t="str">
        <f>IFERROR(__xludf.DUMMYFUNCTION("GOOGLETRANSLATE(B8734, ""zh"", ""en"")"),"Cost-effective cost-effective")</f>
        <v>Cost-effective cost-effective</v>
      </c>
    </row>
    <row r="8735">
      <c r="A8735" s="1">
        <v>5.0</v>
      </c>
      <c r="B8735" s="1" t="s">
        <v>8681</v>
      </c>
      <c r="C8735" t="str">
        <f>IFERROR(__xludf.DUMMYFUNCTION("GOOGLETRANSLATE(B8735, ""zh"", ""en"")"),"Insulation effect is slightly worse, but the children have been using with just")</f>
        <v>Insulation effect is slightly worse, but the children have been using with just</v>
      </c>
    </row>
    <row r="8736">
      <c r="A8736" s="1">
        <v>5.0</v>
      </c>
      <c r="B8736" s="1" t="s">
        <v>8682</v>
      </c>
      <c r="C8736" t="str">
        <f>IFERROR(__xludf.DUMMYFUNCTION("GOOGLETRANSLATE(B8736, ""zh"", ""en"")"),"Very comfortable shoes logistics less than seven days, was satisfied, comfortable shoes, counter 1400 yuan +, normal wear 37.5 yards, to buy 39, too big, but can wear")</f>
        <v>Very comfortable shoes logistics less than seven days, was satisfied, comfortable shoes, counter 1400 yuan +, normal wear 37.5 yards, to buy 39, too big, but can wear</v>
      </c>
    </row>
    <row r="8737">
      <c r="A8737" s="1">
        <v>2.0</v>
      </c>
      <c r="B8737" s="1" t="s">
        <v>8683</v>
      </c>
      <c r="C8737" t="str">
        <f>IFERROR(__xludf.DUMMYFUNCTION("GOOGLETRANSLATE(B8737, ""zh"", ""en"")"),"Size is too large size is too large, more relaxed.")</f>
        <v>Size is too large size is too large, more relaxed.</v>
      </c>
    </row>
    <row r="8738">
      <c r="A8738" s="1">
        <v>3.0</v>
      </c>
      <c r="B8738" s="1" t="s">
        <v>8684</v>
      </c>
      <c r="C8738" t="str">
        <f>IFERROR(__xludf.DUMMYFUNCTION("GOOGLETRANSLATE(B8738, ""zh"", ""en"")"),"173 is too small, the standard figure! S code has been purchased overseas, belts why this is so small, a good tight, uncomfortable, buy small!")</f>
        <v>173 is too small, the standard figure! S code has been purchased overseas, belts why this is so small, a good tight, uncomfortable, buy small!</v>
      </c>
    </row>
    <row r="8739">
      <c r="A8739" s="1">
        <v>3.0</v>
      </c>
      <c r="B8739" s="1" t="s">
        <v>8685</v>
      </c>
      <c r="C8739" t="str">
        <f>IFERROR(__xludf.DUMMYFUNCTION("GOOGLETRANSLATE(B8739, ""zh"", ""en"")"),"Work worrying, Dominica produced either bought here, are suspected to be fake. All kinds of thread and excess glue dancing, or a good quality of my heavenly. This brand before another pair of Chinese-made, perfect.")</f>
        <v>Work worrying, Dominica produced either bought here, are suspected to be fake. All kinds of thread and excess glue dancing, or a good quality of my heavenly. This brand before another pair of Chinese-made, perfect.</v>
      </c>
    </row>
    <row r="8740">
      <c r="A8740" s="1">
        <v>1.0</v>
      </c>
      <c r="B8740" s="1" t="s">
        <v>8686</v>
      </c>
      <c r="C8740" t="str">
        <f>IFERROR(__xludf.DUMMYFUNCTION("GOOGLETRANSLATE(B8740, ""zh"", ""en"")"),"You do not buy domestic nowhere repair. Less than a year is bad, the country can only repair the state line, this can not repair, nor to Amazon repair. This product scrap it. We do not buy, no sale was horrible.")</f>
        <v>You do not buy domestic nowhere repair. Less than a year is bad, the country can only repair the state line, this can not repair, nor to Amazon repair. This product scrap it. We do not buy, no sale was horrible.</v>
      </c>
    </row>
    <row r="8741">
      <c r="A8741" s="1">
        <v>1.0</v>
      </c>
      <c r="B8741" s="1" t="s">
        <v>8687</v>
      </c>
      <c r="C8741" t="str">
        <f>IFERROR(__xludf.DUMMYFUNCTION("GOOGLETRANSLATE(B8741, ""zh"", ""en"")"),"No quality is not skin, the skin is very hard, use a half months, the skin is broken. 😓")</f>
        <v>No quality is not skin, the skin is very hard, use a half months, the skin is broken. 😓</v>
      </c>
    </row>
    <row r="8742">
      <c r="A8742" s="1">
        <v>1.0</v>
      </c>
      <c r="B8742" s="1" t="s">
        <v>8688</v>
      </c>
      <c r="C8742" t="str">
        <f>IFERROR(__xludf.DUMMYFUNCTION("GOOGLETRANSLATE(B8742, ""zh"", ""en"")"),"Ge foot when walking appearance, workmanship, style are good, the disadvantage is too hard vamp stitching, Ge foot when walking, too uncomfortable.")</f>
        <v>Ge foot when walking appearance, workmanship, style are good, the disadvantage is too hard vamp stitching, Ge foot when walking, too uncomfortable.</v>
      </c>
    </row>
    <row r="8743">
      <c r="A8743" s="1">
        <v>4.0</v>
      </c>
      <c r="B8743" s="1" t="s">
        <v>8689</v>
      </c>
      <c r="C8743" t="str">
        <f>IFERROR(__xludf.DUMMYFUNCTION("GOOGLETRANSLATE(B8743, ""zh"", ""en"")"),"Fortunately, this thing should also be daily water table, I often wear red Sink faucets, washing clothes into the water (about 7-8CM certainly not for a long time), all right. Because of the dial is easy to wear plastic flowers. Month difference of about "&amp;"5-7 seconds.")</f>
        <v>Fortunately, this thing should also be daily water table, I often wear red Sink faucets, washing clothes into the water (about 7-8CM certainly not for a long time), all right. Because of the dial is easy to wear plastic flowers. Month difference of about 5-7 seconds.</v>
      </c>
    </row>
    <row r="8744">
      <c r="A8744" s="1">
        <v>4.0</v>
      </c>
      <c r="B8744" s="1" t="s">
        <v>8690</v>
      </c>
      <c r="C8744" t="str">
        <f>IFERROR(__xludf.DUMMYFUNCTION("GOOGLETRANSLATE(B8744, ""zh"", ""en"")"),". I think the look out, Bluetooth mode is a little sand sand sounds")</f>
        <v>. I think the look out, Bluetooth mode is a little sand sand sounds</v>
      </c>
    </row>
    <row r="8745">
      <c r="A8745" s="1">
        <v>4.0</v>
      </c>
      <c r="B8745" s="1" t="s">
        <v>8691</v>
      </c>
      <c r="C8745" t="str">
        <f>IFERROR(__xludf.DUMMYFUNCTION("GOOGLETRANSLATE(B8745, ""zh"", ""en"")"),"Lid lid thin thin, worried about a long time will cover not tight!")</f>
        <v>Lid lid thin thin, worried about a long time will cover not tight!</v>
      </c>
    </row>
    <row r="8746">
      <c r="A8746" s="1">
        <v>4.0</v>
      </c>
      <c r="B8746" s="1" t="s">
        <v>8692</v>
      </c>
      <c r="C8746" t="str">
        <f>IFERROR(__xludf.DUMMYFUNCTION("GOOGLETRANSLATE(B8746, ""zh"", ""en"")"),"After drawing the inside of the collection price $ 100 to the order. Basin surface is brushed, it may consider wear")</f>
        <v>After drawing the inside of the collection price $ 100 to the order. Basin surface is brushed, it may consider wear</v>
      </c>
    </row>
    <row r="8747">
      <c r="A8747" s="1">
        <v>4.0</v>
      </c>
      <c r="B8747" s="1" t="s">
        <v>8693</v>
      </c>
      <c r="C8747" t="str">
        <f>IFERROR(__xludf.DUMMYFUNCTION("GOOGLETRANSLATE(B8747, ""zh"", ""en"")"),"still alright. Wash a few times, feel a bit a bit worse. Slightly larger than the normal size of a little small, but the overall fit.")</f>
        <v>still alright. Wash a few times, feel a bit a bit worse. Slightly larger than the normal size of a little small, but the overall fit.</v>
      </c>
    </row>
    <row r="8748">
      <c r="A8748" s="1">
        <v>5.0</v>
      </c>
      <c r="B8748" s="1" t="s">
        <v>8694</v>
      </c>
      <c r="C8748" t="str">
        <f>IFERROR(__xludf.DUMMYFUNCTION("GOOGLETRANSLATE(B8748, ""zh"", ""en"")"),"Overall satisfaction kettle size for a baby, but also easy to handle with a small holding your baby to drink water, insulation effect in general, after all, is a suction cup")</f>
        <v>Overall satisfaction kettle size for a baby, but also easy to handle with a small holding your baby to drink water, insulation effect in general, after all, is a suction cup</v>
      </c>
    </row>
    <row r="8749">
      <c r="A8749" s="1">
        <v>5.0</v>
      </c>
      <c r="B8749" s="1" t="s">
        <v>8695</v>
      </c>
      <c r="C8749" t="str">
        <f>IFERROR(__xludf.DUMMYFUNCTION("GOOGLETRANSLATE(B8749, ""zh"", ""en"")"),"Great shoes to faster than expected, in the middle there was a little mistake, but finally successfully get the shoes. Amazon first pair of shoes, sports shoes usually wear 36, the other wear shoes 35; buy 4M US big kids (35.5) just right")</f>
        <v>Great shoes to faster than expected, in the middle there was a little mistake, but finally successfully get the shoes. Amazon first pair of shoes, sports shoes usually wear 36, the other wear shoes 35; buy 4M US big kids (35.5) just right</v>
      </c>
    </row>
    <row r="8750">
      <c r="A8750" s="1">
        <v>5.0</v>
      </c>
      <c r="B8750" s="1" t="s">
        <v>8696</v>
      </c>
      <c r="C8750" t="str">
        <f>IFERROR(__xludf.DUMMYFUNCTION("GOOGLETRANSLATE(B8750, ""zh"", ""en"")"),"Worth buying good quality, with more than six months, satisfaction")</f>
        <v>Worth buying good quality, with more than six months, satisfaction</v>
      </c>
    </row>
    <row r="8751">
      <c r="A8751" s="1">
        <v>5.0</v>
      </c>
      <c r="B8751" s="1" t="s">
        <v>8697</v>
      </c>
      <c r="C8751" t="str">
        <f>IFERROR(__xludf.DUMMYFUNCTION("GOOGLETRANSLATE(B8751, ""zh"", ""en"")"),"Good size fit, good fabric, hipster, wearing a very sexy.")</f>
        <v>Good size fit, good fabric, hipster, wearing a very sexy.</v>
      </c>
    </row>
    <row r="8752">
      <c r="A8752" s="1">
        <v>5.0</v>
      </c>
      <c r="B8752" s="1" t="s">
        <v>8698</v>
      </c>
      <c r="C8752" t="str">
        <f>IFERROR(__xludf.DUMMYFUNCTION("GOOGLETRANSLATE(B8752, ""zh"", ""en"")"),"Size size is accurate, authentic, never turn the car overseas purchase")</f>
        <v>Size size is accurate, authentic, never turn the car overseas purchase</v>
      </c>
    </row>
    <row r="8753">
      <c r="A8753" s="1">
        <v>5.0</v>
      </c>
      <c r="B8753" s="1" t="s">
        <v>8699</v>
      </c>
      <c r="C8753" t="str">
        <f>IFERROR(__xludf.DUMMYFUNCTION("GOOGLETRANSLATE(B8753, ""zh"", ""en"")"),"Good delivery speed. Cheap. But things did not open sealed inside the bag tore strange. Nothing more questions.")</f>
        <v>Good delivery speed. Cheap. But things did not open sealed inside the bag tore strange. Nothing more questions.</v>
      </c>
    </row>
    <row r="8754">
      <c r="A8754" s="1">
        <v>5.0</v>
      </c>
      <c r="B8754" s="1" t="s">
        <v>2477</v>
      </c>
      <c r="C8754" t="str">
        <f>IFERROR(__xludf.DUMMYFUNCTION("GOOGLETRANSLATE(B8754, ""zh"", ""en"")"),"Not bad")</f>
        <v>Not bad</v>
      </c>
    </row>
    <row r="8755">
      <c r="A8755" s="1">
        <v>5.0</v>
      </c>
      <c r="B8755" s="1" t="s">
        <v>8700</v>
      </c>
      <c r="C8755" t="str">
        <f>IFERROR(__xludf.DUMMYFUNCTION("GOOGLETRANSLATE(B8755, ""zh"", ""en"")"),"Worthy of recommendation received looked under the profile, from Canada, a large bottle, promotional price to buy cost-effective. Elders to eat, eat some time to look at the effect of the supplement daily vegetables, fruits, inadequate protein intake of t"&amp;"he vitamin should be OK, a lot of trace elements, it is worth starting. recommend! Also bought Centrum men over age 50, compared to an increase of red blood cells is the result of a large proportion of the relevant vitamin, you can try.")</f>
        <v>Worthy of recommendation received looked under the profile, from Canada, a large bottle, promotional price to buy cost-effective. Elders to eat, eat some time to look at the effect of the supplement daily vegetables, fruits, inadequate protein intake of the vitamin should be OK, a lot of trace elements, it is worth starting. recommend! Also bought Centrum men over age 50, compared to an increase of red blood cells is the result of a large proportion of the relevant vitamin, you can try.</v>
      </c>
    </row>
    <row r="8756">
      <c r="A8756" s="1">
        <v>5.0</v>
      </c>
      <c r="B8756" s="1" t="s">
        <v>8701</v>
      </c>
      <c r="C8756" t="str">
        <f>IFERROR(__xludf.DUMMYFUNCTION("GOOGLETRANSLATE(B8756, ""zh"", ""en"")"),"Great bass very fond of money headphones, the bass is very shocking.")</f>
        <v>Great bass very fond of money headphones, the bass is very shocking.</v>
      </c>
    </row>
    <row r="8757">
      <c r="A8757" s="1">
        <v>5.0</v>
      </c>
      <c r="B8757" s="1" t="s">
        <v>8702</v>
      </c>
      <c r="C8757" t="str">
        <f>IFERROR(__xludf.DUMMYFUNCTION("GOOGLETRANSLATE(B8757, ""zh"", ""en"")"),"The real thing is a look at the real thing, much better than many a treasure buy fakes! Great texture!")</f>
        <v>The real thing is a look at the real thing, much better than many a treasure buy fakes! Great texture!</v>
      </c>
    </row>
    <row r="8758">
      <c r="A8758" s="1">
        <v>5.0</v>
      </c>
      <c r="B8758" s="1" t="s">
        <v>8703</v>
      </c>
      <c r="C8758" t="str">
        <f>IFERROR(__xludf.DUMMYFUNCTION("GOOGLETRANSLATE(B8758, ""zh"", ""en"")"),"I like a good, comfortable to wear.")</f>
        <v>I like a good, comfortable to wear.</v>
      </c>
    </row>
    <row r="8759">
      <c r="A8759" s="1">
        <v>5.0</v>
      </c>
      <c r="B8759" s="1" t="s">
        <v>8704</v>
      </c>
      <c r="C8759" t="str">
        <f>IFERROR(__xludf.DUMMYFUNCTION("GOOGLETRANSLATE(B8759, ""zh"", ""en"")"),"Good insulation effect is good, like")</f>
        <v>Good insulation effect is good, like</v>
      </c>
    </row>
    <row r="8760">
      <c r="A8760" s="1">
        <v>5.0</v>
      </c>
      <c r="B8760" s="1" t="s">
        <v>8705</v>
      </c>
      <c r="C8760" t="str">
        <f>IFERROR(__xludf.DUMMYFUNCTION("GOOGLETRANSLATE(B8760, ""zh"", ""en"")"),"Baby self-designed eating recommendation, rational design")</f>
        <v>Baby self-designed eating recommendation, rational design</v>
      </c>
    </row>
    <row r="8761">
      <c r="A8761" s="1">
        <v>5.0</v>
      </c>
      <c r="B8761" s="1" t="s">
        <v>8706</v>
      </c>
      <c r="C8761" t="str">
        <f>IFERROR(__xludf.DUMMYFUNCTION("GOOGLETRANSLATE(B8761, ""zh"", ""en"")"),"Affordable cheap as a disk with data, usually read very little, enough on the line, much cheaper than domestic key")</f>
        <v>Affordable cheap as a disk with data, usually read very little, enough on the line, much cheaper than domestic key</v>
      </c>
    </row>
    <row r="8762">
      <c r="A8762" s="1">
        <v>5.0</v>
      </c>
      <c r="B8762" s="1" t="s">
        <v>8707</v>
      </c>
      <c r="C8762" t="str">
        <f>IFERROR(__xludf.DUMMYFUNCTION("GOOGLETRANSLATE(B8762, ""zh"", ""en"")"),"Easy to use, better than the thermos bottle insulation! I bought several spare, very easy to use.")</f>
        <v>Easy to use, better than the thermos bottle insulation! I bought several spare, very easy to use.</v>
      </c>
    </row>
    <row r="8763">
      <c r="A8763" s="1">
        <v>5.0</v>
      </c>
      <c r="B8763" s="1" t="s">
        <v>8708</v>
      </c>
      <c r="C8763" t="str">
        <f>IFERROR(__xludf.DUMMYFUNCTION("GOOGLETRANSLATE(B8763, ""zh"", ""en"")"),"Good elasticity, comfort is also good, as long as it is not spinning, durable, temporarily can not ball. Good elasticity. Can not afford to stall. Prices in line with expectations")</f>
        <v>Good elasticity, comfort is also good, as long as it is not spinning, durable, temporarily can not ball. Good elasticity. Can not afford to stall. Prices in line with expectations</v>
      </c>
    </row>
    <row r="8764">
      <c r="A8764" s="1">
        <v>5.0</v>
      </c>
      <c r="B8764" s="1" t="s">
        <v>8709</v>
      </c>
      <c r="C8764" t="str">
        <f>IFERROR(__xludf.DUMMYFUNCTION("GOOGLETRANSLATE(B8764, ""zh"", ""en"")"),"Good election XXL T-shirt 174-85 fit, soft fabric")</f>
        <v>Good election XXL T-shirt 174-85 fit, soft fabric</v>
      </c>
    </row>
    <row r="8765">
      <c r="A8765" s="1">
        <v>5.0</v>
      </c>
      <c r="B8765" s="1" t="s">
        <v>8710</v>
      </c>
      <c r="C8765" t="str">
        <f>IFERROR(__xludf.DUMMYFUNCTION("GOOGLETRANSLATE(B8765, ""zh"", ""en"")"),"K240S licensed premium price to buy value, the sense of hearing is very special, very close to the human voice is very warm very comfortable, loose powder of bass sound is also very good for me, the best is simply great sound imaging the")</f>
        <v>K240S licensed premium price to buy value, the sense of hearing is very special, very close to the human voice is very warm very comfortable, loose powder of bass sound is also very good for me, the best is simply great sound imaging the</v>
      </c>
    </row>
    <row r="8766">
      <c r="A8766" s="1">
        <v>5.0</v>
      </c>
      <c r="B8766" s="1" t="s">
        <v>8711</v>
      </c>
      <c r="C8766" t="str">
        <f>IFERROR(__xludf.DUMMYFUNCTION("GOOGLETRANSLATE(B8766, ""zh"", ""en"")"),"Thin does not feel so thick on the picture. Keep in April and May wear it. 181,87 L wear just right.")</f>
        <v>Thin does not feel so thick on the picture. Keep in April and May wear it. 181,87 L wear just right.</v>
      </c>
    </row>
    <row r="8767">
      <c r="A8767" s="1">
        <v>5.0</v>
      </c>
      <c r="B8767" s="1" t="s">
        <v>8712</v>
      </c>
      <c r="C8767" t="str">
        <f>IFERROR(__xludf.DUMMYFUNCTION("GOOGLETRANSLATE(B8767, ""zh"", ""en"")"),"170 / 60kg 30 * 30 positive fit, pants really good praise, comfort with a kind of pants for most of the domestic variety crotch jeans tight 170 / 60kg 30 * 30 positive fit, pants really good praise, a kind of pants comfort with respect to most of the dome"&amp;"stic variety crotch tight jeans")</f>
        <v>170 / 60kg 30 * 30 positive fit, pants really good praise, comfort with a kind of pants for most of the domestic variety crotch jeans tight 170 / 60kg 30 * 30 positive fit, pants really good praise, a kind of pants comfort with respect to most of the domestic variety crotch tight jeans</v>
      </c>
    </row>
    <row r="8768">
      <c r="A8768" s="1">
        <v>5.0</v>
      </c>
      <c r="B8768" s="1" t="s">
        <v>8713</v>
      </c>
      <c r="C8768" t="str">
        <f>IFERROR(__xludf.DUMMYFUNCTION("GOOGLETRANSLATE(B8768, ""zh"", ""en"")"),"26 cm foot shoe size to buy 41 online shopping difficult to grasp, my feet net 26 cm long, 41 to buy this very appropriate, not too wide shoes, for reference. Quite soft black leather texture, satisfaction")</f>
        <v>26 cm foot shoe size to buy 41 online shopping difficult to grasp, my feet net 26 cm long, 41 to buy this very appropriate, not too wide shoes, for reference. Quite soft black leather texture, satisfaction</v>
      </c>
    </row>
    <row r="8769">
      <c r="A8769" s="1">
        <v>5.0</v>
      </c>
      <c r="B8769" s="1" t="s">
        <v>8714</v>
      </c>
      <c r="C8769" t="str">
        <f>IFERROR(__xludf.DUMMYFUNCTION("GOOGLETRANSLATE(B8769, ""zh"", ""en"")"),"Good-looking than 100 dollars to start! ! ! Simply value! sg series look good. Work is also very good")</f>
        <v>Good-looking than 100 dollars to start! ! ! Simply value! sg series look good. Work is also very good</v>
      </c>
    </row>
    <row r="8770">
      <c r="A8770" s="1">
        <v>2.0</v>
      </c>
      <c r="B8770" s="1" t="s">
        <v>8715</v>
      </c>
      <c r="C8770" t="str">
        <f>IFERROR(__xludf.DUMMYFUNCTION("GOOGLETRANSLATE(B8770, ""zh"", ""en"")"),"The appearance of small flaws noise high efficiency, with a down feeling better quality than similar products made in China. Award is given only because the appearance of blemishes. Packaging no problem at all, only show products crazy at the time of ship"&amp;"ment of flaw has existed, knowing that there are still flaws shipped across the oceans?")</f>
        <v>The appearance of small flaws noise high efficiency, with a down feeling better quality than similar products made in China. Award is given only because the appearance of blemishes. Packaging no problem at all, only show products crazy at the time of shipment of flaw has existed, knowing that there are still flaws shipped across the oceans?</v>
      </c>
    </row>
    <row r="8771">
      <c r="A8771" s="1">
        <v>3.0</v>
      </c>
      <c r="B8771" s="1" t="s">
        <v>8716</v>
      </c>
      <c r="C8771" t="str">
        <f>IFERROR(__xludf.DUMMYFUNCTION("GOOGLETRANSLATE(B8771, ""zh"", ""en"")"),"Disappointed some yellow stickers on both sides stick some glitter dust fibers ah insensitive arm in some places do not always flash")</f>
        <v>Disappointed some yellow stickers on both sides stick some glitter dust fibers ah insensitive arm in some places do not always flash</v>
      </c>
    </row>
    <row r="8772">
      <c r="A8772" s="1">
        <v>3.0</v>
      </c>
      <c r="B8772" s="1" t="s">
        <v>8717</v>
      </c>
      <c r="C8772" t="str">
        <f>IFERROR(__xludf.DUMMYFUNCTION("GOOGLETRANSLATE(B8772, ""zh"", ""en"")"),"I feel very good summer to buy too much too thick terry socks also drunk")</f>
        <v>I feel very good summer to buy too much too thick terry socks also drunk</v>
      </c>
    </row>
    <row r="8773">
      <c r="A8773" s="1">
        <v>1.0</v>
      </c>
      <c r="B8773" s="1" t="s">
        <v>8718</v>
      </c>
      <c r="C8773" t="str">
        <f>IFERROR(__xludf.DUMMYFUNCTION("GOOGLETRANSLATE(B8773, ""zh"", ""en"")"),"Mislead the consumer model of this belt is pressed with broken skin, definitely not natural leather belt! ! ! Durability do not know, do not expect too good. Amazon really learned the ""Romans"" of the essence.")</f>
        <v>Mislead the consumer model of this belt is pressed with broken skin, definitely not natural leather belt! ! ! Durability do not know, do not expect too good. Amazon really learned the "Romans" of the essence.</v>
      </c>
    </row>
    <row r="8774">
      <c r="A8774" s="1">
        <v>1.0</v>
      </c>
      <c r="B8774" s="1" t="s">
        <v>8719</v>
      </c>
      <c r="C8774" t="str">
        <f>IFERROR(__xludf.DUMMYFUNCTION("GOOGLETRANSLATE(B8774, ""zh"", ""en"")"),"Tables are not allowed to go away are not allowed, there is a problem lid closed, feeling loose, I do not know true and false")</f>
        <v>Tables are not allowed to go away are not allowed, there is a problem lid closed, feeling loose, I do not know true and false</v>
      </c>
    </row>
    <row r="8775">
      <c r="A8775" s="1">
        <v>4.0</v>
      </c>
      <c r="B8775" s="1" t="s">
        <v>8720</v>
      </c>
      <c r="C8775" t="str">
        <f>IFERROR(__xludf.DUMMYFUNCTION("GOOGLETRANSLATE(B8775, ""zh"", ""en"")"),"Good good quality workmanship")</f>
        <v>Good good quality workmanship</v>
      </c>
    </row>
    <row r="8776">
      <c r="A8776" s="1">
        <v>4.0</v>
      </c>
      <c r="B8776" s="1" t="s">
        <v>8721</v>
      </c>
      <c r="C8776" t="str">
        <f>IFERROR(__xludf.DUMMYFUNCTION("GOOGLETRANSLATE(B8776, ""zh"", ""en"")"),"Sure enough self 171cm, 75kg. Do not buy too fat on the body, a slim, good thing I is not a big belly, can wear.")</f>
        <v>Sure enough self 171cm, 75kg. Do not buy too fat on the body, a slim, good thing I is not a big belly, can wear.</v>
      </c>
    </row>
    <row r="8777">
      <c r="A8777" s="1">
        <v>4.0</v>
      </c>
      <c r="B8777" s="1" t="s">
        <v>8722</v>
      </c>
      <c r="C8777" t="str">
        <f>IFERROR(__xludf.DUMMYFUNCTION("GOOGLETRANSLATE(B8777, ""zh"", ""en"")"),"Very simple style is very simple and very generous shape, just give everything their children to ruining. Well unfortunately, I do not know where to repair this machine.")</f>
        <v>Very simple style is very simple and very generous shape, just give everything their children to ruining. Well unfortunately, I do not know where to repair this machine.</v>
      </c>
    </row>
    <row r="8778">
      <c r="A8778" s="1">
        <v>4.0</v>
      </c>
      <c r="B8778" s="1" t="s">
        <v>8723</v>
      </c>
      <c r="C8778" t="str">
        <f>IFERROR(__xludf.DUMMYFUNCTION("GOOGLETRANSLATE(B8778, ""zh"", ""en"")"),"China will hold the power switch and do not meet, you want to convert. No charge Cup")</f>
        <v>China will hold the power switch and do not meet, you want to convert. No charge Cup</v>
      </c>
    </row>
    <row r="8779">
      <c r="A8779" s="1">
        <v>4.0</v>
      </c>
      <c r="B8779" s="1" t="s">
        <v>8724</v>
      </c>
      <c r="C8779" t="str">
        <f>IFERROR(__xludf.DUMMYFUNCTION("GOOGLETRANSLATE(B8779, ""zh"", ""en"")"),"Shoe color is bright, if a little sedate like shoes very lightweight, more suitable for fat feet, walking very comfortable!")</f>
        <v>Shoe color is bright, if a little sedate like shoes very lightweight, more suitable for fat feet, walking very comfortable!</v>
      </c>
    </row>
    <row r="8780">
      <c r="A8780" s="1">
        <v>5.0</v>
      </c>
      <c r="B8780" s="1" t="s">
        <v>8725</v>
      </c>
      <c r="C8780" t="str">
        <f>IFERROR(__xludf.DUMMYFUNCTION("GOOGLETRANSLATE(B8780, ""zh"", ""en"")"),"Cup lighter cup is still pretty light, good")</f>
        <v>Cup lighter cup is still pretty light, good</v>
      </c>
    </row>
    <row r="8781">
      <c r="A8781" s="1">
        <v>5.0</v>
      </c>
      <c r="B8781" s="1" t="s">
        <v>8726</v>
      </c>
      <c r="C8781" t="str">
        <f>IFERROR(__xludf.DUMMYFUNCTION("GOOGLETRANSLATE(B8781, ""zh"", ""en"")"),"Pretty looks like, finally bought")</f>
        <v>Pretty looks like, finally bought</v>
      </c>
    </row>
    <row r="8782">
      <c r="A8782" s="1">
        <v>5.0</v>
      </c>
      <c r="B8782" s="1" t="s">
        <v>8727</v>
      </c>
      <c r="C8782" t="str">
        <f>IFERROR(__xludf.DUMMYFUNCTION("GOOGLETRANSLATE(B8782, ""zh"", ""en"")"),"Highlights the high cost super, really cost-effective")</f>
        <v>Highlights the high cost super, really cost-effective</v>
      </c>
    </row>
    <row r="8783">
      <c r="A8783" s="1">
        <v>5.0</v>
      </c>
      <c r="B8783" s="1" t="s">
        <v>8728</v>
      </c>
      <c r="C8783" t="str">
        <f>IFERROR(__xludf.DUMMYFUNCTION("GOOGLETRANSLATE(B8783, ""zh"", ""en"")"),"High price is very good, very like, nine days to go.")</f>
        <v>High price is very good, very like, nine days to go.</v>
      </c>
    </row>
    <row r="8784">
      <c r="A8784" s="1">
        <v>5.0</v>
      </c>
      <c r="B8784" s="1" t="s">
        <v>8729</v>
      </c>
      <c r="C8784" t="str">
        <f>IFERROR(__xludf.DUMMYFUNCTION("GOOGLETRANSLATE(B8784, ""zh"", ""en"")"),"Amazon trustworthy for the first time to buy things on Amazon, Leverage quality of the goods, the carrier's domestic SF little longer, can play the whole 90 minutes.")</f>
        <v>Amazon trustworthy for the first time to buy things on Amazon, Leverage quality of the goods, the carrier's domestic SF little longer, can play the whole 90 minutes.</v>
      </c>
    </row>
    <row r="8785">
      <c r="A8785" s="1">
        <v>5.0</v>
      </c>
      <c r="B8785" s="1" t="s">
        <v>8730</v>
      </c>
      <c r="C8785" t="str">
        <f>IFERROR(__xludf.DUMMYFUNCTION("GOOGLETRANSLATE(B8785, ""zh"", ""en"")"),"Mug is very light and easy to carry Oh, outer wear, is not the kind of thin. Good insulation effect")</f>
        <v>Mug is very light and easy to carry Oh, outer wear, is not the kind of thin. Good insulation effect</v>
      </c>
    </row>
    <row r="8786">
      <c r="A8786" s="1">
        <v>5.0</v>
      </c>
      <c r="B8786" s="1" t="s">
        <v>8731</v>
      </c>
      <c r="C8786" t="str">
        <f>IFERROR(__xludf.DUMMYFUNCTION("GOOGLETRANSLATE(B8786, ""zh"", ""en"")"),"Fine filter, use is also very convenient.")</f>
        <v>Fine filter, use is also very convenient.</v>
      </c>
    </row>
    <row r="8787">
      <c r="A8787" s="1">
        <v>5.0</v>
      </c>
      <c r="B8787" s="1" t="s">
        <v>8732</v>
      </c>
      <c r="C8787" t="str">
        <f>IFERROR(__xludf.DUMMYFUNCTION("GOOGLETRANSLATE(B8787, ""zh"", ""en"")"),"Comfortable and affordable. Use the effect is very satisfied with raindrop pattern pretty cool, but the price is only less than half of the store.")</f>
        <v>Comfortable and affordable. Use the effect is very satisfied with raindrop pattern pretty cool, but the price is only less than half of the store.</v>
      </c>
    </row>
    <row r="8788">
      <c r="A8788" s="1">
        <v>5.0</v>
      </c>
      <c r="B8788" s="1" t="s">
        <v>8733</v>
      </c>
      <c r="C8788" t="str">
        <f>IFERROR(__xludf.DUMMYFUNCTION("GOOGLETRANSLATE(B8788, ""zh"", ""en"")"),"Yes. Overseas buy something a game of luck, bad luck will rub a little less what accessories to buy a 2 times better luck. Mixing valve quality is very good. Shell material is also good.")</f>
        <v>Yes. Overseas buy something a game of luck, bad luck will rub a little less what accessories to buy a 2 times better luck. Mixing valve quality is very good. Shell material is also good.</v>
      </c>
    </row>
    <row r="8789">
      <c r="A8789" s="1">
        <v>5.0</v>
      </c>
      <c r="B8789" s="1" t="s">
        <v>8734</v>
      </c>
      <c r="C8789" t="str">
        <f>IFERROR(__xludf.DUMMYFUNCTION("GOOGLETRANSLATE(B8789, ""zh"", ""en"")"),"I believe their choice to get food, really experience, to watch, I think the most important thing at the time, what three needles have no practical significance, this table is definitely kind of texture than the pictures look, but I personally feel very s"&amp;"oft leather belt , I do not want others to say hard")</f>
        <v>I believe their choice to get food, really experience, to watch, I think the most important thing at the time, what three needles have no practical significance, this table is definitely kind of texture than the pictures look, but I personally feel very soft leather belt , I do not want others to say hard</v>
      </c>
    </row>
    <row r="8790">
      <c r="A8790" s="1">
        <v>5.0</v>
      </c>
      <c r="B8790" s="1" t="s">
        <v>8735</v>
      </c>
      <c r="C8790" t="str">
        <f>IFERROR(__xludf.DUMMYFUNCTION("GOOGLETRANSLATE(B8790, ""zh"", ""en"")"),"The high cost cortex very well, is rather long, the width of the right.")</f>
        <v>The high cost cortex very well, is rather long, the width of the right.</v>
      </c>
    </row>
    <row r="8791">
      <c r="A8791" s="1">
        <v>5.0</v>
      </c>
      <c r="B8791" s="1" t="s">
        <v>8736</v>
      </c>
      <c r="C8791" t="str">
        <f>IFERROR(__xludf.DUMMYFUNCTION("GOOGLETRANSLATE(B8791, ""zh"", ""en"")"),"Good clothes, good clothes, I love it. 170 height, weight 80 kg. Suitable L code")</f>
        <v>Good clothes, good clothes, I love it. 170 height, weight 80 kg. Suitable L code</v>
      </c>
    </row>
    <row r="8792">
      <c r="A8792" s="1">
        <v>5.0</v>
      </c>
      <c r="B8792" s="1" t="s">
        <v>8737</v>
      </c>
      <c r="C8792" t="str">
        <f>IFERROR(__xludf.DUMMYFUNCTION("GOOGLETRANSLATE(B8792, ""zh"", ""en"")"),"Good sound is very good.")</f>
        <v>Good sound is very good.</v>
      </c>
    </row>
    <row r="8793">
      <c r="A8793" s="1">
        <v>5.0</v>
      </c>
      <c r="B8793" s="1" t="s">
        <v>8738</v>
      </c>
      <c r="C8793" t="str">
        <f>IFERROR(__xludf.DUMMYFUNCTION("GOOGLETRANSLATE(B8793, ""zh"", ""en"")"),"Hope is genuine pen read a lot of knowledge about the pen before buying! After receiving the kind! Still very good! Also in line with all the features of the Internet! But the work does not look particularly fine! After all, is not the end! Very satisfied"&amp;" with the shopping! The only do not understand is why only Parker pens such a big difference at home and abroad! Other brands did not!")</f>
        <v>Hope is genuine pen read a lot of knowledge about the pen before buying! After receiving the kind! Still very good! Also in line with all the features of the Internet! But the work does not look particularly fine! After all, is not the end! Very satisfied with the shopping! The only do not understand is why only Parker pens such a big difference at home and abroad! Other brands did not!</v>
      </c>
    </row>
    <row r="8794">
      <c r="A8794" s="1">
        <v>5.0</v>
      </c>
      <c r="B8794" s="1" t="s">
        <v>8739</v>
      </c>
      <c r="C8794" t="str">
        <f>IFERROR(__xludf.DUMMYFUNCTION("GOOGLETRANSLATE(B8794, ""zh"", ""en"")"),"Good performance, high color value, strict packaging, worth buying! &lt;Div id = ""video-block-RSSPDC41J70WK"" class = ""a-section a-spacing-small a-spacing-top-mini video-block""&gt; &lt;/ div&gt; &lt;input type = ""hidden"" name = """" value = ""https://images-cn.ssl-"&amp;"images-amazon.com/images/I/A1XB-YRy4oS.mp4"" class = ""video-url""&gt; &lt;input type = ""hidden"" name = """" value = "" https://images-cn.ssl-images-amazon.com/images/I/814ZARBvqgS.png ""class ="" video-slate-img-url ""&gt; &amp; nbsp; The fountain is useful, you ca"&amp;"n do both 3-8 sec and hot water. Temperature adjustment function is useful, instant noodles, tea, hot water can be covered, very practical. Yen value is also high. Performance is also doing well, has been used for one month, without any problems, the only"&amp;" downside is that the higher the water temperature is set slower, the flow will be unstable, but this may be a common problem with both hot water dispenser. Overall, still worth buying.")</f>
        <v>Good performance, high color value, strict packaging, worth buying! &lt;Div id = "video-block-RSSPDC41J70WK" class = "a-section a-spacing-small a-spacing-top-mini video-block"&gt; &lt;/ div&gt; &lt;input type = "hidden" name = "" value = "https://images-cn.ssl-images-amazon.com/images/I/A1XB-YRy4oS.mp4" class = "video-url"&gt; &lt;input type = "hidden" name = "" value = " https://images-cn.ssl-images-amazon.com/images/I/814ZARBvqgS.png "class =" video-slate-img-url "&gt; &amp; nbsp; The fountain is useful, you can do both 3-8 sec and hot water. Temperature adjustment function is useful, instant noodles, tea, hot water can be covered, very practical. Yen value is also high. Performance is also doing well, has been used for one month, without any problems, the only downside is that the higher the water temperature is set slower, the flow will be unstable, but this may be a common problem with both hot water dispenser. Overall, still worth buying.</v>
      </c>
    </row>
    <row r="8795">
      <c r="A8795" s="1">
        <v>5.0</v>
      </c>
      <c r="B8795" s="1" t="s">
        <v>8740</v>
      </c>
      <c r="C8795" t="str">
        <f>IFERROR(__xludf.DUMMYFUNCTION("GOOGLETRANSLATE(B8795, ""zh"", ""en"")"),"Upgrading a clear comparative second generation, larger and more comfortable ear, one hears the sound quality is also out of the progress, overseas purchase price plus tax is also cheaper.")</f>
        <v>Upgrading a clear comparative second generation, larger and more comfortable ear, one hears the sound quality is also out of the progress, overseas purchase price plus tax is also cheaper.</v>
      </c>
    </row>
    <row r="8796">
      <c r="A8796" s="1">
        <v>5.0</v>
      </c>
      <c r="B8796" s="1" t="s">
        <v>8741</v>
      </c>
      <c r="C8796" t="str">
        <f>IFERROR(__xludf.DUMMYFUNCTION("GOOGLETRANSLATE(B8796, ""zh"", ""en"")"),"Thirty-eight yards feet very comfortable thirty-eight foot, and comfortable. Color is not the most satisfactory, but the price is more beautiful.")</f>
        <v>Thirty-eight yards feet very comfortable thirty-eight foot, and comfortable. Color is not the most satisfactory, but the price is more beautiful.</v>
      </c>
    </row>
    <row r="8797">
      <c r="A8797" s="1">
        <v>5.0</v>
      </c>
      <c r="B8797" s="1" t="s">
        <v>8742</v>
      </c>
      <c r="C8797" t="str">
        <f>IFERROR(__xludf.DUMMYFUNCTION("GOOGLETRANSLATE(B8797, ""zh"", ""en"")"),"1. The quality of service quality Amazon Archeopteryx Archeopteryx us Beijing, moderately cold winter, everyone is a down jacket. Originally, I want to buy a down jacket, in the street met two retired uncle, wearing light jackets LT Archeopteryx. Asked ab"&amp;"out, are complaining: Oh really too hot, did not expect so thin, so light down jacket, turned out to be hot to death ...... asked the reason to buy, the same two people say: all-in-law to buy , do not tell us the price, do not explain so thin, winter can "&amp;"Kang Zhu of Beijing. So, no nerve to ask in-law, because the law is definitely a good buy. So, I bought this cotton padded C: thin, feel good, 10 degrees below zero at night no problem. World-recognized brand name, not a bubble derives its name. I do not "&amp;"know when the wind is not useful. In short, this cold tolerance of cotton, equivalent to the domestic or thick down jacket, similar to the weight of the domestic light down jacket, silk fabrics feel similar. 2. Amazon's service level, the world is no doub"&amp;"t, however, because it is difficult to carry out the domestic business, so, refunds or exchanges for too long, been criticized, was Jingdong squeezed. Recent sudden major changes: sales, service, we are closer to Britain, America, Germany Amazon Amazon. A"&amp;"mazon hopes to enter China as soon as possible, say, Amazon China officially launched the Chinese market.")</f>
        <v>1. The quality of service quality Amazon Archeopteryx Archeopteryx us Beijing, moderately cold winter, everyone is a down jacket. Originally, I want to buy a down jacket, in the street met two retired uncle, wearing light jackets LT Archeopteryx. Asked about, are complaining: Oh really too hot, did not expect so thin, so light down jacket, turned out to be hot to death ...... asked the reason to buy, the same two people say: all-in-law to buy , do not tell us the price, do not explain so thin, winter can Kang Zhu of Beijing. So, no nerve to ask in-law, because the law is definitely a good buy. So, I bought this cotton padded C: thin, feel good, 10 degrees below zero at night no problem. World-recognized brand name, not a bubble derives its name. I do not know when the wind is not useful. In short, this cold tolerance of cotton, equivalent to the domestic or thick down jacket, similar to the weight of the domestic light down jacket, silk fabrics feel similar. 2. Amazon's service level, the world is no doubt, however, because it is difficult to carry out the domestic business, so, refunds or exchanges for too long, been criticized, was Jingdong squeezed. Recent sudden major changes: sales, service, we are closer to Britain, America, Germany Amazon Amazon. Amazon hopes to enter China as soon as possible, say, Amazon China officially launched the Chinese market.</v>
      </c>
    </row>
    <row r="8798">
      <c r="A8798" s="1">
        <v>5.0</v>
      </c>
      <c r="B8798" s="1" t="s">
        <v>8743</v>
      </c>
      <c r="C8798" t="str">
        <f>IFERROR(__xludf.DUMMYFUNCTION("GOOGLETRANSLATE(B8798, ""zh"", ""en"")"),"Practical. Buy one.")</f>
        <v>Practical. Buy one.</v>
      </c>
    </row>
    <row r="8799">
      <c r="A8799" s="1">
        <v>5.0</v>
      </c>
      <c r="B8799" s="1" t="s">
        <v>8744</v>
      </c>
      <c r="C8799" t="str">
        <f>IFERROR(__xludf.DUMMYFUNCTION("GOOGLETRANSLATE(B8799, ""zh"", ""en"")"),"County is a good Qiuku Kazakhstan, to the child's.")</f>
        <v>County is a good Qiuku Kazakhstan, to the child's.</v>
      </c>
    </row>
    <row r="8800">
      <c r="A8800" s="1">
        <v>5.0</v>
      </c>
      <c r="B8800" s="1" t="s">
        <v>8745</v>
      </c>
      <c r="C8800" t="str">
        <f>IFERROR(__xludf.DUMMYFUNCTION("GOOGLETRANSLATE(B8800, ""zh"", ""en"")"),"brooks BROOKS new generation of top new generation of cushioning shock! Absorb the advantages of other brands, cushioning more pronounced compared to 14 generations, looks better look. Is a little expensive ... Also, I bought 2E and slightly older than th"&amp;"e routine a little loose, had to wear 27 yards, the actual 26.5 yards they like.")</f>
        <v>brooks BROOKS new generation of top new generation of cushioning shock! Absorb the advantages of other brands, cushioning more pronounced compared to 14 generations, looks better look. Is a little expensive ... Also, I bought 2E and slightly older than the routine a little loose, had to wear 27 yards, the actual 26.5 yards they like.</v>
      </c>
    </row>
    <row r="8801">
      <c r="A8801" s="1">
        <v>5.0</v>
      </c>
      <c r="B8801" s="1" t="s">
        <v>8746</v>
      </c>
      <c r="C8801" t="str">
        <f>IFERROR(__xludf.DUMMYFUNCTION("GOOGLETRANSLATE(B8801, ""zh"", ""en"")"),"Silky texture and soft shells, affordable texture soft cotton silky, upper body comfortable soft shells, filling the high-end")</f>
        <v>Silky texture and soft shells, affordable texture soft cotton silky, upper body comfortable soft shells, filling the high-end</v>
      </c>
    </row>
    <row r="8802">
      <c r="A8802" s="1">
        <v>2.0</v>
      </c>
      <c r="B8802" s="1" t="s">
        <v>8747</v>
      </c>
      <c r="C8802" t="str">
        <f>IFERROR(__xludf.DUMMYFUNCTION("GOOGLETRANSLATE(B8802, ""zh"", ""en"")"),"Get our hands on a little disappointed, we note jumped to a stop is not recommended to buy, get our hands on the material is not OK, plus crack itself too thin.")</f>
        <v>Get our hands on a little disappointed, we note jumped to a stop is not recommended to buy, get our hands on the material is not OK, plus crack itself too thin.</v>
      </c>
    </row>
    <row r="8803">
      <c r="A8803" s="1">
        <v>3.0</v>
      </c>
      <c r="B8803" s="1" t="s">
        <v>8748</v>
      </c>
      <c r="C8803" t="str">
        <f>IFERROR(__xludf.DUMMYFUNCTION("GOOGLETRANSLATE(B8803, ""zh"", ""en"")"),"Note that size have been bought in number, do not want this really a small number.")</f>
        <v>Note that size have been bought in number, do not want this really a small number.</v>
      </c>
    </row>
    <row r="8804">
      <c r="A8804" s="1">
        <v>3.0</v>
      </c>
      <c r="B8804" s="1" t="s">
        <v>8749</v>
      </c>
      <c r="C8804" t="str">
        <f>IFERROR(__xludf.DUMMYFUNCTION("GOOGLETRANSLATE(B8804, ""zh"", ""en"")"),"A big collar very fast delivery, the European S code, just right. The relative size that is too large. I 174,69. General sub-code I wear M or L. Clothes material is very thick, but it feels very cool to wear on the body. Amazon prices of goods is very con"&amp;"vincing. Collar too, she wore not as good as normal wear round neck comfortable, bought on the throw cupboard to eat gray. Never pass through.")</f>
        <v>A big collar very fast delivery, the European S code, just right. The relative size that is too large. I 174,69. General sub-code I wear M or L. Clothes material is very thick, but it feels very cool to wear on the body. Amazon prices of goods is very convincing. Collar too, she wore not as good as normal wear round neck comfortable, bought on the throw cupboard to eat gray. Never pass through.</v>
      </c>
    </row>
    <row r="8805">
      <c r="A8805" s="1">
        <v>1.0</v>
      </c>
      <c r="B8805" s="1" t="s">
        <v>8750</v>
      </c>
      <c r="C8805" t="str">
        <f>IFERROR(__xludf.DUMMYFUNCTION("GOOGLETRANSLATE(B8805, ""zh"", ""en"")"),"Pungent smell pungent odor, may be false.")</f>
        <v>Pungent smell pungent odor, may be false.</v>
      </c>
    </row>
    <row r="8806">
      <c r="A8806" s="1">
        <v>1.0</v>
      </c>
      <c r="B8806" s="1" t="s">
        <v>8751</v>
      </c>
      <c r="C8806" t="str">
        <f>IFERROR(__xludf.DUMMYFUNCTION("GOOGLETRANSLATE(B8806, ""zh"", ""en"")"),"Poor Poor Poor Amazon, the thinking should be more reliable than a treasure, the result is the most disappointing one. From order to receipt of goods it took almost a month, which also telephone reminders three or four times. There are things a deep sense"&amp;" of smell.")</f>
        <v>Poor Poor Poor Amazon, the thinking should be more reliable than a treasure, the result is the most disappointing one. From order to receipt of goods it took almost a month, which also telephone reminders three or four times. There are things a deep sense of smell.</v>
      </c>
    </row>
    <row r="8807">
      <c r="A8807" s="1">
        <v>1.0</v>
      </c>
      <c r="B8807" s="1" t="s">
        <v>8752</v>
      </c>
      <c r="C8807" t="str">
        <f>IFERROR(__xludf.DUMMYFUNCTION("GOOGLETRANSLATE(B8807, ""zh"", ""en"")"),"Damaged annoying whenever you receive are damaged, people speechless, but for need, really troublesome, mailed three consecutive break, should have a great relationship with the courier, please consider changing the courier company.")</f>
        <v>Damaged annoying whenever you receive are damaged, people speechless, but for need, really troublesome, mailed three consecutive break, should have a great relationship with the courier, please consider changing the courier company.</v>
      </c>
    </row>
    <row r="8808">
      <c r="A8808" s="1">
        <v>4.0</v>
      </c>
      <c r="B8808" s="1" t="s">
        <v>8753</v>
      </c>
      <c r="C8808" t="str">
        <f>IFERROR(__xludf.DUMMYFUNCTION("GOOGLETRANSLATE(B8808, ""zh"", ""en"")"),"Can also just start with a little plastic taste empty glass of shake up in rustling sound insulation effect is very good but the water is still very hot afternoon cup sets and stickers are fine can easily back up")</f>
        <v>Can also just start with a little plastic taste empty glass of shake up in rustling sound insulation effect is very good but the water is still very hot afternoon cup sets and stickers are fine can easily back up</v>
      </c>
    </row>
    <row r="8809">
      <c r="A8809" s="1">
        <v>4.0</v>
      </c>
      <c r="B8809" s="1" t="s">
        <v>8754</v>
      </c>
      <c r="C8809" t="str">
        <f>IFERROR(__xludf.DUMMYFUNCTION("GOOGLETRANSLATE(B8809, ""zh"", ""en"")"),"Marshall Brain residual powder prices there, the sound quality is not evaluated. Marshall Brain residual powder one. Try prime services, advance to the office for a week. Super praise")</f>
        <v>Marshall Brain residual powder prices there, the sound quality is not evaluated. Marshall Brain residual powder one. Try prime services, advance to the office for a week. Super praise</v>
      </c>
    </row>
    <row r="8810">
      <c r="A8810" s="1">
        <v>4.0</v>
      </c>
      <c r="B8810" s="1" t="s">
        <v>8755</v>
      </c>
      <c r="C8810" t="str">
        <f>IFERROR(__xludf.DUMMYFUNCTION("GOOGLETRANSLATE(B8810, ""zh"", ""en"")"),"Made in China Made in China, it feels good")</f>
        <v>Made in China Made in China, it feels good</v>
      </c>
    </row>
    <row r="8811">
      <c r="A8811" s="1">
        <v>4.0</v>
      </c>
      <c r="B8811" s="1" t="s">
        <v>8756</v>
      </c>
      <c r="C8811" t="str">
        <f>IFERROR(__xludf.DUMMYFUNCTION("GOOGLETRANSLATE(B8811, ""zh"", ""en"")"),"This shoe than a pair of 1180 yuan to buy the new star of 2799 domestic models with more comfortable, more Naicao! Domestic shoes 40 yards, 25 feet long, wide 9.8, ECCO shoes have 40 yards right, there is too large a little! Sports shoes Nike41.5 or 42 ya"&amp;"rds, Adi 41 yards, feet wide back fat, and general sports shoes ECCO length is just 40 yards, but is narrow, a width of just 41 yards, but often differ length. The shoes in the store tried, just 41 yards, just the amount of foot custom length and width, l"&amp;"ength and width are appropriate, so I chose this cost is not very high, nor is it love these shoes! Just try a little, Mimi da, comfortable, thick winter with jeans and pulling the wind! The price is still high, not high-waisted looks imposing! This pair "&amp;"of shoes in the country has a new, and more than 2,000 discount off a little, but the cheaper it is now one-third the price of buying new is impossible! This money can only buy last year! More want to buy is the price that section 3599 black models, hesit"&amp;"ated at the end of June, more than 1100 prices, the reasons for hesitation is that it does not want more black shoes, white shoes, and suddenly rose to 2,000 after two weeks yuan, has been seen to fall, there is no patience to wait, in fact, this high wai"&amp;"st shoes better cost price of around 1000 words! Both shoes are good, prices are the United States, an important reason chose this shoe is that these shoes all black, really chilling! But a few days later and bought the price of the Amazon to buy things r"&amp;"eally speechless!")</f>
        <v>This shoe than a pair of 1180 yuan to buy the new star of 2799 domestic models with more comfortable, more Naicao! Domestic shoes 40 yards, 25 feet long, wide 9.8, ECCO shoes have 40 yards right, there is too large a little! Sports shoes Nike41.5 or 42 yards, Adi 41 yards, feet wide back fat, and general sports shoes ECCO length is just 40 yards, but is narrow, a width of just 41 yards, but often differ length. The shoes in the store tried, just 41 yards, just the amount of foot custom length and width, length and width are appropriate, so I chose this cost is not very high, nor is it love these shoes! Just try a little, Mimi da, comfortable, thick winter with jeans and pulling the wind! The price is still high, not high-waisted looks imposing! This pair of shoes in the country has a new, and more than 2,000 discount off a little, but the cheaper it is now one-third the price of buying new is impossible! This money can only buy last year! More want to buy is the price that section 3599 black models, hesitated at the end of June, more than 1100 prices, the reasons for hesitation is that it does not want more black shoes, white shoes, and suddenly rose to 2,000 after two weeks yuan, has been seen to fall, there is no patience to wait, in fact, this high waist shoes better cost price of around 1000 words! Both shoes are good, prices are the United States, an important reason chose this shoe is that these shoes all black, really chilling! But a few days later and bought the price of the Amazon to buy things really speechless!</v>
      </c>
    </row>
    <row r="8812">
      <c r="A8812" s="1">
        <v>4.0</v>
      </c>
      <c r="B8812" s="1" t="s">
        <v>8757</v>
      </c>
      <c r="C8812" t="str">
        <f>IFERROR(__xludf.DUMMYFUNCTION("GOOGLETRANSLATE(B8812, ""zh"", ""en"")"),"Thread durability is black anodized aluminum surface not wear problem. Screwed a few times white, and estimated time will be a long grind. Other aspects are good it is mainly directed at the exterior buy")</f>
        <v>Thread durability is black anodized aluminum surface not wear problem. Screwed a few times white, and estimated time will be a long grind. Other aspects are good it is mainly directed at the exterior buy</v>
      </c>
    </row>
    <row r="8813">
      <c r="A8813" s="1">
        <v>5.0</v>
      </c>
      <c r="B8813" s="1" t="s">
        <v>8758</v>
      </c>
      <c r="C8813" t="str">
        <f>IFERROR(__xludf.DUMMYFUNCTION("GOOGLETRANSLATE(B8813, ""zh"", ""en"")"),"V-MODA crossfade 1 generation of very good headphones! Just started wearing a bit and chuck pressure head, but wearing almost a month or so much better. In hot weather, when to buy, the road can not wear, too hot! Indoors and subway songs very well. Seemi"&amp;"ngly no noise reduction, there is no time to sing, the next person spade very clear. Because there are holes next to the headset, songs sound bigger, the next person also heard very clearly ... (¯ (work) ¯) made very good ear, and hexagonal design looks g"&amp;"ood, does not push the ear, that beats me is solo3 has not, because too clip ears. The main with this V-moda. Clear voice, the accent is not particularly large, it will not open to the maximum boom head, midrange equalizer. Not particularly good, but I'm "&amp;"very satisfied. Moreover, the headset model, on the road hardly met the same paragraph. If you can, the white hat is also good. Of course, we are looking forward to crossfade II, into a right price. It is bad: 1, battery capacity is small, about 8-10 hour"&amp;"s with a battery indicator on the phone 100%, a little while two jumps to 80%. ............ so concerned about the power of something else to consider. 2, buttons, plastic feel strong, is the kind of hard plastic, play, and volume keys get very close, to "&amp;"use some time to be familiar with. but, if the headset out of power, plug in the headphone cable, sound quality is also quite good.")</f>
        <v>V-MODA crossfade 1 generation of very good headphones! Just started wearing a bit and chuck pressure head, but wearing almost a month or so much better. In hot weather, when to buy, the road can not wear, too hot! Indoors and subway songs very well. Seemingly no noise reduction, there is no time to sing, the next person spade very clear. Because there are holes next to the headset, songs sound bigger, the next person also heard very clearly ... (¯ (work) ¯) made very good ear, and hexagonal design looks good, does not push the ear, that beats me is solo3 has not, because too clip ears. The main with this V-moda. Clear voice, the accent is not particularly large, it will not open to the maximum boom head, midrange equalizer. Not particularly good, but I'm very satisfied. Moreover, the headset model, on the road hardly met the same paragraph. If you can, the white hat is also good. Of course, we are looking forward to crossfade II, into a right price. It is bad: 1, battery capacity is small, about 8-10 hours with a battery indicator on the phone 100%, a little while two jumps to 80%. ............ so concerned about the power of something else to consider. 2, buttons, plastic feel strong, is the kind of hard plastic, play, and volume keys get very close, to use some time to be familiar with. but, if the headset out of power, plug in the headphone cable, sound quality is also quite good.</v>
      </c>
    </row>
    <row r="8814">
      <c r="A8814" s="1">
        <v>5.0</v>
      </c>
      <c r="B8814" s="1" t="s">
        <v>8759</v>
      </c>
      <c r="C8814" t="str">
        <f>IFERROR(__xludf.DUMMYFUNCTION("GOOGLETRANSLATE(B8814, ""zh"", ""en"")"),"Lines weave and former socks really have to try again next time different thicker socks, this price I am very satisfied, ready to go to Japan when several reentry")</f>
        <v>Lines weave and former socks really have to try again next time different thicker socks, this price I am very satisfied, ready to go to Japan when several reentry</v>
      </c>
    </row>
    <row r="8815">
      <c r="A8815" s="1">
        <v>5.0</v>
      </c>
      <c r="B8815" s="1" t="s">
        <v>8760</v>
      </c>
      <c r="C8815" t="str">
        <f>IFERROR(__xludf.DUMMYFUNCTION("GOOGLETRANSLATE(B8815, ""zh"", ""en"")"),"Comfortable to wear very comfortable")</f>
        <v>Comfortable to wear very comfortable</v>
      </c>
    </row>
    <row r="8816">
      <c r="A8816" s="1">
        <v>5.0</v>
      </c>
      <c r="B8816" s="1" t="s">
        <v>8761</v>
      </c>
      <c r="C8816" t="str">
        <f>IFERROR(__xludf.DUMMYFUNCTION("GOOGLETRANSLATE(B8816, ""zh"", ""en"")"),"invicta 8932 watch good, excellent quality, good water resistance, good-looking appearance")</f>
        <v>invicta 8932 watch good, excellent quality, good water resistance, good-looking appearance</v>
      </c>
    </row>
    <row r="8817">
      <c r="A8817" s="1">
        <v>5.0</v>
      </c>
      <c r="B8817" s="1" t="s">
        <v>8762</v>
      </c>
      <c r="C8817" t="str">
        <f>IFERROR(__xludf.DUMMYFUNCTION("GOOGLETRANSLATE(B8817, ""zh"", ""en"")"),"Is large enough to buy a large size, comes with playing a lot of water! Sure enough, great, high, but very light, easy to use!")</f>
        <v>Is large enough to buy a large size, comes with playing a lot of water! Sure enough, great, high, but very light, easy to use!</v>
      </c>
    </row>
    <row r="8818">
      <c r="A8818" s="1">
        <v>5.0</v>
      </c>
      <c r="B8818" s="1" t="s">
        <v>8763</v>
      </c>
      <c r="C8818" t="str">
        <f>IFERROR(__xludf.DUMMYFUNCTION("GOOGLETRANSLATE(B8818, ""zh"", ""en"")"),"Satisfied with very good clothes, the price is very satisfied!")</f>
        <v>Satisfied with very good clothes, the price is very satisfied!</v>
      </c>
    </row>
    <row r="8819">
      <c r="A8819" s="1">
        <v>5.0</v>
      </c>
      <c r="B8819" s="1" t="s">
        <v>8764</v>
      </c>
      <c r="C8819" t="str">
        <f>IFERROR(__xludf.DUMMYFUNCTION("GOOGLETRANSLATE(B8819, ""zh"", ""en"")"),"Shouben want to get good measuring a bad track, but it is better than too long. Because I do not support usb3.0 computer so it can not test speed. In short arrayed in that price, the price is very high. But in China there is no warranty is very boring.")</f>
        <v>Shouben want to get good measuring a bad track, but it is better than too long. Because I do not support usb3.0 computer so it can not test speed. In short arrayed in that price, the price is very high. But in China there is no warranty is very boring.</v>
      </c>
    </row>
    <row r="8820">
      <c r="A8820" s="1">
        <v>5.0</v>
      </c>
      <c r="B8820" s="1" t="s">
        <v>8765</v>
      </c>
      <c r="C8820" t="str">
        <f>IFERROR(__xludf.DUMMYFUNCTION("GOOGLETRANSLATE(B8820, ""zh"", ""en"")"),"Baton! awesome! Good texture, very comfortable to wear, the right size, it is recommended!")</f>
        <v>Baton! awesome! Good texture, very comfortable to wear, the right size, it is recommended!</v>
      </c>
    </row>
    <row r="8821">
      <c r="A8821" s="1">
        <v>5.0</v>
      </c>
      <c r="B8821" s="1" t="s">
        <v>8766</v>
      </c>
      <c r="C8821" t="str">
        <f>IFERROR(__xludf.DUMMYFUNCTION("GOOGLETRANSLATE(B8821, ""zh"", ""en"")"),"Well the price is quite high")</f>
        <v>Well the price is quite high</v>
      </c>
    </row>
    <row r="8822">
      <c r="A8822" s="1">
        <v>5.0</v>
      </c>
      <c r="B8822" s="1" t="s">
        <v>8767</v>
      </c>
      <c r="C8822" t="str">
        <f>IFERROR(__xludf.DUMMYFUNCTION("GOOGLETRANSLATE(B8822, ""zh"", ""en"")"),"Size just 176cm 60kg chose 30wx30l length just right waist just wear Qiuku")</f>
        <v>Size just 176cm 60kg chose 30wx30l length just right waist just wear Qiuku</v>
      </c>
    </row>
    <row r="8823">
      <c r="A8823" s="1">
        <v>5.0</v>
      </c>
      <c r="B8823" s="1" t="s">
        <v>8768</v>
      </c>
      <c r="C8823" t="str">
        <f>IFERROR(__xludf.DUMMYFUNCTION("GOOGLETRANSLATE(B8823, ""zh"", ""en"")"),"This filter was then Pitt worth buying. Packaging very carefully, only this point is worth praise. Origin for Germany, Great Britain, Luxembourg.")</f>
        <v>This filter was then Pitt worth buying. Packaging very carefully, only this point is worth praise. Origin for Germany, Great Britain, Luxembourg.</v>
      </c>
    </row>
    <row r="8824">
      <c r="A8824" s="1">
        <v>5.0</v>
      </c>
      <c r="B8824" s="1" t="s">
        <v>8769</v>
      </c>
      <c r="C8824" t="str">
        <f>IFERROR(__xludf.DUMMYFUNCTION("GOOGLETRANSLATE(B8824, ""zh"", ""en"")"),"Great shopping experience in addition to packing some simple, pot does not have any flaws, starting today is not the lowest price but also a very good price, and with a total of eleven days, and hope to improve transport efficiency and some packaging, ove"&amp;"rall very satisfaction")</f>
        <v>Great shopping experience in addition to packing some simple, pot does not have any flaws, starting today is not the lowest price but also a very good price, and with a total of eleven days, and hope to improve transport efficiency and some packaging, overall very satisfaction</v>
      </c>
    </row>
    <row r="8825">
      <c r="A8825" s="1">
        <v>5.0</v>
      </c>
      <c r="B8825" s="1" t="s">
        <v>8770</v>
      </c>
      <c r="C8825" t="str">
        <f>IFERROR(__xludf.DUMMYFUNCTION("GOOGLETRANSLATE(B8825, ""zh"", ""en"")"),"Baton! Feel good pen, writing slippery, like its thickness and workmanship, stick!")</f>
        <v>Baton! Feel good pen, writing slippery, like its thickness and workmanship, stick!</v>
      </c>
    </row>
    <row r="8826">
      <c r="A8826" s="1">
        <v>5.0</v>
      </c>
      <c r="B8826" s="1" t="s">
        <v>8771</v>
      </c>
      <c r="C8826" t="str">
        <f>IFERROR(__xludf.DUMMYFUNCTION("GOOGLETRANSLATE(B8826, ""zh"", ""en"")"),"Less than 1k to start. Values ​​do not buy his girlfriend, the first color conflict came to be impressed by the sound quality.")</f>
        <v>Less than 1k to start. Values ​​do not buy his girlfriend, the first color conflict came to be impressed by the sound quality.</v>
      </c>
    </row>
    <row r="8827">
      <c r="A8827" s="1">
        <v>5.0</v>
      </c>
      <c r="B8827" s="1" t="s">
        <v>8772</v>
      </c>
      <c r="C8827" t="str">
        <f>IFERROR(__xludf.DUMMYFUNCTION("GOOGLETRANSLATE(B8827, ""zh"", ""en"")"),"Also can look, or can, it is a bit small. I had to buy 43, 42 wearing this just")</f>
        <v>Also can look, or can, it is a bit small. I had to buy 43, 42 wearing this just</v>
      </c>
    </row>
    <row r="8828">
      <c r="A8828" s="1">
        <v>5.0</v>
      </c>
      <c r="B8828" s="1" t="s">
        <v>8773</v>
      </c>
      <c r="C8828" t="str">
        <f>IFERROR(__xludf.DUMMYFUNCTION("GOOGLETRANSLATE(B8828, ""zh"", ""en"")"),"Excellent product a cost-effective product: good texture, simple and elegant style, fine workmanship. The only downside is sent me the wrong color, but it does not affect my evaluation of this product!")</f>
        <v>Excellent product a cost-effective product: good texture, simple and elegant style, fine workmanship. The only downside is sent me the wrong color, but it does not affect my evaluation of this product!</v>
      </c>
    </row>
    <row r="8829">
      <c r="A8829" s="1">
        <v>5.0</v>
      </c>
      <c r="B8829" s="1" t="s">
        <v>8774</v>
      </c>
      <c r="C8829" t="str">
        <f>IFERROR(__xludf.DUMMYFUNCTION("GOOGLETRANSLATE(B8829, ""zh"", ""en"")"),"nice shoes The size is perfect, normally I take Ecco shoes for 43")</f>
        <v>nice shoes The size is perfect, normally I take Ecco shoes for 43</v>
      </c>
    </row>
    <row r="8830">
      <c r="A8830" s="1">
        <v>5.0</v>
      </c>
      <c r="B8830" s="1" t="s">
        <v>8775</v>
      </c>
      <c r="C8830" t="str">
        <f>IFERROR(__xludf.DUMMYFUNCTION("GOOGLETRANSLATE(B8830, ""zh"", ""en"")"),"British Naphtali English Naphtali 0075 watch watches exquisite workmanship, the use of materials, dial the atmosphere, the effect of wearing the full face.")</f>
        <v>British Naphtali English Naphtali 0075 watch watches exquisite workmanship, the use of materials, dial the atmosphere, the effect of wearing the full face.</v>
      </c>
    </row>
    <row r="8831">
      <c r="A8831" s="1">
        <v>5.0</v>
      </c>
      <c r="B8831" s="1" t="s">
        <v>8776</v>
      </c>
      <c r="C8831" t="str">
        <f>IFERROR(__xludf.DUMMYFUNCTION("GOOGLETRANSLATE(B8831, ""zh"", ""en"")"),"Perfect perfect, super-handsome")</f>
        <v>Perfect perfect, super-handsome</v>
      </c>
    </row>
    <row r="8832">
      <c r="A8832" s="1">
        <v>5.0</v>
      </c>
      <c r="B8832" s="1" t="s">
        <v>8777</v>
      </c>
      <c r="C8832" t="str">
        <f>IFERROR(__xludf.DUMMYFUNCTION("GOOGLETRANSLATE(B8832, ""zh"", ""en"")"),"Sound good sound good, reliable brand quality, consider giving the child also buy a")</f>
        <v>Sound good sound good, reliable brand quality, consider giving the child also buy a</v>
      </c>
    </row>
    <row r="8833">
      <c r="A8833" s="1">
        <v>5.0</v>
      </c>
      <c r="B8833" s="1" t="s">
        <v>5422</v>
      </c>
      <c r="C8833" t="str">
        <f>IFERROR(__xludf.DUMMYFUNCTION("GOOGLETRANSLATE(B8833, ""zh"", ""en"")"),"Thin section shoulder-bandwidth, there will be no decline in the problem.")</f>
        <v>Thin section shoulder-bandwidth, there will be no decline in the problem.</v>
      </c>
    </row>
    <row r="8834">
      <c r="A8834" s="1">
        <v>5.0</v>
      </c>
      <c r="B8834" s="1" t="s">
        <v>8778</v>
      </c>
      <c r="C8834" t="str">
        <f>IFERROR(__xludf.DUMMYFUNCTION("GOOGLETRANSLATE(B8834, ""zh"", ""en"")"),"CK name had long admired for a long time very comfortable underwear, this is the first time to buy CK underwear, so I was somewhat surprised, fabric soft, thin, completely subvert my impression modal concept, perhaps before buying it are false modal , thi"&amp;"s good luck, my waistline 77CM, selected M code is very fit, not loose not tight, very close, cut well, basically no ordinary underwear that need adjustment from time to time under the circumstances arise, but these pants too expensive some, like half of "&amp;"a day can play, later this buy cheaper next few trial")</f>
        <v>CK name had long admired for a long time very comfortable underwear, this is the first time to buy CK underwear, so I was somewhat surprised, fabric soft, thin, completely subvert my impression modal concept, perhaps before buying it are false modal , this good luck, my waistline 77CM, selected M code is very fit, not loose not tight, very close, cut well, basically no ordinary underwear that need adjustment from time to time under the circumstances arise, but these pants too expensive some, like half of a day can play, later this buy cheaper next few trial</v>
      </c>
    </row>
    <row r="8835">
      <c r="A8835" s="1">
        <v>2.0</v>
      </c>
      <c r="B8835" s="1" t="s">
        <v>8779</v>
      </c>
      <c r="C8835" t="str">
        <f>IFERROR(__xludf.DUMMYFUNCTION("GOOGLETRANSLATE(B8835, ""zh"", ""en"")"),"Praise should be genuine, but the particles are too bad to swallow")</f>
        <v>Praise should be genuine, but the particles are too bad to swallow</v>
      </c>
    </row>
    <row r="8836">
      <c r="A8836" s="1">
        <v>3.0</v>
      </c>
      <c r="B8836" s="1" t="s">
        <v>8780</v>
      </c>
      <c r="C8836" t="str">
        <f>IFERROR(__xludf.DUMMYFUNCTION("GOOGLETRANSLATE(B8836, ""zh"", ""en"")"),"Work okay fabrics and some fabrics generally work okay some general")</f>
        <v>Work okay fabrics and some fabrics generally work okay some general</v>
      </c>
    </row>
    <row r="8837">
      <c r="A8837" s="1">
        <v>3.0</v>
      </c>
      <c r="B8837" s="1" t="s">
        <v>8781</v>
      </c>
      <c r="C8837" t="str">
        <f>IFERROR(__xludf.DUMMYFUNCTION("GOOGLETRANSLATE(B8837, ""zh"", ""en"")"),"Fabric general fabrics in general, the US version is not bought, I heard even worse, I do not know the difference into what.")</f>
        <v>Fabric general fabrics in general, the US version is not bought, I heard even worse, I do not know the difference into what.</v>
      </c>
    </row>
    <row r="8838">
      <c r="A8838" s="1">
        <v>3.0</v>
      </c>
      <c r="B8838" s="1" t="s">
        <v>8782</v>
      </c>
      <c r="C8838" t="str">
        <f>IFERROR(__xludf.DUMMYFUNCTION("GOOGLETRANSLATE(B8838, ""zh"", ""en"")"),"250 European version does not recommend to buy 990 or 600 ohm version of the job")</f>
        <v>250 European version does not recommend to buy 990 or 600 ohm version of the job</v>
      </c>
    </row>
    <row r="8839">
      <c r="A8839" s="1">
        <v>1.0</v>
      </c>
      <c r="B8839" s="1" t="s">
        <v>8783</v>
      </c>
      <c r="C8839" t="str">
        <f>IFERROR(__xludf.DUMMYFUNCTION("GOOGLETRANSLATE(B8839, ""zh"", ""en"")"),"bumanyi four dress sizes also produced four countries are not the same election M, but the clothes are not satisfied with some small key not only to change clothes refund equal to the price of International bumanyi")</f>
        <v>bumanyi four dress sizes also produced four countries are not the same election M, but the clothes are not satisfied with some small key not only to change clothes refund equal to the price of International bumanyi</v>
      </c>
    </row>
    <row r="8840">
      <c r="A8840" s="1">
        <v>1.0</v>
      </c>
      <c r="B8840" s="1" t="s">
        <v>8784</v>
      </c>
      <c r="C8840" t="str">
        <f>IFERROR(__xludf.DUMMYFUNCTION("GOOGLETRANSLATE(B8840, ""zh"", ""en"")"),"Very disappointed with the shopping black fade even hair loss who can still believe that this is authentic? CK really heavy to wear for years to buy the black did not encounter such problems overseas Amazon purchase Should not give us a healthy shopping p"&amp;"latform it? Very disappointed or go to the store to buy more at ease! ! !")</f>
        <v>Very disappointed with the shopping black fade even hair loss who can still believe that this is authentic? CK really heavy to wear for years to buy the black did not encounter such problems overseas Amazon purchase Should not give us a healthy shopping platform it? Very disappointed or go to the store to buy more at ease! ! !</v>
      </c>
    </row>
    <row r="8841">
      <c r="A8841" s="1">
        <v>1.0</v>
      </c>
      <c r="B8841" s="1" t="s">
        <v>8785</v>
      </c>
      <c r="C8841" t="str">
        <f>IFERROR(__xludf.DUMMYFUNCTION("GOOGLETRANSLATE(B8841, ""zh"", ""en"")"),"Only 30 days warranty today is the first 70 days I received, lights broken. Customer service said only warranty purchased goods overseas for 30 days, so I can not solve.")</f>
        <v>Only 30 days warranty today is the first 70 days I received, lights broken. Customer service said only warranty purchased goods overseas for 30 days, so I can not solve.</v>
      </c>
    </row>
    <row r="8842">
      <c r="A8842" s="1">
        <v>4.0</v>
      </c>
      <c r="B8842" s="1" t="s">
        <v>8786</v>
      </c>
      <c r="C8842" t="str">
        <f>IFERROR(__xludf.DUMMYFUNCTION("GOOGLETRANSLATE(B8842, ""zh"", ""en"")"),"Okay 174,65, S code just an estimate M code a little more appropriate, the general quality of it, but yet")</f>
        <v>Okay 174,65, S code just an estimate M code a little more appropriate, the general quality of it, but yet</v>
      </c>
    </row>
    <row r="8843">
      <c r="A8843" s="1">
        <v>4.0</v>
      </c>
      <c r="B8843" s="1" t="s">
        <v>8787</v>
      </c>
      <c r="C8843" t="str">
        <f>IFERROR(__xludf.DUMMYFUNCTION("GOOGLETRANSLATE(B8843, ""zh"", ""en"")"),"Okay 16750 usually buy yardage m or l, and this just bought xs ha ha, inside the pants of black hair out of many, very soft fabric")</f>
        <v>Okay 16750 usually buy yardage m or l, and this just bought xs ha ha, inside the pants of black hair out of many, very soft fabric</v>
      </c>
    </row>
    <row r="8844">
      <c r="A8844" s="1">
        <v>4.0</v>
      </c>
      <c r="B8844" s="1" t="s">
        <v>8788</v>
      </c>
      <c r="C8844" t="str">
        <f>IFERROR(__xludf.DUMMYFUNCTION("GOOGLETRANSLATE(B8844, ""zh"", ""en"")"),"Always loved clarks shoes, good workmanship Away bit difficult to wear, elastic good tight, quality is no problem, no odor, appearance looks good, that is, I buy big yardage")</f>
        <v>Always loved clarks shoes, good workmanship Away bit difficult to wear, elastic good tight, quality is no problem, no odor, appearance looks good, that is, I buy big yardage</v>
      </c>
    </row>
    <row r="8845">
      <c r="A8845" s="1">
        <v>4.0</v>
      </c>
      <c r="B8845" s="1" t="s">
        <v>8789</v>
      </c>
      <c r="C8845" t="str">
        <f>IFERROR(__xludf.DUMMYFUNCTION("GOOGLETRANSLATE(B8845, ""zh"", ""en"")"),"Pretty good package package is also good, but that logo a bit to force the grid is not high, after all, not many people are now back, afraid and others hit the bag, that is a bit too large.")</f>
        <v>Pretty good package package is also good, but that logo a bit to force the grid is not high, after all, not many people are now back, afraid and others hit the bag, that is a bit too large.</v>
      </c>
    </row>
    <row r="8846">
      <c r="A8846" s="1">
        <v>5.0</v>
      </c>
      <c r="B8846" s="1" t="s">
        <v>8790</v>
      </c>
      <c r="C8846" t="str">
        <f>IFERROR(__xludf.DUMMYFUNCTION("GOOGLETRANSLATE(B8846, ""zh"", ""en"")"),"Very good good quality, is the box a little dirty")</f>
        <v>Very good good quality, is the box a little dirty</v>
      </c>
    </row>
    <row r="8847">
      <c r="A8847" s="1">
        <v>5.0</v>
      </c>
      <c r="B8847" s="1" t="s">
        <v>8791</v>
      </c>
      <c r="C8847" t="str">
        <f>IFERROR(__xludf.DUMMYFUNCTION("GOOGLETRANSLATE(B8847, ""zh"", ""en"")"),"Comfortable to wear very comfortable, good fabrics, elastic")</f>
        <v>Comfortable to wear very comfortable, good fabrics, elastic</v>
      </c>
    </row>
    <row r="8848">
      <c r="A8848" s="1">
        <v>5.0</v>
      </c>
      <c r="B8848" s="1" t="s">
        <v>8792</v>
      </c>
      <c r="C8848" t="str">
        <f>IFERROR(__xludf.DUMMYFUNCTION("GOOGLETRANSLATE(B8848, ""zh"", ""en"")"),"It seems difficult to cook tried green beans simmered porridge, night time, seven mature.")</f>
        <v>It seems difficult to cook tried green beans simmered porridge, night time, seven mature.</v>
      </c>
    </row>
    <row r="8849">
      <c r="A8849" s="1">
        <v>5.0</v>
      </c>
      <c r="B8849" s="1" t="s">
        <v>8793</v>
      </c>
      <c r="C8849" t="str">
        <f>IFERROR(__xludf.DUMMYFUNCTION("GOOGLETRANSLATE(B8849, ""zh"", ""en"")"),"There are color photos with real color a bit different, it should be a little biased gray")</f>
        <v>There are color photos with real color a bit different, it should be a little biased gray</v>
      </c>
    </row>
    <row r="8850">
      <c r="A8850" s="1">
        <v>5.0</v>
      </c>
      <c r="B8850" s="1" t="s">
        <v>8794</v>
      </c>
      <c r="C8850" t="str">
        <f>IFERROR(__xludf.DUMMYFUNCTION("GOOGLETRANSLATE(B8850, ""zh"", ""en"")"),"Tights good, good elasticity, comfort")</f>
        <v>Tights good, good elasticity, comfort</v>
      </c>
    </row>
    <row r="8851">
      <c r="A8851" s="1">
        <v>5.0</v>
      </c>
      <c r="B8851" s="1" t="s">
        <v>8795</v>
      </c>
      <c r="C8851" t="str">
        <f>IFERROR(__xludf.DUMMYFUNCTION("GOOGLETRANSLATE(B8851, ""zh"", ""en"")"),"Function usually casual wear, I 170,68 kg sprinkling")</f>
        <v>Function usually casual wear, I 170,68 kg sprinkling</v>
      </c>
    </row>
    <row r="8852">
      <c r="A8852" s="1">
        <v>5.0</v>
      </c>
      <c r="B8852" s="1" t="s">
        <v>8796</v>
      </c>
      <c r="C8852" t="str">
        <f>IFERROR(__xludf.DUMMYFUNCTION("GOOGLETRANSLATE(B8852, ""zh"", ""en"")"),"The high cost of fully automated, very convenient, with a few days to study a bit, full-bodied coffee fresh, but even the grinding transferred to the finest level, it seems not as before grinding coffee grounds from the point of view of a grinder so fine "&amp;". In addition the grease is not very thick, do not know if also with beans. Cost is very high, Lynx store price twice as expensive")</f>
        <v>The high cost of fully automated, very convenient, with a few days to study a bit, full-bodied coffee fresh, but even the grinding transferred to the finest level, it seems not as before grinding coffee grounds from the point of view of a grinder so fine . In addition the grease is not very thick, do not know if also with beans. Cost is very high, Lynx store price twice as expensive</v>
      </c>
    </row>
    <row r="8853">
      <c r="A8853" s="1">
        <v>5.0</v>
      </c>
      <c r="B8853" s="1" t="s">
        <v>8797</v>
      </c>
      <c r="C8853" t="str">
        <f>IFERROR(__xludf.DUMMYFUNCTION("GOOGLETRANSLATE(B8853, ""zh"", ""en"")"),"Snitch me and the children liked. Good quality, meticulous workmanship are also considered, but before I did not see the goods when there are marked note made in China. To get a look, made in China, first of all thanks to our manufacturing sector, followe"&amp;"d by the domestic sale ask you, to turn back from the United States of quite troublesome.")</f>
        <v>Snitch me and the children liked. Good quality, meticulous workmanship are also considered, but before I did not see the goods when there are marked note made in China. To get a look, made in China, first of all thanks to our manufacturing sector, followed by the domestic sale ask you, to turn back from the United States of quite troublesome.</v>
      </c>
    </row>
    <row r="8854">
      <c r="A8854" s="1">
        <v>5.0</v>
      </c>
      <c r="B8854" s="1" t="s">
        <v>8798</v>
      </c>
      <c r="C8854" t="str">
        <f>IFERROR(__xludf.DUMMYFUNCTION("GOOGLETRANSLATE(B8854, ""zh"", ""en"")"),"Better than expected, second-generation entry-speakers more worthy to use this speaker is good. It has always been something made in China, but also to buy from the US side. But there is no way, in no domestic licensed can buy. I also happened to see, and"&amp;" buy and no stock. Want the good goods multipoint Central Asia. Digital products class.")</f>
        <v>Better than expected, second-generation entry-speakers more worthy to use this speaker is good. It has always been something made in China, but also to buy from the US side. But there is no way, in no domestic licensed can buy. I also happened to see, and buy and no stock. Want the good goods multipoint Central Asia. Digital products class.</v>
      </c>
    </row>
    <row r="8855">
      <c r="A8855" s="1">
        <v>5.0</v>
      </c>
      <c r="B8855" s="1" t="s">
        <v>8799</v>
      </c>
      <c r="C8855" t="str">
        <f>IFERROR(__xludf.DUMMYFUNCTION("GOOGLETRANSLATE(B8855, ""zh"", ""en"")"),"Waist is too big, too long. This section is too large, the waist is too loose, too long, I'm 1.58 meters tall and weighing 66 kg, the purchase number for the job. SF Express just got the time, very happy. Put on just right. Comfortable! Themselves to chan"&amp;"ge short trousers, long.")</f>
        <v>Waist is too big, too long. This section is too large, the waist is too loose, too long, I'm 1.58 meters tall and weighing 66 kg, the purchase number for the job. SF Express just got the time, very happy. Put on just right. Comfortable! Themselves to change short trousers, long.</v>
      </c>
    </row>
    <row r="8856">
      <c r="A8856" s="1">
        <v>5.0</v>
      </c>
      <c r="B8856" s="1" t="s">
        <v>8800</v>
      </c>
      <c r="C8856" t="str">
        <f>IFERROR(__xludf.DUMMYFUNCTION("GOOGLETRANSLATE(B8856, ""zh"", ""en"")"),"A nice bottle, recommended oh home two two small four rounds of the Pigeon with a baby like to use")</f>
        <v>A nice bottle, recommended oh home two two small four rounds of the Pigeon with a baby like to use</v>
      </c>
    </row>
    <row r="8857">
      <c r="A8857" s="1">
        <v>5.0</v>
      </c>
      <c r="B8857" s="1" t="s">
        <v>8801</v>
      </c>
      <c r="C8857" t="str">
        <f>IFERROR(__xludf.DUMMYFUNCTION("GOOGLETRANSLATE(B8857, ""zh"", ""en"")"),"Very good authentic. I was bought to send to friends, without the written test ink hand a little, very smooth, is LAMY2000 feel. It is worth mentioning that Nichia's packaging is very professional, than the US Amazon's packaging too professional, and all "&amp;"kinds of protection is in place.")</f>
        <v>Very good authentic. I was bought to send to friends, without the written test ink hand a little, very smooth, is LAMY2000 feel. It is worth mentioning that Nichia's packaging is very professional, than the US Amazon's packaging too professional, and all kinds of protection is in place.</v>
      </c>
    </row>
    <row r="8858">
      <c r="A8858" s="1">
        <v>5.0</v>
      </c>
      <c r="B8858" s="1" t="s">
        <v>8802</v>
      </c>
      <c r="C8858" t="str">
        <f>IFERROR(__xludf.DUMMYFUNCTION("GOOGLETRANSLATE(B8858, ""zh"", ""en"")"),"Suunto watch function is very powerful, style and quality are very good, very fond of")</f>
        <v>Suunto watch function is very powerful, style and quality are very good, very fond of</v>
      </c>
    </row>
    <row r="8859">
      <c r="A8859" s="1">
        <v>5.0</v>
      </c>
      <c r="B8859" s="1" t="s">
        <v>8803</v>
      </c>
      <c r="C8859" t="str">
        <f>IFERROR(__xludf.DUMMYFUNCTION("GOOGLETRANSLATE(B8859, ""zh"", ""en"")"),"90 kg, 175cm, 90 kg is appropriate, 175cm, very suitable, there are velvet, not bad")</f>
        <v>90 kg, 175cm, 90 kg is appropriate, 175cm, very suitable, there are velvet, not bad</v>
      </c>
    </row>
    <row r="8860">
      <c r="A8860" s="1">
        <v>5.0</v>
      </c>
      <c r="B8860" s="1" t="s">
        <v>8804</v>
      </c>
      <c r="C8860" t="str">
        <f>IFERROR(__xludf.DUMMYFUNCTION("GOOGLETRANSLATE(B8860, ""zh"", ""en"")"),"Good texture 86 waist 32 selected perfect blue is very positive Chinese manufacturing work very well very texture of the entire belt width 3.5 not a light weight and thicker than the domestic prices more affordable store")</f>
        <v>Good texture 86 waist 32 selected perfect blue is very positive Chinese manufacturing work very well very texture of the entire belt width 3.5 not a light weight and thicker than the domestic prices more affordable store</v>
      </c>
    </row>
    <row r="8861">
      <c r="A8861" s="1">
        <v>5.0</v>
      </c>
      <c r="B8861" s="1" t="s">
        <v>8805</v>
      </c>
      <c r="C8861" t="str">
        <f>IFERROR(__xludf.DUMMYFUNCTION("GOOGLETRANSLATE(B8861, ""zh"", ""en"")"),"High cost value well-made brands")</f>
        <v>High cost value well-made brands</v>
      </c>
    </row>
    <row r="8862">
      <c r="A8862" s="1">
        <v>5.0</v>
      </c>
      <c r="B8862" s="1" t="s">
        <v>8806</v>
      </c>
      <c r="C8862" t="str">
        <f>IFERROR(__xludf.DUMMYFUNCTION("GOOGLETRANSLATE(B8862, ""zh"", ""en"")"),"A good shopping size is very appropriate, very comfortable to wear. Logistics is also quite fast")</f>
        <v>A good shopping size is very appropriate, very comfortable to wear. Logistics is also quite fast</v>
      </c>
    </row>
    <row r="8863">
      <c r="A8863" s="1">
        <v>5.0</v>
      </c>
      <c r="B8863" s="1" t="s">
        <v>8807</v>
      </c>
      <c r="C8863" t="str">
        <f>IFERROR(__xludf.DUMMYFUNCTION("GOOGLETRANSLATE(B8863, ""zh"", ""en"")"),"Fortunately, well, not from the previous evaluation, I do not know how many wasted points, points can change money now know, they should look carefully evaluated,")</f>
        <v>Fortunately, well, not from the previous evaluation, I do not know how many wasted points, points can change money now know, they should look carefully evaluated,</v>
      </c>
    </row>
    <row r="8864">
      <c r="A8864" s="1">
        <v>5.0</v>
      </c>
      <c r="B8864" s="1" t="s">
        <v>8808</v>
      </c>
      <c r="C8864" t="str">
        <f>IFERROR(__xludf.DUMMYFUNCTION("GOOGLETRANSLATE(B8864, ""zh"", ""en"")"),"Casio cheap, but the quality in general, you pay for!")</f>
        <v>Casio cheap, but the quality in general, you pay for!</v>
      </c>
    </row>
    <row r="8865">
      <c r="A8865" s="1">
        <v>5.0</v>
      </c>
      <c r="B8865" s="1" t="s">
        <v>8809</v>
      </c>
      <c r="C8865" t="str">
        <f>IFERROR(__xludf.DUMMYFUNCTION("GOOGLETRANSLATE(B8865, ""zh"", ""en"")"),"We will continue to buy half a year to buy time, very easy to install")</f>
        <v>We will continue to buy half a year to buy time, very easy to install</v>
      </c>
    </row>
    <row r="8866">
      <c r="A8866" s="1">
        <v>5.0</v>
      </c>
      <c r="B8866" s="1" t="s">
        <v>8810</v>
      </c>
      <c r="C8866" t="str">
        <f>IFERROR(__xludf.DUMMYFUNCTION("GOOGLETRANSLATE(B8866, ""zh"", ""en"")"),"Pants really good description consistent with the picture, but also very comfortable to wear, a pleasant shopping")</f>
        <v>Pants really good description consistent with the picture, but also very comfortable to wear, a pleasant shopping</v>
      </c>
    </row>
    <row r="8867">
      <c r="A8867" s="1">
        <v>5.0</v>
      </c>
      <c r="B8867" s="1" t="s">
        <v>8811</v>
      </c>
      <c r="C8867" t="str">
        <f>IFERROR(__xludf.DUMMYFUNCTION("GOOGLETRANSLATE(B8867, ""zh"", ""en"")"),"Cost-effective price is still very cost-effective, around town before three stores in Shanghai, the price artificially high, not quite understand why the access to the domestic market after a sudden raise so much money. This dress is the origin of Hondura"&amp;"s, thread is more, there is a thin layer of velvet, not thick, wear suitable fall. The price of this quality can be. S No. 160 women wear clothes a little too large, but like the relaxed feeling. In addition, the tribute to express, No. 2 single, went to "&amp;"No. 8, very quickly.")</f>
        <v>Cost-effective price is still very cost-effective, around town before three stores in Shanghai, the price artificially high, not quite understand why the access to the domestic market after a sudden raise so much money. This dress is the origin of Honduras, thread is more, there is a thin layer of velvet, not thick, wear suitable fall. The price of this quality can be. S No. 160 women wear clothes a little too large, but like the relaxed feeling. In addition, the tribute to express, No. 2 single, went to No. 8, very quickly.</v>
      </c>
    </row>
    <row r="8868">
      <c r="A8868" s="1">
        <v>2.0</v>
      </c>
      <c r="B8868" s="1" t="s">
        <v>8812</v>
      </c>
      <c r="C8868" t="str">
        <f>IFERROR(__xludf.DUMMYFUNCTION("GOOGLETRANSLATE(B8868, ""zh"", ""en"")"),"Do not buy clothes obviously too large, the quality is very poor, and spread the goods almost.")</f>
        <v>Do not buy clothes obviously too large, the quality is very poor, and spread the goods almost.</v>
      </c>
    </row>
    <row r="8869">
      <c r="A8869" s="1">
        <v>3.0</v>
      </c>
      <c r="B8869" s="1" t="s">
        <v>8813</v>
      </c>
      <c r="C8869" t="str">
        <f>IFERROR(__xludf.DUMMYFUNCTION("GOOGLETRANSLATE(B8869, ""zh"", ""en"")"),"Larger, heavier huge volume, holding a little heavy, but fortunately, the sound is not particularly large, the effect of negative ions is smooth to the naked eye can not see.")</f>
        <v>Larger, heavier huge volume, holding a little heavy, but fortunately, the sound is not particularly large, the effect of negative ions is smooth to the naked eye can not see.</v>
      </c>
    </row>
    <row r="8870">
      <c r="A8870" s="1">
        <v>3.0</v>
      </c>
      <c r="B8870" s="1" t="s">
        <v>8814</v>
      </c>
      <c r="C8870" t="str">
        <f>IFERROR(__xludf.DUMMYFUNCTION("GOOGLETRANSLATE(B8870, ""zh"", ""en"")"),"Very good, but there is a hole in the clothes is very good, the price is very affordable, but there is a hole, kind of like a little hole in Daogua")</f>
        <v>Very good, but there is a hole in the clothes is very good, the price is very affordable, but there is a hole, kind of like a little hole in Daogua</v>
      </c>
    </row>
    <row r="8871">
      <c r="A8871" s="1">
        <v>3.0</v>
      </c>
      <c r="B8871" s="1" t="s">
        <v>8815</v>
      </c>
      <c r="C8871" t="str">
        <f>IFERROR(__xludf.DUMMYFUNCTION("GOOGLETRANSLATE(B8871, ""zh"", ""en"")"),"Overseas will be able to purchase three days hand! ! ! ! It really is not a dream ah I do not know is happy or sad! Buy a pair of pants, then, at least 15 days to hand! But the health medicine three days will be able to! amazing! Worry buy domestic knocko"&amp;"ff! Really everywhere is full of traps!")</f>
        <v>Overseas will be able to purchase three days hand! ! ! ! It really is not a dream ah I do not know is happy or sad! Buy a pair of pants, then, at least 15 days to hand! But the health medicine three days will be able to! amazing! Worry buy domestic knockoff! Really everywhere is full of traps!</v>
      </c>
    </row>
    <row r="8872">
      <c r="A8872" s="1">
        <v>1.0</v>
      </c>
      <c r="B8872" s="1" t="s">
        <v>8816</v>
      </c>
      <c r="C8872" t="str">
        <f>IFERROR(__xludf.DUMMYFUNCTION("GOOGLETRANSLATE(B8872, ""zh"", ""en"")"),"Oh two weeks left on the bad, huh")</f>
        <v>Oh two weeks left on the bad, huh</v>
      </c>
    </row>
    <row r="8873">
      <c r="A8873" s="1">
        <v>1.0</v>
      </c>
      <c r="B8873" s="1" t="s">
        <v>8817</v>
      </c>
      <c r="C8873" t="str">
        <f>IFERROR(__xludf.DUMMYFUNCTION("GOOGLETRANSLATE(B8873, ""zh"", ""en"")"),"Damn Size Chart Amazon can not elaborate a little too small can not really wear three yards L size difference is not that big but why I pressed the election code of L has sent me the difference between a minimum of code so big designers is how to think of")</f>
        <v>Damn Size Chart Amazon can not elaborate a little too small can not really wear three yards L size difference is not that big but why I pressed the election code of L has sent me the difference between a minimum of code so big designers is how to think of</v>
      </c>
    </row>
    <row r="8874">
      <c r="A8874" s="1">
        <v>4.0</v>
      </c>
      <c r="B8874" s="1" t="s">
        <v>8818</v>
      </c>
      <c r="C8874" t="str">
        <f>IFERROR(__xludf.DUMMYFUNCTION("GOOGLETRANSLATE(B8874, ""zh"", ""en"")"),"Random rough fabric wear, fade very powerful, or washed out several times. . Others feel good")</f>
        <v>Random rough fabric wear, fade very powerful, or washed out several times. . Others feel good</v>
      </c>
    </row>
    <row r="8875">
      <c r="A8875" s="1">
        <v>4.0</v>
      </c>
      <c r="B8875" s="1" t="s">
        <v>8819</v>
      </c>
      <c r="C8875" t="str">
        <f>IFERROR(__xludf.DUMMYFUNCTION("GOOGLETRANSLATE(B8875, ""zh"", ""en"")"),"Good-looking, easy to loose belts good-looking, easy to use, but it will loose a little, no Bata home opener belt tight")</f>
        <v>Good-looking, easy to loose belts good-looking, easy to use, but it will loose a little, no Bata home opener belt tight</v>
      </c>
    </row>
    <row r="8876">
      <c r="A8876" s="1">
        <v>4.0</v>
      </c>
      <c r="B8876" s="1" t="s">
        <v>8820</v>
      </c>
      <c r="C8876" t="str">
        <f>IFERROR(__xludf.DUMMYFUNCTION("GOOGLETRANSLATE(B8876, ""zh"", ""en"")"),"Underwear three people into middle age, s is small alas")</f>
        <v>Underwear three people into middle age, s is small alas</v>
      </c>
    </row>
    <row r="8877">
      <c r="A8877" s="1">
        <v>4.0</v>
      </c>
      <c r="B8877" s="1" t="s">
        <v>8821</v>
      </c>
      <c r="C8877" t="str">
        <f>IFERROR(__xludf.DUMMYFUNCTION("GOOGLETRANSLATE(B8877, ""zh"", ""en"")"),"Effects have not used, then an additional evaluation")</f>
        <v>Effects have not used, then an additional evaluation</v>
      </c>
    </row>
    <row r="8878">
      <c r="A8878" s="1">
        <v>4.0</v>
      </c>
      <c r="B8878" s="1" t="s">
        <v>8822</v>
      </c>
      <c r="C8878" t="str">
        <f>IFERROR(__xludf.DUMMYFUNCTION("GOOGLETRANSLATE(B8878, ""zh"", ""en"")"),"The shoes are too large to receive new shoes, that is too big, it is recommended to buy a small one yards than usual")</f>
        <v>The shoes are too large to receive new shoes, that is too big, it is recommended to buy a small one yards than usual</v>
      </c>
    </row>
    <row r="8879">
      <c r="A8879" s="1">
        <v>5.0</v>
      </c>
      <c r="B8879" s="1" t="s">
        <v>8823</v>
      </c>
      <c r="C8879" t="str">
        <f>IFERROR(__xludf.DUMMYFUNCTION("GOOGLETRANSLATE(B8879, ""zh"", ""en"")"),"Really good dish like a dog bowl, spoon fork but good")</f>
        <v>Really good dish like a dog bowl, spoon fork but good</v>
      </c>
    </row>
    <row r="8880">
      <c r="A8880" s="1">
        <v>5.0</v>
      </c>
      <c r="B8880" s="1" t="s">
        <v>8824</v>
      </c>
      <c r="C8880" t="str">
        <f>IFERROR(__xludf.DUMMYFUNCTION("GOOGLETRANSLATE(B8880, ""zh"", ""en"")"),"Warm and very warm, but did not feel where the average than domestic thermal underwear to go strong. Well-designed sleeves, do not reveal the inner wear.")</f>
        <v>Warm and very warm, but did not feel where the average than domestic thermal underwear to go strong. Well-designed sleeves, do not reveal the inner wear.</v>
      </c>
    </row>
    <row r="8881">
      <c r="A8881" s="1">
        <v>5.0</v>
      </c>
      <c r="B8881" s="1" t="s">
        <v>8825</v>
      </c>
      <c r="C8881" t="str">
        <f>IFERROR(__xludf.DUMMYFUNCTION("GOOGLETRANSLATE(B8881, ""zh"", ""en"")"),"Track suit undershirt cloth fabric summer evening dress draped look very fit and very comfortable")</f>
        <v>Track suit undershirt cloth fabric summer evening dress draped look very fit and very comfortable</v>
      </c>
    </row>
    <row r="8882">
      <c r="A8882" s="1">
        <v>5.0</v>
      </c>
      <c r="B8882" s="1" t="s">
        <v>8826</v>
      </c>
      <c r="C8882" t="str">
        <f>IFERROR(__xludf.DUMMYFUNCTION("GOOGLETRANSLATE(B8882, ""zh"", ""en"")"),"Practical value is useful, good to drink water")</f>
        <v>Practical value is useful, good to drink water</v>
      </c>
    </row>
    <row r="8883">
      <c r="A8883" s="1">
        <v>5.0</v>
      </c>
      <c r="B8883" s="1" t="s">
        <v>8827</v>
      </c>
      <c r="C8883" t="str">
        <f>IFERROR(__xludf.DUMMYFUNCTION("GOOGLETRANSLATE(B8883, ""zh"", ""en"")"),"Fashionistas only received new shoes today. And I want the same to the. Very good quality models are good.")</f>
        <v>Fashionistas only received new shoes today. And I want the same to the. Very good quality models are good.</v>
      </c>
    </row>
    <row r="8884">
      <c r="A8884" s="1">
        <v>5.0</v>
      </c>
      <c r="B8884" s="1" t="s">
        <v>8828</v>
      </c>
      <c r="C8884" t="str">
        <f>IFERROR(__xludf.DUMMYFUNCTION("GOOGLETRANSLATE(B8884, ""zh"", ""en"")"),"Good ah very good, small fork inside the tooth edge a little bit, does not affect the use, praise hundred percent, Mody Mody da")</f>
        <v>Good ah very good, small fork inside the tooth edge a little bit, does not affect the use, praise hundred percent, Mody Mody da</v>
      </c>
    </row>
    <row r="8885">
      <c r="A8885" s="1">
        <v>5.0</v>
      </c>
      <c r="B8885" s="1" t="s">
        <v>8829</v>
      </c>
      <c r="C8885" t="str">
        <f>IFERROR(__xludf.DUMMYFUNCTION("GOOGLETRANSLATE(B8885, ""zh"", ""en"")"),"Ha ha ha out of the arrival of super-fast speed sense to buy a big boy cry paragraph 598 value Nice!")</f>
        <v>Ha ha ha out of the arrival of super-fast speed sense to buy a big boy cry paragraph 598 value Nice!</v>
      </c>
    </row>
    <row r="8886">
      <c r="A8886" s="1">
        <v>5.0</v>
      </c>
      <c r="B8886" s="1" t="s">
        <v>8830</v>
      </c>
      <c r="C8886" t="str">
        <f>IFERROR(__xludf.DUMMYFUNCTION("GOOGLETRANSLATE(B8886, ""zh"", ""en"")"),"Well, actually also with stretch fabric with elastic, very comfortable. Than expected in some dark color.")</f>
        <v>Well, actually also with stretch fabric with elastic, very comfortable. Than expected in some dark color.</v>
      </c>
    </row>
    <row r="8887">
      <c r="A8887" s="1">
        <v>5.0</v>
      </c>
      <c r="B8887" s="1" t="s">
        <v>8831</v>
      </c>
      <c r="C8887" t="str">
        <f>IFERROR(__xludf.DUMMYFUNCTION("GOOGLETRANSLATE(B8887, ""zh"", ""en"")"),"Very great love")</f>
        <v>Very great love</v>
      </c>
    </row>
    <row r="8888">
      <c r="A8888" s="1">
        <v>5.0</v>
      </c>
      <c r="B8888" s="1" t="s">
        <v>8832</v>
      </c>
      <c r="C8888" t="str">
        <f>IFERROR(__xludf.DUMMYFUNCTION("GOOGLETRANSLATE(B8888, ""zh"", ""en"")"),"Trusted brand, excellent quality of products is to force, cost-effective")</f>
        <v>Trusted brand, excellent quality of products is to force, cost-effective</v>
      </c>
    </row>
    <row r="8889">
      <c r="A8889" s="1">
        <v>5.0</v>
      </c>
      <c r="B8889" s="1" t="s">
        <v>8833</v>
      </c>
      <c r="C8889" t="str">
        <f>IFERROR(__xludf.DUMMYFUNCTION("GOOGLETRANSLATE(B8889, ""zh"", ""en"")"),"Almost perfect! Quality shoes Danner is completely without discussion. This pair of Mountain Light is indeed a piece of leather to create Central Asia explanation is wrong, because in the official website is classified as hiking boots. Amazon is not the s"&amp;"ize of the ordinary here and widened good selection, but if Asians as long as your feet are not super skinny, have a yard wide choice (I was a real thin, just a yard wide). What are the disadvantages to say these shoes. is run-in period is too long. Like "&amp;"other shoes Danner, put it at least the first two months, the band-aid is essential belongings. but once running, you will not regret it.")</f>
        <v>Almost perfect! Quality shoes Danner is completely without discussion. This pair of Mountain Light is indeed a piece of leather to create Central Asia explanation is wrong, because in the official website is classified as hiking boots. Amazon is not the size of the ordinary here and widened good selection, but if Asians as long as your feet are not super skinny, have a yard wide choice (I was a real thin, just a yard wide). What are the disadvantages to say these shoes. is run-in period is too long. Like other shoes Danner, put it at least the first two months, the band-aid is essential belongings. but once running, you will not regret it.</v>
      </c>
    </row>
    <row r="8890">
      <c r="A8890" s="1">
        <v>5.0</v>
      </c>
      <c r="B8890" s="1" t="s">
        <v>8834</v>
      </c>
      <c r="C8890" t="str">
        <f>IFERROR(__xludf.DUMMYFUNCTION("GOOGLETRANSLATE(B8890, ""zh"", ""en"")"),"not bad! 177CM 75KG wear M loose US version, Japanese version of the L Slim work wear, the Japanese version of the much stronger, but the prices are twice as expensive as it wants")</f>
        <v>not bad! 177CM 75KG wear M loose US version, Japanese version of the L Slim work wear, the Japanese version of the much stronger, but the prices are twice as expensive as it wants</v>
      </c>
    </row>
    <row r="8891">
      <c r="A8891" s="1">
        <v>5.0</v>
      </c>
      <c r="B8891" s="1" t="s">
        <v>8835</v>
      </c>
      <c r="C8891" t="str">
        <f>IFERROR(__xludf.DUMMYFUNCTION("GOOGLETRANSLATE(B8891, ""zh"", ""en"")"),"Quality and exquisite workmanship, good quality, worth buying.")</f>
        <v>Quality and exquisite workmanship, good quality, worth buying.</v>
      </c>
    </row>
    <row r="8892">
      <c r="A8892" s="1">
        <v>5.0</v>
      </c>
      <c r="B8892" s="1" t="s">
        <v>8836</v>
      </c>
      <c r="C8892" t="str">
        <f>IFERROR(__xludf.DUMMYFUNCTION("GOOGLETRANSLATE(B8892, ""zh"", ""en"")"),"Praise the quality is good, very comfortable to wear")</f>
        <v>Praise the quality is good, very comfortable to wear</v>
      </c>
    </row>
    <row r="8893">
      <c r="A8893" s="1">
        <v>5.0</v>
      </c>
      <c r="B8893" s="1" t="s">
        <v>8837</v>
      </c>
      <c r="C8893" t="str">
        <f>IFERROR(__xludf.DUMMYFUNCTION("GOOGLETRANSLATE(B8893, ""zh"", ""en"")"),"very good! Amazon's overseas purchase of the hard drive is the highest of the whole network cost. The next day to buy a home fell from nearly a meter high tables on the ground, knock a pit shell, but there is no problem. Not the thinnest mobile hard disk.")</f>
        <v>very good! Amazon's overseas purchase of the hard drive is the highest of the whole network cost. The next day to buy a home fell from nearly a meter high tables on the ground, knock a pit shell, but there is no problem. Not the thinnest mobile hard disk.</v>
      </c>
    </row>
    <row r="8894">
      <c r="A8894" s="1">
        <v>5.0</v>
      </c>
      <c r="B8894" s="1" t="s">
        <v>8838</v>
      </c>
      <c r="C8894" t="str">
        <f>IFERROR(__xludf.DUMMYFUNCTION("GOOGLETRANSLATE(B8894, ""zh"", ""en"")"),"Particularly good especially good purchased from the domestic Japanese logistics and speed comparable, quality of goods is also praise!")</f>
        <v>Particularly good especially good purchased from the domestic Japanese logistics and speed comparable, quality of goods is also praise!</v>
      </c>
    </row>
    <row r="8895">
      <c r="A8895" s="1">
        <v>5.0</v>
      </c>
      <c r="B8895" s="1" t="s">
        <v>8839</v>
      </c>
      <c r="C8895" t="str">
        <f>IFERROR(__xludf.DUMMYFUNCTION("GOOGLETRANSLATE(B8895, ""zh"", ""en"")"),"Well, such a small child the right head for small children is very suitable for easy brush the outside in")</f>
        <v>Well, such a small child the right head for small children is very suitable for easy brush the outside in</v>
      </c>
    </row>
    <row r="8896">
      <c r="A8896" s="1">
        <v>5.0</v>
      </c>
      <c r="B8896" s="1" t="s">
        <v>8840</v>
      </c>
      <c r="C8896" t="str">
        <f>IFERROR(__xludf.DUMMYFUNCTION("GOOGLETRANSLATE(B8896, ""zh"", ""en"")"),"Good shoes that he bought the wrong size agreement is very good, wearing a very nice, is to buy their own wrong size, buy big, heart stopper")</f>
        <v>Good shoes that he bought the wrong size agreement is very good, wearing a very nice, is to buy their own wrong size, buy big, heart stopper</v>
      </c>
    </row>
    <row r="8897">
      <c r="A8897" s="1">
        <v>5.0</v>
      </c>
      <c r="B8897" s="1" t="s">
        <v>8841</v>
      </c>
      <c r="C8897" t="str">
        <f>IFERROR(__xludf.DUMMYFUNCTION("GOOGLETRANSLATE(B8897, ""zh"", ""en"")"),"The price of something very good, very suitable for me, today a look, so sad dropped by half, now 53, good good loss loss loss of good")</f>
        <v>The price of something very good, very suitable for me, today a look, so sad dropped by half, now 53, good good loss loss loss of good</v>
      </c>
    </row>
    <row r="8898">
      <c r="A8898" s="1">
        <v>5.0</v>
      </c>
      <c r="B8898" s="1" t="s">
        <v>8842</v>
      </c>
      <c r="C8898" t="str">
        <f>IFERROR(__xludf.DUMMYFUNCTION("GOOGLETRANSLATE(B8898, ""zh"", ""en"")"),"More affordable than domestic! Black Friday scouring the sea, nearly a week time faster than expected, too surprise. After tax concessions than the domestic price also. Great weight, because my nas currently only one, can not do more tests, but hopefully "&amp;"it stable.")</f>
        <v>More affordable than domestic! Black Friday scouring the sea, nearly a week time faster than expected, too surprise. After tax concessions than the domestic price also. Great weight, because my nas currently only one, can not do more tests, but hopefully it stable.</v>
      </c>
    </row>
    <row r="8899">
      <c r="A8899" s="1">
        <v>5.0</v>
      </c>
      <c r="B8899" s="1" t="s">
        <v>8843</v>
      </c>
      <c r="C8899" t="str">
        <f>IFERROR(__xludf.DUMMYFUNCTION("GOOGLETRANSLATE(B8899, ""zh"", ""en"")"),"perfect 177cm, 76kg, waist 91cm. Just choose M number. Code number is slightly larger. We recommended to buy a smaller size")</f>
        <v>perfect 177cm, 76kg, waist 91cm. Just choose M number. Code number is slightly larger. We recommended to buy a smaller size</v>
      </c>
    </row>
    <row r="8900">
      <c r="A8900" s="1">
        <v>2.0</v>
      </c>
      <c r="B8900" s="1" t="s">
        <v>8844</v>
      </c>
      <c r="C8900" t="str">
        <f>IFERROR(__xludf.DUMMYFUNCTION("GOOGLETRANSLATE(B8900, ""zh"", ""en"")"),"Determine the new pen? The new pen tip washing with water can actually glass of water dyed blue")</f>
        <v>Determine the new pen? The new pen tip washing with water can actually glass of water dyed blue</v>
      </c>
    </row>
    <row r="8901">
      <c r="A8901" s="1">
        <v>3.0</v>
      </c>
      <c r="B8901" s="1" t="s">
        <v>8845</v>
      </c>
      <c r="C8901" t="str">
        <f>IFERROR(__xludf.DUMMYFUNCTION("GOOGLETRANSLATE(B8901, ""zh"", ""en"")"),"Poor packing filter kettle no problem, poor packaging, carton packaging only soft percolator itself (as prime members do not charge shipping), can not easily purchase orders in the overseas")</f>
        <v>Poor packing filter kettle no problem, poor packaging, carton packaging only soft percolator itself (as prime members do not charge shipping), can not easily purchase orders in the overseas</v>
      </c>
    </row>
    <row r="8902">
      <c r="A8902" s="1">
        <v>3.0</v>
      </c>
      <c r="B8902" s="1" t="s">
        <v>8846</v>
      </c>
      <c r="C8902" t="str">
        <f>IFERROR(__xludf.DUMMYFUNCTION("GOOGLETRANSLATE(B8902, ""zh"", ""en"")"),"My Comment modeling can, too loud, good quality")</f>
        <v>My Comment modeling can, too loud, good quality</v>
      </c>
    </row>
    <row r="8903">
      <c r="A8903" s="1">
        <v>1.0</v>
      </c>
      <c r="B8903" s="1" t="s">
        <v>8847</v>
      </c>
      <c r="C8903" t="str">
        <f>IFERROR(__xludf.DUMMYFUNCTION("GOOGLETRANSLATE(B8903, ""zh"", ""en"")"),"Fake, ready to delete the app, too bad fake, turned out to be the shoes with plastic bags, and when you do grocery shopping? Wearing extreme Ge and feet, can not wear, to the back. I did not expect too self-selling, really can not buy.")</f>
        <v>Fake, ready to delete the app, too bad fake, turned out to be the shoes with plastic bags, and when you do grocery shopping? Wearing extreme Ge and feet, can not wear, to the back. I did not expect too self-selling, really can not buy.</v>
      </c>
    </row>
    <row r="8904">
      <c r="A8904" s="1">
        <v>1.0</v>
      </c>
      <c r="B8904" s="1" t="s">
        <v>8848</v>
      </c>
      <c r="C8904" t="str">
        <f>IFERROR(__xludf.DUMMYFUNCTION("GOOGLETRANSLATE(B8904, ""zh"", ""en"")"),"Returns trouble are not the same number with the corresponding number two all return replacement too much trouble so buy carefully inform")</f>
        <v>Returns trouble are not the same number with the corresponding number two all return replacement too much trouble so buy carefully inform</v>
      </c>
    </row>
    <row r="8905">
      <c r="A8905" s="1">
        <v>4.0</v>
      </c>
      <c r="B8905" s="1" t="s">
        <v>8849</v>
      </c>
      <c r="C8905" t="str">
        <f>IFERROR(__xludf.DUMMYFUNCTION("GOOGLETRANSLATE(B8905, ""zh"", ""en"")"),"Delivery speed is good and a few other goods sent together, three days to, buy, wearing very fast play, lighter, wearing no sense of weight, relatively simple, generous, feel the price, so be inexpensive table Wumart up. If no requirements on the table, t"&amp;"he line to buy it, if there are certain requirements recommended buy other.")</f>
        <v>Delivery speed is good and a few other goods sent together, three days to, buy, wearing very fast play, lighter, wearing no sense of weight, relatively simple, generous, feel the price, so be inexpensive table Wumart up. If no requirements on the table, the line to buy it, if there are certain requirements recommended buy other.</v>
      </c>
    </row>
    <row r="8906">
      <c r="A8906" s="1">
        <v>4.0</v>
      </c>
      <c r="B8906" s="1" t="s">
        <v>8850</v>
      </c>
      <c r="C8906" t="str">
        <f>IFERROR(__xludf.DUMMYFUNCTION("GOOGLETRANSLATE(B8906, ""zh"", ""en"")"),"Snitch metal, are more textured, have official authorization, the wings can not be recycled. As children's toys can still, when the key fob is not practical. Made in China")</f>
        <v>Snitch metal, are more textured, have official authorization, the wings can not be recycled. As children's toys can still, when the key fob is not practical. Made in China</v>
      </c>
    </row>
    <row r="8907">
      <c r="A8907" s="1">
        <v>4.0</v>
      </c>
      <c r="B8907" s="1" t="s">
        <v>8851</v>
      </c>
      <c r="C8907" t="str">
        <f>IFERROR(__xludf.DUMMYFUNCTION("GOOGLETRANSLATE(B8907, ""zh"", ""en"")"),"Insulation effect in general, very beautiful. Yan high value, the general insulation effect.")</f>
        <v>Insulation effect in general, very beautiful. Yan high value, the general insulation effect.</v>
      </c>
    </row>
    <row r="8908">
      <c r="A8908" s="1">
        <v>4.0</v>
      </c>
      <c r="B8908" s="1" t="s">
        <v>8852</v>
      </c>
      <c r="C8908" t="str">
        <f>IFERROR(__xludf.DUMMYFUNCTION("GOOGLETRANSLATE(B8908, ""zh"", ""en"")"),"Genuine, not wearing a cold, do not wear open")</f>
        <v>Genuine, not wearing a cold, do not wear open</v>
      </c>
    </row>
    <row r="8909">
      <c r="A8909" s="1">
        <v>4.0</v>
      </c>
      <c r="B8909" s="1" t="s">
        <v>8853</v>
      </c>
      <c r="C8909" t="str">
        <f>IFERROR(__xludf.DUMMYFUNCTION("GOOGLETRANSLATE(B8909, ""zh"", ""en"")"),"A good sense of the parcel, can also be right, because the weight of big buy these shoes, there have not stepped on, the domestic sports shoes than usual freshman yards on the line, put on just leave a finger, more relaxed. Summer is hot (another habit of"&amp;" saying). I do not know the tongue deviation easily design flaws or personal problems! Overall good!")</f>
        <v>A good sense of the parcel, can also be right, because the weight of big buy these shoes, there have not stepped on, the domestic sports shoes than usual freshman yards on the line, put on just leave a finger, more relaxed. Summer is hot (another habit of saying). I do not know the tongue deviation easily design flaws or personal problems! Overall good!</v>
      </c>
    </row>
    <row r="8910">
      <c r="A8910" s="1">
        <v>5.0</v>
      </c>
      <c r="B8910" s="1" t="s">
        <v>8854</v>
      </c>
      <c r="C8910" t="str">
        <f>IFERROR(__xludf.DUMMYFUNCTION("GOOGLETRANSLATE(B8910, ""zh"", ""en"")"),"Technological sense, practical, inexpensive although wave form on the market for many years, but this solar energy without the hassle of changing batteries, thousand dollars below the price is very close to the people. Chinese manual CASIO can go to the o"&amp;"fficial website to download the electronic version of the PDF, enter the movement number 5444. When the watch is received if Beijing would not adjust. If ""local time is set to"" one hour from the time of Tokyo, with reference to the specification, to sel"&amp;"ect BJS Beijing.")</f>
        <v>Technological sense, practical, inexpensive although wave form on the market for many years, but this solar energy without the hassle of changing batteries, thousand dollars below the price is very close to the people. Chinese manual CASIO can go to the official website to download the electronic version of the PDF, enter the movement number 5444. When the watch is received if Beijing would not adjust. If "local time is set to" one hour from the time of Tokyo, with reference to the specification, to select BJS Beijing.</v>
      </c>
    </row>
    <row r="8911">
      <c r="A8911" s="1">
        <v>5.0</v>
      </c>
      <c r="B8911" s="1" t="s">
        <v>8855</v>
      </c>
      <c r="C8911" t="str">
        <f>IFERROR(__xludf.DUMMYFUNCTION("GOOGLETRANSLATE(B8911, ""zh"", ""en"")"),"This fine is very good the price is right hand less than 300 ah")</f>
        <v>This fine is very good the price is right hand less than 300 ah</v>
      </c>
    </row>
    <row r="8912">
      <c r="A8912" s="1">
        <v>5.0</v>
      </c>
      <c r="B8912" s="1" t="s">
        <v>8856</v>
      </c>
      <c r="C8912" t="str">
        <f>IFERROR(__xludf.DUMMYFUNCTION("GOOGLETRANSLATE(B8912, ""zh"", ""en"")"),"The most satisfying piece of clothing size just right, good quality.")</f>
        <v>The most satisfying piece of clothing size just right, good quality.</v>
      </c>
    </row>
    <row r="8913">
      <c r="A8913" s="1">
        <v>5.0</v>
      </c>
      <c r="B8913" s="1" t="s">
        <v>8857</v>
      </c>
      <c r="C8913" t="str">
        <f>IFERROR(__xludf.DUMMYFUNCTION("GOOGLETRANSLATE(B8913, ""zh"", ""en"")"),"Comfortable fit fabric soft and flexible, wear no feeling tight, freedom of movement, a good jeans")</f>
        <v>Comfortable fit fabric soft and flexible, wear no feeling tight, freedom of movement, a good jeans</v>
      </c>
    </row>
    <row r="8914">
      <c r="A8914" s="1">
        <v>5.0</v>
      </c>
      <c r="B8914" s="1" t="s">
        <v>8858</v>
      </c>
      <c r="C8914" t="str">
        <f>IFERROR(__xludf.DUMMYFUNCTION("GOOGLETRANSLATE(B8914, ""zh"", ""en"")"),"Good quality is very good, in fact, domestic production is not imported, but no smell, assured of glass, cost-effective, but also buy-back, a little bit of space")</f>
        <v>Good quality is very good, in fact, domestic production is not imported, but no smell, assured of glass, cost-effective, but also buy-back, a little bit of space</v>
      </c>
    </row>
    <row r="8915">
      <c r="A8915" s="1">
        <v>5.0</v>
      </c>
      <c r="B8915" s="1" t="s">
        <v>8859</v>
      </c>
      <c r="C8915" t="str">
        <f>IFERROR(__xludf.DUMMYFUNCTION("GOOGLETRANSLATE(B8915, ""zh"", ""en"")"),"499 into a special, value for money had on hand only a pair of big ears, Denon D1100. When comparing the two, they have their own characteristics. 240 high-frequency significantly more color, bright overall sound. D1100 larger sound field, much bass (norm"&amp;"ally open burning lot, within an acceptable range). 240 more transparent sound, listen to Faye Wong good. In short, the price to be received.")</f>
        <v>499 into a special, value for money had on hand only a pair of big ears, Denon D1100. When comparing the two, they have their own characteristics. 240 high-frequency significantly more color, bright overall sound. D1100 larger sound field, much bass (normally open burning lot, within an acceptable range). 240 more transparent sound, listen to Faye Wong good. In short, the price to be received.</v>
      </c>
    </row>
    <row r="8916">
      <c r="A8916" s="1">
        <v>5.0</v>
      </c>
      <c r="B8916" s="1" t="s">
        <v>8860</v>
      </c>
      <c r="C8916" t="str">
        <f>IFERROR(__xludf.DUMMYFUNCTION("GOOGLETRANSLATE(B8916, ""zh"", ""en"")"),"Value of pants, trousers Lee is very thick, not self-cultivation models, loose version, great trousers, wearing a decent and generous, more than 200 dollars to buy Lee value, it is important to Fidelity")</f>
        <v>Value of pants, trousers Lee is very thick, not self-cultivation models, loose version, great trousers, wearing a decent and generous, more than 200 dollars to buy Lee value, it is important to Fidelity</v>
      </c>
    </row>
    <row r="8917">
      <c r="A8917" s="1">
        <v>5.0</v>
      </c>
      <c r="B8917" s="1" t="s">
        <v>8861</v>
      </c>
      <c r="C8917" t="str">
        <f>IFERROR(__xludf.DUMMYFUNCTION("GOOGLETRANSLATE(B8917, ""zh"", ""en"")"),"Great tableware kind is very beautiful, the baby can use a lot, there is a small gift box packaging 💝 very delicate. Nichia distribution quickly, porcelain is also very security service, as well as the need to buy a few pieces to continue to buy. Taobao "&amp;"more than favorable.")</f>
        <v>Great tableware kind is very beautiful, the baby can use a lot, there is a small gift box packaging 💝 very delicate. Nichia distribution quickly, porcelain is also very security service, as well as the need to buy a few pieces to continue to buy. Taobao more than favorable.</v>
      </c>
    </row>
    <row r="8918">
      <c r="A8918" s="1">
        <v>5.0</v>
      </c>
      <c r="B8918" s="1" t="s">
        <v>8862</v>
      </c>
      <c r="C8918" t="str">
        <f>IFERROR(__xludf.DUMMYFUNCTION("GOOGLETRANSLATE(B8918, ""zh"", ""en"")"),"Very fit, comfortable to wear. Usually buy jeans 12 United States Code code people can buy, the right size. And the code number is larger than the domestic pants, which is characteristic of the United States Code.")</f>
        <v>Very fit, comfortable to wear. Usually buy jeans 12 United States Code code people can buy, the right size. And the code number is larger than the domestic pants, which is characteristic of the United States Code.</v>
      </c>
    </row>
    <row r="8919">
      <c r="A8919" s="1">
        <v>5.0</v>
      </c>
      <c r="B8919" s="1" t="s">
        <v>8863</v>
      </c>
      <c r="C8919" t="str">
        <f>IFERROR(__xludf.DUMMYFUNCTION("GOOGLETRANSLATE(B8919, ""zh"", ""en"")"),"Although it is made in China, the absolute value for money, quality did not have that much faster when annualized rate, as long as ten days to go. Fine quality, affordable")</f>
        <v>Although it is made in China, the absolute value for money, quality did not have that much faster when annualized rate, as long as ten days to go. Fine quality, affordable</v>
      </c>
    </row>
    <row r="8920">
      <c r="A8920" s="1">
        <v>5.0</v>
      </c>
      <c r="B8920" s="1" t="s">
        <v>8864</v>
      </c>
      <c r="C8920" t="str">
        <f>IFERROR(__xludf.DUMMYFUNCTION("GOOGLETRANSLATE(B8920, ""zh"", ""en"")"),"Value for money in a pot Amazon UK direct mail, prime members free shipping, the price is a lot cheaper than in the store to buy for soup or stew are pretty good, do not lose the basic medium heat with water, of course, heavy pot, have to be careful when "&amp;"comparing hot heating.")</f>
        <v>Value for money in a pot Amazon UK direct mail, prime members free shipping, the price is a lot cheaper than in the store to buy for soup or stew are pretty good, do not lose the basic medium heat with water, of course, heavy pot, have to be careful when comparing hot heating.</v>
      </c>
    </row>
    <row r="8921">
      <c r="A8921" s="1">
        <v>5.0</v>
      </c>
      <c r="B8921" s="1" t="s">
        <v>8865</v>
      </c>
      <c r="C8921" t="str">
        <f>IFERROR(__xludf.DUMMYFUNCTION("GOOGLETRANSLATE(B8921, ""zh"", ""en"")"),"36 yards, beautiful, wearing thin the price is right, 36 yards suitable, more suitable for wearing thin, relatively hard soles version, the other is also good, wear good looking")</f>
        <v>36 yards, beautiful, wearing thin the price is right, 36 yards suitable, more suitable for wearing thin, relatively hard soles version, the other is also good, wear good looking</v>
      </c>
    </row>
    <row r="8922">
      <c r="A8922" s="1">
        <v>5.0</v>
      </c>
      <c r="B8922" s="1" t="s">
        <v>8866</v>
      </c>
      <c r="C8922" t="str">
        <f>IFERROR(__xludf.DUMMYFUNCTION("GOOGLETRANSLATE(B8922, ""zh"", ""en"")"),"Praise fabric material is soft, the right size, very good.")</f>
        <v>Praise fabric material is soft, the right size, very good.</v>
      </c>
    </row>
    <row r="8923">
      <c r="A8923" s="1">
        <v>5.0</v>
      </c>
      <c r="B8923" s="1" t="s">
        <v>8867</v>
      </c>
      <c r="C8923" t="str">
        <f>IFERROR(__xludf.DUMMYFUNCTION("GOOGLETRANSLATE(B8923, ""zh"", ""en"")"),"Good long-term use help skin allergies.")</f>
        <v>Good long-term use help skin allergies.</v>
      </c>
    </row>
    <row r="8924">
      <c r="A8924" s="1">
        <v>5.0</v>
      </c>
      <c r="B8924" s="1" t="s">
        <v>8868</v>
      </c>
      <c r="C8924" t="str">
        <f>IFERROR(__xludf.DUMMYFUNCTION("GOOGLETRANSLATE(B8924, ""zh"", ""en"")"),"Perfect pants goods received, very good, next time buy.")</f>
        <v>Perfect pants goods received, very good, next time buy.</v>
      </c>
    </row>
    <row r="8925">
      <c r="A8925" s="1">
        <v>5.0</v>
      </c>
      <c r="B8925" s="1" t="s">
        <v>8869</v>
      </c>
      <c r="C8925" t="str">
        <f>IFERROR(__xludf.DUMMYFUNCTION("GOOGLETRANSLATE(B8925, ""zh"", ""en"")"),"To help a friend to help a friend ~ ~ ~ ~ very small orders of capacity is very light ~ ~ ~ ~ ~ with the use of child")</f>
        <v>To help a friend to help a friend ~ ~ ~ ~ very small orders of capacity is very light ~ ~ ~ ~ ~ with the use of child</v>
      </c>
    </row>
    <row r="8926">
      <c r="A8926" s="1">
        <v>5.0</v>
      </c>
      <c r="B8926" s="1" t="s">
        <v>8870</v>
      </c>
      <c r="C8926" t="str">
        <f>IFERROR(__xludf.DUMMYFUNCTION("GOOGLETRANSLATE(B8926, ""zh"", ""en"")"),"Now her daughter using a spoon teaspoon fine she like to use")</f>
        <v>Now her daughter using a spoon teaspoon fine she like to use</v>
      </c>
    </row>
    <row r="8927">
      <c r="A8927" s="1">
        <v>5.0</v>
      </c>
      <c r="B8927" s="1" t="s">
        <v>8871</v>
      </c>
      <c r="C8927" t="str">
        <f>IFERROR(__xludf.DUMMYFUNCTION("GOOGLETRANSLATE(B8927, ""zh"", ""en"")"),"The bottle is very cute, but there will be taste, I hope no taste with hot water after disinfection, where the price is most favorable. Not use, store goods in")</f>
        <v>The bottle is very cute, but there will be taste, I hope no taste with hot water after disinfection, where the price is most favorable. Not use, store goods in</v>
      </c>
    </row>
    <row r="8928">
      <c r="A8928" s="1">
        <v>5.0</v>
      </c>
      <c r="B8928" s="1" t="s">
        <v>8872</v>
      </c>
      <c r="C8928" t="str">
        <f>IFERROR(__xludf.DUMMYFUNCTION("GOOGLETRANSLATE(B8928, ""zh"", ""en"")"),"Good very good, fit, looks very thick, but passed up very cool")</f>
        <v>Good very good, fit, looks very thick, but passed up very cool</v>
      </c>
    </row>
    <row r="8929">
      <c r="A8929" s="1">
        <v>5.0</v>
      </c>
      <c r="B8929" s="1" t="s">
        <v>8873</v>
      </c>
      <c r="C8929" t="str">
        <f>IFERROR(__xludf.DUMMYFUNCTION("GOOGLETRANSLATE(B8929, ""zh"", ""en"")"),"Kitchen pantry did not expect so soon arrived, and check the label seems to be sent over from Italy. Upon receipt immediately I tried a little, feeling very smoothly. Braun product design is not too say. Praise!")</f>
        <v>Kitchen pantry did not expect so soon arrived, and check the label seems to be sent over from Italy. Upon receipt immediately I tried a little, feeling very smoothly. Braun product design is not too say. Praise!</v>
      </c>
    </row>
    <row r="8930">
      <c r="A8930" s="1">
        <v>5.0</v>
      </c>
      <c r="B8930" s="1" t="s">
        <v>8874</v>
      </c>
      <c r="C8930" t="str">
        <f>IFERROR(__xludf.DUMMYFUNCTION("GOOGLETRANSLATE(B8930, ""zh"", ""en"")"),"Good clothes, clothes look good, I 184 high, 200 pounds, wearing XL exactly! Taste is a little big, wash wear! Overall very satisfied.")</f>
        <v>Good clothes, clothes look good, I 184 high, 200 pounds, wearing XL exactly! Taste is a little big, wash wear! Overall very satisfied.</v>
      </c>
    </row>
    <row r="8931">
      <c r="A8931" s="1">
        <v>5.0</v>
      </c>
      <c r="B8931" s="1" t="s">
        <v>8875</v>
      </c>
      <c r="C8931" t="str">
        <f>IFERROR(__xludf.DUMMYFUNCTION("GOOGLETRANSLATE(B8931, ""zh"", ""en"")"),"Good shopping experience inexpensive, very comfortable fabric, size is very standard, very good shopping experience, thanks Amazon!")</f>
        <v>Good shopping experience inexpensive, very comfortable fabric, size is very standard, very good shopping experience, thanks Amazon!</v>
      </c>
    </row>
    <row r="8932">
      <c r="A8932" s="1">
        <v>2.0</v>
      </c>
      <c r="B8932" s="1" t="s">
        <v>8876</v>
      </c>
      <c r="C8932" t="str">
        <f>IFERROR(__xludf.DUMMYFUNCTION("GOOGLETRANSLATE(B8932, ""zh"", ""en"")"),"Good quality and poor wear once Poliaogedong, the texture is also very general")</f>
        <v>Good quality and poor wear once Poliaogedong, the texture is also very general</v>
      </c>
    </row>
    <row r="8933">
      <c r="A8933" s="1">
        <v>3.0</v>
      </c>
      <c r="B8933" s="1" t="s">
        <v>8877</v>
      </c>
      <c r="C8933" t="str">
        <f>IFERROR(__xludf.DUMMYFUNCTION("GOOGLETRANSLATE(B8933, ""zh"", ""en"")"),"Color The color is too heavy, to buy time to see the pictures and not so heavy, I would like to retire freight scary, can not try on-site shopping, or experience is not good, like a general quality")</f>
        <v>Color The color is too heavy, to buy time to see the pictures and not so heavy, I would like to retire freight scary, can not try on-site shopping, or experience is not good, like a general quality</v>
      </c>
    </row>
    <row r="8934">
      <c r="A8934" s="1">
        <v>3.0</v>
      </c>
      <c r="B8934" s="1" t="s">
        <v>8878</v>
      </c>
      <c r="C8934" t="str">
        <f>IFERROR(__xludf.DUMMYFUNCTION("GOOGLETRANSLATE(B8934, ""zh"", ""en"")"),"Insulation good color a little big")</f>
        <v>Insulation good color a little big</v>
      </c>
    </row>
    <row r="8935">
      <c r="A8935" s="1">
        <v>1.0</v>
      </c>
      <c r="B8935" s="1" t="s">
        <v>8879</v>
      </c>
      <c r="C8935" t="str">
        <f>IFERROR(__xludf.DUMMYFUNCTION("GOOGLETRANSLATE(B8935, ""zh"", ""en"")"),"Deceive consumers only the lowest one-star, and I want to give 0, clothes and pictures of serious discrepancies, not just color, even the style is different, and even took on the pocket. I was a ghost.")</f>
        <v>Deceive consumers only the lowest one-star, and I want to give 0, clothes and pictures of serious discrepancies, not just color, even the style is different, and even took on the pocket. I was a ghost.</v>
      </c>
    </row>
    <row r="8936">
      <c r="A8936" s="1">
        <v>1.0</v>
      </c>
      <c r="B8936" s="1" t="s">
        <v>8880</v>
      </c>
      <c r="C8936" t="str">
        <f>IFERROR(__xludf.DUMMYFUNCTION("GOOGLETRANSLATE(B8936, ""zh"", ""en"")"),"Maidaojiahuo I purchased lamy lx series, but not only does the tip, packaging is also the star of packaging, different colors and gold, the tail end of the pen is a stellar series. At the same time not dedicated pen nib. A look that is defective products."&amp;" Special packaging is not lx Pen series, the metal does not turn the knob")</f>
        <v>Maidaojiahuo I purchased lamy lx series, but not only does the tip, packaging is also the star of packaging, different colors and gold, the tail end of the pen is a stellar series. At the same time not dedicated pen nib. A look that is defective products. Special packaging is not lx Pen series, the metal does not turn the knob</v>
      </c>
    </row>
    <row r="8937">
      <c r="A8937" s="1">
        <v>1.0</v>
      </c>
      <c r="B8937" s="1" t="s">
        <v>8881</v>
      </c>
      <c r="C8937" t="str">
        <f>IFERROR(__xludf.DUMMYFUNCTION("GOOGLETRANSLATE(B8937, ""zh"", ""en"")"),"It can also okay, but really a bit small, put one hundred yuan can not hold a lot, cortex okay")</f>
        <v>It can also okay, but really a bit small, put one hundred yuan can not hold a lot, cortex okay</v>
      </c>
    </row>
    <row r="8938">
      <c r="A8938" s="1">
        <v>4.0</v>
      </c>
      <c r="B8938" s="1" t="s">
        <v>8882</v>
      </c>
      <c r="C8938" t="str">
        <f>IFERROR(__xludf.DUMMYFUNCTION("GOOGLETRANSLATE(B8938, ""zh"", ""en"")"),"US size is too large 165cm, 50kg buy xs waist is slightly larger, no other problems. Everyday wear comfortable")</f>
        <v>US size is too large 165cm, 50kg buy xs waist is slightly larger, no other problems. Everyday wear comfortable</v>
      </c>
    </row>
    <row r="8939">
      <c r="A8939" s="1">
        <v>4.0</v>
      </c>
      <c r="B8939" s="1" t="s">
        <v>8883</v>
      </c>
      <c r="C8939" t="str">
        <f>IFERROR(__xludf.DUMMYFUNCTION("GOOGLETRANSLATE(B8939, ""zh"", ""en"")"),"Products on the whole, more classic appearance of silver, the weight is not too heavy. About nib, nib M is probably the tip of the corresponding 0.7mm, more suited to write in English, but I used to write Chinese characters feeling good, acceptable. But d"&amp;"id not mention the ink, only one ink sac, additional Amat ink.")</f>
        <v>Products on the whole, more classic appearance of silver, the weight is not too heavy. About nib, nib M is probably the tip of the corresponding 0.7mm, more suited to write in English, but I used to write Chinese characters feeling good, acceptable. But did not mention the ink, only one ink sac, additional Amat ink.</v>
      </c>
    </row>
    <row r="8940">
      <c r="A8940" s="1">
        <v>4.0</v>
      </c>
      <c r="B8940" s="1" t="s">
        <v>8884</v>
      </c>
      <c r="C8940" t="str">
        <f>IFERROR(__xludf.DUMMYFUNCTION("GOOGLETRANSLATE(B8940, ""zh"", ""en"")"),"Size small size is too small, narrow shoes, usually 37 to buy 4.5UK, still feel a little tight, you should remove the insoles job.")</f>
        <v>Size small size is too small, narrow shoes, usually 37 to buy 4.5UK, still feel a little tight, you should remove the insoles job.</v>
      </c>
    </row>
    <row r="8941">
      <c r="A8941" s="1">
        <v>4.0</v>
      </c>
      <c r="B8941" s="1" t="s">
        <v>8885</v>
      </c>
      <c r="C8941" t="str">
        <f>IFERROR(__xludf.DUMMYFUNCTION("GOOGLETRANSLATE(B8941, ""zh"", ""en"")"),"I did not expect this leakage cup cup water leakage ah! Children brought you out soup, actually missed, but the insulation effect is not good")</f>
        <v>I did not expect this leakage cup cup water leakage ah! Children brought you out soup, actually missed, but the insulation effect is not good</v>
      </c>
    </row>
    <row r="8942">
      <c r="A8942" s="1">
        <v>4.0</v>
      </c>
      <c r="B8942" s="1" t="s">
        <v>8886</v>
      </c>
      <c r="C8942" t="str">
        <f>IFERROR(__xludf.DUMMYFUNCTION("GOOGLETRANSLATE(B8942, ""zh"", ""en"")"),"To Tucao the packaging bad packaging, and just a few letters of the tape, a box with multiple damaged goods on the box itself. Filter kettle inside the box just fine")</f>
        <v>To Tucao the packaging bad packaging, and just a few letters of the tape, a box with multiple damaged goods on the box itself. Filter kettle inside the box just fine</v>
      </c>
    </row>
    <row r="8943">
      <c r="A8943" s="1">
        <v>5.0</v>
      </c>
      <c r="B8943" s="1" t="s">
        <v>8887</v>
      </c>
      <c r="C8943" t="str">
        <f>IFERROR(__xludf.DUMMYFUNCTION("GOOGLETRANSLATE(B8943, ""zh"", ""en"")"),"Good quality and high quality, fine workmanship, a great cup")</f>
        <v>Good quality and high quality, fine workmanship, a great cup</v>
      </c>
    </row>
    <row r="8944">
      <c r="A8944" s="1">
        <v>5.0</v>
      </c>
      <c r="B8944" s="1" t="s">
        <v>8888</v>
      </c>
      <c r="C8944" t="str">
        <f>IFERROR(__xludf.DUMMYFUNCTION("GOOGLETRANSLATE(B8944, ""zh"", ""en"")"),"Choose the right size according to the foot length size is very appropriate ~ clearance took a long time")</f>
        <v>Choose the right size according to the foot length size is very appropriate ~ clearance took a long time</v>
      </c>
    </row>
    <row r="8945">
      <c r="A8945" s="1">
        <v>5.0</v>
      </c>
      <c r="B8945" s="1" t="s">
        <v>8889</v>
      </c>
      <c r="C8945" t="str">
        <f>IFERROR(__xludf.DUMMYFUNCTION("GOOGLETRANSLATE(B8945, ""zh"", ""en"")"),"Cheap, Bang Bang quality clothes! worth having! like! Cheap, Bang Bang quality clothes! worth having! like!")</f>
        <v>Cheap, Bang Bang quality clothes! worth having! like! Cheap, Bang Bang quality clothes! worth having! like!</v>
      </c>
    </row>
    <row r="8946">
      <c r="A8946" s="1">
        <v>5.0</v>
      </c>
      <c r="B8946" s="1" t="s">
        <v>8890</v>
      </c>
      <c r="C8946" t="str">
        <f>IFERROR(__xludf.DUMMYFUNCTION("GOOGLETRANSLATE(B8946, ""zh"", ""en"")"),"Fortunately, the overall size is a comfortable fit exactly two sleeves a little longer I do not know why")</f>
        <v>Fortunately, the overall size is a comfortable fit exactly two sleeves a little longer I do not know why</v>
      </c>
    </row>
    <row r="8947">
      <c r="A8947" s="1">
        <v>5.0</v>
      </c>
      <c r="B8947" s="1" t="s">
        <v>8891</v>
      </c>
      <c r="C8947" t="str">
        <f>IFERROR(__xludf.DUMMYFUNCTION("GOOGLETRANSLATE(B8947, ""zh"", ""en"")"),"Perfect fit! Lee previously bought the pants fit has never been quite like this. The length and degree of fat just right, 170cm plus 72 kilograms, no stick leg cuffs. I feel very comfortable to wear, fabrics thick, a little weight, wearing a three-year es"&amp;"timate is no problem.")</f>
        <v>Perfect fit! Lee previously bought the pants fit has never been quite like this. The length and degree of fat just right, 170cm plus 72 kilograms, no stick leg cuffs. I feel very comfortable to wear, fabrics thick, a little weight, wearing a three-year estimate is no problem.</v>
      </c>
    </row>
    <row r="8948">
      <c r="A8948" s="1">
        <v>5.0</v>
      </c>
      <c r="B8948" s="1" t="s">
        <v>8892</v>
      </c>
      <c r="C8948" t="str">
        <f>IFERROR(__xludf.DUMMYFUNCTION("GOOGLETRANSLATE(B8948, ""zh"", ""en"")"),"Very very pleased to wear for some time very fit, very much.")</f>
        <v>Very very pleased to wear for some time very fit, very much.</v>
      </c>
    </row>
    <row r="8949">
      <c r="A8949" s="1">
        <v>5.0</v>
      </c>
      <c r="B8949" s="1" t="s">
        <v>8893</v>
      </c>
      <c r="C8949" t="str">
        <f>IFERROR(__xludf.DUMMYFUNCTION("GOOGLETRANSLATE(B8949, ""zh"", ""en"")"),"Yan Yan value higher value burst table, slim shoe foot width recommended freshman code, and thin portion of the front sole is not recommended for long walk.")</f>
        <v>Yan Yan value higher value burst table, slim shoe foot width recommended freshman code, and thin portion of the front sole is not recommended for long walk.</v>
      </c>
    </row>
    <row r="8950">
      <c r="A8950" s="1">
        <v>5.0</v>
      </c>
      <c r="B8950" s="1" t="s">
        <v>8894</v>
      </c>
      <c r="C8950" t="str">
        <f>IFERROR(__xludf.DUMMYFUNCTION("GOOGLETRANSLATE(B8950, ""zh"", ""en"")"),"Not bad, next time, thank you 1")</f>
        <v>Not bad, next time, thank you 1</v>
      </c>
    </row>
    <row r="8951">
      <c r="A8951" s="1">
        <v>5.0</v>
      </c>
      <c r="B8951" s="1" t="s">
        <v>8895</v>
      </c>
      <c r="C8951" t="str">
        <f>IFERROR(__xludf.DUMMYFUNCTION("GOOGLETRANSLATE(B8951, ""zh"", ""en"")"),"You can also use relatively small, quality can be")</f>
        <v>You can also use relatively small, quality can be</v>
      </c>
    </row>
    <row r="8952">
      <c r="A8952" s="1">
        <v>5.0</v>
      </c>
      <c r="B8952" s="1" t="s">
        <v>8896</v>
      </c>
      <c r="C8952" t="str">
        <f>IFERROR(__xludf.DUMMYFUNCTION("GOOGLETRANSLATE(B8952, ""zh"", ""en"")"),"Domestic okay Fortunately, not Vietnam or Laos okay")</f>
        <v>Domestic okay Fortunately, not Vietnam or Laos okay</v>
      </c>
    </row>
    <row r="8953">
      <c r="A8953" s="1">
        <v>5.0</v>
      </c>
      <c r="B8953" s="1" t="s">
        <v>8897</v>
      </c>
      <c r="C8953" t="str">
        <f>IFERROR(__xludf.DUMMYFUNCTION("GOOGLETRANSLATE(B8953, ""zh"", ""en"")"),"Very flexible, very flexible and comfortable to wear pants, waist is super flexible, 175/62 option 30W / 30L exactly. Suitable for spring and autumn and winter wear a bit thick, straight hair US 🇺🇸UPS, Suzhou four days arrive, the list shows that the US"&amp;" price of $ 35.")</f>
        <v>Very flexible, very flexible and comfortable to wear pants, waist is super flexible, 175/62 option 30W / 30L exactly. Suitable for spring and autumn and winter wear a bit thick, straight hair US 🇺🇸UPS, Suzhou four days arrive, the list shows that the US price of $ 35.</v>
      </c>
    </row>
    <row r="8954">
      <c r="A8954" s="1">
        <v>5.0</v>
      </c>
      <c r="B8954" s="1" t="s">
        <v>8898</v>
      </c>
      <c r="C8954" t="str">
        <f>IFERROR(__xludf.DUMMYFUNCTION("GOOGLETRANSLATE(B8954, ""zh"", ""en"")"),"It fits well I like it.")</f>
        <v>It fits well I like it.</v>
      </c>
    </row>
    <row r="8955">
      <c r="A8955" s="1">
        <v>5.0</v>
      </c>
      <c r="B8955" s="1" t="s">
        <v>8899</v>
      </c>
      <c r="C8955" t="str">
        <f>IFERROR(__xludf.DUMMYFUNCTION("GOOGLETRANSLATE(B8955, ""zh"", ""en"")"),"Physical appearance can be normal speed, add more convenient otg")</f>
        <v>Physical appearance can be normal speed, add more convenient otg</v>
      </c>
    </row>
    <row r="8956">
      <c r="A8956" s="1">
        <v>5.0</v>
      </c>
      <c r="B8956" s="1" t="s">
        <v>8900</v>
      </c>
      <c r="C8956" t="str">
        <f>IFERROR(__xludf.DUMMYFUNCTION("GOOGLETRANSLATE(B8956, ""zh"", ""en"")"),"Pretty nice ~ ~ ~ easy ~ is pretty huge volume slight inconvenience ~ ~")</f>
        <v>Pretty nice ~ ~ ~ easy ~ is pretty huge volume slight inconvenience ~ ~</v>
      </c>
    </row>
    <row r="8957">
      <c r="A8957" s="1">
        <v>5.0</v>
      </c>
      <c r="B8957" s="1" t="s">
        <v>8901</v>
      </c>
      <c r="C8957" t="str">
        <f>IFERROR(__xludf.DUMMYFUNCTION("GOOGLETRANSLATE(B8957, ""zh"", ""en"")"),"Fit, very good! Very fit, high 170 weight 63, not too tight or loose, recommended to buy.")</f>
        <v>Fit, very good! Very fit, high 170 weight 63, not too tight or loose, recommended to buy.</v>
      </c>
    </row>
    <row r="8958">
      <c r="A8958" s="1">
        <v>5.0</v>
      </c>
      <c r="B8958" s="1" t="s">
        <v>8902</v>
      </c>
      <c r="C8958" t="str">
        <f>IFERROR(__xludf.DUMMYFUNCTION("GOOGLETRANSLATE(B8958, ""zh"", ""en"")"),"Trustworthy watch is very beautiful, accurate travel time.")</f>
        <v>Trustworthy watch is very beautiful, accurate travel time.</v>
      </c>
    </row>
    <row r="8959">
      <c r="A8959" s="1">
        <v>5.0</v>
      </c>
      <c r="B8959" s="1" t="s">
        <v>8903</v>
      </c>
      <c r="C8959" t="str">
        <f>IFERROR(__xludf.DUMMYFUNCTION("GOOGLETRANSLATE(B8959, ""zh"", ""en"")"),"Okay insulation effect is very good, with a few days have not found paint chips")</f>
        <v>Okay insulation effect is very good, with a few days have not found paint chips</v>
      </c>
    </row>
    <row r="8960">
      <c r="A8960" s="1">
        <v>5.0</v>
      </c>
      <c r="B8960" s="1" t="s">
        <v>8904</v>
      </c>
      <c r="C8960" t="str">
        <f>IFERROR(__xludf.DUMMYFUNCTION("GOOGLETRANSLATE(B8960, ""zh"", ""en"")"),"Things have not used all Tuen, Tuen all the things have not used all Tuen, all Tuen")</f>
        <v>Things have not used all Tuen, Tuen all the things have not used all Tuen, all Tuen</v>
      </c>
    </row>
    <row r="8961">
      <c r="A8961" s="1">
        <v>5.0</v>
      </c>
      <c r="B8961" s="1" t="s">
        <v>8905</v>
      </c>
      <c r="C8961" t="str">
        <f>IFERROR(__xludf.DUMMYFUNCTION("GOOGLETRANSLATE(B8961, ""zh"", ""en"")"),"High cost of good things, happy 😊")</f>
        <v>High cost of good things, happy 😊</v>
      </c>
    </row>
    <row r="8962">
      <c r="A8962" s="1">
        <v>5.0</v>
      </c>
      <c r="B8962" s="1" t="s">
        <v>8906</v>
      </c>
      <c r="C8962" t="str">
        <f>IFERROR(__xludf.DUMMYFUNCTION("GOOGLETRANSLATE(B8962, ""zh"", ""en"")"),"Mimi da than I imagined big too ✌️. . Color is completely satisfied tingling girl's mind. Ha ha ha")</f>
        <v>Mimi da than I imagined big too ✌️. . Color is completely satisfied tingling girl's mind. Ha ha ha</v>
      </c>
    </row>
    <row r="8963">
      <c r="A8963" s="1">
        <v>5.0</v>
      </c>
      <c r="B8963" s="1" t="s">
        <v>8907</v>
      </c>
      <c r="C8963" t="str">
        <f>IFERROR(__xludf.DUMMYFUNCTION("GOOGLETRANSLATE(B8963, ""zh"", ""en"")"),"Good quality, reasonable prices, unlike say a few downstairs, cargo work is still possible, boil the sound is not big, I do not understand why some say made in China so bad, talk to an objective point . Must not xenophilia")</f>
        <v>Good quality, reasonable prices, unlike say a few downstairs, cargo work is still possible, boil the sound is not big, I do not understand why some say made in China so bad, talk to an objective point . Must not xenophilia</v>
      </c>
    </row>
    <row r="8964">
      <c r="A8964" s="1">
        <v>5.0</v>
      </c>
      <c r="B8964" s="1" t="s">
        <v>8908</v>
      </c>
      <c r="C8964" t="str">
        <f>IFERROR(__xludf.DUMMYFUNCTION("GOOGLETRANSLATE(B8964, ""zh"", ""en"")"),"Comfortable is also good, the price is very affordable. Yet it is also comfortable to wear.")</f>
        <v>Comfortable is also good, the price is very affordable. Yet it is also comfortable to wear.</v>
      </c>
    </row>
    <row r="8965">
      <c r="A8965" s="1">
        <v>2.0</v>
      </c>
      <c r="B8965" s="1" t="s">
        <v>8909</v>
      </c>
      <c r="C8965" t="str">
        <f>IFERROR(__xludf.DUMMYFUNCTION("GOOGLETRANSLATE(B8965, ""zh"", ""en"")"),"Quality is generally a year figures have not come out, not quality ah")</f>
        <v>Quality is generally a year figures have not come out, not quality ah</v>
      </c>
    </row>
    <row r="8966">
      <c r="A8966" s="1">
        <v>3.0</v>
      </c>
      <c r="B8966" s="1" t="s">
        <v>8910</v>
      </c>
      <c r="C8966" t="str">
        <f>IFERROR(__xludf.DUMMYFUNCTION("GOOGLETRANSLATE(B8966, ""zh"", ""en"")"),"Cost is not an ordinary high thickness, with over one hundred of the gap sweater almost no picture bright color, size is too large, a little regret")</f>
        <v>Cost is not an ordinary high thickness, with over one hundred of the gap sweater almost no picture bright color, size is too large, a little regret</v>
      </c>
    </row>
    <row r="8967">
      <c r="A8967" s="1">
        <v>3.0</v>
      </c>
      <c r="B8967" s="1" t="s">
        <v>8911</v>
      </c>
      <c r="C8967" t="str">
        <f>IFERROR(__xludf.DUMMYFUNCTION("GOOGLETRANSLATE(B8967, ""zh"", ""en"")"),"Shoes are too bulky, too heavy! Modeling, product phase can, but really too heavy, a little bit too large, it should be wrapped issues, we recommended to buy less than half yards, to be sure")</f>
        <v>Shoes are too bulky, too heavy! Modeling, product phase can, but really too heavy, a little bit too large, it should be wrapped issues, we recommended to buy less than half yards, to be sure</v>
      </c>
    </row>
    <row r="8968">
      <c r="A8968" s="1">
        <v>3.0</v>
      </c>
      <c r="B8968" s="1" t="s">
        <v>8912</v>
      </c>
      <c r="C8968" t="str">
        <f>IFERROR(__xludf.DUMMYFUNCTION("GOOGLETRANSLATE(B8968, ""zh"", ""en"")"),"Sound quality is okay. Wear against humanity. Wearing too strange, it is a short time with ear pain. Even if you want to use it everyday street wear out soon, you have to wear a moment to win. Sound, then it is possible. Generally low volume, very good re"&amp;"solve. Girls should be able to listen to and ACG. Listen EDM and R &amp; amp; B almost means.")</f>
        <v>Sound quality is okay. Wear against humanity. Wearing too strange, it is a short time with ear pain. Even if you want to use it everyday street wear out soon, you have to wear a moment to win. Sound, then it is possible. Generally low volume, very good resolve. Girls should be able to listen to and ACG. Listen EDM and R &amp; amp; B almost means.</v>
      </c>
    </row>
    <row r="8969">
      <c r="A8969" s="1">
        <v>1.0</v>
      </c>
      <c r="B8969" s="1" t="s">
        <v>8913</v>
      </c>
      <c r="C8969" t="str">
        <f>IFERROR(__xludf.DUMMYFUNCTION("GOOGLETRANSLATE(B8969, ""zh"", ""en"")"),"Too hard to wear a chicken no idea of ​​the wear")</f>
        <v>Too hard to wear a chicken no idea of ​​the wear</v>
      </c>
    </row>
    <row r="8970">
      <c r="A8970" s="1">
        <v>1.0</v>
      </c>
      <c r="B8970" s="1" t="s">
        <v>8914</v>
      </c>
      <c r="C8970" t="str">
        <f>IFERROR(__xludf.DUMMYFUNCTION("GOOGLETRANSLATE(B8970, ""zh"", ""en"")"),"Do not buy too hard as the carton material is simply no way to wear")</f>
        <v>Do not buy too hard as the carton material is simply no way to wear</v>
      </c>
    </row>
    <row r="8971">
      <c r="A8971" s="1">
        <v>1.0</v>
      </c>
      <c r="B8971" s="1" t="s">
        <v>8915</v>
      </c>
      <c r="C8971" t="str">
        <f>IFERROR(__xludf.DUMMYFUNCTION("GOOGLETRANSLATE(B8971, ""zh"", ""en"")"),"Nausea real world real sick. Customer service keeps say there is no secondary sales, could get no evidence of the customs inspection of Kaifeng, how open customs inspection stickers complete the first layer in the packaging sticker torn occur? Upload phot"&amp;"os hit several times said he would reply, and finally the system sent a text message saying please be assured that I trust you bibibi, to do such a thing can not be sold in the page marked explanation? Such personal care products do this unitary moths, re"&amp;"ally disgusted, Amazon lifetime Black")</f>
        <v>Nausea real world real sick. Customer service keeps say there is no secondary sales, could get no evidence of the customs inspection of Kaifeng, how open customs inspection stickers complete the first layer in the packaging sticker torn occur? Upload photos hit several times said he would reply, and finally the system sent a text message saying please be assured that I trust you bibibi, to do such a thing can not be sold in the page marked explanation? Such personal care products do this unitary moths, really disgusted, Amazon lifetime Black</v>
      </c>
    </row>
    <row r="8972">
      <c r="A8972" s="1">
        <v>4.0</v>
      </c>
      <c r="B8972" s="1" t="s">
        <v>8916</v>
      </c>
      <c r="C8972" t="str">
        <f>IFERROR(__xludf.DUMMYFUNCTION("GOOGLETRANSLATE(B8972, ""zh"", ""en"")"),"Quite like a piece of paint chips is a bit flawed quite like a piece of paint chips is a bit flawed")</f>
        <v>Quite like a piece of paint chips is a bit flawed quite like a piece of paint chips is a bit flawed</v>
      </c>
    </row>
    <row r="8973">
      <c r="A8973" s="1">
        <v>4.0</v>
      </c>
      <c r="B8973" s="1" t="s">
        <v>8917</v>
      </c>
      <c r="C8973" t="str">
        <f>IFERROR(__xludf.DUMMYFUNCTION("GOOGLETRANSLATE(B8973, ""zh"", ""en"")"),"Good quality, a little taste of home, there are three treasure, what to buy three, a little taste, cook a bit dry for several days.")</f>
        <v>Good quality, a little taste of home, there are three treasure, what to buy three, a little taste, cook a bit dry for several days.</v>
      </c>
    </row>
    <row r="8974">
      <c r="A8974" s="1">
        <v>4.0</v>
      </c>
      <c r="B8974" s="1" t="s">
        <v>8918</v>
      </c>
      <c r="C8974" t="str">
        <f>IFERROR(__xludf.DUMMYFUNCTION("GOOGLETRANSLATE(B8974, ""zh"", ""en"")"),"Good good, the right size (175,74)")</f>
        <v>Good good, the right size (175,74)</v>
      </c>
    </row>
    <row r="8975">
      <c r="A8975" s="1">
        <v>4.0</v>
      </c>
      <c r="B8975" s="1" t="s">
        <v>8919</v>
      </c>
      <c r="C8975" t="str">
        <f>IFERROR(__xludf.DUMMYFUNCTION("GOOGLETRANSLATE(B8975, ""zh"", ""en"")"),"Good good style, partial thickness")</f>
        <v>Good good style, partial thickness</v>
      </c>
    </row>
    <row r="8976">
      <c r="A8976" s="1">
        <v>5.0</v>
      </c>
      <c r="B8976" s="1" t="s">
        <v>8920</v>
      </c>
      <c r="C8976" t="str">
        <f>IFERROR(__xludf.DUMMYFUNCTION("GOOGLETRANSLATE(B8976, ""zh"", ""en"")"),"Exquisite workmanship very good, is packing a little ugly")</f>
        <v>Exquisite workmanship very good, is packing a little ugly</v>
      </c>
    </row>
    <row r="8977">
      <c r="A8977" s="1">
        <v>5.0</v>
      </c>
      <c r="B8977" s="1" t="s">
        <v>8921</v>
      </c>
      <c r="C8977" t="str">
        <f>IFERROR(__xludf.DUMMYFUNCTION("GOOGLETRANSLATE(B8977, ""zh"", ""en"")"),"Charming home just circle without underwear, comfortable; almost a little personal nature")</f>
        <v>Charming home just circle without underwear, comfortable; almost a little personal nature</v>
      </c>
    </row>
    <row r="8978">
      <c r="A8978" s="1">
        <v>5.0</v>
      </c>
      <c r="B8978" s="1" t="s">
        <v>8922</v>
      </c>
      <c r="C8978" t="str">
        <f>IFERROR(__xludf.DUMMYFUNCTION("GOOGLETRANSLATE(B8978, ""zh"", ""en"")"),"Small half a yard of soft, soft leather, lightweight shoes.")</f>
        <v>Small half a yard of soft, soft leather, lightweight shoes.</v>
      </c>
    </row>
    <row r="8979">
      <c r="A8979" s="1">
        <v>5.0</v>
      </c>
      <c r="B8979" s="1" t="s">
        <v>8923</v>
      </c>
      <c r="C8979" t="str">
        <f>IFERROR(__xludf.DUMMYFUNCTION("GOOGLETRANSLATE(B8979, ""zh"", ""en"")"),"You can also have a little bit of flavor, soak the water is gone for two days, good insulation effect, in general, or very satisfied.")</f>
        <v>You can also have a little bit of flavor, soak the water is gone for two days, good insulation effect, in general, or very satisfied.</v>
      </c>
    </row>
    <row r="8980">
      <c r="A8980" s="1">
        <v>5.0</v>
      </c>
      <c r="B8980" s="1" t="s">
        <v>8924</v>
      </c>
      <c r="C8980" t="str">
        <f>IFERROR(__xludf.DUMMYFUNCTION("GOOGLETRANSLATE(B8980, ""zh"", ""en"")"),"Small pot can buy a small pot to buy a good piece of steak fried only slightly crowded two As some critics say stick pan on low heat technology skeptical put oil wok to a certain extent and put a steak or eggs high temperature short time the outside layer"&amp;" of fried coke does not stick hard enough Jichong pot temperature stick of what to put anything burning pot and then put the first small fish gently for a reason not fade and other packaging is a simple bare pot put a small box Fortunately, lossless logis"&amp;"tics 10 days to about eight days Customs not the card to be accepted")</f>
        <v>Small pot can buy a small pot to buy a good piece of steak fried only slightly crowded two As some critics say stick pan on low heat technology skeptical put oil wok to a certain extent and put a steak or eggs high temperature short time the outside layer of fried coke does not stick hard enough Jichong pot temperature stick of what to put anything burning pot and then put the first small fish gently for a reason not fade and other packaging is a simple bare pot put a small box Fortunately, lossless logistics 10 days to about eight days Customs not the card to be accepted</v>
      </c>
    </row>
    <row r="8981">
      <c r="A8981" s="1">
        <v>5.0</v>
      </c>
      <c r="B8981" s="1" t="s">
        <v>8925</v>
      </c>
      <c r="C8981" t="str">
        <f>IFERROR(__xludf.DUMMYFUNCTION("GOOGLETRANSLATE(B8981, ""zh"", ""en"")"),"A set of two affordable. I hope easy to use. A set of two affordable. I hope easy to use.")</f>
        <v>A set of two affordable. I hope easy to use. A set of two affordable. I hope easy to use.</v>
      </c>
    </row>
    <row r="8982">
      <c r="A8982" s="1">
        <v>5.0</v>
      </c>
      <c r="B8982" s="1" t="s">
        <v>8926</v>
      </c>
      <c r="C8982" t="str">
        <f>IFERROR(__xludf.DUMMYFUNCTION("GOOGLETRANSLATE(B8982, ""zh"", ""en"")"),"Bars look good, not bad")</f>
        <v>Bars look good, not bad</v>
      </c>
    </row>
    <row r="8983">
      <c r="A8983" s="1">
        <v>5.0</v>
      </c>
      <c r="B8983" s="1" t="s">
        <v>8927</v>
      </c>
      <c r="C8983" t="str">
        <f>IFERROR(__xludf.DUMMYFUNCTION("GOOGLETRANSLATE(B8983, ""zh"", ""en"")"),"Zojirushi mug bought for the baby, something very good logistics is also very fast, very easy to go out, I have recommended many friends to buy.")</f>
        <v>Zojirushi mug bought for the baby, something very good logistics is also very fast, very easy to go out, I have recommended many friends to buy.</v>
      </c>
    </row>
    <row r="8984">
      <c r="A8984" s="1">
        <v>5.0</v>
      </c>
      <c r="B8984" s="1" t="s">
        <v>8928</v>
      </c>
      <c r="C8984" t="str">
        <f>IFERROR(__xludf.DUMMYFUNCTION("GOOGLETRANSLATE(B8984, ""zh"", ""en"")"),"Great brand strong, generous use of materials, with elastic features, extremely satisfied. Before and bought three.")</f>
        <v>Great brand strong, generous use of materials, with elastic features, extremely satisfied. Before and bought three.</v>
      </c>
    </row>
    <row r="8985">
      <c r="A8985" s="1">
        <v>5.0</v>
      </c>
      <c r="B8985" s="1" t="s">
        <v>8929</v>
      </c>
      <c r="C8985" t="str">
        <f>IFERROR(__xludf.DUMMYFUNCTION("GOOGLETRANSLATE(B8985, ""zh"", ""en"")"),"Pretty good at the toe and heel are hard, the rest is soft to wear for two days, and slowly fit, and I'm 39 feet, valgus big toe, the shoe length just right, slightly squeeze the foot width but wear really cool!")</f>
        <v>Pretty good at the toe and heel are hard, the rest is soft to wear for two days, and slowly fit, and I'm 39 feet, valgus big toe, the shoe length just right, slightly squeeze the foot width but wear really cool!</v>
      </c>
    </row>
    <row r="8986">
      <c r="A8986" s="1">
        <v>5.0</v>
      </c>
      <c r="B8986" s="1" t="s">
        <v>8930</v>
      </c>
      <c r="C8986" t="str">
        <f>IFERROR(__xludf.DUMMYFUNCTION("GOOGLETRANSLATE(B8986, ""zh"", ""en"")"),"Affordable, the version is somewhat less price is very affordable, are two to three hundred domestic version from ...... just a little awkward, long sleeves, others are likely to foreigners the right arm ...... long it ......")</f>
        <v>Affordable, the version is somewhat less price is very affordable, are two to three hundred domestic version from ...... just a little awkward, long sleeves, others are likely to foreigners the right arm ...... long it ......</v>
      </c>
    </row>
    <row r="8987">
      <c r="A8987" s="1">
        <v>5.0</v>
      </c>
      <c r="B8987" s="1" t="s">
        <v>8931</v>
      </c>
      <c r="C8987" t="str">
        <f>IFERROR(__xludf.DUMMYFUNCTION("GOOGLETRANSLATE(B8987, ""zh"", ""en"")"),"Cost-effective not have to say, there is a rich interface. Cost-effective not have to say, there is a rich interface. Divider useful, convenient external subwoofer. The interface is very user-friendly is only half active speakers")</f>
        <v>Cost-effective not have to say, there is a rich interface. Cost-effective not have to say, there is a rich interface. Divider useful, convenient external subwoofer. The interface is very user-friendly is only half active speakers</v>
      </c>
    </row>
    <row r="8988">
      <c r="A8988" s="1">
        <v>5.0</v>
      </c>
      <c r="B8988" s="1" t="s">
        <v>8932</v>
      </c>
      <c r="C8988" t="str">
        <f>IFERROR(__xludf.DUMMYFUNCTION("GOOGLETRANSLATE(B8988, ""zh"", ""en"")"),"Good kind of plastic texture is too strong, but liked the simplicity of the table.")</f>
        <v>Good kind of plastic texture is too strong, but liked the simplicity of the table.</v>
      </c>
    </row>
    <row r="8989">
      <c r="A8989" s="1">
        <v>5.0</v>
      </c>
      <c r="B8989" s="1" t="s">
        <v>8933</v>
      </c>
      <c r="C8989" t="str">
        <f>IFERROR(__xludf.DUMMYFUNCTION("GOOGLETRANSLATE(B8989, ""zh"", ""en"")"),"The higher cost price, fly in the ointment is very hard strap, belt watch Citizen generally have this problem?")</f>
        <v>The higher cost price, fly in the ointment is very hard strap, belt watch Citizen generally have this problem?</v>
      </c>
    </row>
    <row r="8990">
      <c r="A8990" s="1">
        <v>5.0</v>
      </c>
      <c r="B8990" s="1" t="s">
        <v>8934</v>
      </c>
      <c r="C8990" t="str">
        <f>IFERROR(__xludf.DUMMYFUNCTION("GOOGLETRANSLATE(B8990, ""zh"", ""en"")"),"good times to buy this brand, and fine workmanship, looking very good. Shipped quickly, satisfied with the shopping!")</f>
        <v>good times to buy this brand, and fine workmanship, looking very good. Shipped quickly, satisfied with the shopping!</v>
      </c>
    </row>
    <row r="8991">
      <c r="A8991" s="1">
        <v>5.0</v>
      </c>
      <c r="B8991" s="1" t="s">
        <v>8935</v>
      </c>
      <c r="C8991" t="str">
        <f>IFERROR(__xludf.DUMMYFUNCTION("GOOGLETRANSLATE(B8991, ""zh"", ""en"")"),"Can also be right, I 17875 body neither fat nor thin, see comment buy m code, just, than the general domestic freshman code ...")</f>
        <v>Can also be right, I 17875 body neither fat nor thin, see comment buy m code, just, than the general domestic freshman code ...</v>
      </c>
    </row>
    <row r="8992">
      <c r="A8992" s="1">
        <v>5.0</v>
      </c>
      <c r="B8992" s="1" t="s">
        <v>8936</v>
      </c>
      <c r="C8992" t="str">
        <f>IFERROR(__xludf.DUMMYFUNCTION("GOOGLETRANSLATE(B8992, ""zh"", ""en"")"),"Praising the rhubarb boots tangled shoe size of the problem for a long time, finally bought 36 yards, no matter cushion pad half a yard pad size are just right, it will take 37 big, waited half a month's logistics, but also good shoes did not let me down,"&amp;" in addition to the packaging too simple, others are good, very much! No other comments that are very hard, very comfortable to wear, praising!")</f>
        <v>Praising the rhubarb boots tangled shoe size of the problem for a long time, finally bought 36 yards, no matter cushion pad half a yard pad size are just right, it will take 37 big, waited half a month's logistics, but also good shoes did not let me down, in addition to the packaging too simple, others are good, very much! No other comments that are very hard, very comfortable to wear, praising!</v>
      </c>
    </row>
    <row r="8993">
      <c r="A8993" s="1">
        <v>5.0</v>
      </c>
      <c r="B8993" s="1" t="s">
        <v>8937</v>
      </c>
      <c r="C8993" t="str">
        <f>IFERROR(__xludf.DUMMYFUNCTION("GOOGLETRANSLATE(B8993, ""zh"", ""en"")"),"Highly recommended shipped all the way from the coffee machine itself only packing box, and then multiple packages are not, fortunately box strong enough, the machine is not damaged. Domestic voltage can, do it good coffee flavor, a little big noise, Amaz"&amp;"on's price advantage is still very strong push.")</f>
        <v>Highly recommended shipped all the way from the coffee machine itself only packing box, and then multiple packages are not, fortunately box strong enough, the machine is not damaged. Domestic voltage can, do it good coffee flavor, a little big noise, Amazon's price advantage is still very strong push.</v>
      </c>
    </row>
    <row r="8994">
      <c r="A8994" s="1">
        <v>5.0</v>
      </c>
      <c r="B8994" s="1" t="s">
        <v>8938</v>
      </c>
      <c r="C8994" t="str">
        <f>IFERROR(__xludf.DUMMYFUNCTION("GOOGLETRANSLATE(B8994, ""zh"", ""en"")"),"Baby travel essential items for the baby to go out with a very convenient! Awesome")</f>
        <v>Baby travel essential items for the baby to go out with a very convenient! Awesome</v>
      </c>
    </row>
    <row r="8995">
      <c r="A8995" s="1">
        <v>5.0</v>
      </c>
      <c r="B8995" s="1" t="s">
        <v>8939</v>
      </c>
      <c r="C8995" t="str">
        <f>IFERROR(__xludf.DUMMYFUNCTION("GOOGLETRANSLATE(B8995, ""zh"", ""en"")"),"Heart 185cm79KG W31L34 perfect fit. Whine ~ price is right, even in the winter wear")</f>
        <v>Heart 185cm79KG W31L34 perfect fit. Whine ~ price is right, even in the winter wear</v>
      </c>
    </row>
    <row r="8996">
      <c r="A8996" s="1">
        <v>5.0</v>
      </c>
      <c r="B8996" s="1" t="s">
        <v>8940</v>
      </c>
      <c r="C8996" t="str">
        <f>IFERROR(__xludf.DUMMYFUNCTION("GOOGLETRANSLATE(B8996, ""zh"", ""en"")"),"Headset truly good headphones. A headset can sell more than 20 years, he is able to explain the problem. Nichia shipping, packaging is very stable, fast delivery count. Indeed workmanship is very general, I feel very strong. Take 09PLUS good push, good an"&amp;"alytical, sound field a small point. Suitable popular, especially for European and American pop, solo instruments also, even if the symphony. Although 70 Europe, a plus five can hear.")</f>
        <v>Headset truly good headphones. A headset can sell more than 20 years, he is able to explain the problem. Nichia shipping, packaging is very stable, fast delivery count. Indeed workmanship is very general, I feel very strong. Take 09PLUS good push, good analytical, sound field a small point. Suitable popular, especially for European and American pop, solo instruments also, even if the symphony. Although 70 Europe, a plus five can hear.</v>
      </c>
    </row>
    <row r="8997">
      <c r="A8997" s="1">
        <v>5.0</v>
      </c>
      <c r="B8997" s="1" t="s">
        <v>8941</v>
      </c>
      <c r="C8997" t="str">
        <f>IFERROR(__xludf.DUMMYFUNCTION("GOOGLETRANSLATE(B8997, ""zh"", ""en"")"),"satisfaction. Inexpensive, easy to use. Rare is not shipped directly with the product box.")</f>
        <v>satisfaction. Inexpensive, easy to use. Rare is not shipped directly with the product box.</v>
      </c>
    </row>
    <row r="8998">
      <c r="A8998" s="1">
        <v>2.0</v>
      </c>
      <c r="B8998" s="1" t="s">
        <v>8942</v>
      </c>
      <c r="C8998" t="str">
        <f>IFERROR(__xludf.DUMMYFUNCTION("GOOGLETRANSLATE(B8998, ""zh"", ""en"")"),"Not recommended to buy. Which pen design can be. But the material is not good, too light, not weight. Nib is too thick, it does not match the description. disappoint others. And return procedures are complex. Not recommended to buy.")</f>
        <v>Not recommended to buy. Which pen design can be. But the material is not good, too light, not weight. Nib is too thick, it does not match the description. disappoint others. And return procedures are complex. Not recommended to buy.</v>
      </c>
    </row>
    <row r="8999">
      <c r="A8999" s="1">
        <v>3.0</v>
      </c>
      <c r="B8999" s="1" t="s">
        <v>8943</v>
      </c>
      <c r="C8999" t="str">
        <f>IFERROR(__xludf.DUMMYFUNCTION("GOOGLETRANSLATE(B8999, ""zh"", ""en"")"),"Battery durability, sound quality is mediocre sound quality is not too prominent, with the price of them considered ordinary, adjust the volume and switch songs when there will be a ""beep"" is heard a tone, did not like, really super durable battery, the"&amp;" whole day day down to listen is not a problem")</f>
        <v>Battery durability, sound quality is mediocre sound quality is not too prominent, with the price of them considered ordinary, adjust the volume and switch songs when there will be a "beep" is heard a tone, did not like, really super durable battery, the whole day day down to listen is not a problem</v>
      </c>
    </row>
    <row r="9000">
      <c r="A9000" s="1">
        <v>3.0</v>
      </c>
      <c r="B9000" s="1" t="s">
        <v>8944</v>
      </c>
      <c r="C9000" t="str">
        <f>IFERROR(__xludf.DUMMYFUNCTION("GOOGLETRANSLATE(B9000, ""zh"", ""en"")"),"No American hoodie fabrics, focusing on cheaper,")</f>
        <v>No American hoodie fabrics, focusing on cheaper,</v>
      </c>
    </row>
    <row r="9001">
      <c r="A9001" s="1">
        <v>1.0</v>
      </c>
      <c r="B9001" s="1" t="s">
        <v>8945</v>
      </c>
      <c r="C9001" t="str">
        <f>IFERROR(__xludf.DUMMYFUNCTION("GOOGLETRANSLATE(B9001, ""zh"", ""en"")"),"very satisfied! very suitable! Very comfortable! good quality!")</f>
        <v>very satisfied! very suitable! Very comfortable! good quality!</v>
      </c>
    </row>
    <row r="9002">
      <c r="A9002" s="1">
        <v>1.0</v>
      </c>
      <c r="B9002" s="1" t="s">
        <v>8946</v>
      </c>
      <c r="C9002" t="str">
        <f>IFERROR(__xludf.DUMMYFUNCTION("GOOGLETRANSLATE(B9002, ""zh"", ""en"")"),"Quality is very poor, extremely poor quality is not recommended, estimates and Dad almost 9.9 shipping. To counter this price to buy the same quality is not possible, do not know how to be so bad, full of lint, completely substandard products")</f>
        <v>Quality is very poor, extremely poor quality is not recommended, estimates and Dad almost 9.9 shipping. To counter this price to buy the same quality is not possible, do not know how to be so bad, full of lint, completely substandard products</v>
      </c>
    </row>
    <row r="9003">
      <c r="A9003" s="1">
        <v>4.0</v>
      </c>
      <c r="B9003" s="1" t="s">
        <v>8947</v>
      </c>
      <c r="C9003" t="str">
        <f>IFERROR(__xludf.DUMMYFUNCTION("GOOGLETRANSLATE(B9003, ""zh"", ""en"")"),"Cost can also be the first time to buy, relatively narrow, just the length of")</f>
        <v>Cost can also be the first time to buy, relatively narrow, just the length of</v>
      </c>
    </row>
    <row r="9004">
      <c r="A9004" s="1">
        <v>4.0</v>
      </c>
      <c r="B9004" s="1" t="s">
        <v>8948</v>
      </c>
      <c r="C9004" t="str">
        <f>IFERROR(__xludf.DUMMYFUNCTION("GOOGLETRANSLATE(B9004, ""zh"", ""en"")"),"Flavor, full leather cortical plate 36, a belt 38 is also drunk. But right length, eye to a summer resort. Hand belt buckle workmanship thick, leather full leather, feel good, and there was a peculiar aroma, previously have not had to buy leather. very go"&amp;"od.")</f>
        <v>Flavor, full leather cortical plate 36, a belt 38 is also drunk. But right length, eye to a summer resort. Hand belt buckle workmanship thick, leather full leather, feel good, and there was a peculiar aroma, previously have not had to buy leather. very good.</v>
      </c>
    </row>
    <row r="9005">
      <c r="A9005" s="1">
        <v>4.0</v>
      </c>
      <c r="B9005" s="1" t="s">
        <v>8949</v>
      </c>
      <c r="C9005" t="str">
        <f>IFERROR(__xludf.DUMMYFUNCTION("GOOGLETRANSLATE(B9005, ""zh"", ""en"")"),"Height 180 of the waist 96 direct input select 33w or 34w height 180 of the body 90 will recommend 38w, precise adjustment of the rear waist 96cm recommended choice 33w30l, try the next, the waist slightly tight, but the basic be appropriate, acceptable")</f>
        <v>Height 180 of the waist 96 direct input select 33w or 34w height 180 of the body 90 will recommend 38w, precise adjustment of the rear waist 96cm recommended choice 33w30l, try the next, the waist slightly tight, but the basic be appropriate, acceptable</v>
      </c>
    </row>
    <row r="9006">
      <c r="A9006" s="1">
        <v>4.0</v>
      </c>
      <c r="B9006" s="1" t="s">
        <v>8950</v>
      </c>
      <c r="C9006" t="str">
        <f>IFERROR(__xludf.DUMMYFUNCTION("GOOGLETRANSLATE(B9006, ""zh"", ""en"")"),"Rather long pants waist size Shaopian large, long pants noticeably long, 32L actually have 109cm")</f>
        <v>Rather long pants waist size Shaopian large, long pants noticeably long, 32L actually have 109cm</v>
      </c>
    </row>
    <row r="9007">
      <c r="A9007" s="1">
        <v>4.0</v>
      </c>
      <c r="B9007" s="1" t="s">
        <v>8951</v>
      </c>
      <c r="C9007" t="str">
        <f>IFERROR(__xludf.DUMMYFUNCTION("GOOGLETRANSLATE(B9007, ""zh"", ""en"")"),"The arrival of fast, light, texture a bit like a docile stockings, very thin, docile, arrived a week or so")</f>
        <v>The arrival of fast, light, texture a bit like a docile stockings, very thin, docile, arrived a week or so</v>
      </c>
    </row>
    <row r="9008">
      <c r="A9008" s="1">
        <v>5.0</v>
      </c>
      <c r="B9008" s="1" t="s">
        <v>8952</v>
      </c>
      <c r="C9008" t="str">
        <f>IFERROR(__xludf.DUMMYFUNCTION("GOOGLETRANSLATE(B9008, ""zh"", ""en"")"),"Super good joint health Move Free product lifetime really push Achilles tendon injury after more than a year is not comfortable, aching. Wipe the cream or something useless, eat bone peacekeeping force to eat around a bottle does not hurt, I just finished"&amp;" two bottles to comment. After the green for injury recovery, and now I bought a bottle of red as routine maintenance joints. Gave my mother bought Platinum Edition.")</f>
        <v>Super good joint health Move Free product lifetime really push Achilles tendon injury after more than a year is not comfortable, aching. Wipe the cream or something useless, eat bone peacekeeping force to eat around a bottle does not hurt, I just finished two bottles to comment. After the green for injury recovery, and now I bought a bottle of red as routine maintenance joints. Gave my mother bought Platinum Edition.</v>
      </c>
    </row>
    <row r="9009">
      <c r="A9009" s="1">
        <v>5.0</v>
      </c>
      <c r="B9009" s="1" t="s">
        <v>8953</v>
      </c>
      <c r="C9009" t="str">
        <f>IFERROR(__xludf.DUMMYFUNCTION("GOOGLETRANSLATE(B9009, ""zh"", ""en"")"),"It is important to do your homework first got ಥ_ಥ hand does not know what to see, only to find the first charge and then you can use, I have used several times")</f>
        <v>It is important to do your homework first got ಥ_ಥ hand does not know what to see, only to find the first charge and then you can use, I have used several times</v>
      </c>
    </row>
    <row r="9010">
      <c r="A9010" s="1">
        <v>5.0</v>
      </c>
      <c r="B9010" s="1" t="s">
        <v>8954</v>
      </c>
      <c r="C9010" t="str">
        <f>IFERROR(__xludf.DUMMYFUNCTION("GOOGLETRANSLATE(B9010, ""zh"", ""en"")"),"Why should the title? Very good, good color good color mixing, high cost")</f>
        <v>Why should the title? Very good, good color good color mixing, high cost</v>
      </c>
    </row>
    <row r="9011">
      <c r="A9011" s="1">
        <v>5.0</v>
      </c>
      <c r="B9011" s="1" t="s">
        <v>8955</v>
      </c>
      <c r="C9011" t="str">
        <f>IFERROR(__xludf.DUMMYFUNCTION("GOOGLETRANSLATE(B9011, ""zh"", ""en"")"),"Cheap this brand did not drink before, more than 100 yuan 1 kg package, very cheap.")</f>
        <v>Cheap this brand did not drink before, more than 100 yuan 1 kg package, very cheap.</v>
      </c>
    </row>
    <row r="9012">
      <c r="A9012" s="1">
        <v>5.0</v>
      </c>
      <c r="B9012" s="1" t="s">
        <v>8956</v>
      </c>
      <c r="C9012" t="str">
        <f>IFERROR(__xludf.DUMMYFUNCTION("GOOGLETRANSLATE(B9012, ""zh"", ""en"")"),"NICE with a very good, sound quality is feeling better than before, with a half-ear comfort, a long time will not uncomfortable! Delivery less than a week! Much shorter than the display time! Life is too satisfied!")</f>
        <v>NICE with a very good, sound quality is feeling better than before, with a half-ear comfort, a long time will not uncomfortable! Delivery less than a week! Much shorter than the display time! Life is too satisfied!</v>
      </c>
    </row>
    <row r="9013">
      <c r="A9013" s="1">
        <v>5.0</v>
      </c>
      <c r="B9013" s="1" t="s">
        <v>8957</v>
      </c>
      <c r="C9013" t="str">
        <f>IFERROR(__xludf.DUMMYFUNCTION("GOOGLETRANSLATE(B9013, ""zh"", ""en"")"),"Very cute very fond of cutlery")</f>
        <v>Very cute very fond of cutlery</v>
      </c>
    </row>
    <row r="9014">
      <c r="A9014" s="1">
        <v>5.0</v>
      </c>
      <c r="B9014" s="1" t="s">
        <v>8958</v>
      </c>
      <c r="C9014" t="str">
        <f>IFERROR(__xludf.DUMMYFUNCTION("GOOGLETRANSLATE(B9014, ""zh"", ""en"")"),"Like the Zojirushi Zojirushi stew pot roast stew pot insulation effect is good, meticulous workmanship, the right size, a friend saw immediately let me help a single")</f>
        <v>Like the Zojirushi Zojirushi stew pot roast stew pot insulation effect is good, meticulous workmanship, the right size, a friend saw immediately let me help a single</v>
      </c>
    </row>
    <row r="9015">
      <c r="A9015" s="1">
        <v>5.0</v>
      </c>
      <c r="B9015" s="1" t="s">
        <v>8959</v>
      </c>
      <c r="C9015" t="str">
        <f>IFERROR(__xludf.DUMMYFUNCTION("GOOGLETRANSLATE(B9015, ""zh"", ""en"")"),"Tall shoes on for the first time to wear their music shoes, good quality color is, trust Amazon")</f>
        <v>Tall shoes on for the first time to wear their music shoes, good quality color is, trust Amazon</v>
      </c>
    </row>
    <row r="9016">
      <c r="A9016" s="1">
        <v>5.0</v>
      </c>
      <c r="B9016" s="1" t="s">
        <v>8960</v>
      </c>
      <c r="C9016" t="str">
        <f>IFERROR(__xludf.DUMMYFUNCTION("GOOGLETRANSLATE(B9016, ""zh"", ""en"")"),"Also bought a few, very good clothes cheaper than the store, inexpensive, very good!")</f>
        <v>Also bought a few, very good clothes cheaper than the store, inexpensive, very good!</v>
      </c>
    </row>
    <row r="9017">
      <c r="A9017" s="1">
        <v>5.0</v>
      </c>
      <c r="B9017" s="1" t="s">
        <v>8961</v>
      </c>
      <c r="C9017" t="str">
        <f>IFERROR(__xludf.DUMMYFUNCTION("GOOGLETRANSLATE(B9017, ""zh"", ""en"")"),"Yes indeed very good, this can be used for several years.")</f>
        <v>Yes indeed very good, this can be used for several years.</v>
      </c>
    </row>
    <row r="9018">
      <c r="A9018" s="1">
        <v>5.0</v>
      </c>
      <c r="B9018" s="1" t="s">
        <v>8962</v>
      </c>
      <c r="C9018" t="str">
        <f>IFERROR(__xludf.DUMMYFUNCTION("GOOGLETRANSLATE(B9018, ""zh"", ""en"")"),"Very very comfortable, boundless, freshman code will be better")</f>
        <v>Very very comfortable, boundless, freshman code will be better</v>
      </c>
    </row>
    <row r="9019">
      <c r="A9019" s="1">
        <v>5.0</v>
      </c>
      <c r="B9019" s="1" t="s">
        <v>8963</v>
      </c>
      <c r="C9019" t="str">
        <f>IFERROR(__xludf.DUMMYFUNCTION("GOOGLETRANSLATE(B9019, ""zh"", ""en"")"),"Church music has been very satisfied to buy shoes for the first time to buy in the Amazon, the price is much cheaper than the counter, made in india, shoes tend to be hard, should Chuan Chuan will be good. Usually wear the shoes 40 to buy 39 yards, just f"&amp;"or reference.")</f>
        <v>Church music has been very satisfied to buy shoes for the first time to buy in the Amazon, the price is much cheaper than the counter, made in india, shoes tend to be hard, should Chuan Chuan will be good. Usually wear the shoes 40 to buy 39 yards, just for reference.</v>
      </c>
    </row>
    <row r="9020">
      <c r="A9020" s="1">
        <v>5.0</v>
      </c>
      <c r="B9020" s="1" t="s">
        <v>8964</v>
      </c>
      <c r="C9020" t="str">
        <f>IFERROR(__xludf.DUMMYFUNCTION("GOOGLETRANSLATE(B9020, ""zh"", ""en"")"),"Delicious healthy stuff was nice, but not open the lid")</f>
        <v>Delicious healthy stuff was nice, but not open the lid</v>
      </c>
    </row>
    <row r="9021">
      <c r="A9021" s="1">
        <v>5.0</v>
      </c>
      <c r="B9021" s="1" t="s">
        <v>8965</v>
      </c>
      <c r="C9021" t="str">
        <f>IFERROR(__xludf.DUMMYFUNCTION("GOOGLETRANSLATE(B9021, ""zh"", ""en"")"),"Yes. Tight effect can be. Length is slightly longer sleeves a little bit or feel slightly longer sleeves. With a bought a total of three to two. This time, relatively affordable price. Before it did not seem to notice the time to buy a discount ticket did"&amp;" not go collar, a little big loss.")</f>
        <v>Yes. Tight effect can be. Length is slightly longer sleeves a little bit or feel slightly longer sleeves. With a bought a total of three to two. This time, relatively affordable price. Before it did not seem to notice the time to buy a discount ticket did not go collar, a little big loss.</v>
      </c>
    </row>
    <row r="9022">
      <c r="A9022" s="1">
        <v>5.0</v>
      </c>
      <c r="B9022" s="1" t="s">
        <v>8966</v>
      </c>
      <c r="C9022" t="str">
        <f>IFERROR(__xludf.DUMMYFUNCTION("GOOGLETRANSLATE(B9022, ""zh"", ""en"")"),"It is a good round, and did not see it on the picture, but still very pretty")</f>
        <v>It is a good round, and did not see it on the picture, but still very pretty</v>
      </c>
    </row>
    <row r="9023">
      <c r="A9023" s="1">
        <v>5.0</v>
      </c>
      <c r="B9023" s="1" t="s">
        <v>8967</v>
      </c>
      <c r="C9023" t="str">
        <f>IFERROR(__xludf.DUMMYFUNCTION("GOOGLETRANSLATE(B9023, ""zh"", ""en"")"),"The right size 40 shoes standard is quite satisfactory, we all know that Amazon buy things is a matter of luck, shoe size too different, but this is a good pair of shoes, I wear 40 yards 6.5 yards very accurate.")</f>
        <v>The right size 40 shoes standard is quite satisfactory, we all know that Amazon buy things is a matter of luck, shoe size too different, but this is a good pair of shoes, I wear 40 yards 6.5 yards very accurate.</v>
      </c>
    </row>
    <row r="9024">
      <c r="A9024" s="1">
        <v>5.0</v>
      </c>
      <c r="B9024" s="1" t="s">
        <v>8968</v>
      </c>
      <c r="C9024" t="str">
        <f>IFERROR(__xludf.DUMMYFUNCTION("GOOGLETRANSLATE(B9024, ""zh"", ""en"")"),"Something good good quality")</f>
        <v>Something good good quality</v>
      </c>
    </row>
    <row r="9025">
      <c r="A9025" s="1">
        <v>5.0</v>
      </c>
      <c r="B9025" s="1" t="s">
        <v>8969</v>
      </c>
      <c r="C9025" t="str">
        <f>IFERROR(__xludf.DUMMYFUNCTION("GOOGLETRANSLATE(B9025, ""zh"", ""en"")"),"Good quality material work well, some thin.")</f>
        <v>Good quality material work well, some thin.</v>
      </c>
    </row>
    <row r="9026">
      <c r="A9026" s="1">
        <v>5.0</v>
      </c>
      <c r="B9026" s="1" t="s">
        <v>1150</v>
      </c>
      <c r="C9026" t="str">
        <f>IFERROR(__xludf.DUMMYFUNCTION("GOOGLETRANSLATE(B9026, ""zh"", ""en"")"),"Tube does not really did not see it, I was back with a comment! It was comfortable, buy dogs main side effects are not afraid of India, used a few times with the pelvis, abdomen with did not feel much effect")</f>
        <v>Tube does not really did not see it, I was back with a comment! It was comfortable, buy dogs main side effects are not afraid of India, used a few times with the pelvis, abdomen with did not feel much effect</v>
      </c>
    </row>
    <row r="9027">
      <c r="A9027" s="1">
        <v>5.0</v>
      </c>
      <c r="B9027" s="1" t="s">
        <v>8970</v>
      </c>
      <c r="C9027" t="str">
        <f>IFERROR(__xludf.DUMMYFUNCTION("GOOGLETRANSLATE(B9027, ""zh"", ""en"")"),"Personal comfort right size, very soft, a little shiny fabric, very warm to wear, comfortable and personal.")</f>
        <v>Personal comfort right size, very soft, a little shiny fabric, very warm to wear, comfortable and personal.</v>
      </c>
    </row>
    <row r="9028">
      <c r="A9028" s="1">
        <v>5.0</v>
      </c>
      <c r="B9028" s="1" t="s">
        <v>8971</v>
      </c>
      <c r="C9028" t="str">
        <f>IFERROR(__xludf.DUMMYFUNCTION("GOOGLETRANSLATE(B9028, ""zh"", ""en"")"),"Mini bags look very good, but what the phone keys wallet full dress completely ok, boys with very convenient, oh handsome boyfriend back")</f>
        <v>Mini bags look very good, but what the phone keys wallet full dress completely ok, boys with very convenient, oh handsome boyfriend back</v>
      </c>
    </row>
    <row r="9029">
      <c r="A9029" s="1">
        <v>5.0</v>
      </c>
      <c r="B9029" s="1" t="s">
        <v>8972</v>
      </c>
      <c r="C9029" t="str">
        <f>IFERROR(__xludf.DUMMYFUNCTION("GOOGLETRANSLATE(B9029, ""zh"", ""en"")"),"For your information for your reference, height 168, weight 75, not fat, no more solid belly, M number to buy the right shoulder length appropriate.")</f>
        <v>For your information for your reference, height 168, weight 75, not fat, no more solid belly, M number to buy the right shoulder length appropriate.</v>
      </c>
    </row>
    <row r="9030">
      <c r="A9030" s="1">
        <v>2.0</v>
      </c>
      <c r="B9030" s="1" t="s">
        <v>8973</v>
      </c>
      <c r="C9030" t="str">
        <f>IFERROR(__xludf.DUMMYFUNCTION("GOOGLETRANSLATE(B9030, ""zh"", ""en"")"),"Good fat can not wear pants is really, really too fat -")</f>
        <v>Good fat can not wear pants is really, really too fat -</v>
      </c>
    </row>
    <row r="9031">
      <c r="A9031" s="1">
        <v>3.0</v>
      </c>
      <c r="B9031" s="1" t="s">
        <v>8974</v>
      </c>
      <c r="C9031" t="str">
        <f>IFERROR(__xludf.DUMMYFUNCTION("GOOGLETRANSLATE(B9031, ""zh"", ""en"")"),"Not want it to be! Really just a cloud! Design something very delicate, small, and fairly quiet. However, I hope to use the online synchronization is based backup, but this thing can only be operated by a cloud! Can not be directly connected to a computer"&amp;", at the same time, although this thing connected to my router, but access it from the Internet to look around, resulting in a very low speed synchronous file (cable, then you can reach 4MB, wireless only a few hundred KB), if to synchronize content GB le"&amp;"vel, we will spend a lot of time! I want my machine in 130GB historical photos backup transferred to Mycloud Home Duo, the need for more than 12 hours! Yes, it's very convenient cloud application to set tutor, however, put up the contents of his wife Mrs."&amp;" costs time! ! ! ! ! The original plan to choose Mirror Gen2, did not expect such a big difference? To select NAS Please note applications. Their product introduction is really too vague.")</f>
        <v>Not want it to be! Really just a cloud! Design something very delicate, small, and fairly quiet. However, I hope to use the online synchronization is based backup, but this thing can only be operated by a cloud! Can not be directly connected to a computer, at the same time, although this thing connected to my router, but access it from the Internet to look around, resulting in a very low speed synchronous file (cable, then you can reach 4MB, wireless only a few hundred KB), if to synchronize content GB level, we will spend a lot of time! I want my machine in 130GB historical photos backup transferred to Mycloud Home Duo, the need for more than 12 hours! Yes, it's very convenient cloud application to set tutor, however, put up the contents of his wife Mrs. costs time! ! ! ! ! The original plan to choose Mirror Gen2, did not expect such a big difference? To select NAS Please note applications. Their product introduction is really too vague.</v>
      </c>
    </row>
    <row r="9032">
      <c r="A9032" s="1">
        <v>3.0</v>
      </c>
      <c r="B9032" s="1" t="s">
        <v>8975</v>
      </c>
      <c r="C9032" t="str">
        <f>IFERROR(__xludf.DUMMYFUNCTION("GOOGLETRANSLATE(B9032, ""zh"", ""en"")"),"Saying that too slippery soles of shoes that do not slip on the ground there is a little bit of water were whistled, let alone these days Wuhan snow, it is simply skates. Such soles how outdoor Well, not as good as hundreds of pieces of ski boots. I origi"&amp;"nally planned to buy a rain snow wear, slip did not say, one to wear with a calf mud, and particularly, how this can be good ...... shoe size normal size buy on line, shoes, feet a little pressure, high instep to pay attention.")</f>
        <v>Saying that too slippery soles of shoes that do not slip on the ground there is a little bit of water were whistled, let alone these days Wuhan snow, it is simply skates. Such soles how outdoor Well, not as good as hundreds of pieces of ski boots. I originally planned to buy a rain snow wear, slip did not say, one to wear with a calf mud, and particularly, how this can be good ...... shoe size normal size buy on line, shoes, feet a little pressure, high instep to pay attention.</v>
      </c>
    </row>
    <row r="9033">
      <c r="A9033" s="1">
        <v>1.0</v>
      </c>
      <c r="B9033" s="1" t="s">
        <v>8976</v>
      </c>
      <c r="C9033" t="str">
        <f>IFERROR(__xludf.DUMMYFUNCTION("GOOGLETRANSLATE(B9033, ""zh"", ""en"")"),"There is color, with different colors on a computer screen point of view is black, dark green found to be at hand")</f>
        <v>There is color, with different colors on a computer screen point of view is black, dark green found to be at hand</v>
      </c>
    </row>
    <row r="9034">
      <c r="A9034" s="1">
        <v>1.0</v>
      </c>
      <c r="B9034" s="1" t="s">
        <v>8977</v>
      </c>
      <c r="C9034" t="str">
        <f>IFERROR(__xludf.DUMMYFUNCTION("GOOGLETRANSLATE(B9034, ""zh"", ""en"")"),"After careful and do not meet the actual buying abroad, return shipping to more than 120, it is not worthwhile, feeling something worthwhile in Colombia, I would not buy the")</f>
        <v>After careful and do not meet the actual buying abroad, return shipping to more than 120, it is not worthwhile, feeling something worthwhile in Colombia, I would not buy the</v>
      </c>
    </row>
    <row r="9035">
      <c r="A9035" s="1">
        <v>1.0</v>
      </c>
      <c r="B9035" s="1" t="s">
        <v>8978</v>
      </c>
      <c r="C9035" t="str">
        <f>IFERROR(__xludf.DUMMYFUNCTION("GOOGLETRANSLATE(B9035, ""zh"", ""en"")"),"Giant poor quality rubbish! Blood lesson! Something bad! Absolutely defective! Quality problems! Bought a month and a few days can not be switched! can not work! Amazon to find they are not responsible sale! ! Read review found that we have this problem! "&amp;"It is no accident! This is a premeditated sell defective!")</f>
        <v>Giant poor quality rubbish! Blood lesson! Something bad! Absolutely defective! Quality problems! Bought a month and a few days can not be switched! can not work! Amazon to find they are not responsible sale! ! Read review found that we have this problem! It is no accident! This is a premeditated sell defective!</v>
      </c>
    </row>
    <row r="9036">
      <c r="A9036" s="1">
        <v>4.0</v>
      </c>
      <c r="B9036" s="1" t="s">
        <v>8979</v>
      </c>
      <c r="C9036" t="str">
        <f>IFERROR(__xludf.DUMMYFUNCTION("GOOGLETRANSLATE(B9036, ""zh"", ""en"")"),"Very good very good. To ten days. Still pondering recipes. Milk is very delicate, much better than the soybean milk. I do not know charge tariffs that no, there is no box details pay taxes.")</f>
        <v>Very good very good. To ten days. Still pondering recipes. Milk is very delicate, much better than the soybean milk. I do not know charge tariffs that no, there is no box details pay taxes.</v>
      </c>
    </row>
    <row r="9037">
      <c r="A9037" s="1">
        <v>4.0</v>
      </c>
      <c r="B9037" s="1" t="s">
        <v>8980</v>
      </c>
      <c r="C9037" t="str">
        <f>IFERROR(__xludf.DUMMYFUNCTION("GOOGLETRANSLATE(B9037, ""zh"", ""en"")"),"Good value for money, compared with 59 German department castrated semi-metal body with 59 German department is no different semi-metal body (plastic body feels too are not strong enough, and the lack of components), but very full accessories (some parts "&amp;"tasteless), starting price at preferential right. Jar size enough for two people, my family oven is large, if the part of people to do twice 4,5 dough. Funds are made directly on MUMXX series of bars, power, work have been.")</f>
        <v>Good value for money, compared with 59 German department castrated semi-metal body with 59 German department is no different semi-metal body (plastic body feels too are not strong enough, and the lack of components), but very full accessories (some parts tasteless), starting price at preferential right. Jar size enough for two people, my family oven is large, if the part of people to do twice 4,5 dough. Funds are made directly on MUMXX series of bars, power, work have been.</v>
      </c>
    </row>
    <row r="9038">
      <c r="A9038" s="1">
        <v>4.0</v>
      </c>
      <c r="B9038" s="1" t="s">
        <v>8981</v>
      </c>
      <c r="C9038" t="str">
        <f>IFERROR(__xludf.DUMMYFUNCTION("GOOGLETRANSLATE(B9038, ""zh"", ""en"")"),"Super super dazzling dazzling summer is that some regret should buy a bigger size. Summer drink enough")</f>
        <v>Super super dazzling dazzling summer is that some regret should buy a bigger size. Summer drink enough</v>
      </c>
    </row>
    <row r="9039">
      <c r="A9039" s="1">
        <v>4.0</v>
      </c>
      <c r="B9039" s="1" t="s">
        <v>8982</v>
      </c>
      <c r="C9039" t="str">
        <f>IFERROR(__xludf.DUMMYFUNCTION("GOOGLETRANSLATE(B9039, ""zh"", ""en"")"),"Amazing design recently read a science, statistics show that Europeans than Asians small head, so wear this hat to the Europeans is surprisingly large! I'm wearing my God, what Tete big, small touches appropriate to adjust the back! But the back of the he"&amp;"ad section is empty, what the hell! Front watching the results are satisfactory, is it not from behind a two goods hat back of the head section may be deflated, laughable father ah! The design of the hat designer caught out and beat! Saying that shipping "&amp;"costs can eat people!")</f>
        <v>Amazing design recently read a science, statistics show that Europeans than Asians small head, so wear this hat to the Europeans is surprisingly large! I'm wearing my God, what Tete big, small touches appropriate to adjust the back! But the back of the head section is empty, what the hell! Front watching the results are satisfactory, is it not from behind a two goods hat back of the head section may be deflated, laughable father ah! The design of the hat designer caught out and beat! Saying that shipping costs can eat people!</v>
      </c>
    </row>
    <row r="9040">
      <c r="A9040" s="1">
        <v>4.0</v>
      </c>
      <c r="B9040" s="1" t="s">
        <v>8983</v>
      </c>
      <c r="C9040" t="str">
        <f>IFERROR(__xludf.DUMMYFUNCTION("GOOGLETRANSLATE(B9040, ""zh"", ""en"")"),"Okay okay belt, good texture belt hole is too small, I had to find street stalls tailor to hit a few three eye eye deflect both also charged me two dollars")</f>
        <v>Okay okay belt, good texture belt hole is too small, I had to find street stalls tailor to hit a few three eye eye deflect both also charged me two dollars</v>
      </c>
    </row>
    <row r="9041">
      <c r="A9041" s="1">
        <v>5.0</v>
      </c>
      <c r="B9041" s="1" t="s">
        <v>8984</v>
      </c>
      <c r="C9041" t="str">
        <f>IFERROR(__xludf.DUMMYFUNCTION("GOOGLETRANSLATE(B9041, ""zh"", ""en"")"),"Vitamin children eat this vitamin is not some difficulty")</f>
        <v>Vitamin children eat this vitamin is not some difficulty</v>
      </c>
    </row>
    <row r="9042">
      <c r="A9042" s="1">
        <v>5.0</v>
      </c>
      <c r="B9042" s="1" t="s">
        <v>8985</v>
      </c>
      <c r="C9042" t="str">
        <f>IFERROR(__xludf.DUMMYFUNCTION("GOOGLETRANSLATE(B9042, ""zh"", ""en"")"),"Appropriate, cost-effective, appropriate dress ran a good step, cost-effective, wearing ran a good step")</f>
        <v>Appropriate, cost-effective, appropriate dress ran a good step, cost-effective, wearing ran a good step</v>
      </c>
    </row>
    <row r="9043">
      <c r="A9043" s="1">
        <v>5.0</v>
      </c>
      <c r="B9043" s="1" t="s">
        <v>8986</v>
      </c>
      <c r="C9043" t="str">
        <f>IFERROR(__xludf.DUMMYFUNCTION("GOOGLETRANSLATE(B9043, ""zh"", ""en"")"),"Good fit at the waist, a cutting edge pants on the line!")</f>
        <v>Good fit at the waist, a cutting edge pants on the line!</v>
      </c>
    </row>
    <row r="9044">
      <c r="A9044" s="1">
        <v>5.0</v>
      </c>
      <c r="B9044" s="1" t="s">
        <v>8987</v>
      </c>
      <c r="C9044" t="str">
        <f>IFERROR(__xludf.DUMMYFUNCTION("GOOGLETRANSLATE(B9044, ""zh"", ""en"")"),"Very good, good quality, very good fit, good quality, fit")</f>
        <v>Very good, good quality, very good fit, good quality, fit</v>
      </c>
    </row>
    <row r="9045">
      <c r="A9045" s="1">
        <v>5.0</v>
      </c>
      <c r="B9045" s="1" t="s">
        <v>8988</v>
      </c>
      <c r="C9045" t="str">
        <f>IFERROR(__xludf.DUMMYFUNCTION("GOOGLETRANSLATE(B9045, ""zh"", ""en"")"),"German quality! Two months, and now I listen to classical too cool. Headphones for listening to a symphony, pop can, or noisy rock music do not buy it, but for cheap headset, recommended album pink floyd's The Division Bell, the first eight can hear the k"&amp;"ind of soft and have a flexible drum sound. Hi-fi if you want to hear this feeling, at least what the job takes more than thirty thousand")</f>
        <v>German quality! Two months, and now I listen to classical too cool. Headphones for listening to a symphony, pop can, or noisy rock music do not buy it, but for cheap headset, recommended album pink floyd's The Division Bell, the first eight can hear the kind of soft and have a flexible drum sound. Hi-fi if you want to hear this feeling, at least what the job takes more than thirty thousand</v>
      </c>
    </row>
    <row r="9046">
      <c r="A9046" s="1">
        <v>5.0</v>
      </c>
      <c r="B9046" s="1" t="s">
        <v>8989</v>
      </c>
      <c r="C9046" t="str">
        <f>IFERROR(__xludf.DUMMYFUNCTION("GOOGLETRANSLATE(B9046, ""zh"", ""en"")"),"You declare that you tell the truth - Martin boots look good, not only look good, the most important thing is to wear good to see a lot of comments Dr martin Martin boots good to wear, it is out of this year ecco Martin, also waterproof, rain is not afrai"&amp;"d of it super satisfied")</f>
        <v>You declare that you tell the truth - Martin boots look good, not only look good, the most important thing is to wear good to see a lot of comments Dr martin Martin boots good to wear, it is out of this year ecco Martin, also waterproof, rain is not afraid of it super satisfied</v>
      </c>
    </row>
    <row r="9047">
      <c r="A9047" s="1">
        <v>5.0</v>
      </c>
      <c r="B9047" s="1" t="s">
        <v>8990</v>
      </c>
      <c r="C9047" t="str">
        <f>IFERROR(__xludf.DUMMYFUNCTION("GOOGLETRANSLATE(B9047, ""zh"", ""en"")"),"64G card with my D800E good use.")</f>
        <v>64G card with my D800E good use.</v>
      </c>
    </row>
    <row r="9048">
      <c r="A9048" s="1">
        <v>5.0</v>
      </c>
      <c r="B9048" s="1" t="s">
        <v>8991</v>
      </c>
      <c r="C9048" t="str">
        <f>IFERROR(__xludf.DUMMYFUNCTION("GOOGLETRANSLATE(B9048, ""zh"", ""en"")"),"Amazon family to eat to have faith, the high cost! And he bought three bottles!")</f>
        <v>Amazon family to eat to have faith, the high cost! And he bought three bottles!</v>
      </c>
    </row>
    <row r="9049">
      <c r="A9049" s="1">
        <v>5.0</v>
      </c>
      <c r="B9049" s="1" t="s">
        <v>8992</v>
      </c>
      <c r="C9049" t="str">
        <f>IFERROR(__xludf.DUMMYFUNCTION("GOOGLETRANSLATE(B9049, ""zh"", ""en"")"),"Always appropriate. His family has to buy pants, size specifications appropriate.")</f>
        <v>Always appropriate. His family has to buy pants, size specifications appropriate.</v>
      </c>
    </row>
    <row r="9050">
      <c r="A9050" s="1">
        <v>5.0</v>
      </c>
      <c r="B9050" s="1" t="s">
        <v>8993</v>
      </c>
      <c r="C9050" t="str">
        <f>IFERROR(__xludf.DUMMYFUNCTION("GOOGLETRANSLATE(B9050, ""zh"", ""en"")"),"Wear comfortable, good price like this brand of shoes")</f>
        <v>Wear comfortable, good price like this brand of shoes</v>
      </c>
    </row>
    <row r="9051">
      <c r="A9051" s="1">
        <v>5.0</v>
      </c>
      <c r="B9051" s="1" t="s">
        <v>8994</v>
      </c>
      <c r="C9051" t="str">
        <f>IFERROR(__xludf.DUMMYFUNCTION("GOOGLETRANSLATE(B9051, ""zh"", ""en"")"),"No problem you can install yourself installation is very easy")</f>
        <v>No problem you can install yourself installation is very easy</v>
      </c>
    </row>
    <row r="9052">
      <c r="A9052" s="1">
        <v>5.0</v>
      </c>
      <c r="B9052" s="1" t="s">
        <v>8995</v>
      </c>
      <c r="C9052" t="str">
        <f>IFERROR(__xludf.DUMMYFUNCTION("GOOGLETRANSLATE(B9052, ""zh"", ""en"")"),"Special start, great value deals to start, great value, shipping spent some time as a whole came good")</f>
        <v>Special start, great value deals to start, great value, shipping spent some time as a whole came good</v>
      </c>
    </row>
    <row r="9053">
      <c r="A9053" s="1">
        <v>5.0</v>
      </c>
      <c r="B9053" s="1" t="s">
        <v>8996</v>
      </c>
      <c r="C9053" t="str">
        <f>IFERROR(__xludf.DUMMYFUNCTION("GOOGLETRANSLATE(B9053, ""zh"", ""en"")"),"Very good, cheaper than their own sea Amoy, genuine easy to use, very good, cheaper than their own sea Amoy, genuine easy to use,")</f>
        <v>Very good, cheaper than their own sea Amoy, genuine easy to use, very good, cheaper than their own sea Amoy, genuine easy to use,</v>
      </c>
    </row>
    <row r="9054">
      <c r="A9054" s="1">
        <v>5.0</v>
      </c>
      <c r="B9054" s="1" t="s">
        <v>8997</v>
      </c>
      <c r="C9054" t="str">
        <f>IFERROR(__xludf.DUMMYFUNCTION("GOOGLETRANSLATE(B9054, ""zh"", ""en"")"),"Very comfortable is so perfect, just fit. 39,6uk. clarks")</f>
        <v>Very comfortable is so perfect, just fit. 39,6uk. clarks</v>
      </c>
    </row>
    <row r="9055">
      <c r="A9055" s="1">
        <v>5.0</v>
      </c>
      <c r="B9055" s="1" t="s">
        <v>8998</v>
      </c>
      <c r="C9055" t="str">
        <f>IFERROR(__xludf.DUMMYFUNCTION("GOOGLETRANSLATE(B9055, ""zh"", ""en"")"),"Worth buying as good much cheaper than domestic, things")</f>
        <v>Worth buying as good much cheaper than domestic, things</v>
      </c>
    </row>
    <row r="9056">
      <c r="A9056" s="1">
        <v>5.0</v>
      </c>
      <c r="B9056" s="1" t="s">
        <v>8999</v>
      </c>
      <c r="C9056" t="str">
        <f>IFERROR(__xludf.DUMMYFUNCTION("GOOGLETRANSLATE(B9056, ""zh"", ""en"")"),"A type of a dress fabric is soft, wrinkle resistant, washed, stylish, slightly thick.")</f>
        <v>A type of a dress fabric is soft, wrinkle resistant, washed, stylish, slightly thick.</v>
      </c>
    </row>
    <row r="9057">
      <c r="A9057" s="1">
        <v>5.0</v>
      </c>
      <c r="B9057" s="1" t="s">
        <v>9000</v>
      </c>
      <c r="C9057" t="str">
        <f>IFERROR(__xludf.DUMMYFUNCTION("GOOGLETRANSLATE(B9057, ""zh"", ""en"")"),"Fish oil price is right")</f>
        <v>Fish oil price is right</v>
      </c>
    </row>
    <row r="9058">
      <c r="A9058" s="1">
        <v>5.0</v>
      </c>
      <c r="B9058" s="1" t="s">
        <v>9001</v>
      </c>
      <c r="C9058" t="str">
        <f>IFERROR(__xludf.DUMMYFUNCTION("GOOGLETRANSLATE(B9058, ""zh"", ""en"")"),"Good quality of Thai-made express too slow, a week less to go. The cup is light overall good quality")</f>
        <v>Good quality of Thai-made express too slow, a week less to go. The cup is light overall good quality</v>
      </c>
    </row>
    <row r="9059">
      <c r="A9059" s="1">
        <v>5.0</v>
      </c>
      <c r="B9059" s="1" t="s">
        <v>9002</v>
      </c>
      <c r="C9059" t="str">
        <f>IFERROR(__xludf.DUMMYFUNCTION("GOOGLETRANSLATE(B9059, ""zh"", ""en"")"),"Wrangler jeans are very satisfied, 173,80㎏, buy 34W / 29L, very appropriate. Lee is also the United States and Asia to buy 34 big a bit, feeling Wrangler to a smaller size than the size of Lee's pants.")</f>
        <v>Wrangler jeans are very satisfied, 173,80㎏, buy 34W / 29L, very appropriate. Lee is also the United States and Asia to buy 34 big a bit, feeling Wrangler to a smaller size than the size of Lee's pants.</v>
      </c>
    </row>
    <row r="9060">
      <c r="A9060" s="1">
        <v>5.0</v>
      </c>
      <c r="B9060" s="1" t="s">
        <v>9003</v>
      </c>
      <c r="C9060" t="str">
        <f>IFERROR(__xludf.DUMMYFUNCTION("GOOGLETRANSLATE(B9060, ""zh"", ""en"")"),"Buy big buy big foot 25 seek death usually wear 38 to buy a put on 8.5 to try only sprinkling the new one did not want to change it has come down to earth 8 yards 😰😰😰")</f>
        <v>Buy big buy big foot 25 seek death usually wear 38 to buy a put on 8.5 to try only sprinkling the new one did not want to change it has come down to earth 8 yards 😰😰😰</v>
      </c>
    </row>
    <row r="9061">
      <c r="A9061" s="1">
        <v>5.0</v>
      </c>
      <c r="B9061" s="1" t="s">
        <v>9004</v>
      </c>
      <c r="C9061" t="str">
        <f>IFERROR(__xludf.DUMMYFUNCTION("GOOGLETRANSLATE(B9061, ""zh"", ""en"")"),"SUGGESTIONS little baby was killed on top of the vial, and wanted to wait until your baby speak up again. Now and buy a new vial used in rotation. Buy separately ss perfect for pacifiers.")</f>
        <v>SUGGESTIONS little baby was killed on top of the vial, and wanted to wait until your baby speak up again. Now and buy a new vial used in rotation. Buy separately ss perfect for pacifiers.</v>
      </c>
    </row>
    <row r="9062">
      <c r="A9062" s="1">
        <v>2.0</v>
      </c>
      <c r="B9062" s="1" t="s">
        <v>9005</v>
      </c>
      <c r="C9062" t="str">
        <f>IFERROR(__xludf.DUMMYFUNCTION("GOOGLETRANSLATE(B9062, ""zh"", ""en"")"),"Poor quality poor quality, do not recommend, it is good to see")</f>
        <v>Poor quality poor quality, do not recommend, it is good to see</v>
      </c>
    </row>
    <row r="9063">
      <c r="A9063" s="1">
        <v>3.0</v>
      </c>
      <c r="B9063" s="1" t="s">
        <v>9006</v>
      </c>
      <c r="C9063" t="str">
        <f>IFERROR(__xludf.DUMMYFUNCTION("GOOGLETRANSLATE(B9063, ""zh"", ""en"")"),"The filter plug within the cap is very loose white &lt;div id = ""video-block-R3NJDYMV1O0HFL"" class = ""a-section a-spacing-small a-spacing-top-mini video-block""&gt; &lt;/ div&gt; &lt;input type = ""hidden"" name = """" value = ""https://images-cn.ssl-images-amazon.co"&amp;"m/images/I/91aUhm2fXaS.mp4"" class = ""video-url""&gt; &lt;input type = ""hidden"" name = """" value = ""https://images-cn.ssl-images-amazon.com/images/I/81L-C4nQszS.png"" class = ""video-slate-img-url""&gt; &amp; nbsp; I do not know encountered this problem is not th"&amp;"e norm, I found the next comment, but added no one response to this problem. My personal situation encountered, white inside cap lid is snap, although the card can go up, but I feel very loose. Especially if the cover lid down change, then there might pop"&amp;" up. You can see the video. I've also used the Thermos, he is also a removable cover mouth, but did not encounter such a situation. Of course, different brands, comparability is relatively weak. I do not know, this is not to spend other people as well. Be"&amp;"cause I have outside of the box to the demolition, so they did not apply for return.")</f>
        <v>The filter plug within the cap is very loose white &lt;div id = "video-block-R3NJDYMV1O0HFL" class = "a-section a-spacing-small a-spacing-top-mini video-block"&gt; &lt;/ div&gt; &lt;input type = "hidden" name = "" value = "https://images-cn.ssl-images-amazon.com/images/I/91aUhm2fXaS.mp4" class = "video-url"&gt; &lt;input type = "hidden" name = "" value = "https://images-cn.ssl-images-amazon.com/images/I/81L-C4nQszS.png" class = "video-slate-img-url"&gt; &amp; nbsp; I do not know encountered this problem is not the norm, I found the next comment, but added no one response to this problem. My personal situation encountered, white inside cap lid is snap, although the card can go up, but I feel very loose. Especially if the cover lid down change, then there might pop up. You can see the video. I've also used the Thermos, he is also a removable cover mouth, but did not encounter such a situation. Of course, different brands, comparability is relatively weak. I do not know, this is not to spend other people as well. Because I have outside of the box to the demolition, so they did not apply for return.</v>
      </c>
    </row>
    <row r="9064">
      <c r="A9064" s="1">
        <v>3.0</v>
      </c>
      <c r="B9064" s="1" t="s">
        <v>9007</v>
      </c>
      <c r="C9064" t="str">
        <f>IFERROR(__xludf.DUMMYFUNCTION("GOOGLETRANSLATE(B9064, ""zh"", ""en"")"),"Too big, too big 176/80 kg, very fat, but still buy the M number is too large to send Laozhang Ren wearing a large cuff, the feeling is designed for the elderly. Obviously not self-cultivation, also called Slim models!")</f>
        <v>Too big, too big 176/80 kg, very fat, but still buy the M number is too large to send Laozhang Ren wearing a large cuff, the feeling is designed for the elderly. Obviously not self-cultivation, also called Slim models!</v>
      </c>
    </row>
    <row r="9065">
      <c r="A9065" s="1">
        <v>3.0</v>
      </c>
      <c r="B9065" s="1" t="s">
        <v>9008</v>
      </c>
      <c r="C9065" t="str">
        <f>IFERROR(__xludf.DUMMYFUNCTION("GOOGLETRANSLATE(B9065, ""zh"", ""en"")"),"After receiving quality is generally not used temporarily, but found a little pot projection particles (having a large coin). It should affect the use!")</f>
        <v>After receiving quality is generally not used temporarily, but found a little pot projection particles (having a large coin). It should affect the use!</v>
      </c>
    </row>
    <row r="9066">
      <c r="A9066" s="1">
        <v>1.0</v>
      </c>
      <c r="B9066" s="1" t="s">
        <v>9009</v>
      </c>
      <c r="C9066" t="str">
        <f>IFERROR(__xludf.DUMMYFUNCTION("GOOGLETRANSLATE(B9066, ""zh"", ""en"")"),"typs-c used a few times, and today found a small opening (typs-c) plugged into the phone, there is a surface can be used, there can not flip side, there is a fault or so with, do not understand")</f>
        <v>typs-c used a few times, and today found a small opening (typs-c) plugged into the phone, there is a surface can be used, there can not flip side, there is a fault or so with, do not understand</v>
      </c>
    </row>
    <row r="9067">
      <c r="A9067" s="1">
        <v>1.0</v>
      </c>
      <c r="B9067" s="1" t="s">
        <v>9010</v>
      </c>
      <c r="C9067" t="str">
        <f>IFERROR(__xludf.DUMMYFUNCTION("GOOGLETRANSLATE(B9067, ""zh"", ""en"")"),"Poor workmanship, poor quality speed is very fast, but the quality and workmanship is really not a big proper. It is not flattered. Today, wearing a day, found his right foot air noise ..........")</f>
        <v>Poor workmanship, poor quality speed is very fast, but the quality and workmanship is really not a big proper. It is not flattered. Today, wearing a day, found his right foot air noise ..........</v>
      </c>
    </row>
    <row r="9068">
      <c r="A9068" s="1">
        <v>4.0</v>
      </c>
      <c r="B9068" s="1" t="s">
        <v>9011</v>
      </c>
      <c r="C9068" t="str">
        <f>IFERROR(__xludf.DUMMYFUNCTION("GOOGLETRANSLATE(B9068, ""zh"", ""en"")"),"Has not evaluated ago, do not know how many wasted points, points can change money now know, they should look carefully evaluated, then I put these words to copy to go, both to earn points, but also save trouble, where one copy where, most importantly, do"&amp;" not seriously review, do not think how much worse word, sent directly to it, recommend it to everyone")</f>
        <v>Has not evaluated ago, do not know how many wasted points, points can change money now know, they should look carefully evaluated, then I put these words to copy to go, both to earn points, but also save trouble, where one copy where, most importantly, do not seriously review, do not think how much worse word, sent directly to it, recommend it to everyone</v>
      </c>
    </row>
    <row r="9069">
      <c r="A9069" s="1">
        <v>4.0</v>
      </c>
      <c r="B9069" s="1" t="s">
        <v>9012</v>
      </c>
      <c r="C9069" t="str">
        <f>IFERROR(__xludf.DUMMYFUNCTION("GOOGLETRANSLATE(B9069, ""zh"", ""en"")"),"This is also good to be back on the feet than the picture displayed on a rugged point, slightly big feet. ecco always light and fluffy, not real leather insole, due to the bias of outdoor uses a kind of felt relatively absorbent material. Chinese-made, wo"&amp;"rk can be. After the dog feel foot test film did not think so airtight. 42.5 US9 a sports shoes, this pair is selected from the suitable 42. Free shipping 700 hand, think about the price of 600 would be suitable, but the contrast butcher counter domestic "&amp;"price can be. The drawback to say the words because it is environmentally friendly bottom, durability worse, wearing two or three years on degraded.")</f>
        <v>This is also good to be back on the feet than the picture displayed on a rugged point, slightly big feet. ecco always light and fluffy, not real leather insole, due to the bias of outdoor uses a kind of felt relatively absorbent material. Chinese-made, work can be. After the dog feel foot test film did not think so airtight. 42.5 US9 a sports shoes, this pair is selected from the suitable 42. Free shipping 700 hand, think about the price of 600 would be suitable, but the contrast butcher counter domestic price can be. The drawback to say the words because it is environmentally friendly bottom, durability worse, wearing two or three years on degraded.</v>
      </c>
    </row>
    <row r="9070">
      <c r="A9070" s="1">
        <v>4.0</v>
      </c>
      <c r="B9070" s="1" t="s">
        <v>9013</v>
      </c>
      <c r="C9070" t="str">
        <f>IFERROR(__xludf.DUMMYFUNCTION("GOOGLETRANSLATE(B9070, ""zh"", ""en"")"),"Yes delicate, like good-looking, hard some point.")</f>
        <v>Yes delicate, like good-looking, hard some point.</v>
      </c>
    </row>
    <row r="9071">
      <c r="A9071" s="1">
        <v>4.0</v>
      </c>
      <c r="B9071" s="1" t="s">
        <v>9014</v>
      </c>
      <c r="C9071" t="str">
        <f>IFERROR(__xludf.DUMMYFUNCTION("GOOGLETRANSLATE(B9071, ""zh"", ""en"")"),"Few domestic version of this type of thin clothes, fabrics are generally high 173 14.5 63 kilograms fit, slim Slim models for buyers, mostly domestic short sleeves chest width appropriate, normal or partial-bodied people or domestic purchase shirt, too, s"&amp;"hort version is very suitable for me")</f>
        <v>Few domestic version of this type of thin clothes, fabrics are generally high 173 14.5 63 kilograms fit, slim Slim models for buyers, mostly domestic short sleeves chest width appropriate, normal or partial-bodied people or domestic purchase shirt, too, short version is very suitable for me</v>
      </c>
    </row>
    <row r="9072">
      <c r="A9072" s="1">
        <v>4.0</v>
      </c>
      <c r="B9072" s="1" t="s">
        <v>9015</v>
      </c>
      <c r="C9072" t="str">
        <f>IFERROR(__xludf.DUMMYFUNCTION("GOOGLETRANSLATE(B9072, ""zh"", ""en"")"),"Neckline of her dress also can be a little wrinkled, under the trademark dirty mouth, cut off direct wear")</f>
        <v>Neckline of her dress also can be a little wrinkled, under the trademark dirty mouth, cut off direct wear</v>
      </c>
    </row>
    <row r="9073">
      <c r="A9073" s="1">
        <v>5.0</v>
      </c>
      <c r="B9073" s="1" t="s">
        <v>9016</v>
      </c>
      <c r="C9073" t="str">
        <f>IFERROR(__xludf.DUMMYFUNCTION("GOOGLETRANSLATE(B9073, ""zh"", ""en"")"),"Recommended to buy a large size 2 to size than jeans. 32 for example worn jeans waist size, like 34 to buy. I bought a 36, ​​to be able to deduct most of a tight feeling nervous. Then choose to buy a 34 on the lot. 32 to buy, then the middle button is an "&amp;"extra hole. The length of the cut is not to pay attention.")</f>
        <v>Recommended to buy a large size 2 to size than jeans. 32 for example worn jeans waist size, like 34 to buy. I bought a 36, ​​to be able to deduct most of a tight feeling nervous. Then choose to buy a 34 on the lot. 32 to buy, then the middle button is an extra hole. The length of the cut is not to pay attention.</v>
      </c>
    </row>
    <row r="9074">
      <c r="A9074" s="1">
        <v>5.0</v>
      </c>
      <c r="B9074" s="1" t="s">
        <v>9017</v>
      </c>
      <c r="C9074" t="str">
        <f>IFERROR(__xludf.DUMMYFUNCTION("GOOGLETRANSLATE(B9074, ""zh"", ""en"")"),"The best time to buy most of the code bought a pair of UK8.5, more relaxed, suitable to wear when hiking. Usually wear 42, UK8, before also bought a number of the same dual-code drained away, and a little tight and crowded. You can refer to. The color of "&amp;"the exterior is really no description, but it does not matter to wear on foot, V bottom and gtx cope with normal strength enough.")</f>
        <v>The best time to buy most of the code bought a pair of UK8.5, more relaxed, suitable to wear when hiking. Usually wear 42, UK8, before also bought a number of the same dual-code drained away, and a little tight and crowded. You can refer to. The color of the exterior is really no description, but it does not matter to wear on foot, V bottom and gtx cope with normal strength enough.</v>
      </c>
    </row>
    <row r="9075">
      <c r="A9075" s="1">
        <v>5.0</v>
      </c>
      <c r="B9075" s="1" t="s">
        <v>9018</v>
      </c>
      <c r="C9075" t="str">
        <f>IFERROR(__xludf.DUMMYFUNCTION("GOOGLETRANSLATE(B9075, ""zh"", ""en"")"),"The right size, the right hard and soft sea Amoy I wear sneakers are generally 43 to see everyone's comments, I chose 9E, widened version, put on a very fit, the skin is soft, sub-zero weather on the wear and thick socks can also go out. Shoes are some we"&amp;"ight, but lighter than imagined some, it would also be highly, and put on heightening.")</f>
        <v>The right size, the right hard and soft sea Amoy I wear sneakers are generally 43 to see everyone's comments, I chose 9E, widened version, put on a very fit, the skin is soft, sub-zero weather on the wear and thick socks can also go out. Shoes are some weight, but lighter than imagined some, it would also be highly, and put on heightening.</v>
      </c>
    </row>
    <row r="9076">
      <c r="A9076" s="1">
        <v>5.0</v>
      </c>
      <c r="B9076" t="str">
        <f> = 平时穿40码，这码数稍微大一点，穿上厚袜子后刚好吧。Clarks的鞋子穿起来都比较舒服，性价比超高</f>
        <v>#ERROR!</v>
      </c>
      <c r="C9076" t="str">
        <f>IFERROR(__xludf.DUMMYFUNCTION("GOOGLETRANSLATE(B9076, ""zh"", ""en"")"),"#ERROR!")</f>
        <v>#ERROR!</v>
      </c>
    </row>
    <row r="9077">
      <c r="A9077" s="1">
        <v>5.0</v>
      </c>
      <c r="B9077" s="1" t="s">
        <v>9019</v>
      </c>
      <c r="C9077" t="str">
        <f>IFERROR(__xludf.DUMMYFUNCTION("GOOGLETRANSLATE(B9077, ""zh"", ""en"")"),"Very good, high cost! Very practical machine! Delivery is also very fast! Color is very beautiful, very satisfied with the shopping! !")</f>
        <v>Very good, high cost! Very practical machine! Delivery is also very fast! Color is very beautiful, very satisfied with the shopping! !</v>
      </c>
    </row>
    <row r="9078">
      <c r="A9078" s="1">
        <v>5.0</v>
      </c>
      <c r="B9078" s="1" t="s">
        <v>9020</v>
      </c>
      <c r="C9078" t="str">
        <f>IFERROR(__xludf.DUMMYFUNCTION("GOOGLETRANSLATE(B9078, ""zh"", ""en"")"),"Table watch a good a good time shopping")</f>
        <v>Table watch a good a good time shopping</v>
      </c>
    </row>
    <row r="9079">
      <c r="A9079" s="1">
        <v>5.0</v>
      </c>
      <c r="B9079" s="1" t="s">
        <v>9021</v>
      </c>
      <c r="C9079" t="str">
        <f>IFERROR(__xludf.DUMMYFUNCTION("GOOGLETRANSLATE(B9079, ""zh"", ""en"")"),"Le Kang died goods received outside of the packaging are good, there is the pack too carefully, and so eat and then watch for the results, I hope I live up to the expectations")</f>
        <v>Le Kang died goods received outside of the packaging are good, there is the pack too carefully, and so eat and then watch for the results, I hope I live up to the expectations</v>
      </c>
    </row>
    <row r="9080">
      <c r="A9080" s="1">
        <v>5.0</v>
      </c>
      <c r="B9080" s="1" t="s">
        <v>9022</v>
      </c>
      <c r="C9080" t="str">
        <f>IFERROR(__xludf.DUMMYFUNCTION("GOOGLETRANSLATE(B9080, ""zh"", ""en"")"),"Sweden BABYBJORN baby dish spoon and fork (pink / purple ... very cute, they like to feel daughter likes Oh")</f>
        <v>Sweden BABYBJORN baby dish spoon and fork (pink / purple ... very cute, they like to feel daughter likes Oh</v>
      </c>
    </row>
    <row r="9081">
      <c r="A9081" s="1">
        <v>5.0</v>
      </c>
      <c r="B9081" s="1" t="s">
        <v>9023</v>
      </c>
      <c r="C9081" t="str">
        <f>IFERROR(__xludf.DUMMYFUNCTION("GOOGLETRANSLATE(B9081, ""zh"", ""en"")"),"Very nice shirt 175/80 kg, M number is just right, fabrics thick, very good.")</f>
        <v>Very nice shirt 175/80 kg, M number is just right, fabrics thick, very good.</v>
      </c>
    </row>
    <row r="9082">
      <c r="A9082" s="1">
        <v>5.0</v>
      </c>
      <c r="B9082" s="1" t="s">
        <v>9024</v>
      </c>
      <c r="C9082" t="str">
        <f>IFERROR(__xludf.DUMMYFUNCTION("GOOGLETRANSLATE(B9082, ""zh"", ""en"")"),"Good good, soft shells, indeed comparable to the gold tip")</f>
        <v>Good good, soft shells, indeed comparable to the gold tip</v>
      </c>
    </row>
    <row r="9083">
      <c r="A9083" s="1">
        <v>5.0</v>
      </c>
      <c r="B9083" s="1" t="s">
        <v>9025</v>
      </c>
      <c r="C9083" t="str">
        <f>IFERROR(__xludf.DUMMYFUNCTION("GOOGLETRANSLATE(B9083, ""zh"", ""en"")"),"Feet long 25.8CM, 8EE just right. Feet long 25.8CM, 8EE just right, a little pressure feet, tongue and easy deviation.")</f>
        <v>Feet long 25.8CM, 8EE just right. Feet long 25.8CM, 8EE just right, a little pressure feet, tongue and easy deviation.</v>
      </c>
    </row>
    <row r="9084">
      <c r="A9084" s="1">
        <v>5.0</v>
      </c>
      <c r="B9084" s="1" t="s">
        <v>9026</v>
      </c>
      <c r="C9084" t="str">
        <f>IFERROR(__xludf.DUMMYFUNCTION("GOOGLETRANSLATE(B9084, ""zh"", ""en"")"),"Value for money flow is very comfortable, a little boost effect. well.")</f>
        <v>Value for money flow is very comfortable, a little boost effect. well.</v>
      </c>
    </row>
    <row r="9085">
      <c r="A9085" s="1">
        <v>5.0</v>
      </c>
      <c r="B9085" s="1" t="s">
        <v>9027</v>
      </c>
      <c r="C9085" t="str">
        <f>IFERROR(__xludf.DUMMYFUNCTION("GOOGLETRANSLATE(B9085, ""zh"", ""en"")"),"Yan high value. Spoon to eat well with a spoon to learn, easy to use.")</f>
        <v>Yan high value. Spoon to eat well with a spoon to learn, easy to use.</v>
      </c>
    </row>
    <row r="9086">
      <c r="A9086" s="1">
        <v>5.0</v>
      </c>
      <c r="B9086" s="1" t="s">
        <v>9028</v>
      </c>
      <c r="C9086" t="str">
        <f>IFERROR(__xludf.DUMMYFUNCTION("GOOGLETRANSLATE(B9086, ""zh"", ""en"")"),"Le Ya F series permeability soft cotton strand particular amount of night guard wing of the sanitary napkin 40cm 7 * 3-piece package very breathable, care of, it is recommended")</f>
        <v>Le Ya F series permeability soft cotton strand particular amount of night guard wing of the sanitary napkin 40cm 7 * 3-piece package very breathable, care of, it is recommended</v>
      </c>
    </row>
    <row r="9087">
      <c r="A9087" s="1">
        <v>5.0</v>
      </c>
      <c r="B9087" s="1" t="s">
        <v>9029</v>
      </c>
      <c r="C9087" t="str">
        <f>IFERROR(__xludf.DUMMYFUNCTION("GOOGLETRANSLATE(B9087, ""zh"", ""en"")"),"Good size, good texture")</f>
        <v>Good size, good texture</v>
      </c>
    </row>
    <row r="9088">
      <c r="A9088" s="1">
        <v>5.0</v>
      </c>
      <c r="B9088" s="1" t="s">
        <v>9030</v>
      </c>
      <c r="C9088" t="str">
        <f>IFERROR(__xludf.DUMMYFUNCTION("GOOGLETRANSLATE(B9088, ""zh"", ""en"")"),"Very good table arrived, and very beautiful, is made in China, but the instructions are in Japanese, but also be able to read")</f>
        <v>Very good table arrived, and very beautiful, is made in China, but the instructions are in Japanese, but also be able to read</v>
      </c>
    </row>
    <row r="9089">
      <c r="A9089" s="1">
        <v>5.0</v>
      </c>
      <c r="B9089" s="1" t="s">
        <v>9031</v>
      </c>
      <c r="C9089" t="str">
        <f>IFERROR(__xludf.DUMMYFUNCTION("GOOGLETRANSLATE(B9089, ""zh"", ""en"")"),"satisfaction! The machine properly, logistics quickly.")</f>
        <v>satisfaction! The machine properly, logistics quickly.</v>
      </c>
    </row>
    <row r="9090">
      <c r="A9090" s="1">
        <v>5.0</v>
      </c>
      <c r="B9090" s="1" t="s">
        <v>9032</v>
      </c>
      <c r="C9090" t="str">
        <f>IFERROR(__xludf.DUMMYFUNCTION("GOOGLETRANSLATE(B9090, ""zh"", ""en"")"),"Fabric good, comfortable to wear light, thin, soft, feel good, pretty warm.")</f>
        <v>Fabric good, comfortable to wear light, thin, soft, feel good, pretty warm.</v>
      </c>
    </row>
    <row r="9091">
      <c r="A9091" s="1">
        <v>5.0</v>
      </c>
      <c r="B9091" s="1" t="s">
        <v>9033</v>
      </c>
      <c r="C9091" t="str">
        <f>IFERROR(__xludf.DUMMYFUNCTION("GOOGLETRANSLATE(B9091, ""zh"", ""en"")"),"Recommended useful, and convenient. Ye Hao wash recommended")</f>
        <v>Recommended useful, and convenient. Ye Hao wash recommended</v>
      </c>
    </row>
    <row r="9092">
      <c r="A9092" s="1">
        <v>5.0</v>
      </c>
      <c r="B9092" s="1" t="s">
        <v>9034</v>
      </c>
      <c r="C9092" t="str">
        <f>IFERROR(__xludf.DUMMYFUNCTION("GOOGLETRANSLATE(B9092, ""zh"", ""en"")"),"Has been a good buy pants, size standard LEE, is recommended")</f>
        <v>Has been a good buy pants, size standard LEE, is recommended</v>
      </c>
    </row>
    <row r="9093">
      <c r="A9093" s="1">
        <v>5.0</v>
      </c>
      <c r="B9093" s="1" t="s">
        <v>9035</v>
      </c>
      <c r="C9093" t="str">
        <f>IFERROR(__xludf.DUMMYFUNCTION("GOOGLETRANSLATE(B9093, ""zh"", ""en"")"),"306P MK2 very values ​​sound quality is very good, 2.0 bass speakers can achieve this level it is rare! 10000. spike all the speakers!")</f>
        <v>306P MK2 very values ​​sound quality is very good, 2.0 bass speakers can achieve this level it is rare! 10000. spike all the speakers!</v>
      </c>
    </row>
    <row r="9094">
      <c r="A9094" s="1">
        <v>5.0</v>
      </c>
      <c r="B9094" s="1" t="s">
        <v>9036</v>
      </c>
      <c r="C9094" t="str">
        <f>IFERROR(__xludf.DUMMYFUNCTION("GOOGLETRANSLATE(B9094, ""zh"", ""en"")"),"Good very comfortable to wear, I am very satisfied")</f>
        <v>Good very comfortable to wear, I am very satisfied</v>
      </c>
    </row>
    <row r="9095">
      <c r="A9095" s="1">
        <v>2.0</v>
      </c>
      <c r="B9095" s="1" t="s">
        <v>88</v>
      </c>
      <c r="C9095" t="str">
        <f>IFERROR(__xludf.DUMMYFUNCTION("GOOGLETRANSLATE(B9095, ""zh"", ""en"")"),"Made in China Japan purchased originally thought it was Japanese goods, the result is Made in China")</f>
        <v>Made in China Japan purchased originally thought it was Japanese goods, the result is Made in China</v>
      </c>
    </row>
    <row r="9096">
      <c r="A9096" s="1">
        <v>3.0</v>
      </c>
      <c r="B9096" s="1" t="s">
        <v>9037</v>
      </c>
      <c r="C9096" t="str">
        <f>IFERROR(__xludf.DUMMYFUNCTION("GOOGLETRANSLATE(B9096, ""zh"", ""en"")"),"Big big big really is too much to buy the usual small one yards is still a little big, fat pants particularly special, my height 188 weight 200 pounds")</f>
        <v>Big big big really is too much to buy the usual small one yards is still a little big, fat pants particularly special, my height 188 weight 200 pounds</v>
      </c>
    </row>
    <row r="9097">
      <c r="A9097" s="1">
        <v>3.0</v>
      </c>
      <c r="B9097" s="1" t="s">
        <v>9038</v>
      </c>
      <c r="C9097" t="str">
        <f>IFERROR(__xludf.DUMMYFUNCTION("GOOGLETRANSLATE(B9097, ""zh"", ""en"")"),"Martin bought a few pairs of boots Martin boots, and this pair is the worst. Although the shoes are new, but the rough work, even stitches wrinkled! There are a lot of tongue and upper dust, especially around the buttonhole tie his shoe, stick a lot of bl"&amp;"ack mud, incredible? ! Just wipe with a damp, soft cloth. Ask customer service, returns have to find their own courier company returned to England, he identified that quality problems, only to reimburse shipping costs. He will not admit it hard? So far ap"&amp;"art, how I negotiate with him? ! Moreover, even waste my time and energy! Amazon hopes to improve, should be like Central Asia, returns to you, identified by you or from you, and British-coordinated negotiations, reduce customer troubles. The shopping is "&amp;"not satisfied, to a maximum of Samsung.")</f>
        <v>Martin bought a few pairs of boots Martin boots, and this pair is the worst. Although the shoes are new, but the rough work, even stitches wrinkled! There are a lot of tongue and upper dust, especially around the buttonhole tie his shoe, stick a lot of black mud, incredible? ! Just wipe with a damp, soft cloth. Ask customer service, returns have to find their own courier company returned to England, he identified that quality problems, only to reimburse shipping costs. He will not admit it hard? So far apart, how I negotiate with him? ! Moreover, even waste my time and energy! Amazon hopes to improve, should be like Central Asia, returns to you, identified by you or from you, and British-coordinated negotiations, reduce customer troubles. The shopping is not satisfied, to a maximum of Samsung.</v>
      </c>
    </row>
    <row r="9098">
      <c r="A9098" s="1">
        <v>1.0</v>
      </c>
      <c r="B9098" s="1" t="s">
        <v>9039</v>
      </c>
      <c r="C9098" t="str">
        <f>IFERROR(__xludf.DUMMYFUNCTION("GOOGLETRANSLATE(B9098, ""zh"", ""en"")"),"M is the same too, can not wear the large")</f>
        <v>M is the same too, can not wear the large</v>
      </c>
    </row>
    <row r="9099">
      <c r="A9099" s="1">
        <v>1.0</v>
      </c>
      <c r="B9099" s="1" t="s">
        <v>6434</v>
      </c>
      <c r="C9099" t="str">
        <f>IFERROR(__xludf.DUMMYFUNCTION("GOOGLETRANSLATE(B9099, ""zh"", ""en"")"),"Color is not correct color is not correct, would like a refund is not convenient")</f>
        <v>Color is not correct color is not correct, would like a refund is not convenient</v>
      </c>
    </row>
    <row r="9100">
      <c r="A9100" s="1">
        <v>1.0</v>
      </c>
      <c r="B9100" s="1" t="s">
        <v>9040</v>
      </c>
      <c r="C9100" t="str">
        <f>IFERROR(__xludf.DUMMYFUNCTION("GOOGLETRANSLATE(B9100, ""zh"", ""en"")"),"Garbage, do not shop at Amazon for 18 years in July bought 19 April scrapped, the beginning has bad sectors, not now directly read the disk, the Amazon is a pit overseas purchase")</f>
        <v>Garbage, do not shop at Amazon for 18 years in July bought 19 April scrapped, the beginning has bad sectors, not now directly read the disk, the Amazon is a pit overseas purchase</v>
      </c>
    </row>
    <row r="9101">
      <c r="A9101" s="1">
        <v>4.0</v>
      </c>
      <c r="B9101" s="1" t="s">
        <v>9041</v>
      </c>
      <c r="C9101" t="str">
        <f>IFERROR(__xludf.DUMMYFUNCTION("GOOGLETRANSLATE(B9101, ""zh"", ""en"")"),"Comfortable as the title describes, back is very comfortable. Size is very standard.")</f>
        <v>Comfortable as the title describes, back is very comfortable. Size is very standard.</v>
      </c>
    </row>
    <row r="9102">
      <c r="A9102" s="1">
        <v>4.0</v>
      </c>
      <c r="B9102" s="1" t="s">
        <v>9042</v>
      </c>
      <c r="C9102" t="str">
        <f>IFERROR(__xludf.DUMMYFUNCTION("GOOGLETRANSLATE(B9102, ""zh"", ""en"")"),"2TB sell 1900,3,4TB sell more than 600, what is this pricing strategy? can not read it!")</f>
        <v>2TB sell 1900,3,4TB sell more than 600, what is this pricing strategy? can not read it!</v>
      </c>
    </row>
    <row r="9103">
      <c r="A9103" s="1">
        <v>4.0</v>
      </c>
      <c r="B9103" s="1" t="s">
        <v>9043</v>
      </c>
      <c r="C9103" t="str">
        <f>IFERROR(__xludf.DUMMYFUNCTION("GOOGLETRANSLATE(B9103, ""zh"", ""en"")"),"There are overall pretty good color, that is brown-red, brown is actually true, which was old-fashioned. Indonesia production, leather and hand pretty good. Code number calculation standard, thick socks to wear a little tight.")</f>
        <v>There are overall pretty good color, that is brown-red, brown is actually true, which was old-fashioned. Indonesia production, leather and hand pretty good. Code number calculation standard, thick socks to wear a little tight.</v>
      </c>
    </row>
    <row r="9104">
      <c r="A9104" s="1">
        <v>4.0</v>
      </c>
      <c r="B9104" s="1" t="s">
        <v>9044</v>
      </c>
      <c r="C9104" t="str">
        <f>IFERROR(__xludf.DUMMYFUNCTION("GOOGLETRANSLATE(B9104, ""zh"", ""en"")"),"Not as good as watching yards dizziness results by code number to buy a foot long look to buy small, and have to buy a few centimeters long by foot.")</f>
        <v>Not as good as watching yards dizziness results by code number to buy a foot long look to buy small, and have to buy a few centimeters long by foot.</v>
      </c>
    </row>
    <row r="9105">
      <c r="A9105" s="1">
        <v>5.0</v>
      </c>
      <c r="B9105" s="1" t="s">
        <v>9045</v>
      </c>
      <c r="C9105" t="str">
        <f>IFERROR(__xludf.DUMMYFUNCTION("GOOGLETRANSLATE(B9105, ""zh"", ""en"")"),"Fast, good quality, size quasi logistics super-fast, domestic SF brother attitude is very enthusiastic, size is very appropriate, very comfortable. really not bad!")</f>
        <v>Fast, good quality, size quasi logistics super-fast, domestic SF brother attitude is very enthusiastic, size is very appropriate, very comfortable. really not bad!</v>
      </c>
    </row>
    <row r="9106">
      <c r="A9106" s="1">
        <v>5.0</v>
      </c>
      <c r="B9106" s="1" t="s">
        <v>9046</v>
      </c>
      <c r="C9106" t="str">
        <f>IFERROR(__xludf.DUMMYFUNCTION("GOOGLETRANSLATE(B9106, ""zh"", ""en"")"),"US super comfortable super beautiful, comfortable")</f>
        <v>US super comfortable super beautiful, comfortable</v>
      </c>
    </row>
    <row r="9107">
      <c r="A9107" s="1">
        <v>5.0</v>
      </c>
      <c r="B9107" s="1" t="s">
        <v>9047</v>
      </c>
      <c r="C9107" t="str">
        <f>IFERROR(__xludf.DUMMYFUNCTION("GOOGLETRANSLATE(B9107, ""zh"", ""en"")"),"The right size, easy to use cups are cute, right size, the children also get started with them, and cover both sides of the hole is a freshman small do not worry about anti-loaded, involving humane")</f>
        <v>The right size, easy to use cups are cute, right size, the children also get started with them, and cover both sides of the hole is a freshman small do not worry about anti-loaded, involving humane</v>
      </c>
    </row>
    <row r="9108">
      <c r="A9108" s="1">
        <v>5.0</v>
      </c>
      <c r="B9108" s="1" t="s">
        <v>7189</v>
      </c>
      <c r="C9108" t="str">
        <f>IFERROR(__xludf.DUMMYFUNCTION("GOOGLETRANSLATE(B9108, ""zh"", ""en"")"),"Love is like wearing comfort, requiring a good figure to wear good-looking")</f>
        <v>Love is like wearing comfort, requiring a good figure to wear good-looking</v>
      </c>
    </row>
    <row r="9109">
      <c r="A9109" s="1">
        <v>5.0</v>
      </c>
      <c r="B9109" s="1" t="s">
        <v>9048</v>
      </c>
      <c r="C9109" t="str">
        <f>IFERROR(__xludf.DUMMYFUNCTION("GOOGLETRANSLATE(B9109, ""zh"", ""en"")"),"Value weapon out to the streets, the absolute value activities price, sound quality is also good")</f>
        <v>Value weapon out to the streets, the absolute value activities price, sound quality is also good</v>
      </c>
    </row>
    <row r="9110">
      <c r="A9110" s="1">
        <v>5.0</v>
      </c>
      <c r="B9110" s="1" t="s">
        <v>9049</v>
      </c>
      <c r="C9110" t="str">
        <f>IFERROR(__xludf.DUMMYFUNCTION("GOOGLETRANSLATE(B9110, ""zh"", ""en"")"),"Just, work very good, feel good, very light, not the pure black carbon black is called, is too thin a point not to wear do not know how insulation. Height and weight 178 S code just 120 pounds")</f>
        <v>Just, work very good, feel good, very light, not the pure black carbon black is called, is too thin a point not to wear do not know how insulation. Height and weight 178 S code just 120 pounds</v>
      </c>
    </row>
    <row r="9111">
      <c r="A9111" s="1">
        <v>5.0</v>
      </c>
      <c r="B9111" s="1" t="s">
        <v>9050</v>
      </c>
      <c r="C9111" t="str">
        <f>IFERROR(__xludf.DUMMYFUNCTION("GOOGLETRANSLATE(B9111, ""zh"", ""en"")"),"Schneider pen good overall quality. Especially like the feeling of writing, of writing instruments more selective. Now domestic brands such as Hero pen in the pen almost siege quality deteriorating, lost its thunder. I have been wanted to have a high qual"&amp;"ity pen, especially long-term use better idea after this pen. After feedback from users and individuals think the actual use of the pen Schneider is the higher cost options. Yesterday alone, Comin receive in-kind, a little excited, timely trial. Prelimina"&amp;"ry modeling feeling is relatively heavy, suitable for men of the atmosphere. Loaded ink sac, writing feel more comfortable, smooth and constantly continued, full stroke performance, F nib thickness compared to ordinary gold pen 0.5 years slightly thin som"&amp;"e, there is no User response is relatively heavy feeling, black ink in light, Unbiased gray (perhaps beginning with, ink is not filling). Blue ink sac did not try. Overall feel good, durability, pending further tests, we hope to live up to the German-made"&amp;" ^ _ ^")</f>
        <v>Schneider pen good overall quality. Especially like the feeling of writing, of writing instruments more selective. Now domestic brands such as Hero pen in the pen almost siege quality deteriorating, lost its thunder. I have been wanted to have a high quality pen, especially long-term use better idea after this pen. After feedback from users and individuals think the actual use of the pen Schneider is the higher cost options. Yesterday alone, Comin receive in-kind, a little excited, timely trial. Preliminary modeling feeling is relatively heavy, suitable for men of the atmosphere. Loaded ink sac, writing feel more comfortable, smooth and constantly continued, full stroke performance, F nib thickness compared to ordinary gold pen 0.5 years slightly thin some, there is no User response is relatively heavy feeling, black ink in light, Unbiased gray (perhaps beginning with, ink is not filling). Blue ink sac did not try. Overall feel good, durability, pending further tests, we hope to live up to the German-made ^ _ ^</v>
      </c>
    </row>
    <row r="9112">
      <c r="A9112" s="1">
        <v>5.0</v>
      </c>
      <c r="B9112" s="1" t="s">
        <v>9051</v>
      </c>
      <c r="C9112" t="str">
        <f>IFERROR(__xludf.DUMMYFUNCTION("GOOGLETRANSLATE(B9112, ""zh"", ""en"")"),"Resilient and will Yuechuan Yue quite a bit thin for winter")</f>
        <v>Resilient and will Yuechuan Yue quite a bit thin for winter</v>
      </c>
    </row>
    <row r="9113">
      <c r="A9113" s="1">
        <v>5.0</v>
      </c>
      <c r="B9113" s="1" t="s">
        <v>9052</v>
      </c>
      <c r="C9113" t="str">
        <f>IFERROR(__xludf.DUMMYFUNCTION("GOOGLETRANSLATE(B9113, ""zh"", ""en"")"),"Something really good, really like something really good, I liked it")</f>
        <v>Something really good, really like something really good, I liked it</v>
      </c>
    </row>
    <row r="9114">
      <c r="A9114" s="1">
        <v>5.0</v>
      </c>
      <c r="B9114" s="1" t="s">
        <v>9053</v>
      </c>
      <c r="C9114" t="str">
        <f>IFERROR(__xludf.DUMMYFUNCTION("GOOGLETRANSLATE(B9114, ""zh"", ""en"")"),"Good value for money pants, pants fabric thick, should be very durable. Mexico production, 100% cotton.")</f>
        <v>Good value for money pants, pants fabric thick, should be very durable. Mexico production, 100% cotton.</v>
      </c>
    </row>
    <row r="9115">
      <c r="A9115" s="1">
        <v>5.0</v>
      </c>
      <c r="B9115" s="1" t="s">
        <v>9054</v>
      </c>
      <c r="C9115" t="str">
        <f>IFERROR(__xludf.DUMMYFUNCTION("GOOGLETRANSLATE(B9115, ""zh"", ""en"")"),"Pants and pretty good compared to the Levi's, CKjeans pants is longer, so if Lee and Levi's wear 32, CKjeans to choose 30. Pants on the way of it, almost all jeans, fit, comfort, tall and relatively thin on the choice of Slim models. Well the price, tax a"&amp;"nd shipping costs are still too high, and these pants itself is very common in the United States. Only in the domestic selling too boring. CK selection is relatively small, it is that several direct mail. We want more choices. If necessary, it will buy.")</f>
        <v>Pants and pretty good compared to the Levi's, CKjeans pants is longer, so if Lee and Levi's wear 32, CKjeans to choose 30. Pants on the way of it, almost all jeans, fit, comfort, tall and relatively thin on the choice of Slim models. Well the price, tax and shipping costs are still too high, and these pants itself is very common in the United States. Only in the domestic selling too boring. CK selection is relatively small, it is that several direct mail. We want more choices. If necessary, it will buy.</v>
      </c>
    </row>
    <row r="9116">
      <c r="A9116" s="1">
        <v>5.0</v>
      </c>
      <c r="B9116" s="1" t="s">
        <v>9055</v>
      </c>
      <c r="C9116" t="str">
        <f>IFERROR(__xludf.DUMMYFUNCTION("GOOGLETRANSLATE(B9116, ""zh"", ""en"")"),"Very good right size, the price is cheap.")</f>
        <v>Very good right size, the price is cheap.</v>
      </c>
    </row>
    <row r="9117">
      <c r="A9117" s="1">
        <v>5.0</v>
      </c>
      <c r="B9117" s="1" t="s">
        <v>9056</v>
      </c>
      <c r="C9117" t="str">
        <f>IFERROR(__xludf.DUMMYFUNCTION("GOOGLETRANSLATE(B9117, ""zh"", ""en"")"),"The right to buy 37 feet 7 yards just right, inclusiveness and comfort are very good, color harmony, satisfaction and hope to go from long distance will not be a problem")</f>
        <v>The right to buy 37 feet 7 yards just right, inclusiveness and comfort are very good, color harmony, satisfaction and hope to go from long distance will not be a problem</v>
      </c>
    </row>
    <row r="9118">
      <c r="A9118" s="1">
        <v>5.0</v>
      </c>
      <c r="B9118" s="1" t="s">
        <v>9057</v>
      </c>
      <c r="C9118" t="str">
        <f>IFERROR(__xludf.DUMMYFUNCTION("GOOGLETRANSLATE(B9118, ""zh"", ""en"")"),"Price is still pretty high 1) the use of materials and workmanship is good, worthy of the big brands 2) chuck and can not wear all-inclusive ears, ears after a few hours did not discomfort, but a bit hot, and because the first beam a little thin and hard "&amp;", headphones heavier, more obvious sense of the indenter 3) quality: HD 4.40 is already the most expensive headphones I've ever used, and only HD202 II and Earpods comparison; after listening to two days conclude, HD 4.40 or high frequency resolving power"&amp;" good, feeling bright, low-frequency strong and flexible and dive obvious, but wearing when it has wrapped the ear low frequency impact is very obvious; another sound field is wider and positioned relatively to prepare, listen to the symphony and movies f"&amp;"eel more shock; total the headset is the absolute value of the price.")</f>
        <v>Price is still pretty high 1) the use of materials and workmanship is good, worthy of the big brands 2) chuck and can not wear all-inclusive ears, ears after a few hours did not discomfort, but a bit hot, and because the first beam a little thin and hard , headphones heavier, more obvious sense of the indenter 3) quality: HD 4.40 is already the most expensive headphones I've ever used, and only HD202 II and Earpods comparison; after listening to two days conclude, HD 4.40 or high frequency resolving power good, feeling bright, low-frequency strong and flexible and dive obvious, but wearing when it has wrapped the ear low frequency impact is very obvious; another sound field is wider and positioned relatively to prepare, listen to the symphony and movies feel more shock; total the headset is the absolute value of the price.</v>
      </c>
    </row>
    <row r="9119">
      <c r="A9119" s="1">
        <v>5.0</v>
      </c>
      <c r="B9119" s="1" t="s">
        <v>9058</v>
      </c>
      <c r="C9119" t="str">
        <f>IFERROR(__xludf.DUMMYFUNCTION("GOOGLETRANSLATE(B9119, ""zh"", ""en"")"),"Casio gw-7900b-1er very good Casio watches really can not say it's a bad place and I do not know a lot of functions like the high cost of the proposed purchase Casio")</f>
        <v>Casio gw-7900b-1er very good Casio watches really can not say it's a bad place and I do not know a lot of functions like the high cost of the proposed purchase Casio</v>
      </c>
    </row>
    <row r="9120">
      <c r="A9120" s="1">
        <v>5.0</v>
      </c>
      <c r="B9120" s="1" t="s">
        <v>9059</v>
      </c>
      <c r="C9120" t="str">
        <f>IFERROR(__xludf.DUMMYFUNCTION("GOOGLETRANSLATE(B9120, ""zh"", ""en"")"),"Nice pants, height 185 weight 185 pounds XL just a little harem pants catch the foot.")</f>
        <v>Nice pants, height 185 weight 185 pounds XL just a little harem pants catch the foot.</v>
      </c>
    </row>
    <row r="9121">
      <c r="A9121" s="1">
        <v>5.0</v>
      </c>
      <c r="B9121" s="1" t="s">
        <v>9060</v>
      </c>
      <c r="C9121" t="str">
        <f>IFERROR(__xludf.DUMMYFUNCTION("GOOGLETRANSLATE(B9121, ""zh"", ""en"")"),"Fragrant coffee pot boiled coffee, the whole family are fragrant, so the pot concentrated extract than the other way to be more fragrant.")</f>
        <v>Fragrant coffee pot boiled coffee, the whole family are fragrant, so the pot concentrated extract than the other way to be more fragrant.</v>
      </c>
    </row>
    <row r="9122">
      <c r="A9122" s="1">
        <v>5.0</v>
      </c>
      <c r="B9122" s="1" t="s">
        <v>9061</v>
      </c>
      <c r="C9122" t="str">
        <f>IFERROR(__xludf.DUMMYFUNCTION("GOOGLETRANSLATE(B9122, ""zh"", ""en"")"),"Quite satisfied with the transformer - buy online - ten pieces of water rushing out of dental floss after brushing good things - some residual gum a little pain, inflammation may be it - in short, very satisfied with friends ~ 382 into the (tax another op"&amp;"erator) PS I see online that this thing is not to be used continuously for more than two minutes, the machine pulse relatively injury - so generally there is a person with their own ~")</f>
        <v>Quite satisfied with the transformer - buy online - ten pieces of water rushing out of dental floss after brushing good things - some residual gum a little pain, inflammation may be it - in short, very satisfied with friends ~ 382 into the (tax another operator) PS I see online that this thing is not to be used continuously for more than two minutes, the machine pulse relatively injury - so generally there is a person with their own ~</v>
      </c>
    </row>
    <row r="9123">
      <c r="A9123" s="1">
        <v>5.0</v>
      </c>
      <c r="B9123" s="1" t="s">
        <v>9062</v>
      </c>
      <c r="C9123" t="str">
        <f>IFERROR(__xludf.DUMMYFUNCTION("GOOGLETRANSLATE(B9123, ""zh"", ""en"")"),"Shoes very good, very like to receive in-kind good-looking than the pictures, very much. Shoe size is positive, the selected 41 yards 7.5uk, super suitable. Breath bought three pairs. . . It is the one pair price")</f>
        <v>Shoes very good, very like to receive in-kind good-looking than the pictures, very much. Shoe size is positive, the selected 41 yards 7.5uk, super suitable. Breath bought three pairs. . . It is the one pair price</v>
      </c>
    </row>
    <row r="9124">
      <c r="A9124" s="1">
        <v>5.0</v>
      </c>
      <c r="B9124" s="1" t="s">
        <v>9063</v>
      </c>
      <c r="C9124" t="str">
        <f>IFERROR(__xludf.DUMMYFUNCTION("GOOGLETRANSLATE(B9124, ""zh"", ""en"")"),"Good equipment Made in china is very bright, very powerful")</f>
        <v>Good equipment Made in china is very bright, very powerful</v>
      </c>
    </row>
    <row r="9125">
      <c r="A9125" s="1">
        <v>5.0</v>
      </c>
      <c r="B9125" s="1" t="s">
        <v>9064</v>
      </c>
      <c r="C9125" t="str">
        <f>IFERROR(__xludf.DUMMYFUNCTION("GOOGLETRANSLATE(B9125, ""zh"", ""en"")"),"Good things, good things are worth buying stuff, is who can give me instructions! ! ! Master lost! ! ! Now not installed")</f>
        <v>Good things, good things are worth buying stuff, is who can give me instructions! ! ! Master lost! ! ! Now not installed</v>
      </c>
    </row>
    <row r="9126">
      <c r="A9126" s="1">
        <v>5.0</v>
      </c>
      <c r="B9126" s="1" t="s">
        <v>9065</v>
      </c>
      <c r="C9126" t="str">
        <f>IFERROR(__xludf.DUMMYFUNCTION("GOOGLETRANSLATE(B9126, ""zh"", ""en"")"),"Genuine feel comfortable buying is authentic, the taste is not bad. The packaging is very good.")</f>
        <v>Genuine feel comfortable buying is authentic, the taste is not bad. The packaging is very good.</v>
      </c>
    </row>
    <row r="9127">
      <c r="A9127" s="1">
        <v>2.0</v>
      </c>
      <c r="B9127" s="1" t="s">
        <v>9066</v>
      </c>
      <c r="C9127" t="str">
        <f>IFERROR(__xludf.DUMMYFUNCTION("GOOGLETRANSLATE(B9127, ""zh"", ""en"")"),"Bust is too big a bust too thin bra bra very thin")</f>
        <v>Bust is too big a bust too thin bra bra very thin</v>
      </c>
    </row>
    <row r="9128">
      <c r="A9128" s="1">
        <v>3.0</v>
      </c>
      <c r="B9128" s="1" t="s">
        <v>9067</v>
      </c>
      <c r="C9128" t="str">
        <f>IFERROR(__xludf.DUMMYFUNCTION("GOOGLETRANSLATE(B9128, ""zh"", ""en"")"),"Quality can be, but the wrong color Height 177 weight 52kg special type of thin, shot m code, slightly loose, origin Honduras, is not satisfied with the wrong hair color, shoot swiss blue, is actually received Hotline Blue, but the sale very perfect")</f>
        <v>Quality can be, but the wrong color Height 177 weight 52kg special type of thin, shot m code, slightly loose, origin Honduras, is not satisfied with the wrong hair color, shoot swiss blue, is actually received Hotline Blue, but the sale very perfect</v>
      </c>
    </row>
    <row r="9129">
      <c r="A9129" s="1">
        <v>3.0</v>
      </c>
      <c r="B9129" s="1" t="s">
        <v>9068</v>
      </c>
      <c r="C9129" t="str">
        <f>IFERROR(__xludf.DUMMYFUNCTION("GOOGLETRANSLATE(B9129, ""zh"", ""en"")"),"There are actually used at the scene yet there are used at the scene, and if so, I just buy a second-hand goods Jingdong")</f>
        <v>There are actually used at the scene yet there are used at the scene, and if so, I just buy a second-hand goods Jingdong</v>
      </c>
    </row>
    <row r="9130">
      <c r="A9130" s="1">
        <v>3.0</v>
      </c>
      <c r="B9130" s="1" t="s">
        <v>9069</v>
      </c>
      <c r="C9130" t="str">
        <f>IFERROR(__xludf.DUMMYFUNCTION("GOOGLETRANSLATE(B9130, ""zh"", ""en"")"),"This is completely out of control loose to unexpected size")</f>
        <v>This is completely out of control loose to unexpected size</v>
      </c>
    </row>
    <row r="9131">
      <c r="A9131" s="1">
        <v>1.0</v>
      </c>
      <c r="B9131" s="1" t="s">
        <v>9070</v>
      </c>
      <c r="C9131" t="str">
        <f>IFERROR(__xludf.DUMMYFUNCTION("GOOGLETRANSLATE(B9131, ""zh"", ""en"")"),"The quality is really bad waistband try once apparent fade, a pair of pants will be infected with black circle mark, and there are very strong pungent taste, not only that, there are two belts visible scars. Very satisfied with the first sea Amoy.")</f>
        <v>The quality is really bad waistband try once apparent fade, a pair of pants will be infected with black circle mark, and there are very strong pungent taste, not only that, there are two belts visible scars. Very satisfied with the first sea Amoy.</v>
      </c>
    </row>
    <row r="9132">
      <c r="A9132" s="1">
        <v>1.0</v>
      </c>
      <c r="B9132" s="1" t="s">
        <v>9071</v>
      </c>
      <c r="C9132" t="str">
        <f>IFERROR(__xludf.DUMMYFUNCTION("GOOGLETRANSLATE(B9132, ""zh"", ""en"")"),"Cup bad one less heart sons less an accessory cup")</f>
        <v>Cup bad one less heart sons less an accessory cup</v>
      </c>
    </row>
    <row r="9133">
      <c r="A9133" s="1">
        <v>4.0</v>
      </c>
      <c r="B9133" s="1" t="s">
        <v>9072</v>
      </c>
      <c r="C9133" t="str">
        <f>IFERROR(__xludf.DUMMYFUNCTION("GOOGLETRANSLATE(B9133, ""zh"", ""en"")"),"Something pretty good, very appropriate headset is very lightweight, but the noise is not very good, the sound of the street when the street's voice heard loud and clear, easy to affect the music, the phone more difficult to push, it needs to put a lot of"&amp;" noise Yes, very good sound quality, musical instruments and hear more clearly also play a very good game.")</f>
        <v>Something pretty good, very appropriate headset is very lightweight, but the noise is not very good, the sound of the street when the street's voice heard loud and clear, easy to affect the music, the phone more difficult to push, it needs to put a lot of noise Yes, very good sound quality, musical instruments and hear more clearly also play a very good game.</v>
      </c>
    </row>
    <row r="9134">
      <c r="A9134" s="1">
        <v>4.0</v>
      </c>
      <c r="B9134" s="1" t="s">
        <v>6567</v>
      </c>
      <c r="C9134" t="str">
        <f>IFERROR(__xludf.DUMMYFUNCTION("GOOGLETRANSLATE(B9134, ""zh"", ""en"")"),"Good quality small size, but smaller than the size of Japan's domestic, and be sure to buy the freshman code")</f>
        <v>Good quality small size, but smaller than the size of Japan's domestic, and be sure to buy the freshman code</v>
      </c>
    </row>
    <row r="9135">
      <c r="A9135" s="1">
        <v>4.0</v>
      </c>
      <c r="B9135" s="1" t="s">
        <v>9073</v>
      </c>
      <c r="C9135" t="str">
        <f>IFERROR(__xludf.DUMMYFUNCTION("GOOGLETRANSLATE(B9135, ""zh"", ""en"")"),"Overall okay, not so legendary god bottle piggy why use a sticker ah? ? ? Overall okay, not legendary so God, after all, it is a drinking cup, cup hope to improve more the better.")</f>
        <v>Overall okay, not so legendary god bottle piggy why use a sticker ah? ? ? Overall okay, not legendary so God, after all, it is a drinking cup, cup hope to improve more the better.</v>
      </c>
    </row>
    <row r="9136">
      <c r="A9136" s="1">
        <v>4.0</v>
      </c>
      <c r="B9136" s="1" t="s">
        <v>9074</v>
      </c>
      <c r="C9136" t="str">
        <f>IFERROR(__xludf.DUMMYFUNCTION("GOOGLETRANSLATE(B9136, ""zh"", ""en"")"),"I wonder if there is no waterproof 100 meters this table do not know there is no 100-meter water resistance, table cover, says weter resistant 10bar and instructions on writing 100M weter resistant is 100 meters waterproof.")</f>
        <v>I wonder if there is no waterproof 100 meters this table do not know there is no 100-meter water resistance, table cover, says weter resistant 10bar and instructions on writing 100M weter resistant is 100 meters waterproof.</v>
      </c>
    </row>
    <row r="9137">
      <c r="A9137" s="1">
        <v>4.0</v>
      </c>
      <c r="B9137" s="1" t="s">
        <v>9075</v>
      </c>
      <c r="C9137" t="str">
        <f>IFERROR(__xludf.DUMMYFUNCTION("GOOGLETRANSLATE(B9137, ""zh"", ""en"")"),"Yes Yes Yes Yes Yes Yes Yes Yes")</f>
        <v>Yes Yes Yes Yes Yes Yes Yes Yes</v>
      </c>
    </row>
    <row r="9138">
      <c r="A9138" s="1">
        <v>5.0</v>
      </c>
      <c r="B9138" s="1" t="s">
        <v>9076</v>
      </c>
      <c r="C9138" t="str">
        <f>IFERROR(__xludf.DUMMYFUNCTION("GOOGLETRANSLATE(B9138, ""zh"", ""en"")"),"To achieve the desired 175cm, 80kg, M No. size suitable")</f>
        <v>To achieve the desired 175cm, 80kg, M No. size suitable</v>
      </c>
    </row>
    <row r="9139">
      <c r="A9139" s="1">
        <v>5.0</v>
      </c>
      <c r="B9139" s="1" t="s">
        <v>9077</v>
      </c>
      <c r="C9139" t="str">
        <f>IFERROR(__xludf.DUMMYFUNCTION("GOOGLETRANSLATE(B9139, ""zh"", ""en"")"),"We do not know the effect of after-sales service good product. Good after-sales service. Products made only a row of three ,, less two rows. Sale two-thirds said the retreat began, after the challenge, executives readily full refund.")</f>
        <v>We do not know the effect of after-sales service good product. Good after-sales service. Products made only a row of three ,, less two rows. Sale two-thirds said the retreat began, after the challenge, executives readily full refund.</v>
      </c>
    </row>
    <row r="9140">
      <c r="A9140" s="1">
        <v>5.0</v>
      </c>
      <c r="B9140" s="1" t="s">
        <v>9078</v>
      </c>
      <c r="C9140" t="str">
        <f>IFERROR(__xludf.DUMMYFUNCTION("GOOGLETRANSLATE(B9140, ""zh"", ""en"")"),"Value LEE jeans size W30 of the belt 34 yards, just good. 32 also, but to use the penultimate hole.")</f>
        <v>Value LEE jeans size W30 of the belt 34 yards, just good. 32 also, but to use the penultimate hole.</v>
      </c>
    </row>
    <row r="9141">
      <c r="A9141" s="1">
        <v>5.0</v>
      </c>
      <c r="B9141" s="1" t="s">
        <v>9079</v>
      </c>
      <c r="C9141" t="str">
        <f>IFERROR(__xludf.DUMMYFUNCTION("GOOGLETRANSLATE(B9141, ""zh"", ""en"")"),"I like to buy the L code, just the right size. 160cm, 47kg.")</f>
        <v>I like to buy the L code, just the right size. 160cm, 47kg.</v>
      </c>
    </row>
    <row r="9142">
      <c r="A9142" s="1">
        <v>5.0</v>
      </c>
      <c r="B9142" s="1" t="s">
        <v>9080</v>
      </c>
      <c r="C9142" t="str">
        <f>IFERROR(__xludf.DUMMYFUNCTION("GOOGLETRANSLATE(B9142, ""zh"", ""en"")"),"Very good very good, very fit")</f>
        <v>Very good very good, very fit</v>
      </c>
    </row>
    <row r="9143">
      <c r="A9143" s="1">
        <v>5.0</v>
      </c>
      <c r="B9143" s="1" t="s">
        <v>9081</v>
      </c>
      <c r="C9143" t="str">
        <f>IFERROR(__xludf.DUMMYFUNCTION("GOOGLETRANSLATE(B9143, ""zh"", ""en"")"),"You can buy a very nice table! price fluncuation! Low price to buy! ! ! Arrive more than 10 days after stopping once! After the sun has come today")</f>
        <v>You can buy a very nice table! price fluncuation! Low price to buy! ! ! Arrive more than 10 days after stopping once! After the sun has come today</v>
      </c>
    </row>
    <row r="9144">
      <c r="A9144" s="1">
        <v>5.0</v>
      </c>
      <c r="B9144" s="1" t="s">
        <v>9082</v>
      </c>
      <c r="C9144" t="str">
        <f>IFERROR(__xludf.DUMMYFUNCTION("GOOGLETRANSLATE(B9144, ""zh"", ""en"")"),"To achieve the desired texture is good, never used an electric toothbrush, bad reviews of other brands and models, but the subjective feeling better than manual brushing, express speed pretty fast")</f>
        <v>To achieve the desired texture is good, never used an electric toothbrush, bad reviews of other brands and models, but the subjective feeling better than manual brushing, express speed pretty fast</v>
      </c>
    </row>
    <row r="9145">
      <c r="A9145" s="1">
        <v>5.0</v>
      </c>
      <c r="B9145" s="1" t="s">
        <v>9083</v>
      </c>
      <c r="C9145" t="str">
        <f>IFERROR(__xludf.DUMMYFUNCTION("GOOGLETRANSLATE(B9145, ""zh"", ""en"")"),"Worth buying buy big a yard, but also can wear. Foot feeling very comfortable. Worth buying again. A lot cheaper than the domestic counter offer.")</f>
        <v>Worth buying buy big a yard, but also can wear. Foot feeling very comfortable. Worth buying again. A lot cheaper than the domestic counter offer.</v>
      </c>
    </row>
    <row r="9146">
      <c r="A9146" s="1">
        <v>5.0</v>
      </c>
      <c r="B9146" s="1" t="s">
        <v>9084</v>
      </c>
      <c r="C9146" t="str">
        <f>IFERROR(__xludf.DUMMYFUNCTION("GOOGLETRANSLATE(B9146, ""zh"", ""en"")"),"Box unpackaged headphones, sound quality is no problem.")</f>
        <v>Box unpackaged headphones, sound quality is no problem.</v>
      </c>
    </row>
    <row r="9147">
      <c r="A9147" s="1">
        <v>5.0</v>
      </c>
      <c r="B9147" s="1" t="s">
        <v>9085</v>
      </c>
      <c r="C9147" t="str">
        <f>IFERROR(__xludf.DUMMYFUNCTION("GOOGLETRANSLATE(B9147, ""zh"", ""en"")"),"After a very cost-effective time shopping to buy electric toothbrush, brush has become a necessity, Taobao too expensive real to the enemy, this is much more at ease to buy above, about two weeks to get the goods, and to force the key is cheap, close 39 y"&amp;"uan / month, after blasting Taobao goods, left ~ ~")</f>
        <v>After a very cost-effective time shopping to buy electric toothbrush, brush has become a necessity, Taobao too expensive real to the enemy, this is much more at ease to buy above, about two weeks to get the goods, and to force the key is cheap, close 39 yuan / month, after blasting Taobao goods, left ~ ~</v>
      </c>
    </row>
    <row r="9148">
      <c r="A9148" s="1">
        <v>5.0</v>
      </c>
      <c r="B9148" s="1" t="s">
        <v>9086</v>
      </c>
      <c r="C9148" t="str">
        <f>IFERROR(__xludf.DUMMYFUNCTION("GOOGLETRANSLATE(B9148, ""zh"", ""en"")"),"Affordable price really is very cheap, with the end brands are also more expensive. Good quality, the right size. The style itself is a short-sleeved long dress design, so do not care about clothes too short.")</f>
        <v>Affordable price really is very cheap, with the end brands are also more expensive. Good quality, the right size. The style itself is a short-sleeved long dress design, so do not care about clothes too short.</v>
      </c>
    </row>
    <row r="9149">
      <c r="A9149" s="1">
        <v>5.0</v>
      </c>
      <c r="B9149" s="1" t="s">
        <v>9087</v>
      </c>
      <c r="C9149" t="str">
        <f>IFERROR(__xludf.DUMMYFUNCTION("GOOGLETRANSLATE(B9149, ""zh"", ""en"")"),"Good shoes, that is, some large domestic foot 42 to buy a big lot of good shoes, that is, some large domestic foot 42 to buy a lot of big")</f>
        <v>Good shoes, that is, some large domestic foot 42 to buy a big lot of good shoes, that is, some large domestic foot 42 to buy a lot of big</v>
      </c>
    </row>
    <row r="9150">
      <c r="A9150" s="1">
        <v>5.0</v>
      </c>
      <c r="B9150" s="1" t="s">
        <v>9088</v>
      </c>
      <c r="C9150" t="str">
        <f>IFERROR(__xludf.DUMMYFUNCTION("GOOGLETRANSLATE(B9150, ""zh"", ""en"")"),"Proper fit, elastic. The only point is that partial thickness")</f>
        <v>Proper fit, elastic. The only point is that partial thickness</v>
      </c>
    </row>
    <row r="9151">
      <c r="A9151" s="1">
        <v>5.0</v>
      </c>
      <c r="B9151" s="1" t="s">
        <v>9089</v>
      </c>
      <c r="C9151" t="str">
        <f>IFERROR(__xludf.DUMMYFUNCTION("GOOGLETRANSLATE(B9151, ""zh"", ""en"")"),"Perfect after 10 days and finally from the United States to hand, sent good, sound much smaller than the domestic, if the price point and then perfect the better")</f>
        <v>Perfect after 10 days and finally from the United States to hand, sent good, sound much smaller than the domestic, if the price point and then perfect the better</v>
      </c>
    </row>
    <row r="9152">
      <c r="A9152" s="1">
        <v>5.0</v>
      </c>
      <c r="B9152" s="1" t="s">
        <v>9090</v>
      </c>
      <c r="C9152" t="str">
        <f>IFERROR(__xludf.DUMMYFUNCTION("GOOGLETRANSLATE(B9152, ""zh"", ""en"")"),"5 points! I probably bought 2018 favorite products. Gs few friends, although there are mechanical watches, but most of the equipment would choose to go out gs")</f>
        <v>5 points! I probably bought 2018 favorite products. Gs few friends, although there are mechanical watches, but most of the equipment would choose to go out gs</v>
      </c>
    </row>
    <row r="9153">
      <c r="A9153" s="1">
        <v>5.0</v>
      </c>
      <c r="B9153" s="1" t="s">
        <v>9091</v>
      </c>
      <c r="C9153" t="str">
        <f>IFERROR(__xludf.DUMMYFUNCTION("GOOGLETRANSLATE(B9153, ""zh"", ""en"")"),"Good socks, socks, super, super comfortable, super nice, I might wear too violent, the feeling has been swelled. • ﹏ •")</f>
        <v>Good socks, socks, super, super comfortable, super nice, I might wear too violent, the feeling has been swelled. • ﹏ •</v>
      </c>
    </row>
    <row r="9154">
      <c r="A9154" s="1">
        <v>5.0</v>
      </c>
      <c r="B9154" s="1" t="s">
        <v>9092</v>
      </c>
      <c r="C9154" t="str">
        <f>IFERROR(__xludf.DUMMYFUNCTION("GOOGLETRANSLATE(B9154, ""zh"", ""en"")"),"Good fat short steel Japanese version of the novel like to belong to a width exceeding the length of the short fat type of thin Japanese version of the new packaging")</f>
        <v>Good fat short steel Japanese version of the novel like to belong to a width exceeding the length of the short fat type of thin Japanese version of the new packaging</v>
      </c>
    </row>
    <row r="9155">
      <c r="A9155" s="1">
        <v>5.0</v>
      </c>
      <c r="B9155" s="1" t="s">
        <v>9093</v>
      </c>
      <c r="C9155" t="str">
        <f>IFERROR(__xludf.DUMMYFUNCTION("GOOGLETRANSLATE(B9155, ""zh"", ""en"")"),"Very good material came good workmanship")</f>
        <v>Very good material came good workmanship</v>
      </c>
    </row>
    <row r="9156">
      <c r="A9156" s="1">
        <v>5.0</v>
      </c>
      <c r="B9156" s="1" t="s">
        <v>9094</v>
      </c>
      <c r="C9156" t="str">
        <f>IFERROR(__xludf.DUMMYFUNCTION("GOOGLETRANSLATE(B9156, ""zh"", ""en"")"),"Like South Korea and looked back to the others evaluate very worried, get the goods found good ah, no smell, as soft, and the quality I brought back from South Korea duty-free shops of the same, but it is more cost-effective")</f>
        <v>Like South Korea and looked back to the others evaluate very worried, get the goods found good ah, no smell, as soft, and the quality I brought back from South Korea duty-free shops of the same, but it is more cost-effective</v>
      </c>
    </row>
    <row r="9157">
      <c r="A9157" s="1">
        <v>5.0</v>
      </c>
      <c r="B9157" s="1" t="s">
        <v>9095</v>
      </c>
      <c r="C9157" t="str">
        <f>IFERROR(__xludf.DUMMYFUNCTION("GOOGLETRANSLATE(B9157, ""zh"", ""en"")"),"Very good texture trousers and 200-300 yuan addias not comparable, but OK, this price is worth it.")</f>
        <v>Very good texture trousers and 200-300 yuan addias not comparable, but OK, this price is worth it.</v>
      </c>
    </row>
    <row r="9158">
      <c r="A9158" s="1">
        <v>5.0</v>
      </c>
      <c r="B9158" s="1" t="s">
        <v>9096</v>
      </c>
      <c r="C9158" t="str">
        <f>IFERROR(__xludf.DUMMYFUNCTION("GOOGLETRANSLATE(B9158, ""zh"", ""en"")"),"And the number of weekdays in different shoes, or go to the store tried to buy. Shoes nice. If D version looks better. The M bit visually wide. This number also reached into a finger, a little too large, weekdays 43 NB wear for reference.")</f>
        <v>And the number of weekdays in different shoes, or go to the store tried to buy. Shoes nice. If D version looks better. The M bit visually wide. This number also reached into a finger, a little too large, weekdays 43 NB wear for reference.</v>
      </c>
    </row>
    <row r="9159">
      <c r="A9159" s="1">
        <v>5.0</v>
      </c>
      <c r="B9159" s="1" t="s">
        <v>9097</v>
      </c>
      <c r="C9159" t="str">
        <f>IFERROR(__xludf.DUMMYFUNCTION("GOOGLETRANSLATE(B9159, ""zh"", ""en"")"),"Casio calculator watches CA-53W-1Z advantages: color carton packaging, sealing mouth full of new products; although it is made in China, but the workmanship is very good; no Chinese paper manual, you can download an electronic version of the Chinese instr"&amp;"uctions from Casio official website; ultra-thin dial, you can easily put the sleeves; simple and practical, calculator on the wrist; alarm clock, dual time, day of week, 24-hour, these are the basic functions. Cons: buttons are very small, needed a finger"&amp;"tip button; this section is low-end products, there is no backlight, darkness can not see the screen.")</f>
        <v>Casio calculator watches CA-53W-1Z advantages: color carton packaging, sealing mouth full of new products; although it is made in China, but the workmanship is very good; no Chinese paper manual, you can download an electronic version of the Chinese instructions from Casio official website; ultra-thin dial, you can easily put the sleeves; simple and practical, calculator on the wrist; alarm clock, dual time, day of week, 24-hour, these are the basic functions. Cons: buttons are very small, needed a fingertip button; this section is low-end products, there is no backlight, darkness can not see the screen.</v>
      </c>
    </row>
    <row r="9160">
      <c r="A9160" s="1">
        <v>2.0</v>
      </c>
      <c r="B9160" s="1" t="s">
        <v>9098</v>
      </c>
      <c r="C9160" t="str">
        <f>IFERROR(__xludf.DUMMYFUNCTION("GOOGLETRANSLATE(B9160, ""zh"", ""en"")"),"Too much, according to Ouma will be able to buy a smaller size")</f>
        <v>Too much, according to Ouma will be able to buy a smaller size</v>
      </c>
    </row>
    <row r="9161">
      <c r="A9161" s="1">
        <v>3.0</v>
      </c>
      <c r="B9161" s="1" t="s">
        <v>9099</v>
      </c>
      <c r="C9161" t="str">
        <f>IFERROR(__xludf.DUMMYFUNCTION("GOOGLETRANSLATE(B9161, ""zh"", ""en"")"),"Generally not very comfortable to wear, like, especially after washing")</f>
        <v>Generally not very comfortable to wear, like, especially after washing</v>
      </c>
    </row>
    <row r="9162">
      <c r="A9162" s="1">
        <v>3.0</v>
      </c>
      <c r="B9162" s="1" t="s">
        <v>9100</v>
      </c>
      <c r="C9162" t="str">
        <f>IFERROR(__xludf.DUMMYFUNCTION("GOOGLETRANSLATE(B9162, ""zh"", ""en"")"),"Fade first cleaning, bleaching serious. The second sequence three times still fade! Serious doubts about the authenticity of the product, a closer look, a lot of thread, do not want the big brands of clothes. I really doubt that Amazon thing, especially i"&amp;"n Chinese Amazon in the end is not in the sale of counterfeits!")</f>
        <v>Fade first cleaning, bleaching serious. The second sequence three times still fade! Serious doubts about the authenticity of the product, a closer look, a lot of thread, do not want the big brands of clothes. I really doubt that Amazon thing, especially in Chinese Amazon in the end is not in the sale of counterfeits!</v>
      </c>
    </row>
    <row r="9163">
      <c r="A9163" s="1">
        <v>1.0</v>
      </c>
      <c r="B9163" s="1" t="s">
        <v>9101</v>
      </c>
      <c r="C9163" t="str">
        <f>IFERROR(__xludf.DUMMYFUNCTION("GOOGLETRANSLATE(B9163, ""zh"", ""en"")"),"Difficult to dissolve! And compared to the US version, the European version is too difficult to dissolve, we must shake or stir the cup for a long time, next time or buy the US version of the")</f>
        <v>Difficult to dissolve! And compared to the US version, the European version is too difficult to dissolve, we must shake or stir the cup for a long time, next time or buy the US version of the</v>
      </c>
    </row>
    <row r="9164">
      <c r="A9164" s="1">
        <v>1.0</v>
      </c>
      <c r="B9164" s="1" t="s">
        <v>9102</v>
      </c>
      <c r="C9164" t="str">
        <f>IFERROR(__xludf.DUMMYFUNCTION("GOOGLETRANSLATE(B9164, ""zh"", ""en"")"),"The package is opened the package is opened, the color does not look good in FIG.")</f>
        <v>The package is opened the package is opened, the color does not look good in FIG.</v>
      </c>
    </row>
    <row r="9165">
      <c r="A9165" s="1">
        <v>1.0</v>
      </c>
      <c r="B9165" s="1" t="s">
        <v>9103</v>
      </c>
      <c r="C9165" t="str">
        <f>IFERROR(__xludf.DUMMYFUNCTION("GOOGLETRANSLATE(B9165, ""zh"", ""en"")"),"Feeling only 5ml, the effect is very general first results do not say, I feel we have the size of 15ml is misunderstood. Use is half a month, on the pressure does not come out, open later found that only shown in this capacity. There is a small bottle und"&amp;"er the sheet, pull open the bottle actually find the whole empty feeling 10ml hyaluronic acid is also more than that yet. In addition the effect of it, really tasteless, with avocado cream is almost right, but the price difference to a few times now.")</f>
        <v>Feeling only 5ml, the effect is very general first results do not say, I feel we have the size of 15ml is misunderstood. Use is half a month, on the pressure does not come out, open later found that only shown in this capacity. There is a small bottle under the sheet, pull open the bottle actually find the whole empty feeling 10ml hyaluronic acid is also more than that yet. In addition the effect of it, really tasteless, with avocado cream is almost right, but the price difference to a few times now.</v>
      </c>
    </row>
    <row r="9166">
      <c r="A9166" s="1">
        <v>4.0</v>
      </c>
      <c r="B9166" s="1" t="s">
        <v>9104</v>
      </c>
      <c r="C9166" t="str">
        <f>IFERROR(__xludf.DUMMYFUNCTION("GOOGLETRANSLATE(B9166, ""zh"", ""en"")"),"A little too small yard is recommended to buy the freshman code")</f>
        <v>A little too small yard is recommended to buy the freshman code</v>
      </c>
    </row>
    <row r="9167">
      <c r="A9167" s="1">
        <v>4.0</v>
      </c>
      <c r="B9167" s="1" t="s">
        <v>9105</v>
      </c>
      <c r="C9167" t="str">
        <f>IFERROR(__xludf.DUMMYFUNCTION("GOOGLETRANSLATE(B9167, ""zh"", ""en"")"),"Good good, waist length 36 92 cm buy can buckle buckle to the third (a total of five buckle), work a little rugged")</f>
        <v>Good good, waist length 36 92 cm buy can buckle buckle to the third (a total of five buckle), work a little rugged</v>
      </c>
    </row>
    <row r="9168">
      <c r="A9168" s="1">
        <v>4.0</v>
      </c>
      <c r="B9168" s="1" t="s">
        <v>9106</v>
      </c>
      <c r="C9168" t="str">
        <f>IFERROR(__xludf.DUMMYFUNCTION("GOOGLETRANSLATE(B9168, ""zh"", ""en"")"),"Good, recommended to buy the appearance of 5 stars 300 yuan, bass 5 star, 4 star comfort, sound insulation 3 star, 2 star treble.")</f>
        <v>Good, recommended to buy the appearance of 5 stars 300 yuan, bass 5 star, 4 star comfort, sound insulation 3 star, 2 star treble.</v>
      </c>
    </row>
    <row r="9169">
      <c r="A9169" s="1">
        <v>4.0</v>
      </c>
      <c r="B9169" s="1" t="s">
        <v>9107</v>
      </c>
      <c r="C9169" t="str">
        <f>IFERROR(__xludf.DUMMYFUNCTION("GOOGLETRANSLATE(B9169, ""zh"", ""en"")"),"Bleeding around the ankle foot wear have color bleeding around the ankle foot wear have color, logistics quickly, hope is not a foreign garbage")</f>
        <v>Bleeding around the ankle foot wear have color bleeding around the ankle foot wear have color, logistics quickly, hope is not a foreign garbage</v>
      </c>
    </row>
    <row r="9170">
      <c r="A9170" s="1">
        <v>4.0</v>
      </c>
      <c r="B9170" s="1" t="s">
        <v>9108</v>
      </c>
      <c r="C9170" t="str">
        <f>IFERROR(__xludf.DUMMYFUNCTION("GOOGLETRANSLATE(B9170, ""zh"", ""en"")"),"Packaging is very good, fresh shelf life! Advance to the baby store goods, shelf life is very fresh and looking forward to the birth of the baby.")</f>
        <v>Packaging is very good, fresh shelf life! Advance to the baby store goods, shelf life is very fresh and looking forward to the birth of the baby.</v>
      </c>
    </row>
    <row r="9171">
      <c r="A9171" s="1">
        <v>5.0</v>
      </c>
      <c r="B9171" s="1" t="s">
        <v>9109</v>
      </c>
      <c r="C9171" t="str">
        <f>IFERROR(__xludf.DUMMYFUNCTION("GOOGLETRANSLATE(B9171, ""zh"", ""en"")"),"Size is too large 178cm, 65kg clothes a bit long to the hip, and it is the kind of clothes elastic material is estimated to be in the wash of the kind.")</f>
        <v>Size is too large 178cm, 65kg clothes a bit long to the hip, and it is the kind of clothes elastic material is estimated to be in the wash of the kind.</v>
      </c>
    </row>
    <row r="9172">
      <c r="A9172" s="1">
        <v>5.0</v>
      </c>
      <c r="B9172" s="1" t="s">
        <v>9110</v>
      </c>
      <c r="C9172" t="str">
        <f>IFERROR(__xludf.DUMMYFUNCTION("GOOGLETRANSLATE(B9172, ""zh"", ""en"")"),"Well good goods, the Japanese version is really good.")</f>
        <v>Well good goods, the Japanese version is really good.</v>
      </c>
    </row>
    <row r="9173">
      <c r="A9173" s="1">
        <v>5.0</v>
      </c>
      <c r="B9173" s="1" t="s">
        <v>9111</v>
      </c>
      <c r="C9173" t="str">
        <f>IFERROR(__xludf.DUMMYFUNCTION("GOOGLETRANSLATE(B9173, ""zh"", ""en"")"),"Buy the right to buy a used as a system disk, install win10, running significantly faster than the original, I did not measure speed, that buy the right.")</f>
        <v>Buy the right to buy a used as a system disk, install win10, running significantly faster than the original, I did not measure speed, that buy the right.</v>
      </c>
    </row>
    <row r="9174">
      <c r="A9174" s="1">
        <v>5.0</v>
      </c>
      <c r="B9174" s="1" t="s">
        <v>9112</v>
      </c>
      <c r="C9174" t="str">
        <f>IFERROR(__xludf.DUMMYFUNCTION("GOOGLETRANSLATE(B9174, ""zh"", ""en"")"),"Well this easy to use, safe stainless steel")</f>
        <v>Well this easy to use, safe stainless steel</v>
      </c>
    </row>
    <row r="9175">
      <c r="A9175" s="1">
        <v>5.0</v>
      </c>
      <c r="B9175" s="1" t="s">
        <v>9113</v>
      </c>
      <c r="C9175" t="str">
        <f>IFERROR(__xludf.DUMMYFUNCTION("GOOGLETRANSLATE(B9175, ""zh"", ""en"")"),"Cotton cotton socks, not smelly feet, good")</f>
        <v>Cotton cotton socks, not smelly feet, good</v>
      </c>
    </row>
    <row r="9176">
      <c r="A9176" s="1">
        <v>5.0</v>
      </c>
      <c r="B9176" s="1" t="s">
        <v>9114</v>
      </c>
      <c r="C9176" t="str">
        <f>IFERROR(__xludf.DUMMYFUNCTION("GOOGLETRANSLATE(B9176, ""zh"", ""en"")"),"Amazon genuine low-cost ultra-fast half-price, not the sound of endless half-price, genuine, really think Amazon has the world can not afford not to buy, buy things, perfect, my loyalty burst table.")</f>
        <v>Amazon genuine low-cost ultra-fast half-price, not the sound of endless half-price, genuine, really think Amazon has the world can not afford not to buy, buy things, perfect, my loyalty burst table.</v>
      </c>
    </row>
    <row r="9177">
      <c r="A9177" s="1">
        <v>5.0</v>
      </c>
      <c r="B9177" s="1" t="s">
        <v>9115</v>
      </c>
      <c r="C9177" t="str">
        <f>IFERROR(__xludf.DUMMYFUNCTION("GOOGLETRANSLATE(B9177, ""zh"", ""en"")"),"Very breathable very breathable, good comfort, the pursuit gather sister do not buy")</f>
        <v>Very breathable very breathable, good comfort, the pursuit gather sister do not buy</v>
      </c>
    </row>
    <row r="9178">
      <c r="A9178" s="1">
        <v>5.0</v>
      </c>
      <c r="B9178" s="1" t="s">
        <v>9116</v>
      </c>
      <c r="C9178" t="str">
        <f>IFERROR(__xludf.DUMMYFUNCTION("GOOGLETRANSLATE(B9178, ""zh"", ""en"")"),"Can look handsome, very handsome, very accurate travel time, a lot of functions.")</f>
        <v>Can look handsome, very handsome, very accurate travel time, a lot of functions.</v>
      </c>
    </row>
    <row r="9179">
      <c r="A9179" s="1">
        <v>5.0</v>
      </c>
      <c r="B9179" s="1" t="s">
        <v>9117</v>
      </c>
      <c r="C9179" t="str">
        <f>IFERROR(__xludf.DUMMYFUNCTION("GOOGLETRANSLATE(B9179, ""zh"", ""en"")"),"Some rough work clothes, the other better, but also to accept the corresponding price")</f>
        <v>Some rough work clothes, the other better, but also to accept the corresponding price</v>
      </c>
    </row>
    <row r="9180">
      <c r="A9180" s="1">
        <v>5.0</v>
      </c>
      <c r="B9180" s="1" t="s">
        <v>9118</v>
      </c>
      <c r="C9180" t="str">
        <f>IFERROR(__xludf.DUMMYFUNCTION("GOOGLETRANSLATE(B9180, ""zh"", ""en"")"),"Like simplicity is strongly recommended to wear loose a little bit of love, and seven meters tall and seven seventy-four kg body weight, L No. sleeves slightly feeling a bit biased long gown very satisfied, is my favorite kind of material, feel good, soft"&amp;", the version look good, cost-effective ,, worth buying, the urge to buy the second piece.")</f>
        <v>Like simplicity is strongly recommended to wear loose a little bit of love, and seven meters tall and seven seventy-four kg body weight, L No. sleeves slightly feeling a bit biased long gown very satisfied, is my favorite kind of material, feel good, soft, the version look good, cost-effective ,, worth buying, the urge to buy the second piece.</v>
      </c>
    </row>
    <row r="9181">
      <c r="A9181" s="1">
        <v>5.0</v>
      </c>
      <c r="B9181" s="1" t="s">
        <v>9119</v>
      </c>
      <c r="C9181" t="str">
        <f>IFERROR(__xludf.DUMMYFUNCTION("GOOGLETRANSLATE(B9181, ""zh"", ""en"")"),"Overall good quality headphones scouring the sea for the first time, the United States and Asia direct mail, over twenty days to logistics. Open storage box headset accessory good, an exclusive line of conversation, as well as a shared line can plug other"&amp;" headphones, hard enough storage box. The headset is also very good work, it does not substantially damaged. Sound quality, I am interested in electronics, tri-band equalization, bass and midrange performance is good, after a period of high frequency also"&amp;" burn the sweet. Overall, this headset is good value for money, good overall quality, excellent quality, is a good headset. But then spent almost half a year, the screw at the interface appeared to fall off, probably needs attention now")</f>
        <v>Overall good quality headphones scouring the sea for the first time, the United States and Asia direct mail, over twenty days to logistics. Open storage box headset accessory good, an exclusive line of conversation, as well as a shared line can plug other headphones, hard enough storage box. The headset is also very good work, it does not substantially damaged. Sound quality, I am interested in electronics, tri-band equalization, bass and midrange performance is good, after a period of high frequency also burn the sweet. Overall, this headset is good value for money, good overall quality, excellent quality, is a good headset. But then spent almost half a year, the screw at the interface appeared to fall off, probably needs attention now</v>
      </c>
    </row>
    <row r="9182">
      <c r="A9182" s="1">
        <v>5.0</v>
      </c>
      <c r="B9182" s="1" t="s">
        <v>9120</v>
      </c>
      <c r="C9182" t="str">
        <f>IFERROR(__xludf.DUMMYFUNCTION("GOOGLETRANSLATE(B9182, ""zh"", ""en"")"),"Good rub very clean. Very good, I am feeling a little bit smaller, then bigger is perfect.")</f>
        <v>Good rub very clean. Very good, I am feeling a little bit smaller, then bigger is perfect.</v>
      </c>
    </row>
    <row r="9183">
      <c r="A9183" s="1">
        <v>5.0</v>
      </c>
      <c r="B9183" s="1" t="s">
        <v>9121</v>
      </c>
      <c r="C9183" t="str">
        <f>IFERROR(__xludf.DUMMYFUNCTION("GOOGLETRANSLATE(B9183, ""zh"", ""en"")"),"Dig puree puree is easy to dig very convenient. A hard one soft package.")</f>
        <v>Dig puree puree is easy to dig very convenient. A hard one soft package.</v>
      </c>
    </row>
    <row r="9184">
      <c r="A9184" s="1">
        <v>5.0</v>
      </c>
      <c r="B9184" s="1" t="s">
        <v>9122</v>
      </c>
      <c r="C9184" t="str">
        <f>IFERROR(__xludf.DUMMYFUNCTION("GOOGLETRANSLATE(B9184, ""zh"", ""en"")"),"Recommended color no difference, the version is good, impeccable.")</f>
        <v>Recommended color no difference, the version is good, impeccable.</v>
      </c>
    </row>
    <row r="9185">
      <c r="A9185" s="1">
        <v>5.0</v>
      </c>
      <c r="B9185" s="1" t="s">
        <v>9123</v>
      </c>
      <c r="C9185" t="str">
        <f>IFERROR(__xludf.DUMMYFUNCTION("GOOGLETRANSLATE(B9185, ""zh"", ""en"")"),"Value to the child, which is the price to be perfect")</f>
        <v>Value to the child, which is the price to be perfect</v>
      </c>
    </row>
    <row r="9186">
      <c r="A9186" s="1">
        <v>5.0</v>
      </c>
      <c r="B9186" s="1" t="s">
        <v>9124</v>
      </c>
      <c r="C9186" t="str">
        <f>IFERROR(__xludf.DUMMYFUNCTION("GOOGLETRANSLATE(B9186, ""zh"", ""en"")"),"Delicate, light soft usual sneakers 42, Onitsuka Tiger 41.5, this pair of 7.5 is very appropriate, very significant feet delicate, soft light, the most satisfying a pair of shoes, thank you Amazon")</f>
        <v>Delicate, light soft usual sneakers 42, Onitsuka Tiger 41.5, this pair of 7.5 is very appropriate, very significant feet delicate, soft light, the most satisfying a pair of shoes, thank you Amazon</v>
      </c>
    </row>
    <row r="9187">
      <c r="A9187" s="1">
        <v>5.0</v>
      </c>
      <c r="B9187" s="1" t="s">
        <v>9125</v>
      </c>
      <c r="C9187" t="str">
        <f>IFERROR(__xludf.DUMMYFUNCTION("GOOGLETRANSLATE(B9187, ""zh"", ""en"")"),"666666 pretty good bit rough fabrics")</f>
        <v>666666 pretty good bit rough fabrics</v>
      </c>
    </row>
    <row r="9188">
      <c r="A9188" s="1">
        <v>5.0</v>
      </c>
      <c r="B9188" s="1" t="s">
        <v>9126</v>
      </c>
      <c r="C9188" t="str">
        <f>IFERROR(__xludf.DUMMYFUNCTION("GOOGLETRANSLATE(B9188, ""zh"", ""en"")"),"Hum a few days with no U disk lost .....")</f>
        <v>Hum a few days with no U disk lost .....</v>
      </c>
    </row>
    <row r="9189">
      <c r="A9189" s="1">
        <v>5.0</v>
      </c>
      <c r="B9189" s="1" t="s">
        <v>9127</v>
      </c>
      <c r="C9189" t="str">
        <f>IFERROR(__xludf.DUMMYFUNCTION("GOOGLETRANSLATE(B9189, ""zh"", ""en"")"),"I am fat, I need to exercise the fat, the body needs exercise")</f>
        <v>I am fat, I need to exercise the fat, the body needs exercise</v>
      </c>
    </row>
    <row r="9190">
      <c r="A9190" s="1">
        <v>5.0</v>
      </c>
      <c r="B9190" s="1" t="s">
        <v>9128</v>
      </c>
      <c r="C9190" t="str">
        <f>IFERROR(__xludf.DUMMYFUNCTION("GOOGLETRANSLATE(B9190, ""zh"", ""en"")"),"Murder take the disk, the disk is good, no screws, welding, should be helium disk. Good, fast disk. DS States direct mail. To re-partition after format. Murder then take place on a computer disk the little sister moved into the big house. To recognize dis"&amp;"k computer to do two things, first delete the partition is formatted, then take Murder disk, and then the orange 3.3V power supply line of computer power cord is disconnected (from I plug in the cable and the contact angle pulled out, the future can plug "&amp;"back) finished out of the points the computer to recognize the disc. Otherwise, the computer does not recognize the disk.")</f>
        <v>Murder take the disk, the disk is good, no screws, welding, should be helium disk. Good, fast disk. DS States direct mail. To re-partition after format. Murder then take place on a computer disk the little sister moved into the big house. To recognize disk computer to do two things, first delete the partition is formatted, then take Murder disk, and then the orange 3.3V power supply line of computer power cord is disconnected (from I plug in the cable and the contact angle pulled out, the future can plug back) finished out of the points the computer to recognize the disc. Otherwise, the computer does not recognize the disk.</v>
      </c>
    </row>
    <row r="9191">
      <c r="A9191" s="1">
        <v>5.0</v>
      </c>
      <c r="B9191" s="1" t="s">
        <v>9129</v>
      </c>
      <c r="C9191" t="str">
        <f>IFERROR(__xludf.DUMMYFUNCTION("GOOGLETRANSLATE(B9191, ""zh"", ""en"")"),"Warm foot site a little hair loss, can not ball, not many outdoor activities of winter wear full enough warm words")</f>
        <v>Warm foot site a little hair loss, can not ball, not many outdoor activities of winter wear full enough warm words</v>
      </c>
    </row>
    <row r="9192">
      <c r="A9192" s="1">
        <v>5.0</v>
      </c>
      <c r="B9192" s="1" t="s">
        <v>9130</v>
      </c>
      <c r="C9192" t="str">
        <f>IFERROR(__xludf.DUMMYFUNCTION("GOOGLETRANSLATE(B9192, ""zh"", ""en"")"),"Work fine work fine!")</f>
        <v>Work fine work fine!</v>
      </c>
    </row>
    <row r="9193">
      <c r="A9193" s="1">
        <v>2.0</v>
      </c>
      <c r="B9193" s="1" t="s">
        <v>9131</v>
      </c>
      <c r="C9193" t="str">
        <f>IFERROR(__xludf.DUMMYFUNCTION("GOOGLETRANSLATE(B9193, ""zh"", ""en"")"),"Product description is black, is actually a dark red color does not match with the description, is actually dark red")</f>
        <v>Product description is black, is actually a dark red color does not match with the description, is actually dark red</v>
      </c>
    </row>
    <row r="9194">
      <c r="A9194" s="1">
        <v>3.0</v>
      </c>
      <c r="B9194" s="1" t="s">
        <v>9132</v>
      </c>
      <c r="C9194" t="str">
        <f>IFERROR(__xludf.DUMMYFUNCTION("GOOGLETRANSLATE(B9194, ""zh"", ""en"")"),"This quality is not very good quality T-shirt I really do not how, all of it to buy brand")</f>
        <v>This quality is not very good quality T-shirt I really do not how, all of it to buy brand</v>
      </c>
    </row>
    <row r="9195">
      <c r="A9195" s="1">
        <v>3.0</v>
      </c>
      <c r="B9195" s="1" t="s">
        <v>9133</v>
      </c>
      <c r="C9195" t="str">
        <f>IFERROR(__xludf.DUMMYFUNCTION("GOOGLETRANSLATE(B9195, ""zh"", ""en"")"),"Something good, shipping worrying packaging split, and the design looks pretty good. Fork and spoon for easier manipulation.")</f>
        <v>Something good, shipping worrying packaging split, and the design looks pretty good. Fork and spoon for easier manipulation.</v>
      </c>
    </row>
    <row r="9196">
      <c r="A9196" s="1">
        <v>3.0</v>
      </c>
      <c r="B9196" s="1" t="s">
        <v>9134</v>
      </c>
      <c r="C9196" t="str">
        <f>IFERROR(__xludf.DUMMYFUNCTION("GOOGLETRANSLATE(B9196, ""zh"", ""en"")"),"But size and large. Please order according to their actual size. But size and large. Style is slim fit, so it is tight. Return very deceptive, payment 125.39 yuan, the return costs 125 yuan, can only be brought back to San Mao nine points.")</f>
        <v>But size and large. Please order according to their actual size. But size and large. Style is slim fit, so it is tight. Return very deceptive, payment 125.39 yuan, the return costs 125 yuan, can only be brought back to San Mao nine points.</v>
      </c>
    </row>
    <row r="9197">
      <c r="A9197" s="1">
        <v>1.0</v>
      </c>
      <c r="B9197" s="1" t="s">
        <v>9135</v>
      </c>
      <c r="C9197" t="str">
        <f>IFERROR(__xludf.DUMMYFUNCTION("GOOGLETRANSLATE(B9197, ""zh"", ""en"")"),"Feel bad even for the first time received no outer box, the bottles are crushed")</f>
        <v>Feel bad even for the first time received no outer box, the bottles are crushed</v>
      </c>
    </row>
    <row r="9198">
      <c r="A9198" s="1">
        <v>1.0</v>
      </c>
      <c r="B9198" s="1" t="s">
        <v>9136</v>
      </c>
      <c r="C9198" t="str">
        <f>IFERROR(__xludf.DUMMYFUNCTION("GOOGLETRANSLATE(B9198, ""zh"", ""en"")"),"Quality comparable to spread the goods found that the quality of this brand is really bad, buy a sweater Well, washed twice on the Beat also full of hair balls, wearing pants thing twice found the rear end there is a hole! ! ! Before so wear all day, then"&amp;" I do not buy")</f>
        <v>Quality comparable to spread the goods found that the quality of this brand is really bad, buy a sweater Well, washed twice on the Beat also full of hair balls, wearing pants thing twice found the rear end there is a hole! ! ! Before so wear all day, then I do not buy</v>
      </c>
    </row>
    <row r="9199">
      <c r="A9199" s="1">
        <v>4.0</v>
      </c>
      <c r="B9199" s="1" t="s">
        <v>9137</v>
      </c>
      <c r="C9199" t="str">
        <f>IFERROR(__xludf.DUMMYFUNCTION("GOOGLETRANSLATE(B9199, ""zh"", ""en"")"),"Less gadget least a small part of the front cover small triangle movable lid, and colleagues found after comparison")</f>
        <v>Less gadget least a small part of the front cover small triangle movable lid, and colleagues found after comparison</v>
      </c>
    </row>
    <row r="9200">
      <c r="A9200" s="1">
        <v>4.0</v>
      </c>
      <c r="B9200" s="1" t="s">
        <v>9138</v>
      </c>
      <c r="C9200" t="str">
        <f>IFERROR(__xludf.DUMMYFUNCTION("GOOGLETRANSLATE(B9200, ""zh"", ""en"")"),"Good bit thick, others are good, height 170 weight 70, S code appropriate")</f>
        <v>Good bit thick, others are good, height 170 weight 70, S code appropriate</v>
      </c>
    </row>
    <row r="9201">
      <c r="A9201" s="1">
        <v>4.0</v>
      </c>
      <c r="B9201" s="1" t="s">
        <v>9139</v>
      </c>
      <c r="C9201" t="str">
        <f>IFERROR(__xludf.DUMMYFUNCTION("GOOGLETRANSLATE(B9201, ""zh"", ""en"")"),"There is no flexibility, no odor than the normal one yards pants pants, black is black, elastic ankle place almost every day is not very convenient to wear off, normal ck32 pants, I used to wear in winter, but this little light leg wear especially the pos"&amp;"ition tight thighs and waist! But fortunately did not buy 31, 😄 not wash do not know will not fade!")</f>
        <v>There is no flexibility, no odor than the normal one yards pants pants, black is black, elastic ankle place almost every day is not very convenient to wear off, normal ck32 pants, I used to wear in winter, but this little light leg wear especially the position tight thighs and waist! But fortunately did not buy 31, 😄 not wash do not know will not fade!</v>
      </c>
    </row>
    <row r="9202">
      <c r="A9202" s="1">
        <v>4.0</v>
      </c>
      <c r="B9202" s="1" t="s">
        <v>9140</v>
      </c>
      <c r="C9202" t="str">
        <f>IFERROR(__xludf.DUMMYFUNCTION("GOOGLETRANSLATE(B9202, ""zh"", ""en"")"),"This shoe is very light very light, the children wearing a little tight")</f>
        <v>This shoe is very light very light, the children wearing a little tight</v>
      </c>
    </row>
    <row r="9203">
      <c r="A9203" s="1">
        <v>4.0</v>
      </c>
      <c r="B9203" s="1" t="s">
        <v>9141</v>
      </c>
      <c r="C9203" t="str">
        <f>IFERROR(__xludf.DUMMYFUNCTION("GOOGLETRANSLATE(B9203, ""zh"", ""en"")"),"Amazon has found something good Black Friday, staring at 1T of SSD, so buy this, plus tax of about 2100 meters, express delivery time faster than planned, but later found a price above the East the same capacity this thing , and pre-tax price is the same,"&amp;" so this thing does not buy the feeling of surprise. About what aspects of the data is no problem, you pay for, can it!")</f>
        <v>Amazon has found something good Black Friday, staring at 1T of SSD, so buy this, plus tax of about 2100 meters, express delivery time faster than planned, but later found a price above the East the same capacity this thing , and pre-tax price is the same, so this thing does not buy the feeling of surprise. About what aspects of the data is no problem, you pay for, can it!</v>
      </c>
    </row>
    <row r="9204">
      <c r="A9204" s="1">
        <v>5.0</v>
      </c>
      <c r="B9204" s="1" t="s">
        <v>9142</v>
      </c>
      <c r="C9204" t="str">
        <f>IFERROR(__xludf.DUMMYFUNCTION("GOOGLETRANSLATE(B9204, ""zh"", ""en"")"),"More appropriate size to carefully study the appropriate size of more than the last! This is too large too small we do not know, ah, also asked do not understand ah!")</f>
        <v>More appropriate size to carefully study the appropriate size of more than the last! This is too large too small we do not know, ah, also asked do not understand ah!</v>
      </c>
    </row>
    <row r="9205">
      <c r="A9205" s="1">
        <v>5.0</v>
      </c>
      <c r="B9205" s="1" t="s">
        <v>9143</v>
      </c>
      <c r="C9205" t="str">
        <f>IFERROR(__xludf.DUMMYFUNCTION("GOOGLETRANSLATE(B9205, ""zh"", ""en"")"),"As always, fly in the ointment casio carton packaging feels very tight thing is genuine, just to get the goods to wear a little heavy hand is still made in China thanks to low prices and excellent quality of service casio people feel very tight packaging "&amp;"carton")</f>
        <v>As always, fly in the ointment casio carton packaging feels very tight thing is genuine, just to get the goods to wear a little heavy hand is still made in China thanks to low prices and excellent quality of service casio people feel very tight packaging carton</v>
      </c>
    </row>
    <row r="9206">
      <c r="A9206" s="1">
        <v>5.0</v>
      </c>
      <c r="B9206" s="1" t="s">
        <v>9144</v>
      </c>
      <c r="C9206" t="str">
        <f>IFERROR(__xludf.DUMMYFUNCTION("GOOGLETRANSLATE(B9206, ""zh"", ""en"")"),"Stainless steel cup smolder smoldering insulation Lycopene 750ml tank 1. Material Safety work well 2. 3. 4. smoldering insulation effect good function of the weak package 5. Like fast stream Nichia")</f>
        <v>Stainless steel cup smolder smoldering insulation Lycopene 750ml tank 1. Material Safety work well 2. 3. 4. smoldering insulation effect good function of the weak package 5. Like fast stream Nichia</v>
      </c>
    </row>
    <row r="9207">
      <c r="A9207" s="1">
        <v>5.0</v>
      </c>
      <c r="B9207" s="1" t="s">
        <v>9145</v>
      </c>
      <c r="C9207" t="str">
        <f>IFERROR(__xludf.DUMMYFUNCTION("GOOGLETRANSLATE(B9207, ""zh"", ""en"")"),"Bag is also good, that is a little expensive. Okay good work, that is a little a little high!")</f>
        <v>Bag is also good, that is a little expensive. Okay good work, that is a little a little high!</v>
      </c>
    </row>
    <row r="9208">
      <c r="A9208" s="1">
        <v>5.0</v>
      </c>
      <c r="B9208" s="1" t="s">
        <v>9146</v>
      </c>
      <c r="C9208" t="str">
        <f>IFERROR(__xludf.DUMMYFUNCTION("GOOGLETRANSLATE(B9208, ""zh"", ""en"")"),"The right size work good personal appropriate size recommended amazon very happy place")</f>
        <v>The right size work good personal appropriate size recommended amazon very happy place</v>
      </c>
    </row>
    <row r="9209">
      <c r="A9209" s="1">
        <v>5.0</v>
      </c>
      <c r="B9209" s="1" t="s">
        <v>9147</v>
      </c>
      <c r="C9209" t="str">
        <f>IFERROR(__xludf.DUMMYFUNCTION("GOOGLETRANSLATE(B9209, ""zh"", ""en"")"),"180/71 wrong size 32-32 waist big point, the next election 31-32")</f>
        <v>180/71 wrong size 32-32 waist big point, the next election 31-32</v>
      </c>
    </row>
    <row r="9210">
      <c r="A9210" s="1">
        <v>5.0</v>
      </c>
      <c r="B9210" s="1" t="s">
        <v>9148</v>
      </c>
      <c r="C9210" t="str">
        <f>IFERROR(__xludf.DUMMYFUNCTION("GOOGLETRANSLATE(B9210, ""zh"", ""en"")"),"Value breath buy four, very good. No ink absorber.")</f>
        <v>Value breath buy four, very good. No ink absorber.</v>
      </c>
    </row>
    <row r="9211">
      <c r="A9211" s="1">
        <v>5.0</v>
      </c>
      <c r="B9211" s="1" t="s">
        <v>9149</v>
      </c>
      <c r="C9211" t="str">
        <f>IFERROR(__xludf.DUMMYFUNCTION("GOOGLETRANSLATE(B9211, ""zh"", ""en"")"),"Very satisfied to wear very comfortable, very satisfied!")</f>
        <v>Very satisfied to wear very comfortable, very satisfied!</v>
      </c>
    </row>
    <row r="9212">
      <c r="A9212" s="1">
        <v>5.0</v>
      </c>
      <c r="B9212" s="1" t="s">
        <v>9150</v>
      </c>
      <c r="C9212" t="str">
        <f>IFERROR(__xludf.DUMMYFUNCTION("GOOGLETRANSLATE(B9212, ""zh"", ""en"")"),"Size positive fit usually buy shoes 42 uk8, good comfort")</f>
        <v>Size positive fit usually buy shoes 42 uk8, good comfort</v>
      </c>
    </row>
    <row r="9213">
      <c r="A9213" s="1">
        <v>5.0</v>
      </c>
      <c r="B9213" s="1" t="s">
        <v>9151</v>
      </c>
      <c r="C9213" t="str">
        <f>IFERROR(__xludf.DUMMYFUNCTION("GOOGLETRANSLATE(B9213, ""zh"", ""en"")"),"Very good cost-effective, can replace detergents")</f>
        <v>Very good cost-effective, can replace detergents</v>
      </c>
    </row>
    <row r="9214">
      <c r="A9214" s="1">
        <v>5.0</v>
      </c>
      <c r="B9214" s="1" t="s">
        <v>9152</v>
      </c>
      <c r="C9214" t="str">
        <f>IFERROR(__xludf.DUMMYFUNCTION("GOOGLETRANSLATE(B9214, ""zh"", ""en"")"),"Large enough, in particular the lid, actually large enough to facilitate water, especially the lid, easily touches water")</f>
        <v>Large enough, in particular the lid, actually large enough to facilitate water, especially the lid, easily touches water</v>
      </c>
    </row>
    <row r="9215">
      <c r="A9215" s="1">
        <v>5.0</v>
      </c>
      <c r="B9215" s="1" t="s">
        <v>9153</v>
      </c>
      <c r="C9215" t="str">
        <f>IFERROR(__xludf.DUMMYFUNCTION("GOOGLETRANSLATE(B9215, ""zh"", ""en"")"),"Very satisfied with very warm like this in front of thick thick belly protection xl, Chinese wear l")</f>
        <v>Very satisfied with very warm like this in front of thick thick belly protection xl, Chinese wear l</v>
      </c>
    </row>
    <row r="9216">
      <c r="A9216" s="1">
        <v>5.0</v>
      </c>
      <c r="B9216" s="1" t="s">
        <v>9154</v>
      </c>
      <c r="C9216" t="str">
        <f>IFERROR(__xludf.DUMMYFUNCTION("GOOGLETRANSLATE(B9216, ""zh"", ""en"")"),"Fine pop music headphones. 200-something price, very delicate. Bass smaller than Earpods amount, not suitable for very dynamic times hit the second song. Sound field is relatively small, it is suitable for listening to pop music. Listen for some time, per"&amp;"haps a better pot to listen to some.")</f>
        <v>Fine pop music headphones. 200-something price, very delicate. Bass smaller than Earpods amount, not suitable for very dynamic times hit the second song. Sound field is relatively small, it is suitable for listening to pop music. Listen for some time, perhaps a better pot to listen to some.</v>
      </c>
    </row>
    <row r="9217">
      <c r="A9217" s="1">
        <v>5.0</v>
      </c>
      <c r="B9217" s="1" t="s">
        <v>9155</v>
      </c>
      <c r="C9217" t="str">
        <f>IFERROR(__xludf.DUMMYFUNCTION("GOOGLETRANSLATE(B9217, ""zh"", ""en"")"),"This had a good four months before delivery, forget bought, the pen is very good ^ _ ^")</f>
        <v>This had a good four months before delivery, forget bought, the pen is very good ^ _ ^</v>
      </c>
    </row>
    <row r="9218">
      <c r="A9218" s="1">
        <v>5.0</v>
      </c>
      <c r="B9218" s="1" t="s">
        <v>9156</v>
      </c>
      <c r="C9218" t="str">
        <f>IFERROR(__xludf.DUMMYFUNCTION("GOOGLETRANSLATE(B9218, ""zh"", ""en"")"),"Very, very good insulation")</f>
        <v>Very, very good insulation</v>
      </c>
    </row>
    <row r="9219">
      <c r="A9219" s="1">
        <v>5.0</v>
      </c>
      <c r="B9219" s="1" t="s">
        <v>9157</v>
      </c>
      <c r="C9219" t="str">
        <f>IFERROR(__xludf.DUMMYFUNCTION("GOOGLETRANSLATE(B9219, ""zh"", ""en"")"),"Quality is very good and comfortable to wear, the right size, the second piece.")</f>
        <v>Quality is very good and comfortable to wear, the right size, the second piece.</v>
      </c>
    </row>
    <row r="9220">
      <c r="A9220" s="1">
        <v>5.0</v>
      </c>
      <c r="B9220" s="1" t="s">
        <v>9158</v>
      </c>
      <c r="C9220" t="str">
        <f>IFERROR(__xludf.DUMMYFUNCTION("GOOGLETRANSLATE(B9220, ""zh"", ""en"")"),"Praise the natural treasure calcium satisfied, packaging is very beautiful, delicate calcium.")</f>
        <v>Praise the natural treasure calcium satisfied, packaging is very beautiful, delicate calcium.</v>
      </c>
    </row>
    <row r="9221">
      <c r="A9221" s="1">
        <v>5.0</v>
      </c>
      <c r="B9221" s="1" t="s">
        <v>9159</v>
      </c>
      <c r="C9221" t="str">
        <f>IFERROR(__xludf.DUMMYFUNCTION("GOOGLETRANSLATE(B9221, ""zh"", ""en"")"),"Suitable size is too large foot size is too large normal wear comfort is appropriate 37 uk4")</f>
        <v>Suitable size is too large foot size is too large normal wear comfort is appropriate 37 uk4</v>
      </c>
    </row>
    <row r="9222">
      <c r="A9222" s="1">
        <v>5.0</v>
      </c>
      <c r="B9222" s="1" t="s">
        <v>9160</v>
      </c>
      <c r="C9222" t="str">
        <f>IFERROR(__xludf.DUMMYFUNCTION("GOOGLETRANSLATE(B9222, ""zh"", ""en"")"),"Sea-blue color value online seafood pot, 26cm does not. Overall okay, small problems like trachoma is there. One week of arrival, speed is very fast, overall quite satisfactory.")</f>
        <v>Sea-blue color value online seafood pot, 26cm does not. Overall okay, small problems like trachoma is there. One week of arrival, speed is very fast, overall quite satisfactory.</v>
      </c>
    </row>
    <row r="9223">
      <c r="A9223" s="1">
        <v>5.0</v>
      </c>
      <c r="B9223" s="1" t="s">
        <v>9161</v>
      </c>
      <c r="C9223" t="str">
        <f>IFERROR(__xludf.DUMMYFUNCTION("GOOGLETRANSLATE(B9223, ""zh"", ""en"")"),"Good in the counter tried on, exactly the same, value")</f>
        <v>Good in the counter tried on, exactly the same, value</v>
      </c>
    </row>
    <row r="9224">
      <c r="A9224" s="1">
        <v>5.0</v>
      </c>
      <c r="B9224" s="1" t="s">
        <v>9162</v>
      </c>
      <c r="C9224" t="str">
        <f>IFERROR(__xludf.DUMMYFUNCTION("GOOGLETRANSLATE(B9224, ""zh"", ""en"")"),"Very well liked liked the table, but do not wear the watch-glass, I suggest that you stick a film. This table strap is thick, is not convenient to wear")</f>
        <v>Very well liked liked the table, but do not wear the watch-glass, I suggest that you stick a film. This table strap is thick, is not convenient to wear</v>
      </c>
    </row>
    <row r="9225">
      <c r="A9225" s="1">
        <v>2.0</v>
      </c>
      <c r="B9225" s="1" t="s">
        <v>9163</v>
      </c>
      <c r="C9225" t="str">
        <f>IFERROR(__xludf.DUMMYFUNCTION("GOOGLETRANSLATE(B9225, ""zh"", ""en"")"),"Pants general population is very general, very thin to wear no pants type")</f>
        <v>Pants general population is very general, very thin to wear no pants type</v>
      </c>
    </row>
    <row r="9226">
      <c r="A9226" s="1">
        <v>3.0</v>
      </c>
      <c r="B9226" s="1" t="s">
        <v>9164</v>
      </c>
      <c r="C9226" t="str">
        <f>IFERROR(__xludf.DUMMYFUNCTION("GOOGLETRANSLATE(B9226, ""zh"", ""en"")"),"Physical and picture does not match the cortex is too wide, and the picture does not match with the real leather, real leather is not the kind of soft lychee texture picture")</f>
        <v>Physical and picture does not match the cortex is too wide, and the picture does not match with the real leather, real leather is not the kind of soft lychee texture picture</v>
      </c>
    </row>
    <row r="9227">
      <c r="A9227" s="1">
        <v>1.0</v>
      </c>
      <c r="B9227" s="1" t="s">
        <v>9165</v>
      </c>
      <c r="C9227" t="str">
        <f>IFERROR(__xludf.DUMMYFUNCTION("GOOGLETRANSLATE(B9227, ""zh"", ""en"")"),"Bad lid will not open with two children would not open, it is the outlet that button, this is like my second printing of this issue of the")</f>
        <v>Bad lid will not open with two children would not open, it is the outlet that button, this is like my second printing of this issue of the</v>
      </c>
    </row>
    <row r="9228">
      <c r="A9228" s="1">
        <v>1.0</v>
      </c>
      <c r="B9228" s="1" t="s">
        <v>9166</v>
      </c>
      <c r="C9228" t="str">
        <f>IFERROR(__xludf.DUMMYFUNCTION("GOOGLETRANSLATE(B9228, ""zh"", ""en"")"),"British-made British-made, not Germany, not the packaging.")</f>
        <v>British-made British-made, not Germany, not the packaging.</v>
      </c>
    </row>
    <row r="9229">
      <c r="A9229" s="1">
        <v>1.0</v>
      </c>
      <c r="B9229" s="1" t="s">
        <v>9167</v>
      </c>
      <c r="C9229" t="str">
        <f>IFERROR(__xludf.DUMMYFUNCTION("GOOGLETRANSLATE(B9229, ""zh"", ""en"")"),"Too low a just, so badly 👎 of. Scouring the sea for so long the first time received such a bad package. Amazon is so low in the United States do? I can not believe when I saw the parcel. Was it really sent by Amazon? It is too low.please look at the phot"&amp;"o.")</f>
        <v>Too low a just, so badly 👎 of. Scouring the sea for so long the first time received such a bad package. Amazon is so low in the United States do? I can not believe when I saw the parcel. Was it really sent by Amazon? It is too low.please look at the photo.</v>
      </c>
    </row>
    <row r="9230">
      <c r="A9230" s="1">
        <v>4.0</v>
      </c>
      <c r="B9230" s="1" t="s">
        <v>9168</v>
      </c>
      <c r="C9230" t="str">
        <f>IFERROR(__xludf.DUMMYFUNCTION("GOOGLETRANSLATE(B9230, ""zh"", ""en"")"),"Quality line of pants a little longer, better quality.")</f>
        <v>Quality line of pants a little longer, better quality.</v>
      </c>
    </row>
    <row r="9231">
      <c r="A9231" s="1">
        <v>4.0</v>
      </c>
      <c r="B9231" s="1" t="s">
        <v>9169</v>
      </c>
      <c r="C9231" t="str">
        <f>IFERROR(__xludf.DUMMYFUNCTION("GOOGLETRANSLATE(B9231, ""zh"", ""en"")"),"Size is very positive! Logistics service like this! Place very soon! Shoes Well, thicker than expected, as to whether genuine, not judge, is genuine hope that the whole Amazon bar ...... comfortable or very comfortable, size is also just right! Soles thic"&amp;"ker than expected ~")</f>
        <v>Size is very positive! Logistics service like this! Place very soon! Shoes Well, thicker than expected, as to whether genuine, not judge, is genuine hope that the whole Amazon bar ...... comfortable or very comfortable, size is also just right! Soles thicker than expected ~</v>
      </c>
    </row>
    <row r="9232">
      <c r="A9232" s="1">
        <v>4.0</v>
      </c>
      <c r="B9232" s="1" t="s">
        <v>9170</v>
      </c>
      <c r="C9232" t="str">
        <f>IFERROR(__xludf.DUMMYFUNCTION("GOOGLETRANSLATE(B9232, ""zh"", ""en"")"),"Satisfied with the simple and practical, the price is right, we can recommend")</f>
        <v>Satisfied with the simple and practical, the price is right, we can recommend</v>
      </c>
    </row>
    <row r="9233">
      <c r="A9233" s="1">
        <v>4.0</v>
      </c>
      <c r="B9233" s="1" t="s">
        <v>9171</v>
      </c>
      <c r="C9233" t="str">
        <f>IFERROR(__xludf.DUMMYFUNCTION("GOOGLETRANSLATE(B9233, ""zh"", ""en"")"),"Boss Red Label cortex little hard work okay in line with Red Label grade 3.5 cm wider than the starting point for business and leisure fairly value at the right price point than the rest of Commerce")</f>
        <v>Boss Red Label cortex little hard work okay in line with Red Label grade 3.5 cm wider than the starting point for business and leisure fairly value at the right price point than the rest of Commerce</v>
      </c>
    </row>
    <row r="9234">
      <c r="A9234" s="1">
        <v>4.0</v>
      </c>
      <c r="B9234" s="1" t="s">
        <v>9172</v>
      </c>
      <c r="C9234" t="str">
        <f>IFERROR(__xludf.DUMMYFUNCTION("GOOGLETRANSLATE(B9234, ""zh"", ""en"")"),"Good color is relatively large, no picture is so beautiful, think it is a big noise, but is said to be three good chef imported machine in minimal noise, also asked a friend with Caywood, deliberately made a little video to I, indeed more noise, praise de"&amp;"livery speed, captured the No. 26, No. 1 hand, scouring the sea is really the fastest speed in the!")</f>
        <v>Good color is relatively large, no picture is so beautiful, think it is a big noise, but is said to be three good chef imported machine in minimal noise, also asked a friend with Caywood, deliberately made a little video to I, indeed more noise, praise delivery speed, captured the No. 26, No. 1 hand, scouring the sea is really the fastest speed in the!</v>
      </c>
    </row>
    <row r="9235">
      <c r="A9235" s="1">
        <v>5.0</v>
      </c>
      <c r="B9235" s="1" t="s">
        <v>9173</v>
      </c>
      <c r="C9235" t="str">
        <f>IFERROR(__xludf.DUMMYFUNCTION("GOOGLETRANSLATE(B9235, ""zh"", ""en"")"),"Amazon price is really cheap and easy ups and downs, find cheap single moment, but buy a single painting refund too much trouble, something good is genuine, received about half of the way, find a friend brought before a . The price is almost")</f>
        <v>Amazon price is really cheap and easy ups and downs, find cheap single moment, but buy a single painting refund too much trouble, something good is genuine, received about half of the way, find a friend brought before a . The price is almost</v>
      </c>
    </row>
    <row r="9236">
      <c r="A9236" s="1">
        <v>5.0</v>
      </c>
      <c r="B9236" s="1" t="s">
        <v>9174</v>
      </c>
      <c r="C9236" t="str">
        <f>IFERROR(__xludf.DUMMYFUNCTION("GOOGLETRANSLATE(B9236, ""zh"", ""en"")"),"Note that the code size is less than uk4 uk3.5-4, 4 yards relatively small. Other very satisfied.")</f>
        <v>Note that the code size is less than uk4 uk3.5-4, 4 yards relatively small. Other very satisfied.</v>
      </c>
    </row>
    <row r="9237">
      <c r="A9237" s="1">
        <v>5.0</v>
      </c>
      <c r="B9237" s="1" t="s">
        <v>9175</v>
      </c>
      <c r="C9237" t="str">
        <f>IFERROR(__xludf.DUMMYFUNCTION("GOOGLETRANSLATE(B9237, ""zh"", ""en"")"),"This more general comments shorts, fabric texture is not very good.")</f>
        <v>This more general comments shorts, fabric texture is not very good.</v>
      </c>
    </row>
    <row r="9238">
      <c r="A9238" s="1">
        <v>5.0</v>
      </c>
      <c r="B9238" s="1" t="s">
        <v>9176</v>
      </c>
      <c r="C9238" t="str">
        <f>IFERROR(__xludf.DUMMYFUNCTION("GOOGLETRANSLATE(B9238, ""zh"", ""en"")"),"Work style are very good very good belt, 170cm / 55kg 32 just right")</f>
        <v>Work style are very good very good belt, 170cm / 55kg 32 just right</v>
      </c>
    </row>
    <row r="9239">
      <c r="A9239" s="1">
        <v>5.0</v>
      </c>
      <c r="B9239" s="1" t="s">
        <v>9177</v>
      </c>
      <c r="C9239" t="str">
        <f>IFERROR(__xludf.DUMMYFUNCTION("GOOGLETRANSLATE(B9239, ""zh"", ""en"")"),"Not bad, not use, with reevaluation")</f>
        <v>Not bad, not use, with reevaluation</v>
      </c>
    </row>
    <row r="9240">
      <c r="A9240" s="1">
        <v>5.0</v>
      </c>
      <c r="B9240" s="1" t="s">
        <v>9178</v>
      </c>
      <c r="C9240" t="str">
        <f>IFERROR(__xludf.DUMMYFUNCTION("GOOGLETRANSLATE(B9240, ""zh"", ""en"")"),"You can also larger than the normal code.")</f>
        <v>You can also larger than the normal code.</v>
      </c>
    </row>
    <row r="9241">
      <c r="A9241" s="1">
        <v>5.0</v>
      </c>
      <c r="B9241" s="1" t="s">
        <v>9179</v>
      </c>
      <c r="C9241" t="str">
        <f>IFERROR(__xludf.DUMMYFUNCTION("GOOGLETRANSLATE(B9241, ""zh"", ""en"")"),"Yes 170cm.67kg. Positive fit. Good clothes.")</f>
        <v>Yes 170cm.67kg. Positive fit. Good clothes.</v>
      </c>
    </row>
    <row r="9242">
      <c r="A9242" s="1">
        <v>5.0</v>
      </c>
      <c r="B9242" s="1" t="s">
        <v>9180</v>
      </c>
      <c r="C9242" t="str">
        <f>IFERROR(__xludf.DUMMYFUNCTION("GOOGLETRANSLATE(B9242, ""zh"", ""en"")"),"Comfortable, beautiful and very comfortable pair of shoes, much cheaper than domestic. Usually wear 37, 38 shoes, buy 38 just this. Do not buy a small sandals.")</f>
        <v>Comfortable, beautiful and very comfortable pair of shoes, much cheaper than domestic. Usually wear 37, 38 shoes, buy 38 just this. Do not buy a small sandals.</v>
      </c>
    </row>
    <row r="9243">
      <c r="A9243" s="1">
        <v>5.0</v>
      </c>
      <c r="B9243" s="1" t="s">
        <v>9181</v>
      </c>
      <c r="C9243" t="str">
        <f>IFERROR(__xludf.DUMMYFUNCTION("GOOGLETRANSLATE(B9243, ""zh"", ""en"")"),"Price changes in the elderly is very good to eat")</f>
        <v>Price changes in the elderly is very good to eat</v>
      </c>
    </row>
    <row r="9244">
      <c r="A9244" s="1">
        <v>5.0</v>
      </c>
      <c r="B9244" s="1" t="s">
        <v>9182</v>
      </c>
      <c r="C9244" t="str">
        <f>IFERROR(__xludf.DUMMYFUNCTION("GOOGLETRANSLATE(B9244, ""zh"", ""en"")"),"36 loose 200 pounds or a little big, the quality did not say, but also very comfortable to wear")</f>
        <v>36 loose 200 pounds or a little big, the quality did not say, but also very comfortable to wear</v>
      </c>
    </row>
    <row r="9245">
      <c r="A9245" s="1">
        <v>5.0</v>
      </c>
      <c r="B9245" s="1" t="s">
        <v>9183</v>
      </c>
      <c r="C9245" t="str">
        <f>IFERROR(__xludf.DUMMYFUNCTION("GOOGLETRANSLATE(B9245, ""zh"", ""en"")"),"Together with the children and my children with me and with each package has its own very practical health")</f>
        <v>Together with the children and my children with me and with each package has its own very practical health</v>
      </c>
    </row>
    <row r="9246">
      <c r="A9246" s="1">
        <v>5.0</v>
      </c>
      <c r="B9246" s="1" t="s">
        <v>9184</v>
      </c>
      <c r="C9246" t="str">
        <f>IFERROR(__xludf.DUMMYFUNCTION("GOOGLETRANSLATE(B9246, ""zh"", ""en"")"),"Particularly crippled rubber eraser mono particularly so that, children have been using this brand, already accustomed to")</f>
        <v>Particularly crippled rubber eraser mono particularly so that, children have been using this brand, already accustomed to</v>
      </c>
    </row>
    <row r="9247">
      <c r="A9247" s="1">
        <v>5.0</v>
      </c>
      <c r="B9247" s="1" t="s">
        <v>9185</v>
      </c>
      <c r="C9247" t="str">
        <f>IFERROR(__xludf.DUMMYFUNCTION("GOOGLETRANSLATE(B9247, ""zh"", ""en"")"),"Quality choice feels very soft leather, soles flexible, and comfortable, the only drawback is hope to get a good look at the packaging, after all cross-border transport, need to turn a few times courier, but a long time, which makes the courier is not ass"&amp;"ured")</f>
        <v>Quality choice feels very soft leather, soles flexible, and comfortable, the only drawback is hope to get a good look at the packaging, after all cross-border transport, need to turn a few times courier, but a long time, which makes the courier is not assured</v>
      </c>
    </row>
    <row r="9248">
      <c r="A9248" s="1">
        <v>5.0</v>
      </c>
      <c r="B9248" s="1" t="s">
        <v>9186</v>
      </c>
      <c r="C9248" t="str">
        <f>IFERROR(__xludf.DUMMYFUNCTION("GOOGLETRANSLATE(B9248, ""zh"", ""en"")"),"Very beautiful very beautiful, like daughter")</f>
        <v>Very beautiful very beautiful, like daughter</v>
      </c>
    </row>
    <row r="9249">
      <c r="A9249" s="1">
        <v>5.0</v>
      </c>
      <c r="B9249" s="1" t="s">
        <v>9187</v>
      </c>
      <c r="C9249" t="str">
        <f>IFERROR(__xludf.DUMMYFUNCTION("GOOGLETRANSLATE(B9249, ""zh"", ""en"")"),"Buy my mother a gift too large and a half yards Indonesia produced no obvious flaws and no difference between domestic")</f>
        <v>Buy my mother a gift too large and a half yards Indonesia produced no obvious flaws and no difference between domestic</v>
      </c>
    </row>
    <row r="9250">
      <c r="A9250" s="1">
        <v>5.0</v>
      </c>
      <c r="B9250" s="1" t="s">
        <v>9188</v>
      </c>
      <c r="C9250" t="str">
        <f>IFERROR(__xludf.DUMMYFUNCTION("GOOGLETRANSLATE(B9250, ""zh"", ""en"")"),"Shoes just right. Buy a small one yard positive fit very hard wearing 41")</f>
        <v>Shoes just right. Buy a small one yard positive fit very hard wearing 41</v>
      </c>
    </row>
    <row r="9251">
      <c r="A9251" s="1">
        <v>5.0</v>
      </c>
      <c r="B9251" s="1" t="s">
        <v>9189</v>
      </c>
      <c r="C9251" t="str">
        <f>IFERROR(__xludf.DUMMYFUNCTION("GOOGLETRANSLATE(B9251, ""zh"", ""en"")"),"Recommend the right size, quality is also very good, specially with summer shorts")</f>
        <v>Recommend the right size, quality is also very good, specially with summer shorts</v>
      </c>
    </row>
    <row r="9252">
      <c r="A9252" s="1">
        <v>5.0</v>
      </c>
      <c r="B9252" s="1" t="s">
        <v>9190</v>
      </c>
      <c r="C9252" t="str">
        <f>IFERROR(__xludf.DUMMYFUNCTION("GOOGLETRANSLATE(B9252, ""zh"", ""en"")"),"Just get something good. Looks just fine to see, will not start up times, Baidu wave")</f>
        <v>Just get something good. Looks just fine to see, will not start up times, Baidu wave</v>
      </c>
    </row>
    <row r="9253">
      <c r="A9253" s="1">
        <v>5.0</v>
      </c>
      <c r="B9253" s="1" t="s">
        <v>9191</v>
      </c>
      <c r="C9253" t="str">
        <f>IFERROR(__xludf.DUMMYFUNCTION("GOOGLETRANSLATE(B9253, ""zh"", ""en"")"),"One pair of shoes makes me a little sad girl, trained, trained, trained, I usually wear 37 yards is 235 to buy big kid5 code is then boyfriend account to buy a little a little bit big just put a bottom insole because these shoes really I bought a little h"&amp;"ard time to add a tariff to buy 689 classic yellow just received the results today to see price plus tariff into a 510 I really want to cry a little good shoes no problem with Amazon is not subject to price protection policy is not to ask the customer ser"&amp;"vice refund the difference can now quickly start to buy it!")</f>
        <v>One pair of shoes makes me a little sad girl, trained, trained, trained, I usually wear 37 yards is 235 to buy big kid5 code is then boyfriend account to buy a little a little bit big just put a bottom insole because these shoes really I bought a little hard time to add a tariff to buy 689 classic yellow just received the results today to see price plus tariff into a 510 I really want to cry a little good shoes no problem with Amazon is not subject to price protection policy is not to ask the customer service refund the difference can now quickly start to buy it!</v>
      </c>
    </row>
    <row r="9254">
      <c r="A9254" s="1">
        <v>5.0</v>
      </c>
      <c r="B9254" s="1" t="s">
        <v>9192</v>
      </c>
      <c r="C9254" t="str">
        <f>IFERROR(__xludf.DUMMYFUNCTION("GOOGLETRANSLATE(B9254, ""zh"", ""en"")"),"You like I like very fond of, the version Comfort is what I want, recommend it to everyone, Loose great.")</f>
        <v>You like I like very fond of, the version Comfort is what I want, recommend it to everyone, Loose great.</v>
      </c>
    </row>
    <row r="9255">
      <c r="A9255" s="1">
        <v>5.0</v>
      </c>
      <c r="B9255" s="1" t="s">
        <v>9193</v>
      </c>
      <c r="C9255" t="str">
        <f>IFERROR(__xludf.DUMMYFUNCTION("GOOGLETRANSLATE(B9255, ""zh"", ""en"")"),"Okay, for store goods, not use, give praise the quality looked okay, for store goods, not use, give praise")</f>
        <v>Okay, for store goods, not use, give praise the quality looked okay, for store goods, not use, give praise</v>
      </c>
    </row>
    <row r="9256">
      <c r="A9256" s="1">
        <v>5.0</v>
      </c>
      <c r="B9256" s="1" t="s">
        <v>9194</v>
      </c>
      <c r="C9256" t="str">
        <f>IFERROR(__xludf.DUMMYFUNCTION("GOOGLETRANSLATE(B9256, ""zh"", ""en"")"),"The size of my feet 37.5, would have to buy most of the code just fine, but wear thin socks or feeling a little crowded, wear thick socks if it is better to buy the freshman code.")</f>
        <v>The size of my feet 37.5, would have to buy most of the code just fine, but wear thin socks or feeling a little crowded, wear thick socks if it is better to buy the freshman code.</v>
      </c>
    </row>
    <row r="9257">
      <c r="A9257" s="1">
        <v>2.0</v>
      </c>
      <c r="B9257" s="1" t="s">
        <v>9195</v>
      </c>
      <c r="C9257" t="str">
        <f>IFERROR(__xludf.DUMMYFUNCTION("GOOGLETRANSLATE(B9257, ""zh"", ""en"")"),"Collar small collar small, fabric is very thick, comfortable")</f>
        <v>Collar small collar small, fabric is very thick, comfortable</v>
      </c>
    </row>
    <row r="9258">
      <c r="A9258" s="1">
        <v>3.0</v>
      </c>
      <c r="B9258" s="1" t="s">
        <v>9196</v>
      </c>
      <c r="C9258" t="str">
        <f>IFERROR(__xludf.DUMMYFUNCTION("GOOGLETRANSLATE(B9258, ""zh"", ""en"")"),"Suitable for small grinding started several times. Later changed the food supplement machine.")</f>
        <v>Suitable for small grinding started several times. Later changed the food supplement machine.</v>
      </c>
    </row>
    <row r="9259">
      <c r="A9259" s="1">
        <v>3.0</v>
      </c>
      <c r="B9259" s="1" t="s">
        <v>9197</v>
      </c>
      <c r="C9259" t="str">
        <f>IFERROR(__xludf.DUMMYFUNCTION("GOOGLETRANSLATE(B9259, ""zh"", ""en"")"),"Although it is generally like imported from Germany, but the quality is not as good as the original head, and Jane with version 5 can buy a razor head, also father of the pit")</f>
        <v>Although it is generally like imported from Germany, but the quality is not as good as the original head, and Jane with version 5 can buy a razor head, also father of the pit</v>
      </c>
    </row>
    <row r="9260">
      <c r="A9260" s="1">
        <v>3.0</v>
      </c>
      <c r="B9260" s="1" t="s">
        <v>9198</v>
      </c>
      <c r="C9260" t="str">
        <f>IFERROR(__xludf.DUMMYFUNCTION("GOOGLETRANSLATE(B9260, ""zh"", ""en"")"),"Net red net red civilians shall not suitable for civilians shall not, on their own understanding")</f>
        <v>Net red net red civilians shall not suitable for civilians shall not, on their own understanding</v>
      </c>
    </row>
    <row r="9261">
      <c r="A9261" s="1">
        <v>1.0</v>
      </c>
      <c r="B9261" s="1" t="s">
        <v>9199</v>
      </c>
      <c r="C9261" t="str">
        <f>IFERROR(__xludf.DUMMYFUNCTION("GOOGLETRANSLATE(B9261, ""zh"", ""en"")"),"Poor poor, balloons James Gray, did not wear hair.")</f>
        <v>Poor poor, balloons James Gray, did not wear hair.</v>
      </c>
    </row>
    <row r="9262">
      <c r="A9262" s="1">
        <v>1.0</v>
      </c>
      <c r="B9262" s="1" t="s">
        <v>9200</v>
      </c>
      <c r="C9262" t="str">
        <f>IFERROR(__xludf.DUMMYFUNCTION("GOOGLETRANSLATE(B9262, ""zh"", ""en"")"),"Fake shoes? Just bought on price cuts over two hundred I do not say nothing, get the goods on a light board packaging white shoebox, what characters and trademarks above are not, there is no tag, serious doubts fake shoes")</f>
        <v>Fake shoes? Just bought on price cuts over two hundred I do not say nothing, get the goods on a light board packaging white shoebox, what characters and trademarks above are not, there is no tag, serious doubts fake shoes</v>
      </c>
    </row>
    <row r="9263">
      <c r="A9263" s="1">
        <v>1.0</v>
      </c>
      <c r="B9263" s="1" t="s">
        <v>9201</v>
      </c>
      <c r="C9263" t="str">
        <f>IFERROR(__xludf.DUMMYFUNCTION("GOOGLETRANSLATE(B9263, ""zh"", ""en"")"),"No problems overseas purchase warranty if you can hit 0 just fine. Buy two months, the watch does not move, Amazon to call, he said the purchase is not responsible for the maintenance abroad no warranty, looking issuing country. Citizen gave a 400 phone, "&amp;"Citizen directly rejected, say Amazon is responsible for the list. 2000 bad deal.")</f>
        <v>No problems overseas purchase warranty if you can hit 0 just fine. Buy two months, the watch does not move, Amazon to call, he said the purchase is not responsible for the maintenance abroad no warranty, looking issuing country. Citizen gave a 400 phone, Citizen directly rejected, say Amazon is responsible for the list. 2000 bad deal.</v>
      </c>
    </row>
    <row r="9264">
      <c r="A9264" s="1">
        <v>4.0</v>
      </c>
      <c r="B9264" s="1" t="s">
        <v>9202</v>
      </c>
      <c r="C9264" t="str">
        <f>IFERROR(__xludf.DUMMYFUNCTION("GOOGLETRANSLATE(B9264, ""zh"", ""en"")"),"Good tape really too fine a little Le, but work well, high availability")</f>
        <v>Good tape really too fine a little Le, but work well, high availability</v>
      </c>
    </row>
    <row r="9265">
      <c r="A9265" s="1">
        <v>4.0</v>
      </c>
      <c r="B9265" s="1" t="s">
        <v>9203</v>
      </c>
      <c r="C9265" t="str">
        <f>IFERROR(__xludf.DUMMYFUNCTION("GOOGLETRANSLATE(B9265, ""zh"", ""en"")"),"Plus velvet, long, velvet, long, normal bar code number,")</f>
        <v>Plus velvet, long, velvet, long, normal bar code number,</v>
      </c>
    </row>
    <row r="9266">
      <c r="A9266" s="1">
        <v>4.0</v>
      </c>
      <c r="B9266" s="1" t="s">
        <v>9204</v>
      </c>
      <c r="C9266" t="str">
        <f>IFERROR(__xludf.DUMMYFUNCTION("GOOGLETRANSLATE(B9266, ""zh"", ""en"")"),"172/82 size reference, the selected number m, fit.")</f>
        <v>172/82 size reference, the selected number m, fit.</v>
      </c>
    </row>
    <row r="9267">
      <c r="A9267" s="1">
        <v>4.0</v>
      </c>
      <c r="B9267" s="1" t="s">
        <v>9205</v>
      </c>
      <c r="C9267" t="str">
        <f>IFERROR(__xludf.DUMMYFUNCTION("GOOGLETRANSLATE(B9267, ""zh"", ""en"")"),"Good-looking, but the high value of the Yen small regret. large capacity. But belong to the old style kettle, the temperature is not controlled, small disappointment")</f>
        <v>Good-looking, but the high value of the Yen small regret. large capacity. But belong to the old style kettle, the temperature is not controlled, small disappointment</v>
      </c>
    </row>
    <row r="9268">
      <c r="A9268" s="1">
        <v>5.0</v>
      </c>
      <c r="B9268" s="1" t="s">
        <v>9206</v>
      </c>
      <c r="C9268" t="str">
        <f>IFERROR(__xludf.DUMMYFUNCTION("GOOGLETRANSLATE(B9268, ""zh"", ""en"")"),"Medium size, cotton, Made in China. I thought it was made in Japan, but wear comfortable, breathable! Next time will buy a small one yard. Medium size, cotton, Made in China. I thought it was made in Japan, but wear comfortable, breathable! Next time will"&amp;" buy a small one yard.")</f>
        <v>Medium size, cotton, Made in China. I thought it was made in Japan, but wear comfortable, breathable! Next time will buy a small one yard. Medium size, cotton, Made in China. I thought it was made in Japan, but wear comfortable, breathable! Next time will buy a small one yard.</v>
      </c>
    </row>
    <row r="9269">
      <c r="A9269" s="1">
        <v>5.0</v>
      </c>
      <c r="B9269" s="1" t="s">
        <v>9207</v>
      </c>
      <c r="C9269" t="str">
        <f>IFERROR(__xludf.DUMMYFUNCTION("GOOGLETRANSLATE(B9269, ""zh"", ""en"")"),"Elastic good, comfortable. Height 181cm, weight 72kg. Buy W34 / L32, autumn and winter wear suitable, waist loose a little bit, like! Stretch fabric.")</f>
        <v>Elastic good, comfortable. Height 181cm, weight 72kg. Buy W34 / L32, autumn and winter wear suitable, waist loose a little bit, like! Stretch fabric.</v>
      </c>
    </row>
    <row r="9270">
      <c r="A9270" s="1">
        <v>5.0</v>
      </c>
      <c r="B9270" s="1" t="s">
        <v>9208</v>
      </c>
      <c r="C9270" t="str">
        <f>IFERROR(__xludf.DUMMYFUNCTION("GOOGLETRANSLATE(B9270, ""zh"", ""en"")"),"Worth buying the arrival of a lot faster, Magimix 5200XL Food Processor is very good, definitely the kitchen artifact, the price is the United States, it is easy to operate, it is worth buying.")</f>
        <v>Worth buying the arrival of a lot faster, Magimix 5200XL Food Processor is very good, definitely the kitchen artifact, the price is the United States, it is easy to operate, it is worth buying.</v>
      </c>
    </row>
    <row r="9271">
      <c r="A9271" s="1">
        <v>5.0</v>
      </c>
      <c r="B9271" s="1" t="s">
        <v>9209</v>
      </c>
      <c r="C9271" t="str">
        <f>IFERROR(__xludf.DUMMYFUNCTION("GOOGLETRANSLATE(B9271, ""zh"", ""en"")"),"Fabrics could be improved very fit, but the fabric worse, feeling a little plastic raincoat, if it is certainly not in the store to buy")</f>
        <v>Fabrics could be improved very fit, but the fabric worse, feeling a little plastic raincoat, if it is certainly not in the store to buy</v>
      </c>
    </row>
    <row r="9272">
      <c r="A9272" s="1">
        <v>5.0</v>
      </c>
      <c r="B9272" s="1" t="s">
        <v>9210</v>
      </c>
      <c r="C9272" t="str">
        <f>IFERROR(__xludf.DUMMYFUNCTION("GOOGLETRANSLATE(B9272, ""zh"", ""en"")"),"Okay, relatively large holes 180cm, 220 pounds, basketball shorts, a little bit large, shorts material is a kind of grid, holes slightly larger, wear dark underwear can not see.")</f>
        <v>Okay, relatively large holes 180cm, 220 pounds, basketball shorts, a little bit large, shorts material is a kind of grid, holes slightly larger, wear dark underwear can not see.</v>
      </c>
    </row>
    <row r="9273">
      <c r="A9273" s="1">
        <v>5.0</v>
      </c>
      <c r="B9273" s="1" t="s">
        <v>9211</v>
      </c>
      <c r="C9273" t="str">
        <f>IFERROR(__xludf.DUMMYFUNCTION("GOOGLETRANSLATE(B9273, ""zh"", ""en"")"),"Inexpensive very good, the price is a bargain!")</f>
        <v>Inexpensive very good, the price is a bargain!</v>
      </c>
    </row>
    <row r="9274">
      <c r="A9274" s="1">
        <v>5.0</v>
      </c>
      <c r="B9274" s="1" t="s">
        <v>9212</v>
      </c>
      <c r="C9274" t="str">
        <f>IFERROR(__xludf.DUMMYFUNCTION("GOOGLETRANSLATE(B9274, ""zh"", ""en"")"),"Satisfied very satisfied with the quality style are good!")</f>
        <v>Satisfied very satisfied with the quality style are good!</v>
      </c>
    </row>
    <row r="9275">
      <c r="A9275" s="1">
        <v>5.0</v>
      </c>
      <c r="B9275" s="1" t="s">
        <v>9213</v>
      </c>
      <c r="C9275" t="str">
        <f>IFERROR(__xludf.DUMMYFUNCTION("GOOGLETRANSLATE(B9275, ""zh"", ""en"")"),"Good shoes to wear for a few days, good shoes, in line with expectations. Just Gotex really not cheap.")</f>
        <v>Good shoes to wear for a few days, good shoes, in line with expectations. Just Gotex really not cheap.</v>
      </c>
    </row>
    <row r="9276">
      <c r="A9276" s="1">
        <v>5.0</v>
      </c>
      <c r="B9276" s="1" t="s">
        <v>9214</v>
      </c>
      <c r="C9276" t="str">
        <f>IFERROR(__xludf.DUMMYFUNCTION("GOOGLETRANSLATE(B9276, ""zh"", ""en"")"),"Okay, in fact, is not particularly obvious discoloration cheap, a bit hard")</f>
        <v>Okay, in fact, is not particularly obvious discoloration cheap, a bit hard</v>
      </c>
    </row>
    <row r="9277">
      <c r="A9277" s="1">
        <v>5.0</v>
      </c>
      <c r="B9277" s="1" t="s">
        <v>9215</v>
      </c>
      <c r="C9277" t="str">
        <f>IFERROR(__xludf.DUMMYFUNCTION("GOOGLETRANSLATE(B9277, ""zh"", ""en"")"),"Super size appropriate satisfaction. Prior to wear sports shoes 40 yards, the next conversion is 6.5uk, I was worried for a moment and white will not be too large, the results are very fit. Micro hard soles, little effect.")</f>
        <v>Super size appropriate satisfaction. Prior to wear sports shoes 40 yards, the next conversion is 6.5uk, I was worried for a moment and white will not be too large, the results are very fit. Micro hard soles, little effect.</v>
      </c>
    </row>
    <row r="9278">
      <c r="A9278" s="1">
        <v>5.0</v>
      </c>
      <c r="B9278" s="1" t="s">
        <v>9216</v>
      </c>
      <c r="C9278" t="str">
        <f>IFERROR(__xludf.DUMMYFUNCTION("GOOGLETRANSLATE(B9278, ""zh"", ""en"")"),"Like the style quality is great! Waist circumference slightly larger!")</f>
        <v>Like the style quality is great! Waist circumference slightly larger!</v>
      </c>
    </row>
    <row r="9279">
      <c r="A9279" s="1">
        <v>5.0</v>
      </c>
      <c r="B9279" s="1" t="s">
        <v>7830</v>
      </c>
      <c r="C9279" t="str">
        <f>IFERROR(__xludf.DUMMYFUNCTION("GOOGLETRANSLATE(B9279, ""zh"", ""en"")"),"nice nice")</f>
        <v>nice nice</v>
      </c>
    </row>
    <row r="9280">
      <c r="A9280" s="1">
        <v>5.0</v>
      </c>
      <c r="B9280" s="1" t="s">
        <v>9217</v>
      </c>
      <c r="C9280" t="str">
        <f>IFERROR(__xludf.DUMMYFUNCTION("GOOGLETRANSLATE(B9280, ""zh"", ""en"")"),"Good table function normally, the price is very cheap")</f>
        <v>Good table function normally, the price is very cheap</v>
      </c>
    </row>
    <row r="9281">
      <c r="A9281" s="1">
        <v>5.0</v>
      </c>
      <c r="B9281" s="1" t="s">
        <v>9218</v>
      </c>
      <c r="C9281" t="str">
        <f>IFERROR(__xludf.DUMMYFUNCTION("GOOGLETRANSLATE(B9281, ""zh"", ""en"")"),"you must look! ! ! ! The headphone jack plug connectors must be inserted do otherwise microphone will say the words! ! Better take a paper towel wrapped completely plug insert hand will feel completely inserted into the irregularities. Out a day microphon"&amp;"e did not sound. Only to find the problem.")</f>
        <v>you must look! ! ! ! The headphone jack plug connectors must be inserted do otherwise microphone will say the words! ! Better take a paper towel wrapped completely plug insert hand will feel completely inserted into the irregularities. Out a day microphone did not sound. Only to find the problem.</v>
      </c>
    </row>
    <row r="9282">
      <c r="A9282" s="1">
        <v>5.0</v>
      </c>
      <c r="B9282" s="1" t="s">
        <v>9219</v>
      </c>
      <c r="C9282" t="str">
        <f>IFERROR(__xludf.DUMMYFUNCTION("GOOGLETRANSLATE(B9282, ""zh"", ""en"")"),"A little better. good quality")</f>
        <v>A little better. good quality</v>
      </c>
    </row>
    <row r="9283">
      <c r="A9283" s="1">
        <v>5.0</v>
      </c>
      <c r="B9283" s="1" t="s">
        <v>9220</v>
      </c>
      <c r="C9283" t="str">
        <f>IFERROR(__xludf.DUMMYFUNCTION("GOOGLETRANSLATE(B9283, ""zh"", ""en"")"),"Recommended to buy very satisfied, before buy clarks Chelsea, too narrow! But his family could desert boots, this play is not bad very wide, right big toe Farm a little top, overall acceptable! Soles comfortable, recommended! Usually 43-44 Adi Nike, 43 on"&amp;"es, buy 9w, take a look!")</f>
        <v>Recommended to buy very satisfied, before buy clarks Chelsea, too narrow! But his family could desert boots, this play is not bad very wide, right big toe Farm a little top, overall acceptable! Soles comfortable, recommended! Usually 43-44 Adi Nike, 43 ones, buy 9w, take a look!</v>
      </c>
    </row>
    <row r="9284">
      <c r="A9284" s="1">
        <v>5.0</v>
      </c>
      <c r="B9284" s="1" t="s">
        <v>9221</v>
      </c>
      <c r="C9284" t="str">
        <f>IFERROR(__xludf.DUMMYFUNCTION("GOOGLETRANSLATE(B9284, ""zh"", ""en"")"),"Very good very fresh date, see comment before thought of Advent, did not dare to buy, a little regret ...... prices are very favorable box of a total of about 150")</f>
        <v>Very good very fresh date, see comment before thought of Advent, did not dare to buy, a little regret ...... prices are very favorable box of a total of about 150</v>
      </c>
    </row>
    <row r="9285">
      <c r="A9285" s="1">
        <v>5.0</v>
      </c>
      <c r="B9285" s="1" t="s">
        <v>9222</v>
      </c>
      <c r="C9285" t="str">
        <f>IFERROR(__xludf.DUMMYFUNCTION("GOOGLETRANSLATE(B9285, ""zh"", ""en"")"),"Genuine something very easy to use, thanks 🙏")</f>
        <v>Genuine something very easy to use, thanks 🙏</v>
      </c>
    </row>
    <row r="9286">
      <c r="A9286" s="1">
        <v>5.0</v>
      </c>
      <c r="B9286" s="1" t="s">
        <v>9223</v>
      </c>
      <c r="C9286" t="str">
        <f>IFERROR(__xludf.DUMMYFUNCTION("GOOGLETRANSLATE(B9286, ""zh"", ""en"")"),"Good help the next single colleague, I believe the origin of goods")</f>
        <v>Good help the next single colleague, I believe the origin of goods</v>
      </c>
    </row>
    <row r="9287">
      <c r="A9287" s="1">
        <v>5.0</v>
      </c>
      <c r="B9287" s="1" t="s">
        <v>9224</v>
      </c>
      <c r="C9287" t="str">
        <f>IFERROR(__xludf.DUMMYFUNCTION("GOOGLETRANSLATE(B9287, ""zh"", ""en"")"),"Awesome lion mug glance son checked the cup, the family has several Thermos cup of; this time, Tiger Cup is also very good!")</f>
        <v>Awesome lion mug glance son checked the cup, the family has several Thermos cup of; this time, Tiger Cup is also very good!</v>
      </c>
    </row>
    <row r="9288">
      <c r="A9288" s="1">
        <v>5.0</v>
      </c>
      <c r="B9288" s="1" t="s">
        <v>9225</v>
      </c>
      <c r="C9288" t="str">
        <f>IFERROR(__xludf.DUMMYFUNCTION("GOOGLETRANSLATE(B9288, ""zh"", ""en"")"),"Kitchen pantry, eating healthy food weapon can play very broken, to the point where almost no dross; different kinds, more difficult to chew food and drink can be easily mixed together, increase the diversity of food intake and intake meaning comes recipe"&amp;" is also very draw;; the amount rugged and durable, easy to clean; although hair is not color box packaging, but not second-hand refurbished goods, but there is little doubt that the specification did not write the life of the warranty, and the official w"&amp;"ebsite Download specification is one of this warranty, the warranty period is seven years. Shortcomings: the voltage is 120V, use a transformer; the sound seems larger than an electric drill.")</f>
        <v>Kitchen pantry, eating healthy food weapon can play very broken, to the point where almost no dross; different kinds, more difficult to chew food and drink can be easily mixed together, increase the diversity of food intake and intake meaning comes recipe is also very draw;; the amount rugged and durable, easy to clean; although hair is not color box packaging, but not second-hand refurbished goods, but there is little doubt that the specification did not write the life of the warranty, and the official website Download specification is one of this warranty, the warranty period is seven years. Shortcomings: the voltage is 120V, use a transformer; the sound seems larger than an electric drill.</v>
      </c>
    </row>
    <row r="9289">
      <c r="A9289" s="1">
        <v>5.0</v>
      </c>
      <c r="B9289" s="1" t="s">
        <v>9226</v>
      </c>
      <c r="C9289" t="str">
        <f>IFERROR(__xludf.DUMMYFUNCTION("GOOGLETRANSLATE(B9289, ""zh"", ""en"")"),"Overall very good, cost-effective is very good, and basically had no problems.")</f>
        <v>Overall very good, cost-effective is very good, and basically had no problems.</v>
      </c>
    </row>
    <row r="9290">
      <c r="A9290" s="1">
        <v>2.0</v>
      </c>
      <c r="B9290" s="1" t="s">
        <v>9227</v>
      </c>
      <c r="C9290" t="str">
        <f>IFERROR(__xludf.DUMMYFUNCTION("GOOGLETRANSLATE(B9290, ""zh"", ""en"")"),"Like a good commodity, the right size, style is very hard gas.")</f>
        <v>Like a good commodity, the right size, style is very hard gas.</v>
      </c>
    </row>
    <row r="9291">
      <c r="A9291" s="1">
        <v>3.0</v>
      </c>
      <c r="B9291" s="1" t="s">
        <v>9228</v>
      </c>
      <c r="C9291" t="str">
        <f>IFERROR(__xludf.DUMMYFUNCTION("GOOGLETRANSLATE(B9291, ""zh"", ""en"")"),"Feel better to buy domestic good pants the color is dark, fabrics feel as good as domestic shopping malls in LEE feel good. Basically the same size.")</f>
        <v>Feel better to buy domestic good pants the color is dark, fabrics feel as good as domestic shopping malls in LEE feel good. Basically the same size.</v>
      </c>
    </row>
    <row r="9292">
      <c r="A9292" s="1">
        <v>3.0</v>
      </c>
      <c r="B9292" s="1" t="s">
        <v>9229</v>
      </c>
      <c r="C9292" t="str">
        <f>IFERROR(__xludf.DUMMYFUNCTION("GOOGLETRANSLATE(B9292, ""zh"", ""en"")"),"Pants fabric is very general. Cut belong to Europe and America, the fabric is extremely general, is really what you pay for")</f>
        <v>Pants fabric is very general. Cut belong to Europe and America, the fabric is extremely general, is really what you pay for</v>
      </c>
    </row>
    <row r="9293">
      <c r="A9293" s="1">
        <v>3.0</v>
      </c>
      <c r="B9293" s="1" t="s">
        <v>9230</v>
      </c>
      <c r="C9293" t="str">
        <f>IFERROR(__xludf.DUMMYFUNCTION("GOOGLETRANSLATE(B9293, ""zh"", ""en"")"),"Why packaging is opened it? ! Looks can be, but why the package is opened it? !")</f>
        <v>Why packaging is opened it? ! Looks can be, but why the package is opened it? !</v>
      </c>
    </row>
    <row r="9294">
      <c r="A9294" s="1">
        <v>1.0</v>
      </c>
      <c r="B9294" s="1" t="s">
        <v>9231</v>
      </c>
      <c r="C9294" t="str">
        <f>IFERROR(__xludf.DUMMYFUNCTION("GOOGLETRANSLATE(B9294, ""zh"", ""en"")"),"The worst online shopping once after receiving the transformer can not start, can not find the customer service said a replacement (known this before I purchased) can not be returned, it is curious what reason can not be returned, because I carefully look"&amp;"ed at the product introduction page and overseas procurement policies, and the first call I said your order is on the 20th of October at a few more than a month, then I do not remember exactly which of the world, there is no saying what, in fact, look a b"&amp;"it found in November just under 10 single; the second call and I say this is because oral hygiene can not retreat, but information on the Amazon site I could find did not show this requirement. Thank you for this experience allows me to renounce the use o"&amp;"f the Amazon.")</f>
        <v>The worst online shopping once after receiving the transformer can not start, can not find the customer service said a replacement (known this before I purchased) can not be returned, it is curious what reason can not be returned, because I carefully looked at the product introduction page and overseas procurement policies, and the first call I said your order is on the 20th of October at a few more than a month, then I do not remember exactly which of the world, there is no saying what, in fact, look a bit found in November just under 10 single; the second call and I say this is because oral hygiene can not retreat, but information on the Amazon site I could find did not show this requirement. Thank you for this experience allows me to renounce the use of the Amazon.</v>
      </c>
    </row>
    <row r="9295">
      <c r="A9295" s="1">
        <v>1.0</v>
      </c>
      <c r="B9295" s="1" t="s">
        <v>9232</v>
      </c>
      <c r="C9295" t="str">
        <f>IFERROR(__xludf.DUMMYFUNCTION("GOOGLETRANSLATE(B9295, ""zh"", ""en"")"),"Product quality problems quality problems, can not be formatted, return too much trouble overseas purchase, for the first time and last time buy to buy, garbage platform, a star do not want to, garbage, garbage, garbage.")</f>
        <v>Product quality problems quality problems, can not be formatted, return too much trouble overseas purchase, for the first time and last time buy to buy, garbage platform, a star do not want to, garbage, garbage, garbage.</v>
      </c>
    </row>
    <row r="9296">
      <c r="A9296" s="1">
        <v>4.0</v>
      </c>
      <c r="B9296" s="1" t="s">
        <v>9233</v>
      </c>
      <c r="C9296" t="str">
        <f>IFERROR(__xludf.DUMMYFUNCTION("GOOGLETRANSLATE(B9296, ""zh"", ""en"")"),"Very pretty good style, 171 48kg wear xs have a little big")</f>
        <v>Very pretty good style, 171 48kg wear xs have a little big</v>
      </c>
    </row>
    <row r="9297">
      <c r="A9297" s="1">
        <v>4.0</v>
      </c>
      <c r="B9297" s="1" t="s">
        <v>9234</v>
      </c>
      <c r="C9297" t="str">
        <f>IFERROR(__xludf.DUMMYFUNCTION("GOOGLETRANSLATE(B9297, ""zh"", ""en"")"),"Fabric good, but the clothes too large, equivalent to the domestic L code, I bought the S code, equivalent to the domestic 175 / 92B.")</f>
        <v>Fabric good, but the clothes too large, equivalent to the domestic L code, I bought the S code, equivalent to the domestic 175 / 92B.</v>
      </c>
    </row>
    <row r="9298">
      <c r="A9298" s="1">
        <v>4.0</v>
      </c>
      <c r="B9298" s="1" t="s">
        <v>9235</v>
      </c>
      <c r="C9298" t="str">
        <f>IFERROR(__xludf.DUMMYFUNCTION("GOOGLETRANSLATE(B9298, ""zh"", ""en"")"),"Hope not imagine a more perfect point of perfect workmanship, overall is good, express delivery eat several days faster than expected, but still received the goods, received the shoes feel just fine, customer service is also very nice")</f>
        <v>Hope not imagine a more perfect point of perfect workmanship, overall is good, express delivery eat several days faster than expected, but still received the goods, received the shoes feel just fine, customer service is also very nice</v>
      </c>
    </row>
    <row r="9299">
      <c r="A9299" s="1">
        <v>4.0</v>
      </c>
      <c r="B9299" s="1" t="s">
        <v>9236</v>
      </c>
      <c r="C9299" t="str">
        <f>IFERROR(__xludf.DUMMYFUNCTION("GOOGLETRANSLATE(B9299, ""zh"", ""en"")"),"Legs too skinny! S code 168,54 wear a little long, tight calf, see live long design")</f>
        <v>Legs too skinny! S code 168,54 wear a little long, tight calf, see live long design</v>
      </c>
    </row>
    <row r="9300">
      <c r="A9300" s="1">
        <v>4.0</v>
      </c>
      <c r="B9300" s="1" t="s">
        <v>9237</v>
      </c>
      <c r="C9300" t="str">
        <f>IFERROR(__xludf.DUMMYFUNCTION("GOOGLETRANSLATE(B9300, ""zh"", ""en"")"),"Four boxes can also be right, ball-point pen, the cap is not very easy to pull down.")</f>
        <v>Four boxes can also be right, ball-point pen, the cap is not very easy to pull down.</v>
      </c>
    </row>
    <row r="9301">
      <c r="A9301" s="1">
        <v>5.0</v>
      </c>
      <c r="B9301" s="1" t="s">
        <v>9238</v>
      </c>
      <c r="C9301" t="str">
        <f>IFERROR(__xludf.DUMMYFUNCTION("GOOGLETRANSLATE(B9301, ""zh"", ""en"")"),"Worth buying very satisfied, easy to carry, lovely cup.")</f>
        <v>Worth buying very satisfied, easy to carry, lovely cup.</v>
      </c>
    </row>
    <row r="9302">
      <c r="A9302" s="1">
        <v>5.0</v>
      </c>
      <c r="B9302" s="1" t="s">
        <v>9239</v>
      </c>
      <c r="C9302" t="str">
        <f>IFERROR(__xludf.DUMMYFUNCTION("GOOGLETRANSLATE(B9302, ""zh"", ""en"")"),"Comfortable shoes good, soft and comfortable!")</f>
        <v>Comfortable shoes good, soft and comfortable!</v>
      </c>
    </row>
    <row r="9303">
      <c r="A9303" s="1">
        <v>5.0</v>
      </c>
      <c r="B9303" s="1" t="s">
        <v>9240</v>
      </c>
      <c r="C9303" t="str">
        <f>IFERROR(__xludf.DUMMYFUNCTION("GOOGLETRANSLATE(B9303, ""zh"", ""en"")"),"Evaluation very good, that is, the baby does not like to use. Probably less than it is fate")</f>
        <v>Evaluation very good, that is, the baby does not like to use. Probably less than it is fate</v>
      </c>
    </row>
    <row r="9304">
      <c r="A9304" s="1">
        <v>5.0</v>
      </c>
      <c r="B9304" s="1" t="s">
        <v>9241</v>
      </c>
      <c r="C9304" t="str">
        <f>IFERROR(__xludf.DUMMYFUNCTION("GOOGLETRANSLATE(B9304, ""zh"", ""en"")"),"Recommended insulation, and good workmanship. To deliver meals to school children, very convenient. Highly recommended!")</f>
        <v>Recommended insulation, and good workmanship. To deliver meals to school children, very convenient. Highly recommended!</v>
      </c>
    </row>
    <row r="9305">
      <c r="A9305" s="1">
        <v>5.0</v>
      </c>
      <c r="B9305" s="1" t="s">
        <v>9242</v>
      </c>
      <c r="C9305" t="str">
        <f>IFERROR(__xludf.DUMMYFUNCTION("GOOGLETRANSLATE(B9305, ""zh"", ""en"")"),"Okay and we expected nothing special about it better")</f>
        <v>Okay and we expected nothing special about it better</v>
      </c>
    </row>
    <row r="9306">
      <c r="A9306" s="1">
        <v>5.0</v>
      </c>
      <c r="B9306" s="1" t="s">
        <v>9243</v>
      </c>
      <c r="C9306" t="str">
        <f>IFERROR(__xludf.DUMMYFUNCTION("GOOGLETRANSLATE(B9306, ""zh"", ""en"")"),"Summer will be too thick relatively thick, rigid")</f>
        <v>Summer will be too thick relatively thick, rigid</v>
      </c>
    </row>
    <row r="9307">
      <c r="A9307" s="1">
        <v>5.0</v>
      </c>
      <c r="B9307" s="1" t="s">
        <v>9244</v>
      </c>
      <c r="C9307" t="str">
        <f>IFERROR(__xludf.DUMMYFUNCTION("GOOGLETRANSLATE(B9307, ""zh"", ""en"")"),"Good material is very comfortable, size is also fit. 174cm, 74kg")</f>
        <v>Good material is very comfortable, size is also fit. 174cm, 74kg</v>
      </c>
    </row>
    <row r="9308">
      <c r="A9308" s="1">
        <v>5.0</v>
      </c>
      <c r="B9308" s="1" t="s">
        <v>9245</v>
      </c>
      <c r="C9308" t="str">
        <f>IFERROR(__xludf.DUMMYFUNCTION("GOOGLETRANSLATE(B9308, ""zh"", ""en"")"),"Clothes is very good very comfortable very good. . . Fabrics and elastic. . . Very comfortable &lt;a data-hook=""product-link-linked"" class=""a-link-normal"" href=""/dp/B071VTC9L8/ref=cm_cr_arp_d_rvw_txt?ie=UTF8""&gt; (Champion) [[ASIN: B071VTC9L8 ( champion) "&amp;"champion round neck sweater C3 &amp; nbsp; - ls050 &amp; nbsp; [men] black L &lt;/a&gt;")</f>
        <v>Clothes is very good very comfortable very good. . . Fabrics and elastic. . . Very comfortable &lt;a data-hook="product-link-linked" class="a-link-normal" href="/dp/B071VTC9L8/ref=cm_cr_arp_d_rvw_txt?ie=UTF8"&gt; (Champion) [[ASIN: B071VTC9L8 ( champion) champion round neck sweater C3 &amp; nbsp; - ls050 &amp; nbsp; [men] black L &lt;/a&gt;</v>
      </c>
    </row>
    <row r="9309">
      <c r="A9309" s="1">
        <v>5.0</v>
      </c>
      <c r="B9309" s="1" t="s">
        <v>9246</v>
      </c>
      <c r="C9309" t="str">
        <f>IFERROR(__xludf.DUMMYFUNCTION("GOOGLETRANSLATE(B9309, ""zh"", ""en"")"),"To the mother bought my mom liked things really sent over from the United States, is to force ah, very fast hardware looks really good")</f>
        <v>To the mother bought my mom liked things really sent over from the United States, is to force ah, very fast hardware looks really good</v>
      </c>
    </row>
    <row r="9310">
      <c r="A9310" s="1">
        <v>5.0</v>
      </c>
      <c r="B9310" s="1" t="s">
        <v>9247</v>
      </c>
      <c r="C9310" t="str">
        <f>IFERROR(__xludf.DUMMYFUNCTION("GOOGLETRANSLATE(B9310, ""zh"", ""en"")"),"Good quality clothes himself 1.75m, 81kg, bought 16.5 to 32-33, the normal version, not a bit bigger in size, Slim version should be more appropriate. Clothes are produced in Indonesia, good quality, relatively thin. recommend.")</f>
        <v>Good quality clothes himself 1.75m, 81kg, bought 16.5 to 32-33, the normal version, not a bit bigger in size, Slim version should be more appropriate. Clothes are produced in Indonesia, good quality, relatively thin. recommend.</v>
      </c>
    </row>
    <row r="9311">
      <c r="A9311" s="1">
        <v>5.0</v>
      </c>
      <c r="B9311" s="1" t="s">
        <v>9248</v>
      </c>
      <c r="C9311" t="str">
        <f>IFERROR(__xludf.DUMMYFUNCTION("GOOGLETRANSLATE(B9311, ""zh"", ""en"")"),"Shirt warm, really good, and bought one.")</f>
        <v>Shirt warm, really good, and bought one.</v>
      </c>
    </row>
    <row r="9312">
      <c r="A9312" s="1">
        <v>5.0</v>
      </c>
      <c r="B9312" s="1" t="s">
        <v>9249</v>
      </c>
      <c r="C9312" t="str">
        <f>IFERROR(__xludf.DUMMYFUNCTION("GOOGLETRANSLATE(B9312, ""zh"", ""en"")"),"I was Lei Feng is a bit thin, I XXXL pants just buy L 3 feet waistline, you can refer to")</f>
        <v>I was Lei Feng is a bit thin, I XXXL pants just buy L 3 feet waistline, you can refer to</v>
      </c>
    </row>
    <row r="9313">
      <c r="A9313" s="1">
        <v>5.0</v>
      </c>
      <c r="B9313" s="1" t="s">
        <v>9250</v>
      </c>
      <c r="C9313" t="str">
        <f>IFERROR(__xludf.DUMMYFUNCTION("GOOGLETRANSLATE(B9313, ""zh"", ""en"")"),"Perfect big, good insulation effect, the Japanese came super fast")</f>
        <v>Perfect big, good insulation effect, the Japanese came super fast</v>
      </c>
    </row>
    <row r="9314">
      <c r="A9314" s="1">
        <v>5.0</v>
      </c>
      <c r="B9314" s="1" t="s">
        <v>9251</v>
      </c>
      <c r="C9314" t="str">
        <f>IFERROR(__xludf.DUMMYFUNCTION("GOOGLETRANSLATE(B9314, ""zh"", ""en"")"),"s code small clothes is very good, it is to buy small. 177cm 75kg should buy m")</f>
        <v>s code small clothes is very good, it is to buy small. 177cm 75kg should buy m</v>
      </c>
    </row>
    <row r="9315">
      <c r="A9315" s="1">
        <v>5.0</v>
      </c>
      <c r="B9315" s="1" t="s">
        <v>9252</v>
      </c>
      <c r="C9315" t="str">
        <f>IFERROR(__xludf.DUMMYFUNCTION("GOOGLETRANSLATE(B9315, ""zh"", ""en"")"),"Good baby like, like always, is like.")</f>
        <v>Good baby like, like always, is like.</v>
      </c>
    </row>
    <row r="9316">
      <c r="A9316" s="1">
        <v>5.0</v>
      </c>
      <c r="B9316" s="1" t="s">
        <v>9253</v>
      </c>
      <c r="C9316" t="str">
        <f>IFERROR(__xludf.DUMMYFUNCTION("GOOGLETRANSLATE(B9316, ""zh"", ""en"")"),"Very good quality suitable for the elderly is very suitable for the elderly.")</f>
        <v>Very good quality suitable for the elderly is very suitable for the elderly.</v>
      </c>
    </row>
    <row r="9317">
      <c r="A9317" s="1">
        <v>5.0</v>
      </c>
      <c r="B9317" s="1" t="s">
        <v>9254</v>
      </c>
      <c r="C9317" t="str">
        <f>IFERROR(__xludf.DUMMYFUNCTION("GOOGLETRANSLATE(B9317, ""zh"", ""en"")"),"Well waist, posted a good package, cotton, comfortable")</f>
        <v>Well waist, posted a good package, cotton, comfortable</v>
      </c>
    </row>
    <row r="9318">
      <c r="A9318" s="1">
        <v>5.0</v>
      </c>
      <c r="B9318" s="1" t="s">
        <v>9255</v>
      </c>
      <c r="C9318" t="str">
        <f>IFERROR(__xludf.DUMMYFUNCTION("GOOGLETRANSLATE(B9318, ""zh"", ""en"")"),"Mobile hard disk test received the goods, not bad sectors, but also the transmission speed 80MB / S, with a plug on the router.")</f>
        <v>Mobile hard disk test received the goods, not bad sectors, but also the transmission speed 80MB / S, with a plug on the router.</v>
      </c>
    </row>
    <row r="9319">
      <c r="A9319" s="1">
        <v>5.0</v>
      </c>
      <c r="B9319" s="1" t="s">
        <v>9256</v>
      </c>
      <c r="C9319" t="str">
        <f>IFERROR(__xludf.DUMMYFUNCTION("GOOGLETRANSLATE(B9319, ""zh"", ""en"")"),"Silicone baby bottle is very soft. Pigeon nipple feeling than the soft, silicone bottle especially soft and very satisfied with this bottle.")</f>
        <v>Silicone baby bottle is very soft. Pigeon nipple feeling than the soft, silicone bottle especially soft and very satisfied with this bottle.</v>
      </c>
    </row>
    <row r="9320">
      <c r="A9320" s="1">
        <v>5.0</v>
      </c>
      <c r="B9320" s="1" t="s">
        <v>9257</v>
      </c>
      <c r="C9320" t="str">
        <f>IFERROR(__xludf.DUMMYFUNCTION("GOOGLETRANSLATE(B9320, ""zh"", ""en"")"),"Shopping convenient and good quality. Equivalent size domestic L code. Height 175cm Weight 75KG. L nice code")</f>
        <v>Shopping convenient and good quality. Equivalent size domestic L code. Height 175cm Weight 75KG. L nice code</v>
      </c>
    </row>
    <row r="9321">
      <c r="A9321" s="1">
        <v>5.0</v>
      </c>
      <c r="B9321" s="1" t="s">
        <v>9258</v>
      </c>
      <c r="C9321" t="str">
        <f>IFERROR(__xludf.DUMMYFUNCTION("GOOGLETRANSLATE(B9321, ""zh"", ""en"")"),"Cheap quality color is very positive in general accordance with the usual standard dress size to buy! Origin Puerto Rico")</f>
        <v>Cheap quality color is very positive in general accordance with the usual standard dress size to buy! Origin Puerto Rico</v>
      </c>
    </row>
    <row r="9322">
      <c r="A9322" s="1">
        <v>5.0</v>
      </c>
      <c r="B9322" s="1" t="s">
        <v>9259</v>
      </c>
      <c r="C9322" t="str">
        <f>IFERROR(__xludf.DUMMYFUNCTION("GOOGLETRANSLATE(B9322, ""zh"", ""en"")"),"Good and comfortable to wear off, I feel good to wear off.")</f>
        <v>Good and comfortable to wear off, I feel good to wear off.</v>
      </c>
    </row>
    <row r="9323">
      <c r="A9323" s="1">
        <v>2.0</v>
      </c>
      <c r="B9323" s="1" t="s">
        <v>9260</v>
      </c>
      <c r="C9323" t="str">
        <f>IFERROR(__xludf.DUMMYFUNCTION("GOOGLETRANSLATE(B9323, ""zh"", ""en"")"),"It is also generally very thin Ruannuo other is pilling serious")</f>
        <v>It is also generally very thin Ruannuo other is pilling serious</v>
      </c>
    </row>
    <row r="9324">
      <c r="A9324" s="1">
        <v>3.0</v>
      </c>
      <c r="B9324" s="1" t="s">
        <v>9261</v>
      </c>
      <c r="C9324" t="str">
        <f>IFERROR(__xludf.DUMMYFUNCTION("GOOGLETRANSLATE(B9324, ""zh"", ""en"")"),"Do not recommend buying a lot of lint, not embroidered logo looked like fakes.")</f>
        <v>Do not recommend buying a lot of lint, not embroidered logo looked like fakes.</v>
      </c>
    </row>
    <row r="9325">
      <c r="A9325" s="1">
        <v>3.0</v>
      </c>
      <c r="B9325" s="1" t="s">
        <v>9262</v>
      </c>
      <c r="C9325" t="str">
        <f>IFERROR(__xludf.DUMMYFUNCTION("GOOGLETRANSLATE(B9325, ""zh"", ""en"")"),"A little old-fashioned style, quality is not ye a little old-fashioned style, quality is not ye")</f>
        <v>A little old-fashioned style, quality is not ye a little old-fashioned style, quality is not ye</v>
      </c>
    </row>
    <row r="9326">
      <c r="A9326" s="1">
        <v>1.0</v>
      </c>
      <c r="B9326" s="1" t="s">
        <v>9263</v>
      </c>
      <c r="C9326" t="str">
        <f>IFERROR(__xludf.DUMMYFUNCTION("GOOGLETRANSLATE(B9326, ""zh"", ""en"")"),"Cortex cortex long been broken long been ruined. . .")</f>
        <v>Cortex cortex long been broken long been ruined. . .</v>
      </c>
    </row>
    <row r="9327">
      <c r="A9327" s="1">
        <v>1.0</v>
      </c>
      <c r="B9327" s="1" t="s">
        <v>9264</v>
      </c>
      <c r="C9327" t="str">
        <f>IFERROR(__xludf.DUMMYFUNCTION("GOOGLETRANSLATE(B9327, ""zh"", ""en"")"),"Taste particularly great taste particularly large, simply can not use, complete with water hot taste is particularly large, it is certainly false")</f>
        <v>Taste particularly great taste particularly large, simply can not use, complete with water hot taste is particularly large, it is certainly false</v>
      </c>
    </row>
    <row r="9328">
      <c r="A9328" s="1">
        <v>4.0</v>
      </c>
      <c r="B9328" s="1" t="s">
        <v>9265</v>
      </c>
      <c r="C9328" t="str">
        <f>IFERROR(__xludf.DUMMYFUNCTION("GOOGLETRANSLATE(B9328, ""zh"", ""en"")"),"First of all law-abiding, good quality, worthy of the brand. Second, receiving these days the average temperature of -15 degrees Celsius, resulting in ink sac ink leakage, but fortunately not serious can use. Third, some pen astringent, not the expected s"&amp;"mooth, but I do not exclude, and write English more comfortable than Chinese. Fourth, f crude not sharp.")</f>
        <v>First of all law-abiding, good quality, worthy of the brand. Second, receiving these days the average temperature of -15 degrees Celsius, resulting in ink sac ink leakage, but fortunately not serious can use. Third, some pen astringent, not the expected smooth, but I do not exclude, and write English more comfortable than Chinese. Fourth, f crude not sharp.</v>
      </c>
    </row>
    <row r="9329">
      <c r="A9329" s="1">
        <v>4.0</v>
      </c>
      <c r="B9329" s="1" t="s">
        <v>9266</v>
      </c>
      <c r="C9329" t="str">
        <f>IFERROR(__xludf.DUMMYFUNCTION("GOOGLETRANSLATE(B9329, ""zh"", ""en"")"),"Large elastic thick, elastic, fabric soft, but larger than the size of the table ah, according to the table are not allowed to buy")</f>
        <v>Large elastic thick, elastic, fabric soft, but larger than the size of the table ah, according to the table are not allowed to buy</v>
      </c>
    </row>
    <row r="9330">
      <c r="A9330" s="1">
        <v>4.0</v>
      </c>
      <c r="B9330" s="1" t="s">
        <v>9267</v>
      </c>
      <c r="C9330" t="str">
        <f>IFERROR(__xludf.DUMMYFUNCTION("GOOGLETRANSLATE(B9330, ""zh"", ""en"")"),"Overall, still very worthwhile to start to buy her mother, very beautiful, very good cortex, as great texture, and pictures presented, that is a little bit big, is a hard bottom")</f>
        <v>Overall, still very worthwhile to start to buy her mother, very beautiful, very good cortex, as great texture, and pictures presented, that is a little bit big, is a hard bottom</v>
      </c>
    </row>
    <row r="9331">
      <c r="A9331" s="1">
        <v>4.0</v>
      </c>
      <c r="B9331" s="1" t="s">
        <v>9268</v>
      </c>
      <c r="C9331" t="str">
        <f>IFERROR(__xludf.DUMMYFUNCTION("GOOGLETRANSLATE(B9331, ""zh"", ""en"")"),"Overall good or normal wear AD41.5 42. This 7.5UK buy a little big, 7 should be the most appropriate. Style look good, but there is a place to be ground a bit, return troublesome, will wear")</f>
        <v>Overall good or normal wear AD41.5 42. This 7.5UK buy a little big, 7 should be the most appropriate. Style look good, but there is a place to be ground a bit, return troublesome, will wear</v>
      </c>
    </row>
    <row r="9332">
      <c r="A9332" s="1">
        <v>4.0</v>
      </c>
      <c r="B9332" s="1" t="s">
        <v>9269</v>
      </c>
      <c r="C9332" t="str">
        <f>IFERROR(__xludf.DUMMYFUNCTION("GOOGLETRANSLATE(B9332, ""zh"", ""en"")"),"Okay. . Clothes feeling good material, but easily in the wash, but also easy to fold. .")</f>
        <v>Okay. . Clothes feeling good material, but easily in the wash, but also easy to fold. .</v>
      </c>
    </row>
    <row r="9333">
      <c r="A9333" s="1">
        <v>5.0</v>
      </c>
      <c r="B9333" s="1" t="s">
        <v>9270</v>
      </c>
      <c r="C9333" t="str">
        <f>IFERROR(__xludf.DUMMYFUNCTION("GOOGLETRANSLATE(B9333, ""zh"", ""en"")"),"Overseas good shopping! Logistics fast, very fine particles is also very fragrant, than domestic goods is better (I do not know whether it is domestic goods).")</f>
        <v>Overseas good shopping! Logistics fast, very fine particles is also very fragrant, than domestic goods is better (I do not know whether it is domestic goods).</v>
      </c>
    </row>
    <row r="9334">
      <c r="A9334" s="1">
        <v>5.0</v>
      </c>
      <c r="B9334" s="1" t="s">
        <v>9271</v>
      </c>
      <c r="C9334" t="str">
        <f>IFERROR(__xludf.DUMMYFUNCTION("GOOGLETRANSLATE(B9334, ""zh"", ""en"")"),"Worth starting good, praise, either plug the data line when wired headset, you can also open when Bluetooth wireless, easily switch, NFC fast connection, the sound quality is also good, it is worth starting")</f>
        <v>Worth starting good, praise, either plug the data line when wired headset, you can also open when Bluetooth wireless, easily switch, NFC fast connection, the sound quality is also good, it is worth starting</v>
      </c>
    </row>
    <row r="9335">
      <c r="A9335" s="1">
        <v>5.0</v>
      </c>
      <c r="B9335" s="1" t="s">
        <v>9272</v>
      </c>
      <c r="C9335" t="str">
        <f>IFERROR(__xludf.DUMMYFUNCTION("GOOGLETRANSLATE(B9335, ""zh"", ""en"")"),"Value for money for the first time to enjoy a professional recording music headphones, resolving power is very strong, feeling fully reflect the quality of the recording of the sound source. Line D100 listen to DSD, touched! ! !")</f>
        <v>Value for money for the first time to enjoy a professional recording music headphones, resolving power is very strong, feeling fully reflect the quality of the recording of the sound source. Line D100 listen to DSD, touched! ! !</v>
      </c>
    </row>
    <row r="9336">
      <c r="A9336" s="1">
        <v>5.0</v>
      </c>
      <c r="B9336" s="1" t="s">
        <v>9273</v>
      </c>
      <c r="C9336" t="str">
        <f>IFERROR(__xludf.DUMMYFUNCTION("GOOGLETRANSLATE(B9336, ""zh"", ""en"")"),"Vely nice pen too much better than the old, the new pen. F sharp fine a lot than the old, but also very smooth. The only downside is that the color is a fingerprint collector, you can add money to buy frosted versions. In short worth buying.")</f>
        <v>Vely nice pen too much better than the old, the new pen. F sharp fine a lot than the old, but also very smooth. The only downside is that the color is a fingerprint collector, you can add money to buy frosted versions. In short worth buying.</v>
      </c>
    </row>
    <row r="9337">
      <c r="A9337" s="1">
        <v>5.0</v>
      </c>
      <c r="B9337" s="1" t="s">
        <v>9274</v>
      </c>
      <c r="C9337" t="str">
        <f>IFERROR(__xludf.DUMMYFUNCTION("GOOGLETRANSLATE(B9337, ""zh"", ""en"")"),"Purchased been in use, good to ask his son. But he is very fond of")</f>
        <v>Purchased been in use, good to ask his son. But he is very fond of</v>
      </c>
    </row>
    <row r="9338">
      <c r="A9338" s="1">
        <v>5.0</v>
      </c>
      <c r="B9338" s="1" t="s">
        <v>9275</v>
      </c>
      <c r="C9338" t="str">
        <f>IFERROR(__xludf.DUMMYFUNCTION("GOOGLETRANSLATE(B9338, ""zh"", ""en"")"),"Only small satisfaction soft leather, superior quality, overseas purchase an unexpected surprise. just. . . A little cheaper just fine!")</f>
        <v>Only small satisfaction soft leather, superior quality, overseas purchase an unexpected surprise. just. . . A little cheaper just fine!</v>
      </c>
    </row>
    <row r="9339">
      <c r="A9339" s="1">
        <v>5.0</v>
      </c>
      <c r="B9339" s="1" t="s">
        <v>9276</v>
      </c>
      <c r="C9339" t="str">
        <f>IFERROR(__xludf.DUMMYFUNCTION("GOOGLETRANSLATE(B9339, ""zh"", ""en"")"),"To what title is spit bad to say about the comrades of the pit too thin friends, 156-54kg, wear taut ah")</f>
        <v>To what title is spit bad to say about the comrades of the pit too thin friends, 156-54kg, wear taut ah</v>
      </c>
    </row>
    <row r="9340">
      <c r="A9340" s="1">
        <v>5.0</v>
      </c>
      <c r="B9340" s="1" t="s">
        <v>9277</v>
      </c>
      <c r="C9340" t="str">
        <f>IFERROR(__xludf.DUMMYFUNCTION("GOOGLETRANSLATE(B9340, ""zh"", ""en"")"),"A reassuring choice. Well, indeed genuine new Amazon shopping ease.")</f>
        <v>A reassuring choice. Well, indeed genuine new Amazon shopping ease.</v>
      </c>
    </row>
    <row r="9341">
      <c r="A9341" s="1">
        <v>5.0</v>
      </c>
      <c r="B9341" s="1" t="s">
        <v>9278</v>
      </c>
      <c r="C9341" t="str">
        <f>IFERROR(__xludf.DUMMYFUNCTION("GOOGLETRANSLATE(B9341, ""zh"", ""en"")"),"33 belts belt 36 the price of this quality is good, and I usually 33 belts, belt 36 just fine")</f>
        <v>33 belts belt 36 the price of this quality is good, and I usually 33 belts, belt 36 just fine</v>
      </c>
    </row>
    <row r="9342">
      <c r="A9342" s="1">
        <v>5.0</v>
      </c>
      <c r="B9342" s="1" t="s">
        <v>9279</v>
      </c>
      <c r="C9342" t="str">
        <f>IFERROR(__xludf.DUMMYFUNCTION("GOOGLETRANSLATE(B9342, ""zh"", ""en"")"),"Nice vest vest beautiful, comfortable, really cheap")</f>
        <v>Nice vest vest beautiful, comfortable, really cheap</v>
      </c>
    </row>
    <row r="9343">
      <c r="A9343" s="1">
        <v>5.0</v>
      </c>
      <c r="B9343" s="1" t="s">
        <v>9280</v>
      </c>
      <c r="C9343" t="str">
        <f>IFERROR(__xludf.DUMMYFUNCTION("GOOGLETRANSLATE(B9343, ""zh"", ""en"")"),"Like the quality of clearance, very well")</f>
        <v>Like the quality of clearance, very well</v>
      </c>
    </row>
    <row r="9344">
      <c r="A9344" s="1">
        <v>5.0</v>
      </c>
      <c r="B9344" s="1" t="s">
        <v>9281</v>
      </c>
      <c r="C9344" t="str">
        <f>IFERROR(__xludf.DUMMYFUNCTION("GOOGLETRANSLATE(B9344, ""zh"", ""en"")"),"Cheap. More expensive than other brands, a fine powder, and dried. Recommended to buy other flavors, including this tastes too sweet.")</f>
        <v>Cheap. More expensive than other brands, a fine powder, and dried. Recommended to buy other flavors, including this tastes too sweet.</v>
      </c>
    </row>
    <row r="9345">
      <c r="A9345" s="1">
        <v>5.0</v>
      </c>
      <c r="B9345" s="1" t="s">
        <v>9282</v>
      </c>
      <c r="C9345" t="str">
        <f>IFERROR(__xludf.DUMMYFUNCTION("GOOGLETRANSLATE(B9345, ""zh"", ""en"")"),"Heat, not suitable for the summer, but really classic, instantly lengthen the back, which was hot foot fat, not suitable for the summer, but really classic, instantly lengthen the back, which was fat feet")</f>
        <v>Heat, not suitable for the summer, but really classic, instantly lengthen the back, which was hot foot fat, not suitable for the summer, but really classic, instantly lengthen the back, which was fat feet</v>
      </c>
    </row>
    <row r="9346">
      <c r="A9346" s="1">
        <v>5.0</v>
      </c>
      <c r="B9346" s="1" t="s">
        <v>9283</v>
      </c>
      <c r="C9346" t="str">
        <f>IFERROR(__xludf.DUMMYFUNCTION("GOOGLETRANSLATE(B9346, ""zh"", ""en"")"),". Shoes look great, it is genuine, very comfortable to wear.")</f>
        <v>. Shoes look great, it is genuine, very comfortable to wear.</v>
      </c>
    </row>
    <row r="9347">
      <c r="A9347" s="1">
        <v>5.0</v>
      </c>
      <c r="B9347" s="1" t="s">
        <v>9284</v>
      </c>
      <c r="C9347" t="str">
        <f>IFERROR(__xludf.DUMMYFUNCTION("GOOGLETRANSLATE(B9347, ""zh"", ""en"")"),"Store goods not used to protect the integrity of stockpile")</f>
        <v>Store goods not used to protect the integrity of stockpile</v>
      </c>
    </row>
    <row r="9348">
      <c r="A9348" s="1">
        <v>5.0</v>
      </c>
      <c r="B9348" s="1" t="s">
        <v>9285</v>
      </c>
      <c r="C9348" t="str">
        <f>IFERROR(__xludf.DUMMYFUNCTION("GOOGLETRANSLATE(B9348, ""zh"", ""en"")"),"Good, relatively high cost. Very thin material, relatively high cost. Relatively thin material")</f>
        <v>Good, relatively high cost. Very thin material, relatively high cost. Relatively thin material</v>
      </c>
    </row>
    <row r="9349">
      <c r="A9349" s="1">
        <v>5.0</v>
      </c>
      <c r="B9349" s="1" t="s">
        <v>9286</v>
      </c>
      <c r="C9349" t="str">
        <f>IFERROR(__xludf.DUMMYFUNCTION("GOOGLETRANSLATE(B9349, ""zh"", ""en"")"),"The main blades are easy to buy, see the turret containing the price is very cheap to buy. Turret than before I bought a little better, do not know Gillette fusion of various turret, as the interface on the line. Blades are made up good, cheap, store a fe"&amp;"w years the amount of")</f>
        <v>The main blades are easy to buy, see the turret containing the price is very cheap to buy. Turret than before I bought a little better, do not know Gillette fusion of various turret, as the interface on the line. Blades are made up good, cheap, store a few years the amount of</v>
      </c>
    </row>
    <row r="9350">
      <c r="A9350" s="1">
        <v>5.0</v>
      </c>
      <c r="B9350" s="1" t="s">
        <v>9287</v>
      </c>
      <c r="C9350" t="str">
        <f>IFERROR(__xludf.DUMMYFUNCTION("GOOGLETRANSLATE(B9350, ""zh"", ""en"")"),"Good, not from the previous evaluation, I do not know how many wasted points, points can change money now know, they should look carefully evaluated, then I put these words to copy to go, both to earn points, but also save trouble, went to which copy wher"&amp;"e, most importantly, do not seriously review, do not think how much worse word, sent directly to it, recommend it to everyone! ! This review helpful to you?")</f>
        <v>Good, not from the previous evaluation, I do not know how many wasted points, points can change money now know, they should look carefully evaluated, then I put these words to copy to go, both to earn points, but also save trouble, went to which copy where, most importantly, do not seriously review, do not think how much worse word, sent directly to it, recommend it to everyone! ! This review helpful to you?</v>
      </c>
    </row>
    <row r="9351">
      <c r="A9351" s="1">
        <v>5.0</v>
      </c>
      <c r="B9351" s="1" t="s">
        <v>9288</v>
      </c>
      <c r="C9351" t="str">
        <f>IFERROR(__xludf.DUMMYFUNCTION("GOOGLETRANSLATE(B9351, ""zh"", ""en"")"),"The disadvantage is insulated hot milk strenuous ah hot milk too strenuous!")</f>
        <v>The disadvantage is insulated hot milk strenuous ah hot milk too strenuous!</v>
      </c>
    </row>
    <row r="9352">
      <c r="A9352" s="1">
        <v>5.0</v>
      </c>
      <c r="B9352" s="1" t="s">
        <v>9289</v>
      </c>
      <c r="C9352" t="str">
        <f>IFERROR(__xludf.DUMMYFUNCTION("GOOGLETRANSLATE(B9352, ""zh"", ""en"")"),"Clothes a little big to buy a small yards, but got a hand on the label is written in 180, in the country is big yards, to wear waist belly piece can, the sleeves a bit like dancing as rolled up before they can touch material a lower contrast, with the cou"&amp;"nter to buy the line is slightly different, but also very comfortable, two-dimensional code label display are genuine. Also black is buying is really favorable Oh.")</f>
        <v>Clothes a little big to buy a small yards, but got a hand on the label is written in 180, in the country is big yards, to wear waist belly piece can, the sleeves a bit like dancing as rolled up before they can touch material a lower contrast, with the counter to buy the line is slightly different, but also very comfortable, two-dimensional code label display are genuine. Also black is buying is really favorable Oh.</v>
      </c>
    </row>
    <row r="9353">
      <c r="A9353" s="1">
        <v>5.0</v>
      </c>
      <c r="B9353" s="1" t="s">
        <v>9290</v>
      </c>
      <c r="C9353" t="str">
        <f>IFERROR(__xludf.DUMMYFUNCTION("GOOGLETRANSLATE(B9353, ""zh"", ""en"")"),"Something good will repurchase. Tasty, kids love to eat, there are effects, the child defecation.")</f>
        <v>Something good will repurchase. Tasty, kids love to eat, there are effects, the child defecation.</v>
      </c>
    </row>
    <row r="9354">
      <c r="A9354" s="1">
        <v>5.0</v>
      </c>
      <c r="B9354" s="1" t="s">
        <v>9291</v>
      </c>
      <c r="C9354" t="str">
        <f>IFERROR(__xludf.DUMMYFUNCTION("GOOGLETRANSLATE(B9354, ""zh"", ""en"")"),"Individually packaged individually packaged clean and sanitary clean and sanitary but also when the size of the country to buy the children's version is always great, this compact")</f>
        <v>Individually packaged individually packaged clean and sanitary clean and sanitary but also when the size of the country to buy the children's version is always great, this compact</v>
      </c>
    </row>
    <row r="9355">
      <c r="A9355" s="1">
        <v>2.0</v>
      </c>
      <c r="B9355" s="1" t="s">
        <v>9292</v>
      </c>
      <c r="C9355" t="str">
        <f>IFERROR(__xludf.DUMMYFUNCTION("GOOGLETRANSLATE(B9355, ""zh"", ""en"")"),"No Chinese manual machine chef tried it do not feel where the good, I knew to buy domestically produced, the most depressing is the price a few days of receipt of goods more than 400, contact customer service said no price protection, nothing with , sugge"&amp;"st that you buy things to observe in the Amazon to buy, the price can vary greatly, this really affect the mood")</f>
        <v>No Chinese manual machine chef tried it do not feel where the good, I knew to buy domestically produced, the most depressing is the price a few days of receipt of goods more than 400, contact customer service said no price protection, nothing with , suggest that you buy things to observe in the Amazon to buy, the price can vary greatly, this really affect the mood</v>
      </c>
    </row>
    <row r="9356">
      <c r="A9356" s="1">
        <v>3.0</v>
      </c>
      <c r="B9356" s="1" t="s">
        <v>9293</v>
      </c>
      <c r="C9356" t="str">
        <f>IFERROR(__xludf.DUMMYFUNCTION("GOOGLETRANSLATE(B9356, ""zh"", ""en"")"),"Ear pain pressure. Ear pain pressure. Wearing comfort far less than hd598.")</f>
        <v>Ear pain pressure. Ear pain pressure. Wearing comfort far less than hd598.</v>
      </c>
    </row>
    <row r="9357">
      <c r="A9357" s="1">
        <v>3.0</v>
      </c>
      <c r="B9357" s="1" t="s">
        <v>9294</v>
      </c>
      <c r="C9357" t="str">
        <f>IFERROR(__xludf.DUMMYFUNCTION("GOOGLETRANSLATE(B9357, ""zh"", ""en"")"),"Did not look comfortable wearing did not look comfortable")</f>
        <v>Did not look comfortable wearing did not look comfortable</v>
      </c>
    </row>
    <row r="9358">
      <c r="A9358" s="1">
        <v>1.0</v>
      </c>
      <c r="B9358" s="1" t="s">
        <v>9295</v>
      </c>
      <c r="C9358" t="str">
        <f>IFERROR(__xludf.DUMMYFUNCTION("GOOGLETRANSLATE(B9358, ""zh"", ""en"")"),"ems pit father ah buy e300, arrival time has been unpacking the ems outside the box is a dry hole, no hand shower screen, Hansgrohe customer service that will not be so normal, it may be very old stock products, engineering samples suspected something lik"&amp;"e, want a replacement")</f>
        <v>ems pit father ah buy e300, arrival time has been unpacking the ems outside the box is a dry hole, no hand shower screen, Hansgrohe customer service that will not be so normal, it may be very old stock products, engineering samples suspected something like, want a replacement</v>
      </c>
    </row>
    <row r="9359">
      <c r="A9359" s="1">
        <v>1.0</v>
      </c>
      <c r="B9359" s="1" t="s">
        <v>9296</v>
      </c>
      <c r="C9359" t="str">
        <f>IFERROR(__xludf.DUMMYFUNCTION("GOOGLETRANSLATE(B9359, ""zh"", ""en"")"),"Not satisfied with the clothes is very general, very long!")</f>
        <v>Not satisfied with the clothes is very general, very long!</v>
      </c>
    </row>
    <row r="9360">
      <c r="A9360" s="1">
        <v>1.0</v>
      </c>
      <c r="B9360" s="1" t="s">
        <v>9297</v>
      </c>
      <c r="C9360" t="str">
        <f>IFERROR(__xludf.DUMMYFUNCTION("GOOGLETRANSLATE(B9360, ""zh"", ""en"")"),"I do not know know is not genuine bottle this bottle I bought only to find later than Amazon's third-party sales are direct sales do not know is not genuine, we feel that the")</f>
        <v>I do not know know is not genuine bottle this bottle I bought only to find later than Amazon's third-party sales are direct sales do not know is not genuine, we feel that the</v>
      </c>
    </row>
    <row r="9361">
      <c r="A9361" s="1">
        <v>4.0</v>
      </c>
      <c r="B9361" s="1" t="s">
        <v>9298</v>
      </c>
      <c r="C9361" t="str">
        <f>IFERROR(__xludf.DUMMYFUNCTION("GOOGLETRANSLATE(B9361, ""zh"", ""en"")"),"Material not very good! The material is very stiff, more appropriate or jeans, the pockets are shallow!")</f>
        <v>Material not very good! The material is very stiff, more appropriate or jeans, the pockets are shallow!</v>
      </c>
    </row>
    <row r="9362">
      <c r="A9362" s="1">
        <v>4.0</v>
      </c>
      <c r="B9362" s="1" t="s">
        <v>9299</v>
      </c>
      <c r="C9362" t="str">
        <f>IFERROR(__xludf.DUMMYFUNCTION("GOOGLETRANSLATE(B9362, ""zh"", ""en"")"),"Goods very good, not to force hardware, software impress, very good, the setting is also very simple. But Western Digital software update is too slow, after updating the latest firmware, software on the computer can not connect remotely, really terrible a"&amp;"h!")</f>
        <v>Goods very good, not to force hardware, software impress, very good, the setting is also very simple. But Western Digital software update is too slow, after updating the latest firmware, software on the computer can not connect remotely, really terrible ah!</v>
      </c>
    </row>
    <row r="9363">
      <c r="A9363" s="1">
        <v>4.0</v>
      </c>
      <c r="B9363" s="1" t="s">
        <v>9300</v>
      </c>
      <c r="C9363" t="str">
        <f>IFERROR(__xludf.DUMMYFUNCTION("GOOGLETRANSLATE(B9363, ""zh"", ""en"")"),"Do not buy a home water pressure is too low home water pressure considered normal, did not feel fully play features shower, so do not buy a home water pressure is too low after nearly half a year to buy a shower with a core cut off contact after-sales for"&amp;" a hard to find a phone sale according to the product page of the last phone call to another phone and another phone gave another phone added a phone number and then let the process qq only played once forgot qq number is 2748305165")</f>
        <v>Do not buy a home water pressure is too low home water pressure considered normal, did not feel fully play features shower, so do not buy a home water pressure is too low after nearly half a year to buy a shower with a core cut off contact after-sales for a hard to find a phone sale according to the product page of the last phone call to another phone and another phone gave another phone added a phone number and then let the process qq only played once forgot qq number is 2748305165</v>
      </c>
    </row>
    <row r="9364">
      <c r="A9364" s="1">
        <v>4.0</v>
      </c>
      <c r="B9364" s="1" t="s">
        <v>9301</v>
      </c>
      <c r="C9364" t="str">
        <f>IFERROR(__xludf.DUMMYFUNCTION("GOOGLETRANSLATE(B9364, ""zh"", ""en"")"),"Damaged packaging have not used, no other packaging, boxes severely damaged, but fortunately does not affect use.")</f>
        <v>Damaged packaging have not used, no other packaging, boxes severely damaged, but fortunately does not affect use.</v>
      </c>
    </row>
    <row r="9365">
      <c r="A9365" s="1">
        <v>4.0</v>
      </c>
      <c r="B9365" s="1" t="s">
        <v>9302</v>
      </c>
      <c r="C9365" t="str">
        <f>IFERROR(__xludf.DUMMYFUNCTION("GOOGLETRANSLATE(B9365, ""zh"", ""en"")"),"Shoelace parts of card feet, still wearing half foot size card no problem, right size, is the site of shoelaces card foot, foot wear for six months or card,")</f>
        <v>Shoelace parts of card feet, still wearing half foot size card no problem, right size, is the site of shoelaces card foot, foot wear for six months or card,</v>
      </c>
    </row>
    <row r="9366">
      <c r="A9366" s="1">
        <v>5.0</v>
      </c>
      <c r="B9366" s="1" t="s">
        <v>9303</v>
      </c>
      <c r="C9366" t="str">
        <f>IFERROR(__xludf.DUMMYFUNCTION("GOOGLETRANSLATE(B9366, ""zh"", ""en"")"),"Japanese version of Messenger packet packet champion no doubt genuine, the Japanese version of styles there are not any. The size of the bag just right, put a wallet, cell phone, daily small parts no pressure.")</f>
        <v>Japanese version of Messenger packet packet champion no doubt genuine, the Japanese version of styles there are not any. The size of the bag just right, put a wallet, cell phone, daily small parts no pressure.</v>
      </c>
    </row>
    <row r="9367">
      <c r="A9367" s="1">
        <v>5.0</v>
      </c>
      <c r="B9367" s="1" t="s">
        <v>9304</v>
      </c>
      <c r="C9367" t="str">
        <f>IFERROR(__xludf.DUMMYFUNCTION("GOOGLETRANSLATE(B9367, ""zh"", ""en"")"),"170-150 pounds, L code a little tight well, not from the previous evaluation, I do not know how many points wasted, now know that integration can change money necessary to properly evaluate, and then I put these words to copy away, both earn points, but a"&amp;"lso the easy way, where are copying where, most importantly, do not seriously review, do not think how much worse word, sent directly to it, recommend it to everyone! !")</f>
        <v>170-150 pounds, L code a little tight well, not from the previous evaluation, I do not know how many points wasted, now know that integration can change money necessary to properly evaluate, and then I put these words to copy away, both earn points, but also the easy way, where are copying where, most importantly, do not seriously review, do not think how much worse word, sent directly to it, recommend it to everyone! !</v>
      </c>
    </row>
    <row r="9368">
      <c r="A9368" s="1">
        <v>5.0</v>
      </c>
      <c r="B9368" s="1" t="s">
        <v>9305</v>
      </c>
      <c r="C9368" t="str">
        <f>IFERROR(__xludf.DUMMYFUNCTION("GOOGLETRANSLATE(B9368, ""zh"", ""en"")"),"Cool comfortable to wear, buy a shoe a little big, but wear off very smooth, did not feel the pressure of feet, thick soles. Really show great wear in the feet.")</f>
        <v>Cool comfortable to wear, buy a shoe a little big, but wear off very smooth, did not feel the pressure of feet, thick soles. Really show great wear in the feet.</v>
      </c>
    </row>
    <row r="9369">
      <c r="A9369" s="1">
        <v>5.0</v>
      </c>
      <c r="B9369" s="1" t="s">
        <v>9306</v>
      </c>
      <c r="C9369" t="str">
        <f>IFERROR(__xludf.DUMMYFUNCTION("GOOGLETRANSLATE(B9369, ""zh"", ""en"")"),"Can not close his hand ...... 1.16 under No. single, 17 orders approved, then 22, received the goods (the middle there is a weekend), I just want to say the logistics fast 6666 2. thick, materials is enough, the girls will take an estimated one hand very "&amp;"heavy for me and other men is not a problem; 3. do not know the logistics or individual, found the edge to get the pot a little scratch, but fortunately not in the middle or bottom of the pot is definitely good pot ! Prime buying, saving more than 250 + s"&amp;"hipping (shipping is actually the same pot and the price) ......")</f>
        <v>Can not close his hand ...... 1.16 under No. single, 17 orders approved, then 22, received the goods (the middle there is a weekend), I just want to say the logistics fast 6666 2. thick, materials is enough, the girls will take an estimated one hand very heavy for me and other men is not a problem; 3. do not know the logistics or individual, found the edge to get the pot a little scratch, but fortunately not in the middle or bottom of the pot is definitely good pot ! Prime buying, saving more than 250 + shipping (shipping is actually the same pot and the price) ......</v>
      </c>
    </row>
    <row r="9370">
      <c r="A9370" s="1">
        <v>5.0</v>
      </c>
      <c r="B9370" s="1" t="s">
        <v>9307</v>
      </c>
      <c r="C9370" t="str">
        <f>IFERROR(__xludf.DUMMYFUNCTION("GOOGLETRANSLATE(B9370, ""zh"", ""en"")"),"bought! 265 domestic price is really too hurt the heart of the heavenly people, the price a buy two, happy burst, good quality! ! I am feeling a big, now bigger than the baby head, ha ha ha, feel good pinch of silica gel is ~")</f>
        <v>bought! 265 domestic price is really too hurt the heart of the heavenly people, the price a buy two, happy burst, good quality! ! I am feeling a big, now bigger than the baby head, ha ha ha, feel good pinch of silica gel is ~</v>
      </c>
    </row>
    <row r="9371">
      <c r="A9371" s="1">
        <v>5.0</v>
      </c>
      <c r="B9371" s="1" t="s">
        <v>9308</v>
      </c>
      <c r="C9371" t="str">
        <f>IFERROR(__xludf.DUMMYFUNCTION("GOOGLETRANSLATE(B9371, ""zh"", ""en"")"),"👌 good logistics soon! Like the color of his clothes")</f>
        <v>👌 good logistics soon! Like the color of his clothes</v>
      </c>
    </row>
    <row r="9372">
      <c r="A9372" s="1">
        <v>5.0</v>
      </c>
      <c r="B9372" s="1" t="s">
        <v>9309</v>
      </c>
      <c r="C9372" t="str">
        <f>IFERROR(__xludf.DUMMYFUNCTION("GOOGLETRANSLATE(B9372, ""zh"", ""en"")"),"Good quality! Relatively thick, suitable for winter wear, I 170CM 65kg wear s yards just the right size for reference purposes only!")</f>
        <v>Good quality! Relatively thick, suitable for winter wear, I 170CM 65kg wear s yards just the right size for reference purposes only!</v>
      </c>
    </row>
    <row r="9373">
      <c r="A9373" s="1">
        <v>5.0</v>
      </c>
      <c r="B9373" s="1" t="s">
        <v>9310</v>
      </c>
      <c r="C9373" t="str">
        <f>IFERROR(__xludf.DUMMYFUNCTION("GOOGLETRANSLATE(B9373, ""zh"", ""en"")"),"China yardage 39 yards this tangled knot of this wear 7 yards for a long time, read a bit, and finally I was 39 feet to buy 7 yards, female gender, has been very disturbed not afraid to wear, the results of seven yards just to wear 39")</f>
        <v>China yardage 39 yards this tangled knot of this wear 7 yards for a long time, read a bit, and finally I was 39 feet to buy 7 yards, female gender, has been very disturbed not afraid to wear, the results of seven yards just to wear 39</v>
      </c>
    </row>
    <row r="9374">
      <c r="A9374" s="1">
        <v>5.0</v>
      </c>
      <c r="B9374" s="1" t="s">
        <v>9311</v>
      </c>
      <c r="C9374" t="str">
        <f>IFERROR(__xludf.DUMMYFUNCTION("GOOGLETRANSLATE(B9374, ""zh"", ""en"")"),"Quality good quality is very good, the price is right, buy a little longer but unfortunately a little. You can not lose weight")</f>
        <v>Quality good quality is very good, the price is right, buy a little longer but unfortunately a little. You can not lose weight</v>
      </c>
    </row>
    <row r="9375">
      <c r="A9375" s="1">
        <v>5.0</v>
      </c>
      <c r="B9375" s="1" t="s">
        <v>9312</v>
      </c>
      <c r="C9375" t="str">
        <f>IFERROR(__xludf.DUMMYFUNCTION("GOOGLETRANSLATE(B9375, ""zh"", ""en"")"),"Perfectly good, fast, perfectly received.")</f>
        <v>Perfectly good, fast, perfectly received.</v>
      </c>
    </row>
    <row r="9376">
      <c r="A9376" s="1">
        <v>5.0</v>
      </c>
      <c r="B9376" s="1" t="s">
        <v>9313</v>
      </c>
      <c r="C9376" t="str">
        <f>IFERROR(__xludf.DUMMYFUNCTION("GOOGLETRANSLATE(B9376, ""zh"", ""en"")"),"177,63kg, finally chose the S ~ it is recommended M, but more for a long time still feel S on it. UPJ compared Jiaoyou Uniqlo of that series, the same clothes long sleeves should be longer, but also wide. But the boys ah unless it is extremely thin girls "&amp;"boys can learn oversize, or otherwise choose a small code it look good, code number is too easy to feel like the Michelin too!")</f>
        <v>177,63kg, finally chose the S ~ it is recommended M, but more for a long time still feel S on it. UPJ compared Jiaoyou Uniqlo of that series, the same clothes long sleeves should be longer, but also wide. But the boys ah unless it is extremely thin girls boys can learn oversize, or otherwise choose a small code it look good, code number is too easy to feel like the Michelin too!</v>
      </c>
    </row>
    <row r="9377">
      <c r="A9377" s="1">
        <v>5.0</v>
      </c>
      <c r="B9377" s="1" t="s">
        <v>9314</v>
      </c>
      <c r="C9377" t="str">
        <f>IFERROR(__xludf.DUMMYFUNCTION("GOOGLETRANSLATE(B9377, ""zh"", ""en"")"),"Recommendation to buy, praise the noise a little big, but also as they say every few seconds there is a rattle, but overall deceleration helium disk is really high cost.")</f>
        <v>Recommendation to buy, praise the noise a little big, but also as they say every few seconds there is a rattle, but overall deceleration helium disk is really high cost.</v>
      </c>
    </row>
    <row r="9378">
      <c r="A9378" s="1">
        <v>5.0</v>
      </c>
      <c r="B9378" s="1" t="s">
        <v>9315</v>
      </c>
      <c r="C9378" t="str">
        <f>IFERROR(__xludf.DUMMYFUNCTION("GOOGLETRANSLATE(B9378, ""zh"", ""en"")"),"Satisfaction sports shoes to wear 43, this 42.5 Ouma or just have a little bit large surface scratches, but does not affect very satisfied")</f>
        <v>Satisfaction sports shoes to wear 43, this 42.5 Ouma or just have a little bit large surface scratches, but does not affect very satisfied</v>
      </c>
    </row>
    <row r="9379">
      <c r="A9379" s="1">
        <v>5.0</v>
      </c>
      <c r="B9379" s="1" t="s">
        <v>9316</v>
      </c>
      <c r="C9379" t="str">
        <f>IFERROR(__xludf.DUMMYFUNCTION("GOOGLETRANSLATE(B9379, ""zh"", ""en"")"),"Comfortable comfortable, the right size")</f>
        <v>Comfortable comfortable, the right size</v>
      </c>
    </row>
    <row r="9380">
      <c r="A9380" s="1">
        <v>5.0</v>
      </c>
      <c r="B9380" s="1" t="s">
        <v>9317</v>
      </c>
      <c r="C9380" t="str">
        <f>IFERROR(__xludf.DUMMYFUNCTION("GOOGLETRANSLATE(B9380, ""zh"", ""en"")"),"The only inconvenient big point is mishandled for size, this time to buy big, but fortunately sweater to wear big on the big points")</f>
        <v>The only inconvenient big point is mishandled for size, this time to buy big, but fortunately sweater to wear big on the big points</v>
      </c>
    </row>
    <row r="9381">
      <c r="A9381" s="1">
        <v>5.0</v>
      </c>
      <c r="B9381" s="1" t="s">
        <v>9318</v>
      </c>
      <c r="C9381" t="str">
        <f>IFERROR(__xludf.DUMMYFUNCTION("GOOGLETRANSLATE(B9381, ""zh"", ""en"")"),"Good things good things, later buy some")</f>
        <v>Good things good things, later buy some</v>
      </c>
    </row>
    <row r="9382">
      <c r="A9382" s="1">
        <v>5.0</v>
      </c>
      <c r="B9382" s="1" t="s">
        <v>9319</v>
      </c>
      <c r="C9382" t="str">
        <f>IFERROR(__xludf.DUMMYFUNCTION("GOOGLETRANSLATE(B9382, ""zh"", ""en"")"),"good height 178, just sizes")</f>
        <v>good height 178, just sizes</v>
      </c>
    </row>
    <row r="9383">
      <c r="A9383" s="1">
        <v>5.0</v>
      </c>
      <c r="B9383" s="1" t="s">
        <v>9320</v>
      </c>
      <c r="C9383" t="str">
        <f>IFERROR(__xludf.DUMMYFUNCTION("GOOGLETRANSLATE(B9383, ""zh"", ""en"")"),"Very good, very comfortable to wear the right size is very good, very comfortable to wear the right size")</f>
        <v>Very good, very comfortable to wear the right size is very good, very comfortable to wear the right size</v>
      </c>
    </row>
    <row r="9384">
      <c r="A9384" s="1">
        <v>5.0</v>
      </c>
      <c r="B9384" s="1" t="s">
        <v>9321</v>
      </c>
      <c r="C9384" t="str">
        <f>IFERROR(__xludf.DUMMYFUNCTION("GOOGLETRANSLATE(B9384, ""zh"", ""en"")"),"Shoes are very comfortable like ecco shoes, wearing comfortable, fashionable style.")</f>
        <v>Shoes are very comfortable like ecco shoes, wearing comfortable, fashionable style.</v>
      </c>
    </row>
    <row r="9385">
      <c r="A9385" s="1">
        <v>5.0</v>
      </c>
      <c r="B9385" s="1" t="s">
        <v>9322</v>
      </c>
      <c r="C9385" t="str">
        <f>IFERROR(__xludf.DUMMYFUNCTION("GOOGLETRANSLATE(B9385, ""zh"", ""en"")"),"Bikaxiou I like this strong, Bikaxiou much easier, for things not to buy Japanese")</f>
        <v>Bikaxiou I like this strong, Bikaxiou much easier, for things not to buy Japanese</v>
      </c>
    </row>
    <row r="9386">
      <c r="A9386" s="1">
        <v>5.0</v>
      </c>
      <c r="B9386" s="1" t="s">
        <v>9323</v>
      </c>
      <c r="C9386" t="str">
        <f>IFERROR(__xludf.DUMMYFUNCTION("GOOGLETRANSLATE(B9386, ""zh"", ""en"")"),"Good good texture, very comfortable! !")</f>
        <v>Good good texture, very comfortable! !</v>
      </c>
    </row>
    <row r="9387">
      <c r="A9387" s="1">
        <v>2.0</v>
      </c>
      <c r="B9387" s="1" t="s">
        <v>9324</v>
      </c>
      <c r="C9387" t="str">
        <f>IFERROR(__xludf.DUMMYFUNCTION("GOOGLETRANSLATE(B9387, ""zh"", ""en"")"),"Mass lower than expected &lt;div id = ""video-block-R1QGKNH9O46XF5"" class = ""a-section a-spacing-small a-spacing-top-mini video-block""&gt; &lt;div tabindex = ""0"" class = ""airy airy -svg vmin-supported airy-skin-beacon ""style ="" background-color: rgb (0, 0,"&amp;" 0); position: relative; width: 100%; height: 100%; font-size: 0px; overflow: hidden ; outline: none; ""&gt; &lt;div class ="" airy-renderer-container ""style ="" position: relative; height: 100%; width: 100%; ""&gt; &lt;video id ="" 7 ""preload ="" auto ""src = ""ht"&amp;"tps://images-cn.ssl-images-amazon.com/images/I/91cUzu6nbAS.mp4"" style = ""position: absolute; left: 0px; top: 0px; overflow: hidden; height: 1px; width : 1px; ""&gt; &lt;/ video&gt; &lt;/ div&gt; &lt;div id ="" airy-slate-preload ""style ="" background-color: rgb (0, 0, 0"&amp;"); background-image: url (&amp; quot; https: //images-cn.ssl-images-amazon.com/images/I/91RyirbIJ+S.png&amp;quot;); background-size: contain; background-position: center center; background-repeat: no-repeat; position: absolute ; top: 0px; left: 0px; visibility: v"&amp;"isible; width: 100%; height: 100%; ""&gt; &lt;/ div&gt; &lt;iframe scrollin g = ""no"" frameborder = ""0"" src = ""about: blank"" style = ""display: none;""&gt; &lt;/ iframe&gt; &lt;div tabindex = ""- 1"" class = ""airy-controls-container"" style = "" opacity: 0; visibility: hid"&amp;"den; ""&gt; &lt;div tabindex ="" - 1 ""class ="" airy-screen-size-toggle airy-fullscreen ""&gt; &lt;/ div&gt; &lt;div tabindex ="" - 1 ""class ="" airy- container-bottom ""&gt; &lt;div tabindex ="" - 1 ""class ="" airy-track-bar-spacer-left ""style ="" width: 11px; ""&gt; &lt;/ div&gt; &lt;"&amp;"div tabindex ="" - 1 ""class ="" airy-play-toggle airy-play ""style ="" width: 12px; margin-right: 12px; ""&gt; &lt;/ div&gt; &lt;div tabindex ="" - 1 ""class ="" airy-audio-elements ""style ="" float: right; width: 34px; ""&gt; &lt;div tabindex ="" - 1 ""class ="" airy-au"&amp;"dio-toggle airy-on ""&gt; &lt;/ div&gt; &lt;div tabindex ="" - 1 ""class ="" airy-audio-container "" style = ""opacity: 0; visibility: hidden;""&gt; &lt;div tabindex = ""- 1"" class = ""airy-audio-track-bar"" style = ""height: 80%;""&gt; &lt;div tabindex = ""- 1"" class = ""airy"&amp;"-audio-scrubber-bar"" style = ""height: 85%;""&gt; &lt;/ div&gt; &lt;div tabindex = ""- 1"" class = ""airy-audio-scrubber"" style = ""height: 12px; bottom : 85%; ""&gt; &lt;/ div&gt; &lt;/ div&gt; &lt;/ div&gt; &lt;/ div&gt; &lt;div tabindex ="" - 1 ""class ="" airy-duration-label ""sty le = ""fl"&amp;"oat: right; width: 26px; margin-right: 4px; text-align: center;""&gt; 0:00 &lt;/ div&gt; &lt;div tabindex = ""- 1"" class = ""airy-track-bar-spacer -right ""style ="" float: right; width: 11px; ""&gt; &lt;/ div&gt; &lt;div tabindex ="" - 1 ""class ="" airy-track-bar-container """&amp;"style ="" margin-left: 35px; margin- right: 75px; ""&gt; &lt;div tabindex ="" - 1 ""class ="" airy-track-bar airy-vertical-centering-table ""&gt; &lt;div tabindex ="" - 1 ""class ="" airy-vertical-centering-table- cell ""&gt; &lt;div tabindex ="" - 1 ""class ="" airy-track"&amp;"-bar-elements ""&gt; &lt;div tabindex ="" - 1 ""class ="" airy-progress-bar ""&gt; &lt;/ div&gt; &lt;div tabindex ="" -1 ""class ="" airy-scrubber-bar ""&gt; &lt;/ div&gt; &lt;div tabindex ="" - 1 ""class ="" airy-scrubber ""&gt; &lt;div tabindex ="" - 1 ""class ="" airy-scrubber-icon "" &gt; "&amp;"&lt;/ div&gt; &lt;div tabindex = ""- 1"" class = ""airy-adjusted-aui-tooltip"" style = ""opacity: 0; visibility: hidden;""&gt; &lt;div tabindex = ""- 1"" class = ""airy- adjusted-aui-tooltip-inner ""&gt; &lt;div tabindex ="" - 1 ""class ="" airy-current-time-label ""&gt; 0:00 &lt;/"&amp;" div&gt; &lt;/ div&gt; &lt;div tabindex ="" - 1 ""class = ""airy-adjusted-aui-arrow-border""&gt; &lt;div tabindex = ""- 1"" class = ""airy-adjusted-aui-arrow""&gt; &lt;/ div&gt; &lt;/ div&gt; &lt;/ di v&gt; &lt;/ div&gt; &lt;/ div&gt; &lt;/ div&gt; &lt;/ div&gt; &lt;/ div&gt; &lt;/ div&gt; &lt;/ div&gt; &lt;div tabindex = ""- 1"" class ="&amp;" ""airy-age-gate airy-stage airy -vertical-centering-table airy-dialog ""style ="" opacity: 0; visibility: hidden; ""&gt; &lt;div tabindex ="" - 1 ""class ="" airy-age-gate-vertical-centering-table-cell airy-vertical -centering-table-cell ""&gt; &lt;div tabindex ="" "&amp;"- 1 ""class ="" airy-vertical-centering-wrapper airy-age-gate-elements-wrapper ""&gt; &lt;div tabindex ="" - 1 ""class ="" airy- age-gate-elements airy-dialog-elements ""&gt; &lt;div tabindex ="" - 1 ""class ="" airy-age-gate-prompt ""&gt; This video is not intended for"&amp;" all audiences What date were you born &lt;/ div.? &gt; &lt;div tabindex = ""- 1"" class = ""airy-age-gate-inputs airy-dialog-inner-elements""&gt; &lt;select tabindex = ""- 1"" class = ""airy-age-gate-month""&gt; &lt;option value = ""1""&gt; January &lt;/ option&gt; &lt;option value = """&amp;"2""&gt; February &lt;/ option&gt; &lt;option value = ""3""&gt; March &lt;/ option&gt; &lt;option value = ""4""&gt; April &lt;/ option&gt; &lt;option value = ""5""&gt; May &lt;/ option&gt; &lt;option value = ""6""&gt; June &lt;/ option&gt; &lt;option value = ""7""&gt; July &lt;/ option&gt; &lt;option value = ""8""&gt; August &lt;/ o"&amp;"ption&gt; &lt;option value = ""9""&gt; September &lt;/ option&gt; &lt;option valu e = ""10""&gt; October &lt;/ option&gt; &lt;option value = ""11""&gt; November &lt;/ option&gt; &lt;option value = ""12""&gt; December &lt;/ option&gt; &lt;/ select&gt; &lt;select tabindex = ""- 1"" class = ""airy-age-gate-day""&gt; &lt;op"&amp;"tion value = ""1""&gt; 1 &lt;/ option&gt; &lt;option value = ""2""&gt; 2 &lt;/ option&gt; &lt;option value = ""3""&gt; 3 &lt;/ option&gt; &lt;option value = ""4""&gt; 4 &lt;/ option&gt; &lt;option value = ""5""&gt; 5 &lt;/ option&gt; &lt;option value = ""6""&gt; 6 &lt;/ option&gt; &lt;option value = ""7""&gt; 7 &lt;/ option&gt; &lt;optio"&amp;"n value = ""8""&gt; 8 &lt;/ option&gt; &lt;option value = ""9""&gt; 9 &lt;/ option&gt; &lt;option value = ""10""&gt; 10 &lt;/ option&gt; &lt;option value = ""11""&gt; 11 &lt;/ option&gt; &lt;option value = ""12""&gt; 12 &lt;/ option&gt; &lt;option value = ""13""&gt; 13 &lt;/ option&gt; &lt;option value = ""14""&gt; 14 &lt;/ option&gt;"&amp;" &lt;option value = ""15"" &gt; 15 &lt;/ option&gt; &lt;option value = ""16""&gt; 16 &lt;/ option&gt; &lt;option value = ""17""&gt; 17 &lt;/ option&gt; &lt;option value = ""18""&gt; 18 &lt;/ option&gt; &lt;option value = "" 19 ""&gt; 19 &lt;/ option&gt; &lt;option value ="" 20 ""&gt; 20 &lt;/ option&gt; &lt;option value ="" 21 "&amp;"""&gt; 21 &lt;/ option&gt; &lt;option value ="" 22 ""&gt; 22 &lt;/ option&gt; &lt;option value = ""23""&gt; 23 &lt;/ option&gt; &lt;option value = ""24""&gt; 24 &lt;/ option&gt; &lt;option value = ""25""&gt; 25 &lt;/ option&gt; &lt;option value = ""26""&gt; 26 &lt;/ option&gt; &lt; option value = ""27""&gt; 27 &lt;/ option&gt; &lt;option"&amp;" value = ""28""&gt; 28 &lt;/ option&gt; &lt;option value = ""29""&gt; 29 &lt;/ opt ion&gt; &lt;option value = ""30""&gt; 30 &lt;/ option&gt; &lt;option value = ""31""&gt; 31 &lt;/ option&gt; &lt;/ select&gt; &lt;select tabindex = ""- 1"" class = ""airy-age-gate-year ""&gt; &lt;option value ="" 2019 ""&gt; 2019 &lt;/ opt"&amp;"ion&gt; &lt;option value ="" 2018 ""&gt; 2018 &lt;/ option&gt; &lt;option value ="" 2017 ""&gt; 2017 &lt;/ option&gt; &lt;option value ="" 2016 ""&gt; 2016 &lt;/ option&gt; &lt;option value = ""2015""&gt; 2015 &lt;/ option&gt; &lt;option value = ""2014""&gt; 2014 &lt;/ option&gt; &lt;option value = ""2013""&gt; 2013 &lt;/ opt"&amp;"ion&gt; &lt;option value = ""2012"" &gt; 2012 &lt;/ option&gt; &lt;option value = ""2011""&gt; 2011 &lt;/ option&gt; &lt;option value = ""2010""&gt; 2010 &lt;/ option&gt; &lt;option value = ""2009""&gt; 2009 &lt;/ option&gt; &lt;option value = "" 2008 ""&gt; 2008 &lt;/ option&gt; &lt;option value ="" 2007 ""&gt; 2007 &lt;/ op"&amp;"tion&gt; &lt;option value ="" 2006 ""&gt; 2006 &lt;/ option&gt; &lt;option value ="" 2005 ""&gt; 2005 &lt;/ option&gt; &lt;option value = ""2004""&gt; 2004 &lt;/ option&gt; &lt;option value = ""2003""&gt; 2003 &lt;/ option&gt; &lt;option value = ""2002""&gt; 2002 &lt;/ option&gt; &lt;option value = ""2001""&gt; 2001 &lt;/ opt"&amp;"ion&gt; &lt; option value = ""2000""&gt; 2000 &lt;/ option&gt; &lt;option value = ""1999""&gt; 1999 &lt;/ option&gt; &lt;option value = ""1998""&gt; 1998 &lt;/ option&gt; &lt;option value = ""1997""&gt; 1997 &lt;/ option &gt; &lt;option value = ""1996""&gt; 1996 &lt;/ option&gt; &lt;option value = ""1995""&gt; 1995 &lt;/ opti"&amp;"on&gt; &lt;option value = ""1994""&gt; 1994 &lt;/ o ption&gt; &lt;option value = ""1993""&gt; 1993 &lt;/ option&gt; &lt;option value = ""1992""&gt; 1992 &lt;/ option&gt; &lt;option value = ""1991""&gt; 1991 &lt;/ option&gt; &lt;option value = ""1990""&gt; 1990 &lt;/ option&gt; &lt;option value = ""1989""&gt; 1989 &lt;/ option"&amp;"&gt; &lt;option value = ""1988""&gt; 1988 &lt;/ option&gt; &lt;option value = ""1987""&gt; 1987 &lt;/ option&gt; &lt;option value = ""1986"" &gt; 1986 &lt;/ option&gt; &lt;option value = ""1985""&gt; 1985 &lt;/ option&gt; &lt;option value = ""1984""&gt; 1984 &lt;/ option&gt; &lt;option value = ""1983""&gt; 1983 &lt;/ option&gt; "&amp;"&lt;option value = "" 1982 ""&gt; 1982 &lt;/ option&gt; &lt;option value ="" 1981 ""&gt; 1981 &lt;/ option&gt; &lt;option value ="" 1980 ""&gt; 1980 &lt;/ option&gt; &lt;option value ="" 1979 ""&gt; 1979 &lt;/ option&gt; &lt;option value = ""1978""&gt; 1978 &lt;/ option&gt; &lt;option value = ""1977""&gt; 1977 &lt;/ option"&amp;"&gt; &lt;option value = ""1976""&gt; 1976 &lt;/ option&gt; &lt;option value = ""1975""&gt; 1975 &lt;/ option&gt; &lt; option value = ""1974""&gt; 1974 &lt;/ option&gt; &lt;option value = ""1973""&gt; 1973 &lt;/ option&gt; &lt;option value = ""1972""&gt; 1972 &lt;/ option&gt; &lt;option value = ""1971""&gt; 1971 &lt;/ option &gt;"&amp;" &lt;option value = ""1970""&gt; 1970 &lt;/ option&gt; &lt;option value = ""1969""&gt; 1969 &lt;/ option&gt; &lt;option value = ""1968""&gt; 1968 &lt;/ option&gt; &lt;option value = ""1967""&gt; 1967 &lt; / option&gt; &lt;option value = ""1966""&gt; 1966 &lt;/ option&gt; &lt;option value = ""1965""&gt; 1965 &lt;/ option&gt; &lt;"&amp;"option value = ""1964""&gt; 1964 &lt;/ option&gt; &lt;option value = ""1963""&gt; 1963 &lt;/ option&gt; &lt;option value = ""1962""&gt; 1962 &lt;/ option&gt; &lt;option value = ""1961""&gt; 1961 &lt;/ option&gt; &lt;option value = ""1960""&gt; 1960 &lt;/ option&gt; &lt;option value = ""1959""&gt; 1959 &lt;/ option&gt; &lt;opt"&amp;"ion value = ""1958""&gt; 1958 &lt;/ option&gt; &lt;option value = ""1957""&gt; 1957 &lt;/ option&gt; &lt;option value = ""1956""&gt; 1956 &lt;/ option&gt; &lt;option value = ""1955""&gt; 1955 &lt;/ option&gt; &lt;option value = ""1954""&gt; 1954 &lt;/ option&gt; &lt;option value = ""1953""&gt; 1953 &lt;/ option&gt; &lt;option"&amp;" value = ""1952""&gt; 1952 &lt;/ option&gt; &lt;option value = ""1951""&gt; 1951 &lt;/ option&gt; &lt;option value = ""1950""&gt; 1950 &lt;/ option&gt; &lt;option value = ""1949"" &gt; 1949 &lt;/ option&gt; &lt;option value = ""1948""&gt; 1948 &lt;/ option&gt; &lt;option value = ""1947""&gt; 1947 &lt;/ option&gt; &lt;option v"&amp;"alue = ""1946""&gt; 1946 &lt;/ option&gt; &lt;option value = "" 1945 ""&gt; 1945 &lt;/ option&gt; &lt;option value ="" 1944 ""&gt; 1944 &lt;/ option&gt; &lt;option value ="" 1943 ""&gt; 1943 &lt;/ option&gt; &lt;option value ="" 1942 ""&gt; 1942 &lt;/ option&gt; &lt;option value = ""1941""&gt; 1941 &lt;/ option&gt; &lt;option"&amp;" value = ""1940""&gt; 1940 &lt;/ option&gt; &lt;option value = ""1939""&gt; 1939 &lt;/ option&gt; &lt;option value = ""1938""&gt; 1938 &lt;/ option&gt; &lt; option value = ""1937""&gt; 1937 &lt;/ option&gt; &lt;option value = ""1936""&gt; 1936 &lt;/ option&gt; &lt;option value = ""1935""&gt; 1 935 &lt;/ option&gt; &lt;option "&amp;"value = ""1934""&gt; 1934 &lt;/ option&gt; &lt;option value = ""1933""&gt; 1933 &lt;/ option&gt; &lt;option value = ""1932""&gt; 1932 &lt;/ option&gt; &lt;option value = ""1931 ""&gt; 1931 &lt;/ option&gt; &lt;option value ="" 1930 ""&gt; 1930 &lt;/ option&gt; &lt;option value ="" 1929 ""&gt; 1929 &lt;/ option&gt; &lt;option "&amp;"value ="" 1928 ""&gt; 1928 &lt;/ option&gt; &lt;option value = ""1927""&gt; 1927 &lt;/ option&gt; &lt;option value = ""1926""&gt; 1926 &lt;/ option&gt; &lt;option value = ""1925""&gt; 1925 &lt;/ option&gt; &lt;option value = ""1924""&gt; 1924 &lt;/ option&gt; &lt;option value = ""1923""&gt; 1923 &lt;/ option&gt; &lt;option va"&amp;"lue = ""1922""&gt; 1922 &lt;/ option&gt; &lt;option value = ""1921""&gt; 1921 &lt;/ option&gt; &lt;option value = ""1920""&gt; 1920 &lt;/ option&gt; &lt;option value = ""1919""&gt; 1919 &lt;/ option&gt; &lt;option value = ""1918""&gt; 1918 &lt;/ option&gt; &lt;option value = ""1917""&gt; 1917 &lt;/ option&gt; &lt;option value"&amp;" = ""1916""&gt; 1916 &lt;/ option&gt; &lt;option value = ""1915""&gt; 1915 &lt;/ option&gt; &lt;option value = ""1914""&gt; 1914 &lt;/ option&gt; &lt;option value = ""1913""&gt; 1913 &lt;/ option&gt; &lt;option value = ""1912""&gt; 1912 &lt;/ option&gt; &lt;option value = ""1911""&gt; 1911 &lt;/ option&gt; &lt;option value = "&amp;"""1910""&gt; 1910 &lt;/ option&gt; &lt;option value = ""1909""&gt; 1909 &lt;/ option&gt; &lt;option value = ""1908"" &gt; 1908 &lt;/ option&gt; &lt;option value = ""1907""&gt; 1907 &lt;/ option&gt; &lt;option value = ""1906""&gt; 1906 &lt;/ option&gt; &lt;o ption value = ""1905""&gt; 1905 &lt;/ option&gt; &lt;option value = "&amp;"""1904""&gt; 1904 &lt;/ option&gt; &lt;option value = ""1903""&gt; 1903 &lt;/ option&gt; &lt;option value = ""1902""&gt; 1902 &lt;/ option &gt; &lt;option value = ""1901""&gt; 1901 &lt;/ option&gt; &lt;option value = ""1900""&gt; 1900 &lt;/ option&gt; &lt;/ select&gt; &lt;div tabindex = ""- 1"" class = ""airy-age-gate-s"&amp;"ubmit airy -submit airy-button airy-submit-disabled ""&gt; Submit &lt;/ div&gt; &lt;/ div&gt; &lt;/ div&gt; &lt;/ div&gt; &lt;/ div&gt; &lt;/ div&gt; &lt;div tabindex ="" - 1 ""class ="" airy- install-flash-dialog airy-stage airy-vertical-centering-table airy-dialog airy-denied ""style ="" opacit"&amp;"y: 0; visibility: hidden; ""&gt; &lt;div tabindex ="" - 1 ""class ="" airy-install- flash-vertical-centering-table-cell airy-vertical-centering-table-cell ""&gt; &lt;div tabindex ="" - 1 ""class ="" airy-vertical-centering-wrapper airy-install-flash-elements-wrapper "&amp;"""&gt; &lt; div tabindex = ""- 1"" class = ""airy-install-flash-elements airy-dialog-elements""&gt; &lt;div tabindex = ""- 1"" class = ""airy-install-flash-prompt""&gt; Adobe Flash Player is required to . watch this video &lt;/ div&gt; &lt;div tabindex = ""- 1"" class = ""airy-i"&amp;"nstall-flash-button-wrapper airy-dialog-inner-elements""&gt; &lt;div tabindex = ""- 1 ""class ="" airy-install-flash-button airy-button ""&gt; Install Flash Player &lt;/ div&gt; &lt;/ div&gt; &lt;/ div&gt; &lt;/ div&gt; &lt;/ div&gt; &lt;/ div&gt; &lt;div tabindex ="" - 1 ""class ="" airy-video-unsuppo"&amp;"rted-dialog airy-stage airy-vertical-centering-table airy-dialog airy-denied ""style ="" opacity: 0; visibility: hidden; ""&gt; &lt;div tabindex ="" - 1 "" class = ""airy-video-unsupported-vertical-centering-table-cell airy-vertical-centering-table-cell""&gt; &lt;div"&amp;" tabindex = ""- 1"" class = ""airy-vertical-centering-wrapper airy-video-unsupported -elements-wrapper ""&gt; &lt;div tabindex ="" - 1 ""class ="" airy-video-unsupported-elements airy-dialog-elements ""&gt; &lt;div tabindex ="" - 1 ""class ="" airy-video-unsupported-"&amp;"prompt "" &gt; &lt;/ div&gt; &lt;/ div&gt; &lt;/ div&gt; &lt;/ div&gt; &lt;/ div&gt; &lt;div tabindex = ""- 1"" class = ""airy-loading-spinner-stage airy-stage""&gt; &lt;div tabindex = ""- 1 ""class ="" airy-loading-spinner-vertical-centering-table-cell airy-vertical-centering-table-cell ""&gt; &lt;div"&amp;" tabindex ="" - 1 ""class ="" airy-loading-spinner-container airy-scalable -hint-container ""&gt; &lt;div tabindex ="" - 1 ""class ="" airy-loading-spinner-dummy airy-scalable-dummy ""&gt; &lt;/ div&gt; &lt;div ta bindex = ""- 1"" class = ""airy-loading-spinner airy-hint"""&amp;" style = ""visibility: hidden;""&gt; &lt;/ div&gt; &lt;/ div&gt; &lt;/ div&gt; &lt;/ div&gt; &lt;div tabindex = ""- 1 ""class ="" airy-ads-screen-size-toggle airy-screen-size-toggle airy-fullscreen ""style ="" visibility: hidden; ""&gt; &lt;/ div&gt; &lt;div tabindex ="" - 1 ""class ="" airy- ad-"&amp;"prompt-container ""style ="" visibility: hidden; ""&gt; &lt;div tabindex ="" - 1 ""class ="" airy-ad-prompt-vertical-centering-table airy-vertical-centering-table ""&gt; &lt;div tabindex = ""-1"" class = ""airy-ad-prompt-vertical-centering-table-cell airy-vertical-ce"&amp;"ntering-table-cell""&gt; &lt;div tabindex = ""- 1"" class = ""airy-ad-prompt-label"" &gt; &lt;/ div&gt; &lt;/ div&gt; &lt;/ div&gt; &lt;/ div&gt; &lt;div tabindex = ""- 1"" class = ""airy-ads-controls-container"" style = ""visibility: hidden;""&gt; &lt;div tabindex = "" -1 ""class ="" airy-ads-au"&amp;"dio-toggle airy-audio-toggle airy-on ""style ="" visibility: hidden; ""&gt; &lt;/ div&gt; &lt;div tabindex ="" - 1 ""class ="" airy-time- remaining-label-container ""&gt; &lt;div tabindex ="" - 1 ""class ="" airy-time-remaining-vertical-centering-table airy-vertical-center"&amp;"ing-table ""&gt; &lt;div tabindex ="" - 1 ""class ="" airy -time-remaining-vertical- centering-table-cell airy-vertical-centering-table-cell ""&gt; &lt;div tabindex ="" - 1 ""class ="" airy-vertical-centering-wrapper airy-time-remaining-label-wrapper ""&gt; &lt;div tabinde"&amp;"x ="" -1 ""class ="" airy-time-remaining-label ""style ="" visibility: hidden; ""&gt; &lt;/ div&gt; &lt;div tabindex ="" - 1 ""class ="" airy-ad-skip ""style ="" visibility: hidden ; ""&gt; &lt;/ div&gt; &lt;div tabindex ="" - 1 ""class ="" airy-ad-end ""style ="" visibility: hi"&amp;"dden; ""&gt; &lt;/ div&gt; &lt;/ div&gt; &lt;/ div&gt; &lt;/ div&gt; &lt; / div&gt; &lt;div tabindex = ""- 1"" class = ""airy-learn-more"" style = ""visibility: hidden;""&gt; &lt;/ div&gt; &lt;/ div&gt; &lt;div tabindex = ""- 1"" class = ""airy- play-toggle-hint-stage airy-stage airy-cursor ""&gt; &lt;div tabindex"&amp;" ="" - 1 ""class ="" airy-play-toggle-hint-vertical-centering-table-cell airy-vertical-centering-table-cell airy-cursor ""&gt; &lt;div tabindex ="" - 1 ""class ="" airy-play-toggle-hint-container airy-scalable-hint-container ""&gt; &lt;div tabindex ="" - 1 ""class ="&amp;""" airy-play-toggle -hint-dummy airy-scalable-dummy ""&gt; &lt;/ div&gt; &lt;div tabindex ="" - 1 ""class ="" airy-play-toggle-hint airy-hint airy-play-hint ""style ="" opacity: 1; visibility : visible; ""&gt; &lt;/ div&gt; &lt;/ div&gt; &lt;/ div&gt; &lt;/ d iv&gt; &lt;div tabindex = ""- 1"" cla"&amp;"ss = ""airy-replay-hint-stage airy-stage"" style = ""visibility: hidden;""&gt; &lt;div tabindex = ""- 1"" class = ""airy-replay-hint- vertical-centering-table-cell airy-vertical-centering-table-cell airy-cursor ""&gt; &lt;div tabindex ="" - 1 ""class ="" airy-replay-"&amp;"hint-container airy-scalable-hint-container ""&gt; &lt;div tabindex = ""- 1"" class = ""airy-replay-hint-dummy airy-scalable-dummy""&gt; &lt;/ div&gt; &lt;div tabindex = ""- 1"" class = ""airy-replay-hint airy-hint""&gt; &lt;/ div&gt; &lt;/ div&gt; &lt;/ div&gt; &lt;/ div&gt; &lt;div tabindex = ""- 1"""&amp;" class = ""airy-autoplay-hint-stage airy-stage"" style = ""visibility: hidden;""&gt; &lt;div tabindex = "" -1 ""class ="" airy-autoplay-hint-vertical-centering-table-cell airy-vertical-centering-table-cell airy-cursor ""&gt; &lt;div tabindex ="" - 1 ""class ="" airy-"&amp;"autoplay-hint- container airy-scalable-hint-container ""&gt; &lt;div tabindex ="" - 1 ""class ="" airy-autoplay-hint-dummy airy-scalable-dummy ""&gt; &lt;/ div&gt; &lt;/ div&gt; &lt;/ div&gt; &lt;/ div &gt; &lt;/ div&gt; &lt;/ div&gt; &lt;input type = ""hidden"" name = """" value = ""https://images-cn."&amp;"ssl-images-amazon.com/images/I/91cUzu6nbAS.mp4"" class = "" video-url ""&gt; &lt;input type ="" hidden ""na me = """" value = ""https://images-cn.ssl-images-amazon.com/images/I/91RyirbIJ+S.png"" class = ""video-slate-img-url""&gt; &amp; nbsp; work in general, torsiona"&amp;"l force control ah plastic binding site because they do not impact riveting issued clicks.")</f>
        <v>Mass lower than expected &lt;div id = "video-block-R1QGKNH9O46XF5" class = "a-section a-spacing-small a-spacing-top-mini video-block"&gt; &lt;div tabindex = "0" class = "airy airy -svg vmin-supported airy-skin-beacon "style =" background-color: rgb (0, 0, 0); position: relative; width: 100%; height: 100%; font-size: 0px; overflow: hidden ; outline: none; "&gt; &lt;div class =" airy-renderer-container "style =" position: relative; height: 100%; width: 100%; "&gt; &lt;video id =" 7 "preload =" auto "src = "https://images-cn.ssl-images-amazon.com/images/I/91cUzu6nbAS.mp4" style = "position: absolute; left: 0px; top: 0px; overflow: hidden; height: 1px; width : 1px; "&gt; &lt;/ video&gt; &lt;/ div&gt; &lt;div id =" airy-slate-preload "style =" background-color: rgb (0, 0, 0); background-image: url (&amp; quot; https: //images-cn.ssl-images-amazon.com/images/I/91RyirbIJ+S.png&amp;quot;); background-size: contain; background-position: center center; background-repeat: no-repeat; position: absolute ; top: 0px; left: 0px; visibility: visible; width: 100%; height: 100%; "&gt; &lt;/ div&gt; &lt;iframe scrollin g = "no" frameborder = "0" src = "about: blank" style = "display: none;"&gt; &lt;/ iframe&gt; &lt;div tabindex = "- 1" class = "airy-controls-container" style = " opacity: 0; visibility: hidden; "&gt; &lt;div tabindex =" - 1 "class =" airy-screen-size-toggle airy-fullscreen "&gt; &lt;/ div&gt; &lt;div tabindex =" - 1 "class =" airy- container-bottom "&gt; &lt;div tabindex =" - 1 "class =" airy-track-bar-spacer-left "style =" width: 11px; "&gt; &lt;/ div&gt; &lt;div tabindex =" - 1 "class =" airy-play-toggle airy-play "style =" width: 12px; margin-right: 12px; "&gt; &lt;/ div&gt; &lt;div tabindex =" - 1 "class =" airy-audio-elements "style =" float: right; width: 34px; "&gt; &lt;div tabindex =" - 1 "class =" airy-audio-toggle airy-on "&gt; &lt;/ div&gt; &lt;div tabindex =" - 1 "class =" airy-audio-container " style = "opacity: 0; visibility: hidden;"&gt; &lt;div tabindex = "- 1" class = "airy-audio-track-bar" style = "height: 80%;"&gt; &lt;div tabindex = "- 1" class = "airy-audio-scrubber-bar" style = "height: 85%;"&gt; &lt;/ div&gt; &lt;div tabindex = "- 1" class = "airy-audio-scrubber" style = "height: 12px; bottom : 85%; "&gt; &lt;/ div&gt; &lt;/ div&gt; &lt;/ div&gt; &lt;/ div&gt; &lt;div tabindex =" - 1 "class =" airy-duration-label "sty le = "float: right; width: 26px; margin-right: 4px; text-align: center;"&gt; 0:00 &lt;/ div&gt; &lt;div tabindex = "- 1" class = "airy-track-bar-spacer -right "style =" float: right; width: 11px; "&gt; &lt;/ div&gt; &lt;div tabindex =" - 1 "class =" airy-track-bar-container "style =" margin-left: 35px; margin- right: 75px; "&gt; &lt;div tabindex =" - 1 "class =" airy-track-bar airy-vertical-centering-table "&gt; &lt;div tabindex =" - 1 "class =" airy-vertical-centering-table- cell "&gt; &lt;div tabindex =" - 1 "class =" airy-track-bar-elements "&gt; &lt;div tabindex =" - 1 "class =" airy-progress-bar "&gt; &lt;/ div&gt; &lt;div tabindex =" -1 "class =" airy-scrubber-bar "&gt; &lt;/ div&gt; &lt;div tabindex =" - 1 "class =" airy-scrubber "&gt; &lt;div tabindex =" - 1 "class =" airy-scrubber-icon " &gt; &lt;/ div&gt; &lt;div tabindex = "- 1" class = "airy-adjusted-aui-tooltip" style = "opacity: 0; visibility: hidden;"&gt; &lt;div tabindex = "- 1" class = "airy- adjusted-aui-tooltip-inner "&gt; &lt;div tabindex =" - 1 "class =" airy-current-time-label "&gt; 0:00 &lt;/ div&gt; &lt;/ div&gt; &lt;div tabindex =" - 1 "class = "airy-adjusted-aui-arrow-border"&gt; &lt;div tabindex = "- 1" class = "airy-adjusted-aui-arrow"&gt; &lt;/ div&gt; &lt;/ div&gt; &lt;/ di v&gt; &lt;/ div&gt; &lt;/ div&gt; &lt;/ div&gt; &lt;/ div&gt; &lt;/ div&gt; &lt;/ div&gt; &lt;/ div&gt; &lt;div tabindex = "- 1" class = "airy-age-gate airy-stage airy -vertical-centering-table airy-dialog "style =" opacity: 0; visibility: hidden; "&gt; &lt;div tabindex =" - 1 "class =" airy-age-gate-vertical-centering-table-cell airy-vertical -centering-table-cell "&gt; &lt;div tabindex =" - 1 "class =" airy-vertical-centering-wrapper airy-age-gate-elements-wrapper "&gt; &lt;div tabindex =" - 1 "class =" airy- age-gate-elements airy-dialog-elements "&gt; &lt;div tabindex =" - 1 "class =" airy-age-gate-prompt "&gt; This video is not intended for all audiences What date were you born &lt;/ div.? &gt; &lt;div tabindex = "- 1" class = "airy-age-gate-inputs airy-dialog-inner-elements"&gt; &lt;select tabindex = "- 1" class = "airy-age-gate-month"&gt; &lt;option value = "1"&gt; January &lt;/ option&gt; &lt;option value = "2"&gt; February &lt;/ option&gt; &lt;option value = "3"&gt; March &lt;/ option&gt; &lt;option value = "4"&gt; April &lt;/ option&gt; &lt;option value = "5"&gt; May &lt;/ option&gt; &lt;option value = "6"&gt; June &lt;/ option&gt; &lt;option value = "7"&gt; July &lt;/ option&gt; &lt;option value = "8"&gt; August &lt;/ option&gt; &lt;option value = "9"&gt; September &lt;/ option&gt; &lt;option valu e = "10"&gt; October &lt;/ option&gt; &lt;option value = "11"&gt; November &lt;/ option&gt; &lt;option value = "12"&gt; December &lt;/ option&gt; &lt;/ select&gt; &lt;select tabindex = "- 1" class = "airy-age-gate-day"&gt; &lt;option value = "1"&gt; 1 &lt;/ option&gt; &lt;option value = "2"&gt; 2 &lt;/ option&gt; &lt;option value = "3"&gt; 3 &lt;/ option&gt; &lt;option value = "4"&gt; 4 &lt;/ option&gt; &lt;option value = "5"&gt; 5 &lt;/ option&gt; &lt;option value = "6"&gt; 6 &lt;/ option&gt; &lt;option value = "7"&gt; 7 &lt;/ option&gt; &lt;option value = "8"&gt; 8 &lt;/ option&gt; &lt;option value = "9"&gt; 9 &lt;/ option&gt; &lt;option value = "10"&gt; 10 &lt;/ option&gt; &lt;option value = "11"&gt; 11 &lt;/ option&gt; &lt;option value = "12"&gt; 12 &lt;/ option&gt; &lt;option value = "13"&gt; 13 &lt;/ option&gt; &lt;option value = "14"&gt; 14 &lt;/ option&gt; &lt;option value = "15" &gt; 15 &lt;/ option&gt; &lt;option value = "16"&gt; 16 &lt;/ option&gt; &lt;option value = "17"&gt; 17 &lt;/ option&gt; &lt;option value = "18"&gt; 18 &lt;/ option&gt; &lt;option value = " 19 "&gt; 19 &lt;/ option&gt; &lt;option value =" 20 "&gt; 20 &lt;/ option&gt; &lt;option value =" 21 "&gt; 21 &lt;/ option&gt; &lt;option value =" 22 "&gt; 22 &lt;/ option&gt; &lt;option value = "23"&gt; 23 &lt;/ option&gt; &lt;option value = "24"&gt; 24 &lt;/ option&gt; &lt;option value = "25"&gt; 25 &lt;/ option&gt; &lt;option value = "26"&gt; 26 &lt;/ option&gt; &lt; option value = "27"&gt; 27 &lt;/ option&gt; &lt;option value = "28"&gt; 28 &lt;/ option&gt; &lt;option value = "29"&gt; 29 &lt;/ opt ion&gt; &lt;option value = "30"&gt; 30 &lt;/ option&gt; &lt;option value = "31"&gt; 31 &lt;/ option&gt; &lt;/ select&gt; &lt;select tabindex = "- 1" class = "airy-age-gate-year "&gt; &lt;option value =" 2019 "&gt; 2019 &lt;/ option&gt; &lt;option value =" 2018 "&gt; 2018 &lt;/ option&gt; &lt;option value =" 2017 "&gt; 2017 &lt;/ option&gt; &lt;option value =" 2016 "&gt; 2016 &lt;/ option&gt; &lt;option value = "2015"&gt; 2015 &lt;/ option&gt; &lt;option value = "2014"&gt; 2014 &lt;/ option&gt; &lt;option value = "2013"&gt; 2013 &lt;/ option&gt; &lt;option value = "2012" &gt; 2012 &lt;/ option&gt; &lt;option value = "2011"&gt; 2011 &lt;/ option&gt; &lt;option value = "2010"&gt; 2010 &lt;/ option&gt; &lt;option value = "2009"&gt; 2009 &lt;/ option&gt; &lt;option value = " 2008 "&gt; 2008 &lt;/ option&gt; &lt;option value =" 2007 "&gt; 2007 &lt;/ option&gt; &lt;option value =" 2006 "&gt; 2006 &lt;/ option&gt; &lt;option value =" 2005 "&gt; 2005 &lt;/ option&gt; &lt;option value = "2004"&gt; 2004 &lt;/ option&gt; &lt;option value = "2003"&gt; 2003 &lt;/ option&gt; &lt;option value = "2002"&gt; 2002 &lt;/ option&gt; &lt;option value = "2001"&gt; 2001 &lt;/ option&gt; &lt; option value = "2000"&gt; 2000 &lt;/ option&gt; &lt;option value = "1999"&gt; 1999 &lt;/ option&gt; &lt;option value = "1998"&gt; 1998 &lt;/ option&gt; &lt;option value = "1997"&gt; 1997 &lt;/ option &gt; &lt;option value = "1996"&gt; 1996 &lt;/ option&gt; &lt;option value = "1995"&gt; 1995 &lt;/ option&gt; &lt;option value = "1994"&gt; 1994 &lt;/ o ption&gt; &lt;option value = "1993"&gt; 1993 &lt;/ option&gt; &lt;option value = "1992"&gt; 1992 &lt;/ option&gt; &lt;option value = "1991"&gt; 1991 &lt;/ option&gt; &lt;option value = "1990"&gt; 1990 &lt;/ option&gt; &lt;option value = "1989"&gt; 1989 &lt;/ option&gt; &lt;option value = "1988"&gt; 1988 &lt;/ option&gt; &lt;option value = "1987"&gt; 1987 &lt;/ option&gt; &lt;option value = "1986" &gt; 1986 &lt;/ option&gt; &lt;option value = "1985"&gt; 1985 &lt;/ option&gt; &lt;option value = "1984"&gt; 1984 &lt;/ option&gt; &lt;option value = "1983"&gt; 1983 &lt;/ option&gt; &lt;option value = " 1982 "&gt; 1982 &lt;/ option&gt; &lt;option value =" 1981 "&gt; 1981 &lt;/ option&gt; &lt;option value =" 1980 "&gt; 1980 &lt;/ option&gt; &lt;option value =" 1979 "&gt; 1979 &lt;/ option&gt; &lt;option value = "1978"&gt; 1978 &lt;/ option&gt; &lt;option value = "1977"&gt; 1977 &lt;/ option&gt; &lt;option value = "1976"&gt; 1976 &lt;/ option&gt; &lt;option value = "1975"&gt; 1975 &lt;/ option&gt; &lt; option value = "1974"&gt; 1974 &lt;/ option&gt; &lt;option value = "1973"&gt; 1973 &lt;/ option&gt; &lt;option value = "1972"&gt; 1972 &lt;/ option&gt; &lt;option value = "1971"&gt; 1971 &lt;/ option &gt; &lt;option value = "1970"&gt; 1970 &lt;/ option&gt; &lt;option value = "1969"&gt; 1969 &lt;/ option&gt; &lt;option value = "1968"&gt; 1968 &lt;/ option&gt; &lt;option value = "1967"&gt; 1967 &lt; / option&gt; &lt;option value = "1966"&gt; 1966 &lt;/ option&gt; &lt;option value = "1965"&gt; 1965 &lt;/ option&gt; &lt;option value = "1964"&gt; 1964 &lt;/ option&gt; &lt;option value = "1963"&gt; 1963 &lt;/ option&gt; &lt;option value = "1962"&gt; 1962 &lt;/ option&gt; &lt;option value = "1961"&gt; 1961 &lt;/ option&gt; &lt;option value = "1960"&gt; 1960 &lt;/ option&gt;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"1952"&gt; 1952 &lt;/ option&gt; &lt;option value = "1951"&gt; 1951 &lt;/ option&gt; &lt;option value = "1950"&gt; 1950 &lt;/ option&gt; &lt;option value = "1949" &gt; 1949 &lt;/ option&gt; &lt;option value = "1948"&gt; 1948 &lt;/ option&gt; &lt;option value = "1947"&gt; 1947 &lt;/ option&gt; &lt;option value = "1946"&gt; 1946 &lt;/ option&gt; &lt;option value = " 1945 "&gt; 1945 &lt;/ option&gt; &lt;option value =" 1944 "&gt; 1944 &lt;/ option&gt; &lt;option value =" 1943 "&gt; 1943 &lt;/ option&gt; &lt;option value =" 1942 "&gt; 1942 &lt;/ option&gt; &lt;option value = "1941"&gt; 1941 &lt;/ option&gt; &lt;option value = "1940"&gt; 1940 &lt;/ option&gt; &lt;option value = "1939"&gt; 1939 &lt;/ option&gt; &lt;option value = "1938"&gt; 1938 &lt;/ option&gt; &lt; option value = "1937"&gt; 1937 &lt;/ option&gt; &lt;option value = "1936"&gt; 1936 &lt;/ option&gt; &lt;option value = "1935"&gt; 1 935 &lt;/ option&gt; &lt;option value = "1934"&gt; 1934 &lt;/ option&gt; &lt;option value = "1933"&gt; 1933 &lt;/ option&gt; &lt;option value = "1932"&gt; 1932 &lt;/ option&gt; &lt;option value = "1931 "&gt; 1931 &lt;/ option&gt; &lt;option value =" 1930 "&gt; 1930 &lt;/ option&gt; &lt;option value =" 1929 "&gt; 1929 &lt;/ option&gt; &lt;option value =" 1928 "&gt;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"1915"&gt; 1915 &lt;/ option&gt; &lt;option value = "1914"&gt; 1914 &lt;/ option&gt; &lt;option value = "1913"&gt; 1913 &lt;/ option&gt; &lt;option value = "1912"&gt; 1912 &lt;/ option&gt; &lt;option value = "1911"&gt; 1911 &lt;/ option&gt; &lt;option value = "1910"&gt; 1910 &lt;/ option&gt; &lt;option value = "1909"&gt; 1909 &lt;/ option&gt; &lt;option value = "1908" &gt; 1908 &lt;/ option&gt; &lt;option value = "1907"&gt; 1907 &lt;/ option&gt; &lt;option value = "1906"&gt; 1906 &lt;/ option&gt; &lt;o ption value = "1905"&gt; 1905 &lt;/ option&gt; &lt;option value = "1904"&gt; 1904 &lt;/ option&gt; &lt;option value = "1903"&gt; 1903 &lt;/ option&gt; &lt;option value = "1902"&gt; 1902 &lt;/ option &gt; &lt;option value = "1901"&gt; 1901 &lt;/ option&gt; &lt;option value = "1900"&gt; 1900 &lt;/ option&gt; &lt;/ select&gt; &lt;div tabindex = "- 1" class = "airy-age-gate-submit airy -submit airy-button airy-submit-disabled "&gt; Submit &lt;/ div&gt; &lt;/ div&gt; &lt;/ div&gt; &lt;/ div&gt; &lt;/ div&gt; &lt;/ div&gt; &lt;div tabindex =" - 1 "class =" airy- install-flash-dialog airy-stage airy-vertical-centering-table airy-dialog airy-denied "style =" opacity: 0; visibility: hidden; "&gt; &lt;div tabindex =" - 1 "class =" airy-install- flash-vertical-centering-table-cell airy-vertical-centering-table-cell "&gt; &lt;div tabindex =" - 1 "class =" airy-vertical-centering-wrapper airy-install-flash-elements-wrapper "&gt; &lt; div tabindex = "- 1" class = "airy-install-flash-elements airy-dialog-elements"&gt; &lt;div tabindex = "- 1" class = "airy-install-flash-prompt"&gt; Adobe Flash Player is required to . watch this video &lt;/ div&gt; &lt;div tabindex = "- 1" class = "airy-install-flash-button-wrapper airy-dialog-inner-elements"&gt; &lt;div tabindex = "- 1 "class =" airy-install-flash-button airy-button "&gt; Install Flash Player &lt;/ div&gt; &lt;/ div&gt; &lt;/ div&gt; &lt;/ div&gt; &lt;/ div&gt; &lt;/ div&gt; &lt;div tabindex =" - 1 "class =" airy-video-unsupported-dialog airy-stage airy-vertical-centering-table airy-dialog airy-denied "style =" opacity: 0; visibility: hidden; "&gt; &lt;div tabindex =" - 1 " class = "airy-video-unsupported-vertical-centering-table-cell airy-vertical-centering-table-cell"&gt; &lt;div tabindex = "- 1" class = "airy-vertical-centering-wrapper airy-video-unsupported -elements-wrapper "&gt; &lt;div tabindex =" - 1 "class =" airy-video-unsupported-elements airy-dialog-elements "&gt; &lt;div tabindex =" - 1 "class =" airy-video-unsupported-prompt " &gt; &lt;/ div&gt; &lt;/ div&gt; &lt;/ div&gt; &lt;/ div&gt; &lt;/ div&gt; &lt;div tabindex = "- 1" class = "airy-loading-spinner-stage airy-stage"&gt; &lt;div tabindex = "- 1 "class =" airy-loading-spinner-vertical-centering-table-cell airy-vertical-centering-table-cell "&gt; &lt;div tabindex =" - 1 "class =" airy-loading-spinner-container airy-scalable -hint-container "&gt; &lt;div tabindex =" - 1 "class =" airy-loading-spinner-dummy airy-scalable-dummy "&gt; &lt;/ div&gt; &lt;div ta bindex = "- 1" class = "airy-loading-spinner airy-hint" style = "visibility: hidden;"&gt; &lt;/ div&gt; &lt;/ div&gt; &lt;/ div&gt; &lt;/ div&gt; &lt;div tabindex = "- 1 "class =" airy-ads-screen-size-toggle airy-screen-size-toggle airy-fullscreen "style =" visibility: hidden; "&gt; &lt;/ div&gt; &lt;div tabindex =" - 1 "class =" airy- ad-prompt-container "style =" visibility: hidden; "&gt; &lt;div tabindex =" - 1 "class =" airy-ad-prompt-vertical-centering-table airy-vertical-centering-table "&gt; &lt;div tabindex = "-1" class = "airy-ad-prompt-vertical-centering-table-cell airy-vertical-centering-table-cell"&gt; &lt;div tabindex = "- 1" class = "airy-ad-prompt-label" &gt; &lt;/ div&gt; &lt;/ div&gt; &lt;/ div&gt; &lt;/ div&gt; &lt;div tabindex = "- 1" class = "airy-ads-controls-container" style = "visibility: hidden;"&gt; &lt;div tabindex = " -1 "class =" airy-ads-audio-toggle airy-audio-toggle airy-on "style =" visibility: hidden; "&gt; &lt;/ div&gt; &lt;div tabindex =" - 1 "class =" airy-time- remaining-label-container "&gt; &lt;div tabindex =" - 1 "class =" airy-time-remaining-vertical-centering-table airy-vertical-centering-table "&gt; &lt;div tabindex =" - 1 "class =" airy -time-remaining-vertical- centering-table-cell airy-vertical-centering-table-cell "&gt; &lt;div tabindex =" - 1 "class =" airy-vertical-centering-wrapper airy-time-remaining-label-wrapper "&gt; &lt;div tabindex =" -1 "class =" airy-time-remaining-label "style =" visibility: hidden; "&gt; &lt;/ div&gt; &lt;div tabindex =" - 1 "class =" airy-ad-skip "style =" visibility: hidden ; "&gt; &lt;/ div&gt; &lt;div tabindex =" - 1 "class =" airy-ad-end "style =" visibility: hidden; "&gt; &lt;/ div&gt; &lt;/ div&gt; &lt;/ div&gt; &lt;/ div&gt; &lt; / div&gt; &lt;div tabindex = "- 1" class = "airy-learn-more" style = "visibility: hidden;"&gt; &lt;/ div&gt; &lt;/ div&gt; &lt;div tabindex = "- 1" class = "airy- play-toggle-hint-stage airy-stage airy-cursor "&gt; &lt;div tabindex =" - 1 "class =" airy-play-toggle-hint-vertical-centering-table-cell airy-vertical-centering-table-cell airy-cursor "&gt; &lt;div tabindex =" - 1 "class =" airy-play-toggle-hint-container airy-scalable-hint-container "&gt; &lt;div tabindex =" - 1 "class =" airy-play-toggle -hint-dummy airy-scalable-dummy "&gt; &lt;/ div&gt; &lt;div tabindex =" - 1 "class =" airy-play-toggle-hint airy-hint airy-play-hint "style =" opacity: 1; visibility : visible; "&gt; &lt;/ div&gt; &lt;/ div&gt; &lt;/ div&gt; &lt;/ d iv&gt; &lt;div tabindex = "- 1" class = "airy-replay-hint-stage airy-stage" style = "visibility: hidden;"&gt; &lt;div tabindex = "- 1" class = "airy-replay-hint- vertical-centering-table-cell airy-vertical-centering-table-cell airy-cursor "&gt; &lt;div tabindex =" - 1 "class =" airy-replay-hint-container airy-scalable-hint-container "&gt; &lt;div tabindex = "- 1" class = "airy-replay-hint-dummy airy-scalable-dummy"&gt; &lt;/ div&gt; &lt;div tabindex = "- 1" class = "airy-replay-hint airy-hint"&gt; &lt;/ div&gt; &lt;/ div&gt; &lt;/ div&gt; &lt;/ div&gt; &lt;div tabindex = "- 1" class = "airy-autoplay-hint-stage airy-stage" style = "visibility: hidden;"&gt; &lt;div tabindex = " -1 "class =" airy-autoplay-hint-vertical-centering-table-cell airy-vertical-centering-table-cell airy-cursor "&gt; &lt;div tabindex =" - 1 "class =" airy-autoplay-hint- container airy-scalable-hint-container "&gt; &lt;div tabindex =" - 1 "class =" airy-autoplay-hint-dummy airy-scalable-dummy "&gt; &lt;/ div&gt; &lt;/ div&gt; &lt;/ div&gt; &lt;/ div &gt; &lt;/ div&gt; &lt;/ div&gt; &lt;input type = "hidden" name = "" value = "https://images-cn.ssl-images-amazon.com/images/I/91cUzu6nbAS.mp4" class = " video-url "&gt; &lt;input type =" hidden "na me = "" value = "https://images-cn.ssl-images-amazon.com/images/I/91RyirbIJ+S.png" class = "video-slate-img-url"&gt; &amp; nbsp; work in general, torsional force control ah plastic binding site because they do not impact riveting issued clicks.</v>
      </c>
    </row>
    <row r="9388">
      <c r="A9388" s="1">
        <v>3.0</v>
      </c>
      <c r="B9388" s="1" t="s">
        <v>9325</v>
      </c>
      <c r="C9388" t="str">
        <f>IFERROR(__xludf.DUMMYFUNCTION("GOOGLETRANSLATE(B9388, ""zh"", ""en"")"),"Shoe size is too large, this is not a new usually 37 corresponding to the code number of large, small one yard proposed election, but unlike new shoes, like passing, in front of wrinkles. Not satisfied")</f>
        <v>Shoe size is too large, this is not a new usually 37 corresponding to the code number of large, small one yard proposed election, but unlike new shoes, like passing, in front of wrinkles. Not satisfied</v>
      </c>
    </row>
    <row r="9389">
      <c r="A9389" s="1">
        <v>3.0</v>
      </c>
      <c r="B9389" s="1" t="s">
        <v>9326</v>
      </c>
      <c r="C9389" t="str">
        <f>IFERROR(__xludf.DUMMYFUNCTION("GOOGLETRANSLATE(B9389, ""zh"", ""en"")"),"There has been unable to start the unlock button in flash What does it mean? Press the Start button to no avail.")</f>
        <v>There has been unable to start the unlock button in flash What does it mean? Press the Start button to no avail.</v>
      </c>
    </row>
    <row r="9390">
      <c r="A9390" s="1">
        <v>3.0</v>
      </c>
      <c r="B9390" s="1" t="s">
        <v>9327</v>
      </c>
      <c r="C9390" t="str">
        <f>IFERROR(__xludf.DUMMYFUNCTION("GOOGLETRANSLATE(B9390, ""zh"", ""en"")"),"In addition to a small point a little small the other is good, the problem is not given Dema dimensions, can only buy a seat of your pants, the intention to return, and later the Amazon customer service solutions can be considered satisfied with it")</f>
        <v>In addition to a small point a little small the other is good, the problem is not given Dema dimensions, can only buy a seat of your pants, the intention to return, and later the Amazon customer service solutions can be considered satisfied with it</v>
      </c>
    </row>
    <row r="9391">
      <c r="A9391" s="1">
        <v>1.0</v>
      </c>
      <c r="B9391" s="1" t="s">
        <v>9328</v>
      </c>
      <c r="C9391" t="str">
        <f>IFERROR(__xludf.DUMMYFUNCTION("GOOGLETRANSLATE(B9391, ""zh"", ""en"")"),"Size does not write too vague Amazon's size, when the older children's shoes to buy, but it is a child's size, toss return to the United States, it is troublesome, distracting waste of money!")</f>
        <v>Size does not write too vague Amazon's size, when the older children's shoes to buy, but it is a child's size, toss return to the United States, it is troublesome, distracting waste of money!</v>
      </c>
    </row>
    <row r="9392">
      <c r="A9392" s="1">
        <v>1.0</v>
      </c>
      <c r="B9392" s="1" t="s">
        <v>9329</v>
      </c>
      <c r="C9392" t="str">
        <f>IFERROR(__xludf.DUMMYFUNCTION("GOOGLETRANSLATE(B9392, ""zh"", ""en"")"),"Bought less than four months on the price of 171 dollars difference can return it? Will! Things are good things, baby food supplement have relied, in August 2014 No. 6 buy, buy when the price is 520 yuan, to buy less than four months, the price fell to 34"&amp;"9 yuan up! Just four months, prices have sent 171 yuan ah! Amazon can retire Chaijia it? ! Distressed ah!")</f>
        <v>Bought less than four months on the price of 171 dollars difference can return it? Will! Things are good things, baby food supplement have relied, in August 2014 No. 6 buy, buy when the price is 520 yuan, to buy less than four months, the price fell to 349 yuan up! Just four months, prices have sent 171 yuan ah! Amazon can retire Chaijia it? ! Distressed ah!</v>
      </c>
    </row>
    <row r="9393">
      <c r="A9393" s="1">
        <v>1.0</v>
      </c>
      <c r="B9393" s="1" t="s">
        <v>9330</v>
      </c>
      <c r="C9393" t="str">
        <f>IFERROR(__xludf.DUMMYFUNCTION("GOOGLETRANSLATE(B9393, ""zh"", ""en"")"),"Worth the price difference Haofan, after timing chunk pointer to zero, at 0 to simply can not, nor the date jump, Poor")</f>
        <v>Worth the price difference Haofan, after timing chunk pointer to zero, at 0 to simply can not, nor the date jump, Poor</v>
      </c>
    </row>
    <row r="9394">
      <c r="A9394" s="1">
        <v>4.0</v>
      </c>
      <c r="B9394" s="1" t="s">
        <v>9331</v>
      </c>
      <c r="C9394" t="str">
        <f>IFERROR(__xludf.DUMMYFUNCTION("GOOGLETRANSLATE(B9394, ""zh"", ""en"")"),"[Gunze] no rims bra is too loose, the belt deformation.")</f>
        <v>[Gunze] no rims bra is too loose, the belt deformation.</v>
      </c>
    </row>
    <row r="9395">
      <c r="A9395" s="1">
        <v>4.0</v>
      </c>
      <c r="B9395" s="1" t="s">
        <v>9332</v>
      </c>
      <c r="C9395" t="str">
        <f>IFERROR(__xludf.DUMMYFUNCTION("GOOGLETRANSLATE(B9395, ""zh"", ""en"")"),"Also 177cm, 75kg, wear m length a little bit, too fat suitable. I do not like the Slim models.")</f>
        <v>Also 177cm, 75kg, wear m length a little bit, too fat suitable. I do not like the Slim models.</v>
      </c>
    </row>
    <row r="9396">
      <c r="A9396" s="1">
        <v>4.0</v>
      </c>
      <c r="B9396" s="1" t="s">
        <v>9333</v>
      </c>
      <c r="C9396" t="str">
        <f>IFERROR(__xludf.DUMMYFUNCTION("GOOGLETRANSLATE(B9396, ""zh"", ""en"")"),"Very soft and smooth feel pretty good, is a little big points")</f>
        <v>Very soft and smooth feel pretty good, is a little big points</v>
      </c>
    </row>
    <row r="9397">
      <c r="A9397" s="1">
        <v>4.0</v>
      </c>
      <c r="B9397" s="1" t="s">
        <v>9334</v>
      </c>
      <c r="C9397" t="str">
        <f>IFERROR(__xludf.DUMMYFUNCTION("GOOGLETRANSLATE(B9397, ""zh"", ""en"")"),"No blotter reasonable price but no ink absorber is inconvenient")</f>
        <v>No blotter reasonable price but no ink absorber is inconvenient</v>
      </c>
    </row>
    <row r="9398">
      <c r="A9398" s="1">
        <v>5.0</v>
      </c>
      <c r="B9398" s="1" t="s">
        <v>9335</v>
      </c>
      <c r="C9398" t="str">
        <f>IFERROR(__xludf.DUMMYFUNCTION("GOOGLETRANSLATE(B9398, ""zh"", ""en"")"),"Sea Amoy value for money very cheap, the price climb 100. Very nice watch, case and strap are synthetic materials, glass table mirror is the decade of the battery. Powerful, water 100 m, time zones, countdown, multiple alarms, analog dial, light, silent m"&amp;"ode, to meet the general daily use. Amazon's own sea Amoy, absolutely trustworthy.")</f>
        <v>Sea Amoy value for money very cheap, the price climb 100. Very nice watch, case and strap are synthetic materials, glass table mirror is the decade of the battery. Powerful, water 100 m, time zones, countdown, multiple alarms, analog dial, light, silent mode, to meet the general daily use. Amazon's own sea Amoy, absolutely trustworthy.</v>
      </c>
    </row>
    <row r="9399">
      <c r="A9399" s="1">
        <v>5.0</v>
      </c>
      <c r="B9399" s="1" t="s">
        <v>9336</v>
      </c>
      <c r="C9399" t="str">
        <f>IFERROR(__xludf.DUMMYFUNCTION("GOOGLETRANSLATE(B9399, ""zh"", ""en"")"),"A little short some a little shorter, it is recommended to buy a bigger size")</f>
        <v>A little short some a little shorter, it is recommended to buy a bigger size</v>
      </c>
    </row>
    <row r="9400">
      <c r="A9400" s="1">
        <v>5.0</v>
      </c>
      <c r="B9400" s="1" t="s">
        <v>9337</v>
      </c>
      <c r="C9400" t="str">
        <f>IFERROR(__xludf.DUMMYFUNCTION("GOOGLETRANSLATE(B9400, ""zh"", ""en"")"),"Aegis Aegis same paragraph with the money bureau, love, read speed and write speed are pretty good")</f>
        <v>Aegis Aegis same paragraph with the money bureau, love, read speed and write speed are pretty good</v>
      </c>
    </row>
    <row r="9401">
      <c r="A9401" s="1">
        <v>5.0</v>
      </c>
      <c r="B9401" s="1" t="s">
        <v>9338</v>
      </c>
      <c r="C9401" t="str">
        <f>IFERROR(__xludf.DUMMYFUNCTION("GOOGLETRANSLATE(B9401, ""zh"", ""en"")"),"Good-looking watch has been received, very pretty, left needle out of the box, I do not know is not true, the instructions are in English and can not read is no way to check the authenticity, but I believe Amazon import goods")</f>
        <v>Good-looking watch has been received, very pretty, left needle out of the box, I do not know is not true, the instructions are in English and can not read is no way to check the authenticity, but I believe Amazon import goods</v>
      </c>
    </row>
    <row r="9402">
      <c r="A9402" s="1">
        <v>5.0</v>
      </c>
      <c r="B9402" s="1" t="s">
        <v>9339</v>
      </c>
      <c r="C9402" t="str">
        <f>IFERROR(__xludf.DUMMYFUNCTION("GOOGLETRANSLATE(B9402, ""zh"", ""en"")"),"980 to buy 980 to buy the absolute value of the absolute value of the intermediate frequency sound a little bit concave, the other very good")</f>
        <v>980 to buy 980 to buy the absolute value of the absolute value of the intermediate frequency sound a little bit concave, the other very good</v>
      </c>
    </row>
    <row r="9403">
      <c r="A9403" s="1">
        <v>5.0</v>
      </c>
      <c r="B9403" s="1" t="s">
        <v>9340</v>
      </c>
      <c r="C9403" t="str">
        <f>IFERROR(__xludf.DUMMYFUNCTION("GOOGLETRANSLATE(B9403, ""zh"", ""en"")"),"How to choose 110 pounds 165cm small size just right, if what you want to wear when pajamas, you can buy a bigger size clothes are not very amazing feeling cotton")</f>
        <v>How to choose 110 pounds 165cm small size just right, if what you want to wear when pajamas, you can buy a bigger size clothes are not very amazing feeling cotton</v>
      </c>
    </row>
    <row r="9404">
      <c r="A9404" s="1">
        <v>5.0</v>
      </c>
      <c r="B9404" s="1" t="s">
        <v>9341</v>
      </c>
      <c r="C9404" t="str">
        <f>IFERROR(__xludf.DUMMYFUNCTION("GOOGLETRANSLATE(B9404, ""zh"", ""en"")"),"Analytical ability a lot cheaper than the official price, high cost.")</f>
        <v>Analytical ability a lot cheaper than the official price, high cost.</v>
      </c>
    </row>
    <row r="9405">
      <c r="A9405" s="1">
        <v>5.0</v>
      </c>
      <c r="B9405" s="1" t="s">
        <v>9342</v>
      </c>
      <c r="C9405" t="str">
        <f>IFERROR(__xludf.DUMMYFUNCTION("GOOGLETRANSLATE(B9405, ""zh"", ""en"")"),"Satisfied, good quality, affordable Zojirushi pot of stew very satisfied, I'm not used to stew, soup and noodles just used, very good insulation effect, to do the morning to the evening as well as temperature, very satisfied")</f>
        <v>Satisfied, good quality, affordable Zojirushi pot of stew very satisfied, I'm not used to stew, soup and noodles just used, very good insulation effect, to do the morning to the evening as well as temperature, very satisfied</v>
      </c>
    </row>
    <row r="9406">
      <c r="A9406" s="1">
        <v>5.0</v>
      </c>
      <c r="B9406" s="1" t="s">
        <v>9343</v>
      </c>
      <c r="C9406" t="str">
        <f>IFERROR(__xludf.DUMMYFUNCTION("GOOGLETRANSLATE(B9406, ""zh"", ""en"")"),"Put on this nice pants, and warm and comfortable")</f>
        <v>Put on this nice pants, and warm and comfortable</v>
      </c>
    </row>
    <row r="9407">
      <c r="A9407" s="1">
        <v>5.0</v>
      </c>
      <c r="B9407" s="1" t="s">
        <v>9344</v>
      </c>
      <c r="C9407" t="str">
        <f>IFERROR(__xludf.DUMMYFUNCTION("GOOGLETRANSLATE(B9407, ""zh"", ""en"")"),"Comments also heading in the middle of this cargo e5 and tangled for a while, see what God is even 899 price e5 Yeah, also with a decisive spike 10 yuan tickets, the actual 889. The overall sound quality to meet the demand, some of the light than the orig"&amp;"inal m200mk2, listening without getting tired. Volume control switch on the front is also very convenient. Noise floor near 30 cm quite obvious, but the actual use did not affect. There is a small problem, from the time a minimum volume began to increase,"&amp;" there is a main point no sound box, auxiliary box has, in the past this point and then back to normal. I do not know if there is a problem potentiometer. Replacement very troublesome, first with it, wanted to be like the same m200 made seven or eight yea"&amp;"rs.")</f>
        <v>Comments also heading in the middle of this cargo e5 and tangled for a while, see what God is even 899 price e5 Yeah, also with a decisive spike 10 yuan tickets, the actual 889. The overall sound quality to meet the demand, some of the light than the original m200mk2, listening without getting tired. Volume control switch on the front is also very convenient. Noise floor near 30 cm quite obvious, but the actual use did not affect. There is a small problem, from the time a minimum volume began to increase, there is a main point no sound box, auxiliary box has, in the past this point and then back to normal. I do not know if there is a problem potentiometer. Replacement very troublesome, first with it, wanted to be like the same m200 made seven or eight years.</v>
      </c>
    </row>
    <row r="9408">
      <c r="A9408" s="1">
        <v>5.0</v>
      </c>
      <c r="B9408" s="1" t="s">
        <v>9345</v>
      </c>
      <c r="C9408" t="str">
        <f>IFERROR(__xludf.DUMMYFUNCTION("GOOGLETRANSLATE(B9408, ""zh"", ""en"")"),"To give the child a good child with a good ,,,,")</f>
        <v>To give the child a good child with a good ,,,,</v>
      </c>
    </row>
    <row r="9409">
      <c r="A9409" s="1">
        <v>5.0</v>
      </c>
      <c r="B9409" s="1" t="s">
        <v>9346</v>
      </c>
      <c r="C9409" t="str">
        <f>IFERROR(__xludf.DUMMYFUNCTION("GOOGLETRANSLATE(B9409, ""zh"", ""en"")"),"The best prices cheaper than doubled stores, durable traditional style")</f>
        <v>The best prices cheaper than doubled stores, durable traditional style</v>
      </c>
    </row>
    <row r="9410">
      <c r="A9410" s="1">
        <v>5.0</v>
      </c>
      <c r="B9410" s="1" t="s">
        <v>9347</v>
      </c>
      <c r="C9410" t="str">
        <f>IFERROR(__xludf.DUMMYFUNCTION("GOOGLETRANSLATE(B9410, ""zh"", ""en"")"),"Living color of lead used to have oily color of lead Faber-Castell green box and Mark Renoir, want to try the American Sanford. Week of receiving orders, and immediately tried it and found very creamy, very suitable for drawing shadows, color is natural, "&amp;"bright and with a soft lining, full tone without appearing awkward, drawn on paper as a kind of nightmare It feels, which is wax-based, very soft, but have overlapping color easily, can not worry about the color overlapping calculating its limit. It is pa"&amp;"inted on paper but also exudes faint traces of cream incense, as if its life. Unfortunately, a small box is in the transport of two concave injury, there are a few faint crack in the pen, some people worry about their future.")</f>
        <v>Living color of lead used to have oily color of lead Faber-Castell green box and Mark Renoir, want to try the American Sanford. Week of receiving orders, and immediately tried it and found very creamy, very suitable for drawing shadows, color is natural, bright and with a soft lining, full tone without appearing awkward, drawn on paper as a kind of nightmare It feels, which is wax-based, very soft, but have overlapping color easily, can not worry about the color overlapping calculating its limit. It is painted on paper but also exudes faint traces of cream incense, as if its life. Unfortunately, a small box is in the transport of two concave injury, there are a few faint crack in the pen, some people worry about their future.</v>
      </c>
    </row>
    <row r="9411">
      <c r="A9411" s="1">
        <v>5.0</v>
      </c>
      <c r="B9411" s="1" t="s">
        <v>9348</v>
      </c>
      <c r="C9411" t="str">
        <f>IFERROR(__xludf.DUMMYFUNCTION("GOOGLETRANSLATE(B9411, ""zh"", ""en"")"),"Like the heel fit, very thick leather, good air permeability. Completely different to normal.")</f>
        <v>Like the heel fit, very thick leather, good air permeability. Completely different to normal.</v>
      </c>
    </row>
    <row r="9412">
      <c r="A9412" s="1">
        <v>5.0</v>
      </c>
      <c r="B9412" s="1" t="s">
        <v>9349</v>
      </c>
      <c r="C9412" t="str">
        <f>IFERROR(__xludf.DUMMYFUNCTION("GOOGLETRANSLATE(B9412, ""zh"", ""en"")"),"Exquisite good quality, fashionable design and reasonable place to hold the baby.")</f>
        <v>Exquisite good quality, fashionable design and reasonable place to hold the baby.</v>
      </c>
    </row>
    <row r="9413">
      <c r="A9413" s="1">
        <v>5.0</v>
      </c>
      <c r="B9413" s="1" t="s">
        <v>9350</v>
      </c>
      <c r="C9413" t="str">
        <f>IFERROR(__xludf.DUMMYFUNCTION("GOOGLETRANSLATE(B9413, ""zh"", ""en"")"),"Needs with a handy adapter, the sound is not particularly large, easy to use")</f>
        <v>Needs with a handy adapter, the sound is not particularly large, easy to use</v>
      </c>
    </row>
    <row r="9414">
      <c r="A9414" s="1">
        <v>5.0</v>
      </c>
      <c r="B9414" s="1" t="s">
        <v>9351</v>
      </c>
      <c r="C9414" t="str">
        <f>IFERROR(__xludf.DUMMYFUNCTION("GOOGLETRANSLATE(B9414, ""zh"", ""en"")"),"The right size, good quality, delivery a week faster than expected, the right size, good quality, delivery a week faster than expected")</f>
        <v>The right size, good quality, delivery a week faster than expected, the right size, good quality, delivery a week faster than expected</v>
      </c>
    </row>
    <row r="9415">
      <c r="A9415" s="1">
        <v>5.0</v>
      </c>
      <c r="B9415" s="1" t="s">
        <v>9352</v>
      </c>
      <c r="C9415" t="str">
        <f>IFERROR(__xludf.DUMMYFUNCTION("GOOGLETRANSLATE(B9415, ""zh"", ""en"")"),"The high cost clothes feel good, worthy of recommendation")</f>
        <v>The high cost clothes feel good, worthy of recommendation</v>
      </c>
    </row>
    <row r="9416">
      <c r="A9416" s="1">
        <v>5.0</v>
      </c>
      <c r="B9416" s="1" t="s">
        <v>9353</v>
      </c>
      <c r="C9416" t="str">
        <f>IFERROR(__xludf.DUMMYFUNCTION("GOOGLETRANSLATE(B9416, ""zh"", ""en"")"),"It is worth to buy back a few times into a high tooth loss")</f>
        <v>It is worth to buy back a few times into a high tooth loss</v>
      </c>
    </row>
    <row r="9417">
      <c r="A9417" s="1">
        <v>5.0</v>
      </c>
      <c r="B9417" s="1" t="s">
        <v>9354</v>
      </c>
      <c r="C9417" t="str">
        <f>IFERROR(__xludf.DUMMYFUNCTION("GOOGLETRANSLATE(B9417, ""zh"", ""en"")"),"Good capacity, insulation, and insulation can be used for a long time do not feel the 〒_〒")</f>
        <v>Good capacity, insulation, and insulation can be used for a long time do not feel the 〒_〒</v>
      </c>
    </row>
    <row r="9418">
      <c r="A9418" s="1">
        <v>5.0</v>
      </c>
      <c r="B9418" s="1" t="s">
        <v>9355</v>
      </c>
      <c r="C9418" t="str">
        <f>IFERROR(__xludf.DUMMYFUNCTION("GOOGLETRANSLATE(B9418, ""zh"", ""en"")"),"Well looked a long time before the next single, Tuen to the baby, good quality, price concessions.")</f>
        <v>Well looked a long time before the next single, Tuen to the baby, good quality, price concessions.</v>
      </c>
    </row>
    <row r="9419">
      <c r="A9419" s="1">
        <v>5.0</v>
      </c>
      <c r="B9419" s="1" t="s">
        <v>9356</v>
      </c>
      <c r="C9419" t="str">
        <f>IFERROR(__xludf.DUMMYFUNCTION("GOOGLETRANSLATE(B9419, ""zh"", ""en"")"),"The size of the right size to buy just right, U.K. 4.5, equivalent to 36.5-37 way, the soles do not pray degradation.")</f>
        <v>The size of the right size to buy just right, U.K. 4.5, equivalent to 36.5-37 way, the soles do not pray degradation.</v>
      </c>
    </row>
    <row r="9420">
      <c r="A9420" s="1">
        <v>2.0</v>
      </c>
      <c r="B9420" s="1" t="s">
        <v>9357</v>
      </c>
      <c r="C9420" t="str">
        <f>IFERROR(__xludf.DUMMYFUNCTION("GOOGLETRANSLATE(B9420, ""zh"", ""en"")"),"Buy a little bit small 4.5, usually wear Nike is 36.5 NB is 37, this is too large puma shoes, so I did not expect to buy a 4.5 foot a little bit crowded, but the soles a little bit uncomfortable, but also be affordable, that is, and other well anxious, I "&amp;"want to give five stars, but to point to two and a half years, so sad")</f>
        <v>Buy a little bit small 4.5, usually wear Nike is 36.5 NB is 37, this is too large puma shoes, so I did not expect to buy a 4.5 foot a little bit crowded, but the soles a little bit uncomfortable, but also be affordable, that is, and other well anxious, I want to give five stars, but to point to two and a half years, so sad</v>
      </c>
    </row>
    <row r="9421">
      <c r="A9421" s="1">
        <v>3.0</v>
      </c>
      <c r="B9421" s="1" t="s">
        <v>9358</v>
      </c>
      <c r="C9421" t="str">
        <f>IFERROR(__xludf.DUMMYFUNCTION("GOOGLETRANSLATE(B9421, ""zh"", ""en"")"),"Commodity careful to buy a wave of international famous shops of goods tide a famous international franchise stores careful to buy")</f>
        <v>Commodity careful to buy a wave of international famous shops of goods tide a famous international franchise stores careful to buy</v>
      </c>
    </row>
    <row r="9422">
      <c r="A9422" s="1">
        <v>3.0</v>
      </c>
      <c r="B9422" s="1" t="s">
        <v>9359</v>
      </c>
      <c r="C9422" t="str">
        <f>IFERROR(__xludf.DUMMYFUNCTION("GOOGLETRANSLATE(B9422, ""zh"", ""en"")"),"Stainless steel and rusty expected, cost-effective, but the 304 stainless steel accidentally rusty, though not much rust")</f>
        <v>Stainless steel and rusty expected, cost-effective, but the 304 stainless steel accidentally rusty, though not much rust</v>
      </c>
    </row>
    <row r="9423">
      <c r="A9423" s="1">
        <v>3.0</v>
      </c>
      <c r="B9423" s="1" t="s">
        <v>9360</v>
      </c>
      <c r="C9423" t="str">
        <f>IFERROR(__xludf.DUMMYFUNCTION("GOOGLETRANSLATE(B9423, ""zh"", ""en"")"),"Things okay, that is returned back tariff for four months! ! ! Things in general, after all, at this price, pay the tariff, four months later to retire, do not pay the original account, and also can not change the account, which is the return of the tarif"&amp;"f is not received. After not necessary, do not buy things on Amazon.")</f>
        <v>Things okay, that is returned back tariff for four months! ! ! Things in general, after all, at this price, pay the tariff, four months later to retire, do not pay the original account, and also can not change the account, which is the return of the tariff is not received. After not necessary, do not buy things on Amazon.</v>
      </c>
    </row>
    <row r="9424">
      <c r="A9424" s="1">
        <v>1.0</v>
      </c>
      <c r="B9424" s="1" t="s">
        <v>9361</v>
      </c>
      <c r="C9424" t="str">
        <f>IFERROR(__xludf.DUMMYFUNCTION("GOOGLETRANSLATE(B9424, ""zh"", ""en"")"),"Received a second-hand goods received headphones, obvious is the old, box sealing tape is torn off, the headset charging port plug several times obvious traces. German guy is not authentic, advise better not buy.")</f>
        <v>Received a second-hand goods received headphones, obvious is the old, box sealing tape is torn off, the headset charging port plug several times obvious traces. German guy is not authentic, advise better not buy.</v>
      </c>
    </row>
    <row r="9425">
      <c r="A9425" s="1">
        <v>1.0</v>
      </c>
      <c r="B9425" s="1" t="s">
        <v>9362</v>
      </c>
      <c r="C9425" t="str">
        <f>IFERROR(__xludf.DUMMYFUNCTION("GOOGLETRANSLATE(B9425, ""zh"", ""en"")"),"Fake feeling disappointed, the first number is too large, but can tolerate, but inside and outside hair loss really terrible, I bought a lot of brands of pants Guardian, including never appeared high imitation of such a situation, the feeling of the Amazo"&amp;"n to sell fakes, it quickly off the shelf")</f>
        <v>Fake feeling disappointed, the first number is too large, but can tolerate, but inside and outside hair loss really terrible, I bought a lot of brands of pants Guardian, including never appeared high imitation of such a situation, the feeling of the Amazon to sell fakes, it quickly off the shelf</v>
      </c>
    </row>
    <row r="9426">
      <c r="A9426" s="1">
        <v>4.0</v>
      </c>
      <c r="B9426" s="1" t="s">
        <v>9363</v>
      </c>
      <c r="C9426" t="str">
        <f>IFERROR(__xludf.DUMMYFUNCTION("GOOGLETRANSLATE(B9426, ""zh"", ""en"")"),"Comfort version good version, but the fabric in general, easy to play ball")</f>
        <v>Comfort version good version, but the fabric in general, easy to play ball</v>
      </c>
    </row>
    <row r="9427">
      <c r="A9427" s="1">
        <v>4.0</v>
      </c>
      <c r="B9427" s="1" t="s">
        <v>9364</v>
      </c>
      <c r="C9427" t="str">
        <f>IFERROR(__xludf.DUMMYFUNCTION("GOOGLETRANSLATE(B9427, ""zh"", ""en"")"),"I want to know is the good quality of goods is the real thing. I most want to watch out for is a traitor to deceive. Consistent with the promotion of goods, the future will buy.")</f>
        <v>I want to know is the good quality of goods is the real thing. I most want to watch out for is a traitor to deceive. Consistent with the promotion of goods, the future will buy.</v>
      </c>
    </row>
    <row r="9428">
      <c r="A9428" s="1">
        <v>4.0</v>
      </c>
      <c r="B9428" s="1" t="s">
        <v>9365</v>
      </c>
      <c r="C9428" t="str">
        <f>IFERROR(__xludf.DUMMYFUNCTION("GOOGLETRANSLATE(B9428, ""zh"", ""en"")"),"The general quality; the price is reasonable! 168cm / 77kg small!")</f>
        <v>The general quality; the price is reasonable! 168cm / 77kg small!</v>
      </c>
    </row>
    <row r="9429">
      <c r="A9429" s="1">
        <v>4.0</v>
      </c>
      <c r="B9429" s="1" t="s">
        <v>9366</v>
      </c>
      <c r="C9429" t="str">
        <f>IFERROR(__xludf.DUMMYFUNCTION("GOOGLETRANSLATE(B9429, ""zh"", ""en"")"),"Fair! Things can be, is a little worry about this strap, buckle hanging at the tight, do not know a year or two can not be so strong!")</f>
        <v>Fair! Things can be, is a little worry about this strap, buckle hanging at the tight, do not know a year or two can not be so strong!</v>
      </c>
    </row>
    <row r="9430">
      <c r="A9430" s="1">
        <v>4.0</v>
      </c>
      <c r="B9430" s="1" t="s">
        <v>9367</v>
      </c>
      <c r="C9430" t="str">
        <f>IFERROR(__xludf.DUMMYFUNCTION("GOOGLETRANSLATE(B9430, ""zh"", ""en"")"),"Version really good version type super good. So wear will be very hard. Very positive yardage. 36/37 37 usually bought. Freshman a little bit more comfortable to wear. Shoes obvious big feet")</f>
        <v>Version really good version type super good. So wear will be very hard. Very positive yardage. 36/37 37 usually bought. Freshman a little bit more comfortable to wear. Shoes obvious big feet</v>
      </c>
    </row>
    <row r="9431">
      <c r="A9431" s="1">
        <v>5.0</v>
      </c>
      <c r="B9431" s="1" t="s">
        <v>9368</v>
      </c>
      <c r="C9431" t="str">
        <f>IFERROR(__xludf.DUMMYFUNCTION("GOOGLETRANSLATE(B9431, ""zh"", ""en"")"),"Good use, try holding the attitude beginning")</f>
        <v>Good use, try holding the attitude beginning</v>
      </c>
    </row>
    <row r="9432">
      <c r="A9432" s="1">
        <v>5.0</v>
      </c>
      <c r="B9432" s="1" t="s">
        <v>9369</v>
      </c>
      <c r="C9432" t="str">
        <f>IFERROR(__xludf.DUMMYFUNCTION("GOOGLETRANSLATE(B9432, ""zh"", ""en"")"),"Helium bought nas disk use, helium disk")</f>
        <v>Helium bought nas disk use, helium disk</v>
      </c>
    </row>
    <row r="9433">
      <c r="A9433" s="1">
        <v>5.0</v>
      </c>
      <c r="B9433" s="1" t="s">
        <v>9370</v>
      </c>
      <c r="C9433" t="str">
        <f>IFERROR(__xludf.DUMMYFUNCTION("GOOGLETRANSLATE(B9433, ""zh"", ""en"")"),"Very comfortable shoes are very comfortable pair of shoes, as always, strong, firm grip soles. Just when wearing, slightly stiff, a day later and very comfortable fit.")</f>
        <v>Very comfortable shoes are very comfortable pair of shoes, as always, strong, firm grip soles. Just when wearing, slightly stiff, a day later and very comfortable fit.</v>
      </c>
    </row>
    <row r="9434">
      <c r="A9434" s="1">
        <v>5.0</v>
      </c>
      <c r="B9434" s="1" t="s">
        <v>9371</v>
      </c>
      <c r="C9434" t="str">
        <f>IFERROR(__xludf.DUMMYFUNCTION("GOOGLETRANSLATE(B9434, ""zh"", ""en"")"),"The country can not guarantee? Very good, fast one week three or four seconds, the high color value. International guarantee, can not guarantee domestic uncertainty, it was verified by Beijing, but the free sale to cut the bracelet, on the whole quite sat"&amp;"isfactory")</f>
        <v>The country can not guarantee? Very good, fast one week three or four seconds, the high color value. International guarantee, can not guarantee domestic uncertainty, it was verified by Beijing, but the free sale to cut the bracelet, on the whole quite satisfactory</v>
      </c>
    </row>
    <row r="9435">
      <c r="A9435" s="1">
        <v>5.0</v>
      </c>
      <c r="B9435" s="1" t="s">
        <v>9372</v>
      </c>
      <c r="C9435" t="str">
        <f>IFERROR(__xludf.DUMMYFUNCTION("GOOGLETRANSLATE(B9435, ""zh"", ""en"")"),"Wear really comfortable, very much. Wear really comfortable, very much.")</f>
        <v>Wear really comfortable, very much. Wear really comfortable, very much.</v>
      </c>
    </row>
    <row r="9436">
      <c r="A9436" s="1">
        <v>5.0</v>
      </c>
      <c r="B9436" s="1" t="s">
        <v>9373</v>
      </c>
      <c r="C9436" t="str">
        <f>IFERROR(__xludf.DUMMYFUNCTION("GOOGLETRANSLATE(B9436, ""zh"", ""en"")"),"Good clothes can moderate thickness, suitable for use in spring and autumn or early winter, there is a layer of mesh internal liner. Overall satisfaction!")</f>
        <v>Good clothes can moderate thickness, suitable for use in spring and autumn or early winter, there is a layer of mesh internal liner. Overall satisfaction!</v>
      </c>
    </row>
    <row r="9437">
      <c r="A9437" s="1">
        <v>5.0</v>
      </c>
      <c r="B9437" s="1" t="s">
        <v>9374</v>
      </c>
      <c r="C9437" t="str">
        <f>IFERROR(__xludf.DUMMYFUNCTION("GOOGLETRANSLATE(B9437, ""zh"", ""en"")"),"Business shirt and sneakers shoe size just right, wearing more comfortable.")</f>
        <v>Business shirt and sneakers shoe size just right, wearing more comfortable.</v>
      </c>
    </row>
    <row r="9438">
      <c r="A9438" s="1">
        <v>5.0</v>
      </c>
      <c r="B9438" s="1" t="s">
        <v>9375</v>
      </c>
      <c r="C9438" t="str">
        <f>IFERROR(__xludf.DUMMYFUNCTION("GOOGLETRANSLATE(B9438, ""zh"", ""en"")"),"Earned the right size, fabric styles are good. The key good price even made belt, I feel earned")</f>
        <v>Earned the right size, fabric styles are good. The key good price even made belt, I feel earned</v>
      </c>
    </row>
    <row r="9439">
      <c r="A9439" s="1">
        <v>5.0</v>
      </c>
      <c r="B9439" s="1" t="s">
        <v>9376</v>
      </c>
      <c r="C9439" t="str">
        <f>IFERROR(__xludf.DUMMYFUNCTION("GOOGLETRANSLATE(B9439, ""zh"", ""en"")"),"DT240Pro only downside is the packaging broke a hole, let OCD I'm so sorry.")</f>
        <v>DT240Pro only downside is the packaging broke a hole, let OCD I'm so sorry.</v>
      </c>
    </row>
    <row r="9440">
      <c r="A9440" s="1">
        <v>5.0</v>
      </c>
      <c r="B9440" s="1" t="s">
        <v>9377</v>
      </c>
      <c r="C9440" t="str">
        <f>IFERROR(__xludf.DUMMYFUNCTION("GOOGLETRANSLATE(B9440, ""zh"", ""en"")"),"Order to Meng Meiqi! Meng Meiqi # # I love the ritual, brother carefully selected mountain branch cold cap, must get, is to force Amazon, overseas direct mail and soon received, the price is very conscience will often repurchase!")</f>
        <v>Order to Meng Meiqi! Meng Meiqi # # I love the ritual, brother carefully selected mountain branch cold cap, must get, is to force Amazon, overseas direct mail and soon received, the price is very conscience will often repurchase!</v>
      </c>
    </row>
    <row r="9441">
      <c r="A9441" s="1">
        <v>5.0</v>
      </c>
      <c r="B9441" s="1" t="s">
        <v>9378</v>
      </c>
      <c r="C9441" t="str">
        <f>IFERROR(__xludf.DUMMYFUNCTION("GOOGLETRANSLATE(B9441, ""zh"", ""en"")"),"I finally have a double NB shoes always wanted to buy a pair of new balance shoes, the Amazon price is very appropriate, express a little long, but worth the wait. I also believe that the quality, support")</f>
        <v>I finally have a double NB shoes always wanted to buy a pair of new balance shoes, the Amazon price is very appropriate, express a little long, but worth the wait. I also believe that the quality, support</v>
      </c>
    </row>
    <row r="9442">
      <c r="A9442" s="1">
        <v>5.0</v>
      </c>
      <c r="B9442" s="1" t="s">
        <v>9379</v>
      </c>
      <c r="C9442" t="str">
        <f>IFERROR(__xludf.DUMMYFUNCTION("GOOGLETRANSLATE(B9442, ""zh"", ""en"")"),"Suitable very close socks, good quality,")</f>
        <v>Suitable very close socks, good quality,</v>
      </c>
    </row>
    <row r="9443">
      <c r="A9443" s="1">
        <v>5.0</v>
      </c>
      <c r="B9443" s="1" t="s">
        <v>9380</v>
      </c>
      <c r="C9443" t="str">
        <f>IFERROR(__xludf.DUMMYFUNCTION("GOOGLETRANSLATE(B9443, ""zh"", ""en"")"),"Basically satisfied obvious blue &lt;div id = ""video-block-R363C07MBHFTHL"" class = ""a-section a-spacing-small a-spacing-top-mini video-block""&gt; &lt;/ div&gt; &lt;input type = "" hidden ""name ="" ""value ="" https://images-cn.ssl-images-amazon.com/images/I/81PbCGK"&amp;"JWLS.mp4 ""class ="" video-url ""&gt; &lt;input type ="" hidden ""name = """" value = ""https://images-cn.ssl-images-amazon.com/images/I/91nJ9FFmqPS.png"" class = ""video-slate-img-url""&gt; &amp; nbsp; Please note: blue-kind no pictures so obvious, ordinary light is "&amp;"more like dark gray. Home near Beijing, forced to close after receiving a successful wave after wave normal automatic admission. Japan movement, is not made in Japan. 180g a little heavy, what size are good.")</f>
        <v>Basically satisfied obvious blue &lt;div id = "video-block-R363C07MBHFTHL" class = "a-section a-spacing-small a-spacing-top-mini video-block"&gt; &lt;/ div&gt; &lt;input type = " hidden "name =" "value =" https://images-cn.ssl-images-amazon.com/images/I/81PbCGKJWLS.mp4 "class =" video-url "&gt; &lt;input type =" hidden "name = "" value = "https://images-cn.ssl-images-amazon.com/images/I/91nJ9FFmqPS.png" class = "video-slate-img-url"&gt; &amp; nbsp; Please note: blue-kind no pictures so obvious, ordinary light is more like dark gray. Home near Beijing, forced to close after receiving a successful wave after wave normal automatic admission. Japan movement, is not made in Japan. 180g a little heavy, what size are good.</v>
      </c>
    </row>
    <row r="9444">
      <c r="A9444" s="1">
        <v>5.0</v>
      </c>
      <c r="B9444" s="1" t="s">
        <v>9381</v>
      </c>
      <c r="C9444" t="str">
        <f>IFERROR(__xludf.DUMMYFUNCTION("GOOGLETRANSLATE(B9444, ""zh"", ""en"")"),"Very good pencil this pencil is very smooth, smooth writing, very good, if the other brands with B, this HB as long as you can, and use of child well")</f>
        <v>Very good pencil this pencil is very smooth, smooth writing, very good, if the other brands with B, this HB as long as you can, and use of child well</v>
      </c>
    </row>
    <row r="9445">
      <c r="A9445" s="1">
        <v>5.0</v>
      </c>
      <c r="B9445" s="1" t="s">
        <v>9382</v>
      </c>
      <c r="C9445" t="str">
        <f>IFERROR(__xludf.DUMMYFUNCTION("GOOGLETRANSLATE(B9445, ""zh"", ""en"")"),"This super applicability for more than three months old baby, exercise your baby's ability to grip, while meeting the needs of the baby bite")</f>
        <v>This super applicability for more than three months old baby, exercise your baby's ability to grip, while meeting the needs of the baby bite</v>
      </c>
    </row>
    <row r="9446">
      <c r="A9446" s="1">
        <v>5.0</v>
      </c>
      <c r="B9446" s="1" t="s">
        <v>9383</v>
      </c>
      <c r="C9446" t="str">
        <f>IFERROR(__xludf.DUMMYFUNCTION("GOOGLETRANSLATE(B9446, ""zh"", ""en"")"),"Casio watches online shopping has been the third time to buy a watch at your website. Watch the appearance of new domineering, I am very fond of, a very satisfactory online shopping experience. To a fifth of praise!")</f>
        <v>Casio watches online shopping has been the third time to buy a watch at your website. Watch the appearance of new domineering, I am very fond of, a very satisfactory online shopping experience. To a fifth of praise!</v>
      </c>
    </row>
    <row r="9447">
      <c r="A9447" s="1">
        <v>5.0</v>
      </c>
      <c r="B9447" s="1" t="s">
        <v>9384</v>
      </c>
      <c r="C9447" t="str">
        <f>IFERROR(__xludf.DUMMYFUNCTION("GOOGLETRANSLATE(B9447, ""zh"", ""en"")"),"High cost is very good, wearing fit, fabric thick, suitable for winter wear, mainly the price is cheaper, a lot cheaper than the store! According poor")</f>
        <v>High cost is very good, wearing fit, fabric thick, suitable for winter wear, mainly the price is cheaper, a lot cheaper than the store! According poor</v>
      </c>
    </row>
    <row r="9448">
      <c r="A9448" s="1">
        <v>5.0</v>
      </c>
      <c r="B9448" s="1" t="s">
        <v>9385</v>
      </c>
      <c r="C9448" t="str">
        <f>IFERROR(__xludf.DUMMYFUNCTION("GOOGLETRANSLATE(B9448, ""zh"", ""en"")"),"L number is now to wear the right size just right, the price is right.")</f>
        <v>L number is now to wear the right size just right, the price is right.</v>
      </c>
    </row>
    <row r="9449">
      <c r="A9449" s="1">
        <v>5.0</v>
      </c>
      <c r="B9449" s="1" t="s">
        <v>9386</v>
      </c>
      <c r="C9449" t="str">
        <f>IFERROR(__xludf.DUMMYFUNCTION("GOOGLETRANSLATE(B9449, ""zh"", ""en"")"),"Lee quickly MarcatoAtlas split primary color press pasta machine 150mm (meaning ... Marcato was perfect pressing machine received immediately began to do a little non-stick noodles - according to his recipe and face - made out of noodles are chewy - absol"&amp;"utely ~ pasta dough sheet weapon, I use a five-speed pressure too fond of, good texture")</f>
        <v>Lee quickly MarcatoAtlas split primary color press pasta machine 150mm (meaning ... Marcato was perfect pressing machine received immediately began to do a little non-stick noodles - according to his recipe and face - made out of noodles are chewy - absolutely ~ pasta dough sheet weapon, I use a five-speed pressure too fond of, good texture</v>
      </c>
    </row>
    <row r="9450">
      <c r="A9450" s="1">
        <v>5.0</v>
      </c>
      <c r="B9450" s="1" t="s">
        <v>9387</v>
      </c>
      <c r="C9450" t="str">
        <f>IFERROR(__xludf.DUMMYFUNCTION("GOOGLETRANSLATE(B9450, ""zh"", ""en"")"),"Received the shoes are tried only in a physical store to buy. Like the store. After you see through how kind.")</f>
        <v>Received the shoes are tried only in a physical store to buy. Like the store. After you see through how kind.</v>
      </c>
    </row>
    <row r="9451">
      <c r="A9451" s="1">
        <v>5.0</v>
      </c>
      <c r="B9451" s="1" t="s">
        <v>9388</v>
      </c>
      <c r="C9451" t="str">
        <f>IFERROR(__xludf.DUMMYFUNCTION("GOOGLETRANSLATE(B9451, ""zh"", ""en"")"),"Cheap and practical household use, size is not the point, texture comfortable than wearing pajamas good.")</f>
        <v>Cheap and practical household use, size is not the point, texture comfortable than wearing pajamas good.</v>
      </c>
    </row>
    <row r="9452">
      <c r="A9452" s="1">
        <v>5.0</v>
      </c>
      <c r="B9452" s="1" t="s">
        <v>9389</v>
      </c>
      <c r="C9452" t="str">
        <f>IFERROR(__xludf.DUMMYFUNCTION("GOOGLETRANSLATE(B9452, ""zh"", ""en"")"),"A pair of shoes very satisfied father was not significant foot large color invincible girl is a little high upper not wear stockings will be a little wear ankle")</f>
        <v>A pair of shoes very satisfied father was not significant foot large color invincible girl is a little high upper not wear stockings will be a little wear ankle</v>
      </c>
    </row>
    <row r="9453">
      <c r="A9453" s="1">
        <v>2.0</v>
      </c>
      <c r="B9453" s="1" t="s">
        <v>9390</v>
      </c>
      <c r="C9453" t="str">
        <f>IFERROR(__xludf.DUMMYFUNCTION("GOOGLETRANSLATE(B9453, ""zh"", ""en"")"),"Not recommended. Low cost. Cortical general, permeability general, it should be because it is the sole PU material, than many previous hard shoes. The only people pleased that the value of the Yen ecco shoes to maintain a consistent level of ugly!")</f>
        <v>Not recommended. Low cost. Cortical general, permeability general, it should be because it is the sole PU material, than many previous hard shoes. The only people pleased that the value of the Yen ecco shoes to maintain a consistent level of ugly!</v>
      </c>
    </row>
    <row r="9454">
      <c r="A9454" s="1">
        <v>3.0</v>
      </c>
      <c r="B9454" s="1" t="s">
        <v>9391</v>
      </c>
      <c r="C9454" t="str">
        <f>IFERROR(__xludf.DUMMYFUNCTION("GOOGLETRANSLATE(B9454, ""zh"", ""en"")"),"PRO shoes for work? Received the shoes look flawed (not like leather with a manly scar that blemishes, flaws is true), as well as feeling PRO is really suitable for work shoes, it's rugged and casual work , wearing foot feeling comfortable that there is n"&amp;"o rhubarb boots. Normal wear, then later still secure in buying Timberland, the kind without the PRO. The personal shopping experience, for reference purposes only.")</f>
        <v>PRO shoes for work? Received the shoes look flawed (not like leather with a manly scar that blemishes, flaws is true), as well as feeling PRO is really suitable for work shoes, it's rugged and casual work , wearing foot feeling comfortable that there is no rhubarb boots. Normal wear, then later still secure in buying Timberland, the kind without the PRO. The personal shopping experience, for reference purposes only.</v>
      </c>
    </row>
    <row r="9455">
      <c r="A9455" s="1">
        <v>3.0</v>
      </c>
      <c r="B9455" s="1" t="s">
        <v>9392</v>
      </c>
      <c r="C9455" t="str">
        <f>IFERROR(__xludf.DUMMYFUNCTION("GOOGLETRANSLATE(B9455, ""zh"", ""en"")"),"In fact, no comprehensive description of goods is not the thinnest kind, relatively tight, spring and autumn wear appropriate, description of goods is not comprehensive .........")</f>
        <v>In fact, no comprehensive description of goods is not the thinnest kind, relatively tight, spring and autumn wear appropriate, description of goods is not comprehensive .........</v>
      </c>
    </row>
    <row r="9456">
      <c r="A9456" s="1">
        <v>1.0</v>
      </c>
      <c r="B9456" s="1" t="s">
        <v>9393</v>
      </c>
      <c r="C9456" t="str">
        <f>IFERROR(__xludf.DUMMYFUNCTION("GOOGLETRANSLATE(B9456, ""zh"", ""en"")"),"Disgusting, I can not afford return shipping bully you no label, no packaging, as well as stocks antivirus do not know the taste of water detergent, do not dare to wear to wear, return shipping to 160, really is rubbish impress")</f>
        <v>Disgusting, I can not afford return shipping bully you no label, no packaging, as well as stocks antivirus do not know the taste of water detergent, do not dare to wear to wear, return shipping to 160, really is rubbish impress</v>
      </c>
    </row>
    <row r="9457">
      <c r="A9457" s="1">
        <v>1.0</v>
      </c>
      <c r="B9457" s="1" t="s">
        <v>9394</v>
      </c>
      <c r="C9457" t="str">
        <f>IFERROR(__xludf.DUMMYFUNCTION("GOOGLETRANSLATE(B9457, ""zh"", ""en"")"),"Do not buy too much time! Open the smell! fade! Washed and had had to wear black fine! Too much time")</f>
        <v>Do not buy too much time! Open the smell! fade! Washed and had had to wear black fine! Too much time</v>
      </c>
    </row>
    <row r="9458">
      <c r="A9458" s="1">
        <v>4.0</v>
      </c>
      <c r="B9458" s="1" t="s">
        <v>9395</v>
      </c>
      <c r="C9458" t="str">
        <f>IFERROR(__xludf.DUMMYFUNCTION("GOOGLETRANSLATE(B9458, ""zh"", ""en"")"),"Always liked this brand of socks that I crossed so many brands of socks to wear the best, not one. There is a bad place is not marked thickness, bought several thickness, not marked illegible")</f>
        <v>Always liked this brand of socks that I crossed so many brands of socks to wear the best, not one. There is a bad place is not marked thickness, bought several thickness, not marked illegible</v>
      </c>
    </row>
    <row r="9459">
      <c r="A9459" s="1">
        <v>4.0</v>
      </c>
      <c r="B9459" s="1" t="s">
        <v>9396</v>
      </c>
      <c r="C9459" t="str">
        <f>IFERROR(__xludf.DUMMYFUNCTION("GOOGLETRANSLATE(B9459, ""zh"", ""en"")"),"Goods put too much perfume fragrance merchandise put too much, too sweet, no other")</f>
        <v>Goods put too much perfume fragrance merchandise put too much, too sweet, no other</v>
      </c>
    </row>
    <row r="9460">
      <c r="A9460" s="1">
        <v>4.0</v>
      </c>
      <c r="B9460" s="1" t="s">
        <v>9397</v>
      </c>
      <c r="C9460" t="str">
        <f>IFERROR(__xludf.DUMMYFUNCTION("GOOGLETRANSLATE(B9460, ""zh"", ""en"")"),"Cheap buy clean water dental floss Bi is directed at the brand, in order to be assured. Before using a lot of guys that paragraph Oral-B, with a long and updating it. As a plug-water dental floss, Bi Jie efforts to scour this small, but the impact of the "&amp;"effect is very comfortable. Shaped so that the actual figure is not very good for business trips to carry storage. Personal and later bought a domestic non-bean red teeth, feeling than this price. Recommend a look.")</f>
        <v>Cheap buy clean water dental floss Bi is directed at the brand, in order to be assured. Before using a lot of guys that paragraph Oral-B, with a long and updating it. As a plug-water dental floss, Bi Jie efforts to scour this small, but the impact of the effect is very comfortable. Shaped so that the actual figure is not very good for business trips to carry storage. Personal and later bought a domestic non-bean red teeth, feeling than this price. Recommend a look.</v>
      </c>
    </row>
    <row r="9461">
      <c r="A9461" s="1">
        <v>4.0</v>
      </c>
      <c r="B9461" s="1" t="s">
        <v>9398</v>
      </c>
      <c r="C9461" t="str">
        <f>IFERROR(__xludf.DUMMYFUNCTION("GOOGLETRANSLATE(B9461, ""zh"", ""en"")"),"The general effect of eating more than 10 days do not see any change, the knee still hurts")</f>
        <v>The general effect of eating more than 10 days do not see any change, the knee still hurts</v>
      </c>
    </row>
    <row r="9462">
      <c r="A9462" s="1">
        <v>4.0</v>
      </c>
      <c r="B9462" s="1" t="s">
        <v>9399</v>
      </c>
      <c r="C9462" t="str">
        <f>IFERROR(__xludf.DUMMYFUNCTION("GOOGLETRANSLATE(B9462, ""zh"", ""en"")"),"Good shoes, good shoes, so how big is 42 yards")</f>
        <v>Good shoes, good shoes, so how big is 42 yards</v>
      </c>
    </row>
    <row r="9463">
      <c r="A9463" s="1">
        <v>5.0</v>
      </c>
      <c r="B9463" s="1" t="s">
        <v>9400</v>
      </c>
      <c r="C9463" t="str">
        <f>IFERROR(__xludf.DUMMYFUNCTION("GOOGLETRANSLATE(B9463, ""zh"", ""en"")"),"High quality, original German imported from Germany, looks beautiful, the price is. Amazon is great!")</f>
        <v>High quality, original German imported from Germany, looks beautiful, the price is. Amazon is great!</v>
      </c>
    </row>
    <row r="9464">
      <c r="A9464" s="1">
        <v>5.0</v>
      </c>
      <c r="B9464" s="1" t="s">
        <v>9401</v>
      </c>
      <c r="C9464" t="str">
        <f>IFERROR(__xludf.DUMMYFUNCTION("GOOGLETRANSLATE(B9464, ""zh"", ""en"")"),"Foreign normal size clothes were comfortable, breathable and also can be. Lee did not like the shirt so there are several loose, but a normal fit, long-sleeved sleeve slightly smaller than the average of some, it may be because cotton is more, less flexib"&amp;"le than nylon material, feel smaller.")</f>
        <v>Foreign normal size clothes were comfortable, breathable and also can be. Lee did not like the shirt so there are several loose, but a normal fit, long-sleeved sleeve slightly smaller than the average of some, it may be because cotton is more, less flexible than nylon material, feel smaller.</v>
      </c>
    </row>
    <row r="9465">
      <c r="A9465" s="1">
        <v>5.0</v>
      </c>
      <c r="B9465" s="1" t="s">
        <v>9402</v>
      </c>
      <c r="C9465" t="str">
        <f>IFERROR(__xludf.DUMMYFUNCTION("GOOGLETRANSLATE(B9465, ""zh"", ""en"")"),"A small bowl, pay attention to the size before you buy good looking, is not very concerned about the size before you buy, you receive discovery is the kind of small bowl. The size of the price, quite expensive ah")</f>
        <v>A small bowl, pay attention to the size before you buy good looking, is not very concerned about the size before you buy, you receive discovery is the kind of small bowl. The size of the price, quite expensive ah</v>
      </c>
    </row>
    <row r="9466">
      <c r="A9466" s="1">
        <v>5.0</v>
      </c>
      <c r="B9466" s="1" t="s">
        <v>9403</v>
      </c>
      <c r="C9466" t="str">
        <f>IFERROR(__xludf.DUMMYFUNCTION("GOOGLETRANSLATE(B9466, ""zh"", ""en"")"),"Beautiful appearance, easy to use, beautiful appearance, easy to use")</f>
        <v>Beautiful appearance, easy to use, beautiful appearance, easy to use</v>
      </c>
    </row>
    <row r="9467">
      <c r="A9467" s="1">
        <v>5.0</v>
      </c>
      <c r="B9467" s="1" t="s">
        <v>9404</v>
      </c>
      <c r="C9467" t="str">
        <f>IFERROR(__xludf.DUMMYFUNCTION("GOOGLETRANSLATE(B9467, ""zh"", ""en"")"),"Shoes great shoes, great, good work! Value!")</f>
        <v>Shoes great shoes, great, good work! Value!</v>
      </c>
    </row>
    <row r="9468">
      <c r="A9468" s="1">
        <v>5.0</v>
      </c>
      <c r="B9468" s="1" t="s">
        <v>9405</v>
      </c>
      <c r="C9468" t="str">
        <f>IFERROR(__xludf.DUMMYFUNCTION("GOOGLETRANSLATE(B9468, ""zh"", ""en"")"),"Affordable authentic! The right size")</f>
        <v>Affordable authentic! The right size</v>
      </c>
    </row>
    <row r="9469">
      <c r="A9469" s="1">
        <v>5.0</v>
      </c>
      <c r="B9469" s="1" t="s">
        <v>9406</v>
      </c>
      <c r="C9469" t="str">
        <f>IFERROR(__xludf.DUMMYFUNCTION("GOOGLETRANSLATE(B9469, ""zh"", ""en"")"),"perfect! perfect! Super fast delivery, direct mail five days to go, the German standard plugs do not convert. I used for a while, feeling before spike all the straight clip. Praise praise praise! perfect!")</f>
        <v>perfect! perfect! Super fast delivery, direct mail five days to go, the German standard plugs do not convert. I used for a while, feeling before spike all the straight clip. Praise praise praise! perfect!</v>
      </c>
    </row>
    <row r="9470">
      <c r="A9470" s="1">
        <v>5.0</v>
      </c>
      <c r="B9470" s="1" t="s">
        <v>9407</v>
      </c>
      <c r="C9470" t="str">
        <f>IFERROR(__xludf.DUMMYFUNCTION("GOOGLETRANSLATE(B9470, ""zh"", ""en"")"),"Looks good taste is a little big, but put up their own security is not so easy")</f>
        <v>Looks good taste is a little big, but put up their own security is not so easy</v>
      </c>
    </row>
    <row r="9471">
      <c r="A9471" s="1">
        <v>5.0</v>
      </c>
      <c r="B9471" s="1" t="s">
        <v>9408</v>
      </c>
      <c r="C9471" t="str">
        <f>IFERROR(__xludf.DUMMYFUNCTION("GOOGLETRANSLATE(B9471, ""zh"", ""en"")"),"It can be good, very comfortable to wear.")</f>
        <v>It can be good, very comfortable to wear.</v>
      </c>
    </row>
    <row r="9472">
      <c r="A9472" s="1">
        <v>5.0</v>
      </c>
      <c r="B9472" s="1" t="s">
        <v>9409</v>
      </c>
      <c r="C9472" t="str">
        <f>IFERROR(__xludf.DUMMYFUNCTION("GOOGLETRANSLATE(B9472, ""zh"", ""en"")"),"Tiger Yes, Thermos is not fake is substandard. From the first day bought two, the quality of this Tiger's very good, very light, tasteless. But on another surprisingly poor quality THERMOS Vacuum insulated stainless steel mug 350ml of Thermos, strong tast"&amp;"e, place a few days to no avail (not fake is defective), have been returned, but Hao Mana, Tianjin warehouse receipt of goods fast ten days now, still no contact, do not know when to retire.")</f>
        <v>Tiger Yes, Thermos is not fake is substandard. From the first day bought two, the quality of this Tiger's very good, very light, tasteless. But on another surprisingly poor quality THERMOS Vacuum insulated stainless steel mug 350ml of Thermos, strong taste, place a few days to no avail (not fake is defective), have been returned, but Hao Mana, Tianjin warehouse receipt of goods fast ten days now, still no contact, do not know when to retire.</v>
      </c>
    </row>
    <row r="9473">
      <c r="A9473" s="1">
        <v>5.0</v>
      </c>
      <c r="B9473" s="1" t="s">
        <v>9410</v>
      </c>
      <c r="C9473" t="str">
        <f>IFERROR(__xludf.DUMMYFUNCTION("GOOGLETRANSLATE(B9473, ""zh"", ""en"")"),"Yes, well satisfied with the election code, 36 feet, choose the big kid 4.5 (W) completely OK ~~ 😊😊😊😊 pressure line is not with the adult version of the same, is the glue line models, and there is not a fabric skin, but can also be matter, equivalent "&amp;"exchange, not Bashansheshui")</f>
        <v>Yes, well satisfied with the election code, 36 feet, choose the big kid 4.5 (W) completely OK ~~ 😊😊😊😊 pressure line is not with the adult version of the same, is the glue line models, and there is not a fabric skin, but can also be matter, equivalent exchange, not Bashansheshui</v>
      </c>
    </row>
    <row r="9474">
      <c r="A9474" s="1">
        <v>5.0</v>
      </c>
      <c r="B9474" s="1" t="s">
        <v>9411</v>
      </c>
      <c r="C9474" t="str">
        <f>IFERROR(__xludf.DUMMYFUNCTION("GOOGLETRANSLATE(B9474, ""zh"", ""en"")"),"Good clothes to wear good-looking, but also appropriate")</f>
        <v>Good clothes to wear good-looking, but also appropriate</v>
      </c>
    </row>
    <row r="9475">
      <c r="A9475" s="1">
        <v>5.0</v>
      </c>
      <c r="B9475" s="1" t="s">
        <v>9412</v>
      </c>
      <c r="C9475" t="str">
        <f>IFERROR(__xludf.DUMMYFUNCTION("GOOGLETRANSLATE(B9475, ""zh"", ""en"")"),"Genuine capacity enough, good quality, praise")</f>
        <v>Genuine capacity enough, good quality, praise</v>
      </c>
    </row>
    <row r="9476">
      <c r="A9476" s="1">
        <v>5.0</v>
      </c>
      <c r="B9476" s="1" t="s">
        <v>9413</v>
      </c>
      <c r="C9476" t="str">
        <f>IFERROR(__xludf.DUMMYFUNCTION("GOOGLETRANSLATE(B9476, ""zh"", ""en"")"),"Standby time is a good long time, a little ear clip, the price is too high sound quality can not have the luxury of standby time ...... good!")</f>
        <v>Standby time is a good long time, a little ear clip, the price is too high sound quality can not have the luxury of standby time ...... good!</v>
      </c>
    </row>
    <row r="9477">
      <c r="A9477" s="1">
        <v>5.0</v>
      </c>
      <c r="B9477" s="1" t="s">
        <v>9414</v>
      </c>
      <c r="C9477" t="str">
        <f>IFERROR(__xludf.DUMMYFUNCTION("GOOGLETRANSLATE(B9477, ""zh"", ""en"")"),"Like cast iron pot! Pot is great! Across the seas came around, intact! That is, the inside of the thin enamel handle a number!")</f>
        <v>Like cast iron pot! Pot is great! Across the seas came around, intact! That is, the inside of the thin enamel handle a number!</v>
      </c>
    </row>
    <row r="9478">
      <c r="A9478" s="1">
        <v>5.0</v>
      </c>
      <c r="B9478" s="1" t="s">
        <v>9415</v>
      </c>
      <c r="C9478" t="str">
        <f>IFERROR(__xludf.DUMMYFUNCTION("GOOGLETRANSLATE(B9478, ""zh"", ""en"")"),"Work a little bit big, not very good workmanship")</f>
        <v>Work a little bit big, not very good workmanship</v>
      </c>
    </row>
    <row r="9479">
      <c r="A9479" s="1">
        <v>5.0</v>
      </c>
      <c r="B9479" s="1" t="s">
        <v>9416</v>
      </c>
      <c r="C9479" t="str">
        <f>IFERROR(__xludf.DUMMYFUNCTION("GOOGLETRANSLATE(B9479, ""zh"", ""en"")"),"Especially like particularly suitable! Especially like Nichia champion")</f>
        <v>Especially like particularly suitable! Especially like Nichia champion</v>
      </c>
    </row>
    <row r="9480">
      <c r="A9480" s="1">
        <v>5.0</v>
      </c>
      <c r="B9480" s="1" t="s">
        <v>9417</v>
      </c>
      <c r="C9480" t="str">
        <f>IFERROR(__xludf.DUMMYFUNCTION("GOOGLETRANSLATE(B9480, ""zh"", ""en"")"),"Cap rock, watertight insulation effect, convenient lid a little loose, but found no leakage phenomenon, design details are also very intimate, good insulating effect, express delivery week or so, in short, very satisfied, we will take da water")</f>
        <v>Cap rock, watertight insulation effect, convenient lid a little loose, but found no leakage phenomenon, design details are also very intimate, good insulating effect, express delivery week or so, in short, very satisfied, we will take da water</v>
      </c>
    </row>
    <row r="9481">
      <c r="A9481" s="1">
        <v>5.0</v>
      </c>
      <c r="B9481" s="1" t="s">
        <v>9418</v>
      </c>
      <c r="C9481" t="str">
        <f>IFERROR(__xludf.DUMMYFUNCTION("GOOGLETRANSLATE(B9481, ""zh"", ""en"")"),"This price is also good-looking line. Quality is still sound")</f>
        <v>This price is also good-looking line. Quality is still sound</v>
      </c>
    </row>
    <row r="9482">
      <c r="A9482" s="1">
        <v>5.0</v>
      </c>
      <c r="B9482" s="1" t="s">
        <v>9419</v>
      </c>
      <c r="C9482" t="str">
        <f>IFERROR(__xludf.DUMMYFUNCTION("GOOGLETRANSLATE(B9482, ""zh"", ""en"")"),"Real heavy, good quality, not boil physical heavy, good quality, not boil. No visual defects. In fact, not much is 24cm Yeah, or may be more suitable 26-28cm stew? And other special pot and then start with a 28 bar.")</f>
        <v>Real heavy, good quality, not boil physical heavy, good quality, not boil. No visual defects. In fact, not much is 24cm Yeah, or may be more suitable 26-28cm stew? And other special pot and then start with a 28 bar.</v>
      </c>
    </row>
    <row r="9483">
      <c r="A9483" s="1">
        <v>5.0</v>
      </c>
      <c r="B9483" s="1" t="s">
        <v>9420</v>
      </c>
      <c r="C9483" t="str">
        <f>IFERROR(__xludf.DUMMYFUNCTION("GOOGLETRANSLATE(B9483, ""zh"", ""en"")"),"Good good sleeping bag, the baby is not objectionable. recommend")</f>
        <v>Good good sleeping bag, the baby is not objectionable. recommend</v>
      </c>
    </row>
    <row r="9484">
      <c r="A9484" s="1">
        <v>5.0</v>
      </c>
      <c r="B9484" s="1" t="s">
        <v>9421</v>
      </c>
      <c r="C9484" t="str">
        <f>IFERROR(__xludf.DUMMYFUNCTION("GOOGLETRANSLATE(B9484, ""zh"", ""en"")"),"Very sharp design is very scientific, very sharp blade, it is worth buying.")</f>
        <v>Very sharp design is very scientific, very sharp blade, it is worth buying.</v>
      </c>
    </row>
    <row r="9485">
      <c r="A9485" s="1">
        <v>2.0</v>
      </c>
      <c r="B9485" s="1" t="s">
        <v>9422</v>
      </c>
      <c r="C9485" t="str">
        <f>IFERROR(__xludf.DUMMYFUNCTION("GOOGLETRANSLATE(B9485, ""zh"", ""en"")"),"Color version of the type described are related to differences picture is bright khaki receive is the picture of taupe, but people really taupe color name, blame yourself too believe Amazon picture shows. Unlike the version is also writing the title of Sl"&amp;"im version, you waited so long to receive such products too disappointed.")</f>
        <v>Color version of the type described are related to differences picture is bright khaki receive is the picture of taupe, but people really taupe color name, blame yourself too believe Amazon picture shows. Unlike the version is also writing the title of Slim version, you waited so long to receive such products too disappointed.</v>
      </c>
    </row>
    <row r="9486">
      <c r="A9486" s="1">
        <v>3.0</v>
      </c>
      <c r="B9486" s="1" t="s">
        <v>9423</v>
      </c>
      <c r="C9486" t="str">
        <f>IFERROR(__xludf.DUMMYFUNCTION("GOOGLETRANSLATE(B9486, ""zh"", ""en"")"),"Generally, in general, cost is not high, or the store to buy a good.")</f>
        <v>Generally, in general, cost is not high, or the store to buy a good.</v>
      </c>
    </row>
    <row r="9487">
      <c r="A9487" s="1">
        <v>1.0</v>
      </c>
      <c r="B9487" s="1" t="s">
        <v>9424</v>
      </c>
      <c r="C9487" t="str">
        <f>IFERROR(__xludf.DUMMYFUNCTION("GOOGLETRANSLATE(B9487, ""zh"", ""en"")"),"Very low cost quality is not ideal, just a month on the cracked. Want a return.")</f>
        <v>Very low cost quality is not ideal, just a month on the cracked. Want a return.</v>
      </c>
    </row>
    <row r="9488">
      <c r="A9488" s="1">
        <v>1.0</v>
      </c>
      <c r="B9488" s="1" t="s">
        <v>9425</v>
      </c>
      <c r="C9488" t="str">
        <f>IFERROR(__xludf.DUMMYFUNCTION("GOOGLETRANSLATE(B9488, ""zh"", ""en"")"),"Poor quality workmanship serious doubts are not really sent from abroad over, currently displayed number is expected to arrive November 7, the results October 29 to today, to spread the goods with quality almost, poor workmanship, will not in the future A"&amp;"mazon bought.")</f>
        <v>Poor quality workmanship serious doubts are not really sent from abroad over, currently displayed number is expected to arrive November 7, the results October 29 to today, to spread the goods with quality almost, poor workmanship, will not in the future Amazon bought.</v>
      </c>
    </row>
    <row r="9489">
      <c r="A9489" s="1">
        <v>1.0</v>
      </c>
      <c r="B9489" s="1" t="s">
        <v>9426</v>
      </c>
      <c r="C9489" t="str">
        <f>IFERROR(__xludf.DUMMYFUNCTION("GOOGLETRANSLATE(B9489, ""zh"", ""en"")"),"Poor, very poor quality spicy chicken, pictures and objects heaven and earth difference. Amazon official is chaos, chaos buckle membership fee!")</f>
        <v>Poor, very poor quality spicy chicken, pictures and objects heaven and earth difference. Amazon official is chaos, chaos buckle membership fee!</v>
      </c>
    </row>
    <row r="9490">
      <c r="A9490" s="1">
        <v>4.0</v>
      </c>
      <c r="B9490" s="1" t="s">
        <v>9427</v>
      </c>
      <c r="C9490" t="str">
        <f>IFERROR(__xludf.DUMMYFUNCTION("GOOGLETRANSLATE(B9490, ""zh"", ""en"")"),"Very good also good, overall satisfaction, although not the best price to buy, the only regret is not red circle")</f>
        <v>Very good also good, overall satisfaction, although not the best price to buy, the only regret is not red circle</v>
      </c>
    </row>
    <row r="9491">
      <c r="A9491" s="1">
        <v>4.0</v>
      </c>
      <c r="B9491" s="1" t="s">
        <v>9428</v>
      </c>
      <c r="C9491" t="str">
        <f>IFERROR(__xludf.DUMMYFUNCTION("GOOGLETRANSLATE(B9491, ""zh"", ""en"")"),"Overall good value for money, but did not expect so delicate.")</f>
        <v>Overall good value for money, but did not expect so delicate.</v>
      </c>
    </row>
    <row r="9492">
      <c r="A9492" s="1">
        <v>4.0</v>
      </c>
      <c r="B9492" s="1" t="s">
        <v>9429</v>
      </c>
      <c r="C9492" t="str">
        <f>IFERROR(__xludf.DUMMYFUNCTION("GOOGLETRANSLATE(B9492, ""zh"", ""en"")"),"A little tight to buy the L-LL No, I feel a little tight to mention not very good, but a little piece of ass through, the upper body is very comfortable.")</f>
        <v>A little tight to buy the L-LL No, I feel a little tight to mention not very good, but a little piece of ass through, the upper body is very comfortable.</v>
      </c>
    </row>
    <row r="9493">
      <c r="A9493" s="1">
        <v>4.0</v>
      </c>
      <c r="B9493" s="1" t="s">
        <v>9430</v>
      </c>
      <c r="C9493" t="str">
        <f>IFERROR(__xludf.DUMMYFUNCTION("GOOGLETRANSLATE(B9493, ""zh"", ""en"")"),"(Д ー have) some old pencil cases, it is estimated some years 😑, but the pen to write very smoothly, a water gun. Nib a little crooked 😒 but! ! ! I was under the orders of the next day on the cheap 50RMB! ! Although not many but not great! ! ! accurate!")</f>
        <v>(Д ー have) some old pencil cases, it is estimated some years 😑, but the pen to write very smoothly, a water gun. Nib a little crooked 😒 but! ! ! I was under the orders of the next day on the cheap 50RMB! ! Although not many but not great! ! ! accurate!</v>
      </c>
    </row>
    <row r="9494">
      <c r="A9494" s="1">
        <v>4.0</v>
      </c>
      <c r="B9494" s="1" t="s">
        <v>9431</v>
      </c>
      <c r="C9494" t="str">
        <f>IFERROR(__xludf.DUMMYFUNCTION("GOOGLETRANSLATE(B9494, ""zh"", ""en"")"),"Easy to install speed like a general, but not very clear to use software")</f>
        <v>Easy to install speed like a general, but not very clear to use software</v>
      </c>
    </row>
    <row r="9495">
      <c r="A9495" s="1">
        <v>5.0</v>
      </c>
      <c r="B9495" s="1" t="s">
        <v>9432</v>
      </c>
      <c r="C9495" t="str">
        <f>IFERROR(__xludf.DUMMYFUNCTION("GOOGLETRANSLATE(B9495, ""zh"", ""en"")"),"Value for money &lt;div id = ""video-block-R1RNRQ2PZTBLJ"" class = ""a-section a-spacing-small a-spacing-top-mini video-block""&gt; &lt;div tabindex = ""0"" class = ""airy airy -svg vmin-unsupported airy-skin-beacon ""style ="" background-color: rgb (0, 0, 0); pos"&amp;"ition: relative; width: 100%; height: 100%; font-size: 0px; overflow: hidden ; outline: none; ""&gt; &lt;div class ="" airy-renderer-container ""style ="" position: relative; height: 100%; width: 100%; ""&gt; &lt;video id ="" 7 ""preload ="" auto ""src = ""https://im"&amp;"ages-cn.ssl-images-amazon.com/images/I/91QKJTwcVSS.mp4"" style = ""position: absolute; left: 0px; top: 0px; overflow: hidden; height: 1px; width : 1px; ""&gt; &lt;/ video&gt; &lt;/ div&gt; &lt;div id ="" airy-slate-preload ""style ="" background-color: rgb (0, 0, 0); backg"&amp;"round-image: url (&amp; quot; https: //images-cn.ssl-images-amazon.com/images/I/A1zvBvQMopS.png&amp;quot;); background-size: contain; background-position: center center; background-repeat: no-repeat; position: absolute; top : 0px; left: 0px; visibility: visible; "&amp;"width: 100%; height: 100%; ""&gt; &lt;/ div&gt; &lt;iframe scrolling ="" no ""Frameborder ="" 0 ""src ="" about: blank ""style ="" display: none; ""&gt; &lt;/ iframe&gt; &lt;div tabindex ="" - 1 ""class ="" airy-controls-container ""style ="" opacity: 0; visibility: hidden; ""&gt; "&amp;"&lt;div tabindex ="" - 1 ""class ="" airy-screen-size-toggle airy-fullscreen ""&gt; &lt;/ div&gt; &lt;div tabindex ="" - 1 ""class ="" airy-container-bottom "" &gt; &lt;div tabindex = ""- 1"" class = ""airy-track-bar-spacer-left"" style = ""width: 11px;""&gt; &lt;/ div&gt; &lt;div tabind"&amp;"ex = ""- 1"" class = ""airy-play- toggle airy-play ""style ="" width: 12px; margin-right: 12px; ""&gt; &lt;/ div&gt; &lt;div tabindex ="" - 1 ""class ="" airy-audio-elements ""style ="" float: right; width: 34px; ""&gt; &lt;div tabindex ="" - 1 ""class ="" airy-audio-toggl"&amp;"e airy-on ""&gt; &lt;/ div&gt; &lt;div tabindex ="" - 1 ""class ="" airy-audio-container ""style ="" opacity : 0; visibility: hidden; ""&gt; &lt;div tabindex ="" - 1 ""class ="" airy-audio-track-bar ""style ="" height: 80%; ""&gt; &lt;div tabindex ="" - 1 ""class ="" airy -audio"&amp;"-scrubber-bar ""style ="" height: 85%; ""&gt; &lt;/ div&gt; &lt;div tabindex ="" - 1 ""class ="" airy-audio-scrubber ""style ="" height: 12px; bottom: 85%; ""&gt; &lt;/ div&gt; &lt;/ div&gt; &lt;/ div&gt; &lt;/ div&gt; &lt;div tabindex ="" - 1 ""class ="" airy-duration-label ""style ="" f loat: r"&amp;"ight; width: 26px; margin-right: 4px; text-align: center; ""&gt; 0:15 &lt;/ div&gt; &lt;div tabindex ="" - 1 ""class ="" airy-track-bar-spacer-right "" style = ""float: right; width: 11px;""&gt; &lt;/ div&gt; &lt;div tabindex = ""- 1"" class = ""airy-track-bar-container"" style "&amp;"= ""margin-left: 35px; margin-right: 75px ; ""&gt; &lt;div tabindex ="" - 1 ""class ="" airy-track-bar airy-vertical-centering-table ""&gt; &lt;div tabindex ="" - 1 ""class ="" airy-vertical-centering-table-cell ""&gt; &lt;div tabindex = ""- 1"" class = ""airy-track-bar-el"&amp;"ements""&gt; &lt;div tabindex = ""- 1"" class = ""airy-progress-bar"" style = ""width: 41.1499%;""&gt; &lt;/ div &gt; &lt;div tabindex = ""- 1"" class = ""airy-scrubber-bar""&gt; &lt;/ div&gt; &lt;div tabindex = ""- 1"" class = ""airy-scrubber""&gt; &lt;div tabindex = ""- 1"" class = "" air"&amp;"y-scrubber-icon ""&gt; &lt;/ div&gt; &lt;div tabindex ="" - 1 ""class ="" airy-adjusted-aui-tooltip ""style ="" opacity: 0; visibility: hidden; ""&gt; &lt;div tabindex ="" - 1 ""class ="" airy-adjusted-aui-tooltip-inner ""&gt; &lt;div tabindex ="" - 1 ""class ="" airy-current-ti"&amp;"me-label ""&gt; 0:00 &lt;/ div&gt; &lt;/ div&gt; &lt;div tabindex = ""-1"" class = ""airy-adjusted-aui-arrow-border""&gt; &lt;div tabindex = ""- 1"" class = ""airy-adjusted-aui-arr ow ""&gt; &lt;/ div&gt; &lt;/ div&gt; &lt;/ div&gt; &lt;/ div&gt; &lt;/ div&gt; &lt;/ div&gt; &lt;/ div&gt; &lt;/ div&gt; &lt;/ div&gt; &lt;/ div&gt; &lt;div tabind"&amp;"ex ="" - 1 ""class ="" airy-age-gate airy-stage airy-vertical-centering-table airy-dialog ""style ="" opacity: 0; visibility: hidden; ""&gt; &lt;div tabindex ="" - 1 ""class ="" airy-age -gate-vertical-centering-table-cell airy-vertical-centering-table-cell ""&gt;"&amp;" &lt;div tabindex ="" - 1 ""class ="" airy-vertical-centering-wrapper airy-age-gate-elements-wrapper ""&gt; &lt;div tabindex = ""- 1"" class = ""airy-age-gate-elements airy-dialog-elements""&gt; &lt;div tabindex = ""- 1"" class = ""airy-age-gate-prompt""&gt; This video is "&amp;"not intended . for all audiences What date were you born &lt;/ div&gt; &lt;div tabindex = ""- 1"" class = ""airy-age-gate-inputs airy-dialog-inner-elements""&gt;? &lt;select tabindex = ""- 1"" class = ""airy-age-gate-month""&gt; &lt;option value = ""1""&gt; January &lt;/ option&gt; &lt;o"&amp;"ption value = ""2""&gt; February &lt;/ option&gt; &lt;option value = ""3""&gt; March &lt;/ option&gt; &lt;option value = ""4""&gt; April &lt;/ option&gt; &lt;option value = ""5""&gt; May &lt;/ option&gt; &lt;option value = ""6""&gt; June &lt;/ option&gt; &lt;option value = ""7""&gt; July &lt;/ option&gt; &lt;option value = """&amp;"8""&gt; August &lt;/ option&gt; &lt;option value = ""9""&gt; September &lt; / Option&gt; &lt;option value = ""10""&gt; October &lt;/ option&gt; &lt;option value = ""11""&gt; November &lt;/ option&gt; &lt;option value = ""12""&gt; December &lt;/ option&gt; &lt;/ select&gt; &lt;select tabindex = ""-1"" class = ""airy-age-"&amp;"gate-day""&gt; &lt;option value = ""1""&gt; 1 &lt;/ option&gt; &lt;option value = ""2""&gt; 2 &lt;/ option&gt; &lt;option value = ""3""&gt; 3 &lt;/ option&gt; &lt;option value = ""4""&gt; 4 &lt;/ option&gt; &lt;option value = ""5""&gt; 5 &lt;/ option&gt; &lt;option value = ""6""&gt; 6 &lt;/ option&gt; &lt;option value = ""7 ""&gt; 7 &lt;"&amp;"/ option&gt; &lt;option value ="" 8 ""&gt; 8 &lt;/ option&gt; &lt;option value ="" 9 ""&gt; 9 &lt;/ option&gt; &lt;option value ="" 10 ""&gt; 10 &lt;/ option&gt; &lt;option value = ""11""&gt; 11 &lt;/ option&gt; &lt;option value = ""12""&gt; 12 &lt;/ option&gt; &lt;option value = ""13""&gt; 13 &lt;/ option&gt; &lt;option value = """&amp;"14""&gt; 14 &lt;/ option&gt; &lt;option value = ""15""&gt; 15 &lt;/ option&gt; &lt;option value = ""16""&gt; 16 &lt;/ option&gt; &lt;option value = ""17""&gt; 17 &lt;/ option&gt; &lt;option value = ""18""&gt; 18 &lt;/ option&gt; &lt;option value = ""19""&gt; 19 &lt;/ option&gt; &lt;option value = ""20""&gt; 20 &lt;/ option&gt; &lt;option"&amp;" value = ""21""&gt; 21 &lt;/ option&gt; &lt;option value = ""22""&gt; 22 &lt;/ option&gt; &lt;option value = ""23""&gt; 23 &lt;/ option&gt; &lt;option value = ""24""&gt; 24 &lt;/ option&gt; &lt;option value = ""25""&gt; 25 &lt;/ option&gt; &lt;option value = ""26""&gt; 26 &lt;/ option&gt; &lt;option value = ""27""&gt; 27 &lt;/ opti"&amp;"on&gt; &lt;option value = ""28""&gt; 28 &lt;/ option&gt; &lt;optio n value = ""29""&gt; 29 &lt;/ option&gt; &lt;option value = ""30""&gt; 30 &lt;/ option&gt; &lt;option value = ""31""&gt; 31 &lt;/ option&gt; &lt;/ select&gt; &lt;select tabindex = ""- 1"" class = ""airy-age-gate-year""&gt; &lt;option value = ""2019""&gt; 20"&amp;"19 &lt;/ option&gt; &lt;option value = ""2018""&gt; 2018 &lt;/ option&gt; &lt;option value = ""2017""&gt; 2017 &lt;/ option &gt; &lt;option value = ""2016""&gt; ​​2016 &lt;/ option&gt; &lt;option value = ""2015""&gt; 2015 &lt;/ option&gt; &lt;option value = ""2014""&gt; 2014 &lt;/ option&gt; &lt;option value = ""2013""&gt; 20"&amp;"13 &lt; / option&gt; &lt;option value = ""2012""&gt; 2012 &lt;/ option&gt; &lt;option value = ""2011""&gt; 2011 &lt;/ option&gt; &lt;option value = ""2010""&gt; 2010 &lt;/ option&gt; &lt;option value = ""2009""&gt; 2009 &lt;/ option&gt; &lt;option value = ""2008""&gt; 2008 &lt;/ option&gt; &lt;option value = ""2007""&gt; 2007"&amp;" &lt;/ option&gt; &lt;option value = ""2006""&gt; 2006 &lt;/ option&gt; &lt;option value = ""2005 ""&gt; 2005 &lt;/ option&gt; &lt;option value ="" 2004 ""&gt; 2004 &lt;/ option&gt; &lt;option value ="" 2003 ""&gt; 2003 &lt;/ option&gt; &lt;option value ="" 2002 ""&gt; 2002 &lt;/ option&gt; &lt;option value = ""2001""&gt; 200"&amp;"1 &lt;/ option&gt; &lt;option value = ""2000""&gt; 2000 &lt;/ option&gt; &lt;option value = ""1999""&gt; 1999 &lt;/ option&gt; &lt;option value = ""1998""&gt; 1998 &lt;/ option&gt; &lt;option value = ""1997""&gt; 1997 &lt;/ option&gt; &lt;option value = ""1996""&gt; 1996 &lt;/ option&gt; &lt;option value = ""1995""&gt; 1995 &lt;"&amp;"/ option&gt; &lt;option value = ""1994""&gt; 1994 &lt;/ option&gt; &lt;option value = ""1993""&gt; 1993 &lt;/ option&gt; &lt;option value = ""1992""&gt; 1992 &lt;/ option&gt; &lt;option value = ""1991""&gt; 1991 &lt;/ option&gt; &lt;option value = ""1990""&gt; 1990 &lt;/ option&gt; &lt;option value = ""1989""&gt; 1989 &lt;/ o"&amp;"ption&gt; &lt;option value = ""1988""&gt; 1988 &lt;/ option&gt; &lt;option value = ""1987""&gt; 1987 &lt;/ option&gt; &lt;option value = ""1986""&gt; 1986 &lt;/ option&gt; &lt;option value = ""1985""&gt; 1985 &lt;/ option&gt; &lt;option value = ""1984""&gt; 1984 &lt;/ option&gt; &lt;option value = ""1983""&gt; 1983 &lt;/ opti"&amp;"on&gt; &lt;option value = ""1982""&gt; 1982 &lt;/ option&gt; &lt;option value = ""1981""&gt; 1981 &lt;/ option&gt; &lt;option value = ""1980""&gt; 1980 &lt;/ option&gt; &lt;option value = ""1979"" &gt; 1979 &lt;/ option&gt; &lt;option value = ""1978""&gt; 1978 &lt;/ option&gt; &lt;option value = ""1977""&gt; 1977 &lt;/ option"&amp;"&gt; &lt;option value = ""1976""&gt; 1976 &lt;/ option&gt; &lt;option value = "" 1975 ""&gt; 1975 &lt;/ option&gt; &lt;option value ="" 1974 ""&gt; 1974 &lt;/ option&gt; &lt;option value ="" 1973 ""&gt; 1973 &lt;/ option&gt; &lt;option value ="" 1972 ""&gt; 1972 &lt;/ option&gt; &lt;option value = ""1971""&gt; 1971 &lt;/ opti"&amp;"on&gt; &lt;option value = ""1970""&gt; 1970 &lt;/ option&gt; &lt;option value = ""1969""&gt; 1969 &lt;/ option&gt; &lt;option value = ""1968""&gt; 1968 &lt;/ option&gt; &lt; option value = ""1967""&gt; 1967 &lt;/ option&gt; &lt;option value = ""1966""&gt; 1966 &lt;/ option&gt; &lt;option value = ""1965""&gt; 1 965 &lt;/ optio"&amp;"n&gt; &lt;option value = ""1964""&gt; 1964 &lt;/ option&gt; &lt;option value = ""1963""&gt; 1963 &lt;/ option&gt; &lt;option value = ""1962""&gt; 1962 &lt;/ option&gt; &lt;option value = ""1961 ""&gt; 1961 &lt;/ option&gt; &lt;option value ="" 1960 ""&gt; 1960 &lt;/ option&gt; &lt;option value ="" 1959 ""&gt; 1959 &lt;/ optio"&amp;"n&gt; &lt;option value ="" 1958 ""&gt; 1958 &lt;/ option&gt; &lt;option value = ""1957""&gt; 1957 &lt;/ option&gt; &lt;option value = ""1956""&gt; 1956 &lt;/ option&gt; &lt;option value = ""1955""&gt; 1955 &lt;/ option&gt; &lt;option value = ""1954""&gt; 1954 &lt;/ option&gt; &lt;option value = ""1953""&gt; 1953 &lt;/ option&gt;"&amp;" &lt;option value = ""1952""&gt; 1952 &lt;/ option&gt; &lt;option value = ""1951""&gt; 1951 &lt;/ option&gt; &lt;option value = ""1950""&gt; 1950 &lt;/ option&gt; &lt;option value = ""1949""&gt; 1949 &lt;/ option&gt; &lt;option value = ""1948""&gt; 1948 &lt;/ option&gt; &lt;option value = ""1947""&gt; 1947 &lt;/ option&gt; &lt;o"&amp;"ption value = ""1946""&gt; 1946 &lt;/ option&gt; &lt;option value = ""1945""&gt; 1945 &lt;/ option&gt; &lt;option value = ""1944""&gt; 1944 &lt;/ option&gt; &lt;option value = ""1943""&gt; 1943 &lt;/ option&gt; &lt;option value = ""1942""&gt; 1942 &lt;/ option&gt; &lt;option value = ""1941""&gt; 1941 &lt;/ option&gt; &lt;opti"&amp;"on value = ""1940""&gt; 1940 &lt;/ option&gt; &lt;option value = ""1939""&gt; 1939 &lt;/ option&gt; &lt;option value = ""1938"" &gt; 1938 &lt;/ option&gt; &lt;option value = ""1937""&gt; 1937 &lt;/ option&gt; &lt;option value = ""1936""&gt; 1936 &lt;/ option&gt; &lt;o ption value = ""1935""&gt; 1935 &lt;/ option&gt; &lt;optio"&amp;"n value = ""1934""&gt; 1934 &lt;/ option&gt; &lt;option value = ""1933""&gt; 1933 &lt;/ option&gt; &lt;option value = ""1932""&gt; 1932 &lt;/ option &gt; &lt;option value = ""1931""&gt; 1931 &lt;/ option&gt; &lt;option value = ""1930""&gt; 1930 &lt;/ option&gt; &lt;option value = ""1929""&gt; 1929 &lt;/ option&gt; &lt;option "&amp;"value = ""1928""&gt; 1928 &lt; / option&gt; &lt;option value = ""1927""&gt; 1927 &lt;/ option&gt; &lt;option value = ""1926""&gt; 1926 &lt;/ option&gt; &lt;option value = ""1925""&gt; 1925 &lt;/ option&gt; &lt;option value = ""1924""&gt; 1924 &lt;/ option&gt; &lt;option value = ""1923""&gt; 1923 &lt;/ option&gt; &lt;option va"&amp;"lue = ""1922""&gt; 1922 &lt;/ option&gt; &lt;option value = ""1921""&gt; 1921 &lt;/ option&gt; &lt;option value = ""1920 ""&gt; 1920 &lt;/ option&gt; &lt;option value ="" 1919 ""&gt; 1919 &lt;/ option&gt; &lt;option value ="" 1918 ""&gt; 1918 &lt;/ option&gt; &lt;option value ="" 1917 ""&gt; 1917 &lt;/ option&gt; &lt;option v"&amp;"alue = ""1916""&gt; 1916 &lt;/ option&gt; &lt;option value = ""1915""&gt; 1915 &lt;/ option&gt; &lt;option value = ""1914""&gt; 1914 &lt;/ option&gt; &lt;option value = ""1913""&gt; 1913 &lt;/ option&gt; &lt;option value = ""1912""&gt; 1912 &lt;/ option&gt; &lt;option value = ""1911""&gt; 1911 &lt;/ option&gt; &lt;option valu"&amp;"e = ""1910""&gt; 1910 &lt;/ option&gt; &lt;option value = ""1909""&gt; 1909 &lt;/ option&gt; &lt;option value = ""1908""&gt; 1908 &lt;/ option&gt; &lt;option value = ""1907""&gt; 1907 &lt;/ option&gt; &lt;option value = ""1 906 ""&gt; 1906 &lt;/ option&gt; &lt;option value ="" 1905 ""&gt; 1905 &lt;/ option&gt; &lt;option valu"&amp;"e ="" 1904 ""&gt; 1904 &lt;/ option&gt; &lt;option value ="" 1903 ""&gt; 1903 &lt;/ option&gt; &lt;option value = ""1902""&gt; 1902 &lt;/ option&gt; &lt;option value = ""1901""&gt; 1901 &lt;/ option&gt; &lt;option value = ""1900""&gt; 1900 &lt;/ option&gt; &lt;/ select&gt; &lt;div tabindex = ""- 1"" class = ""airy-age-g"&amp;"ate-submit airy-submit airy-button airy-submit-disabled""&gt; Submit &lt;/ div&gt; &lt;/ div&gt; &lt;/ div&gt; &lt;/ div&gt; &lt;/ div&gt; &lt;/ div&gt; &lt;div tabindex = ""-1"" class = ""airy-install-flash-dialog airy-stage airy-vertical-centering-table airy-dialog airy-denied"" style = ""opaci"&amp;"ty: 0; visibility: hidden;""&gt; &lt;div tabindex = ""- 1 ""class ="" airy-install-flash-vertical-centering-table-cell airy-vertical-centering-table-cell ""&gt; &lt;div tabindex ="" - 1 ""class ="" airy-vertical-centering-wrapper airy-install -flash-elements-wrapper "&amp;"""&gt; &lt;div tabindex ="" - 1 ""class ="" airy-install-flash-elements airy-dialog-elements ""&gt; &lt;div tabindex ="" - 1 ""class ="" airy-install-flash- prompt ""&gt; Adobe Flash Player is required to watch this video &lt;/ div&gt; &lt;div tabindex =."" - 1 ""class ="" airy-"&amp;"install-flash-button-wrapper airy-dialog-inner-elemen ts ""&gt; &lt;div tabindex ="" - 1 ""class ="" airy-install-flash-button airy-button ""&gt; Install Flash Player &lt;/ div&gt; &lt;/ div&gt; &lt;/ div&gt; &lt;/ div&gt; &lt;/ div&gt; &lt; / div&gt; &lt;div tabindex = ""- 1"" class = ""airy-video-uns"&amp;"upported-dialog airy-stage airy-vertical-centering-table airy-dialog airy-denied"" style = ""opacity: 0; visibility: hidden;"" &gt; &lt;div tabindex = ""- 1"" class = ""airy-video-unsupported-vertical-centering-table-cell airy-vertical-centering-table-cell""&gt; &lt;"&amp;"div tabindex = ""- 1"" class = ""airy-vertical -centering-wrapper airy-video-unsupported-elements-wrapper ""&gt; &lt;div tabindex ="" - 1 ""class ="" airy-video-unsupported-elements airy-dialog-elements ""&gt; &lt;div tabindex ="" - 1 ""class = ""airy-video-unsupport"&amp;"ed-prompt""&gt; &lt;/ div&gt; &lt;/ div&gt; &lt;/ div&gt; &lt;/ div&gt; &lt;/ div&gt; &lt;div tabindex = ""- 1"" class = ""airy-loading-spinner-stage airy- stage ""&gt; &lt;div tabindex ="" - 1 ""class ="" airy-loading-spinner-vertical-centering-table-cell airy-vertical-centering-table-cell ""&gt; &lt;"&amp;"div tabindex ="" - 1 ""class ="" airy -loading-spinner-container airy-scalable-hint-container ""&gt; &lt;div tabindex ="" - 1 ""class ="" airy-loading-spinner-dummy airy-scalable- dummy ""&gt; &lt;/ div&gt; &lt;div tabindex ="" - 1 ""class ="" airy-loading-spinner airy-hin"&amp;"t ""style ="" visibility: hidden; ""&gt; &lt;/ div&gt; &lt;/ div&gt; &lt;/ div&gt; &lt;/ div&gt; &lt;div tabindex = ""- 1"" class = ""airy-ads-screen-size-toggle airy-screen-size-toggle airy-fullscreen"" style = ""visibility: hidden;""&gt; &lt;/ div&gt; &lt;div tabindex = ""-1"" class = ""airy-ad"&amp;"-prompt-container"" style = ""visibility: hidden;""&gt; &lt;div tabindex = ""- 1"" class = ""airy-ad-prompt-vertical-centering-table airy-vertical- centering-table ""&gt; &lt;div tabindex ="" - 1 ""class ="" airy-ad-prompt-vertical-centering-table-cell airy-vertical-"&amp;"centering-table-cell ""&gt; &lt;div tabindex ="" - 1 ""class = ""airy-ad-prompt-label""&gt; &lt;/ div&gt; &lt;/ div&gt; &lt;/ div&gt; &lt;/ div&gt; &lt;div tabindex = ""- 1"" class = ""airy-ads-controls-container"" style = ""visibility: hidden; ""&gt; &lt;div tabindex ="" - 1 ""class ="" airy-ads"&amp;"-audio-toggle airy-audio-toggle airy-on ""style ="" visibility: hidden; ""&gt; &lt;/ div&gt; &lt;div tabindex ="" - 1 ""class ="" airy-time-remaining-label-container ""&gt; &lt;div tabindex ="" - 1 ""class ="" airy-time-remaining-vertical-centering-table airy-vertical-cent"&amp;"ering-table ""&gt; &lt;div tabindex = ""- 1"" class = ""airy-time -remaining-vertical-centering-table-cell airy-vertical-centering-table-cell ""&gt; &lt;div tabindex ="" - 1 ""class ="" airy-vertical-centering-wrapper airy-time-remaining-label-wrapper ""&gt; &lt;div tabind"&amp;"ex = ""- 1"" class = ""airy-time-remaining-label"" style = ""visibility: hidden;""&gt; &lt;/ div&gt; &lt;div tabindex = ""- 1"" class = ""airy-ad-skip"" style = ""visibility: hidden;""&gt; &lt;/ div&gt; &lt;div tabindex = ""- 1"" class = ""airy-ad-end"" style = ""visibility: hid"&amp;"den;""&gt; &lt;/ div&gt; &lt;/ div&gt; &lt;/ div&gt; &lt;/ div&gt; &lt;/ div&gt; &lt;div tabindex = ""- 1"" class = ""airy-learn-more"" style = ""visibility: hidden;""&gt; &lt;/ div&gt; &lt;/ div&gt; &lt;div tabindex = ""- 1"" class = ""airy-play-toggle-hint-stage airy-stage airy-cursor""&gt; &lt;div tabindex = """&amp;"- 1"" class = ""airy-play-toggle-hint-vertical-centering-table-cell airy-vertical- centering-table-cell airy-cursor ""&gt; &lt;div tabindex ="" - 1 ""class ="" airy-play-toggle-hint-container airy-scalable-hint-container ""&gt; &lt;div tabindex ="" - 1 ""class ="" ai"&amp;"ry-play-toggle-hint-dummy airy-scalable-dummy ""&gt; &lt;/ div&gt; &lt;div tabindex ="" - 1 ""class ="" airy-play-toggle-hint airy-hint airy-play-hint ""style ="" opacity: 1; visibility: visible; ""&gt; &lt; / Div&gt; &lt;/ div&gt; &lt;/ div&gt; &lt;/ div&gt; &lt;div tabindex = ""- 1"" class = """&amp;"airy-replay-hint-stage airy-stage"" style = ""visibility: hidden;""&gt; &lt;div tabindex = ""-1"" class = ""airy-replay-hint-vertical-centering-table-cell airy-vertical-centering-table-cell airy-cursor""&gt; &lt;div tabindex = ""- 1"" class = ""airy-replay-hint -cont"&amp;"ainer airy-scalable-hint-container ""&gt; &lt;div tabindex ="" - 1 ""class ="" airy-replay-hint-dummy airy-scalable-dummy ""&gt; &lt;/ div&gt; &lt;div tabindex ="" - 1 ""class = ""airy-replay-hint airy-hint""&gt; &lt;/ div&gt; &lt;/ div&gt; &lt;/ div&gt; &lt;/ div&gt; &lt;div tabindex = ""- 1"" class ="&amp;" ""airy-autoplay-hint-stage airy-stage"" style = ""visibility: hidden;""&gt; &lt;div tabindex = ""- 1"" class = ""airy-autoplay-hint-vertical-centering-table-cell airy-vertical-centering-table-cell airy-cursor""&gt; &lt;div tabindex = ""-1"" class = ""airy-autoplay-h"&amp;"int-container airy-scalable-hint-container""&gt; &lt;div tabindex = ""- 1"" class = ""airy-autoplay-hint-dummy airy-scalable-dummy""&gt; &lt;/ div&gt; &lt;/ div&gt; &lt;/ div&gt; &lt;/ div&gt; &lt;/ div&gt; &lt;/ div&gt; &lt;input type = ""hidden"" name = """" value = ""https: //images-cn.ssl-images-am"&amp;"azon. com / images / I / 91QKJTwcVSS.mp4 ""class ="" video-url ""&gt; &lt;in put type = ""hidden"" name = """" value = ""https://images-cn.ssl-images-amazon.com/images/I/A1zvBvQMopS.png"" class = ""video-slate-img-url""&gt; &amp; nbsp ; overall feel good, and as expec"&amp;"ted, leisure and tourism are good, better shoes and comfortable.")</f>
        <v>Value for money &lt;div id = "video-block-R1RNRQ2PZTBLJ" class = "a-section a-spacing-small a-spacing-top-mini video-block"&gt; &lt;div tabindex = "0" class = "airy airy -svg vmin-unsupported airy-skin-beacon "style =" background-color: rgb (0, 0, 0); position: relative; width: 100%; height: 100%; font-size: 0px; overflow: hidden ; outline: none; "&gt; &lt;div class =" airy-renderer-container "style =" position: relative; height: 100%; width: 100%; "&gt; &lt;video id =" 7 "preload =" auto "src = "https://images-cn.ssl-images-amazon.com/images/I/91QKJTwcVSS.mp4" style = "position: absolute; left: 0px; top: 0px; overflow: hidden; height: 1px; width : 1px; "&gt; &lt;/ video&gt; &lt;/ div&gt; &lt;div id =" airy-slate-preload "style =" background-color: rgb (0, 0, 0); background-image: url (&amp; quot; https: //images-cn.ssl-images-amazon.com/images/I/A1zvBvQMopS.png&amp;quot;); background-size: contain; background-position: center center; background-repeat: no-repeat; position: absolute; top : 0px; left: 0px; visibility: visible; width: 100%; height: 100%; "&gt; &lt;/ div&gt; &lt;iframe scrolling =" no "Frameborder =" 0 "src =" about: blank "style =" display: none; "&gt; &lt;/ iframe&gt; &lt;div tabindex =" - 1 "class =" airy-controls-container "style =" opacity: 0; visibility: hidden; "&gt; &lt;div tabindex =" - 1 "class =" airy-screen-size-toggle airy-fullscreen "&gt; &lt;/ div&gt; &lt;div tabindex =" - 1 "class =" airy-container-bottom " &gt; &lt;div tabindex = "- 1" class = "airy-track-bar-spacer-left" style = "width: 11px;"&gt; &lt;/ div&gt; &lt;div tabindex = "- 1" class = "airy-play- toggle airy-play "style =" width: 12px; margin-right: 12px; "&gt; &lt;/ div&gt; &lt;div tabindex =" - 1 "class =" airy-audio-elements "style =" float: right; width: 34px; "&gt; &lt;div tabindex =" - 1 "class =" airy-audio-toggle airy-on "&gt; &lt;/ div&gt; &lt;div tabindex =" - 1 "class =" airy-audio-container "style =" opacity : 0; visibility: hidden; "&gt; &lt;div tabindex =" - 1 "class =" airy-audio-track-bar "style =" height: 80%; "&gt; &lt;div tabindex =" - 1 "class =" airy -audio-scrubber-bar "style =" height: 85%; "&gt; &lt;/ div&gt; &lt;div tabindex =" - 1 "class =" airy-audio-scrubber "style =" height: 12px; bottom: 85%; "&gt; &lt;/ div&gt; &lt;/ div&gt; &lt;/ div&gt; &lt;/ div&gt; &lt;div tabindex =" - 1 "class =" airy-duration-label "style =" f loat: right; width: 26px; margin-right: 4px; text-align: center; "&gt; 0:15 &lt;/ div&gt; &lt;div tabindex =" - 1 "class =" airy-track-bar-spacer-right " style = "float: right; width: 11px;"&gt; &lt;/ div&gt; &lt;div tabindex = "- 1" class = "airy-track-bar-container" style = "margin-left: 35px; margin-right: 75px ; "&gt; &lt;div tabindex =" - 1 "class =" airy-track-bar airy-vertical-centering-table "&gt; &lt;div tabindex =" - 1 "class =" airy-vertical-centering-table-cell "&gt; &lt;div tabindex = "- 1" class = "airy-track-bar-elements"&gt; &lt;div tabindex = "- 1" class = "airy-progress-bar" style = "width: 41.1499%;"&gt; &lt;/ div &gt; &lt;div tabindex = "- 1" class = "airy-scrubber-bar"&gt; &lt;/ div&gt; &lt;div tabindex = "- 1" class = "airy-scrubber"&gt; &lt;div tabindex = "- 1" class = " airy-scrubber-icon "&gt; &lt;/ div&gt; &lt;div tabindex =" - 1 "class =" airy-adjusted-aui-tooltip "style =" opacity: 0; visibility: hidden; "&gt; &lt;div tabindex =" - 1 "class =" airy-adjusted-aui-tooltip-inner "&gt; &lt;div tabindex =" - 1 "class =" airy-current-time-label "&gt; 0:00 &lt;/ div&gt; &lt;/ div&gt; &lt;div tabindex = "-1" class = "airy-adjusted-aui-arrow-border"&gt; &lt;div tabindex = "- 1" class = "airy-adjusted-aui-arr ow "&gt; &lt;/ div&gt; &lt;/ div&gt; &lt;/ div&gt; &lt;/ div&gt; &lt;/ div&gt; &lt;/ div&gt; &lt;/ div&gt; &lt;/ div&gt; &lt;/ div&gt; &lt;/ div&gt; &lt;div tabindex =" - 1 "class =" airy-age-gate airy-stage airy-vertical-centering-table airy-dialog "style =" opacity: 0; visibility: hidden; "&gt; &lt;div tabindex =" - 1 "class =" airy-age -gate-vertical-centering-table-cell airy-vertical-centering-table-cell "&gt; &lt;div tabindex =" - 1 "class =" airy-vertical-centering-wrapper airy-age-gate-elements-wrapper "&gt; &lt;div tabindex = "- 1" class = "airy-age-gate-elements airy-dialog-elements"&gt; &lt;div tabindex = "- 1" class = "airy-age-gate-prompt"&gt; This video is not intended . for all audiences What date were you born &lt;/ div&gt; &lt;div tabindex = "- 1" class = "airy-age-gate-inputs airy-dialog-inner-elements"&gt;? &lt;select tabindex = "- 1" class = "airy-age-gate-month"&gt; &lt;option value = "1"&gt; January &lt;/ option&gt; &lt;option value = "2"&gt; February &lt;/ option&gt; &lt;option value = "3"&gt; March &lt;/ option&gt; &lt;option value = "4"&gt; April &lt;/ option&gt; &lt;option value = "5"&gt; May &lt;/ option&gt; &lt;option value = "6"&gt; June &lt;/ option&gt; &lt;option value = "7"&gt; July &lt;/ option&gt; &lt;option value = "8"&gt; August &lt;/ option&gt; &lt;option value = "9"&gt; September &lt; / Option&gt; &lt;option value = "10"&gt; October &lt;/ option&gt; &lt;option value = "11"&gt; November &lt;/ option&gt; &lt;option value = "12"&gt; December &lt;/ option&gt; &lt;/ select&gt; &lt;select tabindex = "-1" class = "airy-age-gate-day"&gt; &lt;option value = "1"&gt; 1 &lt;/ option&gt; &lt;option value = "2"&gt; 2 &lt;/ option&gt; &lt;option value = "3"&gt; 3 &lt;/ option&gt; &lt;option value = "4"&gt; 4 &lt;/ option&gt; &lt;option value = "5"&gt; 5 &lt;/ option&gt; &lt;option value = "6"&gt; 6 &lt;/ option&gt; &lt;option value = "7 "&gt; 7 &lt;/ option&gt; &lt;option value =" 8 "&gt; 8 &lt;/ option&gt; &lt;option value =" 9 "&gt; 9 &lt;/ option&gt; &lt;option value =" 10 "&gt; 10 &lt;/ option&gt; &lt;option value = "11"&gt; 11 &lt;/ option&gt; &lt;option value = "12"&gt; 12 &lt;/ option&gt; &lt;option value = "13"&gt; 13 &lt;/ option&gt; &lt;option value = "14"&gt; 14 &lt;/ option&gt; &lt;option value = "15"&gt; 15 &lt;/ option&gt; &lt;option value = "16"&gt; 16 &lt;/ option&gt; &lt;option value = "17"&gt; 17 &lt;/ option&gt; &lt;option value = "18"&gt; 18 &lt;/ option&gt; &lt;option value = "19"&gt;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 n value = "29"&gt; 29 &lt;/ option&gt; &lt;option value = "30"&gt; 30 &lt;/ option&gt; &lt;option value = "31"&gt; 31 &lt;/ option&gt; &lt;/ select&gt; &lt;select tabindex = "- 1" class = "airy-age-gate-year"&gt; &lt;option value = "2019"&gt; 2019 &lt;/ option&gt; &lt;option value = "2018"&gt; 2018 &lt;/ option&gt; &lt;option value = "2017"&gt; 2017 &lt;/ option &gt; &lt;option value = "2016"&gt; ​​2016 &lt;/ option&gt; &lt;option value = "2015"&gt; 2015 &lt;/ option&gt; &lt;option value = "2014"&gt; 2014 &lt;/ option&gt; &lt;option value = "2013"&gt; 2013 &lt; / option&gt; &lt;option value = "2012"&gt; 2012 &lt;/ option&gt; &lt;option value = "2011"&gt; 2011 &lt;/ option&gt; &lt;option value = "2010"&gt; 2010 &lt;/ option&gt; &lt;option value = "2009"&gt; 2009 &lt;/ option&gt; &lt;option value = "2008"&gt; 2008 &lt;/ option&gt; &lt;option value = "2007"&gt; 2007 &lt;/ option&gt; &lt;option value = "2006"&gt; 2006 &lt;/ option&gt; &lt;option value = "2005 "&gt; 2005 &lt;/ option&gt; &lt;option value =" 2004 "&gt; 2004 &lt;/ option&gt; &lt;option value =" 2003 "&gt; 2003 &lt;/ option&gt; &lt;option value =" 2002 "&gt; 2002 &lt;/ option&gt; &lt;option value = "2001"&gt; 2001 &lt;/ option&gt; &lt;option value = "2000"&gt;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"1989"&gt; 1989 &lt;/ option&gt; &lt;option value = "1988"&gt; 1988 &lt;/ option&gt; &lt;option value = "1987"&gt; 1987 &lt;/ option&gt; &lt;option value = "1986"&gt; 1986 &lt;/ option&gt; &lt;option value = "1985"&gt; 1985 &lt;/ option&gt; &lt;option value = "1984"&gt; 1984 &lt;/ option&gt; &lt;option value = "1983"&gt; 1983 &lt;/ option&gt; &lt;option value = "1982"&gt; 1982 &lt;/ option&gt; &lt;option value = "1981"&gt; 1981 &lt;/ option&gt; &lt;option value = "1980"&gt; 1980 &lt;/ option&gt; &lt;option value = "1979" &gt; 1979 &lt;/ option&gt; &lt;option value = "1978"&gt; 1978 &lt;/ option&gt; &lt;option value = "1977"&gt; 1977 &lt;/ option&gt; &lt;option value = "1976"&gt; 1976 &lt;/ option&gt; &lt;option value = " 1975 "&gt; 1975 &lt;/ option&gt; &lt;option value =" 1974 "&gt; 1974 &lt;/ option&gt; &lt;option value =" 1973 "&gt; 1973 &lt;/ option&gt; &lt;option value =" 1972 "&gt; 1972 &lt;/ option&gt; &lt;option value = "1971"&gt; 1971 &lt;/ option&gt; &lt;option value = "1970"&gt; 1970 &lt;/ option&gt; &lt;option value = "1969"&gt; 1969 &lt;/ option&gt; &lt;option value = "1968"&gt; 1968 &lt;/ option&gt; &lt; option value = "1967"&gt; 1967 &lt;/ option&gt; &lt;option value = "1966"&gt; 1966 &lt;/ option&gt; &lt;option value = "1965"&gt; 1 965 &lt;/ option&gt; &lt;option value = "1964"&gt; 1964 &lt;/ option&gt; &lt;option value = "1963"&gt; 1963 &lt;/ option&gt; &lt;option value = "1962"&gt; 1962 &lt;/ option&gt; &lt;option value = "1961 "&gt; 1961 &lt;/ option&gt; &lt;option value =" 1960 "&gt; 1960 &lt;/ option&gt; &lt;option value =" 1959 "&gt; 1959 &lt;/ option&gt; &lt;option value =" 1958 "&gt; 1958 &lt;/ option&gt; &lt;option value = "1957"&gt; 1957 &lt;/ option&gt; &lt;option value = "1956"&gt; 1956 &lt;/ option&gt; &lt;option value = "1955"&gt; 1955 &lt;/ option&gt; &lt;option value = "1954"&gt; 1954 &lt;/ option&gt; &lt;option value = "1953"&gt; 1953 &lt;/ option&gt; &lt;option value = "1952"&gt; 1952 &lt;/ option&gt; &lt;option value = "1951"&gt; 1951 &lt;/ option&gt; &lt;option value = "1950"&gt; 1950 &lt;/ option&gt; &lt;option value = "1949"&gt; 1949 &lt;/ option&gt; &lt;option value = "1948"&gt; 1948 &lt;/ option&gt; &lt;option value = "1947"&gt; 1947 &lt;/ option&gt; &lt;option value = "1946"&gt; 1946 &lt;/ option&gt; &lt;option value = "1945"&gt; 1945 &lt;/ option&gt; &lt;option value = "1944"&gt; 1944 &lt;/ option&gt; &lt;option value = "1943"&gt; 1943 &lt;/ option&gt; &lt;option value = "1942"&gt; 1942 &lt;/ option&gt; &lt;option value = "1941"&gt; 1941 &lt;/ option&gt; &lt;option value = "1940"&gt; 1940 &lt;/ option&gt; &lt;option value = "1939"&gt; 1939 &lt;/ option&gt; &lt;option value = "1938" &gt; 1938 &lt;/ option&gt; &lt;option value = "1937"&gt; 1937 &lt;/ option&gt; &lt;option value = "1936"&gt; 1936 &lt;/ option&gt; &lt;o ption value = "1935"&gt; 1935 &lt;/ option&gt; &lt;option value = "1934"&gt; 1934 &lt;/ option&gt; &lt;option value = "1933"&gt; 1933 &lt;/ option&gt; &lt;option value = "1932"&gt; 1932 &lt;/ option &gt; &lt;option value = "1931"&gt; 1931 &lt;/ option&gt; &lt;option value = "1930"&gt; 1930 &lt;/ option&gt; &lt;option value = "1929"&gt; 1929 &lt;/ option&gt; &lt;option value = "1928"&gt; 1928 &lt; /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 "&gt; 1920 &lt;/ option&gt; &lt;option value =" 1919 "&gt; 1919 &lt;/ option&gt; &lt;option value =" 1918 "&gt; 1918 &lt;/ option&gt; &lt;option value =" 1917 "&gt; 1917 &lt;/ option&gt; &lt;option value = "1916"&gt; 1916 &lt;/ option&gt; &lt;option value = "1915"&gt; 1915 &lt;/ option&gt; &lt;option value = "1914"&gt; 1914 &lt;/ option&gt; &lt;option value = "1913"&gt; 1913 &lt;/ option&gt; &lt;option value = "1912"&gt; 1912 &lt;/ option&gt; &lt;option value = "1911"&gt; 1911 &lt;/ option&gt; &lt;option value = "1910"&gt; 1910 &lt;/ option&gt; &lt;option value = "1909"&gt; 1909 &lt;/ option&gt; &lt;option value = "1908"&gt; 1908 &lt;/ option&gt; &lt;option value = "1907"&gt; 1907 &lt;/ option&gt; &lt;option value = "1 906 "&gt; 1906 &lt;/ option&gt; &lt;option value =" 1905 "&gt; 1905 &lt;/ option&gt; &lt;option value =" 1904 "&gt; 1904 &lt;/ option&gt; &lt;option value =" 1903 "&gt; 1903 &lt;/ option&gt; &lt;option value = "1902"&gt; 1902 &lt;/ option&gt; &lt;option value = "1901"&gt; 1901 &lt;/ option&gt; &lt;option value = "1900"&gt; 1900 &lt;/ option&gt; &lt;/ select&gt; &lt;div tabindex = "- 1" class = "airy-age-gate-submit airy-submit airy-button airy-submit-disabled"&gt; Submit &lt;/ div&gt; &lt;/ div&gt; &lt;/ div&gt; &lt;/ div&gt; &lt;/ div&gt; &lt;/ div&gt; &lt;div tabindex = "-1" class = "airy-install-flash-dialog airy-stage airy-vertical-centering-table airy-dialog airy-denied" style = "opacity: 0; visibility: hidden;"&gt; &lt;div tabindex = "- 1 "class =" airy-install-flash-vertical-centering-table-cell airy-vertical-centering-table-cell "&gt; &lt;div tabindex =" - 1 "class =" airy-vertical-centering-wrapper airy-install -flash-elements-wrapper "&gt; &lt;div tabindex =" - 1 "class =" airy-install-flash-elements airy-dialog-elements "&gt; &lt;div tabindex =" - 1 "class =" airy-install-flash- prompt "&gt; Adobe Flash Player is required to watch this video &lt;/ div&gt; &lt;div tabindex =." - 1 "class =" airy-install-flash-button-wrapper airy-dialog-inner-elemen ts "&gt; &lt;div tabindex =" - 1 "class =" airy-install-flash-button airy-button "&gt; Install Flash Player &lt;/ div&gt; &lt;/ div&gt; &lt;/ div&gt; &lt;/ div&gt; &lt;/ div&gt; &lt; / div&gt; &lt;div tabindex = "- 1" class = "airy-video-unsupported-dialog airy-stage airy-vertical-centering-table airy-dialog airy-denied" style = "opacity: 0; visibility: hidden;" &gt; &lt;div tabindex = "- 1" class = "airy-video-unsupported-vertical-centering-table-cell airy-vertical-centering-table-cell"&gt; &lt;div tabindex = "- 1" class = "airy-vertical -centering-wrapper airy-video-unsupported-elements-wrapper "&gt; &lt;div tabindex =" - 1 "class =" airy-video-unsupported-elements airy-dialog-elements "&gt; &lt;div tabindex =" - 1 "class = "airy-video-unsupported-prompt"&gt; &lt;/ div&gt; &lt;/ div&gt; &lt;/ div&gt; &lt;/ div&gt; &lt;/ div&gt; &lt;div tabindex = "- 1" class = "airy-loading-spinner-stage airy- stage "&gt; &lt;div tabindex =" - 1 "class =" airy-loading-spinner-vertical-centering-table-cell airy-vertical-centering-table-cell "&gt; &lt;div tabindex =" - 1 "class =" airy -loading-spinner-container airy-scalable-hint-container "&gt; &lt;div tabindex =" - 1 "class =" airy-loading-spinner-dummy airy-scalable- dummy "&gt; &lt;/ div&gt; &lt;div tabindex =" - 1 "class =" airy-loading-spinner airy-hint "style =" visibility: hidden; "&gt; &lt;/ div&gt; &lt;/ div&gt; &lt;/ div&gt; &lt;/ div&gt; &lt;div tabindex = "- 1" class = "airy-ads-screen-size-toggle airy-screen-size-toggle airy-fullscreen" style = "visibility: hidden;"&gt; &lt;/ div&gt; &lt;div tabindex = "-1" class = "airy-ad-prompt-container" style = "visibility: hidden;"&gt; &lt;div tabindex = "- 1" class = "airy-ad-prompt-vertical-centering-table airy-vertical-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airy-time-remaining-vertical-centering-table airy-vertical-centering-table "&gt; &lt;div tabindex = "- 1" class = "airy-time -remaining-vertical-centering-table-cell airy-vertical-centering-table-cell "&gt; &lt;div tabindex =" - 1 "class =" airy-vertical-centering-wrapper airy-time-remaining-label-wrapper "&gt; &lt;div tabindex = "- 1" class = "airy-time-remaining-label" style = "visibility: hidden;"&gt; &lt;/ div&gt; &lt;div tabindex = "- 1" class = "airy-ad-skip" style = "visibility: hidden;"&gt; &lt;/ div&gt; &lt;div tabindex = "- 1" class = "airy-ad-end" style = "visibility: hidden;"&gt; &lt;/ div&gt; &lt;/ div&gt; &lt;/ div&gt; &lt;/ div&gt; &lt;/ div&gt; &lt;div tabindex = "- 1" class = "airy-learn-more" style = "visibility: hidden;"&gt; &lt;/ div&gt; &lt;/ div&gt; &lt;div tabindex = "- 1" class = "airy-play-toggle-hint-stage airy-stage airy-cursor"&gt; &lt;div tabindex = "- 1" class = "airy-play-toggle-hint-vertical-centering-table-cell airy-vertical- centering-table-cell airy-cursor "&gt; &lt;div tabindex =" - 1 "class =" airy-play-toggle-hint-container airy-scalable-hint-container "&gt; &lt;div tabindex =" - 1 "class =" airy-play-toggle-hint-dummy airy-scalable-dummy "&gt; &lt;/ div&gt; &lt;div tabindex =" - 1 "class =" airy-play-toggle-hint airy-hint airy-play-hint "style =" opacity: 1; visibility: visible; "&gt; &lt; / Div&gt; &lt;/ div&gt; &lt;/ div&gt; &lt;/ div&gt; &lt;div tabindex = "- 1" class = "airy-replay-hint-stage airy-stage" style = "visibility: hidden;"&gt; &lt;div tabindex = "-1" class = "airy-replay-hint-vertical-centering-table-cell airy-vertical-centering-table-cell airy-cursor"&gt; &lt;div tabindex = "- 1" class = "airy-replay-hint -container airy-scalable-hint-container "&gt; &lt;div tabindex =" - 1 "class =" airy-replay-hint-dummy airy-scalable-dummy "&gt; &lt;/ div&gt; &lt;div tabindex =" - 1 "class = "airy-replay-hint airy-hint"&gt; &lt;/ div&gt; &lt;/ div&gt; &lt;/ div&gt; &lt;/ div&gt; &lt;div tabindex = "- 1" class = "airy-autoplay-hint-stage airy-stage" style = "visibility: hidden;"&gt; &lt;div tabindex = "- 1" class = "airy-autoplay-hint-vertical-centering-table-cell airy-vertical-centering-table-cell airy-cursor"&gt; &lt;div tabindex = "-1" class = "airy-autoplay-hint-container airy-scalable-hint-container"&gt; &lt;div tabindex = "- 1" class = "airy-autoplay-hint-dummy airy-scalable-dummy"&gt; &lt;/ div&gt; &lt;/ div&gt; &lt;/ div&gt; &lt;/ div&gt; &lt;/ div&gt; &lt;/ div&gt; &lt;input type = "hidden" name = "" value = "https: //images-cn.ssl-images-amazon. com / images / I / 91QKJTwcVSS.mp4 "class =" video-url "&gt; &lt;in put type = "hidden" name = "" value = "https://images-cn.ssl-images-amazon.com/images/I/A1zvBvQMopS.png" class = "video-slate-img-url"&gt; &amp; nbsp ; overall feel good, and as expected, leisure and tourism are good, better shoes and comfortable.</v>
      </c>
    </row>
    <row r="9496">
      <c r="A9496" s="1">
        <v>5.0</v>
      </c>
      <c r="B9496" s="1" t="s">
        <v>9433</v>
      </c>
      <c r="C9496" t="str">
        <f>IFERROR(__xludf.DUMMYFUNCTION("GOOGLETRANSLATE(B9496, ""zh"", ""en"")"),"Overall satisfaction with working-class materials, the number is also very accurate. It is slightly wider foot")</f>
        <v>Overall satisfaction with working-class materials, the number is also very accurate. It is slightly wider foot</v>
      </c>
    </row>
    <row r="9497">
      <c r="A9497" s="1">
        <v>5.0</v>
      </c>
      <c r="B9497" s="1" t="s">
        <v>9434</v>
      </c>
      <c r="C9497" t="str">
        <f>IFERROR(__xludf.DUMMYFUNCTION("GOOGLETRANSLATE(B9497, ""zh"", ""en"")"),"as good as before! Genuine!")</f>
        <v>as good as before! Genuine!</v>
      </c>
    </row>
    <row r="9498">
      <c r="A9498" s="1">
        <v>5.0</v>
      </c>
      <c r="B9498" s="1" t="s">
        <v>9435</v>
      </c>
      <c r="C9498" t="str">
        <f>IFERROR(__xludf.DUMMYFUNCTION("GOOGLETRANSLATE(B9498, ""zh"", ""en"")"),"Very good product packaging is very tight, very good, that is a bit long time, almost 10 days to go")</f>
        <v>Very good product packaging is very tight, very good, that is a bit long time, almost 10 days to go</v>
      </c>
    </row>
    <row r="9499">
      <c r="A9499" s="1">
        <v>5.0</v>
      </c>
      <c r="B9499" s="1" t="s">
        <v>9436</v>
      </c>
      <c r="C9499" t="str">
        <f>IFERROR(__xludf.DUMMYFUNCTION("GOOGLETRANSLATE(B9499, ""zh"", ""en"")"),"Fast delivery, very good product, thank you! Consistent with the description.")</f>
        <v>Fast delivery, very good product, thank you! Consistent with the description.</v>
      </c>
    </row>
    <row r="9500">
      <c r="A9500" s="1">
        <v>5.0</v>
      </c>
      <c r="B9500" s="1" t="s">
        <v>9437</v>
      </c>
      <c r="C9500" t="str">
        <f>IFERROR(__xludf.DUMMYFUNCTION("GOOGLETRANSLATE(B9500, ""zh"", ""en"")"),"The number of foreign clothes are too large it is not the clothes a bit too small")</f>
        <v>The number of foreign clothes are too large it is not the clothes a bit too small</v>
      </c>
    </row>
    <row r="9501">
      <c r="A9501" s="1">
        <v>5.0</v>
      </c>
      <c r="B9501" s="1" t="s">
        <v>9438</v>
      </c>
      <c r="C9501" t="str">
        <f>IFERROR(__xludf.DUMMYFUNCTION("GOOGLETRANSLATE(B9501, ""zh"", ""en"")"),"Old pot add a new filter cartridge is the main effect of the product obtained better quality assurance of drinking water. There is no use, because the original purchase of unused, spare just now, after the evaluation of new quality to be used.")</f>
        <v>Old pot add a new filter cartridge is the main effect of the product obtained better quality assurance of drinking water. There is no use, because the original purchase of unused, spare just now, after the evaluation of new quality to be used.</v>
      </c>
    </row>
    <row r="9502">
      <c r="A9502" s="1">
        <v>5.0</v>
      </c>
      <c r="B9502" s="1" t="s">
        <v>9439</v>
      </c>
      <c r="C9502" t="str">
        <f>IFERROR(__xludf.DUMMYFUNCTION("GOOGLETRANSLATE(B9502, ""zh"", ""en"")"),"Very satisfied with the good-looking young state clothing style is good")</f>
        <v>Very satisfied with the good-looking young state clothing style is good</v>
      </c>
    </row>
    <row r="9503">
      <c r="A9503" s="1">
        <v>5.0</v>
      </c>
      <c r="B9503" s="1" t="s">
        <v>9440</v>
      </c>
      <c r="C9503" t="str">
        <f>IFERROR(__xludf.DUMMYFUNCTION("GOOGLETRANSLATE(B9503, ""zh"", ""en"")"),"Suitable for large penis underwear, ha ha very fit, good underwear, very comfortable little brother")</f>
        <v>Suitable for large penis underwear, ha ha very fit, good underwear, very comfortable little brother</v>
      </c>
    </row>
    <row r="9504">
      <c r="A9504" s="1">
        <v>5.0</v>
      </c>
      <c r="B9504" s="1" t="s">
        <v>9441</v>
      </c>
      <c r="C9504" t="str">
        <f>IFERROR(__xludf.DUMMYFUNCTION("GOOGLETRANSLATE(B9504, ""zh"", ""en"")"),"For reference 24 feet long, usually wear 37, 38, chose to tangle finished 37.5, higher instep, choose the appropriate code, affordable tax increase into 418, the shoes look good classic delicate feet")</f>
        <v>For reference 24 feet long, usually wear 37, 38, chose to tangle finished 37.5, higher instep, choose the appropriate code, affordable tax increase into 418, the shoes look good classic delicate feet</v>
      </c>
    </row>
    <row r="9505">
      <c r="A9505" s="1">
        <v>5.0</v>
      </c>
      <c r="B9505" s="1" t="s">
        <v>9442</v>
      </c>
      <c r="C9505" t="str">
        <f>IFERROR(__xludf.DUMMYFUNCTION("GOOGLETRANSLATE(B9505, ""zh"", ""en"")"),"Super good quality insulation, light, heat is also super good, warm water can take a day")</f>
        <v>Super good quality insulation, light, heat is also super good, warm water can take a day</v>
      </c>
    </row>
    <row r="9506">
      <c r="A9506" s="1">
        <v>5.0</v>
      </c>
      <c r="B9506" s="1" t="s">
        <v>9443</v>
      </c>
      <c r="C9506" t="str">
        <f>IFERROR(__xludf.DUMMYFUNCTION("GOOGLETRANSLATE(B9506, ""zh"", ""en"")"),"Scratches his right foot shoe obvious signs of being tried, there was a three cm scratch, there is a depression, but also too lazy to change too much trouble")</f>
        <v>Scratches his right foot shoe obvious signs of being tried, there was a three cm scratch, there is a depression, but also too lazy to change too much trouble</v>
      </c>
    </row>
    <row r="9507">
      <c r="A9507" s="1">
        <v>5.0</v>
      </c>
      <c r="B9507" s="1" t="s">
        <v>9444</v>
      </c>
      <c r="C9507" t="str">
        <f>IFERROR(__xludf.DUMMYFUNCTION("GOOGLETRANSLATE(B9507, ""zh"", ""en"")"),"Handy, this is really super high price. Thank Amazon brings super good shopping experience, very, very easy to use taps, bath is a pleasure every day. Thank you! ! ! !")</f>
        <v>Handy, this is really super high price. Thank Amazon brings super good shopping experience, very, very easy to use taps, bath is a pleasure every day. Thank you! ! ! !</v>
      </c>
    </row>
    <row r="9508">
      <c r="A9508" s="1">
        <v>5.0</v>
      </c>
      <c r="B9508" s="1" t="s">
        <v>9445</v>
      </c>
      <c r="C9508" t="str">
        <f>IFERROR(__xludf.DUMMYFUNCTION("GOOGLETRANSLATE(B9508, ""zh"", ""en"")"),"Size should note, too small clothes, good quality my height 162 weight 110 S number of buy, the result is not simply a button on the buckle. About a foot like shoulder S number. To buy time to look at the recommended size table.")</f>
        <v>Size should note, too small clothes, good quality my height 162 weight 110 S number of buy, the result is not simply a button on the buckle. About a foot like shoulder S number. To buy time to look at the recommended size table.</v>
      </c>
    </row>
    <row r="9509">
      <c r="A9509" s="1">
        <v>5.0</v>
      </c>
      <c r="B9509" s="1" t="s">
        <v>9446</v>
      </c>
      <c r="C9509" t="str">
        <f>IFERROR(__xludf.DUMMYFUNCTION("GOOGLETRANSLATE(B9509, ""zh"", ""en"")"),"Particularly good buy big 😬 stretch is very large, especially fat waist, next time be sure to buy a small yard or two")</f>
        <v>Particularly good buy big 😬 stretch is very large, especially fat waist, next time be sure to buy a small yard or two</v>
      </c>
    </row>
    <row r="9510">
      <c r="A9510" s="1">
        <v>5.0</v>
      </c>
      <c r="B9510" s="1" t="s">
        <v>9447</v>
      </c>
      <c r="C9510" t="str">
        <f>IFERROR(__xludf.DUMMYFUNCTION("GOOGLETRANSLATE(B9510, ""zh"", ""en"")"),"Zojirushi products bought before the stew beaker, so to see it bought, still very good product, smoldering pot, I like, who likes to collect these little things - the family kitchen")</f>
        <v>Zojirushi products bought before the stew beaker, so to see it bought, still very good product, smoldering pot, I like, who likes to collect these little things - the family kitchen</v>
      </c>
    </row>
    <row r="9511">
      <c r="A9511" s="1">
        <v>5.0</v>
      </c>
      <c r="B9511" s="1" t="s">
        <v>9448</v>
      </c>
      <c r="C9511" t="str">
        <f>IFERROR(__xludf.DUMMYFUNCTION("GOOGLETRANSLATE(B9511, ""zh"", ""en"")"),"I like things sound very natural, and basically had no audio, wear very comfortable, I was put on, I do not want to come off. HIFI have requested is not recommended")</f>
        <v>I like things sound very natural, and basically had no audio, wear very comfortable, I was put on, I do not want to come off. HIFI have requested is not recommended</v>
      </c>
    </row>
    <row r="9512">
      <c r="A9512" s="1">
        <v>5.0</v>
      </c>
      <c r="B9512" s="1" t="s">
        <v>9449</v>
      </c>
      <c r="C9512" t="str">
        <f>IFERROR(__xludf.DUMMYFUNCTION("GOOGLETRANSLATE(B9512, ""zh"", ""en"")"),"Something good, affordable. Something good, affordable.")</f>
        <v>Something good, affordable. Something good, affordable.</v>
      </c>
    </row>
    <row r="9513">
      <c r="A9513" s="1">
        <v>5.0</v>
      </c>
      <c r="B9513" s="1" t="s">
        <v>9450</v>
      </c>
      <c r="C9513" t="str">
        <f>IFERROR(__xludf.DUMMYFUNCTION("GOOGLETRANSLATE(B9513, ""zh"", ""en"")"),"174,70kg, there are mezzanine net fit, suitable for temperatures above 20 degrees. 174,70kg, fit")</f>
        <v>174,70kg, there are mezzanine net fit, suitable for temperatures above 20 degrees. 174,70kg, fit</v>
      </c>
    </row>
    <row r="9514">
      <c r="A9514" s="1">
        <v>5.0</v>
      </c>
      <c r="B9514" s="1" t="s">
        <v>9451</v>
      </c>
      <c r="C9514" t="str">
        <f>IFERROR(__xludf.DUMMYFUNCTION("GOOGLETRANSLATE(B9514, ""zh"", ""en"")"),"Is useful from time to time I will be guilty of synovitis in recent years, the hospital opened medicine, go to a hospital thousands of dollars. Later eat this, I would have thought that health care products, did not think really works ah")</f>
        <v>Is useful from time to time I will be guilty of synovitis in recent years, the hospital opened medicine, go to a hospital thousands of dollars. Later eat this, I would have thought that health care products, did not think really works ah</v>
      </c>
    </row>
    <row r="9515">
      <c r="A9515" s="1">
        <v>5.0</v>
      </c>
      <c r="B9515" s="1" t="s">
        <v>9452</v>
      </c>
      <c r="C9515" t="str">
        <f>IFERROR(__xludf.DUMMYFUNCTION("GOOGLETRANSLATE(B9515, ""zh"", ""en"")"),"Much much quality as well as cost-effective clothing itself is no problem ~ ~ ~ ~ really a great future to do more homework and then shot")</f>
        <v>Much much quality as well as cost-effective clothing itself is no problem ~ ~ ~ ~ really a great future to do more homework and then shot</v>
      </c>
    </row>
    <row r="9516">
      <c r="A9516" s="1">
        <v>5.0</v>
      </c>
      <c r="B9516" s="1" t="s">
        <v>9453</v>
      </c>
      <c r="C9516" t="str">
        <f>IFERROR(__xludf.DUMMYFUNCTION("GOOGLETRANSLATE(B9516, ""zh"", ""en"")"),"Praise the French original, well-made")</f>
        <v>Praise the French original, well-made</v>
      </c>
    </row>
    <row r="9517">
      <c r="A9517" s="1">
        <v>2.0</v>
      </c>
      <c r="B9517" s="1" t="s">
        <v>9454</v>
      </c>
      <c r="C9517" t="str">
        <f>IFERROR(__xludf.DUMMYFUNCTION("GOOGLETRANSLATE(B9517, ""zh"", ""en"")"),"Dimensions vary bought a few 32x30 and 33, a pair of pants which is the most non-standard size, first long pants longer than 33x30, the hip is actually 33, how is this going?")</f>
        <v>Dimensions vary bought a few 32x30 and 33, a pair of pants which is the most non-standard size, first long pants longer than 33x30, the hip is actually 33, how is this going?</v>
      </c>
    </row>
    <row r="9518">
      <c r="A9518" s="1">
        <v>3.0</v>
      </c>
      <c r="B9518" s="1" t="s">
        <v>9455</v>
      </c>
      <c r="C9518" t="str">
        <f>IFERROR(__xludf.DUMMYFUNCTION("GOOGLETRANSLATE(B9518, ""zh"", ""en"")"),"No leather insole, not to praise the appearance is the classic S7, quite like it. But why not a leather insole it. The encounter is not the first time leather insole ecco, comfort greatly reduced. Is it then also allow customers to buy the insole is not a"&amp;" single")</f>
        <v>No leather insole, not to praise the appearance is the classic S7, quite like it. But why not a leather insole it. The encounter is not the first time leather insole ecco, comfort greatly reduced. Is it then also allow customers to buy the insole is not a single</v>
      </c>
    </row>
    <row r="9519">
      <c r="A9519" s="1">
        <v>3.0</v>
      </c>
      <c r="B9519" s="1" t="s">
        <v>9456</v>
      </c>
      <c r="C9519" t="str">
        <f>IFERROR(__xludf.DUMMYFUNCTION("GOOGLETRANSLATE(B9519, ""zh"", ""en"")"),"Breathable, easy to open but the line quality is not high, a lot of thread")</f>
        <v>Breathable, easy to open but the line quality is not high, a lot of thread</v>
      </c>
    </row>
    <row r="9520">
      <c r="A9520" s="1">
        <v>3.0</v>
      </c>
      <c r="B9520" s="1" t="s">
        <v>9457</v>
      </c>
      <c r="C9520" t="str">
        <f>IFERROR(__xludf.DUMMYFUNCTION("GOOGLETRANSLATE(B9520, ""zh"", ""en"")"),"Ya gray limited edition it? Ya gray limited edition! Ye are not like other limited edition, limited edition headband that people also gray, I received a quick black! And only two lines! Do you know the true and false ah ...... 2017 the goods! Really dizzy"&amp;", doing almost the price than the domestic electricity supplier of the ... very disappointed ... Oh ... ...")</f>
        <v>Ya gray limited edition it? Ya gray limited edition! Ye are not like other limited edition, limited edition headband that people also gray, I received a quick black! And only two lines! Do you know the true and false ah ...... 2017 the goods! Really dizzy, doing almost the price than the domestic electricity supplier of the ... very disappointed ... Oh ... ...</v>
      </c>
    </row>
    <row r="9521">
      <c r="A9521" s="1">
        <v>1.0</v>
      </c>
      <c r="B9521" s="1" t="s">
        <v>9458</v>
      </c>
      <c r="C9521" t="str">
        <f>IFERROR(__xludf.DUMMYFUNCTION("GOOGLETRANSLATE(B9521, ""zh"", ""en"")"),"I do not recommend buying extremely uncomfortable. It recommended not to buy. Feel design problem. But before you buy is not the case, a fake? He has thrown")</f>
        <v>I do not recommend buying extremely uncomfortable. It recommended not to buy. Feel design problem. But before you buy is not the case, a fake? He has thrown</v>
      </c>
    </row>
    <row r="9522">
      <c r="A9522" s="1">
        <v>1.0</v>
      </c>
      <c r="B9522" s="1" t="s">
        <v>9459</v>
      </c>
      <c r="C9522" t="str">
        <f>IFERROR(__xludf.DUMMYFUNCTION("GOOGLETRANSLATE(B9522, ""zh"", ""en"")"),"Strap 11 months and it broke after buying the band 11 months off, searching online for a long time could not find the same strap and models.")</f>
        <v>Strap 11 months and it broke after buying the band 11 months off, searching online for a long time could not find the same strap and models.</v>
      </c>
    </row>
    <row r="9523">
      <c r="A9523" s="1">
        <v>1.0</v>
      </c>
      <c r="B9523" s="1" t="s">
        <v>9460</v>
      </c>
      <c r="C9523" t="str">
        <f>IFERROR(__xludf.DUMMYFUNCTION("GOOGLETRANSLATE(B9523, ""zh"", ""en"")"),"Poor very bad, with only a month on the bad, and now customer service told me that Amazon is the seller, not the product side, there is no way to provide solutions! Diandaqike 1 barely written a star")</f>
        <v>Poor very bad, with only a month on the bad, and now customer service told me that Amazon is the seller, not the product side, there is no way to provide solutions! Diandaqike 1 barely written a star</v>
      </c>
    </row>
    <row r="9524">
      <c r="A9524" s="1">
        <v>4.0</v>
      </c>
      <c r="B9524" s="1" t="s">
        <v>9461</v>
      </c>
      <c r="C9524" t="str">
        <f>IFERROR(__xludf.DUMMYFUNCTION("GOOGLETRANSLATE(B9524, ""zh"", ""en"")"),"It increased to a shoe box, a label no. Neither shoe leather entirely two styles, a very wrinkled skin is very soft, the other one is normal.")</f>
        <v>It increased to a shoe box, a label no. Neither shoe leather entirely two styles, a very wrinkled skin is very soft, the other one is normal.</v>
      </c>
    </row>
    <row r="9525">
      <c r="A9525" s="1">
        <v>4.0</v>
      </c>
      <c r="B9525" s="1" t="s">
        <v>9462</v>
      </c>
      <c r="C9525" t="str">
        <f>IFERROR(__xludf.DUMMYFUNCTION("GOOGLETRANSLATE(B9525, ""zh"", ""en"")"),"Raincoat-like material based on Amazon's own intelligent recommendation to the code number is too large to be selected. But put on very good looking, fabrics also live together, we can become wearing raincoats, rain and wind. Mainly cheap ah! Amazon and s"&amp;"ecurity, fidelity is most important.")</f>
        <v>Raincoat-like material based on Amazon's own intelligent recommendation to the code number is too large to be selected. But put on very good looking, fabrics also live together, we can become wearing raincoats, rain and wind. Mainly cheap ah! Amazon and security, fidelity is most important.</v>
      </c>
    </row>
    <row r="9526">
      <c r="A9526" s="1">
        <v>4.0</v>
      </c>
      <c r="B9526" s="1" t="s">
        <v>9463</v>
      </c>
      <c r="C9526" t="str">
        <f>IFERROR(__xludf.DUMMYFUNCTION("GOOGLETRANSLATE(B9526, ""zh"", ""en"")"),"It looks okay elastic normal. Not only mast rough, slightly astringent not self-cultivation. Waist Hip leg circumference No loose. Not a little tight, but not loose ugly, bad version of type design. ---------------------------------- This shirt brand from"&amp;" the beginning has always been larger - than the general United States Code also most of the code. Let's say, the United States and China just 31 yards pants trousers 32. The inside of the plug 31 Maoku do. Again, United States Code M's shirt, waist circu"&amp;"mference of about 32 to 34 yards closer to his family S 32 a.")</f>
        <v>It looks okay elastic normal. Not only mast rough, slightly astringent not self-cultivation. Waist Hip leg circumference No loose. Not a little tight, but not loose ugly, bad version of type design. ---------------------------------- This shirt brand from the beginning has always been larger - than the general United States Code also most of the code. Let's say, the United States and China just 31 yards pants trousers 32. The inside of the plug 31 Maoku do. Again, United States Code M's shirt, waist circumference of about 32 to 34 yards closer to his family S 32 a.</v>
      </c>
    </row>
    <row r="9527">
      <c r="A9527" s="1">
        <v>4.0</v>
      </c>
      <c r="B9527" s="1" t="s">
        <v>9464</v>
      </c>
      <c r="C9527" t="str">
        <f>IFERROR(__xludf.DUMMYFUNCTION("GOOGLETRANSLATE(B9527, ""zh"", ""en"")"),"Fitness Tuicu too hard, I feel very tight, although already buy big One. Next time not to buy such a hard fabric. Harder than jeans. Thigh a little thin for people to wear.")</f>
        <v>Fitness Tuicu too hard, I feel very tight, although already buy big One. Next time not to buy such a hard fabric. Harder than jeans. Thigh a little thin for people to wear.</v>
      </c>
    </row>
    <row r="9528">
      <c r="A9528" s="1">
        <v>4.0</v>
      </c>
      <c r="B9528" s="1" t="s">
        <v>9465</v>
      </c>
      <c r="C9528" t="str">
        <f>IFERROR(__xludf.DUMMYFUNCTION("GOOGLETRANSLATE(B9528, ""zh"", ""en"")"),"Very good good quality zipper ykk, for the first time in Central Asia to buy things, but fortunately did not roll, bought up 100 soft sister coins")</f>
        <v>Very good good quality zipper ykk, for the first time in Central Asia to buy things, but fortunately did not roll, bought up 100 soft sister coins</v>
      </c>
    </row>
    <row r="9529">
      <c r="A9529" s="1">
        <v>5.0</v>
      </c>
      <c r="B9529" s="1" t="s">
        <v>9466</v>
      </c>
      <c r="C9529" t="str">
        <f>IFERROR(__xludf.DUMMYFUNCTION("GOOGLETRANSLATE(B9529, ""zh"", ""en"")"),"Super useful! The toothbrush is one of the best value this year to buy the feeling of things I would have to calculations husband bought this toothbrush money can buy ordinary toothbrush to brush my life, but I reluctantly bought the reason is that drinki"&amp;"ng during pregnancy iron yuan teeth were stained black with a ghost, pregnant photo shoot did not dare mouth, usually how hard did not brush your teeth with the toothbrush was used for a week, remove the black 80%, at least eliminating the need for me to "&amp;"go out with her husband scaling Yeah money is simply too happy [Hey Ha] [Hey Ha] [Hey Ha] [Hey Ha] conscience recommend! !")</f>
        <v>Super useful! The toothbrush is one of the best value this year to buy the feeling of things I would have to calculations husband bought this toothbrush money can buy ordinary toothbrush to brush my life, but I reluctantly bought the reason is that drinking during pregnancy iron yuan teeth were stained black with a ghost, pregnant photo shoot did not dare mouth, usually how hard did not brush your teeth with the toothbrush was used for a week, remove the black 80%, at least eliminating the need for me to go out with her husband scaling Yeah money is simply too happy [Hey Ha] [Hey Ha] [Hey Ha] [Hey Ha] conscience recommend! !</v>
      </c>
    </row>
    <row r="9530">
      <c r="A9530" s="1">
        <v>5.0</v>
      </c>
      <c r="B9530" s="1" t="s">
        <v>9467</v>
      </c>
      <c r="C9530" t="str">
        <f>IFERROR(__xludf.DUMMYFUNCTION("GOOGLETRANSLATE(B9530, ""zh"", ""en"")"),"Very satisfied with the workmanship is very good, comfortable fabric, not the kind of very thick, very light wear on the body. 158 cm, 55 kg, L number is appropriate.")</f>
        <v>Very satisfied with the workmanship is very good, comfortable fabric, not the kind of very thick, very light wear on the body. 158 cm, 55 kg, L number is appropriate.</v>
      </c>
    </row>
    <row r="9531">
      <c r="A9531" s="1">
        <v>5.0</v>
      </c>
      <c r="B9531" s="1" t="s">
        <v>9468</v>
      </c>
      <c r="C9531" t="str">
        <f>IFERROR(__xludf.DUMMYFUNCTION("GOOGLETRANSLATE(B9531, ""zh"", ""en"")"),"Lovely cost-effective Charlie Brown fans collections &lt;div id = ""video-block-RELKPLRGU8D7N"" class = ""a-section a-spacing-small a-spacing-top-mini video-block""&gt; &lt;/ div&gt; &lt;input type = ""hidden"" name = """" value = ""https://images-cn.ssl-images-amazon.c"&amp;"om/images/I/71UEeeX1d2S.mp4"" class = ""video-url""&gt; &lt;input type = ""hidden"" name = """" value = ""https://images-cn.ssl-images-amazon.com/images/I/71djzBBUGPS.png"" class = ""video-slate-img-url""&gt; &amp; nbsp; cost-effective ... cheap to death actually so g"&amp;"ood-looking version is suitable for small hands with large hands certainly not up! Anyway, that is very cute")</f>
        <v>Lovely cost-effective Charlie Brown fans collections &lt;div id = "video-block-RELKPLRGU8D7N" class = "a-section a-spacing-small a-spacing-top-mini video-block"&gt; &lt;/ div&gt; &lt;input type = "hidden" name = "" value = "https://images-cn.ssl-images-amazon.com/images/I/71UEeeX1d2S.mp4" class = "video-url"&gt; &lt;input type = "hidden" name = "" value = "https://images-cn.ssl-images-amazon.com/images/I/71djzBBUGPS.png" class = "video-slate-img-url"&gt; &amp; nbsp; cost-effective ... cheap to death actually so good-looking version is suitable for small hands with large hands certainly not up! Anyway, that is very cute</v>
      </c>
    </row>
    <row r="9532">
      <c r="A9532" s="1">
        <v>5.0</v>
      </c>
      <c r="B9532" s="1" t="s">
        <v>9469</v>
      </c>
      <c r="C9532" t="str">
        <f>IFERROR(__xludf.DUMMYFUNCTION("GOOGLETRANSLATE(B9532, ""zh"", ""en"")"),"Faucet fittings do not match what is received, but can not, then tap fittings are imperial, not domestic use.")</f>
        <v>Faucet fittings do not match what is received, but can not, then tap fittings are imperial, not domestic use.</v>
      </c>
    </row>
    <row r="9533">
      <c r="A9533" s="1">
        <v>5.0</v>
      </c>
      <c r="B9533" s="1" t="s">
        <v>9470</v>
      </c>
      <c r="C9533" t="str">
        <f>IFERROR(__xludf.DUMMYFUNCTION("GOOGLETRANSLATE(B9533, ""zh"", ""en"")"),"Pot is very light, very good packaging really simple, really nice pot, very light weight, easy to use special cooking.")</f>
        <v>Pot is very light, very good packaging really simple, really nice pot, very light weight, easy to use special cooking.</v>
      </c>
    </row>
    <row r="9534">
      <c r="A9534" s="1">
        <v>5.0</v>
      </c>
      <c r="B9534" s="1" t="s">
        <v>9471</v>
      </c>
      <c r="C9534" t="str">
        <f>IFERROR(__xludf.DUMMYFUNCTION("GOOGLETRANSLATE(B9534, ""zh"", ""en"")"),"Buy it for my mom, my mom liked something good, packaging is simple, it is a layer of kraft paper box, but fortunately, things are not damaged. Mom liked.")</f>
        <v>Buy it for my mom, my mom liked something good, packaging is simple, it is a layer of kraft paper box, but fortunately, things are not damaged. Mom liked.</v>
      </c>
    </row>
    <row r="9535">
      <c r="A9535" s="1">
        <v>5.0</v>
      </c>
      <c r="B9535" s="1" t="s">
        <v>9472</v>
      </c>
      <c r="C9535" t="str">
        <f>IFERROR(__xludf.DUMMYFUNCTION("GOOGLETRANSLATE(B9535, ""zh"", ""en"")"),"Pleasant shopping surprises value")</f>
        <v>Pleasant shopping surprises value</v>
      </c>
    </row>
    <row r="9536">
      <c r="A9536" s="1">
        <v>5.0</v>
      </c>
      <c r="B9536" s="1" t="s">
        <v>9473</v>
      </c>
      <c r="C9536" t="str">
        <f>IFERROR(__xludf.DUMMYFUNCTION("GOOGLETRANSLATE(B9536, ""zh"", ""en"")"),"Wrangler been wearing Levi's higher than the price, than the lee personality. Thick fabric, wear comfortable.")</f>
        <v>Wrangler been wearing Levi's higher than the price, than the lee personality. Thick fabric, wear comfortable.</v>
      </c>
    </row>
    <row r="9537">
      <c r="A9537" s="1">
        <v>5.0</v>
      </c>
      <c r="B9537" s="1" t="s">
        <v>9474</v>
      </c>
      <c r="C9537" t="str">
        <f>IFERROR(__xludf.DUMMYFUNCTION("GOOGLETRANSLATE(B9537, ""zh"", ""en"")"),"Slightly smaller size good quality, soft. Slightly smaller size")</f>
        <v>Slightly smaller size good quality, soft. Slightly smaller size</v>
      </c>
    </row>
    <row r="9538">
      <c r="A9538" s="1">
        <v>5.0</v>
      </c>
      <c r="B9538" s="1" t="s">
        <v>9475</v>
      </c>
      <c r="C9538" t="str">
        <f>IFERROR(__xludf.DUMMYFUNCTION("GOOGLETRANSLATE(B9538, ""zh"", ""en"")"),"Comfort strong for the first time to buy their music sneakers! Before all shoes, shoes, really strong sense of comfort. recommend!")</f>
        <v>Comfort strong for the first time to buy their music sneakers! Before all shoes, shoes, really strong sense of comfort. recommend!</v>
      </c>
    </row>
    <row r="9539">
      <c r="A9539" s="1">
        <v>5.0</v>
      </c>
      <c r="B9539" s="1" t="s">
        <v>9476</v>
      </c>
      <c r="C9539" t="str">
        <f>IFERROR(__xludf.DUMMYFUNCTION("GOOGLETRANSLATE(B9539, ""zh"", ""en"")"),"Logistics can taste before and after ten days to go to Shanghai, it is acceptable. Strawberry sweet taste is not very light, is my favorite section, praise")</f>
        <v>Logistics can taste before and after ten days to go to Shanghai, it is acceptable. Strawberry sweet taste is not very light, is my favorite section, praise</v>
      </c>
    </row>
    <row r="9540">
      <c r="A9540" s="1">
        <v>5.0</v>
      </c>
      <c r="B9540" s="1" t="s">
        <v>9477</v>
      </c>
      <c r="C9540" t="str">
        <f>IFERROR(__xludf.DUMMYFUNCTION("GOOGLETRANSLATE(B9540, ""zh"", ""en"")"),"Good quality cotton cloth vest hurdles, normal quality")</f>
        <v>Good quality cotton cloth vest hurdles, normal quality</v>
      </c>
    </row>
    <row r="9541">
      <c r="A9541" s="1">
        <v>5.0</v>
      </c>
      <c r="B9541" s="1" t="s">
        <v>9478</v>
      </c>
      <c r="C9541" t="str">
        <f>IFERROR(__xludf.DUMMYFUNCTION("GOOGLETRANSLATE(B9541, ""zh"", ""en"")"),"Chef machine 1000 watts, accessories are on the map, not with, the British standard plug adapter plug should be able to use. Very beautiful, very delicate, the dough should be durable")</f>
        <v>Chef machine 1000 watts, accessories are on the map, not with, the British standard plug adapter plug should be able to use. Very beautiful, very delicate, the dough should be durable</v>
      </c>
    </row>
    <row r="9542">
      <c r="A9542" s="1">
        <v>5.0</v>
      </c>
      <c r="B9542" s="1" t="s">
        <v>9479</v>
      </c>
      <c r="C9542" t="str">
        <f>IFERROR(__xludf.DUMMYFUNCTION("GOOGLETRANSLATE(B9542, ""zh"", ""en"")"),"final e3000 highly cost-effective! Good headphones, cheap, less than 300 to buy, and sound really good, selling 500 grades are completely no problem! At bedtime, take to the streets to use all appropriate")</f>
        <v>final e3000 highly cost-effective! Good headphones, cheap, less than 300 to buy, and sound really good, selling 500 grades are completely no problem! At bedtime, take to the streets to use all appropriate</v>
      </c>
    </row>
    <row r="9543">
      <c r="A9543" s="1">
        <v>5.0</v>
      </c>
      <c r="B9543" s="1" t="s">
        <v>9480</v>
      </c>
      <c r="C9543" t="str">
        <f>IFERROR(__xludf.DUMMYFUNCTION("GOOGLETRANSLATE(B9543, ""zh"", ""en"")"),"Comfort, fit style is very cute, big yardage Shaopian, this pair should be able to wear over two months, one-third of it is easy to bend, easy baby to walk, satisfaction")</f>
        <v>Comfort, fit style is very cute, big yardage Shaopian, this pair should be able to wear over two months, one-third of it is easy to bend, easy baby to walk, satisfaction</v>
      </c>
    </row>
    <row r="9544">
      <c r="A9544" s="1">
        <v>5.0</v>
      </c>
      <c r="B9544" s="1" t="s">
        <v>9481</v>
      </c>
      <c r="C9544" t="str">
        <f>IFERROR(__xludf.DUMMYFUNCTION("GOOGLETRANSLATE(B9544, ""zh"", ""en"")"),"Good denim jacket also, men 176/75 kg, l wear appropriate")</f>
        <v>Good denim jacket also, men 176/75 kg, l wear appropriate</v>
      </c>
    </row>
    <row r="9545">
      <c r="A9545" s="1">
        <v>5.0</v>
      </c>
      <c r="B9545" s="1" t="s">
        <v>9482</v>
      </c>
      <c r="C9545" t="str">
        <f>IFERROR(__xludf.DUMMYFUNCTION("GOOGLETRANSLATE(B9545, ""zh"", ""en"")"),"Very satisfied with a pink belt over recent Archeopteryx, look to buy a lot of things, suitable for leisure wear this belt, work well, very comfortable to wear.")</f>
        <v>Very satisfied with a pink belt over recent Archeopteryx, look to buy a lot of things, suitable for leisure wear this belt, work well, very comfortable to wear.</v>
      </c>
    </row>
    <row r="9546">
      <c r="A9546" s="1">
        <v>5.0</v>
      </c>
      <c r="B9546" s="1" t="s">
        <v>9483</v>
      </c>
      <c r="C9546" t="str">
        <f>IFERROR(__xludf.DUMMYFUNCTION("GOOGLETRANSLATE(B9546, ""zh"", ""en"")"),"Recommend large two yards working good, affordable, 32 yards to buy 34 freshman waist, buckle the second buttonholes too tight, the first buttonhole can, it is recommended to buy a large two yards.")</f>
        <v>Recommend large two yards working good, affordable, 32 yards to buy 34 freshman waist, buckle the second buttonholes too tight, the first buttonhole can, it is recommended to buy a large two yards.</v>
      </c>
    </row>
    <row r="9547">
      <c r="A9547" s="1">
        <v>5.0</v>
      </c>
      <c r="B9547" s="1" t="s">
        <v>9484</v>
      </c>
      <c r="C9547" t="str">
        <f>IFERROR(__xludf.DUMMYFUNCTION("GOOGLETRANSLATE(B9547, ""zh"", ""en"")"),"Has been eating this has been eating this, it guaranteed big")</f>
        <v>Has been eating this has been eating this, it guaranteed big</v>
      </c>
    </row>
    <row r="9548">
      <c r="A9548" s="1">
        <v>5.0</v>
      </c>
      <c r="B9548" s="1" t="s">
        <v>9485</v>
      </c>
      <c r="C9548" t="str">
        <f>IFERROR(__xludf.DUMMYFUNCTION("GOOGLETRANSLATE(B9548, ""zh"", ""en"")"),"A good bottle, silicone ruggedness colleagues bought, it is necessary to shoot a URL, for the little nephew is about to be born. Silicone baby bottle and drop, can be used for a long time. Almost no odor, very much.")</f>
        <v>A good bottle, silicone ruggedness colleagues bought, it is necessary to shoot a URL, for the little nephew is about to be born. Silicone baby bottle and drop, can be used for a long time. Almost no odor, very much.</v>
      </c>
    </row>
    <row r="9549">
      <c r="A9549" s="1">
        <v>5.0</v>
      </c>
      <c r="B9549" s="1" t="s">
        <v>9486</v>
      </c>
      <c r="C9549" t="str">
        <f>IFERROR(__xludf.DUMMYFUNCTION("GOOGLETRANSLATE(B9549, ""zh"", ""en"")"),"Satisfaction with the shopping for everyday wear resistant Kee Di, then buy a small No. 1-2 can be a very handsome courier soon less than a week is expected to top a long time ...... you should be genuine Amazon's overseas assured!")</f>
        <v>Satisfaction with the shopping for everyday wear resistant Kee Di, then buy a small No. 1-2 can be a very handsome courier soon less than a week is expected to top a long time ...... you should be genuine Amazon's overseas assured!</v>
      </c>
    </row>
    <row r="9550">
      <c r="A9550" s="1">
        <v>2.0</v>
      </c>
      <c r="B9550" s="1" t="s">
        <v>9487</v>
      </c>
      <c r="C9550" t="str">
        <f>IFERROR(__xludf.DUMMYFUNCTION("GOOGLETRANSLATE(B9550, ""zh"", ""en"")"),"Absolutely no packaging, just a few cups in the anti-naked with a cardboard box, worn each other. Absolutely no packaging, just a few cups in the anti-naked with a cardboard box, worn each other. If not the sea Amoy return trouble, I do not. Finally left."&amp;" Not as good as Thermos Foogo cup, that there is a simple package.")</f>
        <v>Absolutely no packaging, just a few cups in the anti-naked with a cardboard box, worn each other. Absolutely no packaging, just a few cups in the anti-naked with a cardboard box, worn each other. If not the sea Amoy return trouble, I do not. Finally left. Not as good as Thermos Foogo cup, that there is a simple package.</v>
      </c>
    </row>
    <row r="9551">
      <c r="A9551" s="1">
        <v>3.0</v>
      </c>
      <c r="B9551" s="1" t="s">
        <v>9488</v>
      </c>
      <c r="C9551" t="str">
        <f>IFERROR(__xludf.DUMMYFUNCTION("GOOGLETRANSLATE(B9551, ""zh"", ""en"")"),"Did not buy do not buy, do not buy back does not look good, slightly smaller size, perhaps the style of reason, return shipping back to reclaim 125 did not make much sense, in the end users is heard, then I bought, buy and regret. Quality is really bad")</f>
        <v>Did not buy do not buy, do not buy back does not look good, slightly smaller size, perhaps the style of reason, return shipping back to reclaim 125 did not make much sense, in the end users is heard, then I bought, buy and regret. Quality is really bad</v>
      </c>
    </row>
    <row r="9552">
      <c r="A9552" s="1">
        <v>3.0</v>
      </c>
      <c r="B9552" s="1" t="s">
        <v>9489</v>
      </c>
      <c r="C9552" t="str">
        <f>IFERROR(__xludf.DUMMYFUNCTION("GOOGLETRANSLATE(B9552, ""zh"", ""en"")"),"Not generally like to eat, do not know how effective; but the packaging is very like a general, cartons sent when they are pressed out of shape, loaded protein powder bottle also squeezed flat, and a bottle twist on the open, without any protection, I do "&amp;"not know there is no moisture in the transport process;")</f>
        <v>Not generally like to eat, do not know how effective; but the packaging is very like a general, cartons sent when they are pressed out of shape, loaded protein powder bottle also squeezed flat, and a bottle twist on the open, without any protection, I do not know there is no moisture in the transport process;</v>
      </c>
    </row>
    <row r="9553">
      <c r="A9553" s="1">
        <v>3.0</v>
      </c>
      <c r="B9553" s="1" t="s">
        <v>9490</v>
      </c>
      <c r="C9553" t="str">
        <f>IFERROR(__xludf.DUMMYFUNCTION("GOOGLETRANSLATE(B9553, ""zh"", ""en"")"),"Does not support network function black is buying the next day decline in value that is not supported by the insured customer service response, ask what meaning black five promotions? Harvesting leeks? About the product: only back up the data on the machi"&amp;"ne, in the era of sharing, a computer data backup is not enough, should have a network concept which can backup all data on the internal LAN! In addition, this device does not support plug and play many routers, home to more than one computer only if ther"&amp;"e ever was plug!")</f>
        <v>Does not support network function black is buying the next day decline in value that is not supported by the insured customer service response, ask what meaning black five promotions? Harvesting leeks? About the product: only back up the data on the machine, in the era of sharing, a computer data backup is not enough, should have a network concept which can backup all data on the internal LAN! In addition, this device does not support plug and play many routers, home to more than one computer only if there ever was plug!</v>
      </c>
    </row>
    <row r="9554">
      <c r="A9554" s="1">
        <v>1.0</v>
      </c>
      <c r="B9554" s="1" t="s">
        <v>9491</v>
      </c>
      <c r="C9554" t="str">
        <f>IFERROR(__xludf.DUMMYFUNCTION("GOOGLETRANSLATE(B9554, ""zh"", ""en"")"),"Size table and the tool is an error to &lt;div id = ""video-block-R5TU1L34TNG98"" class = ""a-section a-spacing-small a-spacing-top-mini video-block""&gt; &lt;/ div&gt; &lt;input type = ""hidden"" name = """" value = ""https://images-cn.ssl-images-amazon.com/images/I/81"&amp;"5PYYxnlSS.mp4"" class = ""video-url""&gt; &lt;input type = ""hidden ""name ="" ""value ="" https://images-cn.ssl-images-amazon.com/images/I/B1b5pWwBzKS.png ""class ="" video-slate-img-url ""&gt; &amp; nbsp; the quality of the clothes themselves did not what can be pic"&amp;"ky. But commodity pit size is completely committed overseas purchase taboo, such as inappropriate size Returns operator who? Press L bust size table is 106cm, 128cm Found! Enter the height and weight bust, the tool also suggested that L code more than 70%"&amp;" of people choose.")</f>
        <v>Size table and the tool is an error to &lt;div id = "video-block-R5TU1L34TNG98" class = "a-section a-spacing-small a-spacing-top-mini video-block"&gt; &lt;/ div&gt; &lt;input type = "hidden" name = "" value = "https://images-cn.ssl-images-amazon.com/images/I/815PYYxnlSS.mp4" class = "video-url"&gt; &lt;input type = "hidden "name =" "value =" https://images-cn.ssl-images-amazon.com/images/I/B1b5pWwBzKS.png "class =" video-slate-img-url "&gt; &amp; nbsp; the quality of the clothes themselves did not what can be picky. But commodity pit size is completely committed overseas purchase taboo, such as inappropriate size Returns operator who? Press L bust size table is 106cm, 128cm Found! Enter the height and weight bust, the tool also suggested that L code more than 70% of people choose.</v>
      </c>
    </row>
    <row r="9555">
      <c r="A9555" s="1">
        <v>1.0</v>
      </c>
      <c r="B9555" s="1" t="s">
        <v>9492</v>
      </c>
      <c r="C9555" t="str">
        <f>IFERROR(__xludf.DUMMYFUNCTION("GOOGLETRANSLATE(B9555, ""zh"", ""en"")"),"Off a small piece of open to buy back a small piece of found out, this stuff is very hard iron, I do not know how to bump, but also do not understand why the new microphone Why is it so!")</f>
        <v>Off a small piece of open to buy back a small piece of found out, this stuff is very hard iron, I do not know how to bump, but also do not understand why the new microphone Why is it so!</v>
      </c>
    </row>
    <row r="9556">
      <c r="A9556" s="1">
        <v>4.0</v>
      </c>
      <c r="B9556" s="1" t="s">
        <v>9493</v>
      </c>
      <c r="C9556" t="str">
        <f>IFERROR(__xludf.DUMMYFUNCTION("GOOGLETRANSLATE(B9556, ""zh"", ""en"")"),"practical. Fine, very practical summer.")</f>
        <v>practical. Fine, very practical summer.</v>
      </c>
    </row>
    <row r="9557">
      <c r="A9557" s="1">
        <v>4.0</v>
      </c>
      <c r="B9557" s="1" t="s">
        <v>9494</v>
      </c>
      <c r="C9557" t="str">
        <f>IFERROR(__xludf.DUMMYFUNCTION("GOOGLETRANSLATE(B9557, ""zh"", ""en"")"),"No longer the big little more appropriate")</f>
        <v>No longer the big little more appropriate</v>
      </c>
    </row>
    <row r="9558">
      <c r="A9558" s="1">
        <v>4.0</v>
      </c>
      <c r="B9558" s="1" t="s">
        <v>9495</v>
      </c>
      <c r="C9558" t="str">
        <f>IFERROR(__xludf.DUMMYFUNCTION("GOOGLETRANSLATE(B9558, ""zh"", ""en"")"),"Sea Amoy, there are risks. Really sad very sad, bad hard drive slightly, Amazon said that because of the time period too, can not assist in the transfer of goods, domestic sale in China because it is not sold, nor to the sale, then clatter Oh, can not rep"&amp;"air. . .")</f>
        <v>Sea Amoy, there are risks. Really sad very sad, bad hard drive slightly, Amazon said that because of the time period too, can not assist in the transfer of goods, domestic sale in China because it is not sold, nor to the sale, then clatter Oh, can not repair. . .</v>
      </c>
    </row>
    <row r="9559">
      <c r="A9559" s="1">
        <v>4.0</v>
      </c>
      <c r="B9559" s="1" t="s">
        <v>9496</v>
      </c>
      <c r="C9559" t="str">
        <f>IFERROR(__xludf.DUMMYFUNCTION("GOOGLETRANSLATE(B9559, ""zh"", ""en"")"),"Long version of the ah, I 155,47kg, put on size also can accept, I want to have the feeling of collapse. The disadvantage is too long, and front pockets, thick piled up in there, does not look good.")</f>
        <v>Long version of the ah, I 155,47kg, put on size also can accept, I want to have the feeling of collapse. The disadvantage is too long, and front pockets, thick piled up in there, does not look good.</v>
      </c>
    </row>
    <row r="9560">
      <c r="A9560" s="1">
        <v>5.0</v>
      </c>
      <c r="B9560" s="1" t="s">
        <v>9497</v>
      </c>
      <c r="C9560" t="str">
        <f>IFERROR(__xludf.DUMMYFUNCTION("GOOGLETRANSLATE(B9560, ""zh"", ""en"")"),"A dollars a day / convenience baby, every drop of more than half of the content in general than the previous 400IU / drops, 2 drops are fed, get this one drop.")</f>
        <v>A dollars a day / convenience baby, every drop of more than half of the content in general than the previous 400IU / drops, 2 drops are fed, get this one drop.</v>
      </c>
    </row>
    <row r="9561">
      <c r="A9561" s="1">
        <v>5.0</v>
      </c>
      <c r="B9561" s="1" t="s">
        <v>9498</v>
      </c>
      <c r="C9561" t="str">
        <f>IFERROR(__xludf.DUMMYFUNCTION("GOOGLETRANSLATE(B9561, ""zh"", ""en"")"),"Lightweight and convenient special lightweight, portable equipment in the bag, drink hot water at all times, especially when winter is really great out of")</f>
        <v>Lightweight and convenient special lightweight, portable equipment in the bag, drink hot water at all times, especially when winter is really great out of</v>
      </c>
    </row>
    <row r="9562">
      <c r="A9562" s="1">
        <v>5.0</v>
      </c>
      <c r="B9562" s="1" t="s">
        <v>9499</v>
      </c>
      <c r="C9562" t="str">
        <f>IFERROR(__xludf.DUMMYFUNCTION("GOOGLETRANSLATE(B9562, ""zh"", ""en"")"),"pretty good. Also good for autumn wear. The right size")</f>
        <v>pretty good. Also good for autumn wear. The right size</v>
      </c>
    </row>
    <row r="9563">
      <c r="A9563" s="1">
        <v>5.0</v>
      </c>
      <c r="B9563" s="1" t="s">
        <v>9500</v>
      </c>
      <c r="C9563" t="str">
        <f>IFERROR(__xludf.DUMMYFUNCTION("GOOGLETRANSLATE(B9563, ""zh"", ""en"")"),"99 points, one point that is not afraid to purchase the perfect size appropriate pride - His wife, Italian style, just perfect ~")</f>
        <v>99 points, one point that is not afraid to purchase the perfect size appropriate pride - His wife, Italian style, just perfect ~</v>
      </c>
    </row>
    <row r="9564">
      <c r="A9564" s="1">
        <v>5.0</v>
      </c>
      <c r="B9564" s="1" t="s">
        <v>9501</v>
      </c>
      <c r="C9564" t="str">
        <f>IFERROR(__xludf.DUMMYFUNCTION("GOOGLETRANSLATE(B9564, ""zh"", ""en"")"),"Braun Braun nice thing is something that is relatively simple, anyone to use, especially like friends, but also precise quartz packaging is also good to go")</f>
        <v>Braun Braun nice thing is something that is relatively simple, anyone to use, especially like friends, but also precise quartz packaging is also good to go</v>
      </c>
    </row>
    <row r="9565">
      <c r="A9565" s="1">
        <v>5.0</v>
      </c>
      <c r="B9565" s="1" t="s">
        <v>9502</v>
      </c>
      <c r="C9565" t="str">
        <f>IFERROR(__xludf.DUMMYFUNCTION("GOOGLETRANSLATE(B9565, ""zh"", ""en"")"),"Cost-effective and good quality waterproof really no words, is not read instructions for use, after verifying the quality of the band to be")</f>
        <v>Cost-effective and good quality waterproof really no words, is not read instructions for use, after verifying the quality of the band to be</v>
      </c>
    </row>
    <row r="9566">
      <c r="A9566" s="1">
        <v>5.0</v>
      </c>
      <c r="B9566" s="1" t="s">
        <v>9503</v>
      </c>
      <c r="C9566" t="str">
        <f>IFERROR(__xludf.DUMMYFUNCTION("GOOGLETRANSLATE(B9566, ""zh"", ""en"")"),"In order to promote pro-testosterone products testosterone, just started to eat, I want to eat after a good spirit.")</f>
        <v>In order to promote pro-testosterone products testosterone, just started to eat, I want to eat after a good spirit.</v>
      </c>
    </row>
    <row r="9567">
      <c r="A9567" s="1">
        <v>5.0</v>
      </c>
      <c r="B9567" s="1" t="s">
        <v>9504</v>
      </c>
      <c r="C9567" t="str">
        <f>IFERROR(__xludf.DUMMYFUNCTION("GOOGLETRANSLATE(B9567, ""zh"", ""en"")"),"good looking! Height Weight 180 140, the shoulders are slightly wider, wear just sort. To you to be a reference. The fabric is thin, the US version of I wear M, the date is relatively small, is enough to wear a freshman yards.")</f>
        <v>good looking! Height Weight 180 140, the shoulders are slightly wider, wear just sort. To you to be a reference. The fabric is thin, the US version of I wear M, the date is relatively small, is enough to wear a freshman yards.</v>
      </c>
    </row>
    <row r="9568">
      <c r="A9568" s="1">
        <v>5.0</v>
      </c>
      <c r="B9568" s="1" t="s">
        <v>9505</v>
      </c>
      <c r="C9568" t="str">
        <f>IFERROR(__xludf.DUMMYFUNCTION("GOOGLETRANSLATE(B9568, ""zh"", ""en"")"),"Good quality shoes, shoe size is too large, good quality, only regret is that size is too large one yard to one yard and a half, soft soles, work is also good, very much.")</f>
        <v>Good quality shoes, shoe size is too large, good quality, only regret is that size is too large one yard to one yard and a half, soft soles, work is also good, very much.</v>
      </c>
    </row>
    <row r="9569">
      <c r="A9569" s="1">
        <v>5.0</v>
      </c>
      <c r="B9569" s="1" t="s">
        <v>9506</v>
      </c>
      <c r="C9569" t="str">
        <f>IFERROR(__xludf.DUMMYFUNCTION("GOOGLETRANSLATE(B9569, ""zh"", ""en"")"),"Feel good pen itself is relatively heavy, very stable in the hand, writing smooth, comfortable. recommend")</f>
        <v>Feel good pen itself is relatively heavy, very stable in the hand, writing smooth, comfortable. recommend</v>
      </c>
    </row>
    <row r="9570">
      <c r="A9570" s="1">
        <v>5.0</v>
      </c>
      <c r="B9570" s="1" t="s">
        <v>9507</v>
      </c>
      <c r="C9570" t="str">
        <f>IFERROR(__xludf.DUMMYFUNCTION("GOOGLETRANSLATE(B9570, ""zh"", ""en"")"),"Large and beautiful good things, fast, stable quality, large capacity and beautiful!")</f>
        <v>Large and beautiful good things, fast, stable quality, large capacity and beautiful!</v>
      </c>
    </row>
    <row r="9571">
      <c r="A9571" s="1">
        <v>5.0</v>
      </c>
      <c r="B9571" s="1" t="s">
        <v>9508</v>
      </c>
      <c r="C9571" t="str">
        <f>IFERROR(__xludf.DUMMYFUNCTION("GOOGLETRANSLATE(B9571, ""zh"", ""en"")"),"Beautifully accent products. Comfortable fit and wild.")</f>
        <v>Beautifully accent products. Comfortable fit and wild.</v>
      </c>
    </row>
    <row r="9572">
      <c r="A9572" s="1">
        <v>5.0</v>
      </c>
      <c r="B9572" s="1" t="s">
        <v>9509</v>
      </c>
      <c r="C9572" t="str">
        <f>IFERROR(__xludf.DUMMYFUNCTION("GOOGLETRANSLATE(B9572, ""zh"", ""en"")"),"Handle cover work better than I imagined a big point, rubber cover handle than a long point, there are teeth slip roads, than handle long point, can be insulated. Shen little point, the couple should be 8 inches (two can share eggs) is enough, you can tap"&amp;".")</f>
        <v>Handle cover work better than I imagined a big point, rubber cover handle than a long point, there are teeth slip roads, than handle long point, can be insulated. Shen little point, the couple should be 8 inches (two can share eggs) is enough, you can tap.</v>
      </c>
    </row>
    <row r="9573">
      <c r="A9573" s="1">
        <v>5.0</v>
      </c>
      <c r="B9573" s="1" t="s">
        <v>9510</v>
      </c>
      <c r="C9573" t="str">
        <f>IFERROR(__xludf.DUMMYFUNCTION("GOOGLETRANSLATE(B9573, ""zh"", ""en"")"),"Looked like authentic look ... traces okay. . Very thin, breathable overseas direct mail very fast, eight days to go.")</f>
        <v>Looked like authentic look ... traces okay. . Very thin, breathable overseas direct mail very fast, eight days to go.</v>
      </c>
    </row>
    <row r="9574">
      <c r="A9574" s="1">
        <v>5.0</v>
      </c>
      <c r="B9574" s="1" t="s">
        <v>9511</v>
      </c>
      <c r="C9574" t="str">
        <f>IFERROR(__xludf.DUMMYFUNCTION("GOOGLETRANSLATE(B9574, ""zh"", ""en"")"),"Like a good top downloaded resources now growing, with 2t original hard disk can not meet the 10t within five years completely enough voice quiet, just power running when a little tick, very quiet behind the")</f>
        <v>Like a good top downloaded resources now growing, with 2t original hard disk can not meet the 10t within five years completely enough voice quiet, just power running when a little tick, very quiet behind the</v>
      </c>
    </row>
    <row r="9575">
      <c r="A9575" s="1">
        <v>5.0</v>
      </c>
      <c r="B9575" s="1" t="s">
        <v>9512</v>
      </c>
      <c r="C9575" t="str">
        <f>IFERROR(__xludf.DUMMYFUNCTION("GOOGLETRANSLATE(B9575, ""zh"", ""en"")"),"Comfort yardage is very positive, soft, comfortable")</f>
        <v>Comfort yardage is very positive, soft, comfortable</v>
      </c>
    </row>
    <row r="9576">
      <c r="A9576" s="1">
        <v>5.0</v>
      </c>
      <c r="B9576" s="1" t="s">
        <v>2192</v>
      </c>
      <c r="C9576" t="str">
        <f>IFERROR(__xludf.DUMMYFUNCTION("GOOGLETRANSLATE(B9576, ""zh"", ""en"")"),"Healthy summer wear very comfortable")</f>
        <v>Healthy summer wear very comfortable</v>
      </c>
    </row>
    <row r="9577">
      <c r="A9577" s="1">
        <v>5.0</v>
      </c>
      <c r="B9577" s="1" t="s">
        <v>9513</v>
      </c>
      <c r="C9577" t="str">
        <f>IFERROR(__xludf.DUMMYFUNCTION("GOOGLETRANSLATE(B9577, ""zh"", ""en"")"),"With a good feeling is good")</f>
        <v>With a good feeling is good</v>
      </c>
    </row>
    <row r="9578">
      <c r="A9578" s="1">
        <v>5.0</v>
      </c>
      <c r="B9578" s="1" t="s">
        <v>3152</v>
      </c>
      <c r="C9578" t="str">
        <f>IFERROR(__xludf.DUMMYFUNCTION("GOOGLETRANSLATE(B9578, ""zh"", ""en"")"),"Very good, high cost, very good, high cost")</f>
        <v>Very good, high cost, very good, high cost</v>
      </c>
    </row>
    <row r="9579">
      <c r="A9579" s="1">
        <v>5.0</v>
      </c>
      <c r="B9579" s="1" t="s">
        <v>9514</v>
      </c>
      <c r="C9579" t="str">
        <f>IFERROR(__xludf.DUMMYFUNCTION("GOOGLETRANSLATE(B9579, ""zh"", ""en"")"),"Japanese version is ideal for feeling good")</f>
        <v>Japanese version is ideal for feeling good</v>
      </c>
    </row>
    <row r="9580">
      <c r="A9580" s="1">
        <v>5.0</v>
      </c>
      <c r="B9580" s="1" t="s">
        <v>9515</v>
      </c>
      <c r="C9580" t="str">
        <f>IFERROR(__xludf.DUMMYFUNCTION("GOOGLETRANSLATE(B9580, ""zh"", ""en"")"),"Perfect haircut tool, Hungary produced very suitable, in particular, rotatable tool head can be personal barber trimming, Hungary produced, stick!")</f>
        <v>Perfect haircut tool, Hungary produced very suitable, in particular, rotatable tool head can be personal barber trimming, Hungary produced, stick!</v>
      </c>
    </row>
    <row r="9581">
      <c r="A9581" s="1">
        <v>5.0</v>
      </c>
      <c r="B9581" s="1" t="s">
        <v>9516</v>
      </c>
      <c r="C9581" t="str">
        <f>IFERROR(__xludf.DUMMYFUNCTION("GOOGLETRANSLATE(B9581, ""zh"", ""en"")"),"This is a very good clothes jacket, which has a layer of velvet, a certain warmth, collar part which added a layer of padded. Introduction waterproof, I feel like waterproof fabrics, such as a rainy day to try. Spring and Autumn wear very good.")</f>
        <v>This is a very good clothes jacket, which has a layer of velvet, a certain warmth, collar part which added a layer of padded. Introduction waterproof, I feel like waterproof fabrics, such as a rainy day to try. Spring and Autumn wear very good.</v>
      </c>
    </row>
    <row r="9582">
      <c r="A9582" s="1">
        <v>2.0</v>
      </c>
      <c r="B9582" s="1" t="s">
        <v>9517</v>
      </c>
      <c r="C9582" t="str">
        <f>IFERROR(__xludf.DUMMYFUNCTION("GOOGLETRANSLATE(B9582, ""zh"", ""en"")"),"This dress is too squeamish, my mom washed three times only wear once neckline completely distorted.")</f>
        <v>This dress is too squeamish, my mom washed three times only wear once neckline completely distorted.</v>
      </c>
    </row>
    <row r="9583">
      <c r="A9583" s="1">
        <v>3.0</v>
      </c>
      <c r="B9583" s="1" t="s">
        <v>9518</v>
      </c>
      <c r="C9583" t="str">
        <f>IFERROR(__xludf.DUMMYFUNCTION("GOOGLETRANSLATE(B9583, ""zh"", ""en"")"),"Very crowded, it is recommended to buy big a number 265 feet long, to buy nine yards, 270 feet long, but too crowded in front, wearing squeeze two days of giant feet hurt, aside eating gray.")</f>
        <v>Very crowded, it is recommended to buy big a number 265 feet long, to buy nine yards, 270 feet long, but too crowded in front, wearing squeeze two days of giant feet hurt, aside eating gray.</v>
      </c>
    </row>
    <row r="9584">
      <c r="A9584" s="1">
        <v>3.0</v>
      </c>
      <c r="B9584" s="1" t="s">
        <v>9519</v>
      </c>
      <c r="C9584" t="str">
        <f>IFERROR(__xludf.DUMMYFUNCTION("GOOGLETRANSLATE(B9584, ""zh"", ""en"")"),"Much less than one meter seven girls do not buy much much, mainly sleeve diameter is too big. 167,58 kg, belong to the body shoulder width, men usually wear domestic stress-free number 170 I think that this all too big. Quality is very general and can see"&amp;" a clear thread, of course, this price also this quality of. Mainly the size, the girls should be careful to buy ah!")</f>
        <v>Much less than one meter seven girls do not buy much much, mainly sleeve diameter is too big. 167,58 kg, belong to the body shoulder width, men usually wear domestic stress-free number 170 I think that this all too big. Quality is very general and can see a clear thread, of course, this price also this quality of. Mainly the size, the girls should be careful to buy ah!</v>
      </c>
    </row>
    <row r="9585">
      <c r="A9585" s="1">
        <v>1.0</v>
      </c>
      <c r="B9585" s="1" t="s">
        <v>9520</v>
      </c>
      <c r="C9585" t="str">
        <f>IFERROR(__xludf.DUMMYFUNCTION("GOOGLETRANSLATE(B9585, ""zh"", ""en"")"),"Jeans question feedback following questions: 1, and the actual color of goods pictures completely different, there is no washing effect, but also a lot of dark colors. 2, fade, fade serious, wash out the pot a pot of water is deep blue water. 3, the size "&amp;"is too large, partial width pant.")</f>
        <v>Jeans question feedback following questions: 1, and the actual color of goods pictures completely different, there is no washing effect, but also a lot of dark colors. 2, fade, fade serious, wash out the pot a pot of water is deep blue water. 3, the size is too large, partial width pant.</v>
      </c>
    </row>
    <row r="9586">
      <c r="A9586" s="1">
        <v>1.0</v>
      </c>
      <c r="B9586" s="1" t="s">
        <v>9521</v>
      </c>
      <c r="C9586" t="str">
        <f>IFERROR(__xludf.DUMMYFUNCTION("GOOGLETRANSLATE(B9586, ""zh"", ""en"")"),"Texture also is worried about the quality of open and found there is a pressure to the pressure line did not have a cut")</f>
        <v>Texture also is worried about the quality of open and found there is a pressure to the pressure line did not have a cut</v>
      </c>
    </row>
    <row r="9587">
      <c r="A9587" s="1">
        <v>1.0</v>
      </c>
      <c r="B9587" s="1" t="s">
        <v>9522</v>
      </c>
      <c r="C9587" t="str">
        <f>IFERROR(__xludf.DUMMYFUNCTION("GOOGLETRANSLATE(B9587, ""zh"", ""en"")"),"This is the first very disappointed in the Amazon to buy supplies feeling very disappointed I will not speak how about the product itself first shipments will be no quality control so far sent me a defective product itself is poor can no longer poor touch"&amp;" on a traces of thought here can buy the goods really good enough.")</f>
        <v>This is the first very disappointed in the Amazon to buy supplies feeling very disappointed I will not speak how about the product itself first shipments will be no quality control so far sent me a defective product itself is poor can no longer poor touch on a traces of thought here can buy the goods really good enough.</v>
      </c>
    </row>
    <row r="9588">
      <c r="A9588" s="1">
        <v>4.0</v>
      </c>
      <c r="B9588" s="1" t="s">
        <v>9523</v>
      </c>
      <c r="C9588" t="str">
        <f>IFERROR(__xludf.DUMMYFUNCTION("GOOGLETRANSLATE(B9588, ""zh"", ""en"")"),"Usually buy buy Han Han 1. waist) waist 187852 seven feet, usually buy the pants 34, 2.) * 32 33 to buy small waist, the length can be, but can wear elastic 3) and I on the same college to buy 175 / 84A 33 sizes Tang lion pants. But now obvious waist a li"&amp;"ttle small conclusion: buy a large size good, how much to buy waist pants, long pants can measure it. Note that the inside of long pants, a reference for everyone")</f>
        <v>Usually buy buy Han Han 1. waist) waist 187852 seven feet, usually buy the pants 34, 2.) * 32 33 to buy small waist, the length can be, but can wear elastic 3) and I on the same college to buy 175 / 84A 33 sizes Tang lion pants. But now obvious waist a little small conclusion: buy a large size good, how much to buy waist pants, long pants can measure it. Note that the inside of long pants, a reference for everyone</v>
      </c>
    </row>
    <row r="9589">
      <c r="A9589" s="1">
        <v>4.0</v>
      </c>
      <c r="B9589" s="1" t="s">
        <v>9524</v>
      </c>
      <c r="C9589" t="str">
        <f>IFERROR(__xludf.DUMMYFUNCTION("GOOGLETRANSLATE(B9589, ""zh"", ""en"")"),"Big given away m minimum code are much larger, not fat do not buy, pay attention to just the United States Code.")</f>
        <v>Big given away m minimum code are much larger, not fat do not buy, pay attention to just the United States Code.</v>
      </c>
    </row>
    <row r="9590">
      <c r="A9590" s="1">
        <v>4.0</v>
      </c>
      <c r="B9590" s="1" t="s">
        <v>9525</v>
      </c>
      <c r="C9590" t="str">
        <f>IFERROR(__xludf.DUMMYFUNCTION("GOOGLETRANSLATE(B9590, ""zh"", ""en"")"),"Acid hydrolysis but does not completely allergic to milk my baby is allergic to eggs ++, ++++ milk allergy, children are poor, can not eat all kinds. The fully hydrolyzed milk drink is not allergic, finally can supplement the nutritional point. But the ba"&amp;"by to drink a sip of how not to drink, I tried, no milk, not sweet, even worse is that, very sour. This is the taste of amino acids, all of which are amino acids milk taste it. Helpless. Buy sugar to join, or to cajole the baby to drink a little bit, thou"&amp;"gh difficult, is still happy. Compared to a variety of overseas purchasing, or believe AIU direct mail, date and quality are guaranteed. There is a need, it is recommended to buy a small amount, it can determine the taste to adjust to the baby can accept,"&amp;" buy more. Lest they bought a baby does not eat waste.")</f>
        <v>Acid hydrolysis but does not completely allergic to milk my baby is allergic to eggs ++, ++++ milk allergy, children are poor, can not eat all kinds. The fully hydrolyzed milk drink is not allergic, finally can supplement the nutritional point. But the baby to drink a sip of how not to drink, I tried, no milk, not sweet, even worse is that, very sour. This is the taste of amino acids, all of which are amino acids milk taste it. Helpless. Buy sugar to join, or to cajole the baby to drink a little bit, though difficult, is still happy. Compared to a variety of overseas purchasing, or believe AIU direct mail, date and quality are guaranteed. There is a need, it is recommended to buy a small amount, it can determine the taste to adjust to the baby can accept, buy more. Lest they bought a baby does not eat waste.</v>
      </c>
    </row>
    <row r="9591">
      <c r="A9591" s="1">
        <v>4.0</v>
      </c>
      <c r="B9591" s="1" t="s">
        <v>9526</v>
      </c>
      <c r="C9591" t="str">
        <f>IFERROR(__xludf.DUMMYFUNCTION("GOOGLETRANSLATE(B9591, ""zh"", ""en"")"),"Quite right shoes that look great style vamp a little scratch but have fundamental good")</f>
        <v>Quite right shoes that look great style vamp a little scratch but have fundamental good</v>
      </c>
    </row>
    <row r="9592">
      <c r="A9592" s="1">
        <v>4.0</v>
      </c>
      <c r="B9592" s="1" t="s">
        <v>9527</v>
      </c>
      <c r="C9592" t="str">
        <f>IFERROR(__xludf.DUMMYFUNCTION("GOOGLETRANSLATE(B9592, ""zh"", ""en"")"),"Writing smooth writing smooth. Lighter texture somewhat less, not high grade feeling. The biggest problem is with only a one-time ink gall bladder, but also to purchase another match after use of the ink to continue.")</f>
        <v>Writing smooth writing smooth. Lighter texture somewhat less, not high grade feeling. The biggest problem is with only a one-time ink gall bladder, but also to purchase another match after use of the ink to continue.</v>
      </c>
    </row>
    <row r="9593">
      <c r="A9593" s="1">
        <v>5.0</v>
      </c>
      <c r="B9593" s="1" t="s">
        <v>9528</v>
      </c>
      <c r="C9593" t="str">
        <f>IFERROR(__xludf.DUMMYFUNCTION("GOOGLETRANSLATE(B9593, ""zh"", ""en"")"),"95 is really cost-effective good fit, 95 snapped. Basic models, can not say how good, we like domestic, but very expensive")</f>
        <v>95 is really cost-effective good fit, 95 snapped. Basic models, can not say how good, we like domestic, but very expensive</v>
      </c>
    </row>
    <row r="9594">
      <c r="A9594" s="1">
        <v>5.0</v>
      </c>
      <c r="B9594" s="1" t="s">
        <v>9529</v>
      </c>
      <c r="C9594" t="str">
        <f>IFERROR(__xludf.DUMMYFUNCTION("GOOGLETRANSLATE(B9594, ""zh"", ""en"")"),"Perfect! Love! Yes! Perfect! Love! Yes!")</f>
        <v>Perfect! Love! Yes! Perfect! Love! Yes!</v>
      </c>
    </row>
    <row r="9595">
      <c r="A9595" s="1">
        <v>5.0</v>
      </c>
      <c r="B9595" s="1" t="s">
        <v>9530</v>
      </c>
      <c r="C9595" t="str">
        <f>IFERROR(__xludf.DUMMYFUNCTION("GOOGLETRANSLATE(B9595, ""zh"", ""en"")"),"Store goods, the feeling is very wrong mushroom color is very beautiful, feels great feel, good quality. Is giving the baby store goods in the hope that after the baby is born like it.")</f>
        <v>Store goods, the feeling is very wrong mushroom color is very beautiful, feels great feel, good quality. Is giving the baby store goods in the hope that after the baby is born like it.</v>
      </c>
    </row>
    <row r="9596">
      <c r="A9596" s="1">
        <v>5.0</v>
      </c>
      <c r="B9596" s="1" t="s">
        <v>9531</v>
      </c>
      <c r="C9596" t="str">
        <f>IFERROR(__xludf.DUMMYFUNCTION("GOOGLETRANSLATE(B9596, ""zh"", ""en"")"),"Great green is very beautiful, workmanship is very fine")</f>
        <v>Great green is very beautiful, workmanship is very fine</v>
      </c>
    </row>
    <row r="9597">
      <c r="A9597" s="1">
        <v>5.0</v>
      </c>
      <c r="B9597" s="1" t="s">
        <v>9532</v>
      </c>
      <c r="C9597" t="str">
        <f>IFERROR(__xludf.DUMMYFUNCTION("GOOGLETRANSLATE(B9597, ""zh"", ""en"")"),"2 generation sound great! great! This speaker sounds good to listen to! Sound quality is much better than passive speakers are much better!")</f>
        <v>2 generation sound great! great! This speaker sounds good to listen to! Sound quality is much better than passive speakers are much better!</v>
      </c>
    </row>
    <row r="9598">
      <c r="A9598" s="1">
        <v>5.0</v>
      </c>
      <c r="B9598" s="1" t="s">
        <v>9533</v>
      </c>
      <c r="C9598" t="str">
        <f>IFERROR(__xludf.DUMMYFUNCTION("GOOGLETRANSLATE(B9598, ""zh"", ""en"")"),"Perfect shoes standard uk4.5 eur37.5, usually 38 up wearing very appropriate")</f>
        <v>Perfect shoes standard uk4.5 eur37.5, usually 38 up wearing very appropriate</v>
      </c>
    </row>
    <row r="9599">
      <c r="A9599" s="1">
        <v>5.0</v>
      </c>
      <c r="B9599" s="1" t="s">
        <v>9534</v>
      </c>
      <c r="C9599" t="str">
        <f>IFERROR(__xludf.DUMMYFUNCTION("GOOGLETRANSLATE(B9599, ""zh"", ""en"")"),"Bottle store goods, the courier 10 days now, okay, baby bottles no other taste, grip is also good, very like a friend's!")</f>
        <v>Bottle store goods, the courier 10 days now, okay, baby bottles no other taste, grip is also good, very like a friend's!</v>
      </c>
    </row>
    <row r="9600">
      <c r="A9600" s="1">
        <v>5.0</v>
      </c>
      <c r="B9600" s="1" t="s">
        <v>9535</v>
      </c>
      <c r="C9600" t="str">
        <f>IFERROR(__xludf.DUMMYFUNCTION("GOOGLETRANSLATE(B9600, ""zh"", ""en"")"),"Very light and very light")</f>
        <v>Very light and very light</v>
      </c>
    </row>
    <row r="9601">
      <c r="A9601" s="1">
        <v>5.0</v>
      </c>
      <c r="B9601" s="1" t="s">
        <v>9536</v>
      </c>
      <c r="C9601" t="str">
        <f>IFERROR(__xludf.DUMMYFUNCTION("GOOGLETRANSLATE(B9601, ""zh"", ""en"")"),"Well express particularly fast, very cost-effective.")</f>
        <v>Well express particularly fast, very cost-effective.</v>
      </c>
    </row>
    <row r="9602">
      <c r="A9602" s="1">
        <v>5.0</v>
      </c>
      <c r="B9602" s="1" t="s">
        <v>9537</v>
      </c>
      <c r="C9602" t="str">
        <f>IFERROR(__xludf.DUMMYFUNCTION("GOOGLETRANSLATE(B9602, ""zh"", ""en"")"),"Yes! Material type version is very good! 175cm, 80kg, strong upper body, size just right!")</f>
        <v>Yes! Material type version is very good! 175cm, 80kg, strong upper body, size just right!</v>
      </c>
    </row>
    <row r="9603">
      <c r="A9603" s="1">
        <v>5.0</v>
      </c>
      <c r="B9603" s="1" t="s">
        <v>9538</v>
      </c>
      <c r="C9603" t="str">
        <f>IFERROR(__xludf.DUMMYFUNCTION("GOOGLETRANSLATE(B9603, ""zh"", ""en"")"),"Packaged goods good good good goods good packaging material is also very comfortable")</f>
        <v>Packaged goods good good good goods good packaging material is also very comfortable</v>
      </c>
    </row>
    <row r="9604">
      <c r="A9604" s="1">
        <v>5.0</v>
      </c>
      <c r="B9604" s="1" t="s">
        <v>9539</v>
      </c>
      <c r="C9604" t="str">
        <f>IFERROR(__xludf.DUMMYFUNCTION("GOOGLETRANSLATE(B9604, ""zh"", ""en"")"),"The specification also requires a closer look good, that is not done a lot of settings")</f>
        <v>The specification also requires a closer look good, that is not done a lot of settings</v>
      </c>
    </row>
    <row r="9605">
      <c r="A9605" s="1">
        <v>5.0</v>
      </c>
      <c r="B9605" s="1" t="s">
        <v>9540</v>
      </c>
      <c r="C9605" t="str">
        <f>IFERROR(__xludf.DUMMYFUNCTION("GOOGLETRANSLATE(B9605, ""zh"", ""en"")"),"Something good, something good price is also good, the price is not bad")</f>
        <v>Something good, something good price is also good, the price is not bad</v>
      </c>
    </row>
    <row r="9606">
      <c r="A9606" s="1">
        <v>5.0</v>
      </c>
      <c r="B9606" s="1" t="s">
        <v>9541</v>
      </c>
      <c r="C9606" t="str">
        <f>IFERROR(__xludf.DUMMYFUNCTION("GOOGLETRANSLATE(B9606, ""zh"", ""en"")"),"Recommend been used two bottles, the effect of regulating blood lipids!")</f>
        <v>Recommend been used two bottles, the effect of regulating blood lipids!</v>
      </c>
    </row>
    <row r="9607">
      <c r="A9607" s="1">
        <v>5.0</v>
      </c>
      <c r="B9607" s="1" t="s">
        <v>9542</v>
      </c>
      <c r="C9607" t="str">
        <f>IFERROR(__xludf.DUMMYFUNCTION("GOOGLETRANSLATE(B9607, ""zh"", ""en"")"),"Have purchased has been in use, very good")</f>
        <v>Have purchased has been in use, very good</v>
      </c>
    </row>
    <row r="9608">
      <c r="A9608" s="1">
        <v>5.0</v>
      </c>
      <c r="B9608" s="1" t="s">
        <v>9543</v>
      </c>
      <c r="C9608" t="str">
        <f>IFERROR(__xludf.DUMMYFUNCTION("GOOGLETRANSLATE(B9608, ""zh"", ""en"")"),"Good numbers too small")</f>
        <v>Good numbers too small</v>
      </c>
    </row>
    <row r="9609">
      <c r="A9609" s="1">
        <v>5.0</v>
      </c>
      <c r="B9609" s="1" t="s">
        <v>9544</v>
      </c>
      <c r="C9609" t="str">
        <f>IFERROR(__xludf.DUMMYFUNCTION("GOOGLETRANSLATE(B9609, ""zh"", ""en"")"),"Liked very satisfied, you can also adjust the calendar alone ha ha, although only one-way, had previously been a direct transfer time, the Leiya")</f>
        <v>Liked very satisfied, you can also adjust the calendar alone ha ha, although only one-way, had previously been a direct transfer time, the Leiya</v>
      </c>
    </row>
    <row r="9610">
      <c r="A9610" s="1">
        <v>5.0</v>
      </c>
      <c r="B9610" s="1" t="s">
        <v>9545</v>
      </c>
      <c r="C9610" t="str">
        <f>IFERROR(__xludf.DUMMYFUNCTION("GOOGLETRANSLATE(B9610, ""zh"", ""en"")"),"Care deeply about the pot was finally at hand. Very satisfied, it is my favorite color, for the first time to do a fish head, very convenient, do a good job and serve directly on it.")</f>
        <v>Care deeply about the pot was finally at hand. Very satisfied, it is my favorite color, for the first time to do a fish head, very convenient, do a good job and serve directly on it.</v>
      </c>
    </row>
    <row r="9611">
      <c r="A9611" s="1">
        <v>5.0</v>
      </c>
      <c r="B9611" s="1" t="s">
        <v>9546</v>
      </c>
      <c r="C9611" t="str">
        <f>IFERROR(__xludf.DUMMYFUNCTION("GOOGLETRANSLATE(B9611, ""zh"", ""en"")"),"Oversized waist, too easy to put off the mast")</f>
        <v>Oversized waist, too easy to put off the mast</v>
      </c>
    </row>
    <row r="9612">
      <c r="A9612" s="1">
        <v>5.0</v>
      </c>
      <c r="B9612" s="1" t="s">
        <v>9547</v>
      </c>
      <c r="C9612" t="str">
        <f>IFERROR(__xludf.DUMMYFUNCTION("GOOGLETRANSLATE(B9612, ""zh"", ""en"")"),"It could have been a good 40 feet before buying No. 7 foot a little tight this time to buy a number of very comfortable to wear 7.5")</f>
        <v>It could have been a good 40 feet before buying No. 7 foot a little tight this time to buy a number of very comfortable to wear 7.5</v>
      </c>
    </row>
    <row r="9613">
      <c r="A9613" s="1">
        <v>5.0</v>
      </c>
      <c r="B9613" s="1" t="s">
        <v>9548</v>
      </c>
      <c r="C9613" t="str">
        <f>IFERROR(__xludf.DUMMYFUNCTION("GOOGLETRANSLATE(B9613, ""zh"", ""en"")"),"Nipple a bit biased long baby very favorite, suitable for bigger babies")</f>
        <v>Nipple a bit biased long baby very favorite, suitable for bigger babies</v>
      </c>
    </row>
    <row r="9614">
      <c r="A9614" s="1">
        <v>5.0</v>
      </c>
      <c r="B9614" s="1" t="s">
        <v>9549</v>
      </c>
      <c r="C9614" t="str">
        <f>IFERROR(__xludf.DUMMYFUNCTION("GOOGLETRANSLATE(B9614, ""zh"", ""en"")"),"Good workmanship, material a good comfortable jeans, to send his wife, rave reviews,")</f>
        <v>Good workmanship, material a good comfortable jeans, to send his wife, rave reviews,</v>
      </c>
    </row>
    <row r="9615">
      <c r="A9615" s="1">
        <v>2.0</v>
      </c>
      <c r="B9615" s="1" t="s">
        <v>9550</v>
      </c>
      <c r="C9615" t="str">
        <f>IFERROR(__xludf.DUMMYFUNCTION("GOOGLETRANSLATE(B9615, ""zh"", ""en"")"),"And quantity 1200L, mounted directly on the faucet, easy to use ah well, a friend brought back from Germany a year and a half. Spin in leading parts of the broken, the new buy, and put on a good use, much the same as with a friend brought back the. I boug"&amp;"ht a four-year replacement equipment. This time do not always bother friends there.")</f>
        <v>And quantity 1200L, mounted directly on the faucet, easy to use ah well, a friend brought back from Germany a year and a half. Spin in leading parts of the broken, the new buy, and put on a good use, much the same as with a friend brought back the. I bought a four-year replacement equipment. This time do not always bother friends there.</v>
      </c>
    </row>
    <row r="9616">
      <c r="A9616" s="1">
        <v>3.0</v>
      </c>
      <c r="B9616" s="1" t="s">
        <v>9551</v>
      </c>
      <c r="C9616" t="str">
        <f>IFERROR(__xludf.DUMMYFUNCTION("GOOGLETRANSLATE(B9616, ""zh"", ""en"")"),"Fortunately, easy to dirty white uppers")</f>
        <v>Fortunately, easy to dirty white uppers</v>
      </c>
    </row>
    <row r="9617">
      <c r="A9617" s="1">
        <v>3.0</v>
      </c>
      <c r="B9617" s="1" t="s">
        <v>9552</v>
      </c>
      <c r="C9617" t="str">
        <f>IFERROR(__xludf.DUMMYFUNCTION("GOOGLETRANSLATE(B9617, ""zh"", ""en"")"),"It does not tag it slightly, and no tag is what the hell?")</f>
        <v>It does not tag it slightly, and no tag is what the hell?</v>
      </c>
    </row>
    <row r="9618">
      <c r="A9618" s="1">
        <v>3.0</v>
      </c>
      <c r="B9618" s="1" t="s">
        <v>9553</v>
      </c>
      <c r="C9618" t="str">
        <f>IFERROR(__xludf.DUMMYFUNCTION("GOOGLETRANSLATE(B9618, ""zh"", ""en"")"),"The general quality level domestic Sea Orchid House, without any surprises.")</f>
        <v>The general quality level domestic Sea Orchid House, without any surprises.</v>
      </c>
    </row>
    <row r="9619">
      <c r="A9619" s="1">
        <v>1.0</v>
      </c>
      <c r="B9619" s="1" t="s">
        <v>9554</v>
      </c>
      <c r="C9619" t="str">
        <f>IFERROR(__xludf.DUMMYFUNCTION("GOOGLETRANSLATE(B9619, ""zh"", ""en"")"),"Rejects a look that is fake, too lazy to back!")</f>
        <v>Rejects a look that is fake, too lazy to back!</v>
      </c>
    </row>
    <row r="9620">
      <c r="A9620" s="1">
        <v>1.0</v>
      </c>
      <c r="B9620" s="1" t="s">
        <v>9555</v>
      </c>
      <c r="C9620" t="str">
        <f>IFERROR(__xludf.DUMMYFUNCTION("GOOGLETRANSLATE(B9620, ""zh"", ""en"")"),"Not the US direct mail, Hong Kong duty-free warehouse shipments page shows US direct mail, received after scanning the two-dimensional code found in Hong Kong duty-free warehouse shipping, genuine uncertainty, not to return, how much to buy time to be car"&amp;"eful")</f>
        <v>Not the US direct mail, Hong Kong duty-free warehouse shipments page shows US direct mail, received after scanning the two-dimensional code found in Hong Kong duty-free warehouse shipping, genuine uncertainty, not to return, how much to buy time to be careful</v>
      </c>
    </row>
    <row r="9621">
      <c r="A9621" s="1">
        <v>4.0</v>
      </c>
      <c r="B9621" s="1" t="s">
        <v>9556</v>
      </c>
      <c r="C9621" t="str">
        <f>IFERROR(__xludf.DUMMYFUNCTION("GOOGLETRANSLATE(B9621, ""zh"", ""en"")"),"Recommended radio is very good, good price, but the base work a little rough, like to spread the goods side of the road, but fortunately there are a function is also good")</f>
        <v>Recommended radio is very good, good price, but the base work a little rough, like to spread the goods side of the road, but fortunately there are a function is also good</v>
      </c>
    </row>
    <row r="9622">
      <c r="A9622" s="1">
        <v>4.0</v>
      </c>
      <c r="B9622" s="1" t="s">
        <v>9557</v>
      </c>
      <c r="C9622" t="str">
        <f>IFERROR(__xludf.DUMMYFUNCTION("GOOGLETRANSLATE(B9622, ""zh"", ""en"")"),"Overall, it is worth starting good quality, warm. A range of children, good-looking. There is little backswing is too short, the spring does not matter, it may be cold in winter. Lose a star.")</f>
        <v>Overall, it is worth starting good quality, warm. A range of children, good-looking. There is little backswing is too short, the spring does not matter, it may be cold in winter. Lose a star.</v>
      </c>
    </row>
    <row r="9623">
      <c r="A9623" s="1">
        <v>4.0</v>
      </c>
      <c r="B9623" s="1" t="s">
        <v>9558</v>
      </c>
      <c r="C9623" t="str">
        <f>IFERROR(__xludf.DUMMYFUNCTION("GOOGLETRANSLATE(B9623, ""zh"", ""en"")"),"Packing too simple a cardboard box Chuaizhe the pot came across the sea .... even the plastic bubble film earthquake did not put ...... look to knock knock .... but fortunately did not crack. . . Reluctantly accept it -.-")</f>
        <v>Packing too simple a cardboard box Chuaizhe the pot came across the sea .... even the plastic bubble film earthquake did not put ...... look to knock knock .... but fortunately did not crack. . . Reluctantly accept it -.-</v>
      </c>
    </row>
    <row r="9624">
      <c r="A9624" s="1">
        <v>4.0</v>
      </c>
      <c r="B9624" s="1" t="s">
        <v>9559</v>
      </c>
      <c r="C9624" t="str">
        <f>IFERROR(__xludf.DUMMYFUNCTION("GOOGLETRANSLATE(B9624, ""zh"", ""en"")"),"Quality fly the quality is very good, hard disk large enough Oh")</f>
        <v>Quality fly the quality is very good, hard disk large enough Oh</v>
      </c>
    </row>
    <row r="9625">
      <c r="A9625" s="1">
        <v>4.0</v>
      </c>
      <c r="B9625" s="1" t="s">
        <v>9560</v>
      </c>
      <c r="C9625" t="str">
        <f>IFERROR(__xludf.DUMMYFUNCTION("GOOGLETRANSLATE(B9625, ""zh"", ""en"")"),"Very comfortable very comfortable, no bondage, the price is affordable.")</f>
        <v>Very comfortable very comfortable, no bondage, the price is affordable.</v>
      </c>
    </row>
    <row r="9626">
      <c r="A9626" s="1">
        <v>5.0</v>
      </c>
      <c r="B9626" s="1" t="s">
        <v>9561</v>
      </c>
      <c r="C9626" t="str">
        <f>IFERROR(__xludf.DUMMYFUNCTION("GOOGLETRANSLATE(B9626, ""zh"", ""en"")"),"Appropriate, affordable shoes received, immediately tried, very appropriate")</f>
        <v>Appropriate, affordable shoes received, immediately tried, very appropriate</v>
      </c>
    </row>
    <row r="9627">
      <c r="A9627" s="1">
        <v>5.0</v>
      </c>
      <c r="B9627" s="1" t="s">
        <v>9562</v>
      </c>
      <c r="C9627" t="str">
        <f>IFERROR(__xludf.DUMMYFUNCTION("GOOGLETRANSLATE(B9627, ""zh"", ""en"")"),"Fight alone to buy, I believe that Nichia self fidelity. Packing only served Nichia, goods effects can be better than nothing, but the packaging is always good.")</f>
        <v>Fight alone to buy, I believe that Nichia self fidelity. Packing only served Nichia, goods effects can be better than nothing, but the packaging is always good.</v>
      </c>
    </row>
    <row r="9628">
      <c r="A9628" s="1">
        <v>5.0</v>
      </c>
      <c r="B9628" s="1" t="s">
        <v>9563</v>
      </c>
      <c r="C9628" t="str">
        <f>IFERROR(__xludf.DUMMYFUNCTION("GOOGLETRANSLATE(B9628, ""zh"", ""en"")"),"What is the quality of fabric feel very good, very comfortable to wear next to the skin to wear 173-140 m")</f>
        <v>What is the quality of fabric feel very good, very comfortable to wear next to the skin to wear 173-140 m</v>
      </c>
    </row>
    <row r="9629">
      <c r="A9629" s="1">
        <v>5.0</v>
      </c>
      <c r="B9629" s="1" t="s">
        <v>7676</v>
      </c>
      <c r="C9629" t="str">
        <f>IFERROR(__xludf.DUMMYFUNCTION("GOOGLETRANSLATE(B9629, ""zh"", ""en"")"),"Well I have to say the price is worth it, very comfortable.")</f>
        <v>Well I have to say the price is worth it, very comfortable.</v>
      </c>
    </row>
    <row r="9630">
      <c r="A9630" s="1">
        <v>5.0</v>
      </c>
      <c r="B9630" s="1" t="s">
        <v>9564</v>
      </c>
      <c r="C9630" t="str">
        <f>IFERROR(__xludf.DUMMYFUNCTION("GOOGLETRANSLATE(B9630, ""zh"", ""en"")"),"Performance very good, recommend to a friend, bought a total of five")</f>
        <v>Performance very good, recommend to a friend, bought a total of five</v>
      </c>
    </row>
    <row r="9631">
      <c r="A9631" s="1">
        <v>5.0</v>
      </c>
      <c r="B9631" s="1" t="s">
        <v>9565</v>
      </c>
      <c r="C9631" t="str">
        <f>IFERROR(__xludf.DUMMYFUNCTION("GOOGLETRANSLATE(B9631, ""zh"", ""en"")"),"After the test is worth buying one foot inside you know is genuine, feeling the pressure of the instep of his house is unique, very beautiful, the price is very beautiful, bought a week of receiving, very fast")</f>
        <v>After the test is worth buying one foot inside you know is genuine, feeling the pressure of the instep of his house is unique, very beautiful, the price is very beautiful, bought a week of receiving, very fast</v>
      </c>
    </row>
    <row r="9632">
      <c r="A9632" s="1">
        <v>5.0</v>
      </c>
      <c r="B9632" s="1" t="s">
        <v>9566</v>
      </c>
      <c r="C9632" t="str">
        <f>IFERROR(__xludf.DUMMYFUNCTION("GOOGLETRANSLATE(B9632, ""zh"", ""en"")"),"Experience of good quality and have good replacement pipe")</f>
        <v>Experience of good quality and have good replacement pipe</v>
      </c>
    </row>
    <row r="9633">
      <c r="A9633" s="1">
        <v>5.0</v>
      </c>
      <c r="B9633" s="1" t="s">
        <v>9567</v>
      </c>
      <c r="C9633" t="str">
        <f>IFERROR(__xludf.DUMMYFUNCTION("GOOGLETRANSLATE(B9633, ""zh"", ""en"")"),"Victoria Glucosamine affordable, good things ~ ~ ~")</f>
        <v>Victoria Glucosamine affordable, good things ~ ~ ~</v>
      </c>
    </row>
    <row r="9634">
      <c r="A9634" s="1">
        <v>5.0</v>
      </c>
      <c r="B9634" s="1" t="s">
        <v>9568</v>
      </c>
      <c r="C9634" t="str">
        <f>IFERROR(__xludf.DUMMYFUNCTION("GOOGLETRANSLATE(B9634, ""zh"", ""en"")"),"Color is natural good, not from the previous evaluation, I do not know how many wasted points, points can change money now know, they should look carefully evaluated, then I put these words to copy to go, both to earn points, but also save time, copy wher"&amp;"e they go, the most important thing is, do not seriously review, do not think how much worse word, sent directly to it, recommend it to everyone! !")</f>
        <v>Color is natural good, not from the previous evaluation, I do not know how many wasted points, points can change money now know, they should look carefully evaluated, then I put these words to copy to go, both to earn points, but also save time, copy where they go, the most important thing is, do not seriously review, do not think how much worse word, sent directly to it, recommend it to everyone! !</v>
      </c>
    </row>
    <row r="9635">
      <c r="A9635" s="1">
        <v>5.0</v>
      </c>
      <c r="B9635" s="1" t="s">
        <v>9569</v>
      </c>
      <c r="C9635" t="str">
        <f>IFERROR(__xludf.DUMMYFUNCTION("GOOGLETRANSLATE(B9635, ""zh"", ""en"")"),"Good material, size is also suitable good material, size is right")</f>
        <v>Good material, size is also suitable good material, size is right</v>
      </c>
    </row>
    <row r="9636">
      <c r="A9636" s="1">
        <v>5.0</v>
      </c>
      <c r="B9636" s="1" t="s">
        <v>9570</v>
      </c>
      <c r="C9636" t="str">
        <f>IFERROR(__xludf.DUMMYFUNCTION("GOOGLETRANSLATE(B9636, ""zh"", ""en"")"),"Like very well liked give the child the store if there is enough accessories")</f>
        <v>Like very well liked give the child the store if there is enough accessories</v>
      </c>
    </row>
    <row r="9637">
      <c r="A9637" s="1">
        <v>5.0</v>
      </c>
      <c r="B9637" s="1" t="s">
        <v>9571</v>
      </c>
      <c r="C9637" t="str">
        <f>IFERROR(__xludf.DUMMYFUNCTION("GOOGLETRANSLATE(B9637, ""zh"", ""en"")"),"Satisfied or quite satisfied with the $ 44.95 to buy, supermarket quality.")</f>
        <v>Satisfied or quite satisfied with the $ 44.95 to buy, supermarket quality.</v>
      </c>
    </row>
    <row r="9638">
      <c r="A9638" s="1">
        <v>5.0</v>
      </c>
      <c r="B9638" s="1" t="s">
        <v>9572</v>
      </c>
      <c r="C9638" t="str">
        <f>IFERROR(__xludf.DUMMYFUNCTION("GOOGLETRANSLATE(B9638, ""zh"", ""en"")"),"This quite a bargain it! This quite a bargain it! 10 equipment used now has not run out, very good use. like very much!")</f>
        <v>This quite a bargain it! This quite a bargain it! 10 equipment used now has not run out, very good use. like very much!</v>
      </c>
    </row>
    <row r="9639">
      <c r="A9639" s="1">
        <v>5.0</v>
      </c>
      <c r="B9639" s="1" t="s">
        <v>9573</v>
      </c>
      <c r="C9639" t="str">
        <f>IFERROR(__xludf.DUMMYFUNCTION("GOOGLETRANSLATE(B9639, ""zh"", ""en"")"),"This product is worth starting as a novice can start with this, this headset relatively high cost, no auscultation sound, beautifully detailed headphone, headset button is compatible with Android. I bought a headset is searching for a long time, finally d"&amp;"ecided to buy this, really like,")</f>
        <v>This product is worth starting as a novice can start with this, this headset relatively high cost, no auscultation sound, beautifully detailed headphone, headset button is compatible with Android. I bought a headset is searching for a long time, finally decided to buy this, really like,</v>
      </c>
    </row>
    <row r="9640">
      <c r="A9640" s="1">
        <v>5.0</v>
      </c>
      <c r="B9640" s="1" t="s">
        <v>9574</v>
      </c>
      <c r="C9640" t="str">
        <f>IFERROR(__xludf.DUMMYFUNCTION("GOOGLETRANSLATE(B9640, ""zh"", ""en"")"),"Suitable sports shoes 43, 42 that is appropriate to buy")</f>
        <v>Suitable sports shoes 43, 42 that is appropriate to buy</v>
      </c>
    </row>
    <row r="9641">
      <c r="A9641" s="1">
        <v>5.0</v>
      </c>
      <c r="B9641" s="1" t="s">
        <v>9575</v>
      </c>
      <c r="C9641" t="str">
        <f>IFERROR(__xludf.DUMMYFUNCTION("GOOGLETRANSLATE(B9641, ""zh"", ""en"")"),"Usually wear very comfortable shoes sneakers 40, bought uk6 (39.5), just to wear thick socks, shoes are slim type, did significantly large, but very light, very soft leather, comfortable to wear, very satisfied")</f>
        <v>Usually wear very comfortable shoes sneakers 40, bought uk6 (39.5), just to wear thick socks, shoes are slim type, did significantly large, but very light, very soft leather, comfortable to wear, very satisfied</v>
      </c>
    </row>
    <row r="9642">
      <c r="A9642" s="1">
        <v>5.0</v>
      </c>
      <c r="B9642" s="1" t="s">
        <v>9576</v>
      </c>
      <c r="C9642" t="str">
        <f>IFERROR(__xludf.DUMMYFUNCTION("GOOGLETRANSLATE(B9642, ""zh"", ""en"")"),"Front face is narrow shoes shoes shoes lacks the problem is the front face is narrow, reminder to everyone.")</f>
        <v>Front face is narrow shoes shoes shoes lacks the problem is the front face is narrow, reminder to everyone.</v>
      </c>
    </row>
    <row r="9643">
      <c r="A9643" s="1">
        <v>5.0</v>
      </c>
      <c r="B9643" s="1" t="s">
        <v>9577</v>
      </c>
      <c r="C9643" t="str">
        <f>IFERROR(__xludf.DUMMYFUNCTION("GOOGLETRANSLATE(B9643, ""zh"", ""en"")"),"Good, moderate hardness, satisfaction good, moderate hardness, satisfaction")</f>
        <v>Good, moderate hardness, satisfaction good, moderate hardness, satisfaction</v>
      </c>
    </row>
    <row r="9644">
      <c r="A9644" s="1">
        <v>5.0</v>
      </c>
      <c r="B9644" s="1" t="s">
        <v>9578</v>
      </c>
      <c r="C9644" t="str">
        <f>IFERROR(__xludf.DUMMYFUNCTION("GOOGLETRANSLATE(B9644, ""zh"", ""en"")"),"Pretty good quality cheap right size")</f>
        <v>Pretty good quality cheap right size</v>
      </c>
    </row>
    <row r="9645">
      <c r="A9645" s="1">
        <v>5.0</v>
      </c>
      <c r="B9645" s="1" t="s">
        <v>8510</v>
      </c>
      <c r="C9645" t="str">
        <f>IFERROR(__xludf.DUMMYFUNCTION("GOOGLETRANSLATE(B9645, ""zh"", ""en"")"),"Easy to use easy to use")</f>
        <v>Easy to use easy to use</v>
      </c>
    </row>
    <row r="9646">
      <c r="A9646" s="1">
        <v>5.0</v>
      </c>
      <c r="B9646" s="1" t="s">
        <v>9579</v>
      </c>
      <c r="C9646" t="str">
        <f>IFERROR(__xludf.DUMMYFUNCTION("GOOGLETRANSLATE(B9646, ""zh"", ""en"")"),"Really good good quality, beautiful shape")</f>
        <v>Really good good quality, beautiful shape</v>
      </c>
    </row>
    <row r="9647">
      <c r="A9647" s="1">
        <v>5.0</v>
      </c>
      <c r="B9647" s="1" t="s">
        <v>9580</v>
      </c>
      <c r="C9647" t="str">
        <f>IFERROR(__xludf.DUMMYFUNCTION("GOOGLETRANSLATE(B9647, ""zh"", ""en"")"),"Texture is very good, simple design texture is very good, simple design. Delivery is also very fast. awesome.")</f>
        <v>Texture is very good, simple design texture is very good, simple design. Delivery is also very fast. awesome.</v>
      </c>
    </row>
    <row r="9648">
      <c r="A9648" s="1">
        <v>2.0</v>
      </c>
      <c r="B9648" s="1" t="s">
        <v>9581</v>
      </c>
      <c r="C9648" t="str">
        <f>IFERROR(__xludf.DUMMYFUNCTION("GOOGLETRANSLATE(B9648, ""zh"", ""en"")"),"Emulsifier not drink too much, too thick will cause bubbles not open. Too sweet, the kind of feeling very tired, nausea. I would not buy anymore.")</f>
        <v>Emulsifier not drink too much, too thick will cause bubbles not open. Too sweet, the kind of feeling very tired, nausea. I would not buy anymore.</v>
      </c>
    </row>
    <row r="9649">
      <c r="A9649" s="1">
        <v>3.0</v>
      </c>
      <c r="B9649" s="1" t="s">
        <v>9582</v>
      </c>
      <c r="C9649" t="str">
        <f>IFERROR(__xludf.DUMMYFUNCTION("GOOGLETRANSLATE(B9649, ""zh"", ""en"")"),"Nipple big big nipple, the baby did not like")</f>
        <v>Nipple big big nipple, the baby did not like</v>
      </c>
    </row>
    <row r="9650">
      <c r="A9650" s="1">
        <v>3.0</v>
      </c>
      <c r="B9650" s="1" t="s">
        <v>9583</v>
      </c>
      <c r="C9650" t="str">
        <f>IFERROR(__xludf.DUMMYFUNCTION("GOOGLETRANSLATE(B9650, ""zh"", ""en"")"),"Bad ankle wrapped. Goods received yesterday, very soft uppers, soles are very comfortable, but the lack of parcel ankle, so I like sports for people who are not very fit, can only regret turned down, re-select a pair.")</f>
        <v>Bad ankle wrapped. Goods received yesterday, very soft uppers, soles are very comfortable, but the lack of parcel ankle, so I like sports for people who are not very fit, can only regret turned down, re-select a pair.</v>
      </c>
    </row>
    <row r="9651">
      <c r="A9651" s="1">
        <v>1.0</v>
      </c>
      <c r="B9651" s="1" t="s">
        <v>9584</v>
      </c>
      <c r="C9651" t="str">
        <f>IFERROR(__xludf.DUMMYFUNCTION("GOOGLETRANSLATE(B9651, ""zh"", ""en"")"),"Not very good logistics speed very fast, cheap, quality like a general, no previous use of the Citizen should have quality, like to spread the goods, no texture, no feeling, no good cheap goods")</f>
        <v>Not very good logistics speed very fast, cheap, quality like a general, no previous use of the Citizen should have quality, like to spread the goods, no texture, no feeling, no good cheap goods</v>
      </c>
    </row>
    <row r="9652">
      <c r="A9652" s="1">
        <v>1.0</v>
      </c>
      <c r="B9652" s="1" t="s">
        <v>9585</v>
      </c>
      <c r="C9652" t="str">
        <f>IFERROR(__xludf.DUMMYFUNCTION("GOOGLETRANSLATE(B9652, ""zh"", ""en"")"),"Size is not allowed to clearly beat No. 5 yards, that is not sent! I suspect that chaos shipping, returns a lot of trouble, only to send friends.")</f>
        <v>Size is not allowed to clearly beat No. 5 yards, that is not sent! I suspect that chaos shipping, returns a lot of trouble, only to send friends.</v>
      </c>
    </row>
    <row r="9653">
      <c r="A9653" s="1">
        <v>1.0</v>
      </c>
      <c r="B9653" s="1" t="s">
        <v>9586</v>
      </c>
      <c r="C9653" t="str">
        <f>IFERROR(__xludf.DUMMYFUNCTION("GOOGLETRANSLATE(B9653, ""zh"", ""en"")"),"Filter the water before significant precipitation of particles with 2500, this significant precipitation")</f>
        <v>Filter the water before significant precipitation of particles with 2500, this significant precipitation</v>
      </c>
    </row>
    <row r="9654">
      <c r="A9654" s="1">
        <v>4.0</v>
      </c>
      <c r="B9654" s="1" t="s">
        <v>9587</v>
      </c>
      <c r="C9654" t="str">
        <f>IFERROR(__xludf.DUMMYFUNCTION("GOOGLETRANSLATE(B9654, ""zh"", ""en"")"),"Clothes too large to be purchased with the normal small number two o'clock Chinese people to buy clothes too large, the quality was okay")</f>
        <v>Clothes too large to be purchased with the normal small number two o'clock Chinese people to buy clothes too large, the quality was okay</v>
      </c>
    </row>
    <row r="9655">
      <c r="A9655" s="1">
        <v>4.0</v>
      </c>
      <c r="B9655" s="1" t="s">
        <v>876</v>
      </c>
      <c r="C9655" t="str">
        <f>IFERROR(__xludf.DUMMYFUNCTION("GOOGLETRANSLATE(B9655, ""zh"", ""en"")"),"Good clothes fit, very good, is easy to open lines stereotypes sleeves")</f>
        <v>Good clothes fit, very good, is easy to open lines stereotypes sleeves</v>
      </c>
    </row>
    <row r="9656">
      <c r="A9656" s="1">
        <v>4.0</v>
      </c>
      <c r="B9656" s="1" t="s">
        <v>8033</v>
      </c>
      <c r="C9656" t="str">
        <f>IFERROR(__xludf.DUMMYFUNCTION("GOOGLETRANSLATE(B9656, ""zh"", ""en"")"),"Good quality good quality")</f>
        <v>Good quality good quality</v>
      </c>
    </row>
    <row r="9657">
      <c r="A9657" s="1">
        <v>4.0</v>
      </c>
      <c r="B9657" s="1" t="s">
        <v>9588</v>
      </c>
      <c r="C9657" t="str">
        <f>IFERROR(__xludf.DUMMYFUNCTION("GOOGLETRANSLATE(B9657, ""zh"", ""en"")"),"Praise good shopping, much cheaper than domestic, quality is also good!")</f>
        <v>Praise good shopping, much cheaper than domestic, quality is also good!</v>
      </c>
    </row>
    <row r="9658">
      <c r="A9658" s="1">
        <v>4.0</v>
      </c>
      <c r="B9658" s="1" t="s">
        <v>9589</v>
      </c>
      <c r="C9658" t="str">
        <f>IFERROR(__xludf.DUMMYFUNCTION("GOOGLETRANSLATE(B9658, ""zh"", ""en"")"),"Fairly compact, but there's plastic buckle hanging, how long it can sustain, if made of metal that is similar to Kingston integration, not better? Speed ​​is also okay. Fairly compact, but there's plastic buckle hanging, how long it can sustain, if made o"&amp;"f metal that is similar to Kingston integration, not better?")</f>
        <v>Fairly compact, but there's plastic buckle hanging, how long it can sustain, if made of metal that is similar to Kingston integration, not better? Speed ​​is also okay. Fairly compact, but there's plastic buckle hanging, how long it can sustain, if made of metal that is similar to Kingston integration, not better?</v>
      </c>
    </row>
    <row r="9659">
      <c r="A9659" s="1">
        <v>5.0</v>
      </c>
      <c r="B9659" s="1" t="s">
        <v>9590</v>
      </c>
      <c r="C9659" t="str">
        <f>IFERROR(__xludf.DUMMYFUNCTION("GOOGLETRANSLATE(B9659, ""zh"", ""en"")"),"very suitable! My height is 178cm, weighing about 84kg, regular exercise, Tuicu. I chose this paragraph pants size 36W * 30L is very suitable for other consumers.")</f>
        <v>very suitable! My height is 178cm, weighing about 84kg, regular exercise, Tuicu. I chose this paragraph pants size 36W * 30L is very suitable for other consumers.</v>
      </c>
    </row>
    <row r="9660">
      <c r="A9660" s="1">
        <v>5.0</v>
      </c>
      <c r="B9660" s="1" t="s">
        <v>9591</v>
      </c>
      <c r="C9660" t="str">
        <f>IFERROR(__xludf.DUMMYFUNCTION("GOOGLETRANSLATE(B9660, ""zh"", ""en"")"),"Good, like, finished considering continue to buy delicious, easy to eat, the family can eat together!")</f>
        <v>Good, like, finished considering continue to buy delicious, easy to eat, the family can eat together!</v>
      </c>
    </row>
    <row r="9661">
      <c r="A9661" s="1">
        <v>5.0</v>
      </c>
      <c r="B9661" s="1" t="s">
        <v>9592</v>
      </c>
      <c r="C9661" t="str">
        <f>IFERROR(__xludf.DUMMYFUNCTION("GOOGLETRANSLATE(B9661, ""zh"", ""en"")"),"Good thing! Very cost-shoes! Foot length 250 mm buy uk7, slightly larger wear thick socks should be just right! Like to wear thin section socks, then should uk6.5 on it! Shoes and leather appearance and workmanship is very good! Inexpensive worth buying. "&amp;"Also shoes are waterproof shoes.")</f>
        <v>Good thing! Very cost-shoes! Foot length 250 mm buy uk7, slightly larger wear thick socks should be just right! Like to wear thin section socks, then should uk6.5 on it! Shoes and leather appearance and workmanship is very good! Inexpensive worth buying. Also shoes are waterproof shoes.</v>
      </c>
    </row>
    <row r="9662">
      <c r="A9662" s="1">
        <v>5.0</v>
      </c>
      <c r="B9662" s="1" t="s">
        <v>9593</v>
      </c>
      <c r="C9662" t="str">
        <f>IFERROR(__xludf.DUMMYFUNCTION("GOOGLETRANSLATE(B9662, ""zh"", ""en"")"),"Casio F-108WHC-7ACF do not know how long the battery can be used.")</f>
        <v>Casio F-108WHC-7ACF do not know how long the battery can be used.</v>
      </c>
    </row>
    <row r="9663">
      <c r="A9663" s="1">
        <v>5.0</v>
      </c>
      <c r="B9663" s="1" t="s">
        <v>9594</v>
      </c>
      <c r="C9663" t="str">
        <f>IFERROR(__xludf.DUMMYFUNCTION("GOOGLETRANSLATE(B9663, ""zh"", ""en"")"),"Too beautiful too beautiful! Convenient.")</f>
        <v>Too beautiful too beautiful! Convenient.</v>
      </c>
    </row>
    <row r="9664">
      <c r="A9664" s="1">
        <v>5.0</v>
      </c>
      <c r="B9664" s="1" t="s">
        <v>9595</v>
      </c>
      <c r="C9664" t="str">
        <f>IFERROR(__xludf.DUMMYFUNCTION("GOOGLETRANSLATE(B9664, ""zh"", ""en"")"),"What's also good quality can work a little bit flawed, but no big impact, this shoe for foot underweight people, foot fat, please bypass!")</f>
        <v>What's also good quality can work a little bit flawed, but no big impact, this shoe for foot underweight people, foot fat, please bypass!</v>
      </c>
    </row>
    <row r="9665">
      <c r="A9665" s="1">
        <v>5.0</v>
      </c>
      <c r="B9665" s="1" t="s">
        <v>9596</v>
      </c>
      <c r="C9665" t="str">
        <f>IFERROR(__xludf.DUMMYFUNCTION("GOOGLETRANSLATE(B9665, ""zh"", ""en"")"),"Very satisfied with this much easier to use than the domestic version, brushing the bowl and glasses are particularly bright!")</f>
        <v>Very satisfied with this much easier to use than the domestic version, brushing the bowl and glasses are particularly bright!</v>
      </c>
    </row>
    <row r="9666">
      <c r="A9666" s="1">
        <v>5.0</v>
      </c>
      <c r="B9666" s="1" t="s">
        <v>9597</v>
      </c>
      <c r="C9666" t="str">
        <f>IFERROR(__xludf.DUMMYFUNCTION("GOOGLETRANSLATE(B9666, ""zh"", ""en"")"),"Super easy to use mouthwash super easy to use, has been using this mouthwash, although a little expensive, but worthy of the price, with very comfortable, the future will always use")</f>
        <v>Super easy to use mouthwash super easy to use, has been using this mouthwash, although a little expensive, but worthy of the price, with very comfortable, the future will always use</v>
      </c>
    </row>
    <row r="9667">
      <c r="A9667" s="1">
        <v>5.0</v>
      </c>
      <c r="B9667" s="1" t="s">
        <v>9598</v>
      </c>
      <c r="C9667" t="str">
        <f>IFERROR(__xludf.DUMMYFUNCTION("GOOGLETRANSLATE(B9667, ""zh"", ""en"")"),"Sour taste salty! Bought a can, I thought the baby would not drink, after all, strange taste. I did not think he actually drank with relish. To purchase a large number of follow-up")</f>
        <v>Sour taste salty! Bought a can, I thought the baby would not drink, after all, strange taste. I did not think he actually drank with relish. To purchase a large number of follow-up</v>
      </c>
    </row>
    <row r="9668">
      <c r="A9668" s="1">
        <v>5.0</v>
      </c>
      <c r="B9668" s="1" t="s">
        <v>9599</v>
      </c>
      <c r="C9668" t="str">
        <f>IFERROR(__xludf.DUMMYFUNCTION("GOOGLETRANSLATE(B9668, ""zh"", ""en"")"),"Weaning artifact is very good. Baby likes to eat the bottle. Weaning artifact.")</f>
        <v>Weaning artifact is very good. Baby likes to eat the bottle. Weaning artifact.</v>
      </c>
    </row>
    <row r="9669">
      <c r="A9669" s="1">
        <v>5.0</v>
      </c>
      <c r="B9669" s="1" t="s">
        <v>9600</v>
      </c>
      <c r="C9669" t="str">
        <f>IFERROR(__xludf.DUMMYFUNCTION("GOOGLETRANSLATE(B9669, ""zh"", ""en"")"),"Suction cups heard Zojirushi mug work better, but this is only the suction cup. In another point of view this site the cup to buy two good reviews. Amazon want to buy than purchasing fly.")</f>
        <v>Suction cups heard Zojirushi mug work better, but this is only the suction cup. In another point of view this site the cup to buy two good reviews. Amazon want to buy than purchasing fly.</v>
      </c>
    </row>
    <row r="9670">
      <c r="A9670" s="1">
        <v>5.0</v>
      </c>
      <c r="B9670" s="1" t="s">
        <v>9601</v>
      </c>
      <c r="C9670" t="str">
        <f>IFERROR(__xludf.DUMMYFUNCTION("GOOGLETRANSLATE(B9670, ""zh"", ""en"")"),"As described in supermarkets and go buy a $ 50 vest as good as this one,")</f>
        <v>As described in supermarkets and go buy a $ 50 vest as good as this one,</v>
      </c>
    </row>
    <row r="9671">
      <c r="A9671" s="1">
        <v>5.0</v>
      </c>
      <c r="B9671" s="1" t="s">
        <v>9602</v>
      </c>
      <c r="C9671" t="str">
        <f>IFERROR(__xludf.DUMMYFUNCTION("GOOGLETRANSLATE(B9671, ""zh"", ""en"")"),"Some 36 feet, shoes worn 6bm, a thickness of 6.5 to wear boots. This pair of little afraid to buy 4uk, sandwiched leather boots so big, 37 feet of people try on the right, should I buy 3.5uk. Although the soles hard but inside is soft and comfortable to w"&amp;"ear. Boots is relatively loose, do not wear foot. Shoes side-looking, positive seemed too long.")</f>
        <v>Some 36 feet, shoes worn 6bm, a thickness of 6.5 to wear boots. This pair of little afraid to buy 4uk, sandwiched leather boots so big, 37 feet of people try on the right, should I buy 3.5uk. Although the soles hard but inside is soft and comfortable to wear. Boots is relatively loose, do not wear foot. Shoes side-looking, positive seemed too long.</v>
      </c>
    </row>
    <row r="9672">
      <c r="A9672" s="1">
        <v>5.0</v>
      </c>
      <c r="B9672" s="1" t="s">
        <v>9603</v>
      </c>
      <c r="C9672" t="str">
        <f>IFERROR(__xludf.DUMMYFUNCTION("GOOGLETRANSLATE(B9672, ""zh"", ""en"")"),"Satisfaction something great texture, very satisfied.")</f>
        <v>Satisfaction something great texture, very satisfied.</v>
      </c>
    </row>
    <row r="9673">
      <c r="A9673" s="1">
        <v>5.0</v>
      </c>
      <c r="B9673" s="1" t="s">
        <v>9604</v>
      </c>
      <c r="C9673" t="str">
        <f>IFERROR(__xludf.DUMMYFUNCTION("GOOGLETRANSLATE(B9673, ""zh"", ""en"")"),"The right size, good quality, cost-effective I height 175, weight 75KG, M code just the right time to buy that is a thin coat, received before we know is quilted, product display is not clear, it is the Amazon areas for improvement, clothes, thread a bit "&amp;"more, made in China")</f>
        <v>The right size, good quality, cost-effective I height 175, weight 75KG, M code just the right time to buy that is a thin coat, received before we know is quilted, product display is not clear, it is the Amazon areas for improvement, clothes, thread a bit more, made in China</v>
      </c>
    </row>
    <row r="9674">
      <c r="A9674" s="1">
        <v>5.0</v>
      </c>
      <c r="B9674" s="1" t="s">
        <v>9605</v>
      </c>
      <c r="C9674" t="str">
        <f>IFERROR(__xludf.DUMMYFUNCTION("GOOGLETRANSLATE(B9674, ""zh"", ""en"")"),"In fact, good reviews there said it was not true CITIZEN is indeed its Q &amp; amp; Q is nothing wrong with the watch is very light (table mirror for the synthetic resin, the strap is made of stainless steel), and thus bring to more comfortable overall good s"&amp;"hape, black dial, If blue is better, simple atmosphere, very satisfied")</f>
        <v>In fact, good reviews there said it was not true CITIZEN is indeed its Q &amp; amp; Q is nothing wrong with the watch is very light (table mirror for the synthetic resin, the strap is made of stainless steel), and thus bring to more comfortable overall good shape, black dial, If blue is better, simple atmosphere, very satisfied</v>
      </c>
    </row>
    <row r="9675">
      <c r="A9675" s="1">
        <v>5.0</v>
      </c>
      <c r="B9675" s="1" t="s">
        <v>9606</v>
      </c>
      <c r="C9675" t="str">
        <f>IFERROR(__xludf.DUMMYFUNCTION("GOOGLETRANSLATE(B9675, ""zh"", ""en"")"),"Shopping hearty good quality, authentic, buy ECCO real cattle in the Amazon")</f>
        <v>Shopping hearty good quality, authentic, buy ECCO real cattle in the Amazon</v>
      </c>
    </row>
    <row r="9676">
      <c r="A9676" s="1">
        <v>5.0</v>
      </c>
      <c r="B9676" s="1" t="s">
        <v>9607</v>
      </c>
      <c r="C9676" t="str">
        <f>IFERROR(__xludf.DUMMYFUNCTION("GOOGLETRANSLATE(B9676, ""zh"", ""en"")"),"I bought a second waist pants, comfortable material,")</f>
        <v>I bought a second waist pants, comfortable material,</v>
      </c>
    </row>
    <row r="9677">
      <c r="A9677" s="1">
        <v>5.0</v>
      </c>
      <c r="B9677" s="1" t="s">
        <v>9608</v>
      </c>
      <c r="C9677" t="str">
        <f>IFERROR(__xludf.DUMMYFUNCTION("GOOGLETRANSLATE(B9677, ""zh"", ""en"")"),"Like like to wear broad-brimmed, comfortable!")</f>
        <v>Like like to wear broad-brimmed, comfortable!</v>
      </c>
    </row>
    <row r="9678">
      <c r="A9678" s="1">
        <v>5.0</v>
      </c>
      <c r="B9678" s="1" t="s">
        <v>9609</v>
      </c>
      <c r="C9678" t="str">
        <f>IFERROR(__xludf.DUMMYFUNCTION("GOOGLETRANSLATE(B9678, ""zh"", ""en"")"),"In addition to a little expensive, others are good although a little expensive, but the quality, workmanship is very good. This section really too small and a half yards, but the sole is closing foot. Foot-wide attention. Leather thick texture, and very l"&amp;"ight. Non-slip, vibration, ventilation all round. Waterproof effect is temporary unknown. Mountaineering hiking the best choice! Recommended!")</f>
        <v>In addition to a little expensive, others are good although a little expensive, but the quality, workmanship is very good. This section really too small and a half yards, but the sole is closing foot. Foot-wide attention. Leather thick texture, and very light. Non-slip, vibration, ventilation all round. Waterproof effect is temporary unknown. Mountaineering hiking the best choice! Recommended!</v>
      </c>
    </row>
    <row r="9679">
      <c r="A9679" s="1">
        <v>5.0</v>
      </c>
      <c r="B9679" s="1" t="s">
        <v>9610</v>
      </c>
      <c r="C9679" t="str">
        <f>IFERROR(__xludf.DUMMYFUNCTION("GOOGLETRANSLATE(B9679, ""zh"", ""en"")"),"Comfortable very comfortable, fit is a little bit big")</f>
        <v>Comfortable very comfortable, fit is a little bit big</v>
      </c>
    </row>
    <row r="9680">
      <c r="A9680" s="1">
        <v>5.0</v>
      </c>
      <c r="B9680" s="1" t="s">
        <v>9611</v>
      </c>
      <c r="C9680" t="str">
        <f>IFERROR(__xludf.DUMMYFUNCTION("GOOGLETRANSLATE(B9680, ""zh"", ""en"")"),"Worth buying packaging is very strong, cups and no odor. well")</f>
        <v>Worth buying packaging is very strong, cups and no odor. well</v>
      </c>
    </row>
    <row r="9681">
      <c r="A9681" s="1">
        <v>2.0</v>
      </c>
      <c r="B9681" s="1" t="s">
        <v>9612</v>
      </c>
      <c r="C9681" t="str">
        <f>IFERROR(__xludf.DUMMYFUNCTION("GOOGLETRANSLATE(B9681, ""zh"", ""en"")"),"Not satisfied with the good quality shoes, shoe size too large but at least 1-1.5 code, customer service told not to change only back, but told not to retreat tariffs. Return result is shoes but did not get the loss of 170 yuan, is not satisfied. Orders n"&amp;"eed to be cautious.")</f>
        <v>Not satisfied with the good quality shoes, shoe size too large but at least 1-1.5 code, customer service told not to change only back, but told not to retreat tariffs. Return result is shoes but did not get the loss of 170 yuan, is not satisfied. Orders need to be cautious.</v>
      </c>
    </row>
    <row r="9682">
      <c r="A9682" s="1">
        <v>3.0</v>
      </c>
      <c r="B9682" s="1" t="s">
        <v>9613</v>
      </c>
      <c r="C9682" t="str">
        <f>IFERROR(__xludf.DUMMYFUNCTION("GOOGLETRANSLATE(B9682, ""zh"", ""en"")"),"M code appropriate clothes to wear smaller-than-expected US general code. But this little bit small")</f>
        <v>M code appropriate clothes to wear smaller-than-expected US general code. But this little bit small</v>
      </c>
    </row>
    <row r="9683">
      <c r="A9683" s="1">
        <v>3.0</v>
      </c>
      <c r="B9683" s="1" t="s">
        <v>9614</v>
      </c>
      <c r="C9683" t="str">
        <f>IFERROR(__xludf.DUMMYFUNCTION("GOOGLETRANSLATE(B9683, ""zh"", ""en"")"),"Not very appropriate, do not fit, the back is not very comfortable. Very disappointed not very appropriate, do not fit, the back is not very comfortable. Very disappointed")</f>
        <v>Not very appropriate, do not fit, the back is not very comfortable. Very disappointed not very appropriate, do not fit, the back is not very comfortable. Very disappointed</v>
      </c>
    </row>
    <row r="9684">
      <c r="A9684" s="1">
        <v>3.0</v>
      </c>
      <c r="B9684" s="1" t="s">
        <v>6302</v>
      </c>
      <c r="C9684" t="str">
        <f>IFERROR(__xludf.DUMMYFUNCTION("GOOGLETRANSLATE(B9684, ""zh"", ""en"")"),"Severe deformation, good fabrics fabrics and almost out of dozens of pieces. Washing severe deformation. Like fake")</f>
        <v>Severe deformation, good fabrics fabrics and almost out of dozens of pieces. Washing severe deformation. Like fake</v>
      </c>
    </row>
    <row r="9685">
      <c r="A9685" s="1">
        <v>1.0</v>
      </c>
      <c r="B9685" s="1" t="s">
        <v>9615</v>
      </c>
      <c r="C9685" t="str">
        <f>IFERROR(__xludf.DUMMYFUNCTION("GOOGLETRANSLATE(B9685, ""zh"", ""en"")"),"Pits a bunch of vamps defective products, returns trouble, too lazy to back")</f>
        <v>Pits a bunch of vamps defective products, returns trouble, too lazy to back</v>
      </c>
    </row>
    <row r="9686">
      <c r="A9686" s="1">
        <v>1.0</v>
      </c>
      <c r="B9686" s="1" t="s">
        <v>9616</v>
      </c>
      <c r="C9686" t="str">
        <f>IFERROR(__xludf.DUMMYFUNCTION("GOOGLETRANSLATE(B9686, ""zh"", ""en"")"),"No longer buy on Amazon sale of this product I received from the U disk used only twice, the second time it broke (prompted), I contacted the customer service, let me return the United States, after identification will pay me express fee. That buyers in t"&amp;"he United States identified the message I heard in China, and they might stick in the courier.")</f>
        <v>No longer buy on Amazon sale of this product I received from the U disk used only twice, the second time it broke (prompted), I contacted the customer service, let me return the United States, after identification will pay me express fee. That buyers in the United States identified the message I heard in China, and they might stick in the courier.</v>
      </c>
    </row>
    <row r="9687">
      <c r="A9687" s="1">
        <v>1.0</v>
      </c>
      <c r="B9687" s="1" t="s">
        <v>9617</v>
      </c>
      <c r="C9687" t="str">
        <f>IFERROR(__xludf.DUMMYFUNCTION("GOOGLETRANSLATE(B9687, ""zh"", ""en"")"),"Poor spicy chicken stock, hip circumference is too small, the fabric was a group of garbage, some domestic short-sleeved spike 20+ US champion")</f>
        <v>Poor spicy chicken stock, hip circumference is too small, the fabric was a group of garbage, some domestic short-sleeved spike 20+ US champion</v>
      </c>
    </row>
    <row r="9688">
      <c r="A9688" s="1">
        <v>4.0</v>
      </c>
      <c r="B9688" s="1" t="s">
        <v>9618</v>
      </c>
      <c r="C9688" t="str">
        <f>IFERROR(__xludf.DUMMYFUNCTION("GOOGLETRANSLATE(B9688, ""zh"", ""en"")"),"Cheap Chongqing, set Monday, Thursday morning to get, packaging okay, open the packaging, warranty, invoice looks authentic, with pictures, like dial-kind look great, simple and clear, but leather strap looks really too casual .")</f>
        <v>Cheap Chongqing, set Monday, Thursday morning to get, packaging okay, open the packaging, warranty, invoice looks authentic, with pictures, like dial-kind look great, simple and clear, but leather strap looks really too casual .</v>
      </c>
    </row>
    <row r="9689">
      <c r="A9689" s="1">
        <v>4.0</v>
      </c>
      <c r="B9689" s="1" t="s">
        <v>9619</v>
      </c>
      <c r="C9689" t="str">
        <f>IFERROR(__xludf.DUMMYFUNCTION("GOOGLETRANSLATE(B9689, ""zh"", ""en"")"),"Too sweet, too sweet, I do not know there is no effect. First try")</f>
        <v>Too sweet, too sweet, I do not know there is no effect. First try</v>
      </c>
    </row>
    <row r="9690">
      <c r="A9690" s="1">
        <v>4.0</v>
      </c>
      <c r="B9690" s="1" t="s">
        <v>9620</v>
      </c>
      <c r="C9690" t="str">
        <f>IFERROR(__xludf.DUMMYFUNCTION("GOOGLETRANSLATE(B9690, ""zh"", ""en"")"),"No packaging directly attached to a courier label to send over a cow batch of overseas purchase and AIU transport each bought two, found ripped out the disc label is not the same, stuffed nas which overseas the purchase of two disk 110m / s transport back"&amp;" 2 block has 150m / s, the speed difference is not know why a bit more")</f>
        <v>No packaging directly attached to a courier label to send over a cow batch of overseas purchase and AIU transport each bought two, found ripped out the disc label is not the same, stuffed nas which overseas the purchase of two disk 110m / s transport back 2 block has 150m / s, the speed difference is not know why a bit more</v>
      </c>
    </row>
    <row r="9691">
      <c r="A9691" s="1">
        <v>4.0</v>
      </c>
      <c r="B9691" s="1" t="s">
        <v>9621</v>
      </c>
      <c r="C9691" t="str">
        <f>IFERROR(__xludf.DUMMYFUNCTION("GOOGLETRANSLATE(B9691, ""zh"", ""en"")"),"Good start with less than 200 plus tax. A single layer fabric, not that thick, 160 girls just wear, shoulder width a little wear will be suitable for body movement. The children said that the school can wear a champion of many public funds.")</f>
        <v>Good start with less than 200 plus tax. A single layer fabric, not that thick, 160 girls just wear, shoulder width a little wear will be suitable for body movement. The children said that the school can wear a champion of many public funds.</v>
      </c>
    </row>
    <row r="9692">
      <c r="A9692" s="1">
        <v>4.0</v>
      </c>
      <c r="B9692" s="1" t="s">
        <v>9622</v>
      </c>
      <c r="C9692" t="str">
        <f>IFERROR(__xludf.DUMMYFUNCTION("GOOGLETRANSLATE(B9692, ""zh"", ""en"")"),"Waterproof warm pretty good. Nike basketball shoes 43 to 43.5 9.5M wear this heel also inserted into the space of half a finger. Wear thick socks just estimates. Shanghai just received rain, dressed to go out for a long time that did not feel wet inside, "&amp;"not stuffy. Vietnamese, a little glue and India, in the short term will not want cracking.")</f>
        <v>Waterproof warm pretty good. Nike basketball shoes 43 to 43.5 9.5M wear this heel also inserted into the space of half a finger. Wear thick socks just estimates. Shanghai just received rain, dressed to go out for a long time that did not feel wet inside, not stuffy. Vietnamese, a little glue and India, in the short term will not want cracking.</v>
      </c>
    </row>
    <row r="9693">
      <c r="A9693" s="1">
        <v>5.0</v>
      </c>
      <c r="B9693" s="1" t="s">
        <v>9623</v>
      </c>
      <c r="C9693" t="str">
        <f>IFERROR(__xludf.DUMMYFUNCTION("GOOGLETRANSLATE(B9693, ""zh"", ""en"")"),"Good things and face hands free, strong!")</f>
        <v>Good things and face hands free, strong!</v>
      </c>
    </row>
    <row r="9694">
      <c r="A9694" s="1">
        <v>5.0</v>
      </c>
      <c r="B9694" s="1" t="s">
        <v>9624</v>
      </c>
      <c r="C9694" t="str">
        <f>IFERROR(__xludf.DUMMYFUNCTION("GOOGLETRANSLATE(B9694, ""zh"", ""en"")"),"Good things two weeks things at hand, studied for a long time translated to the English mode, the default seems to be German, Baidu the Chinese manual, do a latte, taste is very positive!")</f>
        <v>Good things two weeks things at hand, studied for a long time translated to the English mode, the default seems to be German, Baidu the Chinese manual, do a latte, taste is very positive!</v>
      </c>
    </row>
    <row r="9695">
      <c r="A9695" s="1">
        <v>5.0</v>
      </c>
      <c r="B9695" s="1" t="s">
        <v>9625</v>
      </c>
      <c r="C9695" t="str">
        <f>IFERROR(__xludf.DUMMYFUNCTION("GOOGLETRANSLATE(B9695, ""zh"", ""en"")"),"Look at the reviews say a little too large, the results of the child 170,62 kg to buy a trumpet, feeling a little smaller.")</f>
        <v>Look at the reviews say a little too large, the results of the child 170,62 kg to buy a trumpet, feeling a little smaller.</v>
      </c>
    </row>
    <row r="9696">
      <c r="A9696" s="1">
        <v>5.0</v>
      </c>
      <c r="B9696" s="1" t="s">
        <v>9626</v>
      </c>
      <c r="C9696" t="str">
        <f>IFERROR(__xludf.DUMMYFUNCTION("GOOGLETRANSLATE(B9696, ""zh"", ""en"")"),"Famous international value for money, really live up to the expectations. Plus tariff will make 700 ocean, though little expensive, but buy things like worth it.")</f>
        <v>Famous international value for money, really live up to the expectations. Plus tariff will make 700 ocean, though little expensive, but buy things like worth it.</v>
      </c>
    </row>
    <row r="9697">
      <c r="A9697" s="1">
        <v>5.0</v>
      </c>
      <c r="B9697" s="1" t="s">
        <v>9627</v>
      </c>
      <c r="C9697" t="str">
        <f>IFERROR(__xludf.DUMMYFUNCTION("GOOGLETRANSLATE(B9697, ""zh"", ""en"")"),"Well great, packaging intact, very beautiful pen")</f>
        <v>Well great, packaging intact, very beautiful pen</v>
      </c>
    </row>
    <row r="9698">
      <c r="A9698" s="1">
        <v>5.0</v>
      </c>
      <c r="B9698" s="1" t="s">
        <v>9628</v>
      </c>
      <c r="C9698" t="str">
        <f>IFERROR(__xludf.DUMMYFUNCTION("GOOGLETRANSLATE(B9698, ""zh"", ""en"")"),"Easy to use convenient inexpensive, direct stirred the pot")</f>
        <v>Easy to use convenient inexpensive, direct stirred the pot</v>
      </c>
    </row>
    <row r="9699">
      <c r="A9699" s="1">
        <v>5.0</v>
      </c>
      <c r="B9699" s="1" t="s">
        <v>9629</v>
      </c>
      <c r="C9699" t="str">
        <f>IFERROR(__xludf.DUMMYFUNCTION("GOOGLETRANSLATE(B9699, ""zh"", ""en"")"),"Recommended to buy cheaper than domestic prices, but also the right size, smaller than expected. The actual use 3.63tb")</f>
        <v>Recommended to buy cheaper than domestic prices, but also the right size, smaller than expected. The actual use 3.63tb</v>
      </c>
    </row>
    <row r="9700">
      <c r="A9700" s="1">
        <v>5.0</v>
      </c>
      <c r="B9700" s="1" t="s">
        <v>9630</v>
      </c>
      <c r="C9700" t="str">
        <f>IFERROR(__xludf.DUMMYFUNCTION("GOOGLETRANSLATE(B9700, ""zh"", ""en"")"),"Comfortable ah comfortable and affordable")</f>
        <v>Comfortable ah comfortable and affordable</v>
      </c>
    </row>
    <row r="9701">
      <c r="A9701" s="1">
        <v>5.0</v>
      </c>
      <c r="B9701" s="1" t="s">
        <v>9631</v>
      </c>
      <c r="C9701" t="str">
        <f>IFERROR(__xludf.DUMMYFUNCTION("GOOGLETRANSLATE(B9701, ""zh"", ""en"")"),"Well my daughter and I eat this brand")</f>
        <v>Well my daughter and I eat this brand</v>
      </c>
    </row>
    <row r="9702">
      <c r="A9702" s="1">
        <v>5.0</v>
      </c>
      <c r="B9702" s="1" t="s">
        <v>9632</v>
      </c>
      <c r="C9702" t="str">
        <f>IFERROR(__xludf.DUMMYFUNCTION("GOOGLETRANSLATE(B9702, ""zh"", ""en"")"),"Vitamin good people person, this section taste good, baby like it")</f>
        <v>Vitamin good people person, this section taste good, baby like it</v>
      </c>
    </row>
    <row r="9703">
      <c r="A9703" s="1">
        <v>5.0</v>
      </c>
      <c r="B9703" s="1" t="s">
        <v>9633</v>
      </c>
      <c r="C9703" t="str">
        <f>IFERROR(__xludf.DUMMYFUNCTION("GOOGLETRANSLATE(B9703, ""zh"", ""en"")"),"Part-buy new, but received very surprised, very new, very worth it. Part-buy new, but received very surprised, in addition to the package is opened and resealed, the products are new, do not see any damage, might sound very satisfied. But do not deserve s"&amp;"peaker audio cable and mat, tweeter slight noise, but does not affect the songs, 1360 yuan, too value, feeling picked up a great deal, huh, cotton insulation with the guide hole plugged, affect the sound more impact heat, summer is estimated to burn South"&amp;"ern elements themselves apart with scissors to cut out the hole, so that you can ventilate up.")</f>
        <v>Part-buy new, but received very surprised, very new, very worth it. Part-buy new, but received very surprised, in addition to the package is opened and resealed, the products are new, do not see any damage, might sound very satisfied. But do not deserve speaker audio cable and mat, tweeter slight noise, but does not affect the songs, 1360 yuan, too value, feeling picked up a great deal, huh, cotton insulation with the guide hole plugged, affect the sound more impact heat, summer is estimated to burn Southern elements themselves apart with scissors to cut out the hole, so that you can ventilate up.</v>
      </c>
    </row>
    <row r="9704">
      <c r="A9704" s="1">
        <v>5.0</v>
      </c>
      <c r="B9704" s="1" t="s">
        <v>9634</v>
      </c>
      <c r="C9704" t="str">
        <f>IFERROR(__xludf.DUMMYFUNCTION("GOOGLETRANSLATE(B9704, ""zh"", ""en"")"),"Satisfaction very good, my wife liked, a little too small")</f>
        <v>Satisfaction very good, my wife liked, a little too small</v>
      </c>
    </row>
    <row r="9705">
      <c r="A9705" s="1">
        <v>5.0</v>
      </c>
      <c r="B9705" s="1" t="s">
        <v>9635</v>
      </c>
      <c r="C9705" t="str">
        <f>IFERROR(__xludf.DUMMYFUNCTION("GOOGLETRANSLATE(B9705, ""zh"", ""en"")"),"Expensive! Expensive!")</f>
        <v>Expensive! Expensive!</v>
      </c>
    </row>
    <row r="9706">
      <c r="A9706" s="1">
        <v>5.0</v>
      </c>
      <c r="B9706" s="1" t="s">
        <v>9636</v>
      </c>
      <c r="C9706" t="str">
        <f>IFERROR(__xludf.DUMMYFUNCTION("GOOGLETRANSLATE(B9706, ""zh"", ""en"")"),"Very good, comfortable")</f>
        <v>Very good, comfortable</v>
      </c>
    </row>
    <row r="9707">
      <c r="A9707" s="1">
        <v>5.0</v>
      </c>
      <c r="B9707" s="1" t="s">
        <v>9637</v>
      </c>
      <c r="C9707" t="str">
        <f>IFERROR(__xludf.DUMMYFUNCTION("GOOGLETRANSLATE(B9707, ""zh"", ""en"")"),"Cheap enough material is generally thin section soft shell material, a little bit hard, have the effect of wind and water repellent, nearly 160 less than the tax, the price of his early and domestic tb thousand overseas flagship store than can be said cos"&amp;"t is too high, of course, than the mark of 8900 yen + tax price is a lot cheaper, due to the short legs, I picture eight nine points, compared to the US version is not much difference. Hip 100 or less is no problem. Had wanted into the deep blue, but the "&amp;"price is higher than twice this color, this color by the cheap, in fact, upper body better, after all, a little desert colors, spring and autumn rainy season wearing nothing big problem.")</f>
        <v>Cheap enough material is generally thin section soft shell material, a little bit hard, have the effect of wind and water repellent, nearly 160 less than the tax, the price of his early and domestic tb thousand overseas flagship store than can be said cost is too high, of course, than the mark of 8900 yen + tax price is a lot cheaper, due to the short legs, I picture eight nine points, compared to the US version is not much difference. Hip 100 or less is no problem. Had wanted into the deep blue, but the price is higher than twice this color, this color by the cheap, in fact, upper body better, after all, a little desert colors, spring and autumn rainy season wearing nothing big problem.</v>
      </c>
    </row>
    <row r="9708">
      <c r="A9708" s="1">
        <v>5.0</v>
      </c>
      <c r="B9708" s="1" t="s">
        <v>9638</v>
      </c>
      <c r="C9708" t="str">
        <f>IFERROR(__xludf.DUMMYFUNCTION("GOOGLETRANSLATE(B9708, ""zh"", ""en"")"),"Good good quality workmanship")</f>
        <v>Good good quality workmanship</v>
      </c>
    </row>
    <row r="9709">
      <c r="A9709" s="1">
        <v>5.0</v>
      </c>
      <c r="B9709" s="1" t="s">
        <v>9639</v>
      </c>
      <c r="C9709" t="str">
        <f>IFERROR(__xludf.DUMMYFUNCTION("GOOGLETRANSLATE(B9709, ""zh"", ""en"")"),"Highly cost-effective to buy a few pieces, the price is good, the quality is not bad, I 170 high, 75 kilos belong partial sturdy body type, wear appropriate L numbers. Amazon also logistics speed super fast, three days arrival. Do not ask too much clothes"&amp;" as a whole, the championship is still very good value for money.")</f>
        <v>Highly cost-effective to buy a few pieces, the price is good, the quality is not bad, I 170 high, 75 kilos belong partial sturdy body type, wear appropriate L numbers. Amazon also logistics speed super fast, three days arrival. Do not ask too much clothes as a whole, the championship is still very good value for money.</v>
      </c>
    </row>
    <row r="9710">
      <c r="A9710" s="1">
        <v>5.0</v>
      </c>
      <c r="B9710" s="1" t="s">
        <v>9640</v>
      </c>
      <c r="C9710" t="str">
        <f>IFERROR(__xludf.DUMMYFUNCTION("GOOGLETRANSLATE(B9710, ""zh"", ""en"")"),"Trademark printing on the faucet GROHE faucet a little crooked, the brand with the domestic similar. Leading heavy, smooth switch. Taobao equipped with a transfer head with a rubber ring.")</f>
        <v>Trademark printing on the faucet GROHE faucet a little crooked, the brand with the domestic similar. Leading heavy, smooth switch. Taobao equipped with a transfer head with a rubber ring.</v>
      </c>
    </row>
    <row r="9711">
      <c r="A9711" s="1">
        <v>5.0</v>
      </c>
      <c r="B9711" s="1" t="s">
        <v>9641</v>
      </c>
      <c r="C9711" t="str">
        <f>IFERROR(__xludf.DUMMYFUNCTION("GOOGLETRANSLATE(B9711, ""zh"", ""en"")"),"Not from the previous evaluation, I do not know how many wasted points, points can change money now know, they should look carefully evaluated, then I put these words to copy to go, both to earn points, but also save trouble, they go where copy the most i"&amp;"mportant thing is, do not seriously review, do not think how much worse word, sent directly to it, recommend it to everyone from not evaluated before, do not know how many wasted points, points can change money now know, we should take evaluation, and the"&amp;"n I put these words to copy to go, both to earn points, but also the easy way, where are copying where, most importantly, do not seriously review, do not think how much worse word, sent directly to it and recommend it to everyone")</f>
        <v>Not from the previous evaluation, I do not know how many wasted points, points can change money now know, they should look carefully evaluated, then I put these words to copy to go, both to earn points, but also save trouble, they go where copy the most important thing is, do not seriously review, do not think how much worse word, sent directly to it, recommend it to everyone from not evaluated before, do not know how many wasted points, points can change money now know, we should take evaluation, and then I put these words to copy to go, both to earn points, but also the easy way, where are copying where, most importantly, do not seriously review, do not think how much worse word, sent directly to it and recommend it to everyone</v>
      </c>
    </row>
    <row r="9712">
      <c r="A9712" s="1">
        <v>5.0</v>
      </c>
      <c r="B9712" s="1" t="s">
        <v>9642</v>
      </c>
      <c r="C9712" t="str">
        <f>IFERROR(__xludf.DUMMYFUNCTION("GOOGLETRANSLATE(B9712, ""zh"", ""en"")"),"Perak Ma Cai easy to use 48 colors of lead-deserved reputation to buy some less, and now looking at 132 colors or 150 colors. Price and other desirable re-start.")</f>
        <v>Perak Ma Cai easy to use 48 colors of lead-deserved reputation to buy some less, and now looking at 132 colors or 150 colors. Price and other desirable re-start.</v>
      </c>
    </row>
    <row r="9713">
      <c r="A9713" s="1">
        <v>5.0</v>
      </c>
      <c r="B9713" s="1" t="s">
        <v>9643</v>
      </c>
      <c r="C9713" t="str">
        <f>IFERROR(__xludf.DUMMYFUNCTION("GOOGLETRANSLATE(B9713, ""zh"", ""en"")"),"Very nice very nice, the only regret is that there are red lines on the runway, the difference should be the place of origin")</f>
        <v>Very nice very nice, the only regret is that there are red lines on the runway, the difference should be the place of origin</v>
      </c>
    </row>
    <row r="9714">
      <c r="A9714" s="1">
        <v>2.0</v>
      </c>
      <c r="B9714" s="1" t="s">
        <v>9644</v>
      </c>
      <c r="C9714" t="str">
        <f>IFERROR(__xludf.DUMMYFUNCTION("GOOGLETRANSLATE(B9714, ""zh"", ""en"")"),"Foreign new clothes no tag yet? 170,80kg, code M is selected from a suitable slightly loose; fabric texture ships, 250 + tax, general cost, Chest 122, Sleeve 67; thin jackets, velvet lining is actually! Intelligent recommendation L code, is not smart! Fin"&amp;"ally, no tag clothes, would like to ask often sea Amoy friends, normal?")</f>
        <v>Foreign new clothes no tag yet? 170,80kg, code M is selected from a suitable slightly loose; fabric texture ships, 250 + tax, general cost, Chest 122, Sleeve 67; thin jackets, velvet lining is actually! Intelligent recommendation L code, is not smart! Finally, no tag clothes, would like to ask often sea Amoy friends, normal?</v>
      </c>
    </row>
    <row r="9715">
      <c r="A9715" s="1">
        <v>3.0</v>
      </c>
      <c r="B9715" s="1" t="s">
        <v>9645</v>
      </c>
      <c r="C9715" t="str">
        <f>IFERROR(__xludf.DUMMYFUNCTION("GOOGLETRANSLATE(B9715, ""zh"", ""en"")"),"Size is too large stiff material is not how much formaldehyde wash several times to buy clothes abroad with supermarket goods almost feel I 18085 wear m just about the same width big belly")</f>
        <v>Size is too large stiff material is not how much formaldehyde wash several times to buy clothes abroad with supermarket goods almost feel I 18085 wear m just about the same width big belly</v>
      </c>
    </row>
    <row r="9716">
      <c r="A9716" s="1">
        <v>3.0</v>
      </c>
      <c r="B9716" s="1" t="s">
        <v>9646</v>
      </c>
      <c r="C9716" t="str">
        <f>IFERROR(__xludf.DUMMYFUNCTION("GOOGLETRANSLATE(B9716, ""zh"", ""en"")"),"General ... general kind of texture in general, not the cortex")</f>
        <v>General ... general kind of texture in general, not the cortex</v>
      </c>
    </row>
    <row r="9717">
      <c r="A9717" s="1">
        <v>1.0</v>
      </c>
      <c r="B9717" s="1" t="s">
        <v>9647</v>
      </c>
      <c r="C9717" t="str">
        <f>IFERROR(__xludf.DUMMYFUNCTION("GOOGLETRANSLATE(B9717, ""zh"", ""en"")"),"Of poor quality, poor quality shoes shopping experience is not, not to wear found broken, do not give a replacement or repair, the shopping experience is poor.")</f>
        <v>Of poor quality, poor quality shoes shopping experience is not, not to wear found broken, do not give a replacement or repair, the shopping experience is poor.</v>
      </c>
    </row>
    <row r="9718">
      <c r="A9718" s="1">
        <v>1.0</v>
      </c>
      <c r="B9718" s="1" t="s">
        <v>9648</v>
      </c>
      <c r="C9718" t="str">
        <f>IFERROR(__xludf.DUMMYFUNCTION("GOOGLETRANSLATE(B9718, ""zh"", ""en"")"),"Trousers will automatically put away, we do not recommend buying the product for a pass on the reduction trousers to the knee")</f>
        <v>Trousers will automatically put away, we do not recommend buying the product for a pass on the reduction trousers to the knee</v>
      </c>
    </row>
    <row r="9719">
      <c r="A9719" s="1">
        <v>4.0</v>
      </c>
      <c r="B9719" s="1" t="s">
        <v>9649</v>
      </c>
      <c r="C9719" t="str">
        <f>IFERROR(__xludf.DUMMYFUNCTION("GOOGLETRANSLATE(B9719, ""zh"", ""en"")"),"Something good, something good rather long sleeves, long sleeves is the hope of some size suitable for Chinese customers clothes.")</f>
        <v>Something good, something good rather long sleeves, long sleeves is the hope of some size suitable for Chinese customers clothes.</v>
      </c>
    </row>
    <row r="9720">
      <c r="A9720" s="1">
        <v>4.0</v>
      </c>
      <c r="B9720" s="1" t="s">
        <v>9650</v>
      </c>
      <c r="C9720" t="str">
        <f>IFERROR(__xludf.DUMMYFUNCTION("GOOGLETRANSLATE(B9720, ""zh"", ""en"")"),"Temperature sensing spoon that is not temperature sensing spoon, bowl seal the results were good, bad buckle Wangai")</f>
        <v>Temperature sensing spoon that is not temperature sensing spoon, bowl seal the results were good, bad buckle Wangai</v>
      </c>
    </row>
    <row r="9721">
      <c r="A9721" s="1">
        <v>4.0</v>
      </c>
      <c r="B9721" s="1" t="s">
        <v>9651</v>
      </c>
      <c r="C9721" t="str">
        <f>IFERROR(__xludf.DUMMYFUNCTION("GOOGLETRANSLATE(B9721, ""zh"", ""en"")"),"Is a fat suit fat uncle to wear, do not start with a small fresh meat, flexibility is very big! M code, before washing hypertrophy, washed length after shrinking for I! Mainly fertilizer,! 172/81 kg, not pregnant, wearing M are fat ah! There bellied uncle"&amp;" who can buy")</f>
        <v>Is a fat suit fat uncle to wear, do not start with a small fresh meat, flexibility is very big! M code, before washing hypertrophy, washed length after shrinking for I! Mainly fertilizer,! 172/81 kg, not pregnant, wearing M are fat ah! There bellied uncle who can buy</v>
      </c>
    </row>
    <row r="9722">
      <c r="A9722" s="1">
        <v>4.0</v>
      </c>
      <c r="B9722" s="1" t="s">
        <v>9652</v>
      </c>
      <c r="C9722" t="str">
        <f>IFERROR(__xludf.DUMMYFUNCTION("GOOGLETRANSLATE(B9722, ""zh"", ""en"")"),"Suction can also be personal feeling no access to a large bowl, now with the bowl, suction can also")</f>
        <v>Suction can also be personal feeling no access to a large bowl, now with the bowl, suction can also</v>
      </c>
    </row>
    <row r="9723">
      <c r="A9723" s="1">
        <v>5.0</v>
      </c>
      <c r="B9723" s="1" t="s">
        <v>9653</v>
      </c>
      <c r="C9723" t="str">
        <f>IFERROR(__xludf.DUMMYFUNCTION("GOOGLETRANSLATE(B9723, ""zh"", ""en"")"),"Underwear is very beautiful, simple and comfortable. That is, I buy big I bought a big, fine workmanship. Very comfortable")</f>
        <v>Underwear is very beautiful, simple and comfortable. That is, I buy big I bought a big, fine workmanship. Very comfortable</v>
      </c>
    </row>
    <row r="9724">
      <c r="A9724" s="1">
        <v>5.0</v>
      </c>
      <c r="B9724" s="1" t="s">
        <v>9654</v>
      </c>
      <c r="C9724" t="str">
        <f>IFERROR(__xludf.DUMMYFUNCTION("GOOGLETRANSLATE(B9724, ""zh"", ""en"")"),"Cheap, comfortable to wear. ECCO shoes to wear foot comfort, overseas purchase shoes look a little bit flawed, leather and shoe soles are a bit, but have fundamental, comfortable enough, very satisfied.")</f>
        <v>Cheap, comfortable to wear. ECCO shoes to wear foot comfort, overseas purchase shoes look a little bit flawed, leather and shoe soles are a bit, but have fundamental, comfortable enough, very satisfied.</v>
      </c>
    </row>
    <row r="9725">
      <c r="A9725" s="1">
        <v>5.0</v>
      </c>
      <c r="B9725" s="1" t="s">
        <v>9655</v>
      </c>
      <c r="C9725" t="str">
        <f>IFERROR(__xludf.DUMMYFUNCTION("GOOGLETRANSLATE(B9725, ""zh"", ""en"")"),"How can it bottle material good, feel good")</f>
        <v>How can it bottle material good, feel good</v>
      </c>
    </row>
    <row r="9726">
      <c r="A9726" s="1">
        <v>5.0</v>
      </c>
      <c r="B9726" s="1" t="s">
        <v>9656</v>
      </c>
      <c r="C9726" t="str">
        <f>IFERROR(__xludf.DUMMYFUNCTION("GOOGLETRANSLATE(B9726, ""zh"", ""en"")"),"Very well liked to send to friends liked the genuine authentic")</f>
        <v>Very well liked to send to friends liked the genuine authentic</v>
      </c>
    </row>
    <row r="9727">
      <c r="A9727" s="1">
        <v>5.0</v>
      </c>
      <c r="B9727" s="1" t="s">
        <v>9657</v>
      </c>
      <c r="C9727" t="str">
        <f>IFERROR(__xludf.DUMMYFUNCTION("GOOGLETRANSLATE(B9727, ""zh"", ""en"")"),"puma liked it, very beautiful, 38.5")</f>
        <v>puma liked it, very beautiful, 38.5</v>
      </c>
    </row>
    <row r="9728">
      <c r="A9728" s="1">
        <v>5.0</v>
      </c>
      <c r="B9728" s="1" t="s">
        <v>9658</v>
      </c>
      <c r="C9728" t="str">
        <f>IFERROR(__xludf.DUMMYFUNCTION("GOOGLETRANSLATE(B9728, ""zh"", ""en"")"),"I have a metal allergy is very good, but this is completely surrounded by the wrist watch strap nice. Worth shopping.")</f>
        <v>I have a metal allergy is very good, but this is completely surrounded by the wrist watch strap nice. Worth shopping.</v>
      </c>
    </row>
    <row r="9729">
      <c r="A9729" s="1">
        <v>5.0</v>
      </c>
      <c r="B9729" s="1" t="s">
        <v>9659</v>
      </c>
      <c r="C9729" t="str">
        <f>IFERROR(__xludf.DUMMYFUNCTION("GOOGLETRANSLATE(B9729, ""zh"", ""en"")"),"Pretty good shape I liked it, hoping like shape as strong.")</f>
        <v>Pretty good shape I liked it, hoping like shape as strong.</v>
      </c>
    </row>
    <row r="9730">
      <c r="A9730" s="1">
        <v>5.0</v>
      </c>
      <c r="B9730" s="1" t="s">
        <v>9660</v>
      </c>
      <c r="C9730" t="str">
        <f>IFERROR(__xludf.DUMMYFUNCTION("GOOGLETRANSLATE(B9730, ""zh"", ""en"")"),"Her husband bought the L number to buy their own perfect buy S No. L No. husband to buy their own perfect number S")</f>
        <v>Her husband bought the L number to buy their own perfect buy S No. L No. husband to buy their own perfect number S</v>
      </c>
    </row>
    <row r="9731">
      <c r="A9731" s="1">
        <v>5.0</v>
      </c>
      <c r="B9731" s="1" t="s">
        <v>9661</v>
      </c>
      <c r="C9731" t="str">
        <f>IFERROR(__xludf.DUMMYFUNCTION("GOOGLETRANSLATE(B9731, ""zh"", ""en"")"),"The price can be cheaper the better! Home more than a thousand rain did this good, after a change down to open the shower feels like to sit vehicle power surging car start push back during acceleration, like showers have been thrown back. Water speed fast"&amp;"er and more hit the body of the intensity just right, 200 yuan can enjoy five-star hotel every day shower effect.")</f>
        <v>The price can be cheaper the better! Home more than a thousand rain did this good, after a change down to open the shower feels like to sit vehicle power surging car start push back during acceleration, like showers have been thrown back. Water speed faster and more hit the body of the intensity just right, 200 yuan can enjoy five-star hotel every day shower effect.</v>
      </c>
    </row>
    <row r="9732">
      <c r="A9732" s="1">
        <v>5.0</v>
      </c>
      <c r="B9732" s="1" t="s">
        <v>9662</v>
      </c>
      <c r="C9732" t="str">
        <f>IFERROR(__xludf.DUMMYFUNCTION("GOOGLETRANSLATE(B9732, ""zh"", ""en"")"),"Great machine can not upload pictures, before you buy the Bosch machine, this machine because Germany, specifically to experience, fast heating, the water can own control, domestic use need to install adapters, you can better extend the life of the machin"&amp;"e")</f>
        <v>Great machine can not upload pictures, before you buy the Bosch machine, this machine because Germany, specifically to experience, fast heating, the water can own control, domestic use need to install adapters, you can better extend the life of the machine</v>
      </c>
    </row>
    <row r="9733">
      <c r="A9733" s="1">
        <v>5.0</v>
      </c>
      <c r="B9733" s="1" t="s">
        <v>9663</v>
      </c>
      <c r="C9733" t="str">
        <f>IFERROR(__xludf.DUMMYFUNCTION("GOOGLETRANSLATE(B9733, ""zh"", ""en"")"),"good thick, which add velvet, stick a lot of hair on his arm, bright colors.")</f>
        <v>good thick, which add velvet, stick a lot of hair on his arm, bright colors.</v>
      </c>
    </row>
    <row r="9734">
      <c r="A9734" s="1">
        <v>5.0</v>
      </c>
      <c r="B9734" s="1" t="s">
        <v>9664</v>
      </c>
      <c r="C9734" t="str">
        <f>IFERROR(__xludf.DUMMYFUNCTION("GOOGLETRANSLATE(B9734, ""zh"", ""en"")"),"AIU light skinned black 1460 purchase yellow shoelaces no domestic gifts, no tag, authentic and correct, usually wear sneakers 41.5, CAT Timberland boots 41, this time to buy UK7, just after the addition of a more fitting.")</f>
        <v>AIU light skinned black 1460 purchase yellow shoelaces no domestic gifts, no tag, authentic and correct, usually wear sneakers 41.5, CAT Timberland boots 41, this time to buy UK7, just after the addition of a more fitting.</v>
      </c>
    </row>
    <row r="9735">
      <c r="A9735" s="1">
        <v>5.0</v>
      </c>
      <c r="B9735" s="1" t="s">
        <v>9665</v>
      </c>
      <c r="C9735" t="str">
        <f>IFERROR(__xludf.DUMMYFUNCTION("GOOGLETRANSLATE(B9735, ""zh"", ""en"")"),"Good use for the children is very good, but do not know what kind of pacifier baby to use, anyway, feeling no access to a newborn, life and death do not suck out")</f>
        <v>Good use for the children is very good, but do not know what kind of pacifier baby to use, anyway, feeling no access to a newborn, life and death do not suck out</v>
      </c>
    </row>
    <row r="9736">
      <c r="A9736" s="1">
        <v>5.0</v>
      </c>
      <c r="B9736" s="1" t="s">
        <v>9666</v>
      </c>
      <c r="C9736" t="str">
        <f>IFERROR(__xludf.DUMMYFUNCTION("GOOGLETRANSLATE(B9736, ""zh"", ""en"")"),"Convenient than a year old. Drop. Convenience.")</f>
        <v>Convenient than a year old. Drop. Convenience.</v>
      </c>
    </row>
    <row r="9737">
      <c r="A9737" s="1">
        <v>5.0</v>
      </c>
      <c r="B9737" s="1" t="s">
        <v>9667</v>
      </c>
      <c r="C9737" t="str">
        <f>IFERROR(__xludf.DUMMYFUNCTION("GOOGLETRANSLATE(B9737, ""zh"", ""en"")"),"The right size is very good, for personal use!")</f>
        <v>The right size is very good, for personal use!</v>
      </c>
    </row>
    <row r="9738">
      <c r="A9738" s="1">
        <v>5.0</v>
      </c>
      <c r="B9738" s="1" t="s">
        <v>9668</v>
      </c>
      <c r="C9738" t="str">
        <f>IFERROR(__xludf.DUMMYFUNCTION("GOOGLETRANSLATE(B9738, ""zh"", ""en"")"),"Very good value big ah")</f>
        <v>Very good value big ah</v>
      </c>
    </row>
    <row r="9739">
      <c r="A9739" s="1">
        <v>5.0</v>
      </c>
      <c r="B9739" s="1" t="s">
        <v>9669</v>
      </c>
      <c r="C9739" t="str">
        <f>IFERROR(__xludf.DUMMYFUNCTION("GOOGLETRANSLATE(B9739, ""zh"", ""en"")"),"Very satisfied with good quality, height 170cm, weight 59KG, buy M just,")</f>
        <v>Very satisfied with good quality, height 170cm, weight 59KG, buy M just,</v>
      </c>
    </row>
    <row r="9740">
      <c r="A9740" s="1">
        <v>5.0</v>
      </c>
      <c r="B9740" s="1" t="s">
        <v>9670</v>
      </c>
      <c r="C9740" t="str">
        <f>IFERROR(__xludf.DUMMYFUNCTION("GOOGLETRANSLATE(B9740, ""zh"", ""en"")"),"Great sports shoes 42, clarks40 just feet slim, for your reference")</f>
        <v>Great sports shoes 42, clarks40 just feet slim, for your reference</v>
      </c>
    </row>
    <row r="9741">
      <c r="A9741" s="1">
        <v>5.0</v>
      </c>
      <c r="B9741" s="1" t="s">
        <v>9671</v>
      </c>
      <c r="C9741" t="str">
        <f>IFERROR(__xludf.DUMMYFUNCTION("GOOGLETRANSLATE(B9741, ""zh"", ""en"")"),"Class very good insulation properties, low price")</f>
        <v>Class very good insulation properties, low price</v>
      </c>
    </row>
    <row r="9742">
      <c r="A9742" s="1">
        <v>5.0</v>
      </c>
      <c r="B9742" s="1" t="s">
        <v>9672</v>
      </c>
      <c r="C9742" t="str">
        <f>IFERROR(__xludf.DUMMYFUNCTION("GOOGLETRANSLATE(B9742, ""zh"", ""en"")"),"Dark coffee color is really dark coffee color, not black! Comfortable, good quality 👍")</f>
        <v>Dark coffee color is really dark coffee color, not black! Comfortable, good quality 👍</v>
      </c>
    </row>
    <row r="9743">
      <c r="A9743" s="1">
        <v>5.0</v>
      </c>
      <c r="B9743" s="1" t="s">
        <v>9673</v>
      </c>
      <c r="C9743" t="str">
        <f>IFERROR(__xludf.DUMMYFUNCTION("GOOGLETRANSLATE(B9743, ""zh"", ""en"")"),"Color a bit ugly, good price good insulation properties, color ugly. Like a lump of feces")</f>
        <v>Color a bit ugly, good price good insulation properties, color ugly. Like a lump of feces</v>
      </c>
    </row>
    <row r="9744">
      <c r="A9744" s="1">
        <v>5.0</v>
      </c>
      <c r="B9744" s="1" t="s">
        <v>9674</v>
      </c>
      <c r="C9744" t="str">
        <f>IFERROR(__xludf.DUMMYFUNCTION("GOOGLETRANSLATE(B9744, ""zh"", ""en"")"),"Suitable for spring and autumn, not too thick for spring and autumn, is not too thick")</f>
        <v>Suitable for spring and autumn, not too thick for spring and autumn, is not too thick</v>
      </c>
    </row>
    <row r="9745">
      <c r="A9745" s="1">
        <v>2.0</v>
      </c>
      <c r="B9745" s="1" t="s">
        <v>9675</v>
      </c>
      <c r="C9745" t="str">
        <f>IFERROR(__xludf.DUMMYFUNCTION("GOOGLETRANSLATE(B9745, ""zh"", ""en"")"),"Fabric Fabric generally rather hard, really overalls.")</f>
        <v>Fabric Fabric generally rather hard, really overalls.</v>
      </c>
    </row>
    <row r="9746">
      <c r="A9746" s="1">
        <v>3.0</v>
      </c>
      <c r="B9746" s="1" t="s">
        <v>9676</v>
      </c>
      <c r="C9746" t="str">
        <f>IFERROR(__xludf.DUMMYFUNCTION("GOOGLETRANSLATE(B9746, ""zh"", ""en"")"),"The price is appropriate more appropriate price, German quality.")</f>
        <v>The price is appropriate more appropriate price, German quality.</v>
      </c>
    </row>
    <row r="9747">
      <c r="A9747" s="1">
        <v>3.0</v>
      </c>
      <c r="B9747" s="1" t="s">
        <v>9677</v>
      </c>
      <c r="C9747" t="str">
        <f>IFERROR(__xludf.DUMMYFUNCTION("GOOGLETRANSLATE(B9747, ""zh"", ""en"")"),"Size is worry a good deal, very thin, very soft; but size really is too large. 181CM, 91KG, L wearing very loose. Size headache, Amazon refine the work is too low")</f>
        <v>Size is worry a good deal, very thin, very soft; but size really is too large. 181CM, 91KG, L wearing very loose. Size headache, Amazon refine the work is too low</v>
      </c>
    </row>
    <row r="9748">
      <c r="A9748" s="1">
        <v>1.0</v>
      </c>
      <c r="B9748" s="1" t="s">
        <v>9678</v>
      </c>
      <c r="C9748" t="str">
        <f>IFERROR(__xludf.DUMMYFUNCTION("GOOGLETRANSLATE(B9748, ""zh"", ""en"")"),"Fast expired soon expired. . A little speechless. . It expired on July 19.")</f>
        <v>Fast expired soon expired. . A little speechless. . It expired on July 19.</v>
      </c>
    </row>
    <row r="9749">
      <c r="A9749" s="1">
        <v>1.0</v>
      </c>
      <c r="B9749" s="1" t="s">
        <v>9679</v>
      </c>
      <c r="C9749" t="str">
        <f>IFERROR(__xludf.DUMMYFUNCTION("GOOGLETRANSLATE(B9749, ""zh"", ""en"")"),"Very angry, true and false mixed with selling, but also rusty I bought a second time, for the first time to buy should be genuine, very good, and later lost his second purchase, very difficult to use scissors, also rusty , very angry, that true and false "&amp;"mixed with selling electricity supplier should've closed down, baby products actually sell fakes, Liangxinhezai")</f>
        <v>Very angry, true and false mixed with selling, but also rusty I bought a second time, for the first time to buy should be genuine, very good, and later lost his second purchase, very difficult to use scissors, also rusty , very angry, that true and false mixed with selling electricity supplier should've closed down, baby products actually sell fakes, Liangxinhezai</v>
      </c>
    </row>
    <row r="9750">
      <c r="A9750" s="1">
        <v>4.0</v>
      </c>
      <c r="B9750" s="1" t="s">
        <v>9680</v>
      </c>
      <c r="C9750" t="str">
        <f>IFERROR(__xludf.DUMMYFUNCTION("GOOGLETRANSLATE(B9750, ""zh"", ""en"")"),"Seeking customer service and eliminating parts problems? Not stainless steel, but the flood damage will occur in a layer of white like the same things bubble, bubble wash twice a still positive test for the third time, I feel should not be so ah! Answer c"&amp;"ustomer requests. Authentic source of goods it? ? In the Amazon to buy ah. In addition, the machine will not be used or refurbished, right?")</f>
        <v>Seeking customer service and eliminating parts problems? Not stainless steel, but the flood damage will occur in a layer of white like the same things bubble, bubble wash twice a still positive test for the third time, I feel should not be so ah! Answer customer requests. Authentic source of goods it? ? In the Amazon to buy ah. In addition, the machine will not be used or refurbished, right?</v>
      </c>
    </row>
    <row r="9751">
      <c r="A9751" s="1">
        <v>4.0</v>
      </c>
      <c r="B9751" s="1" t="s">
        <v>9681</v>
      </c>
      <c r="C9751" t="str">
        <f>IFERROR(__xludf.DUMMYFUNCTION("GOOGLETRANSLATE(B9751, ""zh"", ""en"")"),"Japanese version of the small size 180 + L boys can not wear. Then the girls 160 +, 45KG, wearing too big, estimated M just. .")</f>
        <v>Japanese version of the small size 180 + L boys can not wear. Then the girls 160 +, 45KG, wearing too big, estimated M just. .</v>
      </c>
    </row>
    <row r="9752">
      <c r="A9752" s="1">
        <v>4.0</v>
      </c>
      <c r="B9752" s="1" t="s">
        <v>9682</v>
      </c>
      <c r="C9752" t="str">
        <f>IFERROR(__xludf.DUMMYFUNCTION("GOOGLETRANSLATE(B9752, ""zh"", ""en"")"),"Origin explain inconsistent quality stuff no problem. That is, when I say single-German production. But what it is actually received British production.")</f>
        <v>Origin explain inconsistent quality stuff no problem. That is, when I say single-German production. But what it is actually received British production.</v>
      </c>
    </row>
    <row r="9753">
      <c r="A9753" s="1">
        <v>4.0</v>
      </c>
      <c r="B9753" s="1" t="s">
        <v>9683</v>
      </c>
      <c r="C9753" t="str">
        <f>IFERROR(__xludf.DUMMYFUNCTION("GOOGLETRANSLATE(B9753, ""zh"", ""en"")"),"Oversized pants quality is good, but too much can be very comfortable to wear No. 16 at my mother's 88kg. It is still able to accept")</f>
        <v>Oversized pants quality is good, but too much can be very comfortable to wear No. 16 at my mother's 88kg. It is still able to accept</v>
      </c>
    </row>
    <row r="9754">
      <c r="A9754" s="1">
        <v>4.0</v>
      </c>
      <c r="B9754" s="1" t="s">
        <v>9684</v>
      </c>
      <c r="C9754" t="str">
        <f>IFERROR(__xludf.DUMMYFUNCTION("GOOGLETRANSLATE(B9754, ""zh"", ""en"")"),"32 Ounce stream very quickly (about 7 days). It can be said when the hand is no packaging, cardboard boxes is the product itself, but also quite dirty. But after the open are complete (toast, stirring rod, recipes, instructions for use), were playing blac"&amp;"k beans, black sesame, personally feel very good, it should be genuine. Home cooking machine is Pro750, when put Cheers operation, will move their cheers, cheers guess is because the gear is slightly smaller than the machine because of it, (printed on the"&amp;" product packaging indicates that this pattern is common Cheers, ) but does not affect use. Overall satisfaction ~")</f>
        <v>32 Ounce stream very quickly (about 7 days). It can be said when the hand is no packaging, cardboard boxes is the product itself, but also quite dirty. But after the open are complete (toast, stirring rod, recipes, instructions for use), were playing black beans, black sesame, personally feel very good, it should be genuine. Home cooking machine is Pro750, when put Cheers operation, will move their cheers, cheers guess is because the gear is slightly smaller than the machine because of it, (printed on the product packaging indicates that this pattern is common Cheers, ) but does not affect use. Overall satisfaction ~</v>
      </c>
    </row>
    <row r="9755">
      <c r="A9755" s="1">
        <v>5.0</v>
      </c>
      <c r="B9755" s="1" t="s">
        <v>5024</v>
      </c>
      <c r="C9755" t="str">
        <f>IFERROR(__xludf.DUMMYFUNCTION("GOOGLETRANSLATE(B9755, ""zh"", ""en"")"),"Very comfortable feeling good color is not very fond of beautiful but now out of stock")</f>
        <v>Very comfortable feeling good color is not very fond of beautiful but now out of stock</v>
      </c>
    </row>
    <row r="9756">
      <c r="A9756" s="1">
        <v>5.0</v>
      </c>
      <c r="B9756" s="1" t="s">
        <v>9685</v>
      </c>
      <c r="C9756" t="str">
        <f>IFERROR(__xludf.DUMMYFUNCTION("GOOGLETRANSLATE(B9756, ""zh"", ""en"")"),"I buy small, there is no think to buy big, you can find me change. I buy small, there is no think to buy big, you can find me change.")</f>
        <v>I buy small, there is no think to buy big, you can find me change. I buy small, there is no think to buy big, you can find me change.</v>
      </c>
    </row>
    <row r="9757">
      <c r="A9757" s="1">
        <v>5.0</v>
      </c>
      <c r="B9757" s="1" t="s">
        <v>9686</v>
      </c>
      <c r="C9757" t="str">
        <f>IFERROR(__xludf.DUMMYFUNCTION("GOOGLETRANSLATE(B9757, ""zh"", ""en"")"),"Good color and style are good, but not a narrow version of the relatively high instep, foot a little fat, do not worry")</f>
        <v>Good color and style are good, but not a narrow version of the relatively high instep, foot a little fat, do not worry</v>
      </c>
    </row>
    <row r="9758">
      <c r="A9758" s="1">
        <v>5.0</v>
      </c>
      <c r="B9758" s="1" t="s">
        <v>9687</v>
      </c>
      <c r="C9758" t="str">
        <f>IFERROR(__xludf.DUMMYFUNCTION("GOOGLETRANSLATE(B9758, ""zh"", ""en"")"),"Shopping evaluate! ! Baby good, very fit! 160cm, 52kg wear suitable! !")</f>
        <v>Shopping evaluate! ! Baby good, very fit! 160cm, 52kg wear suitable! !</v>
      </c>
    </row>
    <row r="9759">
      <c r="A9759" s="1">
        <v>5.0</v>
      </c>
      <c r="B9759" s="1" t="s">
        <v>9688</v>
      </c>
      <c r="C9759" t="str">
        <f>IFERROR(__xludf.DUMMYFUNCTION("GOOGLETRANSLATE(B9759, ""zh"", ""en"")"),"Bought the wrong code to buy the right size xl idle appropriate also look good before")</f>
        <v>Bought the wrong code to buy the right size xl idle appropriate also look good before</v>
      </c>
    </row>
    <row r="9760">
      <c r="A9760" s="1">
        <v>5.0</v>
      </c>
      <c r="B9760" s="1" t="s">
        <v>9689</v>
      </c>
      <c r="C9760" t="str">
        <f>IFERROR(__xludf.DUMMYFUNCTION("GOOGLETRANSLATE(B9760, ""zh"", ""en"")"),"Okay Specifications little more applicable in the summer.")</f>
        <v>Okay Specifications little more applicable in the summer.</v>
      </c>
    </row>
    <row r="9761">
      <c r="A9761" s="1">
        <v>5.0</v>
      </c>
      <c r="B9761" s="1" t="s">
        <v>9690</v>
      </c>
      <c r="C9761" t="str">
        <f>IFERROR(__xludf.DUMMYFUNCTION("GOOGLETRANSLATE(B9761, ""zh"", ""en"")"),"Quality is very good, no flaws there are certain advantages 1. 2. waterproof effect just get our hands without any thread, not a little thread 3.YKK zipper pull when the very intensity of 4.2 layer design, you can put the first layer cell phone the key to"&amp;" such small things, I just put Samsung under the big S8, which can put that layer of 500 ml of water to drink umbrellas class, there is also a small bus card class compartment can put 5 or I produce Chinese, and why export something so good Cons: expensiv"&amp;"e")</f>
        <v>Quality is very good, no flaws there are certain advantages 1. 2. waterproof effect just get our hands without any thread, not a little thread 3.YKK zipper pull when the very intensity of 4.2 layer design, you can put the first layer cell phone the key to such small things, I just put Samsung under the big S8, which can put that layer of 500 ml of water to drink umbrellas class, there is also a small bus card class compartment can put 5 or I produce Chinese, and why export something so good Cons: expensive</v>
      </c>
    </row>
    <row r="9762">
      <c r="A9762" s="1">
        <v>5.0</v>
      </c>
      <c r="B9762" s="1" t="s">
        <v>9691</v>
      </c>
      <c r="C9762" t="str">
        <f>IFERROR(__xludf.DUMMYFUNCTION("GOOGLETRANSLATE(B9762, ""zh"", ""en"")"),"Also, yes, I high 175, weight 84 kg, waist circumference 2 feet 6-2 feet 7 (jeans 32-34), wearing L, slightly larger a little bit, but not fall off, of course, will not be washed after several will be greater, do not know, but looking at the fabric good, "&amp;"very comfortable, overall good")</f>
        <v>Also, yes, I high 175, weight 84 kg, waist circumference 2 feet 6-2 feet 7 (jeans 32-34), wearing L, slightly larger a little bit, but not fall off, of course, will not be washed after several will be greater, do not know, but looking at the fabric good, very comfortable, overall good</v>
      </c>
    </row>
    <row r="9763">
      <c r="A9763" s="1">
        <v>5.0</v>
      </c>
      <c r="B9763" s="1" t="s">
        <v>9692</v>
      </c>
      <c r="C9763" t="str">
        <f>IFERROR(__xludf.DUMMYFUNCTION("GOOGLETRANSLATE(B9763, ""zh"", ""en"")"),"Nice yardage and domestic brands of the same model of some long, waist suitable.")</f>
        <v>Nice yardage and domestic brands of the same model of some long, waist suitable.</v>
      </c>
    </row>
    <row r="9764">
      <c r="A9764" s="1">
        <v>5.0</v>
      </c>
      <c r="B9764" s="1" t="s">
        <v>9693</v>
      </c>
      <c r="C9764" t="str">
        <f>IFERROR(__xludf.DUMMYFUNCTION("GOOGLETRANSLATE(B9764, ""zh"", ""en"")"),"Watch just received than I expected to be fast, this is No. 27 to only 25 today, after hands-adjusted chain, wear feel good, make time to verify performance")</f>
        <v>Watch just received than I expected to be fast, this is No. 27 to only 25 today, after hands-adjusted chain, wear feel good, make time to verify performance</v>
      </c>
    </row>
    <row r="9765">
      <c r="A9765" s="1">
        <v>5.0</v>
      </c>
      <c r="B9765" s="1" t="s">
        <v>9694</v>
      </c>
      <c r="C9765" t="str">
        <f>IFERROR(__xludf.DUMMYFUNCTION("GOOGLETRANSLATE(B9765, ""zh"", ""en"")"),"Small fresh earphones are small fresh feeling is my favorite style Meizu amp plus good results very satisfied with the price cheaper")</f>
        <v>Small fresh earphones are small fresh feeling is my favorite style Meizu amp plus good results very satisfied with the price cheaper</v>
      </c>
    </row>
    <row r="9766">
      <c r="A9766" s="1">
        <v>5.0</v>
      </c>
      <c r="B9766" s="1" t="s">
        <v>9695</v>
      </c>
      <c r="C9766" t="str">
        <f>IFERROR(__xludf.DUMMYFUNCTION("GOOGLETRANSLATE(B9766, ""zh"", ""en"")"),"Good one week early than expected, 42.5 shoe size just right 9w election, this election shoe election quite correct. Shoes work well, quite unexpectedly light. Northeast wear no problem, relatively thick point.")</f>
        <v>Good one week early than expected, 42.5 shoe size just right 9w election, this election shoe election quite correct. Shoes work well, quite unexpectedly light. Northeast wear no problem, relatively thick point.</v>
      </c>
    </row>
    <row r="9767">
      <c r="A9767" s="1">
        <v>5.0</v>
      </c>
      <c r="B9767" s="1" t="s">
        <v>9696</v>
      </c>
      <c r="C9767" t="str">
        <f>IFERROR(__xludf.DUMMYFUNCTION("GOOGLETRANSLATE(B9767, ""zh"", ""en"")"),"In short the value of two thousand yuan price quality, workmanship and design packaging two hundred yuan price")</f>
        <v>In short the value of two thousand yuan price quality, workmanship and design packaging two hundred yuan price</v>
      </c>
    </row>
    <row r="9768">
      <c r="A9768" s="1">
        <v>5.0</v>
      </c>
      <c r="B9768" s="1" t="s">
        <v>9697</v>
      </c>
      <c r="C9768" t="str">
        <f>IFERROR(__xludf.DUMMYFUNCTION("GOOGLETRANSLATE(B9768, ""zh"", ""en"")"),"Goody goody, it is the right product")</f>
        <v>Goody goody, it is the right product</v>
      </c>
    </row>
    <row r="9769">
      <c r="A9769" s="1">
        <v>5.0</v>
      </c>
      <c r="B9769" s="1" t="s">
        <v>9698</v>
      </c>
      <c r="C9769" t="str">
        <f>IFERROR(__xludf.DUMMYFUNCTION("GOOGLETRANSLATE(B9769, ""zh"", ""en"")"),"To be born Erbao buy, bought before this a, this is still very good! To be born Erbao buy, bought before this a, this is still very good!")</f>
        <v>To be born Erbao buy, bought before this a, this is still very good! To be born Erbao buy, bought before this a, this is still very good!</v>
      </c>
    </row>
    <row r="9770">
      <c r="A9770" s="1">
        <v>5.0</v>
      </c>
      <c r="B9770" s="1" t="s">
        <v>9699</v>
      </c>
      <c r="C9770" t="str">
        <f>IFERROR(__xludf.DUMMYFUNCTION("GOOGLETRANSLATE(B9770, ""zh"", ""en"")"),"Shoes like the first time to buy this brand, look at the look of this CAT, finally hesitated or buy this pair, the size of Lloyd, my feet wide, bought a widened, after wearing too do not squeeze the foot.")</f>
        <v>Shoes like the first time to buy this brand, look at the look of this CAT, finally hesitated or buy this pair, the size of Lloyd, my feet wide, bought a widened, after wearing too do not squeeze the foot.</v>
      </c>
    </row>
    <row r="9771">
      <c r="A9771" s="1">
        <v>5.0</v>
      </c>
      <c r="B9771" s="1" t="s">
        <v>358</v>
      </c>
      <c r="C9771" t="str">
        <f>IFERROR(__xludf.DUMMYFUNCTION("GOOGLETRANSLATE(B9771, ""zh"", ""en"")"),"Insulation insulation effect")</f>
        <v>Insulation insulation effect</v>
      </c>
    </row>
    <row r="9772">
      <c r="A9772" s="1">
        <v>5.0</v>
      </c>
      <c r="B9772" s="1" t="s">
        <v>9700</v>
      </c>
      <c r="C9772" t="str">
        <f>IFERROR(__xludf.DUMMYFUNCTION("GOOGLETRANSLATE(B9772, ""zh"", ""en"")"),"Very good stuff my height 172㎝, 64kg. Before 29w30L bought a little tight, and this time choose 30W30L very fit, like some black slacks, prefer.")</f>
        <v>Very good stuff my height 172㎝, 64kg. Before 29w30L bought a little tight, and this time choose 30W30L very fit, like some black slacks, prefer.</v>
      </c>
    </row>
    <row r="9773">
      <c r="A9773" s="1">
        <v>5.0</v>
      </c>
      <c r="B9773" s="1" t="s">
        <v>9701</v>
      </c>
      <c r="C9773" t="str">
        <f>IFERROR(__xludf.DUMMYFUNCTION("GOOGLETRANSLATE(B9773, ""zh"", ""en"")"),"A little too large, the overall good. A little too large, the overall good.")</f>
        <v>A little too large, the overall good. A little too large, the overall good.</v>
      </c>
    </row>
    <row r="9774">
      <c r="A9774" s="1">
        <v>5.0</v>
      </c>
      <c r="B9774" s="1" t="s">
        <v>9702</v>
      </c>
      <c r="C9774" t="str">
        <f>IFERROR(__xludf.DUMMYFUNCTION("GOOGLETRANSLATE(B9774, ""zh"", ""en"")"),"A nice pen with a good pen, worth buying.")</f>
        <v>A nice pen with a good pen, worth buying.</v>
      </c>
    </row>
    <row r="9775">
      <c r="A9775" s="1">
        <v>5.0</v>
      </c>
      <c r="B9775" s="1" t="s">
        <v>9703</v>
      </c>
      <c r="C9775" t="str">
        <f>IFERROR(__xludf.DUMMYFUNCTION("GOOGLETRANSLATE(B9775, ""zh"", ""en"")"),"Good shoes overcast phones are not allowed to photograph the white balance, a little yellow, the actual lighter in color, but also look better. Quality is good, my wife liked!")</f>
        <v>Good shoes overcast phones are not allowed to photograph the white balance, a little yellow, the actual lighter in color, but also look better. Quality is good, my wife liked!</v>
      </c>
    </row>
    <row r="9776">
      <c r="A9776" s="1">
        <v>5.0</v>
      </c>
      <c r="B9776" s="1" t="s">
        <v>9704</v>
      </c>
      <c r="C9776" t="str">
        <f>IFERROR(__xludf.DUMMYFUNCTION("GOOGLETRANSLATE(B9776, ""zh"", ""en"")"),"There promotion? Mainly refers to the shoes very satisfied! Feeling should be very durable. Although the color is not consistent with the picture, perhaps more like it.")</f>
        <v>There promotion? Mainly refers to the shoes very satisfied! Feeling should be very durable. Although the color is not consistent with the picture, perhaps more like it.</v>
      </c>
    </row>
    <row r="9777">
      <c r="A9777" s="1">
        <v>2.0</v>
      </c>
      <c r="B9777" s="1" t="s">
        <v>9705</v>
      </c>
      <c r="C9777" t="str">
        <f>IFERROR(__xludf.DUMMYFUNCTION("GOOGLETRANSLATE(B9777, ""zh"", ""en"")"),"Slightly larger, quality is generally larger than dress pants is longer than the recommended time to buy a smaller size dress")</f>
        <v>Slightly larger, quality is generally larger than dress pants is longer than the recommended time to buy a smaller size dress</v>
      </c>
    </row>
    <row r="9778">
      <c r="A9778" s="1">
        <v>3.0</v>
      </c>
      <c r="B9778" s="1" t="s">
        <v>9706</v>
      </c>
      <c r="C9778" t="str">
        <f>IFERROR(__xludf.DUMMYFUNCTION("GOOGLETRANSLATE(B9778, ""zh"", ""en"")"),"Some large, 167 cm tall and general quality of it to buy M size, basically can not wear, you may need to buy a smaller size. Returns are very troublesome, because it is purchased abroad, but also need to buckle a lot of money, so there is no retreat. Ther"&amp;"e trouser pocket, quality in general, neither good nor bad.")</f>
        <v>Some large, 167 cm tall and general quality of it to buy M size, basically can not wear, you may need to buy a smaller size. Returns are very troublesome, because it is purchased abroad, but also need to buckle a lot of money, so there is no retreat. There trouser pocket, quality in general, neither good nor bad.</v>
      </c>
    </row>
    <row r="9779">
      <c r="A9779" s="1">
        <v>3.0</v>
      </c>
      <c r="B9779" s="1" t="s">
        <v>9707</v>
      </c>
      <c r="C9779" t="str">
        <f>IFERROR(__xludf.DUMMYFUNCTION("GOOGLETRANSLATE(B9779, ""zh"", ""en"")"),"A general is not thick, not very tight 80-hand, cost is not high")</f>
        <v>A general is not thick, not very tight 80-hand, cost is not high</v>
      </c>
    </row>
    <row r="9780">
      <c r="A9780" s="1">
        <v>1.0</v>
      </c>
      <c r="B9780" s="1" t="s">
        <v>9708</v>
      </c>
      <c r="C9780" t="str">
        <f>IFERROR(__xludf.DUMMYFUNCTION("GOOGLETRANSLATE(B9780, ""zh"", ""en"")"),"Size size table inside two identical code is too misleading to consumers the United States, the Amazon staff is too irresponsible, a very unpleasant experience overseas")</f>
        <v>Size size table inside two identical code is too misleading to consumers the United States, the Amazon staff is too irresponsible, a very unpleasant experience overseas</v>
      </c>
    </row>
    <row r="9781">
      <c r="A9781" s="1">
        <v>1.0</v>
      </c>
      <c r="B9781" s="1" t="s">
        <v>9709</v>
      </c>
      <c r="C9781" t="str">
        <f>IFERROR(__xludf.DUMMYFUNCTION("GOOGLETRANSLATE(B9781, ""zh"", ""en"")"),"Clothes too large too large super serious, super too large")</f>
        <v>Clothes too large too large super serious, super too large</v>
      </c>
    </row>
    <row r="9782">
      <c r="A9782" s="1">
        <v>1.0</v>
      </c>
      <c r="B9782" s="1" t="s">
        <v>9710</v>
      </c>
      <c r="C9782" t="str">
        <f>IFERROR(__xludf.DUMMYFUNCTION("GOOGLETRANSLATE(B9782, ""zh"", ""en"")"),"Bad not imagine so good! All in English! Password not set")</f>
        <v>Bad not imagine so good! All in English! Password not set</v>
      </c>
    </row>
    <row r="9783">
      <c r="A9783" s="1">
        <v>4.0</v>
      </c>
      <c r="B9783" s="1" t="s">
        <v>9711</v>
      </c>
      <c r="C9783" t="str">
        <f>IFERROR(__xludf.DUMMYFUNCTION("GOOGLETRANSLATE(B9783, ""zh"", ""en"")"),"Work is not good enough to work not detailed enough, the foot is not flat, feeling bad")</f>
        <v>Work is not good enough to work not detailed enough, the foot is not flat, feeling bad</v>
      </c>
    </row>
    <row r="9784">
      <c r="A9784" s="1">
        <v>4.0</v>
      </c>
      <c r="B9784" s="1" t="s">
        <v>9712</v>
      </c>
      <c r="C9784" t="str">
        <f>IFERROR(__xludf.DUMMYFUNCTION("GOOGLETRANSLATE(B9784, ""zh"", ""en"")"),"Dema has an advantage in comparison the above paragraph and students said the same. The problem is, this is my stocking it, a quick little beat, and feel the picture was gone. . . This is mostly a conservative brand of style, to show the range of professi"&amp;"onal sports. POLO this is also good, with style.")</f>
        <v>Dema has an advantage in comparison the above paragraph and students said the same. The problem is, this is my stocking it, a quick little beat, and feel the picture was gone. . . This is mostly a conservative brand of style, to show the range of professional sports. POLO this is also good, with style.</v>
      </c>
    </row>
    <row r="9785">
      <c r="A9785" s="1">
        <v>4.0</v>
      </c>
      <c r="B9785" s="1" t="s">
        <v>9713</v>
      </c>
      <c r="C9785" t="str">
        <f>IFERROR(__xludf.DUMMYFUNCTION("GOOGLETRANSLATE(B9785, ""zh"", ""en"")"),"Just low waistband, waistband personally think it will be exposed to low underpants 18,090 kg whole okay! Waist little fat points, estimated code thin small, large long legs 32 best buy")</f>
        <v>Just low waistband, waistband personally think it will be exposed to low underpants 18,090 kg whole okay! Waist little fat points, estimated code thin small, large long legs 32 best buy</v>
      </c>
    </row>
    <row r="9786">
      <c r="A9786" s="1">
        <v>4.0</v>
      </c>
      <c r="B9786" s="1" t="s">
        <v>9714</v>
      </c>
      <c r="C9786" t="str">
        <f>IFERROR(__xludf.DUMMYFUNCTION("GOOGLETRANSLATE(B9786, ""zh"", ""en"")"),"Good quality with price - about ten days indeed proportional to. In fact, looking at very small together, time is too difficult to adjust the ... study was not ready for half an hour")</f>
        <v>Good quality with price - about ten days indeed proportional to. In fact, looking at very small together, time is too difficult to adjust the ... study was not ready for half an hour</v>
      </c>
    </row>
    <row r="9787">
      <c r="A9787" s="1">
        <v>4.0</v>
      </c>
      <c r="B9787" s="1" t="s">
        <v>9715</v>
      </c>
      <c r="C9787" t="str">
        <f>IFERROR(__xludf.DUMMYFUNCTION("GOOGLETRANSLATE(B9787, ""zh"", ""en"")"),"Read reviews before buy very handsome, I know this big yardage, nike43 yards, feet fat, this just buy 8.52E. This tax is erratic ah, just bought taxes dropped to a few dozen, overpaid for the equivalent of 100 yuan")</f>
        <v>Read reviews before buy very handsome, I know this big yardage, nike43 yards, feet fat, this just buy 8.52E. This tax is erratic ah, just bought taxes dropped to a few dozen, overpaid for the equivalent of 100 yuan</v>
      </c>
    </row>
    <row r="9788">
      <c r="A9788" s="1">
        <v>5.0</v>
      </c>
      <c r="B9788" s="1" t="s">
        <v>9716</v>
      </c>
      <c r="C9788" t="str">
        <f>IFERROR(__xludf.DUMMYFUNCTION("GOOGLETRANSLATE(B9788, ""zh"", ""en"")"),"I trust BRITA water purification products, this product is easy to use, the price is very satisfied")</f>
        <v>I trust BRITA water purification products, this product is easy to use, the price is very satisfied</v>
      </c>
    </row>
    <row r="9789">
      <c r="A9789" s="1">
        <v>5.0</v>
      </c>
      <c r="B9789" s="1" t="s">
        <v>9717</v>
      </c>
      <c r="C9789" t="str">
        <f>IFERROR(__xludf.DUMMYFUNCTION("GOOGLETRANSLATE(B9789, ""zh"", ""en"")"),"Like already have access to this accounting package.")</f>
        <v>Like already have access to this accounting package.</v>
      </c>
    </row>
    <row r="9790">
      <c r="A9790" s="1">
        <v>5.0</v>
      </c>
      <c r="B9790" s="1" t="s">
        <v>9718</v>
      </c>
      <c r="C9790" t="str">
        <f>IFERROR(__xludf.DUMMYFUNCTION("GOOGLETRANSLATE(B9790, ""zh"", ""en"")"),"Baby received praise, with the same imagination, Mom and Dad used to buy the right size, looks good, this brand mug effects are Leverage, praise")</f>
        <v>Baby received praise, with the same imagination, Mom and Dad used to buy the right size, looks good, this brand mug effects are Leverage, praise</v>
      </c>
    </row>
    <row r="9791">
      <c r="A9791" s="1">
        <v>5.0</v>
      </c>
      <c r="B9791" s="1" t="s">
        <v>9719</v>
      </c>
      <c r="C9791" t="str">
        <f>IFERROR(__xludf.DUMMYFUNCTION("GOOGLETRANSLATE(B9791, ""zh"", ""en"")"),"Easy to store goods in advance expropriated by friends, it is said to good use.")</f>
        <v>Easy to store goods in advance expropriated by friends, it is said to good use.</v>
      </c>
    </row>
    <row r="9792">
      <c r="A9792" s="1">
        <v>5.0</v>
      </c>
      <c r="B9792" s="1" t="s">
        <v>9720</v>
      </c>
      <c r="C9792" t="str">
        <f>IFERROR(__xludf.DUMMYFUNCTION("GOOGLETRANSLATE(B9792, ""zh"", ""en"")"),"Yes, very good outdoor ecco good, slightly harder soles")</f>
        <v>Yes, very good outdoor ecco good, slightly harder soles</v>
      </c>
    </row>
    <row r="9793">
      <c r="A9793" s="1">
        <v>5.0</v>
      </c>
      <c r="B9793" s="1" t="s">
        <v>9721</v>
      </c>
      <c r="C9793" t="str">
        <f>IFERROR(__xludf.DUMMYFUNCTION("GOOGLETRANSLATE(B9793, ""zh"", ""en"")"),"Very, very good, not the kind of special thick")</f>
        <v>Very, very good, not the kind of special thick</v>
      </c>
    </row>
    <row r="9794">
      <c r="A9794" s="1">
        <v>5.0</v>
      </c>
      <c r="B9794" s="1" t="s">
        <v>9722</v>
      </c>
      <c r="C9794" t="str">
        <f>IFERROR(__xludf.DUMMYFUNCTION("GOOGLETRANSLATE(B9794, ""zh"", ""en"")"),"Good pen well. The ink flowing well written. Express package is also very carefully")</f>
        <v>Good pen well. The ink flowing well written. Express package is also very carefully</v>
      </c>
    </row>
    <row r="9795">
      <c r="A9795" s="1">
        <v>5.0</v>
      </c>
      <c r="B9795" s="1" t="s">
        <v>9723</v>
      </c>
      <c r="C9795" t="str">
        <f>IFERROR(__xludf.DUMMYFUNCTION("GOOGLETRANSLATE(B9795, ""zh"", ""en"")"),"Quality good quality")</f>
        <v>Quality good quality</v>
      </c>
    </row>
    <row r="9796">
      <c r="A9796" s="1">
        <v>5.0</v>
      </c>
      <c r="B9796" s="1" t="s">
        <v>9724</v>
      </c>
      <c r="C9796" t="str">
        <f>IFERROR(__xludf.DUMMYFUNCTION("GOOGLETRANSLATE(B9796, ""zh"", ""en"")"),"Shoes too, we have given away a whole big one yard more than")</f>
        <v>Shoes too, we have given away a whole big one yard more than</v>
      </c>
    </row>
    <row r="9797">
      <c r="A9797" s="1">
        <v>5.0</v>
      </c>
      <c r="B9797" s="1" t="s">
        <v>9725</v>
      </c>
      <c r="C9797" t="str">
        <f>IFERROR(__xludf.DUMMYFUNCTION("GOOGLETRANSLATE(B9797, ""zh"", ""en"")"),"Very good right size, cotton cloth, thinner, more comfortable to wear, no ice silk comfortable, durability remains to be seen. The advantage of cheap, three less than the price of a domestic stores")</f>
        <v>Very good right size, cotton cloth, thinner, more comfortable to wear, no ice silk comfortable, durability remains to be seen. The advantage of cheap, three less than the price of a domestic stores</v>
      </c>
    </row>
    <row r="9798">
      <c r="A9798" s="1">
        <v>5.0</v>
      </c>
      <c r="B9798" s="1" t="s">
        <v>9726</v>
      </c>
      <c r="C9798" t="str">
        <f>IFERROR(__xludf.DUMMYFUNCTION("GOOGLETRANSLATE(B9798, ""zh"", ""en"")"),"Size just good shoes, wear comfortable shoes to buy before to go over.")</f>
        <v>Size just good shoes, wear comfortable shoes to buy before to go over.</v>
      </c>
    </row>
    <row r="9799">
      <c r="A9799" s="1">
        <v>5.0</v>
      </c>
      <c r="B9799" s="1" t="s">
        <v>9727</v>
      </c>
      <c r="C9799" t="str">
        <f>IFERROR(__xludf.DUMMYFUNCTION("GOOGLETRANSLATE(B9799, ""zh"", ""en"")"),"Perfect perfect, the best cooking machine, not one!")</f>
        <v>Perfect perfect, the best cooking machine, not one!</v>
      </c>
    </row>
    <row r="9800">
      <c r="A9800" s="1">
        <v>5.0</v>
      </c>
      <c r="B9800" s="1" t="s">
        <v>9728</v>
      </c>
      <c r="C9800" t="str">
        <f>IFERROR(__xludf.DUMMYFUNCTION("GOOGLETRANSLATE(B9800, ""zh"", ""en"")"),"Buy big product quality is very good, the price is cheap, I underestimated the size of the American people, to buy a big number, for too much trouble to send friends. I 173CM, 98G, XXL is too big.")</f>
        <v>Buy big product quality is very good, the price is cheap, I underestimated the size of the American people, to buy a big number, for too much trouble to send friends. I 173CM, 98G, XXL is too big.</v>
      </c>
    </row>
    <row r="9801">
      <c r="A9801" s="1">
        <v>5.0</v>
      </c>
      <c r="B9801" s="1" t="s">
        <v>9729</v>
      </c>
      <c r="C9801" t="str">
        <f>IFERROR(__xludf.DUMMYFUNCTION("GOOGLETRANSLATE(B9801, ""zh"", ""en"")"),"German kitchen equipment kitchen tool to improve the quality of life.")</f>
        <v>German kitchen equipment kitchen tool to improve the quality of life.</v>
      </c>
    </row>
    <row r="9802">
      <c r="A9802" s="1">
        <v>5.0</v>
      </c>
      <c r="B9802" s="1" t="s">
        <v>9730</v>
      </c>
      <c r="C9802" t="str">
        <f>IFERROR(__xludf.DUMMYFUNCTION("GOOGLETRANSLATE(B9802, ""zh"", ""en"")"),"Students wearing very appropriate, good quality, a year without any problems")</f>
        <v>Students wearing very appropriate, good quality, a year without any problems</v>
      </c>
    </row>
    <row r="9803">
      <c r="A9803" s="1">
        <v>5.0</v>
      </c>
      <c r="B9803" s="1" t="s">
        <v>9731</v>
      </c>
      <c r="C9803" t="str">
        <f>IFERROR(__xludf.DUMMYFUNCTION("GOOGLETRANSLATE(B9803, ""zh"", ""en"")"),"Friends drinking buddy of years ago used the oral entry-level product, do not think much, unsustainable use. By the time runs out or the battery runs out of the brush head, decisively discarded. Philips has been a soft spot, feel good product design, user"&amp;"-friendly, reliable quality. Family bathroom are basically small appliances Philips, such as hair dryers, hair remover lady, before now that a new electric toothbrush. Before the burst to scaling, tartar and other dental calculus is very serious, and some"&amp;"times blood brushing. Later still think there can not always be scaling, nor do I still drink coffee by drinking red wine, which will leave color stains, still have to be a good electric toothbrush, daily cleaning in place, do not wait when it is scaling "&amp;"to remove these colors stains. . . This is a day when the membership purchase, plus import tariffs on 683 yuan, nearly 700 million, really good deal. Sense Xie Yaba Johnson British Grand Prix.")</f>
        <v>Friends drinking buddy of years ago used the oral entry-level product, do not think much, unsustainable use. By the time runs out or the battery runs out of the brush head, decisively discarded. Philips has been a soft spot, feel good product design, user-friendly, reliable quality. Family bathroom are basically small appliances Philips, such as hair dryers, hair remover lady, before now that a new electric toothbrush. Before the burst to scaling, tartar and other dental calculus is very serious, and sometimes blood brushing. Later still think there can not always be scaling, nor do I still drink coffee by drinking red wine, which will leave color stains, still have to be a good electric toothbrush, daily cleaning in place, do not wait when it is scaling to remove these colors stains. . . This is a day when the membership purchase, plus import tariffs on 683 yuan, nearly 700 million, really good deal. Sense Xie Yaba Johnson British Grand Prix.</v>
      </c>
    </row>
    <row r="9804">
      <c r="A9804" s="1">
        <v>5.0</v>
      </c>
      <c r="B9804" s="1" t="s">
        <v>9732</v>
      </c>
      <c r="C9804" t="str">
        <f>IFERROR(__xludf.DUMMYFUNCTION("GOOGLETRANSLATE(B9804, ""zh"", ""en"")"),"Value for money water smooth, medium thickness.")</f>
        <v>Value for money water smooth, medium thickness.</v>
      </c>
    </row>
    <row r="9805">
      <c r="A9805" s="1">
        <v>5.0</v>
      </c>
      <c r="B9805" s="1" t="s">
        <v>9733</v>
      </c>
      <c r="C9805" t="str">
        <f>IFERROR(__xludf.DUMMYFUNCTION("GOOGLETRANSLATE(B9805, ""zh"", ""en"")"),"Good clothes 175 64kg S code is appropriate, color and style is also good, with the price, just perfect")</f>
        <v>Good clothes 175 64kg S code is appropriate, color and style is also good, with the price, just perfect</v>
      </c>
    </row>
    <row r="9806">
      <c r="A9806" s="1">
        <v>5.0</v>
      </c>
      <c r="B9806" s="1" t="s">
        <v>9734</v>
      </c>
      <c r="C9806" t="str">
        <f>IFERROR(__xludf.DUMMYFUNCTION("GOOGLETRANSLATE(B9806, ""zh"", ""en"")"),"Good shoes, good shoes, warm, walking is not tired, also wearing handsome, Beijing winter enough. Code 39 feet, slightly lower arch, 7M not squeeze the foot.")</f>
        <v>Good shoes, good shoes, warm, walking is not tired, also wearing handsome, Beijing winter enough. Code 39 feet, slightly lower arch, 7M not squeeze the foot.</v>
      </c>
    </row>
    <row r="9807">
      <c r="A9807" s="1">
        <v>5.0</v>
      </c>
      <c r="B9807" s="1" t="s">
        <v>9735</v>
      </c>
      <c r="C9807" t="str">
        <f>IFERROR(__xludf.DUMMYFUNCTION("GOOGLETRANSLATE(B9807, ""zh"", ""en"")"),"Good thickness moderate soft sweater, the collar is too small. I hope not shrink after washing.")</f>
        <v>Good thickness moderate soft sweater, the collar is too small. I hope not shrink after washing.</v>
      </c>
    </row>
    <row r="9808">
      <c r="A9808" s="1">
        <v>5.0</v>
      </c>
      <c r="B9808" s="1" t="s">
        <v>9736</v>
      </c>
      <c r="C9808" t="str">
        <f>IFERROR(__xludf.DUMMYFUNCTION("GOOGLETRANSLATE(B9808, ""zh"", ""en"")"),"Complementary bowl of good quality, very easy to do baby food supplement")</f>
        <v>Complementary bowl of good quality, very easy to do baby food supplement</v>
      </c>
    </row>
    <row r="9809">
      <c r="A9809" s="1">
        <v>5.0</v>
      </c>
      <c r="B9809" s="1" t="s">
        <v>9737</v>
      </c>
      <c r="C9809" t="str">
        <f>IFERROR(__xludf.DUMMYFUNCTION("GOOGLETRANSLATE(B9809, ""zh"", ""en"")"),"Good fabric work are good, put on a very cool smooth, waist circumference less than 80 cm buy S. This is the right spot, four days to clear is the speed of delivery!")</f>
        <v>Good fabric work are good, put on a very cool smooth, waist circumference less than 80 cm buy S. This is the right spot, four days to clear is the speed of delivery!</v>
      </c>
    </row>
    <row r="9810">
      <c r="A9810" s="1">
        <v>2.0</v>
      </c>
      <c r="B9810" s="1" t="s">
        <v>9738</v>
      </c>
      <c r="C9810" t="str">
        <f>IFERROR(__xludf.DUMMYFUNCTION("GOOGLETRANSLATE(B9810, ""zh"", ""en"")"),"No cortex how are you, as a small domestic brand, do not know cortex problem")</f>
        <v>No cortex how are you, as a small domestic brand, do not know cortex problem</v>
      </c>
    </row>
    <row r="9811">
      <c r="A9811" s="1">
        <v>3.0</v>
      </c>
      <c r="B9811" s="1" t="s">
        <v>9739</v>
      </c>
      <c r="C9811" t="str">
        <f>IFERROR(__xludf.DUMMYFUNCTION("GOOGLETRANSLATE(B9811, ""zh"", ""en"")"),"Suck live ah recommend this bowl, but could not suck ah, looks like the following sucker too small")</f>
        <v>Suck live ah recommend this bowl, but could not suck ah, looks like the following sucker too small</v>
      </c>
    </row>
    <row r="9812">
      <c r="A9812" s="1">
        <v>3.0</v>
      </c>
      <c r="B9812" s="1" t="s">
        <v>9740</v>
      </c>
      <c r="C9812" t="str">
        <f>IFERROR(__xludf.DUMMYFUNCTION("GOOGLETRANSLATE(B9812, ""zh"", ""en"")"),"Very loose bra for small chest, very soft tape, not Le feeling.")</f>
        <v>Very loose bra for small chest, very soft tape, not Le feeling.</v>
      </c>
    </row>
    <row r="9813">
      <c r="A9813" s="1">
        <v>3.0</v>
      </c>
      <c r="B9813" s="1" t="s">
        <v>9741</v>
      </c>
      <c r="C9813" t="str">
        <f>IFERROR(__xludf.DUMMYFUNCTION("GOOGLETRANSLATE(B9813, ""zh"", ""en"")"),"Normal waist fat legs, legs is really big, not tall, not recommended to wear 7 1 meter as 1 m 5 .. Pants quality was okay, quite satisfactory.")</f>
        <v>Normal waist fat legs, legs is really big, not tall, not recommended to wear 7 1 meter as 1 m 5 .. Pants quality was okay, quite satisfactory.</v>
      </c>
    </row>
    <row r="9814">
      <c r="A9814" s="1">
        <v>1.0</v>
      </c>
      <c r="B9814" s="1" t="s">
        <v>9742</v>
      </c>
      <c r="C9814" t="str">
        <f>IFERROR(__xludf.DUMMYFUNCTION("GOOGLETRANSLATE(B9814, ""zh"", ""en"")"),"Why it is unopened? ? Unpacking actually ever open? ? ?")</f>
        <v>Why it is unopened? ? Unpacking actually ever open? ? ?</v>
      </c>
    </row>
    <row r="9815">
      <c r="A9815" s="1">
        <v>1.0</v>
      </c>
      <c r="B9815" s="1" t="s">
        <v>9743</v>
      </c>
      <c r="C9815" t="str">
        <f>IFERROR(__xludf.DUMMYFUNCTION("GOOGLETRANSLATE(B9815, ""zh"", ""en"")"),"The new pants actually have holes actually have a hole? This quality control, just, and not worth my membership fee")</f>
        <v>The new pants actually have holes actually have a hole? This quality control, just, and not worth my membership fee</v>
      </c>
    </row>
    <row r="9816">
      <c r="A9816" s="1">
        <v>1.0</v>
      </c>
      <c r="B9816" s="1" t="s">
        <v>9744</v>
      </c>
      <c r="C9816" t="str">
        <f>IFERROR(__xludf.DUMMYFUNCTION("GOOGLETRANSLATE(B9816, ""zh"", ""en"")"),"Amazon product page size is too big table is simply misleading, W31 waist circumference less than 82 cm, the results get our hands on nearly 86 centimeters in kind, do not wear a belt simply can not wear")</f>
        <v>Amazon product page size is too big table is simply misleading, W31 waist circumference less than 82 cm, the results get our hands on nearly 86 centimeters in kind, do not wear a belt simply can not wear</v>
      </c>
    </row>
    <row r="9817">
      <c r="A9817" s="1">
        <v>4.0</v>
      </c>
      <c r="B9817" s="1" t="s">
        <v>9745</v>
      </c>
      <c r="C9817" t="str">
        <f>IFERROR(__xludf.DUMMYFUNCTION("GOOGLETRANSLATE(B9817, ""zh"", ""en"")"),"Prices pants quality and style are very satisfied, deducted a point because the price expensive than the last to buy the same style almost doubled!")</f>
        <v>Prices pants quality and style are very satisfied, deducted a point because the price expensive than the last to buy the same style almost doubled!</v>
      </c>
    </row>
    <row r="9818">
      <c r="A9818" s="1">
        <v>4.0</v>
      </c>
      <c r="B9818" s="1" t="s">
        <v>9746</v>
      </c>
      <c r="C9818" t="str">
        <f>IFERROR(__xludf.DUMMYFUNCTION("GOOGLETRANSLATE(B9818, ""zh"", ""en"")"),"Details of the comparison rough shoes very soft, the weight is also good, I bought more than one pair before the kick is not bad a lot of light, also wearing a very long way to go, the feet do not hurt acid. The only drawback is that the details are too r"&amp;"ough, and multi-thread, where the upper mat of small parts are exposed.")</f>
        <v>Details of the comparison rough shoes very soft, the weight is also good, I bought more than one pair before the kick is not bad a lot of light, also wearing a very long way to go, the feet do not hurt acid. The only drawback is that the details are too rough, and multi-thread, where the upper mat of small parts are exposed.</v>
      </c>
    </row>
    <row r="9819">
      <c r="A9819" s="1">
        <v>4.0</v>
      </c>
      <c r="B9819" s="1" t="s">
        <v>9747</v>
      </c>
      <c r="C9819" t="str">
        <f>IFERROR(__xludf.DUMMYFUNCTION("GOOGLETRANSLATE(B9819, ""zh"", ""en"")"),"Or satisfactory logistics fast, much faster than expected. Pink new date, last month. Amazon, I still believe it. prime free shipping, a bargain.")</f>
        <v>Or satisfactory logistics fast, much faster than expected. Pink new date, last month. Amazon, I still believe it. prime free shipping, a bargain.</v>
      </c>
    </row>
    <row r="9820">
      <c r="A9820" s="1">
        <v>4.0</v>
      </c>
      <c r="B9820" s="1" t="s">
        <v>9748</v>
      </c>
      <c r="C9820" t="str">
        <f>IFERROR(__xludf.DUMMYFUNCTION("GOOGLETRANSLATE(B9820, ""zh"", ""en"")"),"Strap bad table was nice, but not good strap. I am the only one who feels Ge hand?")</f>
        <v>Strap bad table was nice, but not good strap. I am the only one who feels Ge hand?</v>
      </c>
    </row>
    <row r="9821">
      <c r="A9821" s="1">
        <v>4.0</v>
      </c>
      <c r="B9821" s="1" t="s">
        <v>9749</v>
      </c>
      <c r="C9821" t="str">
        <f>IFERROR(__xludf.DUMMYFUNCTION("GOOGLETRANSLATE(B9821, ""zh"", ""en"")"),"Cock really listen to musical instruments, the human voice is generally like to listen to musical instruments really Cock, vocals like a general, and a little paint chips left at the junction What Ghosts! !")</f>
        <v>Cock really listen to musical instruments, the human voice is generally like to listen to musical instruments really Cock, vocals like a general, and a little paint chips left at the junction What Ghosts! !</v>
      </c>
    </row>
    <row r="9822">
      <c r="A9822" s="1">
        <v>5.0</v>
      </c>
      <c r="B9822" s="1" t="s">
        <v>9750</v>
      </c>
      <c r="C9822" t="str">
        <f>IFERROR(__xludf.DUMMYFUNCTION("GOOGLETRANSLATE(B9822, ""zh"", ""en"")"),"Shoes good very good, particularly comfortable. And domestic code lacks distinction")</f>
        <v>Shoes good very good, particularly comfortable. And domestic code lacks distinction</v>
      </c>
    </row>
    <row r="9823">
      <c r="A9823" s="1">
        <v>5.0</v>
      </c>
      <c r="B9823" s="1" t="s">
        <v>9751</v>
      </c>
      <c r="C9823" t="str">
        <f>IFERROR(__xludf.DUMMYFUNCTION("GOOGLETRANSLATE(B9823, ""zh"", ""en"")"),"Inexpensive and the store, like doing anything different. Much cheaper. value!")</f>
        <v>Inexpensive and the store, like doing anything different. Much cheaper. value!</v>
      </c>
    </row>
    <row r="9824">
      <c r="A9824" s="1">
        <v>5.0</v>
      </c>
      <c r="B9824" s="1" t="s">
        <v>9752</v>
      </c>
      <c r="C9824" t="str">
        <f>IFERROR(__xludf.DUMMYFUNCTION("GOOGLETRANSLATE(B9824, ""zh"", ""en"")"),"It is very appropriate fit, sleeve length, dress length, suitable clothes are too fat, in addition to sleeves feel a little fat points. I height 191cm, weight 90Kg. European version for me is great.")</f>
        <v>It is very appropriate fit, sleeve length, dress length, suitable clothes are too fat, in addition to sleeves feel a little fat points. I height 191cm, weight 90Kg. European version for me is great.</v>
      </c>
    </row>
    <row r="9825">
      <c r="A9825" s="1">
        <v>5.0</v>
      </c>
      <c r="B9825" s="1" t="s">
        <v>9753</v>
      </c>
      <c r="C9825" t="str">
        <f>IFERROR(__xludf.DUMMYFUNCTION("GOOGLETRANSLATE(B9825, ""zh"", ""en"")"),"Follow the trend to buy a good, though not often wear but liked")</f>
        <v>Follow the trend to buy a good, though not often wear but liked</v>
      </c>
    </row>
    <row r="9826">
      <c r="A9826" s="1">
        <v>5.0</v>
      </c>
      <c r="B9826" s="1" t="s">
        <v>9754</v>
      </c>
      <c r="C9826" t="str">
        <f>IFERROR(__xludf.DUMMYFUNCTION("GOOGLETRANSLATE(B9826, ""zh"", ""en"")"),"Looks pretty good fresh longer valid for a little more perfect")</f>
        <v>Looks pretty good fresh longer valid for a little more perfect</v>
      </c>
    </row>
    <row r="9827">
      <c r="A9827" s="1">
        <v>5.0</v>
      </c>
      <c r="B9827" s="1" t="s">
        <v>9755</v>
      </c>
      <c r="C9827" t="str">
        <f>IFERROR(__xludf.DUMMYFUNCTION("GOOGLETRANSLATE(B9827, ""zh"", ""en"")"),"Comfortable to wear also good to see the fabric is not thick, very comfortable to wear, summer wear is also good.")</f>
        <v>Comfortable to wear also good to see the fabric is not thick, very comfortable to wear, summer wear is also good.</v>
      </c>
    </row>
    <row r="9828">
      <c r="A9828" s="1">
        <v>5.0</v>
      </c>
      <c r="B9828" s="1" t="s">
        <v>9756</v>
      </c>
      <c r="C9828" t="str">
        <f>IFERROR(__xludf.DUMMYFUNCTION("GOOGLETRANSLATE(B9828, ""zh"", ""en"")"),"Artifact fried steak house kitchen pot to do this steak should be regarded as the highest quality, and high-temperature pot of meat juice can lock, to ensure food flavor, if the right way can make a good steak, the only question is this is not easy to cle"&amp;"an pot")</f>
        <v>Artifact fried steak house kitchen pot to do this steak should be regarded as the highest quality, and high-temperature pot of meat juice can lock, to ensure food flavor, if the right way can make a good steak, the only question is this is not easy to clean pot</v>
      </c>
    </row>
    <row r="9829">
      <c r="A9829" s="1">
        <v>5.0</v>
      </c>
      <c r="B9829" s="1" t="s">
        <v>9757</v>
      </c>
      <c r="C9829" t="str">
        <f>IFERROR(__xludf.DUMMYFUNCTION("GOOGLETRANSLATE(B9829, ""zh"", ""en"")"),"Very nice, not very collet chuck is not in fact, but the ears a little hot, I do not know what it feels like to wear a long, fungus did not get the sound quality, look to buy Yen value, and my head circumference 59cm")</f>
        <v>Very nice, not very collet chuck is not in fact, but the ears a little hot, I do not know what it feels like to wear a long, fungus did not get the sound quality, look to buy Yen value, and my head circumference 59cm</v>
      </c>
    </row>
    <row r="9830">
      <c r="A9830" s="1">
        <v>5.0</v>
      </c>
      <c r="B9830" s="1" t="s">
        <v>9758</v>
      </c>
      <c r="C9830" t="str">
        <f>IFERROR(__xludf.DUMMYFUNCTION("GOOGLETRANSLATE(B9830, ""zh"", ""en"")"),"Very light shoes, shoe size is normal, very light weight of the shoe, both sports shoes and feel comfortable dress shoes, love!")</f>
        <v>Very light shoes, shoe size is normal, very light weight of the shoe, both sports shoes and feel comfortable dress shoes, love!</v>
      </c>
    </row>
    <row r="9831">
      <c r="A9831" s="1">
        <v>5.0</v>
      </c>
      <c r="B9831" s="1" t="s">
        <v>9759</v>
      </c>
      <c r="C9831" t="str">
        <f>IFERROR(__xludf.DUMMYFUNCTION("GOOGLETRANSLATE(B9831, ""zh"", ""en"")"),"I bought a number of good quality, send a person a family, good insulation properties.")</f>
        <v>I bought a number of good quality, send a person a family, good insulation properties.</v>
      </c>
    </row>
    <row r="9832">
      <c r="A9832" s="1">
        <v>5.0</v>
      </c>
      <c r="B9832" s="1" t="s">
        <v>9760</v>
      </c>
      <c r="C9832" t="str">
        <f>IFERROR(__xludf.DUMMYFUNCTION("GOOGLETRANSLATE(B9832, ""zh"", ""en"")"),"High cost Oh! worth buying!")</f>
        <v>High cost Oh! worth buying!</v>
      </c>
    </row>
    <row r="9833">
      <c r="A9833" s="1">
        <v>5.0</v>
      </c>
      <c r="B9833" s="1" t="s">
        <v>9761</v>
      </c>
      <c r="C9833" t="str">
        <f>IFERROR(__xludf.DUMMYFUNCTION("GOOGLETRANSLATE(B9833, ""zh"", ""en"")"),"Very very good, and imagination as good, wear more comfortable")</f>
        <v>Very very good, and imagination as good, wear more comfortable</v>
      </c>
    </row>
    <row r="9834">
      <c r="A9834" s="1">
        <v>5.0</v>
      </c>
      <c r="B9834" s="1" t="s">
        <v>9762</v>
      </c>
      <c r="C9834" t="str">
        <f>IFERROR(__xludf.DUMMYFUNCTION("GOOGLETRANSLATE(B9834, ""zh"", ""en"")"),"Probiotics okay, still eating, but also what to see results!")</f>
        <v>Probiotics okay, still eating, but also what to see results!</v>
      </c>
    </row>
    <row r="9835">
      <c r="A9835" s="1">
        <v>5.0</v>
      </c>
      <c r="B9835" s="1" t="s">
        <v>9763</v>
      </c>
      <c r="C9835" t="str">
        <f>IFERROR(__xludf.DUMMYFUNCTION("GOOGLETRANSLATE(B9835, ""zh"", ""en"")"),"Comfort how should I say, the sole is relatively soft, but it feels forefoot bad, no grip, ran for a long time Jiaoruan, which is very embarrassing, yet resistant Kee Di casual shoes running up and cool and wear this shoes to walk uphill simply torture, d"&amp;"o not grip the back to try to change my socks. But buying is worth it, ran back to the other bad money")</f>
        <v>Comfort how should I say, the sole is relatively soft, but it feels forefoot bad, no grip, ran for a long time Jiaoruan, which is very embarrassing, yet resistant Kee Di casual shoes running up and cool and wear this shoes to walk uphill simply torture, do not grip the back to try to change my socks. But buying is worth it, ran back to the other bad money</v>
      </c>
    </row>
    <row r="9836">
      <c r="A9836" s="1">
        <v>5.0</v>
      </c>
      <c r="B9836" s="1" t="s">
        <v>9764</v>
      </c>
      <c r="C9836" t="str">
        <f>IFERROR(__xludf.DUMMYFUNCTION("GOOGLETRANSLATE(B9836, ""zh"", ""en"")"),"Good pot! ! ! Bought seven sets of nine pot, lodge, I feel very good! And in particular this! ! ! Second time to buy, send home with people. Amazon is not only seen to induce acclaimed shopping website, commendable.")</f>
        <v>Good pot! ! ! Bought seven sets of nine pot, lodge, I feel very good! And in particular this! ! ! Second time to buy, send home with people. Amazon is not only seen to induce acclaimed shopping website, commendable.</v>
      </c>
    </row>
    <row r="9837">
      <c r="A9837" s="1">
        <v>5.0</v>
      </c>
      <c r="B9837" s="1" t="s">
        <v>9765</v>
      </c>
      <c r="C9837" t="str">
        <f>IFERROR(__xludf.DUMMYFUNCTION("GOOGLETRANSLATE(B9837, ""zh"", ""en"")"),"Colleagues say good colleagues say writing is very smooth. Which it is an ink feeding tube, blue. No pumping ink sac, you have to buy their own.")</f>
        <v>Colleagues say good colleagues say writing is very smooth. Which it is an ink feeding tube, blue. No pumping ink sac, you have to buy their own.</v>
      </c>
    </row>
    <row r="9838">
      <c r="A9838" s="1">
        <v>5.0</v>
      </c>
      <c r="B9838" s="1" t="s">
        <v>9766</v>
      </c>
      <c r="C9838" t="str">
        <f>IFERROR(__xludf.DUMMYFUNCTION("GOOGLETRANSLATE(B9838, ""zh"", ""en"")"),"Thick cast iron pot pot Americans Leverage quality, much better than a certain election easily. Low price, long warm-up time, but the heat evenly, portion is easily paste pot.")</f>
        <v>Thick cast iron pot pot Americans Leverage quality, much better than a certain election easily. Low price, long warm-up time, but the heat evenly, portion is easily paste pot.</v>
      </c>
    </row>
    <row r="9839">
      <c r="A9839" s="1">
        <v>5.0</v>
      </c>
      <c r="B9839" s="1" t="s">
        <v>9767</v>
      </c>
      <c r="C9839" t="str">
        <f>IFERROR(__xludf.DUMMYFUNCTION("GOOGLETRANSLATE(B9839, ""zh"", ""en"")"),"Recommend Yen value is high. High value affordable color, easy to use, staffing a family of three! Is to buy the brush is not the same as with the original silica gel, again looking at the brush head ..")</f>
        <v>Recommend Yen value is high. High value affordable color, easy to use, staffing a family of three! Is to buy the brush is not the same as with the original silica gel, again looking at the brush head ..</v>
      </c>
    </row>
    <row r="9840">
      <c r="A9840" s="1">
        <v>5.0</v>
      </c>
      <c r="B9840" s="1" t="s">
        <v>9768</v>
      </c>
      <c r="C9840" t="str">
        <f>IFERROR(__xludf.DUMMYFUNCTION("GOOGLETRANSLATE(B9840, ""zh"", ""en"")"),"Yes well, not from the previous evaluation, I do not know how many wasted points, points can change money now know, they should look carefully evaluated, then I put these words to copy to go, both to earn points, but also save trouble, went to which copy "&amp;"where, most importantly, do not seriously review, do not think how much worse word, sent directly to it, recommend it to everyone! !")</f>
        <v>Yes well, not from the previous evaluation, I do not know how many wasted points, points can change money now know, they should look carefully evaluated, then I put these words to copy to go, both to earn points, but also save trouble, went to which copy where, most importantly, do not seriously review, do not think how much worse word, sent directly to it, recommend it to everyone! !</v>
      </c>
    </row>
    <row r="9841">
      <c r="A9841" s="1">
        <v>5.0</v>
      </c>
      <c r="B9841" s="1" t="s">
        <v>9769</v>
      </c>
      <c r="C9841" t="str">
        <f>IFERROR(__xludf.DUMMYFUNCTION("GOOGLETRANSLATE(B9841, ""zh"", ""en"")"),"Pretty good, especially good insulation!")</f>
        <v>Pretty good, especially good insulation!</v>
      </c>
    </row>
    <row r="9842">
      <c r="A9842" s="1">
        <v>5.0</v>
      </c>
      <c r="B9842" s="1" t="s">
        <v>9770</v>
      </c>
      <c r="C9842" t="str">
        <f>IFERROR(__xludf.DUMMYFUNCTION("GOOGLETRANSLATE(B9842, ""zh"", ""en"")"),"Cost-effective good quality shoes, the size of an ordinary sports shoes, it is best to buy less than half yards, the cortex okay, the price can be.")</f>
        <v>Cost-effective good quality shoes, the size of an ordinary sports shoes, it is best to buy less than half yards, the cortex okay, the price can be.</v>
      </c>
    </row>
    <row r="9843">
      <c r="A9843" s="1">
        <v>5.0</v>
      </c>
      <c r="B9843" s="1" t="s">
        <v>9771</v>
      </c>
      <c r="C9843" t="str">
        <f>IFERROR(__xludf.DUMMYFUNCTION("GOOGLETRANSLATE(B9843, ""zh"", ""en"")"),"Comfortable, tidal general sports shoes 43 yards, 42 yards this just right, very comfortable and very tide")</f>
        <v>Comfortable, tidal general sports shoes 43 yards, 42 yards this just right, very comfortable and very tide</v>
      </c>
    </row>
    <row r="9844">
      <c r="A9844" s="1">
        <v>2.0</v>
      </c>
      <c r="B9844" s="1" t="s">
        <v>9772</v>
      </c>
      <c r="C9844" t="str">
        <f>IFERROR(__xludf.DUMMYFUNCTION("GOOGLETRANSLATE(B9844, ""zh"", ""en"")"),"I do not heat insulation, disappointed!")</f>
        <v>I do not heat insulation, disappointed!</v>
      </c>
    </row>
    <row r="9845">
      <c r="A9845" s="1">
        <v>3.0</v>
      </c>
      <c r="B9845" s="1" t="s">
        <v>9773</v>
      </c>
      <c r="C9845" t="str">
        <f>IFERROR(__xludf.DUMMYFUNCTION("GOOGLETRANSLATE(B9845, ""zh"", ""en"")"),"Thin, suitable for spring and okay, very very thin, not elastic hem")</f>
        <v>Thin, suitable for spring and okay, very very thin, not elastic hem</v>
      </c>
    </row>
    <row r="9846">
      <c r="A9846" s="1">
        <v>3.0</v>
      </c>
      <c r="B9846" s="1" t="s">
        <v>9774</v>
      </c>
      <c r="C9846" t="str">
        <f>IFERROR(__xludf.DUMMYFUNCTION("GOOGLETRANSLATE(B9846, ""zh"", ""en"")"),"No light ugly cry I 2T Royce a top piece which five heavy backside ugly crying, deceived front, better data, considered normal speed")</f>
        <v>No light ugly cry I 2T Royce a top piece which five heavy backside ugly crying, deceived front, better data, considered normal speed</v>
      </c>
    </row>
    <row r="9847">
      <c r="A9847" s="1">
        <v>3.0</v>
      </c>
      <c r="B9847" s="1" t="s">
        <v>9775</v>
      </c>
      <c r="C9847" t="str">
        <f>IFERROR(__xludf.DUMMYFUNCTION("GOOGLETRANSLATE(B9847, ""zh"", ""en"")"),"No photo quality is generally pants look good, the fabric a little hard")</f>
        <v>No photo quality is generally pants look good, the fabric a little hard</v>
      </c>
    </row>
    <row r="9848">
      <c r="A9848" s="1">
        <v>1.0</v>
      </c>
      <c r="B9848" s="1" t="s">
        <v>9776</v>
      </c>
      <c r="C9848" t="str">
        <f>IFERROR(__xludf.DUMMYFUNCTION("GOOGLETRANSLATE(B9848, ""zh"", ""en"")"),"Pants too big, pants too big too big, usually wear M's, this feeling completely XL M's. . . I had wanted to return, shipping costs 125 yuan, enough to buy one, or forget it. . .")</f>
        <v>Pants too big, pants too big too big, usually wear M's, this feeling completely XL M's. . . I had wanted to return, shipping costs 125 yuan, enough to buy one, or forget it. . .</v>
      </c>
    </row>
    <row r="9849">
      <c r="A9849" s="1">
        <v>1.0</v>
      </c>
      <c r="B9849" s="1" t="s">
        <v>9777</v>
      </c>
      <c r="C9849" t="str">
        <f>IFERROR(__xludf.DUMMYFUNCTION("GOOGLETRANSLATE(B9849, ""zh"", ""en"")"),"There is no packaging, no packaging is too much! International transport, directly in the carton label affixed to send it! A filter very fragile, but still there is no protection, not even tape did not stick. unacceptable!")</f>
        <v>There is no packaging, no packaging is too much! International transport, directly in the carton label affixed to send it! A filter very fragile, but still there is no protection, not even tape did not stick. unacceptable!</v>
      </c>
    </row>
    <row r="9850">
      <c r="A9850" s="1">
        <v>4.0</v>
      </c>
      <c r="B9850" s="1" t="s">
        <v>9778</v>
      </c>
      <c r="C9850" t="str">
        <f>IFERROR(__xludf.DUMMYFUNCTION("GOOGLETRANSLATE(B9850, ""zh"", ""en"")"),"Headset can also line up the volume to half.")</f>
        <v>Headset can also line up the volume to half.</v>
      </c>
    </row>
    <row r="9851">
      <c r="A9851" s="1">
        <v>4.0</v>
      </c>
      <c r="B9851" s="1" t="s">
        <v>9779</v>
      </c>
      <c r="C9851" t="str">
        <f>IFERROR(__xludf.DUMMYFUNCTION("GOOGLETRANSLATE(B9851, ""zh"", ""en"")"),". . . Height 167,105 pounds, s code fitting sleeves rather long, generally speaking, pretty good.")</f>
        <v>. . . Height 167,105 pounds, s code fitting sleeves rather long, generally speaking, pretty good.</v>
      </c>
    </row>
    <row r="9852">
      <c r="A9852" s="1">
        <v>4.0</v>
      </c>
      <c r="B9852" s="1" t="s">
        <v>9780</v>
      </c>
      <c r="C9852" t="str">
        <f>IFERROR(__xludf.DUMMYFUNCTION("GOOGLETRANSLATE(B9852, ""zh"", ""en"")"),"Evaluation 178cm144kg small number of partial length sleeves, fabric partial thickness, bunch, tight, only rendering wear.")</f>
        <v>Evaluation 178cm144kg small number of partial length sleeves, fabric partial thickness, bunch, tight, only rendering wear.</v>
      </c>
    </row>
    <row r="9853">
      <c r="A9853" s="1">
        <v>4.0</v>
      </c>
      <c r="B9853" s="1" t="s">
        <v>9781</v>
      </c>
      <c r="C9853" t="str">
        <f>IFERROR(__xludf.DUMMYFUNCTION("GOOGLETRANSLATE(B9853, ""zh"", ""en"")"),"Looking for a - a little impulse of youth, despite feeling before buying online have a basic understanding of it, there are some small excitement after the hand. Function and style is what I think. Lack of words - sometimes wearing clip hairs - pain!")</f>
        <v>Looking for a - a little impulse of youth, despite feeling before buying online have a basic understanding of it, there are some small excitement after the hand. Function and style is what I think. Lack of words - sometimes wearing clip hairs - pain!</v>
      </c>
    </row>
    <row r="9854">
      <c r="A9854" s="1">
        <v>5.0</v>
      </c>
      <c r="B9854" s="1" t="s">
        <v>9782</v>
      </c>
      <c r="C9854" t="str">
        <f>IFERROR(__xludf.DUMMYFUNCTION("GOOGLETRANSLATE(B9854, ""zh"", ""en"")"),"Color is very beautiful especially like, get our hands raised pot, then simmer a soy trotters, gave a yellow chicken stew are particularly good, I think it is a re-entry of 22cm, 24cm for our family a bit bigger some")</f>
        <v>Color is very beautiful especially like, get our hands raised pot, then simmer a soy trotters, gave a yellow chicken stew are particularly good, I think it is a re-entry of 22cm, 24cm for our family a bit bigger some</v>
      </c>
    </row>
    <row r="9855">
      <c r="A9855" s="1">
        <v>5.0</v>
      </c>
      <c r="B9855" s="1" t="s">
        <v>9783</v>
      </c>
      <c r="C9855" t="str">
        <f>IFERROR(__xludf.DUMMYFUNCTION("GOOGLETRANSLATE(B9855, ""zh"", ""en"")"),"Good shipments from Germany, uneasy, worried bump. Amazon has always been simple packaging, and even that did not bump, perfect! Plus tariff of less than 1200, too satisfied!")</f>
        <v>Good shipments from Germany, uneasy, worried bump. Amazon has always been simple packaging, and even that did not bump, perfect! Plus tariff of less than 1200, too satisfied!</v>
      </c>
    </row>
    <row r="9856">
      <c r="A9856" s="1">
        <v>5.0</v>
      </c>
      <c r="B9856" s="1" t="s">
        <v>9784</v>
      </c>
      <c r="C9856" t="str">
        <f>IFERROR(__xludf.DUMMYFUNCTION("GOOGLETRANSLATE(B9856, ""zh"", ""en"")"),"Very appropriate, like to wear very fit, wearing a feeling for some time have reduced the mat, satisfaction")</f>
        <v>Very appropriate, like to wear very fit, wearing a feeling for some time have reduced the mat, satisfaction</v>
      </c>
    </row>
    <row r="9857">
      <c r="A9857" s="1">
        <v>5.0</v>
      </c>
      <c r="B9857" s="1" t="s">
        <v>9785</v>
      </c>
      <c r="C9857" t="str">
        <f>IFERROR(__xludf.DUMMYFUNCTION("GOOGLETRANSLATE(B9857, ""zh"", ""en"")"),"Good very good clothes, fabric is very comfortable. The high cost")</f>
        <v>Good very good clothes, fabric is very comfortable. The high cost</v>
      </c>
    </row>
    <row r="9858">
      <c r="A9858" s="1">
        <v>5.0</v>
      </c>
      <c r="B9858" s="1" t="s">
        <v>9786</v>
      </c>
      <c r="C9858" t="str">
        <f>IFERROR(__xludf.DUMMYFUNCTION("GOOGLETRANSLATE(B9858, ""zh"", ""en"")"),"Shoes are very warm to wear very comfortable shoes, heel foot on both sides of cards may be the cause of new shoes. Wear a few days to see,")</f>
        <v>Shoes are very warm to wear very comfortable shoes, heel foot on both sides of cards may be the cause of new shoes. Wear a few days to see,</v>
      </c>
    </row>
    <row r="9859">
      <c r="A9859" s="1">
        <v>5.0</v>
      </c>
      <c r="B9859" s="1" t="s">
        <v>9787</v>
      </c>
      <c r="C9859" t="str">
        <f>IFERROR(__xludf.DUMMYFUNCTION("GOOGLETRANSLATE(B9859, ""zh"", ""en"")"),"Title toe plump type, in addition to the basic trousers can be used with all the colors and materials")</f>
        <v>Title toe plump type, in addition to the basic trousers can be used with all the colors and materials</v>
      </c>
    </row>
    <row r="9860">
      <c r="A9860" s="1">
        <v>5.0</v>
      </c>
      <c r="B9860" s="1" t="s">
        <v>9788</v>
      </c>
      <c r="C9860" t="str">
        <f>IFERROR(__xludf.DUMMYFUNCTION("GOOGLETRANSLATE(B9860, ""zh"", ""en"")"),"AIU first purchase for the first time to buy things in the United States and Asia, received the goods really sent from the United States, is very good, but also back part of the tax, a small surprise.")</f>
        <v>AIU first purchase for the first time to buy things in the United States and Asia, received the goods really sent from the United States, is very good, but also back part of the tax, a small surprise.</v>
      </c>
    </row>
    <row r="9861">
      <c r="A9861" s="1">
        <v>5.0</v>
      </c>
      <c r="B9861" s="1" t="s">
        <v>9789</v>
      </c>
      <c r="C9861" t="str">
        <f>IFERROR(__xludf.DUMMYFUNCTION("GOOGLETRANSLATE(B9861, ""zh"", ""en"")"),"Easy to use proper capacity, appropriate temperature, insulation and water after power failure is also convenient, winter can always drink hot water. The delivery particularly fast, the price is much cheaper than purchasing a. More and more like the Amazo"&amp;"n!")</f>
        <v>Easy to use proper capacity, appropriate temperature, insulation and water after power failure is also convenient, winter can always drink hot water. The delivery particularly fast, the price is much cheaper than purchasing a. More and more like the Amazon!</v>
      </c>
    </row>
    <row r="9862">
      <c r="A9862" s="1">
        <v>5.0</v>
      </c>
      <c r="B9862" s="1" t="s">
        <v>9790</v>
      </c>
      <c r="C9862" t="str">
        <f>IFERROR(__xludf.DUMMYFUNCTION("GOOGLETRANSLATE(B9862, ""zh"", ""en"")"),"The second purchase second purchase, the price to the force, full-featured, easy to clean. Delong is the best cost-effective election")</f>
        <v>The second purchase second purchase, the price to the force, full-featured, easy to clean. Delong is the best cost-effective election</v>
      </c>
    </row>
    <row r="9863">
      <c r="A9863" s="1">
        <v>5.0</v>
      </c>
      <c r="B9863" s="1" t="s">
        <v>9791</v>
      </c>
      <c r="C9863" t="str">
        <f>IFERROR(__xludf.DUMMYFUNCTION("GOOGLETRANSLATE(B9863, ""zh"", ""en"")"),"Wear comfortable, breathable, lightweight, breathable, lightweight and comfortable to wear good running, good running")</f>
        <v>Wear comfortable, breathable, lightweight, breathable, lightweight and comfortable to wear good running, good running</v>
      </c>
    </row>
    <row r="9864">
      <c r="A9864" s="1">
        <v>5.0</v>
      </c>
      <c r="B9864" s="1" t="s">
        <v>9792</v>
      </c>
      <c r="C9864" t="str">
        <f>IFERROR(__xludf.DUMMYFUNCTION("GOOGLETRANSLATE(B9864, ""zh"", ""en"")"),"Very good, as always, good, counter wear much on how much to buy, the price is much cheaper than the counter,")</f>
        <v>Very good, as always, good, counter wear much on how much to buy, the price is much cheaper than the counter,</v>
      </c>
    </row>
    <row r="9865">
      <c r="A9865" s="1">
        <v>5.0</v>
      </c>
      <c r="B9865" s="1" t="s">
        <v>9793</v>
      </c>
      <c r="C9865" t="str">
        <f>IFERROR(__xludf.DUMMYFUNCTION("GOOGLETRANSLATE(B9865, ""zh"", ""en"")"),"Satisfaction with the shopping logistics super-fast, very satisfied with the goods, very pleasant shopping, recommend purchase")</f>
        <v>Satisfaction with the shopping logistics super-fast, very satisfied with the goods, very pleasant shopping, recommend purchase</v>
      </c>
    </row>
    <row r="9866">
      <c r="A9866" s="1">
        <v>5.0</v>
      </c>
      <c r="B9866" s="1" t="s">
        <v>9794</v>
      </c>
      <c r="C9866" t="str">
        <f>IFERROR(__xludf.DUMMYFUNCTION("GOOGLETRANSLATE(B9866, ""zh"", ""en"")"),"Good use is useful, high color value! Baby likes")</f>
        <v>Good use is useful, high color value! Baby likes</v>
      </c>
    </row>
    <row r="9867">
      <c r="A9867" s="1">
        <v>5.0</v>
      </c>
      <c r="B9867" s="1" t="s">
        <v>9795</v>
      </c>
      <c r="C9867" t="str">
        <f>IFERROR(__xludf.DUMMYFUNCTION("GOOGLETRANSLATE(B9867, ""zh"", ""en"")"),"Text color shoes are very comfortable optimistic, but optimistic about before buying the color, graphic does not match oh, this is the pink upper, upper is white.")</f>
        <v>Text color shoes are very comfortable optimistic, but optimistic about before buying the color, graphic does not match oh, this is the pink upper, upper is white.</v>
      </c>
    </row>
    <row r="9868">
      <c r="A9868" s="1">
        <v>5.0</v>
      </c>
      <c r="B9868" s="1" t="s">
        <v>9796</v>
      </c>
      <c r="C9868" t="str">
        <f>IFERROR(__xludf.DUMMYFUNCTION("GOOGLETRANSLATE(B9868, ""zh"", ""en"")"),"Code number is too small products can also feel the code number is too small, hoping to be able to wear appropriate period of time.")</f>
        <v>Code number is too small products can also feel the code number is too small, hoping to be able to wear appropriate period of time.</v>
      </c>
    </row>
    <row r="9869">
      <c r="A9869" s="1">
        <v>5.0</v>
      </c>
      <c r="B9869" s="1" t="s">
        <v>9797</v>
      </c>
      <c r="C9869" t="str">
        <f>IFERROR(__xludf.DUMMYFUNCTION("GOOGLETRANSLATE(B9869, ""zh"", ""en"")"),"Looks good in accordance with previous experience also should not be bad to use. Pot raised well in advance, the lack of a home on a frying pan grid Shan")</f>
        <v>Looks good in accordance with previous experience also should not be bad to use. Pot raised well in advance, the lack of a home on a frying pan grid Shan</v>
      </c>
    </row>
    <row r="9870">
      <c r="A9870" s="1">
        <v>5.0</v>
      </c>
      <c r="B9870" s="1" t="s">
        <v>9798</v>
      </c>
      <c r="C9870" t="str">
        <f>IFERROR(__xludf.DUMMYFUNCTION("GOOGLETRANSLATE(B9870, ""zh"", ""en"")"),"The high cost of leather boots delivery speed generally ten days hand. Items are simple and elegant design style is not fancy gore tex coating this we know everything. Suitable for subtropical winter wear size is relatively standard price should be consid"&amp;"ered in view of its very values")</f>
        <v>The high cost of leather boots delivery speed generally ten days hand. Items are simple and elegant design style is not fancy gore tex coating this we know everything. Suitable for subtropical winter wear size is relatively standard price should be considered in view of its very values</v>
      </c>
    </row>
    <row r="9871">
      <c r="A9871" s="1">
        <v>5.0</v>
      </c>
      <c r="B9871" s="1" t="s">
        <v>9799</v>
      </c>
      <c r="C9871" t="str">
        <f>IFERROR(__xludf.DUMMYFUNCTION("GOOGLETRANSLATE(B9871, ""zh"", ""en"")"),"Much cheaper than domestic cheaper, has been using ob friends. This brush is great standing.")</f>
        <v>Much cheaper than domestic cheaper, has been using ob friends. This brush is great standing.</v>
      </c>
    </row>
    <row r="9872">
      <c r="A9872" s="1">
        <v>5.0</v>
      </c>
      <c r="B9872" s="1" t="s">
        <v>9800</v>
      </c>
      <c r="C9872" t="str">
        <f>IFERROR(__xludf.DUMMYFUNCTION("GOOGLETRANSLATE(B9872, ""zh"", ""en"")"),"Praising very good, before the tariff rose in a rush to buy, grid full force")</f>
        <v>Praising very good, before the tariff rose in a rush to buy, grid full force</v>
      </c>
    </row>
    <row r="9873">
      <c r="A9873" s="1">
        <v>5.0</v>
      </c>
      <c r="B9873" s="1" t="s">
        <v>9801</v>
      </c>
      <c r="C9873" t="str">
        <f>IFERROR(__xludf.DUMMYFUNCTION("GOOGLETRANSLATE(B9873, ""zh"", ""en"")"),"Worth repurchase soft and comfortable warmth, it has repurchased.")</f>
        <v>Worth repurchase soft and comfortable warmth, it has repurchased.</v>
      </c>
    </row>
    <row r="9874">
      <c r="A9874" s="1">
        <v>5.0</v>
      </c>
      <c r="B9874" s="1" t="s">
        <v>9802</v>
      </c>
      <c r="C9874" t="str">
        <f>IFERROR(__xludf.DUMMYFUNCTION("GOOGLETRANSLATE(B9874, ""zh"", ""en"")"),"Satisfaction like, this is lighter than other models of some of his family, for my recent knee discomfort")</f>
        <v>Satisfaction like, this is lighter than other models of some of his family, for my recent knee discomfort</v>
      </c>
    </row>
    <row r="9875">
      <c r="A9875" s="1">
        <v>2.0</v>
      </c>
      <c r="B9875" s="1" t="s">
        <v>9803</v>
      </c>
      <c r="C9875" t="str">
        <f>IFERROR(__xludf.DUMMYFUNCTION("GOOGLETRANSLATE(B9875, ""zh"", ""en"")"),"Brush with the difference that comes with a toothbrush brush very different look at the printed word is very cheap outstanding toothbrush comes with a large")</f>
        <v>Brush with the difference that comes with a toothbrush brush very different look at the printed word is very cheap outstanding toothbrush comes with a large</v>
      </c>
    </row>
    <row r="9876">
      <c r="A9876" s="1">
        <v>3.0</v>
      </c>
      <c r="B9876" s="1" t="s">
        <v>9804</v>
      </c>
      <c r="C9876" t="str">
        <f>IFERROR(__xludf.DUMMYFUNCTION("GOOGLETRANSLATE(B9876, ""zh"", ""en"")"),"Taste unpleasant smells bad, as there was a strange smell was some kind of rubber, will not buy.")</f>
        <v>Taste unpleasant smells bad, as there was a strange smell was some kind of rubber, will not buy.</v>
      </c>
    </row>
    <row r="9877">
      <c r="A9877" s="1">
        <v>3.0</v>
      </c>
      <c r="B9877" s="1" t="s">
        <v>9805</v>
      </c>
      <c r="C9877" t="str">
        <f>IFERROR(__xludf.DUMMYFUNCTION("GOOGLETRANSLATE(B9877, ""zh"", ""en"")"),"As good as expected fabrics as good as expected, significantly larger size")</f>
        <v>As good as expected fabrics as good as expected, significantly larger size</v>
      </c>
    </row>
    <row r="9878">
      <c r="A9878" s="1">
        <v>1.0</v>
      </c>
      <c r="B9878" s="1" t="s">
        <v>9806</v>
      </c>
      <c r="C9878" t="str">
        <f>IFERROR(__xludf.DUMMYFUNCTION("GOOGLETRANSLATE(B9878, ""zh"", ""en"")"),"Why there are blocks of plastic inside a piece of plastic, does not like")</f>
        <v>Why there are blocks of plastic inside a piece of plastic, does not like</v>
      </c>
    </row>
    <row r="9879">
      <c r="A9879" s="1">
        <v>1.0</v>
      </c>
      <c r="B9879" s="1" t="s">
        <v>9807</v>
      </c>
      <c r="C9879" t="str">
        <f>IFERROR(__xludf.DUMMYFUNCTION("GOOGLETRANSLATE(B9879, ""zh"", ""en"")"),"Poor quality wear once unglued, this quality is really bad, not as good as the quality of domestic dozens of pieces of shoes to the good")</f>
        <v>Poor quality wear once unglued, this quality is really bad, not as good as the quality of domestic dozens of pieces of shoes to the good</v>
      </c>
    </row>
    <row r="9880">
      <c r="A9880" s="1">
        <v>4.0</v>
      </c>
      <c r="B9880" s="1" t="s">
        <v>9808</v>
      </c>
      <c r="C9880" t="str">
        <f>IFERROR(__xludf.DUMMYFUNCTION("GOOGLETRANSLATE(B9880, ""zh"", ""en"")"),"not bad not bad, very good, someone else to buy, maybe some will look better on foot")</f>
        <v>not bad not bad, very good, someone else to buy, maybe some will look better on foot</v>
      </c>
    </row>
    <row r="9881">
      <c r="A9881" s="1">
        <v>4.0</v>
      </c>
      <c r="B9881" s="1" t="s">
        <v>9809</v>
      </c>
      <c r="C9881" t="str">
        <f>IFERROR(__xludf.DUMMYFUNCTION("GOOGLETRANSLATE(B9881, ""zh"", ""en"")"),"Size comparison for later reference. I did not feel foot wear, even when wearing thin socks. After Asics wear 44 yards, chose 10D, a padded insole still slightly loose. If the election is like a 9.5.")</f>
        <v>Size comparison for later reference. I did not feel foot wear, even when wearing thin socks. After Asics wear 44 yards, chose 10D, a padded insole still slightly loose. If the election is like a 9.5.</v>
      </c>
    </row>
    <row r="9882">
      <c r="A9882" s="1">
        <v>4.0</v>
      </c>
      <c r="B9882" s="1" t="s">
        <v>9810</v>
      </c>
      <c r="C9882" t="str">
        <f>IFERROR(__xludf.DUMMYFUNCTION("GOOGLETRANSLATE(B9882, ""zh"", ""en"")"),"Also quality line, unlike a lot of people look harder evaluation, but relatively thick, wear too cold days, Amazon courier service attitude really well")</f>
        <v>Also quality line, unlike a lot of people look harder evaluation, but relatively thick, wear too cold days, Amazon courier service attitude really well</v>
      </c>
    </row>
    <row r="9883">
      <c r="A9883" s="1">
        <v>4.0</v>
      </c>
      <c r="B9883" s="1" t="s">
        <v>9811</v>
      </c>
      <c r="C9883" t="str">
        <f>IFERROR(__xludf.DUMMYFUNCTION("GOOGLETRANSLATE(B9883, ""zh"", ""en"")"),"This price can buy, the better discount quality really hard to say. Material a bit hard. The thickness can not stand the cold winter when the primer and then a thick coat on it. I'm worn No. ..20 .22 orders shipped. 25 receipt. speed can be very fast. I 1"&amp;"66.46 kg wear m yards BF wind. there will definitely buy white, but the code can s")</f>
        <v>This price can buy, the better discount quality really hard to say. Material a bit hard. The thickness can not stand the cold winter when the primer and then a thick coat on it. I'm worn No. ..20 .22 orders shipped. 25 receipt. speed can be very fast. I 166.46 kg wear m yards BF wind. there will definitely buy white, but the code can s</v>
      </c>
    </row>
    <row r="9884">
      <c r="A9884" s="1">
        <v>4.0</v>
      </c>
      <c r="B9884" s="1" t="s">
        <v>9812</v>
      </c>
      <c r="C9884" t="str">
        <f>IFERROR(__xludf.DUMMYFUNCTION("GOOGLETRANSLATE(B9884, ""zh"", ""en"")"),"Experience should not okay, give parents buy")</f>
        <v>Experience should not okay, give parents buy</v>
      </c>
    </row>
    <row r="9885">
      <c r="A9885" s="1">
        <v>5.0</v>
      </c>
      <c r="B9885" s="1" t="s">
        <v>9813</v>
      </c>
      <c r="C9885" t="str">
        <f>IFERROR(__xludf.DUMMYFUNCTION("GOOGLETRANSLATE(B9885, ""zh"", ""en"")"),"Sennheiser Sennheiser CX 3.00 black ear headphones affordable, satisfactory quality.")</f>
        <v>Sennheiser Sennheiser CX 3.00 black ear headphones affordable, satisfactory quality.</v>
      </c>
    </row>
    <row r="9886">
      <c r="A9886" s="1">
        <v>5.0</v>
      </c>
      <c r="B9886" s="1" t="s">
        <v>9814</v>
      </c>
      <c r="C9886" t="str">
        <f>IFERROR(__xludf.DUMMYFUNCTION("GOOGLETRANSLATE(B9886, ""zh"", ""en"")"),"Good thing this razor is useful, is that some features do not quite understand, but is really clean shave")</f>
        <v>Good thing this razor is useful, is that some features do not quite understand, but is really clean shave</v>
      </c>
    </row>
    <row r="9887">
      <c r="A9887" s="1">
        <v>5.0</v>
      </c>
      <c r="B9887" s="1" t="s">
        <v>9815</v>
      </c>
      <c r="C9887" t="str">
        <f>IFERROR(__xludf.DUMMYFUNCTION("GOOGLETRANSLATE(B9887, ""zh"", ""en"")"),"Good is genuine, but I did not have a good ha ha")</f>
        <v>Good is genuine, but I did not have a good ha ha</v>
      </c>
    </row>
    <row r="9888">
      <c r="A9888" s="1">
        <v>5.0</v>
      </c>
      <c r="B9888" s="1" t="s">
        <v>9816</v>
      </c>
      <c r="C9888" t="str">
        <f>IFERROR(__xludf.DUMMYFUNCTION("GOOGLETRANSLATE(B9888, ""zh"", ""en"")"),"Someone else to buy, do not know how someone else to buy, do not know how")</f>
        <v>Someone else to buy, do not know how someone else to buy, do not know how</v>
      </c>
    </row>
    <row r="9889">
      <c r="A9889" s="1">
        <v>5.0</v>
      </c>
      <c r="B9889" s="1" t="s">
        <v>9817</v>
      </c>
      <c r="C9889" t="str">
        <f>IFERROR(__xludf.DUMMYFUNCTION("GOOGLETRANSLATE(B9889, ""zh"", ""en"")"),"Good delivery soon, ate effective, very satisfied.")</f>
        <v>Good delivery soon, ate effective, very satisfied.</v>
      </c>
    </row>
    <row r="9890">
      <c r="A9890" s="1">
        <v>5.0</v>
      </c>
      <c r="B9890" s="1" t="s">
        <v>9818</v>
      </c>
      <c r="C9890" t="str">
        <f>IFERROR(__xludf.DUMMYFUNCTION("GOOGLETRANSLATE(B9890, ""zh"", ""en"")"),"Comfortable fit inexpensive comfortable fit")</f>
        <v>Comfortable fit inexpensive comfortable fit</v>
      </c>
    </row>
    <row r="9891">
      <c r="A9891" s="1">
        <v>5.0</v>
      </c>
      <c r="B9891" s="1" t="s">
        <v>9819</v>
      </c>
      <c r="C9891" t="str">
        <f>IFERROR(__xludf.DUMMYFUNCTION("GOOGLETRANSLATE(B9891, ""zh"", ""en"")"),"Not good reviews from the past, do not know how many wasted points, points can change money now know, they should look carefully evaluated, then I put these words to copy to go, both to earn points, but also the easy way, where are copied to which, most i"&amp;"mportantly, do not seriously review, do not think how much worse word, sent directly to it, recommend it to everyone")</f>
        <v>Not good reviews from the past, do not know how many wasted points, points can change money now know, they should look carefully evaluated, then I put these words to copy to go, both to earn points, but also the easy way, where are copied to which, most importantly, do not seriously review, do not think how much worse word, sent directly to it, recommend it to everyone</v>
      </c>
    </row>
    <row r="9892">
      <c r="A9892" s="1">
        <v>5.0</v>
      </c>
      <c r="B9892" s="1" t="s">
        <v>9820</v>
      </c>
      <c r="C9892" t="str">
        <f>IFERROR(__xludf.DUMMYFUNCTION("GOOGLETRANSLATE(B9892, ""zh"", ""en"")"),"No pants is very good, the only drawback is the small legs a little wide. Fabric is very comfortable, very breathable, very suitable for summer wear.")</f>
        <v>No pants is very good, the only drawback is the small legs a little wide. Fabric is very comfortable, very breathable, very suitable for summer wear.</v>
      </c>
    </row>
    <row r="9893">
      <c r="A9893" s="1">
        <v>5.0</v>
      </c>
      <c r="B9893" s="1" t="s">
        <v>9821</v>
      </c>
      <c r="C9893" t="str">
        <f>IFERROR(__xludf.DUMMYFUNCTION("GOOGLETRANSLATE(B9893, ""zh"", ""en"")"),"Satisfied with good quality, fabric soft, slightly elastic, very comfortable to wear")</f>
        <v>Satisfied with good quality, fabric soft, slightly elastic, very comfortable to wear</v>
      </c>
    </row>
    <row r="9894">
      <c r="A9894" s="1">
        <v>5.0</v>
      </c>
      <c r="B9894" s="1" t="s">
        <v>9822</v>
      </c>
      <c r="C9894" t="str">
        <f>IFERROR(__xludf.DUMMYFUNCTION("GOOGLETRANSLATE(B9894, ""zh"", ""en"")"),"Good cheap")</f>
        <v>Good cheap</v>
      </c>
    </row>
    <row r="9895">
      <c r="A9895" s="1">
        <v>5.0</v>
      </c>
      <c r="B9895" s="1" t="s">
        <v>9823</v>
      </c>
      <c r="C9895" t="str">
        <f>IFERROR(__xludf.DUMMYFUNCTION("GOOGLETRANSLATE(B9895, ""zh"", ""en"")"),"Like very nice, the price Ye Hao cute")</f>
        <v>Like very nice, the price Ye Hao cute</v>
      </c>
    </row>
    <row r="9896">
      <c r="A9896" s="1">
        <v>5.0</v>
      </c>
      <c r="B9896" s="1" t="s">
        <v>9824</v>
      </c>
      <c r="C9896" t="str">
        <f>IFERROR(__xludf.DUMMYFUNCTION("GOOGLETRANSLATE(B9896, ""zh"", ""en"")"),"Sharp-eared choices sound good selection of ear tips.")</f>
        <v>Sharp-eared choices sound good selection of ear tips.</v>
      </c>
    </row>
    <row r="9897">
      <c r="A9897" s="1">
        <v>5.0</v>
      </c>
      <c r="B9897" s="1" t="s">
        <v>9825</v>
      </c>
      <c r="C9897" t="str">
        <f>IFERROR(__xludf.DUMMYFUNCTION("GOOGLETRANSLATE(B9897, ""zh"", ""en"")"),"Practical good, like this machine.")</f>
        <v>Practical good, like this machine.</v>
      </c>
    </row>
    <row r="9898">
      <c r="A9898" s="1">
        <v>5.0</v>
      </c>
      <c r="B9898" s="1" t="s">
        <v>9826</v>
      </c>
      <c r="C9898" t="str">
        <f>IFERROR(__xludf.DUMMYFUNCTION("GOOGLETRANSLATE(B9898, ""zh"", ""en"")"),"Praise scissors are sharp rebound is very user-friendly design, for people do not use scissors, it is very helpful.")</f>
        <v>Praise scissors are sharp rebound is very user-friendly design, for people do not use scissors, it is very helpful.</v>
      </c>
    </row>
    <row r="9899">
      <c r="A9899" s="1">
        <v>5.0</v>
      </c>
      <c r="B9899" s="1" t="s">
        <v>9827</v>
      </c>
      <c r="C9899" t="str">
        <f>IFERROR(__xludf.DUMMYFUNCTION("GOOGLETRANSLATE(B9899, ""zh"", ""en"")"),"Very good very good very good very good very good")</f>
        <v>Very good very good very good very good very good</v>
      </c>
    </row>
    <row r="9900">
      <c r="A9900" s="1">
        <v>5.0</v>
      </c>
      <c r="B9900" s="1" t="s">
        <v>9828</v>
      </c>
      <c r="C9900" t="str">
        <f>IFERROR(__xludf.DUMMYFUNCTION("GOOGLETRANSLATE(B9900, ""zh"", ""en"")"),"... nice addition to the price cheaper than the domestic counter price too so I is not practical, the other is very practical ......")</f>
        <v>... nice addition to the price cheaper than the domestic counter price too so I is not practical, the other is very practical ......</v>
      </c>
    </row>
    <row r="9901">
      <c r="A9901" s="1">
        <v>5.0</v>
      </c>
      <c r="B9901" s="1" t="s">
        <v>9829</v>
      </c>
      <c r="C9901" t="str">
        <f>IFERROR(__xludf.DUMMYFUNCTION("GOOGLETRANSLATE(B9901, ""zh"", ""en"")"),"Comfort quite like can be folded into the bag, but not easy to fold")</f>
        <v>Comfort quite like can be folded into the bag, but not easy to fold</v>
      </c>
    </row>
    <row r="9902">
      <c r="A9902" s="1">
        <v>5.0</v>
      </c>
      <c r="B9902" s="1" t="s">
        <v>9830</v>
      </c>
      <c r="C9902" t="str">
        <f>IFERROR(__xludf.DUMMYFUNCTION("GOOGLETRANSLATE(B9902, ""zh"", ""en"")"),"A little bit small small point, the quality is very good, and feel good workmanship.")</f>
        <v>A little bit small small point, the quality is very good, and feel good workmanship.</v>
      </c>
    </row>
    <row r="9903">
      <c r="A9903" s="1">
        <v>5.0</v>
      </c>
      <c r="B9903" s="1" t="s">
        <v>9831</v>
      </c>
      <c r="C9903" t="str">
        <f>IFERROR(__xludf.DUMMYFUNCTION("GOOGLETRANSLATE(B9903, ""zh"", ""en"")"),"Very lightweight satisfied lightweight summer cup easy to carry out. Color is also very good to see a little blue")</f>
        <v>Very lightweight satisfied lightweight summer cup easy to carry out. Color is also very good to see a little blue</v>
      </c>
    </row>
    <row r="9904">
      <c r="A9904" s="1">
        <v>5.0</v>
      </c>
      <c r="B9904" s="1" t="s">
        <v>9832</v>
      </c>
      <c r="C9904" t="str">
        <f>IFERROR(__xludf.DUMMYFUNCTION("GOOGLETRANSLATE(B9904, ""zh"", ""en"")"),"Really very, very good, no smell ,, used to install or meat soup is very good")</f>
        <v>Really very, very good, no smell ,, used to install or meat soup is very good</v>
      </c>
    </row>
    <row r="9905">
      <c r="A9905" s="1">
        <v>5.0</v>
      </c>
      <c r="B9905" s="1" t="s">
        <v>9833</v>
      </c>
      <c r="C9905" t="str">
        <f>IFERROR(__xludf.DUMMYFUNCTION("GOOGLETRANSLATE(B9905, ""zh"", ""en"")"),"Cheap and easy! Amazon's overseas purchase price is very affordable, accompanied by members of prime cheaper than other Japanese Shopping! Good effect for water pressure normal circumstances. Domestic price spike 600 with shower.")</f>
        <v>Cheap and easy! Amazon's overseas purchase price is very affordable, accompanied by members of prime cheaper than other Japanese Shopping! Good effect for water pressure normal circumstances. Domestic price spike 600 with shower.</v>
      </c>
    </row>
    <row r="9906">
      <c r="A9906" s="1">
        <v>5.0</v>
      </c>
      <c r="B9906" s="1" t="s">
        <v>9834</v>
      </c>
      <c r="C9906" t="str">
        <f>IFERROR(__xludf.DUMMYFUNCTION("GOOGLETRANSLATE(B9906, ""zh"", ""en"")"),"Well good, very thick, suitable for autumn season")</f>
        <v>Well good, very thick, suitable for autumn season</v>
      </c>
    </row>
    <row r="9907">
      <c r="A9907" s="1">
        <v>2.0</v>
      </c>
      <c r="B9907" s="1" t="s">
        <v>9835</v>
      </c>
      <c r="C9907" t="str">
        <f>IFERROR(__xludf.DUMMYFUNCTION("GOOGLETRANSLATE(B9907, ""zh"", ""en"")"),"Pen how to buy this pen an article because they are aware of what it won in Japan stationery awards, get our hands on the texture in general, work okay, not with writing, the price of the pen with stainless steel nib, most people dissatisfied the nib is b"&amp;"asically bare, no pattern or something, and particularly scratches, do not know is not new, and 88G is three times the price compared to other people, not all aspects such as people, we advise not to buy")</f>
        <v>Pen how to buy this pen an article because they are aware of what it won in Japan stationery awards, get our hands on the texture in general, work okay, not with writing, the price of the pen with stainless steel nib, most people dissatisfied the nib is basically bare, no pattern or something, and particularly scratches, do not know is not new, and 88G is three times the price compared to other people, not all aspects such as people, we advise not to buy</v>
      </c>
    </row>
    <row r="9908">
      <c r="A9908" s="1">
        <v>3.0</v>
      </c>
      <c r="B9908" s="1" t="s">
        <v>9836</v>
      </c>
      <c r="C9908" t="str">
        <f>IFERROR(__xludf.DUMMYFUNCTION("GOOGLETRANSLATE(B9908, ""zh"", ""en"")"),"China General inconsistent size and the size of China and common standards are inconsistent, to find a lot of home building materials market is adjustable, are inappropriate, can not use!")</f>
        <v>China General inconsistent size and the size of China and common standards are inconsistent, to find a lot of home building materials market is adjustable, are inappropriate, can not use!</v>
      </c>
    </row>
    <row r="9909">
      <c r="A9909" s="1">
        <v>3.0</v>
      </c>
      <c r="B9909" s="1" t="s">
        <v>9837</v>
      </c>
      <c r="C9909" t="str">
        <f>IFERROR(__xludf.DUMMYFUNCTION("GOOGLETRANSLATE(B9909, ""zh"", ""en"")"),"Too loud too loud! Appearance can also")</f>
        <v>Too loud too loud! Appearance can also</v>
      </c>
    </row>
    <row r="9910">
      <c r="A9910" s="1">
        <v>1.0</v>
      </c>
      <c r="B9910" s="1" t="s">
        <v>9838</v>
      </c>
      <c r="C9910" t="str">
        <f>IFERROR(__xludf.DUMMYFUNCTION("GOOGLETRANSLATE(B9910, ""zh"", ""en"")"),"And poor, pay for lessons it. Not energized. After the electrical connection without any response. Return application needs its own to pay the freight. How to do?")</f>
        <v>And poor, pay for lessons it. Not energized. After the electrical connection without any response. Return application needs its own to pay the freight. How to do?</v>
      </c>
    </row>
    <row r="9911">
      <c r="A9911" s="1">
        <v>1.0</v>
      </c>
      <c r="B9911" s="1" t="s">
        <v>9839</v>
      </c>
      <c r="C9911" t="str">
        <f>IFERROR(__xludf.DUMMYFUNCTION("GOOGLETRANSLATE(B9911, ""zh"", ""en"")"),"Shoddy version of the wrong goods, this pattern is not a pattern, do not bother to back. Disappointed")</f>
        <v>Shoddy version of the wrong goods, this pattern is not a pattern, do not bother to back. Disappointed</v>
      </c>
    </row>
    <row r="9912">
      <c r="A9912" s="1">
        <v>1.0</v>
      </c>
      <c r="B9912" s="1" t="s">
        <v>9840</v>
      </c>
      <c r="C9912" t="str">
        <f>IFERROR(__xludf.DUMMYFUNCTION("GOOGLETRANSLATE(B9912, ""zh"", ""en"")"),"Do not buy polyester material touched on pilling Do not buy material for a play on the ball or ball and particularly the kind of polyester thin stall particular times are not really purchasing and selling fake Taobao suspect that is not the same as really"&amp;" small domestic workshop fake fake Kengren zipper is a small garment factory most times that of white plastic silent version also particularly nausea and even clothing wholesale market can not match")</f>
        <v>Do not buy polyester material touched on pilling Do not buy material for a play on the ball or ball and particularly the kind of polyester thin stall particular times are not really purchasing and selling fake Taobao suspect that is not the same as really small domestic workshop fake fake Kengren zipper is a small garment factory most times that of white plastic silent version also particularly nausea and even clothing wholesale market can not match</v>
      </c>
    </row>
    <row r="9913">
      <c r="A9913" s="1">
        <v>4.0</v>
      </c>
      <c r="B9913" s="1" t="s">
        <v>9841</v>
      </c>
      <c r="C9913" t="str">
        <f>IFERROR(__xludf.DUMMYFUNCTION("GOOGLETRANSLATE(B9913, ""zh"", ""en"")"),"Philips 6 Series electric toothbrush head with a toothbrush may be smaller, but more intense sense of shock, should be clean stronger now!")</f>
        <v>Philips 6 Series electric toothbrush head with a toothbrush may be smaller, but more intense sense of shock, should be clean stronger now!</v>
      </c>
    </row>
    <row r="9914">
      <c r="A9914" s="1">
        <v>4.0</v>
      </c>
      <c r="B9914" s="1" t="s">
        <v>9842</v>
      </c>
      <c r="C9914" t="str">
        <f>IFERROR(__xludf.DUMMYFUNCTION("GOOGLETRANSLATE(B9914, ""zh"", ""en"")"),"To bottle it looked pretty good, better to buy early, quickly mailed a month ah, waiting for the baby born")</f>
        <v>To bottle it looked pretty good, better to buy early, quickly mailed a month ah, waiting for the baby born</v>
      </c>
    </row>
    <row r="9915">
      <c r="A9915" s="1">
        <v>4.0</v>
      </c>
      <c r="B9915" s="1" t="s">
        <v>9843</v>
      </c>
      <c r="C9915" t="str">
        <f>IFERROR(__xludf.DUMMYFUNCTION("GOOGLETRANSLATE(B9915, ""zh"", ""en"")"),". And the difference between the original head a little big, fonts are inconsistent, do not know is not genuine")</f>
        <v>. And the difference between the original head a little big, fonts are inconsistent, do not know is not genuine</v>
      </c>
    </row>
    <row r="9916">
      <c r="A9916" s="1">
        <v>4.0</v>
      </c>
      <c r="B9916" s="1" t="s">
        <v>9844</v>
      </c>
      <c r="C9916" t="str">
        <f>IFERROR(__xludf.DUMMYFUNCTION("GOOGLETRANSLATE(B9916, ""zh"", ""en"")"),"No. 181 M can. Put on just. not bad. More comfortable")</f>
        <v>No. 181 M can. Put on just. not bad. More comfortable</v>
      </c>
    </row>
    <row r="9917">
      <c r="A9917" s="1">
        <v>4.0</v>
      </c>
      <c r="B9917" s="1" t="s">
        <v>9845</v>
      </c>
      <c r="C9917" t="str">
        <f>IFERROR(__xludf.DUMMYFUNCTION("GOOGLETRANSLATE(B9917, ""zh"", ""en"")"),"It is a sleep wear sleepwear, home. Nor can not wear out, but know it will feel a little strange. I think this should be an indication of sleep wear. Delivery, within fifteen days after receipt photographed week.")</f>
        <v>It is a sleep wear sleepwear, home. Nor can not wear out, but know it will feel a little strange. I think this should be an indication of sleep wear. Delivery, within fifteen days after receipt photographed week.</v>
      </c>
    </row>
    <row r="9918">
      <c r="A9918" s="1">
        <v>5.0</v>
      </c>
      <c r="B9918" s="1" t="s">
        <v>9846</v>
      </c>
      <c r="C9918" t="str">
        <f>IFERROR(__xludf.DUMMYFUNCTION("GOOGLETRANSLATE(B9918, ""zh"", ""en"")"),"Satisfied, comfortable fabrics, satisfying experience")</f>
        <v>Satisfied, comfortable fabrics, satisfying experience</v>
      </c>
    </row>
    <row r="9919">
      <c r="A9919" s="1">
        <v>5.0</v>
      </c>
      <c r="B9919" s="1" t="s">
        <v>9847</v>
      </c>
      <c r="C9919" t="str">
        <f>IFERROR(__xludf.DUMMYFUNCTION("GOOGLETRANSLATE(B9919, ""zh"", ""en"")"),"Do not miss this Sony wireless noise canceling headphones WH-1000XM3 wireless stereo headset noise reduction, worthy of a prominent family from the door, a meeting to let people love endless. Soft earmuffs, long snapping ear comfortable not tired, cut off"&amp;" from the noisy outside world, bringing clear clean net Pou music listening world. Sony nw = zx300 match, listening to an old familiar opera accompaniment, but like the first time will be the occasion with live, hear enthralled. Sound detail in all kinds "&amp;"of music instruments legible, sound impeccable taste. The right side of touch-screen design, so whether access to environmentally sound simple and feasible. 30 hours continued to force the aerospace, really worth a compliment!")</f>
        <v>Do not miss this Sony wireless noise canceling headphones WH-1000XM3 wireless stereo headset noise reduction, worthy of a prominent family from the door, a meeting to let people love endless. Soft earmuffs, long snapping ear comfortable not tired, cut off from the noisy outside world, bringing clear clean net Pou music listening world. Sony nw = zx300 match, listening to an old familiar opera accompaniment, but like the first time will be the occasion with live, hear enthralled. Sound detail in all kinds of music instruments legible, sound impeccable taste. The right side of touch-screen design, so whether access to environmentally sound simple and feasible. 30 hours continued to force the aerospace, really worth a compliment!</v>
      </c>
    </row>
    <row r="9920">
      <c r="A9920" s="1">
        <v>5.0</v>
      </c>
      <c r="B9920" s="1" t="s">
        <v>9848</v>
      </c>
      <c r="C9920" t="str">
        <f>IFERROR(__xludf.DUMMYFUNCTION("GOOGLETRANSLATE(B9920, ""zh"", ""en"")"),"Like praise, but really there is no gift capsules")</f>
        <v>Like praise, but really there is no gift capsules</v>
      </c>
    </row>
    <row r="9921">
      <c r="A9921" s="1">
        <v>5.0</v>
      </c>
      <c r="B9921" s="1" t="s">
        <v>9849</v>
      </c>
      <c r="C9921" t="str">
        <f>IFERROR(__xludf.DUMMYFUNCTION("GOOGLETRANSLATE(B9921, ""zh"", ""en"")"),"And a suitable, affordable wore it once, very good, better than the same is purchased ralph rauren, that piece has a hole jumper, is the wrong defective")</f>
        <v>And a suitable, affordable wore it once, very good, better than the same is purchased ralph rauren, that piece has a hole jumper, is the wrong defective</v>
      </c>
    </row>
    <row r="9922">
      <c r="A9922" s="1">
        <v>5.0</v>
      </c>
      <c r="B9922" s="1" t="s">
        <v>9850</v>
      </c>
      <c r="C9922" t="str">
        <f>IFERROR(__xludf.DUMMYFUNCTION("GOOGLETRANSLATE(B9922, ""zh"", ""en"")"),"Well next year animal year is it.")</f>
        <v>Well next year animal year is it.</v>
      </c>
    </row>
    <row r="9923">
      <c r="A9923" s="1">
        <v>5.0</v>
      </c>
      <c r="B9923" s="1" t="s">
        <v>9851</v>
      </c>
      <c r="C9923" t="str">
        <f>IFERROR(__xludf.DUMMYFUNCTION("GOOGLETRANSLATE(B9923, ""zh"", ""en"")"),"Small overall satisfaction than expected, but as a commuter bag it. Leather is quite comfortable, slightly awkward strap design.")</f>
        <v>Small overall satisfaction than expected, but as a commuter bag it. Leather is quite comfortable, slightly awkward strap design.</v>
      </c>
    </row>
    <row r="9924">
      <c r="A9924" s="1">
        <v>5.0</v>
      </c>
      <c r="B9924" s="1" t="s">
        <v>9852</v>
      </c>
      <c r="C9924" t="str">
        <f>IFERROR(__xludf.DUMMYFUNCTION("GOOGLETRANSLATE(B9924, ""zh"", ""en"")"),"Like shopping malls display of products not feeling too new")</f>
        <v>Like shopping malls display of products not feeling too new</v>
      </c>
    </row>
    <row r="9925">
      <c r="A9925" s="1">
        <v>5.0</v>
      </c>
      <c r="B9925" s="1" t="s">
        <v>9853</v>
      </c>
      <c r="C9925" t="str">
        <f>IFERROR(__xludf.DUMMYFUNCTION("GOOGLETRANSLATE(B9925, ""zh"", ""en"")"),"Good quality, I love it. Good quality price is right, I love it. The price is right")</f>
        <v>Good quality, I love it. Good quality price is right, I love it. The price is right</v>
      </c>
    </row>
    <row r="9926">
      <c r="A9926" s="1">
        <v>5.0</v>
      </c>
      <c r="B9926" s="1" t="s">
        <v>9854</v>
      </c>
      <c r="C9926" t="str">
        <f>IFERROR(__xludf.DUMMYFUNCTION("GOOGLETRANSLATE(B9926, ""zh"", ""en"")"),"Good quality good quality, size is too small")</f>
        <v>Good quality good quality, size is too small</v>
      </c>
    </row>
    <row r="9927">
      <c r="A9927" s="1">
        <v>5.0</v>
      </c>
      <c r="B9927" s="1" t="s">
        <v>9855</v>
      </c>
      <c r="C9927" t="str">
        <f>IFERROR(__xludf.DUMMYFUNCTION("GOOGLETRANSLATE(B9927, ""zh"", ""en"")"),"Not bad feel a little small should buy 30")</f>
        <v>Not bad feel a little small should buy 30</v>
      </c>
    </row>
    <row r="9928">
      <c r="A9928" s="1">
        <v>5.0</v>
      </c>
      <c r="B9928" s="1" t="s">
        <v>9856</v>
      </c>
      <c r="C9928" t="str">
        <f>IFERROR(__xludf.DUMMYFUNCTION("GOOGLETRANSLATE(B9928, ""zh"", ""en"")"),"Recommended to buy a good, affordable, fashionable.")</f>
        <v>Recommended to buy a good, affordable, fashionable.</v>
      </c>
    </row>
    <row r="9929">
      <c r="A9929" s="1">
        <v>5.0</v>
      </c>
      <c r="B9929" s="1" t="s">
        <v>9857</v>
      </c>
      <c r="C9929" t="str">
        <f>IFERROR(__xludf.DUMMYFUNCTION("GOOGLETRANSLATE(B9929, ""zh"", ""en"")"),"Waist 2 feet 2 into the grid material workmanship is very good 6!")</f>
        <v>Waist 2 feet 2 into the grid material workmanship is very good 6!</v>
      </c>
    </row>
    <row r="9930">
      <c r="A9930" s="1">
        <v>5.0</v>
      </c>
      <c r="B9930" s="1" t="s">
        <v>9858</v>
      </c>
      <c r="C9930" t="str">
        <f>IFERROR(__xludf.DUMMYFUNCTION("GOOGLETRANSLATE(B9930, ""zh"", ""en"")"),"Written rough water along the need to reprovision blotter, EF than 78G + F's still a little rough, do not affect the usual writing requirements, but bought logo Series F lamy family, their home written really rough, F sharp can be used to practice word, b"&amp;"ut taking notes of what ha ha ha, but the writing smoothness better than 78G + a little more than two points ah, but really durable, logo took five years the quality of Leverage, hope this safari can also hold long, long time.")</f>
        <v>Written rough water along the need to reprovision blotter, EF than 78G + F's still a little rough, do not affect the usual writing requirements, but bought logo Series F lamy family, their home written really rough, F sharp can be used to practice word, but taking notes of what ha ha ha, but the writing smoothness better than 78G + a little more than two points ah, but really durable, logo took five years the quality of Leverage, hope this safari can also hold long, long time.</v>
      </c>
    </row>
    <row r="9931">
      <c r="A9931" s="1">
        <v>5.0</v>
      </c>
      <c r="B9931" s="1" t="s">
        <v>9859</v>
      </c>
      <c r="C9931" t="str">
        <f>IFERROR(__xludf.DUMMYFUNCTION("GOOGLETRANSLATE(B9931, ""zh"", ""en"")"),"Quality paperback edition, worthy of his price.")</f>
        <v>Quality paperback edition, worthy of his price.</v>
      </c>
    </row>
    <row r="9932">
      <c r="A9932" s="1">
        <v>5.0</v>
      </c>
      <c r="B9932" s="1" t="s">
        <v>9860</v>
      </c>
      <c r="C9932" t="str">
        <f>IFERROR(__xludf.DUMMYFUNCTION("GOOGLETRANSLATE(B9932, ""zh"", ""en"")"),"Appropriate meter eighty three, $ 140 kilos, W31L32, very fit, pants waist")</f>
        <v>Appropriate meter eighty three, $ 140 kilos, W31L32, very fit, pants waist</v>
      </c>
    </row>
    <row r="9933">
      <c r="A9933" s="1">
        <v>5.0</v>
      </c>
      <c r="B9933" s="1" t="s">
        <v>9861</v>
      </c>
      <c r="C9933" t="str">
        <f>IFERROR(__xludf.DUMMYFUNCTION("GOOGLETRANSLATE(B9933, ""zh"", ""en"")"),"Very appropriate 165 / 75kg, very fit, hem relatively long, the rest is very good size. very satisfied.")</f>
        <v>Very appropriate 165 / 75kg, very fit, hem relatively long, the rest is very good size. very satisfied.</v>
      </c>
    </row>
    <row r="9934">
      <c r="A9934" s="1">
        <v>5.0</v>
      </c>
      <c r="B9934" s="1" t="s">
        <v>9862</v>
      </c>
      <c r="C9934" t="str">
        <f>IFERROR(__xludf.DUMMYFUNCTION("GOOGLETRANSLATE(B9934, ""zh"", ""en"")"),"Yes okay, I received.")</f>
        <v>Yes okay, I received.</v>
      </c>
    </row>
    <row r="9935">
      <c r="A9935" s="1">
        <v>5.0</v>
      </c>
      <c r="B9935" s="1" t="s">
        <v>9863</v>
      </c>
      <c r="C9935" t="str">
        <f>IFERROR(__xludf.DUMMYFUNCTION("GOOGLETRANSLATE(B9935, ""zh"", ""en"")"),"Suitable OK, a little thin")</f>
        <v>Suitable OK, a little thin</v>
      </c>
    </row>
    <row r="9936">
      <c r="A9936" s="1">
        <v>5.0</v>
      </c>
      <c r="B9936" s="1" t="s">
        <v>9864</v>
      </c>
      <c r="C9936" t="str">
        <f>IFERROR(__xludf.DUMMYFUNCTION("GOOGLETRANSLATE(B9936, ""zh"", ""en"")"),"Overall very satisfied with 177 62kg buy m code size is very appropriate than expected and some fat later found loose version of the type that might be because it is ridiculous but Shoulder Length Sleeve are appropriate")</f>
        <v>Overall very satisfied with 177 62kg buy m code size is very appropriate than expected and some fat later found loose version of the type that might be because it is ridiculous but Shoulder Length Sleeve are appropriate</v>
      </c>
    </row>
    <row r="9937">
      <c r="A9937" s="1">
        <v>5.0</v>
      </c>
      <c r="B9937" s="1" t="s">
        <v>9865</v>
      </c>
      <c r="C9937" t="str">
        <f>IFERROR(__xludf.DUMMYFUNCTION("GOOGLETRANSLATE(B9937, ""zh"", ""en"")"),"This price can buy this great capacity, in addition to sound big points really is not a drawback")</f>
        <v>This price can buy this great capacity, in addition to sound big points really is not a drawback</v>
      </c>
    </row>
    <row r="9938">
      <c r="A9938" s="1">
        <v>5.0</v>
      </c>
      <c r="B9938" s="1" t="s">
        <v>9866</v>
      </c>
      <c r="C9938" t="str">
        <f>IFERROR(__xludf.DUMMYFUNCTION("GOOGLETRANSLATE(B9938, ""zh"", ""en"")"),"nice very good, very fit, wear very comfortable, nice")</f>
        <v>nice very good, very fit, wear very comfortable, nice</v>
      </c>
    </row>
    <row r="9939">
      <c r="A9939" s="1">
        <v>5.0</v>
      </c>
      <c r="B9939" s="1" t="s">
        <v>9867</v>
      </c>
      <c r="C9939" t="str">
        <f>IFERROR(__xludf.DUMMYFUNCTION("GOOGLETRANSLATE(B9939, ""zh"", ""en"")"),"A few days before the product is extremely comfortable to get through the first time, really from the ""extremely comfortable"" four words on the product to a Chinese translation praise! To a product praising! ! Length, just too fat, limb fat as a person,"&amp;" very rare size.")</f>
        <v>A few days before the product is extremely comfortable to get through the first time, really from the "extremely comfortable" four words on the product to a Chinese translation praise! To a product praising! ! Length, just too fat, limb fat as a person, very rare size.</v>
      </c>
    </row>
    <row r="9940">
      <c r="A9940" s="1">
        <v>2.0</v>
      </c>
      <c r="B9940" s="1" t="s">
        <v>9868</v>
      </c>
      <c r="C9940" t="str">
        <f>IFERROR(__xludf.DUMMYFUNCTION("GOOGLETRANSLATE(B9940, ""zh"", ""en"")"),"Just to be careful to buy with taps, angle valves work in general, the picture is very deceptive, do not expect too much, buy with caution")</f>
        <v>Just to be careful to buy with taps, angle valves work in general, the picture is very deceptive, do not expect too much, buy with caution</v>
      </c>
    </row>
    <row r="9941">
      <c r="A9941" s="1">
        <v>3.0</v>
      </c>
      <c r="B9941" s="1" t="s">
        <v>9869</v>
      </c>
      <c r="C9941" t="str">
        <f>IFERROR(__xludf.DUMMYFUNCTION("GOOGLETRANSLATE(B9941, ""zh"", ""en"")"),"This is too big than I bought together at least two large size of a box of five ck narrow side. Too, put pictures compare. White is particularly large, but also a little bigger than the black, but the fabric feels in general. Or better that section. This "&amp;"can not return depressed")</f>
        <v>This is too big than I bought together at least two large size of a box of five ck narrow side. Too, put pictures compare. White is particularly large, but also a little bigger than the black, but the fabric feels in general. Or better that section. This can not return depressed</v>
      </c>
    </row>
    <row r="9942">
      <c r="A9942" s="1">
        <v>3.0</v>
      </c>
      <c r="B9942" s="1" t="s">
        <v>9870</v>
      </c>
      <c r="C9942" t="str">
        <f>IFERROR(__xludf.DUMMYFUNCTION("GOOGLETRANSLATE(B9942, ""zh"", ""en"")"),"Lax closure seals, leakage before buying milk are good, the milk storage portion of the bag two children transparent seal layer is that the edge sealing lax, milk leakage, has two good seals, but also with")</f>
        <v>Lax closure seals, leakage before buying milk are good, the milk storage portion of the bag two children transparent seal layer is that the edge sealing lax, milk leakage, has two good seals, but also with</v>
      </c>
    </row>
    <row r="9943">
      <c r="A9943" s="1">
        <v>3.0</v>
      </c>
      <c r="B9943" s="1" t="s">
        <v>9871</v>
      </c>
      <c r="C9943" t="str">
        <f>IFERROR(__xludf.DUMMYFUNCTION("GOOGLETRANSLATE(B9943, ""zh"", ""en"")"),"So how big is too big to wear to wear how to buy according to the number of conventional code")</f>
        <v>So how big is too big to wear to wear how to buy according to the number of conventional code</v>
      </c>
    </row>
    <row r="9944">
      <c r="A9944" s="1">
        <v>1.0</v>
      </c>
      <c r="B9944" s="1" t="s">
        <v>9872</v>
      </c>
      <c r="C9944" t="str">
        <f>IFERROR(__xludf.DUMMYFUNCTION("GOOGLETRANSLATE(B9944, ""zh"", ""en"")"),"Fake fake, plastic exposed serious, poor quality")</f>
        <v>Fake fake, plastic exposed serious, poor quality</v>
      </c>
    </row>
    <row r="9945">
      <c r="A9945" s="1">
        <v>1.0</v>
      </c>
      <c r="B9945" s="1" t="s">
        <v>9873</v>
      </c>
      <c r="C9945" t="str">
        <f>IFERROR(__xludf.DUMMYFUNCTION("GOOGLETRANSLATE(B9945, ""zh"", ""en"")"),"Box box is not very good seal, you are free to open, which is the release of two separate teat with a small plastic bag at hot prison, do not know the original is such a style is not packed, but I think it is really watching too casual, I feel very bad fi"&amp;"rst")</f>
        <v>Box box is not very good seal, you are free to open, which is the release of two separate teat with a small plastic bag at hot prison, do not know the original is such a style is not packed, but I think it is really watching too casual, I feel very bad first</v>
      </c>
    </row>
    <row r="9946">
      <c r="A9946" s="1">
        <v>1.0</v>
      </c>
      <c r="B9946" s="1" t="s">
        <v>9874</v>
      </c>
      <c r="C9946" t="str">
        <f>IFERROR(__xludf.DUMMYFUNCTION("GOOGLETRANSLATE(B9946, ""zh"", ""en"")"),"Cups chipped, chipped cup leak, causing water leakage. This quality allows me to catch up, and I'm really speechless ...... this is to give as gifts!")</f>
        <v>Cups chipped, chipped cup leak, causing water leakage. This quality allows me to catch up, and I'm really speechless ...... this is to give as gifts!</v>
      </c>
    </row>
    <row r="9947">
      <c r="A9947" s="1">
        <v>4.0</v>
      </c>
      <c r="B9947" s="1" t="s">
        <v>9875</v>
      </c>
      <c r="C9947" t="str">
        <f>IFERROR(__xludf.DUMMYFUNCTION("GOOGLETRANSLATE(B9947, ""zh"", ""en"")"),"This product in the United States belong to the nature, why not reviewed by the US Food and Drug Administration's a big one, did not get that fishy smell, is feeling throat after swallowing a little card, why not the United States Food and Drug Administra"&amp;"tion audit sign it?")</f>
        <v>This product in the United States belong to the nature, why not reviewed by the US Food and Drug Administration's a big one, did not get that fishy smell, is feeling throat after swallowing a little card, why not the United States Food and Drug Administration audit sign it?</v>
      </c>
    </row>
    <row r="9948">
      <c r="A9948" s="1">
        <v>4.0</v>
      </c>
      <c r="B9948" s="1" t="s">
        <v>9876</v>
      </c>
      <c r="C9948" t="str">
        <f>IFERROR(__xludf.DUMMYFUNCTION("GOOGLETRANSLATE(B9948, ""zh"", ""en"")"),"First experience came to hand, very simple packaging, plastic taste heavy, but not unpleasant, size small, but very strong package. Just do not step on feces to experience a sense of shoes to wear just very hard, heavy. First time to buy, do not know whic"&amp;"h is still characterized by K25 A cargo. Online said to have run away a sense of shock, 10 kilometers after yesterday or did not find. A little worried, to be seen of it.")</f>
        <v>First experience came to hand, very simple packaging, plastic taste heavy, but not unpleasant, size small, but very strong package. Just do not step on feces to experience a sense of shoes to wear just very hard, heavy. First time to buy, do not know which is still characterized by K25 A cargo. Online said to have run away a sense of shock, 10 kilometers after yesterday or did not find. A little worried, to be seen of it.</v>
      </c>
    </row>
    <row r="9949">
      <c r="A9949" s="1">
        <v>4.0</v>
      </c>
      <c r="B9949" s="1" t="s">
        <v>9877</v>
      </c>
      <c r="C9949" t="str">
        <f>IFERROR(__xludf.DUMMYFUNCTION("GOOGLETRANSLATE(B9949, ""zh"", ""en"")"),"Fabric is extremely common, autumn and winter wear. Buy test number, which is 100-200-priced stuff.")</f>
        <v>Fabric is extremely common, autumn and winter wear. Buy test number, which is 100-200-priced stuff.</v>
      </c>
    </row>
    <row r="9950">
      <c r="A9950" s="1">
        <v>4.0</v>
      </c>
      <c r="B9950" s="1" t="s">
        <v>9878</v>
      </c>
      <c r="C9950" t="str">
        <f>IFERROR(__xludf.DUMMYFUNCTION("GOOGLETRANSLATE(B9950, ""zh"", ""en"")"),"Size standards. Express soon also, size is very standard, ups express delivery soon. Wearing more stylish. Listen to other people's comments. Buy a yard long, long gorgeous results.")</f>
        <v>Size standards. Express soon also, size is very standard, ups express delivery soon. Wearing more stylish. Listen to other people's comments. Buy a yard long, long gorgeous results.</v>
      </c>
    </row>
    <row r="9951">
      <c r="A9951" s="1">
        <v>4.0</v>
      </c>
      <c r="B9951" s="1" t="s">
        <v>9879</v>
      </c>
      <c r="C9951" t="str">
        <f>IFERROR(__xludf.DUMMYFUNCTION("GOOGLETRANSLATE(B9951, ""zh"", ""en"")"),"Size okay, that is wrong wrong code too lazy to back, xxs should be five meters of children's wear")</f>
        <v>Size okay, that is wrong wrong code too lazy to back, xxs should be five meters of children's wear</v>
      </c>
    </row>
    <row r="9952">
      <c r="A9952" s="1">
        <v>5.0</v>
      </c>
      <c r="B9952" s="1" t="s">
        <v>9880</v>
      </c>
      <c r="C9952" t="str">
        <f>IFERROR(__xludf.DUMMYFUNCTION("GOOGLETRANSLATE(B9952, ""zh"", ""en"")"),"Good husband to buy, very much 😘")</f>
        <v>Good husband to buy, very much 😘</v>
      </c>
    </row>
    <row r="9953">
      <c r="A9953" s="1">
        <v>5.0</v>
      </c>
      <c r="B9953" s="1" t="s">
        <v>9881</v>
      </c>
      <c r="C9953" t="str">
        <f>IFERROR(__xludf.DUMMYFUNCTION("GOOGLETRANSLATE(B9953, ""zh"", ""en"")"),"The right size of less than ten days time to get the goods, packaging is relatively simple, fast shoebox rotten, but fortunately not affected shoes, usually wear 36 yards, this section is appropriate")</f>
        <v>The right size of less than ten days time to get the goods, packaging is relatively simple, fast shoebox rotten, but fortunately not affected shoes, usually wear 36 yards, this section is appropriate</v>
      </c>
    </row>
    <row r="9954">
      <c r="A9954" s="1">
        <v>5.0</v>
      </c>
      <c r="B9954" s="1" t="s">
        <v>9882</v>
      </c>
      <c r="C9954" t="str">
        <f>IFERROR(__xludf.DUMMYFUNCTION("GOOGLETRANSLATE(B9954, ""zh"", ""en"")"),"Price is very good, the price is very favorable. Ref 250. Can be washed, it is also very convenient.")</f>
        <v>Price is very good, the price is very favorable. Ref 250. Can be washed, it is also very convenient.</v>
      </c>
    </row>
    <row r="9955">
      <c r="A9955" s="1">
        <v>5.0</v>
      </c>
      <c r="B9955" s="1" t="s">
        <v>9883</v>
      </c>
      <c r="C9955" t="str">
        <f>IFERROR(__xludf.DUMMYFUNCTION("GOOGLETRANSLATE(B9955, ""zh"", ""en"")"),"satisfaction! Delicate and beautiful, value, satisfaction with the goods!")</f>
        <v>satisfaction! Delicate and beautiful, value, satisfaction with the goods!</v>
      </c>
    </row>
    <row r="9956">
      <c r="A9956" s="1">
        <v>5.0</v>
      </c>
      <c r="B9956" s="1" t="s">
        <v>9884</v>
      </c>
      <c r="C9956" t="str">
        <f>IFERROR(__xludf.DUMMYFUNCTION("GOOGLETRANSLATE(B9956, ""zh"", ""en"")"),"Recommended! 177 75Kg I bought the trumpet. Shoulders, sleeves, chest and belly just right. Color is very positive, fabric good, work is also very fine. As for prices, Qingpu Outlets will not be cheaper than this.")</f>
        <v>Recommended! 177 75Kg I bought the trumpet. Shoulders, sleeves, chest and belly just right. Color is very positive, fabric good, work is also very fine. As for prices, Qingpu Outlets will not be cheaper than this.</v>
      </c>
    </row>
    <row r="9957">
      <c r="A9957" s="1">
        <v>5.0</v>
      </c>
      <c r="B9957" s="1" t="s">
        <v>9885</v>
      </c>
      <c r="C9957" t="str">
        <f>IFERROR(__xludf.DUMMYFUNCTION("GOOGLETRANSLATE(B9957, ""zh"", ""en"")"),"Good gentle warmth, Vietnamese Punta 700 85% duck down. Unfortunately, not goose down. 170/150 wear s code, would not be fat.")</f>
        <v>Good gentle warmth, Vietnamese Punta 700 85% duck down. Unfortunately, not goose down. 170/150 wear s code, would not be fat.</v>
      </c>
    </row>
    <row r="9958">
      <c r="A9958" s="1">
        <v>5.0</v>
      </c>
      <c r="B9958" s="1" t="s">
        <v>9886</v>
      </c>
      <c r="C9958" t="str">
        <f>IFERROR(__xludf.DUMMYFUNCTION("GOOGLETRANSLATE(B9958, ""zh"", ""en"")"),"Size with the same size shoes")</f>
        <v>Size with the same size shoes</v>
      </c>
    </row>
    <row r="9959">
      <c r="A9959" s="1">
        <v>5.0</v>
      </c>
      <c r="B9959" s="1" t="s">
        <v>9887</v>
      </c>
      <c r="C9959" t="str">
        <f>IFERROR(__xludf.DUMMYFUNCTION("GOOGLETRANSLATE(B9959, ""zh"", ""en"")"),"Just the right size, speed so fast three or four days earlier than estimated. Tried, very fit. Upper feeling very comfortable. This is Oudi four pairs danner up. danner style really is not ye, mainly Chinese and its quality.")</f>
        <v>Just the right size, speed so fast three or four days earlier than estimated. Tried, very fit. Upper feeling very comfortable. This is Oudi four pairs danner up. danner style really is not ye, mainly Chinese and its quality.</v>
      </c>
    </row>
    <row r="9960">
      <c r="A9960" s="1">
        <v>5.0</v>
      </c>
      <c r="B9960" s="1" t="s">
        <v>9888</v>
      </c>
      <c r="C9960" t="str">
        <f>IFERROR(__xludf.DUMMYFUNCTION("GOOGLETRANSLATE(B9960, ""zh"", ""en"")"),"Comfort and comfortable but also shape")</f>
        <v>Comfort and comfortable but also shape</v>
      </c>
    </row>
    <row r="9961">
      <c r="A9961" s="1">
        <v>5.0</v>
      </c>
      <c r="B9961" s="1" t="s">
        <v>9889</v>
      </c>
      <c r="C9961" t="str">
        <f>IFERROR(__xludf.DUMMYFUNCTION("GOOGLETRANSLATE(B9961, ""zh"", ""en"")"),"The North Face Tanken Triclimate jacket Ms. color and style As expected, the number is very appropriate.")</f>
        <v>The North Face Tanken Triclimate jacket Ms. color and style As expected, the number is very appropriate.</v>
      </c>
    </row>
    <row r="9962">
      <c r="A9962" s="1">
        <v>5.0</v>
      </c>
      <c r="B9962" s="1" t="s">
        <v>9890</v>
      </c>
      <c r="C9962" t="str">
        <f>IFERROR(__xludf.DUMMYFUNCTION("GOOGLETRANSLATE(B9962, ""zh"", ""en"")"),"I believe Amazon for the price is really high. A few days to, fabulous.")</f>
        <v>I believe Amazon for the price is really high. A few days to, fabulous.</v>
      </c>
    </row>
    <row r="9963">
      <c r="A9963" s="1">
        <v>5.0</v>
      </c>
      <c r="B9963" s="1" t="s">
        <v>9891</v>
      </c>
      <c r="C9963" t="str">
        <f>IFERROR(__xludf.DUMMYFUNCTION("GOOGLETRANSLATE(B9963, ""zh"", ""en"")"),"Nice yardage very comfortable to wear appropriate")</f>
        <v>Nice yardage very comfortable to wear appropriate</v>
      </c>
    </row>
    <row r="9964">
      <c r="A9964" s="1">
        <v>5.0</v>
      </c>
      <c r="B9964" s="1" t="s">
        <v>9892</v>
      </c>
      <c r="C9964" t="str">
        <f>IFERROR(__xludf.DUMMYFUNCTION("GOOGLETRANSLATE(B9964, ""zh"", ""en"")"),"Very nice bottle prime members to buy, very good, delivery speed can be, this is a soft shell bottle, glass and mix with.")</f>
        <v>Very nice bottle prime members to buy, very good, delivery speed can be, this is a soft shell bottle, glass and mix with.</v>
      </c>
    </row>
    <row r="9965">
      <c r="A9965" s="1">
        <v>5.0</v>
      </c>
      <c r="B9965" s="1" t="s">
        <v>9893</v>
      </c>
      <c r="C9965" t="str">
        <f>IFERROR(__xludf.DUMMYFUNCTION("GOOGLETRANSLATE(B9965, ""zh"", ""en"")"),"Warm and very good, very comfortable to wear. Warm and very good, very comfortable to wear.")</f>
        <v>Warm and very good, very comfortable to wear. Warm and very good, very comfortable to wear.</v>
      </c>
    </row>
    <row r="9966">
      <c r="A9966" s="1">
        <v>5.0</v>
      </c>
      <c r="B9966" s="1" t="s">
        <v>9894</v>
      </c>
      <c r="C9966" t="str">
        <f>IFERROR(__xludf.DUMMYFUNCTION("GOOGLETRANSLATE(B9966, ""zh"", ""en"")"),"Arrive fast! Delivery speed can, arrival speed really fast! Simply shocked to store goods ~ pregnancy, many pregnant mothers are recommended by dog ​​printed pelvic girdle, bought on Amazon, the price is very good, overall satisfaction, I hope later use w"&amp;"hen the effect will be good")</f>
        <v>Arrive fast! Delivery speed can, arrival speed really fast! Simply shocked to store goods ~ pregnancy, many pregnant mothers are recommended by dog ​​printed pelvic girdle, bought on Amazon, the price is very good, overall satisfaction, I hope later use when the effect will be good</v>
      </c>
    </row>
    <row r="9967">
      <c r="A9967" s="1">
        <v>5.0</v>
      </c>
      <c r="B9967" s="1" t="s">
        <v>9895</v>
      </c>
      <c r="C9967" t="str">
        <f>IFERROR(__xludf.DUMMYFUNCTION("GOOGLETRANSLATE(B9967, ""zh"", ""en"")"),"Good quality size precise size quite accurate, United States Code sneakers to wear this shoe is 8.5 yards chose 7UK41 code, style is also good fit.")</f>
        <v>Good quality size precise size quite accurate, United States Code sneakers to wear this shoe is 8.5 yards chose 7UK41 code, style is also good fit.</v>
      </c>
    </row>
    <row r="9968">
      <c r="A9968" s="1">
        <v>5.0</v>
      </c>
      <c r="B9968" s="1" t="s">
        <v>6157</v>
      </c>
      <c r="C9968" t="str">
        <f>IFERROR(__xludf.DUMMYFUNCTION("GOOGLETRANSLATE(B9968, ""zh"", ""en"")"),"Affordable clothes very soft, wear very stylish - like Amazon is to force ~")</f>
        <v>Affordable clothes very soft, wear very stylish - like Amazon is to force ~</v>
      </c>
    </row>
    <row r="9969">
      <c r="A9969" s="1">
        <v>5.0</v>
      </c>
      <c r="B9969" s="1" t="s">
        <v>9896</v>
      </c>
      <c r="C9969" t="str">
        <f>IFERROR(__xludf.DUMMYFUNCTION("GOOGLETRANSLATE(B9969, ""zh"", ""en"")"),"Buy cheap genuine good to wear a few times, my husband's in it ck buy cheap genuine, from purchasing derivative can not believe too many fakes, after all, Amazon is the world, more than Bill Gates, and trust the Amazon ten years")</f>
        <v>Buy cheap genuine good to wear a few times, my husband's in it ck buy cheap genuine, from purchasing derivative can not believe too many fakes, after all, Amazon is the world, more than Bill Gates, and trust the Amazon ten years</v>
      </c>
    </row>
    <row r="9970">
      <c r="A9970" s="1">
        <v>5.0</v>
      </c>
      <c r="B9970" s="1" t="s">
        <v>9897</v>
      </c>
      <c r="C9970" t="str">
        <f>IFERROR(__xludf.DUMMYFUNCTION("GOOGLETRANSLATE(B9970, ""zh"", ""en"")"),"Yes, very breathable small gift")</f>
        <v>Yes, very breathable small gift</v>
      </c>
    </row>
    <row r="9971">
      <c r="A9971" s="1">
        <v>5.0</v>
      </c>
      <c r="B9971" s="1" t="s">
        <v>9898</v>
      </c>
      <c r="C9971" t="str">
        <f>IFERROR(__xludf.DUMMYFUNCTION("GOOGLETRANSLATE(B9971, ""zh"", ""en"")"),"Good quality. Simple to use, came back, had not made a cut out. what.")</f>
        <v>Good quality. Simple to use, came back, had not made a cut out. what.</v>
      </c>
    </row>
    <row r="9972">
      <c r="A9972" s="1">
        <v>5.0</v>
      </c>
      <c r="B9972" s="1" t="s">
        <v>9899</v>
      </c>
      <c r="C9972" t="str">
        <f>IFERROR(__xludf.DUMMYFUNCTION("GOOGLETRANSLATE(B9972, ""zh"", ""en"")"),"Watch good style looks good, very much.")</f>
        <v>Watch good style looks good, very much.</v>
      </c>
    </row>
    <row r="9973">
      <c r="A9973" s="1">
        <v>5.0</v>
      </c>
      <c r="B9973" s="1" t="s">
        <v>9900</v>
      </c>
      <c r="C9973" t="str">
        <f>IFERROR(__xludf.DUMMYFUNCTION("GOOGLETRANSLATE(B9973, ""zh"", ""en"")"),"Size selection need to be cautious Oh sneakers 42 feet long 41.5 to buy 260 of the wear can plug into a finger half")</f>
        <v>Size selection need to be cautious Oh sneakers 42 feet long 41.5 to buy 260 of the wear can plug into a finger half</v>
      </c>
    </row>
    <row r="9974">
      <c r="A9974" s="1">
        <v>2.0</v>
      </c>
      <c r="B9974" s="1" t="s">
        <v>9901</v>
      </c>
      <c r="C9974" t="str">
        <f>IFERROR(__xludf.DUMMYFUNCTION("GOOGLETRANSLATE(B9974, ""zh"", ""en"")"),"Too small to something good, it is too small, little expensive")</f>
        <v>Too small to something good, it is too small, little expensive</v>
      </c>
    </row>
    <row r="9975">
      <c r="A9975" s="1">
        <v>3.0</v>
      </c>
      <c r="B9975" s="1" t="s">
        <v>9902</v>
      </c>
      <c r="C9975" t="str">
        <f>IFERROR(__xludf.DUMMYFUNCTION("GOOGLETRANSLATE(B9975, ""zh"", ""en"")"),"Indeed pressure usually 37.5 feet or 38 yards, thin legs, feet not too high. UK5 code suitable size. Yesterday wear out day, do not wear the foot, walking and standing when they are considered comfortable, the magic is not active when actually sit down an"&amp;"d uncomfortable, especially pressure feet, go home to see are red and swollen. Experience is not very good.")</f>
        <v>Indeed pressure usually 37.5 feet or 38 yards, thin legs, feet not too high. UK5 code suitable size. Yesterday wear out day, do not wear the foot, walking and standing when they are considered comfortable, the magic is not active when actually sit down and uncomfortable, especially pressure feet, go home to see are red and swollen. Experience is not very good.</v>
      </c>
    </row>
    <row r="9976">
      <c r="A9976" s="1">
        <v>3.0</v>
      </c>
      <c r="B9976" s="1" t="s">
        <v>9903</v>
      </c>
      <c r="C9976" t="str">
        <f>IFERROR(__xludf.DUMMYFUNCTION("GOOGLETRANSLATE(B9976, ""zh"", ""en"")"),"Too much, and domestic completely different completely different, there is no reference is too big, no clothes completely different, and returned trouble, freight 130+, pants completely different, no clothes, lost big")</f>
        <v>Too much, and domestic completely different completely different, there is no reference is too big, no clothes completely different, and returned trouble, freight 130+, pants completely different, no clothes, lost big</v>
      </c>
    </row>
    <row r="9977">
      <c r="A9977" s="1">
        <v>1.0</v>
      </c>
      <c r="B9977" s="1" t="s">
        <v>9904</v>
      </c>
      <c r="C9977" t="str">
        <f>IFERROR(__xludf.DUMMYFUNCTION("GOOGLETRANSLATE(B9977, ""zh"", ""en"")"),"There may be false soles wear foot, rough workmanship Jane wonders if the real thing!")</f>
        <v>There may be false soles wear foot, rough workmanship Jane wonders if the real thing!</v>
      </c>
    </row>
    <row r="9978">
      <c r="A9978" s="1">
        <v>1.0</v>
      </c>
      <c r="B9978" s="1" t="s">
        <v>9905</v>
      </c>
      <c r="C9978" t="str">
        <f>IFERROR(__xludf.DUMMYFUNCTION("GOOGLETRANSLATE(B9978, ""zh"", ""en"")"),"Is it true above all suspicion scratches, shot less clear, the surface is scratched")</f>
        <v>Is it true above all suspicion scratches, shot less clear, the surface is scratched</v>
      </c>
    </row>
    <row r="9979">
      <c r="A9979" s="1">
        <v>4.0</v>
      </c>
      <c r="B9979" s="1" t="s">
        <v>9906</v>
      </c>
      <c r="C9979" t="str">
        <f>IFERROR(__xludf.DUMMYFUNCTION("GOOGLETRANSLATE(B9979, ""zh"", ""en"")"),"Bass can be good, but the line is too hard, easily broken")</f>
        <v>Bass can be good, but the line is too hard, easily broken</v>
      </c>
    </row>
    <row r="9980">
      <c r="A9980" s="1">
        <v>4.0</v>
      </c>
      <c r="B9980" s="1" t="s">
        <v>9907</v>
      </c>
      <c r="C9980" t="str">
        <f>IFERROR(__xludf.DUMMYFUNCTION("GOOGLETRANSLATE(B9980, ""zh"", ""en"")"),"Yes, but not before looking 190.100 alligator, just buy the XL. People left reference. A little short, my wife said there was no law before crocodile look good")</f>
        <v>Yes, but not before looking 190.100 alligator, just buy the XL. People left reference. A little short, my wife said there was no law before crocodile look good</v>
      </c>
    </row>
    <row r="9981">
      <c r="A9981" s="1">
        <v>4.0</v>
      </c>
      <c r="B9981" s="1" t="s">
        <v>9908</v>
      </c>
      <c r="C9981" t="str">
        <f>IFERROR(__xludf.DUMMYFUNCTION("GOOGLETRANSLATE(B9981, ""zh"", ""en"")"),"Okay good, 180cm, 72kgs wear m just right! Naked several times to open the line!")</f>
        <v>Okay good, 180cm, 72kgs wear m just right! Naked several times to open the line!</v>
      </c>
    </row>
    <row r="9982">
      <c r="A9982" s="1">
        <v>4.0</v>
      </c>
      <c r="B9982" s="1" t="s">
        <v>9909</v>
      </c>
      <c r="C9982" t="str">
        <f>IFERROR(__xludf.DUMMYFUNCTION("GOOGLETRANSLATE(B9982, ""zh"", ""en"")"),"Mixer machine is useful, if purchased at the main office as well as tool family of four gift Oh, there are no gifts to oh.")</f>
        <v>Mixer machine is useful, if purchased at the main office as well as tool family of four gift Oh, there are no gifts to oh.</v>
      </c>
    </row>
    <row r="9983">
      <c r="A9983" s="1">
        <v>4.0</v>
      </c>
      <c r="B9983" s="1" t="s">
        <v>9910</v>
      </c>
      <c r="C9983" t="str">
        <f>IFERROR(__xludf.DUMMYFUNCTION("GOOGLETRANSLATE(B9983, ""zh"", ""en"")"),"Comfortable to wear socks")</f>
        <v>Comfortable to wear socks</v>
      </c>
    </row>
    <row r="9984">
      <c r="A9984" s="1">
        <v>5.0</v>
      </c>
      <c r="B9984" s="1" t="s">
        <v>9911</v>
      </c>
      <c r="C9984" t="str">
        <f>IFERROR(__xludf.DUMMYFUNCTION("GOOGLETRANSLATE(B9984, ""zh"", ""en"")"),"Stick husband difficult to buy pants. Special thick legs that belong to two pounds big fat man. This comfortable pants wearing thin")</f>
        <v>Stick husband difficult to buy pants. Special thick legs that belong to two pounds big fat man. This comfortable pants wearing thin</v>
      </c>
    </row>
    <row r="9985">
      <c r="A9985" s="1">
        <v>5.0</v>
      </c>
      <c r="B9985" s="1" t="s">
        <v>9912</v>
      </c>
      <c r="C9985" t="str">
        <f>IFERROR(__xludf.DUMMYFUNCTION("GOOGLETRANSLATE(B9985, ""zh"", ""en"")"),"Ralph Lauren sweater brought me this surprise sweater Ralph Lauren's brought me a pleasant surprise, very comfortable to wear decent, to five stars.")</f>
        <v>Ralph Lauren sweater brought me this surprise sweater Ralph Lauren's brought me a pleasant surprise, very comfortable to wear decent, to five stars.</v>
      </c>
    </row>
    <row r="9986">
      <c r="A9986" s="1">
        <v>5.0</v>
      </c>
      <c r="B9986" s="1" t="s">
        <v>9913</v>
      </c>
      <c r="C9986" t="str">
        <f>IFERROR(__xludf.DUMMYFUNCTION("GOOGLETRANSLATE(B9986, ""zh"", ""en"")"),"Nice comfortable, soft cotton")</f>
        <v>Nice comfortable, soft cotton</v>
      </c>
    </row>
    <row r="9987">
      <c r="A9987" s="1">
        <v>5.0</v>
      </c>
      <c r="B9987" s="1" t="s">
        <v>9914</v>
      </c>
      <c r="C9987" t="str">
        <f>IFERROR(__xludf.DUMMYFUNCTION("GOOGLETRANSLATE(B9987, ""zh"", ""en"")"),"Easy tap high cost, the water temperature instability at home for a completely different after this, take a bath really enjoyed.")</f>
        <v>Easy tap high cost, the water temperature instability at home for a completely different after this, take a bath really enjoyed.</v>
      </c>
    </row>
    <row r="9988">
      <c r="A9988" s="1">
        <v>5.0</v>
      </c>
      <c r="B9988" s="1" t="s">
        <v>9915</v>
      </c>
      <c r="C9988" t="str">
        <f>IFERROR(__xludf.DUMMYFUNCTION("GOOGLETRANSLATE(B9988, ""zh"", ""en"")"),"Clover green tail than the good-looking, comfortable! Clover green tail than the good-looking, comfortable! And the size before you buy ecco consistent, try a little of the new signs are not very satisfied!")</f>
        <v>Clover green tail than the good-looking, comfortable! Clover green tail than the good-looking, comfortable! And the size before you buy ecco consistent, try a little of the new signs are not very satisfied!</v>
      </c>
    </row>
    <row r="9989">
      <c r="A9989" s="1">
        <v>5.0</v>
      </c>
      <c r="B9989" s="1" t="s">
        <v>9916</v>
      </c>
      <c r="C9989" t="str">
        <f>IFERROR(__xludf.DUMMYFUNCTION("GOOGLETRANSLATE(B9989, ""zh"", ""en"")"),"And the store agreed to help a friend buy, she tried in the store feel like, down 800 + discount, I say to help her to see the Amazon there, plus 500 less than the tariff, save a lot of money money, she said just put on it is good.")</f>
        <v>And the store agreed to help a friend buy, she tried in the store feel like, down 800 + discount, I say to help her to see the Amazon there, plus 500 less than the tariff, save a lot of money money, she said just put on it is good.</v>
      </c>
    </row>
    <row r="9990">
      <c r="A9990" s="1">
        <v>5.0</v>
      </c>
      <c r="B9990" s="1" t="s">
        <v>9917</v>
      </c>
      <c r="C9990" t="str">
        <f>IFERROR(__xludf.DUMMYFUNCTION("GOOGLETRANSLATE(B9990, ""zh"", ""en"")"),"Clean and very fast, SF transport, scraping clean, dynamic, and that is no small brush.")</f>
        <v>Clean and very fast, SF transport, scraping clean, dynamic, and that is no small brush.</v>
      </c>
    </row>
    <row r="9991">
      <c r="A9991" s="1">
        <v>5.0</v>
      </c>
      <c r="B9991" s="1" t="s">
        <v>9918</v>
      </c>
      <c r="C9991" t="str">
        <f>IFERROR(__xludf.DUMMYFUNCTION("GOOGLETRANSLATE(B9991, ""zh"", ""en"")"),"Receive good quality too large")</f>
        <v>Receive good quality too large</v>
      </c>
    </row>
    <row r="9992">
      <c r="A9992" s="1">
        <v>5.0</v>
      </c>
      <c r="B9992" s="1" t="s">
        <v>9919</v>
      </c>
      <c r="C9992" t="str">
        <f>IFERROR(__xludf.DUMMYFUNCTION("GOOGLETRANSLATE(B9992, ""zh"", ""en"")"),"Cost pricey pants good, cost-effective pricey, my height 185, weight 190 pounds, is partial upper body fat. Selected from the group size 34 × 32. Length is just legs just wide, slightly narrower, so the lower body fat, please take note.")</f>
        <v>Cost pricey pants good, cost-effective pricey, my height 185, weight 190 pounds, is partial upper body fat. Selected from the group size 34 × 32. Length is just legs just wide, slightly narrower, so the lower body fat, please take note.</v>
      </c>
    </row>
    <row r="9993">
      <c r="A9993" s="1">
        <v>5.0</v>
      </c>
      <c r="B9993" s="1" t="s">
        <v>9920</v>
      </c>
      <c r="C9993" t="str">
        <f>IFERROR(__xludf.DUMMYFUNCTION("GOOGLETRANSLATE(B9993, ""zh"", ""en"")"),"Great shoes look good, not bloated round, color is yellow, the picture took a little deep, very comfortable to wear, sponge shoes, winter wear thick socks should be able to spend the winter, shoe size is 3.5UK, United States Code 6 , CN36 (1.5), my usual "&amp;"number of 36.5, dressed just right, not partial code.")</f>
        <v>Great shoes look good, not bloated round, color is yellow, the picture took a little deep, very comfortable to wear, sponge shoes, winter wear thick socks should be able to spend the winter, shoe size is 3.5UK, United States Code 6 , CN36 (1.5), my usual number of 36.5, dressed just right, not partial code.</v>
      </c>
    </row>
    <row r="9994">
      <c r="A9994" s="1">
        <v>5.0</v>
      </c>
      <c r="B9994" s="1" t="s">
        <v>9921</v>
      </c>
      <c r="C9994" t="str">
        <f>IFERROR(__xludf.DUMMYFUNCTION("GOOGLETRANSLATE(B9994, ""zh"", ""en"")"),"Now feeling good quality, better than CK CK is currently the poorest quality, even smaller than Disel, sweat.")</f>
        <v>Now feeling good quality, better than CK CK is currently the poorest quality, even smaller than Disel, sweat.</v>
      </c>
    </row>
    <row r="9995">
      <c r="A9995" s="1">
        <v>5.0</v>
      </c>
      <c r="B9995" s="1" t="s">
        <v>9922</v>
      </c>
      <c r="C9995" t="str">
        <f>IFERROR(__xludf.DUMMYFUNCTION("GOOGLETRANSLATE(B9995, ""zh"", ""en"")"),"Praise the right size, fabric soft and comfortable. Favorable comment")</f>
        <v>Praise the right size, fabric soft and comfortable. Favorable comment</v>
      </c>
    </row>
    <row r="9996">
      <c r="A9996" s="1">
        <v>5.0</v>
      </c>
      <c r="B9996" s="1" t="s">
        <v>9923</v>
      </c>
      <c r="C9996" t="str">
        <f>IFERROR(__xludf.DUMMYFUNCTION("GOOGLETRANSLATE(B9996, ""zh"", ""en"")"),"Quality, fit 176 cm, 95 kg, L code, more relaxed, the right length, excellent detail, color is very positive. Single 29 under, a week or so to go.")</f>
        <v>Quality, fit 176 cm, 95 kg, L code, more relaxed, the right length, excellent detail, color is very positive. Single 29 under, a week or so to go.</v>
      </c>
    </row>
    <row r="9997">
      <c r="A9997" s="1">
        <v>5.0</v>
      </c>
      <c r="B9997" s="1" t="s">
        <v>9924</v>
      </c>
      <c r="C9997" t="str">
        <f>IFERROR(__xludf.DUMMYFUNCTION("GOOGLETRANSLATE(B9997, ""zh"", ""en"")"),"Nice shower did not use, get the hands have a feeling of surprise, very fond of, to prepare a new home")</f>
        <v>Nice shower did not use, get the hands have a feeling of surprise, very fond of, to prepare a new home</v>
      </c>
    </row>
    <row r="9998">
      <c r="A9998" s="1">
        <v>5.0</v>
      </c>
      <c r="B9998" s="1" t="s">
        <v>9925</v>
      </c>
      <c r="C9998" t="str">
        <f>IFERROR(__xludf.DUMMYFUNCTION("GOOGLETRANSLATE(B9998, ""zh"", ""en"")"),"Value for money lightweight easy to use, the insulation effect is perfect")</f>
        <v>Value for money lightweight easy to use, the insulation effect is perfect</v>
      </c>
    </row>
    <row r="9999">
      <c r="A9999" s="1">
        <v>5.0</v>
      </c>
      <c r="B9999" s="1" t="s">
        <v>9926</v>
      </c>
      <c r="C9999" t="str">
        <f>IFERROR(__xludf.DUMMYFUNCTION("GOOGLETRANSLATE(B9999, ""zh"", ""en"")"),"This is very good some space suitable basic 5UK good to wear the right size usually cost-effective 38 yards usually wear high instep")</f>
        <v>This is very good some space suitable basic 5UK good to wear the right size usually cost-effective 38 yards usually wear high instep</v>
      </c>
    </row>
    <row r="10000">
      <c r="A10000" s="1">
        <v>5.0</v>
      </c>
      <c r="B10000" s="1" t="s">
        <v>9927</v>
      </c>
      <c r="C10000" t="str">
        <f>IFERROR(__xludf.DUMMYFUNCTION("GOOGLETRANSLATE(B10000, ""zh"", ""en"")"),"Quality okay okay, it is not in a bigger size")</f>
        <v>Quality okay okay, it is not in a bigger size</v>
      </c>
    </row>
    <row r="10001">
      <c r="A10001" s="1">
        <v>5.0</v>
      </c>
      <c r="B10001" s="1" t="s">
        <v>9928</v>
      </c>
      <c r="C10001" t="str">
        <f>IFERROR(__xludf.DUMMYFUNCTION("GOOGLETRANSLATE(B10001, ""zh"", ""en"")"),"Oil leather very good, very good, unlike the crust so Lajiao. martens shoes large indeed, usually 43 shoes, the 8UK wear is appropriate. But I sole shoes cost several times down a little heel wear down a bit, catch up with the discount, the price is right"&amp;".")</f>
        <v>Oil leather very good, very good, unlike the crust so Lajiao. martens shoes large indeed, usually 43 shoes, the 8UK wear is appropriate. But I sole shoes cost several times down a little heel wear down a bit, catch up with the discount, the price is right.</v>
      </c>
    </row>
    <row r="10002">
      <c r="A10002" s="1">
        <v>5.0</v>
      </c>
      <c r="B10002" s="1" t="s">
        <v>9929</v>
      </c>
      <c r="C10002" t="str">
        <f>IFERROR(__xludf.DUMMYFUNCTION("GOOGLETRANSLATE(B10002, ""zh"", ""en"")"),"Good quality color good")</f>
        <v>Good quality color good</v>
      </c>
    </row>
    <row r="10003">
      <c r="A10003" s="1">
        <v>5.0</v>
      </c>
      <c r="B10003" s="1" t="s">
        <v>9930</v>
      </c>
      <c r="C10003" t="str">
        <f>IFERROR(__xludf.DUMMYFUNCTION("GOOGLETRANSLATE(B10003, ""zh"", ""en"")"),"Good shoes, good! Comfortable! Very light!")</f>
        <v>Good shoes, good! Comfortable! Very light!</v>
      </c>
    </row>
    <row r="10004">
      <c r="A10004" s="1">
        <v>5.0</v>
      </c>
      <c r="B10004" s="1" t="s">
        <v>9931</v>
      </c>
      <c r="C10004" t="str">
        <f>IFERROR(__xludf.DUMMYFUNCTION("GOOGLETRANSLATE(B10004, ""zh"", ""en"")"),"High cost of clothes, I 175,130 pounds wearing appropriate, the sleeves a little longer. More than two hundred to buy, a good deal")</f>
        <v>High cost of clothes, I 175,130 pounds wearing appropriate, the sleeves a little longer. More than two hundred to buy, a good deal</v>
      </c>
    </row>
    <row r="10005">
      <c r="A10005" s="1">
        <v>5.0</v>
      </c>
      <c r="B10005" s="1" t="s">
        <v>9932</v>
      </c>
      <c r="C10005" t="str">
        <f>IFERROR(__xludf.DUMMYFUNCTION("GOOGLETRANSLATE(B10005, ""zh"", ""en"")"),"Suitable 160cm, 98 pounds ... s just ... very cheap")</f>
        <v>Suitable 160cm, 98 pounds ... s just ... very cheap</v>
      </c>
    </row>
    <row r="10006">
      <c r="A10006" s="1">
        <v>2.0</v>
      </c>
      <c r="B10006" s="1" t="s">
        <v>9933</v>
      </c>
      <c r="C10006" t="str">
        <f>IFERROR(__xludf.DUMMYFUNCTION("GOOGLETRANSLATE(B10006, ""zh"", ""en"")"),"It is not practical really soft, but clean cooking a lot of trouble, some parts can not high temperature, a colored circle who said it does not matter does not contact with high temperature milk? ? ? ? How may not be in contact with the milk. Teat disinfe"&amp;"ction also install a good back, very easy to pollution. Scale not see at night, drink a whole bottle should last to put up, or else to drink. Just a good-looking soft and it is not recommended.")</f>
        <v>It is not practical really soft, but clean cooking a lot of trouble, some parts can not high temperature, a colored circle who said it does not matter does not contact with high temperature milk? ? ? ? How may not be in contact with the milk. Teat disinfection also install a good back, very easy to pollution. Scale not see at night, drink a whole bottle should last to put up, or else to drink. Just a good-looking soft and it is not recommended.</v>
      </c>
    </row>
    <row r="10007">
      <c r="A10007" s="1">
        <v>3.0</v>
      </c>
      <c r="B10007" s="1" t="s">
        <v>9934</v>
      </c>
      <c r="C10007" t="str">
        <f>IFERROR(__xludf.DUMMYFUNCTION("GOOGLETRANSLATE(B10007, ""zh"", ""en"")"),"Light nice addition to what else there is no light and good-looking")</f>
        <v>Light nice addition to what else there is no light and good-looking</v>
      </c>
    </row>
    <row r="10008">
      <c r="A10008" s="1">
        <v>3.0</v>
      </c>
      <c r="B10008" s="1" t="s">
        <v>9935</v>
      </c>
      <c r="C10008" t="str">
        <f>IFERROR(__xludf.DUMMYFUNCTION("GOOGLETRANSLATE(B10008, ""zh"", ""en"")"),"Overall satisfaction. Goods is estimated a few years ago, older, style is also older, Bangladesh produced. Logistics regarded as fast, before and after five days from Chicago to Guangzhou, sea or purchase most believe Amazon.")</f>
        <v>Overall satisfaction. Goods is estimated a few years ago, older, style is also older, Bangladesh produced. Logistics regarded as fast, before and after five days from Chicago to Guangzhou, sea or purchase most believe Amazon.</v>
      </c>
    </row>
    <row r="10009">
      <c r="A10009" s="1">
        <v>1.0</v>
      </c>
      <c r="B10009" s="1" t="s">
        <v>9936</v>
      </c>
      <c r="C10009" t="str">
        <f>IFERROR(__xludf.DUMMYFUNCTION("GOOGLETRANSLATE(B10009, ""zh"", ""en"")"),"Very poor Amazon shopping how can soon be expired products sent to customers? In the Amazon shopping experience is very poor, to expire January 19, less than six months from now, sold to customers at an expensive price, this is Amazon's service? Everyone "&amp;"please keep their eyes open, do not buy here, so as not to be deceived again.")</f>
        <v>Very poor Amazon shopping how can soon be expired products sent to customers? In the Amazon shopping experience is very poor, to expire January 19, less than six months from now, sold to customers at an expensive price, this is Amazon's service? Everyone please keep their eyes open, do not buy here, so as not to be deceived again.</v>
      </c>
    </row>
    <row r="10010">
      <c r="A10010" s="1">
        <v>1.0</v>
      </c>
      <c r="B10010" s="1" t="s">
        <v>9937</v>
      </c>
      <c r="C10010" t="str">
        <f>IFERROR(__xludf.DUMMYFUNCTION("GOOGLETRANSLATE(B10010, ""zh"", ""en"")"),"Poor quality, said a very bad shopping experience, kettle bought a week to start the bottom of the leak, contact the seller even let me directly to the factory after-sales service, dealing with customers such attitude was very puzzled.")</f>
        <v>Poor quality, said a very bad shopping experience, kettle bought a week to start the bottom of the leak, contact the seller even let me directly to the factory after-sales service, dealing with customers such attitude was very puzzled.</v>
      </c>
    </row>
    <row r="10011">
      <c r="A10011" s="1">
        <v>1.0</v>
      </c>
      <c r="B10011" s="1" t="s">
        <v>9938</v>
      </c>
      <c r="C10011" t="str">
        <f>IFERROR(__xludf.DUMMYFUNCTION("GOOGLETRANSLATE(B10011, ""zh"", ""en"")"),"Do not buy bad 👎 very poor, large differences in color and pictures, good workmanship 👎 return to Erbai more than shipping. So no return, sad ah, heartache money")</f>
        <v>Do not buy bad 👎 very poor, large differences in color and pictures, good workmanship 👎 return to Erbai more than shipping. So no return, sad ah, heartache money</v>
      </c>
    </row>
    <row r="10012">
      <c r="A10012" s="1">
        <v>4.0</v>
      </c>
      <c r="B10012" s="1" t="s">
        <v>9939</v>
      </c>
      <c r="C10012" t="str">
        <f>IFERROR(__xludf.DUMMYFUNCTION("GOOGLETRANSLATE(B10012, ""zh"", ""en"")"),"Quite like the good-looking version")</f>
        <v>Quite like the good-looking version</v>
      </c>
    </row>
    <row r="10013">
      <c r="A10013" s="1">
        <v>4.0</v>
      </c>
      <c r="B10013" s="1" t="s">
        <v>9940</v>
      </c>
      <c r="C10013" t="str">
        <f>IFERROR(__xludf.DUMMYFUNCTION("GOOGLETRANSLATE(B10013, ""zh"", ""en"")"),"The first echelon of speed, but not to the extreme. Samsung SSD consistently high standard of quality, but most of the Samsung SSD old players, the speed has not reached the extreme, and replaced the 960 as compared to their own, and not stunning to.")</f>
        <v>The first echelon of speed, but not to the extreme. Samsung SSD consistently high standard of quality, but most of the Samsung SSD old players, the speed has not reached the extreme, and replaced the 960 as compared to their own, and not stunning to.</v>
      </c>
    </row>
    <row r="10014">
      <c r="A10014" s="1">
        <v>4.0</v>
      </c>
      <c r="B10014" s="1" t="s">
        <v>9941</v>
      </c>
      <c r="C10014" t="str">
        <f>IFERROR(__xludf.DUMMYFUNCTION("GOOGLETRANSLATE(B10014, ""zh"", ""en"")"),"timber 38 yards wide of the left foot, but should be a good point to buy freshman yards shoes is not very fat, very nice pedicure on foot super type")</f>
        <v>timber 38 yards wide of the left foot, but should be a good point to buy freshman yards shoes is not very fat, very nice pedicure on foot super type</v>
      </c>
    </row>
    <row r="10015">
      <c r="A10015" s="1">
        <v>4.0</v>
      </c>
      <c r="B10015" s="1" t="s">
        <v>6296</v>
      </c>
      <c r="C10015" t="str">
        <f>IFERROR(__xludf.DUMMYFUNCTION("GOOGLETRANSLATE(B10015, ""zh"", ""en"")"),"High Yan good value, lightweight, easy to use, I believe Amazon to buy overseas. prime Member Provincial postage. It will buy.")</f>
        <v>High Yan good value, lightweight, easy to use, I believe Amazon to buy overseas. prime Member Provincial postage. It will buy.</v>
      </c>
    </row>
    <row r="10016">
      <c r="A10016" s="1">
        <v>5.0</v>
      </c>
      <c r="B10016" s="1" t="s">
        <v>9942</v>
      </c>
      <c r="C10016" t="str">
        <f>IFERROR(__xludf.DUMMYFUNCTION("GOOGLETRANSLATE(B10016, ""zh"", ""en"")"),"Very comfortable cotton, thick, rendering good wear, 172cm, 65kg, just wear s, Slim")</f>
        <v>Very comfortable cotton, thick, rendering good wear, 172cm, 65kg, just wear s, Slim</v>
      </c>
    </row>
    <row r="10017">
      <c r="A10017" s="1">
        <v>5.0</v>
      </c>
      <c r="B10017" s="1" t="s">
        <v>9943</v>
      </c>
      <c r="C10017" t="str">
        <f>IFERROR(__xludf.DUMMYFUNCTION("GOOGLETRANSLATE(B10017, ""zh"", ""en"")"),"Small size, distribution and soon 172cm / 64kg, L numbers just right, could the Japanese version of the small size of it. After one week to the next single, commercially overseas also very fast. Praise.")</f>
        <v>Small size, distribution and soon 172cm / 64kg, L numbers just right, could the Japanese version of the small size of it. After one week to the next single, commercially overseas also very fast. Praise.</v>
      </c>
    </row>
    <row r="10018">
      <c r="A10018" s="1">
        <v>5.0</v>
      </c>
      <c r="B10018" s="1" t="s">
        <v>9944</v>
      </c>
      <c r="C10018" t="str">
        <f>IFERROR(__xludf.DUMMYFUNCTION("GOOGLETRANSLATE(B10018, ""zh"", ""en"")"),"Fixed suction cup can be fixed on the desktop, is a good tool when the baby to eat food supplement.")</f>
        <v>Fixed suction cup can be fixed on the desktop, is a good tool when the baby to eat food supplement.</v>
      </c>
    </row>
    <row r="10019">
      <c r="A10019" s="1">
        <v>5.0</v>
      </c>
      <c r="B10019" s="1" t="s">
        <v>9945</v>
      </c>
      <c r="C10019" t="str">
        <f>IFERROR(__xludf.DUMMYFUNCTION("GOOGLETRANSLATE(B10019, ""zh"", ""en"")"),"Has been good purchase, price, style, fabrics are good")</f>
        <v>Has been good purchase, price, style, fabrics are good</v>
      </c>
    </row>
    <row r="10020">
      <c r="A10020" s="1">
        <v>5.0</v>
      </c>
      <c r="B10020" s="1" t="s">
        <v>9946</v>
      </c>
      <c r="C10020" t="str">
        <f>IFERROR(__xludf.DUMMYFUNCTION("GOOGLETRANSLATE(B10020, ""zh"", ""en"")"),"Baby food supplement store with good quality, with a period of time, the amount of each food supplement open-minded, very convenient")</f>
        <v>Baby food supplement store with good quality, with a period of time, the amount of each food supplement open-minded, very convenient</v>
      </c>
    </row>
    <row r="10021">
      <c r="A10021" s="1">
        <v>5.0</v>
      </c>
      <c r="B10021" s="1" t="s">
        <v>9947</v>
      </c>
      <c r="C10021" t="str">
        <f>IFERROR(__xludf.DUMMYFUNCTION("GOOGLETRANSLATE(B10021, ""zh"", ""en"")"),"Suitable length, a little bit heavy shoes, shoe size is very appropriate, at the foot a little bit tight, wearing a few feet should meet. Shoes a little bit heavy. Overall, still very good, vain waited so long")</f>
        <v>Suitable length, a little bit heavy shoes, shoe size is very appropriate, at the foot a little bit tight, wearing a few feet should meet. Shoes a little bit heavy. Overall, still very good, vain waited so long</v>
      </c>
    </row>
    <row r="10022">
      <c r="A10022" s="1">
        <v>5.0</v>
      </c>
      <c r="B10022" s="1" t="s">
        <v>9948</v>
      </c>
      <c r="C10022" t="str">
        <f>IFERROR(__xludf.DUMMYFUNCTION("GOOGLETRANSLATE(B10022, ""zh"", ""en"")"),"Great time to buy a lot of product price, the texture is also very good, moderate size. Just do not know by without a strap, leather strap with high water feeling very contradictory.")</f>
        <v>Great time to buy a lot of product price, the texture is also very good, moderate size. Just do not know by without a strap, leather strap with high water feeling very contradictory.</v>
      </c>
    </row>
    <row r="10023">
      <c r="A10023" s="1">
        <v>5.0</v>
      </c>
      <c r="B10023" s="1" t="s">
        <v>9949</v>
      </c>
      <c r="C10023" t="str">
        <f>IFERROR(__xludf.DUMMYFUNCTION("GOOGLETRANSLATE(B10023, ""zh"", ""en"")"),"German origin, extraordinary strength! This is very easy to use, Dea bought one, spent five years as new!")</f>
        <v>German origin, extraordinary strength! This is very easy to use, Dea bought one, spent five years as new!</v>
      </c>
    </row>
    <row r="10024">
      <c r="A10024" s="1">
        <v>5.0</v>
      </c>
      <c r="B10024" s="1" t="s">
        <v>9950</v>
      </c>
      <c r="C10024" t="str">
        <f>IFERROR(__xludf.DUMMYFUNCTION("GOOGLETRANSLATE(B10024, ""zh"", ""en"")"),"In other straw straw child with Amazon or better")</f>
        <v>In other straw straw child with Amazon or better</v>
      </c>
    </row>
    <row r="10025">
      <c r="A10025" s="1">
        <v>5.0</v>
      </c>
      <c r="B10025" s="1" t="s">
        <v>9951</v>
      </c>
      <c r="C10025" t="str">
        <f>IFERROR(__xludf.DUMMYFUNCTION("GOOGLETRANSLATE(B10025, ""zh"", ""en"")"),"Exquisite, smooth writing experience to write it, and no different from ordinary ball-point pen, good workmanship")</f>
        <v>Exquisite, smooth writing experience to write it, and no different from ordinary ball-point pen, good workmanship</v>
      </c>
    </row>
    <row r="10026">
      <c r="A10026" s="1">
        <v>5.0</v>
      </c>
      <c r="B10026" s="1" t="s">
        <v>9952</v>
      </c>
      <c r="C10026" t="str">
        <f>IFERROR(__xludf.DUMMYFUNCTION("GOOGLETRANSLATE(B10026, ""zh"", ""en"")"),"Ghost Ghost 12 12 always feels great curved sole, elastic force is preferably controlled ghost and back, neither too much drag while maintaining rebound, while better than ASICs weight control, but also good air permeability, necessary player 320-430 trai"&amp;"ning shoes the lacing system is not upgraded it, from the beginning has been such a ghost 9")</f>
        <v>Ghost Ghost 12 12 always feels great curved sole, elastic force is preferably controlled ghost and back, neither too much drag while maintaining rebound, while better than ASICs weight control, but also good air permeability, necessary player 320-430 training shoes the lacing system is not upgraded it, from the beginning has been such a ghost 9</v>
      </c>
    </row>
    <row r="10027">
      <c r="A10027" s="1">
        <v>5.0</v>
      </c>
      <c r="B10027" s="1" t="s">
        <v>9953</v>
      </c>
      <c r="C10027" t="str">
        <f>IFERROR(__xludf.DUMMYFUNCTION("GOOGLETRANSLATE(B10027, ""zh"", ""en"")"),"Physical box as Top hard disk cartridge, two buy two, performance is quite good, in use, to be observed")</f>
        <v>Physical box as Top hard disk cartridge, two buy two, performance is quite good, in use, to be observed</v>
      </c>
    </row>
    <row r="10028">
      <c r="A10028" s="1">
        <v>5.0</v>
      </c>
      <c r="B10028" s="1" t="s">
        <v>9954</v>
      </c>
      <c r="C10028" t="str">
        <f>IFERROR(__xludf.DUMMYFUNCTION("GOOGLETRANSLATE(B10028, ""zh"", ""en"")"),"Before comparing the impact of very strong rain shower more Japanese brands, speculated that the actual results will not differ greatly, chose this because the metallic color value is also good, the price close to 300 actual hand, think price is not high."&amp;" The family have been using the Grohe family, in order to install this Mizakae shower, own specially took water tee, so you can use two Grohe shower and Mizakae simultaneously. Contrast this shower, the characteristics of this water really fine, but the w"&amp;"ater pressure is relatively large because the family's sake, a lot of water dynamics, if close to the shower outlet, then the face and lips will be significant prickling feeling normal use require a greater distance interval is appropriate, perhaps this i"&amp;"s more suitable for low water pressure shower this user's sake. Of course, the advantage of strong high impact as washing water cannons outside appearance, hair and body wash foam efficiency, with good results, I feel the recent showers have time shortene"&amp;"d. To sum up, Grohe Ye Hao, Japan showers good, I did not feel personally experienced after evaluating many people as outstanding level of comfort and enjoyment, like rational view.")</f>
        <v>Before comparing the impact of very strong rain shower more Japanese brands, speculated that the actual results will not differ greatly, chose this because the metallic color value is also good, the price close to 300 actual hand, think price is not high. The family have been using the Grohe family, in order to install this Mizakae shower, own specially took water tee, so you can use two Grohe shower and Mizakae simultaneously. Contrast this shower, the characteristics of this water really fine, but the water pressure is relatively large because the family's sake, a lot of water dynamics, if close to the shower outlet, then the face and lips will be significant prickling feeling normal use require a greater distance interval is appropriate, perhaps this is more suitable for low water pressure shower this user's sake. Of course, the advantage of strong high impact as washing water cannons outside appearance, hair and body wash foam efficiency, with good results, I feel the recent showers have time shortened. To sum up, Grohe Ye Hao, Japan showers good, I did not feel personally experienced after evaluating many people as outstanding level of comfort and enjoyment, like rational view.</v>
      </c>
    </row>
    <row r="10029">
      <c r="A10029" s="1">
        <v>5.0</v>
      </c>
      <c r="B10029" s="1" t="s">
        <v>9955</v>
      </c>
      <c r="C10029" t="str">
        <f>IFERROR(__xludf.DUMMYFUNCTION("GOOGLETRANSLATE(B10029, ""zh"", ""en"")"),"Quality is very good. Feel good, coming from Japan is packaged in place. If men have the stomach, it is best to buy a larger size, without this number quite good.")</f>
        <v>Quality is very good. Feel good, coming from Japan is packaged in place. If men have the stomach, it is best to buy a larger size, without this number quite good.</v>
      </c>
    </row>
    <row r="10030">
      <c r="A10030" s="1">
        <v>5.0</v>
      </c>
      <c r="B10030" s="1" t="s">
        <v>9956</v>
      </c>
      <c r="C10030" t="str">
        <f>IFERROR(__xludf.DUMMYFUNCTION("GOOGLETRANSLATE(B10030, ""zh"", ""en"")"),"200 less comfortable to buy foreign purchase of 10 days of arrival 180 90KG usually waist 90CM 34 W * 32 may also be a little bit of force of feeling comfortable to wear for autumn and winter wear thickness")</f>
        <v>200 less comfortable to buy foreign purchase of 10 days of arrival 180 90KG usually waist 90CM 34 W * 32 may also be a little bit of force of feeling comfortable to wear for autumn and winter wear thickness</v>
      </c>
    </row>
    <row r="10031">
      <c r="A10031" s="1">
        <v>5.0</v>
      </c>
      <c r="B10031" s="1" t="s">
        <v>9957</v>
      </c>
      <c r="C10031" t="str">
        <f>IFERROR(__xludf.DUMMYFUNCTION("GOOGLETRANSLATE(B10031, ""zh"", ""en"")"),"Like you can have, been Amway bottle")</f>
        <v>Like you can have, been Amway bottle</v>
      </c>
    </row>
    <row r="10032">
      <c r="A10032" s="1">
        <v>5.0</v>
      </c>
      <c r="B10032" s="1" t="s">
        <v>9958</v>
      </c>
      <c r="C10032" t="str">
        <f>IFERROR(__xludf.DUMMYFUNCTION("GOOGLETRANSLATE(B10032, ""zh"", ""en"")"),"Like like like the price is not bad, but is imported from Japan (little things, big box), I feel very value, praise!")</f>
        <v>Like like like the price is not bad, but is imported from Japan (little things, big box), I feel very value, praise!</v>
      </c>
    </row>
    <row r="10033">
      <c r="A10033" s="1">
        <v>5.0</v>
      </c>
      <c r="B10033" s="1" t="s">
        <v>9959</v>
      </c>
      <c r="C10033" t="str">
        <f>IFERROR(__xludf.DUMMYFUNCTION("GOOGLETRANSLATE(B10033, ""zh"", ""en"")"),"Yes. About her husband 173,150 pounds, M code a little bit long, clothes and sleeves a little. But part of the body fat or thin suitable. Husband broad shoulders, the kind of body fitness.")</f>
        <v>Yes. About her husband 173,150 pounds, M code a little bit long, clothes and sleeves a little. But part of the body fat or thin suitable. Husband broad shoulders, the kind of body fitness.</v>
      </c>
    </row>
    <row r="10034">
      <c r="A10034" s="1">
        <v>5.0</v>
      </c>
      <c r="B10034" s="1" t="s">
        <v>9960</v>
      </c>
      <c r="C10034" t="str">
        <f>IFERROR(__xludf.DUMMYFUNCTION("GOOGLETRANSLATE(B10034, ""zh"", ""en"")"),"Receiving ~ bottle has wanted something good ~")</f>
        <v>Receiving ~ bottle has wanted something good ~</v>
      </c>
    </row>
    <row r="10035">
      <c r="A10035" s="1">
        <v>5.0</v>
      </c>
      <c r="B10035" s="1" t="s">
        <v>9961</v>
      </c>
      <c r="C10035" t="str">
        <f>IFERROR(__xludf.DUMMYFUNCTION("GOOGLETRANSLATE(B10035, ""zh"", ""en"")"),"And so on to a good baby after the age of a very cute")</f>
        <v>And so on to a good baby after the age of a very cute</v>
      </c>
    </row>
    <row r="10036">
      <c r="A10036" s="1">
        <v>5.0</v>
      </c>
      <c r="B10036" s="1" t="s">
        <v>9962</v>
      </c>
      <c r="C10036" t="str">
        <f>IFERROR(__xludf.DUMMYFUNCTION("GOOGLETRANSLATE(B10036, ""zh"", ""en"")"),"I want to buy my mother. Comfortable, good elasticity. Exquisite workmanship.")</f>
        <v>I want to buy my mother. Comfortable, good elasticity. Exquisite workmanship.</v>
      </c>
    </row>
    <row r="10037">
      <c r="A10037" s="1">
        <v>5.0</v>
      </c>
      <c r="B10037" s="1" t="s">
        <v>9963</v>
      </c>
      <c r="C10037" t="str">
        <f>IFERROR(__xludf.DUMMYFUNCTION("GOOGLETRANSLATE(B10037, ""zh"", ""en"")"),"Fit, strong and appropriate: the tip of appropriate thickness (about 0.5 bar), hand-held feel good, easy to carry. Strong: do not worry about easily broken, very reliable operation pen. Unfortunately: After take off the cap, used to set the pen tail, but "&amp;"could not get tight, am I out of?")</f>
        <v>Fit, strong and appropriate: the tip of appropriate thickness (about 0.5 bar), hand-held feel good, easy to carry. Strong: do not worry about easily broken, very reliable operation pen. Unfortunately: After take off the cap, used to set the pen tail, but could not get tight, am I out of?</v>
      </c>
    </row>
    <row r="10038">
      <c r="A10038" s="1">
        <v>2.0</v>
      </c>
      <c r="B10038" s="1" t="s">
        <v>9964</v>
      </c>
      <c r="C10038" t="str">
        <f>IFERROR(__xludf.DUMMYFUNCTION("GOOGLETRANSLATE(B10038, ""zh"", ""en"")"),"Before buying this installation must be careful to buy the brand contact technical support department to see if you can because the general location of installation services with the installation of the master installation Stands is a bit special because "&amp;"I can not install the installation problems eventually forced to return the")</f>
        <v>Before buying this installation must be careful to buy the brand contact technical support department to see if you can because the general location of installation services with the installation of the master installation Stands is a bit special because I can not install the installation problems eventually forced to return the</v>
      </c>
    </row>
    <row r="10039">
      <c r="A10039" s="1">
        <v>3.0</v>
      </c>
      <c r="B10039" s="1" t="s">
        <v>9965</v>
      </c>
      <c r="C10039" t="str">
        <f>IFERROR(__xludf.DUMMYFUNCTION("GOOGLETRANSLATE(B10039, ""zh"", ""en"")"),"Comfort worse shoe size smaller in peacetime 35.36 yards in the foot this 3.5 full. Good-looking, but I and other outdoor shoes relatively worse than comfort. Chuan Chuan usually stay, do not travel on foot wear!")</f>
        <v>Comfort worse shoe size smaller in peacetime 35.36 yards in the foot this 3.5 full. Good-looking, but I and other outdoor shoes relatively worse than comfort. Chuan Chuan usually stay, do not travel on foot wear!</v>
      </c>
    </row>
    <row r="10040">
      <c r="A10040" s="1">
        <v>3.0</v>
      </c>
      <c r="B10040" s="1" t="s">
        <v>9966</v>
      </c>
      <c r="C10040" t="str">
        <f>IFERROR(__xludf.DUMMYFUNCTION("GOOGLETRANSLATE(B10040, ""zh"", ""en"")"),"Buy quality is not just the appearance, but the yardage allowed, small disappointed! Logistics very fast, up to 10 days! Absolute code number is too large, usually wear shoes 39, which are much larger double 38.5! Nike shoes to buy 40 did not this big dou"&amp;"ble the 38.5")</f>
        <v>Buy quality is not just the appearance, but the yardage allowed, small disappointed! Logistics very fast, up to 10 days! Absolute code number is too large, usually wear shoes 39, which are much larger double 38.5! Nike shoes to buy 40 did not this big double the 38.5</v>
      </c>
    </row>
    <row r="10041">
      <c r="A10041" s="1">
        <v>3.0</v>
      </c>
      <c r="B10041" s="1" t="s">
        <v>9967</v>
      </c>
      <c r="C10041" t="str">
        <f>IFERROR(__xludf.DUMMYFUNCTION("GOOGLETRANSLATE(B10041, ""zh"", ""en"")"),"General packaging simple, open the box has been completely broken open, but fortunately no problem with pot, look no commented that black carbon particles before buying, the first pass filter Hudi all black carbon particles, repeatedly filtered several ti"&amp;"mes a little bit better, with domestic almost buy")</f>
        <v>General packaging simple, open the box has been completely broken open, but fortunately no problem with pot, look no commented that black carbon particles before buying, the first pass filter Hudi all black carbon particles, repeatedly filtered several times a little bit better, with domestic almost buy</v>
      </c>
    </row>
    <row r="10042">
      <c r="A10042" s="1">
        <v>1.0</v>
      </c>
      <c r="B10042" s="1" t="s">
        <v>9968</v>
      </c>
      <c r="C10042" t="str">
        <f>IFERROR(__xludf.DUMMYFUNCTION("GOOGLETRANSLATE(B10042, ""zh"", ""en"")"),"No formal packaging, plastic bags and a random unrelated no formal packaging, a random unrelated plastic bags")</f>
        <v>No formal packaging, plastic bags and a random unrelated no formal packaging, a random unrelated plastic bags</v>
      </c>
    </row>
    <row r="10043">
      <c r="A10043" s="1">
        <v>1.0</v>
      </c>
      <c r="B10043" s="1" t="s">
        <v>9969</v>
      </c>
      <c r="C10043" t="str">
        <f>IFERROR(__xludf.DUMMYFUNCTION("GOOGLETRANSLATE(B10043, ""zh"", ""en"")"),"Upper scratches, scratches hard soles uppers, soles very hard, uncomfortable to wear")</f>
        <v>Upper scratches, scratches hard soles uppers, soles very hard, uncomfortable to wear</v>
      </c>
    </row>
    <row r="10044">
      <c r="A10044" s="1">
        <v>4.0</v>
      </c>
      <c r="B10044" s="1" t="s">
        <v>9970</v>
      </c>
      <c r="C10044" t="str">
        <f>IFERROR(__xludf.DUMMYFUNCTION("GOOGLETRANSLATE(B10044, ""zh"", ""en"")"),"You can also right not to know is not genuine, I feel you can, and contrast is too genuine, basically no taste, after all, is the glue, not to put too hot water.")</f>
        <v>You can also right not to know is not genuine, I feel you can, and contrast is too genuine, basically no taste, after all, is the glue, not to put too hot water.</v>
      </c>
    </row>
    <row r="10045">
      <c r="A10045" s="1">
        <v>4.0</v>
      </c>
      <c r="B10045" s="1" t="s">
        <v>9971</v>
      </c>
      <c r="C10045" t="str">
        <f>IFERROR(__xludf.DUMMYFUNCTION("GOOGLETRANSLATE(B10045, ""zh"", ""en"")"),"Glass bowl with two might not be durable, and a good glass bowl dough a bit tight, looks like a glass bowl with a long does the problem occur.")</f>
        <v>Glass bowl with two might not be durable, and a good glass bowl dough a bit tight, looks like a glass bowl with a long does the problem occur.</v>
      </c>
    </row>
    <row r="10046">
      <c r="A10046" s="1">
        <v>4.0</v>
      </c>
      <c r="B10046" s="1" t="s">
        <v>9972</v>
      </c>
      <c r="C10046" t="str">
        <f>IFERROR(__xludf.DUMMYFUNCTION("GOOGLETRANSLATE(B10046, ""zh"", ""en"")"),"Hai Hai purchase ten days for the first time to buy, really waiting for a long time, there are about 14 days. Wearing pretty good. A little bit small. But overall still satisfied with it")</f>
        <v>Hai Hai purchase ten days for the first time to buy, really waiting for a long time, there are about 14 days. Wearing pretty good. A little bit small. But overall still satisfied with it</v>
      </c>
    </row>
    <row r="10047">
      <c r="A10047" s="1">
        <v>4.0</v>
      </c>
      <c r="B10047" s="1" t="s">
        <v>9973</v>
      </c>
      <c r="C10047" t="str">
        <f>IFERROR(__xludf.DUMMYFUNCTION("GOOGLETRANSLATE(B10047, ""zh"", ""en"")"),"Central Asian customer praise, praise goods, British-Poor gone so many years in the Amazon, accidentally caught a ...... receive the package, turn out the host, found no stainless steel pots in position, is in for a misplaced the state placed on the host "&amp;"...... concluded that: due to misalignment of the way the card on the host, causing the host body stainless steel collection basin edge wear, resulting in damage to the main body paint, while also breaking the base calculation, see picture. After carefull"&amp;"y check the packaging, packaging is also found that while there is also a breakage. So one must question the goods purchased abroad, send away for so long, why only the original packaging, there is no proof of additional packaging additional crash protect"&amp;"ion measure it? Asia also have to admire the British Heart! However, the evaluation of any reason why 4 stars, because the product itself is worth buying, while Central Asia timely processing customer service, help me solve the problem, directly back the "&amp;"full amount, I do not need to come back to send the return to face the consequences ...... I do not know hi or the worry? But the attitude and manner are commendable, and therefore worthy of 4 stars. British-Well! Do not say ......")</f>
        <v>Central Asian customer praise, praise goods, British-Poor gone so many years in the Amazon, accidentally caught a ...... receive the package, turn out the host, found no stainless steel pots in position, is in for a misplaced the state placed on the host ...... concluded that: due to misalignment of the way the card on the host, causing the host body stainless steel collection basin edge wear, resulting in damage to the main body paint, while also breaking the base calculation, see picture. After carefully check the packaging, packaging is also found that while there is also a breakage. So one must question the goods purchased abroad, send away for so long, why only the original packaging, there is no proof of additional packaging additional crash protection measure it? Asia also have to admire the British Heart! However, the evaluation of any reason why 4 stars, because the product itself is worth buying, while Central Asia timely processing customer service, help me solve the problem, directly back the full amount, I do not need to come back to send the return to face the consequences ...... I do not know hi or the worry? But the attitude and manner are commendable, and therefore worthy of 4 stars. British-Well! Do not say ......</v>
      </c>
    </row>
    <row r="10048">
      <c r="A10048" s="1">
        <v>4.0</v>
      </c>
      <c r="B10048" s="1" t="s">
        <v>9974</v>
      </c>
      <c r="C10048" t="str">
        <f>IFERROR(__xludf.DUMMYFUNCTION("GOOGLETRANSLATE(B10048, ""zh"", ""en"")"),"Very good feel a little heavy to wear the right size, but if the ankle leather is perfect.")</f>
        <v>Very good feel a little heavy to wear the right size, but if the ankle leather is perfect.</v>
      </c>
    </row>
    <row r="10049">
      <c r="A10049" s="1">
        <v>5.0</v>
      </c>
      <c r="B10049" s="1" t="s">
        <v>9975</v>
      </c>
      <c r="C10049" t="str">
        <f>IFERROR(__xludf.DUMMYFUNCTION("GOOGLETRANSLATE(B10049, ""zh"", ""en"")"),"Mid very good choice, a lot cheaper than the domestic, but also genuine doubt!")</f>
        <v>Mid very good choice, a lot cheaper than the domestic, but also genuine doubt!</v>
      </c>
    </row>
    <row r="10050">
      <c r="A10050" s="1">
        <v>5.0</v>
      </c>
      <c r="B10050" s="1" t="s">
        <v>9976</v>
      </c>
      <c r="C10050" t="str">
        <f>IFERROR(__xludf.DUMMYFUNCTION("GOOGLETRANSLATE(B10050, ""zh"", ""en"")"),"Like praise, praise")</f>
        <v>Like praise, praise</v>
      </c>
    </row>
    <row r="10051">
      <c r="A10051" s="1">
        <v>5.0</v>
      </c>
      <c r="B10051" s="1" t="s">
        <v>9977</v>
      </c>
      <c r="C10051" t="str">
        <f>IFERROR(__xludf.DUMMYFUNCTION("GOOGLETRANSLATE(B10051, ""zh"", ""en"")"),"I like very satisfied, logistics quickly, I have been consulting other websites, packaging intact before did not buy, which the others have, and then I look at the product description, picture contrast, it should be genuine. This table feel good, a bit th"&amp;"ick table, just started wearing a little uncomfortable, buckle more, when it comes to nothing during the day with the feeling, I walk in the street at night and found it very nice table in the evening, very fashionable, then it there luminous function, re"&amp;"ally Naisbitt")</f>
        <v>I like very satisfied, logistics quickly, I have been consulting other websites, packaging intact before did not buy, which the others have, and then I look at the product description, picture contrast, it should be genuine. This table feel good, a bit thick table, just started wearing a little uncomfortable, buckle more, when it comes to nothing during the day with the feeling, I walk in the street at night and found it very nice table in the evening, very fashionable, then it there luminous function, really Naisbitt</v>
      </c>
    </row>
    <row r="10052">
      <c r="A10052" s="1">
        <v>5.0</v>
      </c>
      <c r="B10052" s="1" t="s">
        <v>9978</v>
      </c>
      <c r="C10052" t="str">
        <f>IFERROR(__xludf.DUMMYFUNCTION("GOOGLETRANSLATE(B10052, ""zh"", ""en"")"),"Lovely worth buying did not taste very cute not to use tried it although it will slide but not easily knocked over")</f>
        <v>Lovely worth buying did not taste very cute not to use tried it although it will slide but not easily knocked over</v>
      </c>
    </row>
    <row r="10053">
      <c r="A10053" s="1">
        <v>5.0</v>
      </c>
      <c r="B10053" s="1" t="s">
        <v>9979</v>
      </c>
      <c r="C10053" t="str">
        <f>IFERROR(__xludf.DUMMYFUNCTION("GOOGLETRANSLATE(B10053, ""zh"", ""en"")"),"Really like his design very nice design")</f>
        <v>Really like his design very nice design</v>
      </c>
    </row>
    <row r="10054">
      <c r="A10054" s="1">
        <v>5.0</v>
      </c>
      <c r="B10054" s="1" t="s">
        <v>9980</v>
      </c>
      <c r="C10054" t="str">
        <f>IFERROR(__xludf.DUMMYFUNCTION("GOOGLETRANSLATE(B10054, ""zh"", ""en"")"),"Waterproof satisfied, size is also very standard, very comfortable to wear, good")</f>
        <v>Waterproof satisfied, size is also very standard, very comfortable to wear, good</v>
      </c>
    </row>
    <row r="10055">
      <c r="A10055" s="1">
        <v>5.0</v>
      </c>
      <c r="B10055" s="1" t="s">
        <v>9981</v>
      </c>
      <c r="C10055" t="str">
        <f>IFERROR(__xludf.DUMMYFUNCTION("GOOGLETRANSLATE(B10055, ""zh"", ""en"")"),"Fit very fit, like a little loose can buy little freshman")</f>
        <v>Fit very fit, like a little loose can buy little freshman</v>
      </c>
    </row>
    <row r="10056">
      <c r="A10056" s="1">
        <v>5.0</v>
      </c>
      <c r="B10056" s="1" t="s">
        <v>9982</v>
      </c>
      <c r="C10056" t="str">
        <f>IFERROR(__xludf.DUMMYFUNCTION("GOOGLETRANSLATE(B10056, ""zh"", ""en"")"),"Good quality, easy to use much better quality than the cheaper domestic, Ye Hao, very good.")</f>
        <v>Good quality, easy to use much better quality than the cheaper domestic, Ye Hao, very good.</v>
      </c>
    </row>
    <row r="10057">
      <c r="A10057" s="1">
        <v>5.0</v>
      </c>
      <c r="B10057" s="1" t="s">
        <v>9983</v>
      </c>
      <c r="C10057" t="str">
        <f>IFERROR(__xludf.DUMMYFUNCTION("GOOGLETRANSLATE(B10057, ""zh"", ""en"")"),"Amazon has been well trusted, shelf life to 2021, very good! A bottle of 122 yuan!")</f>
        <v>Amazon has been well trusted, shelf life to 2021, very good! A bottle of 122 yuan!</v>
      </c>
    </row>
    <row r="10058">
      <c r="A10058" s="1">
        <v>5.0</v>
      </c>
      <c r="B10058" s="1" t="s">
        <v>5096</v>
      </c>
      <c r="C10058" t="str">
        <f>IFERROR(__xludf.DUMMYFUNCTION("GOOGLETRANSLATE(B10058, ""zh"", ""en"")"),"Comfortable to buy a fat mother, the maximum number suitable, she said to her through the most comfortable underwear")</f>
        <v>Comfortable to buy a fat mother, the maximum number suitable, she said to her through the most comfortable underwear</v>
      </c>
    </row>
    <row r="10059">
      <c r="A10059" s="1">
        <v>5.0</v>
      </c>
      <c r="B10059" s="1" t="s">
        <v>9984</v>
      </c>
      <c r="C10059" t="str">
        <f>IFERROR(__xludf.DUMMYFUNCTION("GOOGLETRANSLATE(B10059, ""zh"", ""en"")"),"Quality can be, the right size to wear comfortable quality can be, the right size and comfortable to wear")</f>
        <v>Quality can be, the right size to wear comfortable quality can be, the right size and comfortable to wear</v>
      </c>
    </row>
    <row r="10060">
      <c r="A10060" s="1">
        <v>5.0</v>
      </c>
      <c r="B10060" s="1" t="s">
        <v>9985</v>
      </c>
      <c r="C10060" t="str">
        <f>IFERROR(__xludf.DUMMYFUNCTION("GOOGLETRANSLATE(B10060, ""zh"", ""en"")"),"Until finally, will not let you down! Until finally, will not let you down!")</f>
        <v>Until finally, will not let you down! Until finally, will not let you down!</v>
      </c>
    </row>
    <row r="10061">
      <c r="A10061" s="1">
        <v>5.0</v>
      </c>
      <c r="B10061" s="1" t="s">
        <v>9986</v>
      </c>
      <c r="C10061" t="str">
        <f>IFERROR(__xludf.DUMMYFUNCTION("GOOGLETRANSLATE(B10061, ""zh"", ""en"")"),"Good 177cm, 80kg, M code is very fit. With Germany to buy almost before now. The price a little bit expensive")</f>
        <v>Good 177cm, 80kg, M code is very fit. With Germany to buy almost before now. The price a little bit expensive</v>
      </c>
    </row>
    <row r="10062">
      <c r="A10062" s="1">
        <v>5.0</v>
      </c>
      <c r="B10062" s="1" t="s">
        <v>9987</v>
      </c>
      <c r="C10062" t="str">
        <f>IFERROR(__xludf.DUMMYFUNCTION("GOOGLETRANSLATE(B10062, ""zh"", ""en"")"),"Sugar products should describe the product in sugar, it should be clearly stated in the introduction.")</f>
        <v>Sugar products should describe the product in sugar, it should be clearly stated in the introduction.</v>
      </c>
    </row>
    <row r="10063">
      <c r="A10063" s="1">
        <v>5.0</v>
      </c>
      <c r="B10063" s="1" t="s">
        <v>9988</v>
      </c>
      <c r="C10063" t="str">
        <f>IFERROR(__xludf.DUMMYFUNCTION("GOOGLETRANSLATE(B10063, ""zh"", ""en"")"),"The degree of regularity authentic looking packaging products other than domestic sea Amoy platform is much better")</f>
        <v>The degree of regularity authentic looking packaging products other than domestic sea Amoy platform is much better</v>
      </c>
    </row>
    <row r="10064">
      <c r="A10064" s="1">
        <v>5.0</v>
      </c>
      <c r="B10064" s="1" t="s">
        <v>9989</v>
      </c>
      <c r="C10064" t="str">
        <f>IFERROR(__xludf.DUMMYFUNCTION("GOOGLETRANSLATE(B10064, ""zh"", ""en"")"),"Bang Bang must be something good, and soon, very good, that is, slow delivery from us")</f>
        <v>Bang Bang must be something good, and soon, very good, that is, slow delivery from us</v>
      </c>
    </row>
    <row r="10065">
      <c r="A10065" s="1">
        <v>5.0</v>
      </c>
      <c r="B10065" s="1" t="s">
        <v>9990</v>
      </c>
      <c r="C10065" t="str">
        <f>IFERROR(__xludf.DUMMYFUNCTION("GOOGLETRANSLATE(B10065, ""zh"", ""en"")"),"Pretty headset most prominent feature is beautiful. Folded up very small. Sound, open sound is not ideal. Pot pot slightly better. Listen to rock okay, I think rock and roll is not high on quality requirements. Bluetooth is very convenient. Copper headset"&amp;" button function fully. A lot easier than the wired headset, and sometimes I'll just use it to listen to classical. The disadvantage is wearing a long press ear pain.")</f>
        <v>Pretty headset most prominent feature is beautiful. Folded up very small. Sound, open sound is not ideal. Pot pot slightly better. Listen to rock okay, I think rock and roll is not high on quality requirements. Bluetooth is very convenient. Copper headset button function fully. A lot easier than the wired headset, and sometimes I'll just use it to listen to classical. The disadvantage is wearing a long press ear pain.</v>
      </c>
    </row>
    <row r="10066">
      <c r="A10066" s="1">
        <v>5.0</v>
      </c>
      <c r="B10066" s="1" t="s">
        <v>9991</v>
      </c>
      <c r="C10066" t="str">
        <f>IFERROR(__xludf.DUMMYFUNCTION("GOOGLETRANSLATE(B10066, ""zh"", ""en"")"),"Practical brush cleaner than ever before, good product quality.")</f>
        <v>Practical brush cleaner than ever before, good product quality.</v>
      </c>
    </row>
    <row r="10067">
      <c r="A10067" s="1">
        <v>5.0</v>
      </c>
      <c r="B10067" s="1" t="s">
        <v>9992</v>
      </c>
      <c r="C10067" t="str">
        <f>IFERROR(__xludf.DUMMYFUNCTION("GOOGLETRANSLATE(B10067, ""zh"", ""en"")"),"Like to buy for mom and dad, a person's total Zojirushi Thermos, should be no problem")</f>
        <v>Like to buy for mom and dad, a person's total Zojirushi Thermos, should be no problem</v>
      </c>
    </row>
    <row r="10068">
      <c r="A10068" s="1">
        <v>5.0</v>
      </c>
      <c r="B10068" s="1" t="s">
        <v>9993</v>
      </c>
      <c r="C10068" t="str">
        <f>IFERROR(__xludf.DUMMYFUNCTION("GOOGLETRANSLATE(B10068, ""zh"", ""en"")"),"Amazon's self-Sanei faucet good quality, made in China does not come out. China will crudely.")</f>
        <v>Amazon's self-Sanei faucet good quality, made in China does not come out. China will crudely.</v>
      </c>
    </row>
    <row r="10069">
      <c r="A10069" s="1">
        <v>5.0</v>
      </c>
      <c r="B10069" s="1" t="s">
        <v>9994</v>
      </c>
      <c r="C10069" t="str">
        <f>IFERROR(__xludf.DUMMYFUNCTION("GOOGLETRANSLATE(B10069, ""zh"", ""en"")"),"Very little flaw, 1.5 yards size is too large, usually sports shoes 43, ecco 42 of the code a little big, if half of the code like")</f>
        <v>Very little flaw, 1.5 yards size is too large, usually sports shoes 43, ecco 42 of the code a little big, if half of the code like</v>
      </c>
    </row>
    <row r="10070">
      <c r="A10070" s="1">
        <v>2.0</v>
      </c>
      <c r="B10070" s="1" t="s">
        <v>9995</v>
      </c>
      <c r="C10070" t="str">
        <f>IFERROR(__xludf.DUMMYFUNCTION("GOOGLETRANSLATE(B10070, ""zh"", ""en"")"),"Not very good quality, hair loss, there is a small hole did not look to buy back, over a period of time to wear, found inside a scrape the sides of the hole day, has been washed twice, or to drop a lot of hair")</f>
        <v>Not very good quality, hair loss, there is a small hole did not look to buy back, over a period of time to wear, found inside a scrape the sides of the hole day, has been washed twice, or to drop a lot of hair</v>
      </c>
    </row>
    <row r="10071">
      <c r="A10071" s="1">
        <v>3.0</v>
      </c>
      <c r="B10071" s="1" t="s">
        <v>9996</v>
      </c>
      <c r="C10071" t="str">
        <f>IFERROR(__xludf.DUMMYFUNCTION("GOOGLETRANSLATE(B10071, ""zh"", ""en"")"),"Quality generally cover old out. Deprecated.")</f>
        <v>Quality generally cover old out. Deprecated.</v>
      </c>
    </row>
    <row r="10072">
      <c r="A10072" s="1">
        <v>3.0</v>
      </c>
      <c r="B10072" s="1" t="s">
        <v>9997</v>
      </c>
      <c r="C10072" t="str">
        <f>IFERROR(__xludf.DUMMYFUNCTION("GOOGLETRANSLATE(B10072, ""zh"", ""en"")"),"A little taste a little taste")</f>
        <v>A little taste a little taste</v>
      </c>
    </row>
    <row r="10073">
      <c r="A10073" s="1">
        <v>1.0</v>
      </c>
      <c r="B10073" s="1" t="s">
        <v>9998</v>
      </c>
      <c r="C10073" t="str">
        <f>IFERROR(__xludf.DUMMYFUNCTION("GOOGLETRANSLATE(B10073, ""zh"", ""en"")"),"Garbage, bad, no after-sale &lt;div id = ""video-block-R1OY7PODMA2T0X"" class = ""a-section a-spacing-small a-spacing-top-mini video-block""&gt; &lt;div tabindex = ""0"" class = ""airy airy-svg vmin-supported airy-skin-beacon"" style = ""background-color: rgb (0, "&amp;"0, 0); position: relative; width: 100%; height: 100%; font-size: 0px; overflow: hidden; outline: none; ""&gt; &lt;div class ="" airy-renderer-container ""style ="" position: relative; height: 100%; width: 100%; ""&gt; &lt;video id ="" 7 ""preload ="" auto ""src ="" h"&amp;"ttps://images-cn.ssl-images-amazon.com/images/I/81dnY7sDItS.mp4 ""style ="" position: absolute; left: 0px; top: 0px; overflow: hidden; height: 1px; width: 1px; ""&gt; &lt;/ video&gt; &lt;/ div&gt; &lt;div id ="" airy-slate-preload ""style ="" background-color: rgb (0, 0, 0"&amp;"); background-image: url (&amp; quot ; https: //images-cn.ssl-images-amazon.com/images/I/81PXjNEv2+S.png&amp;quot;); background-size: contain; background-position: center center; background-repeat: no-repeat; position: absolute; top: 0px; left: 0px; visibility: v"&amp;"isible; width: 100%; height: 100%; ""&gt; &lt;/ div&gt; &lt;ifr ame scrolling = ""no"" frameborder = ""0"" src = ""about: blank"" style = ""display: none;""&gt; &lt;/ iframe&gt; &lt;div tabindex = ""- 1"" class = ""airy-controls-container"" style = ""opacity: 0; visibility: hidd"&amp;"en;""&gt; &lt;div tabindex = ""- 1"" class = ""airy-screen-size-toggle airy-fullscreen""&gt; &lt;/ div&gt; &lt;div tabindex = ""- 1"" class = ""airy -container-bottom ""&gt; &lt;div tabindex ="" - 1 ""class ="" airy-track-bar-spacer-left ""style ="" width: 11px; ""&gt; &lt;/ div&gt; &lt;div"&amp;" tabindex ="" - 1 ""class = ""airy-play-toggle airy-play"" style = ""width: 12px; margin-right: 12px;""&gt; &lt;/ div&gt; &lt;div tabindex = ""- 1"" class = ""airy-audio-elements"" style = ""float : right; width: 34px; ""&gt; &lt;div tabindex ="" - 1 ""class ="" airy-audio"&amp;"-toggle airy-on ""&gt; &lt;/ div&gt; &lt;div tabindex ="" - 1 ""class ="" airy-audio-container ""style ="" opacity: 0; visibility: hidden; ""&gt; &lt;div tabindex ="" - 1 ""class ="" airy-audio-track-bar ""style ="" height: 80%; ""&gt; &lt;div tabindex ="" - 1 ""class ="" airy-a"&amp;"udio-scrubber-bar ""style ="" height:; -: 12px; 85% ""&gt; &lt;/ div&gt; &lt;div tabindex ="" 1 ""class ="" ""style ="" height airy-audio-scrubber bottom: 85%; ""&gt; &lt;/ div&gt; &lt;/ div&gt; &lt;/ div&gt; &lt;/ div&gt; &lt;div tabindex ="" - 1 ""class ="" airy-duratio n-label ""style ="" floa"&amp;"t: right; width: 26px; margin-right: 4px; text-align: center; ""&gt; 0:00 &lt;/ div&gt; &lt;div tabindex ="" - 1 ""class ="" airy-track -bar-spacer-right ""style ="" float: right; width: 11px; ""&gt; &lt;/ div&gt; &lt;div tabindex ="" - 1 ""class ="" airy-track-bar-container ""s"&amp;"tyle ="" margin-left: 35px; margin-right: 75px; ""&gt; &lt;div tabindex ="" - 1 ""class ="" airy-track-bar airy-vertical-centering-table ""&gt; &lt;div tabindex ="" - 1 ""class ="" airy-vertical- centering-table-cell ""&gt; &lt;div tabindex ="" - 1 ""class ="" airy-track-b"&amp;"ar-elements ""&gt; &lt;div tabindex ="" - 1 ""class ="" airy-progress-bar ""&gt; &lt;/ div&gt; &lt; div tabindex = ""- 1"" class = ""airy-scrubber-bar""&gt; &lt;/ div&gt; &lt;div tabindex = ""- 1"" class = ""airy-scrubber""&gt; &lt;div tabindex = ""- 1"" class = ""airy- scrubber-icon ""&gt; &lt;/"&amp;" div&gt; &lt;div tabindex ="" - 1 ""class ="" airy-adjusted-aui-tooltip ""style ="" opacity: 0; visibility: hidden; ""&gt; &lt;div tabindex ="" - 1 ""class = ""airy-adjusted-aui-tooltip-inner""&gt; &lt;div tabindex = ""- 1"" class = ""airy-current-time-label""&gt; 0:00 &lt;/ div"&amp;"&gt; &lt;/ div&gt; &lt;div tabindex = ""- 1 ""class ="" airy-adjusted-aui-arrow-border ""&gt; &lt;div tabindex ="" - 1 ""class ="" airy-adjusted-aui-arrow ""&gt; &lt;/ di v&gt; &lt;/ div&gt; &lt;/ div&gt; &lt;/ div&gt; &lt;/ div&gt; &lt;/ div&gt; &lt;/ div&gt; &lt;/ div&gt; &lt;/ div&gt; &lt;/ div&gt; &lt;div tabindex = ""- 1"" class = "&amp;"""airy -age-gate airy-stage airy-vertical-centering-table airy-dialog ""style ="" opacity: 0; visibility: hidden; ""&gt; &lt;div tabindex ="" - 1 ""class ="" airy-age-gate-vertical- centering-table-cell airy-vertical-centering-table-cell ""&gt; &lt;div tabindex ="" -"&amp;" 1 ""class ="" airy-vertical-centering-wrapper airy-age-gate-elements-wrapper ""&gt; &lt;div tabindex ="" -1 ""class ="" airy-age-gate-elements airy-dialog-elements ""&gt; &lt;div tabindex ="" - 1 ""class ="" airy-age-gate-prompt ""&gt; This video is not intended for al"&amp;"l audiences What. date were you born &lt;/ div&gt;? &lt;div tabindex = ""- 1"" class = ""airy-age-gate-inputs airy-dialog-inner-elements""&gt; &lt;select tabindex = ""- 1"" class = ""airy-age -gate-month ""&gt; &lt;option value ="" 1 ""&gt; January &lt;/ option&gt; &lt;option value ="" 2"&amp;" ""&gt; February &lt;/ option&gt; &lt;option value ="" 3 ""&gt; March &lt;/ option&gt; &lt;option value ="" 4 ""&gt; April &lt;/ option&gt; &lt;option value ="" 5 ""&gt; May &lt;/ option&gt; &lt;option value ="" 6 ""&gt; June &lt;/ option&gt; &lt;option value ="" 7 ""&gt; July &lt;/ option&gt; &lt;option value = ""8""&gt; August"&amp;" &lt;/ option&gt; &lt;option value = ""9""&gt; September &lt;/ option&gt; &lt;Option value = ""10""&gt; October &lt;/ option&gt; &lt;option value = ""11""&gt; November &lt;/ option&gt; &lt;option value = ""12""&gt; December &lt;/ option&gt; &lt;/ select&gt; &lt;select tabindex = ""- 1 ""class ="" airy-age-gate-day """&amp;"&gt; &lt;option value ="" 1 ""&gt; 1 &lt;/ option&gt; &lt;option value ="" 2 ""&gt; 2 &lt;/ option&gt; &lt;option value ="" 3 ""&gt; 3 &lt;/ option&gt; &lt;option value = ""4""&gt; 4 &lt;/ option&gt; &lt;option value = ""5""&gt; 5 &lt;/ option&gt; &lt;option value = ""6""&gt; 6 &lt;/ option&gt; &lt;option value = ""7""&gt; 7 &lt;/ option"&amp;"&gt; &lt;option value = ""8""&gt; 8 &lt;/ option&gt; &lt;option value = ""9""&gt; 9 &lt;/ option&gt; &lt;option value = ""10""&gt; 10 &lt;/ option&gt; &lt;option value = ""11"" &gt; 11 &lt;/ option&gt; &lt;option value = ""12""&gt; 12 &lt;/ option&gt; &lt;option value = ""13""&gt; 13 &lt;/ option&gt; &lt;option value = ""14""&gt; 14 &lt;"&amp;"/ option&gt; &lt;option value = "" 15 ""&gt; 15 &lt;/ option&gt; &lt;option value ="" 16 ""&gt; 16 &lt;/ option&gt; &lt;option value ="" 17 ""&gt; 17 &lt;/ option&gt; &lt;option value ="" 18 ""&gt; 18 &lt;/ option&gt; &lt;option value = ""19""&gt; 19 &lt;/ option&gt; &lt;option value = ""20""&gt; 20 &lt;/ option&gt; &lt;option valu"&amp;"e = ""21""&gt; 21 &lt;/ option&gt; &lt;option value = ""22""&gt; 22 &lt;/ option&gt; &lt; option value = ""23""&gt; 23 &lt;/ option&gt; &lt;option value = ""24""&gt; 24 &lt;/ option&gt; &lt;option value = ""25""&gt; 25 &lt;/ option&gt; &lt;option value = ""26""&gt; 26 &lt;/ option &gt; &lt;option value = ""27""&gt; 27 &lt;/ option&gt;"&amp;" &lt;option value = ""28""&gt; 28 &lt;/ option&gt; &lt;option value = ""29""&gt; 29 &lt;/ option&gt; &lt;option value = ""30""&gt; 30 &lt;/ option&gt; &lt;option value = ""31""&gt; 31 &lt;/ option&gt; &lt;/ select&gt; &lt;select tabindex = ""- 1"" class = "" airy-age-gate-year ""&gt; &lt;option value ="" 2019 ""&gt; 201"&amp;"9 &lt;/ option&gt; &lt;option value ="" 2018 ""&gt; 2018 &lt;/ option&gt; &lt;option value ="" 2017 ""&gt; 2017 &lt;/ option&gt; &lt;option value = ""2016""&gt; ​​2016 &lt;/ option&gt; &lt;option value = ""2015""&gt; 2015 &lt;/ option&gt; &lt;option value = ""2014""&gt; 2014 &lt;/ option&gt; &lt;option value = ""2013""&gt; 20"&amp;"13 &lt;/ option&gt; &lt;option value = ""2012""&gt; 2012 &lt;/ option&gt; &lt;option value = ""2011""&gt; 2011 &lt;/ option&gt; &lt;option value = ""2010""&gt; 2010 &lt;/ option&gt; &lt;option value = ""2009""&gt; 2009 &lt;/ option&gt; &lt;option value = ""2008""&gt; 2008 &lt;/ option&gt; &lt;option value = ""2007""&gt; 2007 "&amp;"&lt;/ option&gt; &lt;option value = ""2006""&gt; 2006 &lt;/ option&gt; &lt;option value = ""2005""&gt; 2005 &lt;/ option&gt; &lt;option value = ""2004""&gt; 2004 &lt;/ option&gt; &lt;option value = ""2003""&gt; 2003 &lt;/ option&gt; &lt;option value = ""2002""&gt; 2002 &lt;/ option&gt; &lt;option value = ""2001"" &gt; 2001 &lt;/"&amp;" option&gt; &lt;option value = ""2000""&gt; 2000 &lt;/ option&gt; &lt;option value = ""1999""&gt; 1999 &lt;/ option&gt; &lt;option value = ""1998""&gt; 1998 &lt;/ option&gt; &lt;option value = "" 1997 ""&gt; 1997 &lt;/ option&gt; &lt;option value ="" 1996 ""&gt; 1996 &lt;/ option&gt; &lt;option value ="" 1995 ""&gt; 1995 &lt;"&amp;"/ option&gt; &lt;option value ="" 1 994 ""&gt; 1994 &lt;/ option&gt; &lt;option value ="" 1993 ""&gt; 1993 &lt;/ option&gt; &lt;option value ="" 1992 ""&gt; 1992 &lt;/ option&gt; &lt;option value ="" 1991 ""&gt; 1991 &lt;/ option&gt; &lt;option value = ""1990""&gt; 1990 &lt;/ option&gt; &lt;option value = ""1989""&gt; 1989"&amp;" &lt;/ option&gt; &lt;option value = ""1988""&gt; 1988 &lt;/ option&gt; &lt;option value = ""1987""&gt; 1987 &lt;/ option&gt; &lt; option value = ""1986""&gt; 1986 &lt;/ option&gt; &lt;option value = ""1985""&gt; 1985 &lt;/ option&gt; &lt;option value = ""1984""&gt; 1984 &lt;/ option&gt; &lt;option value = ""1983""&gt; 1983 &lt;"&amp;"/ option &gt; &lt;option value = ""1982""&gt; 1982 &lt;/ option&gt; &lt;option value = ""1981""&gt; 1981 &lt;/ option&gt; &lt;option value = ""1980""&gt; 1980 &lt;/ option&gt; &lt;option value = ""1979""&gt; 1979 &lt; / option&gt; &lt;option value = ""1978""&gt; 1978 &lt;/ option&gt; &lt;option value = ""1977""&gt; 1977 &lt;/"&amp;" option&gt; &lt;option value = ""1976""&gt; 1976 &lt;/ option&gt; &lt;option value = ""1975""&gt; 1975 &lt;/ option&gt; &lt;option value = ""1974""&gt; 1974 &lt;/ option&gt; &lt;option value = ""1973""&gt; 1973 &lt;/ option&gt; &lt;option value = ""1972""&gt; 1972 &lt;/ option&gt; &lt;option value = ""1971 ""&gt; 1971 &lt;/ o"&amp;"ption&gt; &lt;option value ="" 1970 ""&gt; 1970 &lt;/ option&gt; &lt;option value ="" 1969 ""&gt; 1969 &lt;/ option&gt; &lt;option value ="" 1968 ""&gt; 1968 &lt;/ option&gt; &lt;option value = ""1967""&gt; 1967 &lt;/ option&gt; &lt;option value = ""1966""&gt; 1966 &lt;/ option&gt; &lt;option value = ""1965""&gt; 1965 &lt;/ o"&amp;"pt ion&gt; &lt;option value = ""1964""&gt; 1964 &lt;/ option&gt; &lt;option value = ""1963""&gt; 1963 &lt;/ option&gt; &lt;option value = ""1962""&gt; 1962 &lt;/ option&gt; &lt;option value = ""1961""&gt; 1961 &lt;/ option&gt; &lt;option value = ""1960""&gt; 1960 &lt;/ option&gt; &lt;option value = ""1959""&gt; 1959 &lt;/ opt"&amp;"ion&gt; &lt;option value = ""1958""&gt; 1958 &lt;/ option&gt; &lt;option value = ""1957"" &gt; 1957 &lt;/ option&gt; &lt;option value = ""1956""&gt; 1956 &lt;/ option&gt; &lt;option value = ""1955""&gt; 1955 &lt;/ option&gt; &lt;option value = ""1954""&gt; 1954 &lt;/ option&gt; &lt;option value = "" 1953 ""&gt; 1953 &lt;/ opt"&amp;"ion&gt; &lt;option value ="" 1952 ""&gt; 1952 &lt;/ option&gt; &lt;option value ="" 1951 ""&gt; 1951 &lt;/ option&gt; &lt;option value ="" 1950 ""&gt; 1950 &lt;/ option&gt; &lt;option value = ""1949""&gt; 1949 &lt;/ option&gt; &lt;option value = ""1948""&gt; 1948 &lt;/ option&gt; &lt;option value = ""1947""&gt; 1947 &lt;/ opt"&amp;"ion&gt; &lt;option value = ""1946""&gt; 1946 &lt;/ option&gt; &lt; option value = ""1945""&gt; 1945 &lt;/ option&gt; &lt;option value = ""1944""&gt; 1944 &lt;/ option&gt; &lt;option value = ""1943""&gt; 1943 &lt;/ option&gt; &lt;option value = ""1942""&gt; 1942 &lt;/ option &gt; &lt;option value = ""1941""&gt; 1941 &lt;/ opti"&amp;"on&gt; &lt;option value = ""1940""&gt; 1940 &lt;/ option&gt; &lt;option value = ""1939""&gt; 1939 &lt;/ option&gt; &lt;option value = ""1938""&gt; 1938 &lt; / option&gt; &lt;option value = ""1937""&gt; 1937 &lt;/ option&gt; &lt;option value = ""1936""&gt; 1936 &lt;/ option&gt; &lt;option va lue = ""1935""&gt; 1935 &lt;/ optio"&amp;"n&gt; &lt;option value = ""1934""&gt; 1934 &lt;/ option&gt; &lt;option value = ""1933""&gt; 1933 &lt;/ option&gt; &lt;option value = ""1932""&gt; 1932 &lt;/ option&gt; &lt;option value = ""1931""&gt; 1931 &lt;/ option&gt; &lt;option value = ""1930""&gt; 1930 &lt;/ option&gt; &lt;option value = ""1929""&gt; 1929 &lt;/ option&gt; "&amp;"&lt;option value = ""1928""&gt; 1928 &lt;/ option&gt; &lt;option value = ""1927""&gt; 1927 &lt;/ option&gt; &lt;option value = ""1926""&gt; 1926 &lt;/ option&gt; &lt;option value = ""1925""&gt; 1925 &lt;/ option&gt; &lt;option value = ""1924""&gt; 1924 &lt;/ option&gt; &lt;option value = ""1923""&gt; 1923 &lt;/ option&gt; &lt;op"&amp;"tion value = ""1922""&gt; 1922 &lt;/ option&gt; &lt;option value = ""1921""&gt; 1921 &lt;/ option&gt; &lt;option value = ""1920"" &gt; 1920 &lt;/ option&gt; &lt;option value = ""1919""&gt; 1919 &lt;/ option&gt; &lt;option value = ""1918""&gt; 1918 &lt;/ option&gt; &lt;option value = ""1917""&gt; 1917 &lt;/ option&gt; &lt;opti"&amp;"on value = "" 1916 ""&gt; 1916 &lt;/ option&gt; &lt;option value ="" 1915 ""&gt; 1915 &lt;/ option&gt; &lt;option value ="" 1914 ""&gt; 1914 &lt;/ option&gt; &lt;option value ="" 1913 ""&gt; 1913 &lt;/ option&gt; &lt;option value = ""1912""&gt; 1912 &lt;/ option&gt; &lt;option value = ""1911""&gt; 1911 &lt;/ option&gt; &lt;op"&amp;"tion value = ""1910""&gt; 1910 &lt;/ option&gt; &lt;option value = ""1909""&gt; 1909 &lt;/ option&gt; &lt; option value = ""1908""&gt; 1908 &lt;/ option&gt; &lt;option value = ""1907""&gt; 1907 &lt;/ option&gt; &lt;option value = ""1906""&gt; 190 6 &lt;/ option&gt; &lt;option value = ""1905""&gt; 1905 &lt;/ option&gt; &lt;opt"&amp;"ion value = ""1904""&gt; 1904 &lt;/ option&gt; &lt;option value = ""1903""&gt; 1903 &lt;/ option&gt; &lt;option value = ""1902 ""&gt; 1902 &lt;/ option&gt; &lt;option value ="" 1901 ""&gt; 1901 &lt;/ option&gt; &lt;option value ="" 1900 ""&gt; 1900 &lt;/ option&gt; &lt;/ select&gt; &lt;div tabindex ="" - 1 ""class ="" a"&amp;"iry- age-gate-submit airy-submit airy-button airy-submit-disabled ""&gt; Submit &lt;/ div&gt; &lt;/ div&gt; &lt;/ div&gt; &lt;/ div&gt; &lt;/ div&gt; &lt;/ div&gt; &lt;div tabindex ="" - 1 ""class ="" airy-install-flash-dialog airy-stage airy-vertical-centering-table airy-dialog airy-denied ""sty"&amp;"le ="" opacity: 0; visibility: hidden; ""&gt; &lt;div tabindex ="" - 1 ""class = ""airy-install-flash-vertical-centering-table-cell airy-vertical-centering-table-cell""&gt; &lt;div tabindex = ""- 1"" class = ""airy-vertical-centering-wrapper airy-install-flash- eleme"&amp;"nts-wrapper ""&gt; &lt;div tabindex ="" - 1 ""class ="" airy-install-flash-elements airy-dialog-elements ""&gt; &lt;div tabindex ="" - 1 ""class ="" airy-install-flash-prompt ""&gt; Adobe Flash Player is required to watch this video &lt;/ div&gt;. &lt;div tabindex = ""- 1"" clas"&amp;"s = ""airy-install-flash-button-wrapper airy-dialog-inner-elements""&gt; &lt;div tabindex = ""- 1"" class = ""airy-install-flash-button airy-button""&gt; Install Flash Player &lt;/ div&gt; &lt;/ div&gt; &lt;/ div&gt; &lt;/ div&gt; &lt;/ div&gt; &lt;/ div&gt; &lt;div tabindex = ""- 1"" class = ""airy-vi"&amp;"deo-unsupported-dialog airy-stage airy-vertical-centering-table airy-dialog airy-denied"" style = ""opacity: 0; visibility: hidden;""&gt; &lt;div tabindex = ""-1"" class = ""airy-video-unsupported-vertical-centering-table-cell airy-vertical-centering-table-cell"&amp;"""&gt; &lt;div tabindex = ""- 1"" class = ""airy-vertical-centering-wrapper airy -video-unsupported-elements-wrapper ""&gt; &lt;div tabindex ="" - 1 ""class ="" airy-video-unsupported-elements airy-dialog-elements ""&gt; &lt;div tabindex ="" - 1 ""class ="" airy-video- uns"&amp;"upported-prompt ""&gt; &lt;/ div&gt; &lt;/ div&gt; &lt;/ div&gt; &lt;/ div&gt; &lt;/ div&gt; &lt;div tabindex ="" - 1 ""class ="" airy-loading-spinner-stage airy-stage ""&gt; &lt;div tabindex = ""- 1"" class = ""airy-loading-spinner-vertical-centering-table-cell airy-vertical-centering-table-cell"&amp;"""&gt; &lt;div tabindex = ""- 1"" class = ""airy-loading-spinner- container airy-scalable-hint-container ""&gt; &lt;div tabindex ="" - 1 ""class ="" airy-loading-spinner-dummy airy-scalable-dummy ""&gt; &lt; / Div&gt; &lt;div tabindex = ""- 1"" class = ""airy-loading-spinner air"&amp;"y-hint"" style = ""visibility: hidden;""&gt; &lt;/ div&gt; &lt;/ div&gt; &lt;/ div&gt; &lt;/ div&gt; &lt;div tabindex = ""- 1"" class = ""airy-ads-screen-size-toggle airy-screen-size-toggle airy-fullscreen"" style = ""visibility: hidden;""&gt; &lt;/ div&gt; &lt;div tabindex = ""- 1"" class = ""ai"&amp;"ry-ad-prompt-container"" style = ""visibility: hidden;""&gt; &lt;div tabindex = ""- 1"" class = ""airy-ad-prompt-vertical-centering-table airy-vertical-centering-table"" &gt; &lt;div tabindex = ""- 1"" class = ""airy-ad-prompt-vertical-centering-table-cell airy-verti"&amp;"cal-centering-table-cell""&gt; &lt;div tabindex = ""- 1"" class = ""airy-ad -prompt-label ""&gt; &lt;/ div&gt; &lt;/ div&gt; &lt;/ div&gt; &lt;/ div&gt; &lt;div tabindex ="" - 1 ""class ="" airy-ads-controls-container ""style ="" visibility: hidden; ""&gt; &lt;div tabindex = ""- 1"" class = ""air"&amp;"y-ads-audio-toggle airy-audio-toggle airy-on"" style = ""visibility: hidden;""&gt; &lt;/ div&gt; &lt;div tabindex = ""- 1"" class = ""airy-time-remaining-label-container""&gt; &lt;div tabindex = ""- 1"" class = ""airy-time-remaining-vertical-centering-table airy-vertical-c"&amp;"entering-table""&gt; &lt;div tabindex = ""- 1 ""class ="" airy-time-remaini ng-vertical-centering-table-cell airy-vertical-centering-table-cell ""&gt; &lt;div tabindex ="" - 1 ""class ="" airy-vertical-centering-wrapper airy-time-remaining-label-wrapper ""&gt; &lt; div tab"&amp;"index = ""- 1"" class = ""airy-time-remaining-label"" style = ""visibility: hidden;""&gt; &lt;/ div&gt; &lt;div tabindex = ""- 1"" class = ""airy-ad-skip"" style = ""visibility: hidden;""&gt; &lt;/ div&gt; &lt;div tabindex = ""- 1"" class = ""airy-ad-end"" style = ""visibility: "&amp;"hidden;""&gt; &lt;/ div&gt; &lt;/ div&gt; &lt;/ div&gt; &lt; / div&gt; &lt;/ div&gt; &lt;div tabindex = ""- 1"" class = ""airy-learn-more"" style = ""visibility: hidden;""&gt; &lt;/ div&gt; &lt;/ div&gt; &lt;div tabindex = ""- 1"" class = ""airy-play-toggle-hint-stage airy-stage airy-cursor""&gt; &lt;div tabindex "&amp;"= ""- 1"" class = ""airy-play-toggle-hint-vertical-centering-table-cell airy-vertical-centering -table-cell airy-cursor ""&gt; &lt;div tabindex ="" - 1 ""class ="" airy-play-toggle-hint-container airy-scalable-hint-container ""&gt; &lt;div tabindex ="" - 1 ""class ="&amp;""" airy -play-toggle-hint-dummy airy-scalable-dummy ""&gt; &lt;/ div&gt; &lt;div tabindex ="" - 1 ""class ="" airy-play-toggle-hint airy-hint airy-play-hint ""style ="" opacity : 1; visibility: visible; ""&gt; &lt;/ div&gt; &lt;/ d iv&gt; &lt;/ div&gt; &lt;/ div&gt; &lt;div tabindex = ""- 1"" cla"&amp;"ss = ""airy-replay-hint-stage airy-stage"" style = ""visibility: hidden;""&gt; &lt;div tabindex = ""- 1"" class = ""airy-replay-hint-vertical-centering-table-cell airy-vertical-centering-table-cell airy-cursor""&gt; &lt;div tabindex = ""- 1"" class = ""airy-replay-hi"&amp;"nt-container airy-scalable -hint-container ""&gt; &lt;div tabindex ="" - 1 ""class ="" airy-replay-hint-dummy airy-scalable-dummy ""&gt; &lt;/ div&gt; &lt;div tabindex ="" - 1 ""class ="" airy-replay- hint airy-hint ""&gt; &lt;/ div&gt; &lt;/ div&gt; &lt;/ div&gt; &lt;/ div&gt; &lt;div tabindex ="" - 1"&amp;" ""class ="" airy-autoplay-hint-stage airy-stage ""style ="" visibility: hidden ; ""&gt; &lt;div tabindex ="" - 1 ""class ="" airy-autoplay-hint-vertical-centering-table-cell airy-vertical-centering-table-cell airy-cursor ""&gt; &lt;div tabindex ="" - 1 ""class = ""a"&amp;"iry-autoplay-hint-container airy-scalable-hint-container""&gt; &lt;div tabindex = ""- 1"" class = ""airy-autoplay-hint-dummy airy-scalable-dummy""&gt; &lt;/ div&gt; &lt;/ div &gt; &lt;/ div&gt; &lt;/ div&gt; &lt;/ div&gt; &lt;/ div&gt; &lt;input type = ""hidden"" name = """" value = ""https://images-cn"&amp;".ssl-images-amazon.com/images/I /81dnY7sDItS.mp4 ""class ="" video-url ""&gt; &lt;input type = ""Hidden"" name = """" value = ""https://images-cn.ssl-images-amazon.com/images/I/81PXjNEv2+S.png"" class = ""video-slate-img-url""&gt; &amp; nbsp ; garbage, garbage, garbag"&amp;"e noise, not a year to buy, not how to use it broke, a lot of garbage internet bad evaluation. Amazon also regardless of the sale, rubbish! Noise, not a year to buy, not how to use it broke, a lot of garbage Internet bad evaluation. Amazon also regardless"&amp;" of the sale, rubbish! Noise, not a year to buy, not how to use it broke, a lot of garbage Internet bad evaluation. Amazon also regardless of the sale, rubbish!")</f>
        <v>Garbage, bad, no after-sale &lt;div id = "video-block-R1OY7PODMA2T0X" class = "a-section a-spacing-small a-spacing-top-mini video-block"&gt; &lt;div tabindex = "0" class = "airy airy-svg vmin-supported airy-skin-beacon" style = "background-color: rgb (0, 0, 0); position: relative; width: 100%; height: 100%; font-size: 0px; overflow: hidden; outline: none; "&gt; &lt;div class =" airy-renderer-container "style =" position: relative; height: 100%; width: 100%; "&gt; &lt;video id =" 7 "preload =" auto "src =" https://images-cn.ssl-images-amazon.com/images/I/81dnY7sDItS.mp4 "style =" position: absolute; left: 0px; top: 0px; overflow: hidden; height: 1px; width: 1px; "&gt; &lt;/ video&gt; &lt;/ div&gt; &lt;div id =" airy-slate-preload "style =" background-color: rgb (0, 0, 0); background-image: url (&amp; quot ; https: //images-cn.ssl-images-amazon.com/images/I/81PXjNEv2+S.png&amp;quot;); background-size: contain; background-position: center center; background-repeat: no-repeat; position: absolute; top: 0px; left: 0px; visibility: visible; width: 100%; height: 100%; "&gt; &lt;/ div&gt; &lt;ifr ame scrolling = "no" frameborder = "0" src = "about: blank" style = "display: none;"&gt; &lt;/ iframe&gt; &lt;div tabindex = "- 1" class = "airy-controls-container" style = "opacity: 0; visibility: hidden;"&gt; &lt;div tabindex = "- 1" class = "airy-screen-size-toggle airy-fullscreen"&gt; &lt;/ div&gt; &lt;div tabindex = "- 1" class = "airy -container-bottom "&gt; &lt;div tabindex =" - 1 "class =" airy-track-bar-spacer-left "style =" width: 11px; "&gt; &lt;/ div&gt; &lt;div tabindex =" - 1 "class = "airy-play-toggle airy-play" style = "width: 12px; margin-right: 12px;"&gt; &lt;/ div&gt; &lt;div tabindex = "- 1" class = "airy-audio-elements" style = "float : right; width: 34px; "&gt; &lt;div tabindex =" - 1 "class =" airy-audio-toggle airy-on "&gt; &lt;/ div&gt; &lt;div tabindex =" - 1 "class =" airy-audio-container "style =" opacity: 0; visibility: hidden; "&gt; &lt;div tabindex =" - 1 "class =" airy-audio-track-bar "style =" height: 80%; "&gt; &lt;div tabindex =" - 1 "class =" airy-audio-scrubber-bar "style =" height:; -: 12px; 85% "&gt; &lt;/ div&gt; &lt;div tabindex =" 1 "class =" "style =" height airy-audio-scrubber bottom: 85%; "&gt; &lt;/ div&gt; &lt;/ div&gt; &lt;/ div&gt; &lt;/ div&gt; &lt;div tabindex =" - 1 "class =" airy-duratio n-label "style =" float: right; width: 26px; margin-right: 4px; text-align: center; "&gt; 0:00 &lt;/ div&gt; &lt;div tabindex =" - 1 "class =" airy-track -bar-spacer-right "style =" float: right; width: 11px; "&gt; &lt;/ div&gt; &lt;div tabindex =" - 1 "class =" airy-track-bar-container "style =" margin-left: 35px; margin-right: 75px; "&gt; &lt;div tabindex =" - 1 "class =" airy-track-bar airy-vertical-centering-table "&gt; &lt;div tabindex =" - 1 "class =" airy-vertical- centering-table-cell "&gt; &lt;div tabindex =" - 1 "class =" airy-track-bar-elements "&gt; &lt;div tabindex =" - 1 "class =" airy-progress-bar "&gt; &lt;/ div&gt; &lt; div tabindex = "- 1" class = "airy-scrubber-bar"&gt; &lt;/ div&gt; &lt;div tabindex = "- 1" class = "airy-scrubber"&gt; &lt;div tabindex = "- 1" class = "airy- scrubber-icon "&gt; &lt;/ div&gt; &lt;div tabindex =" - 1 "class =" airy-adjusted-aui-tooltip "style =" opacity: 0; visibility: hidden; "&gt; &lt;div tabindex =" - 1 "class = "airy-adjusted-aui-tooltip-inner"&gt; &lt;div tabindex = "- 1" class = "airy-current-time-label"&gt; 0:00 &lt;/ div&gt; &lt;/ div&gt; &lt;div tabindex = "- 1 "class =" airy-adjusted-aui-arrow-border "&gt; &lt;div tabindex =" - 1 "class =" airy-adjusted-aui-arrow "&gt; &lt;/ di v&gt; &lt;/ div&gt; &lt;/ div&gt; &lt;/ div&gt; &lt;/ div&gt; &lt;/ div&gt; &lt;/ div&gt; &lt;/ div&gt; &lt;/ div&gt; &lt;/ div&gt; &lt;div tabindex = "- 1" class = "airy -age-gate airy-stage airy-vertical-centering-table airy-dialog "style =" opacity: 0; visibility: hidden; "&gt; &lt;div tabindex =" - 1 "class =" airy-age-gate-vertical- centering-table-cell airy-vertical-centering-table-cell "&gt; &lt;div tabindex =" - 1 "class =" airy-vertical-centering-wrapper airy-age-gate-elements-wrapper "&gt; &lt;div tabindex =" -1 "class =" airy-age-gate-elements airy-dialog-elements "&gt; &lt;div tabindex =" - 1 "class =" airy-age-gate-prompt "&gt; This video is not intended for all audiences What. date were you born &lt;/ div&gt;? &lt;div tabindex = "- 1" class = "airy-age-gate-inputs airy-dialog-inner-elements"&gt; &lt;select tabindex = "- 1" class = "airy-age -gate-month "&gt; &lt;option value =" 1 "&gt; January &lt;/ option&gt; &lt;option value =" 2 "&gt; February &lt;/ option&gt; &lt;option value =" 3 "&gt; March &lt;/ option&gt; &lt;option value =" 4 "&gt; April &lt;/ option&gt; &lt;option value =" 5 "&gt; May &lt;/ option&gt; &lt;option value =" 6 "&gt; June &lt;/ option&gt; &lt;option value =" 7 "&gt;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 "&gt; &lt;option value =" 1 "&gt; 1 &lt;/ option&gt; &lt;option value =" 2 "&gt; 2 &lt;/ option&gt; &lt;option value =" 3 "&gt; 3 &lt;/ option&gt; &lt;option value = "4"&gt; 4 &lt;/ option&gt; &lt;option value = "5"&gt; 5 &lt;/ option&gt; &lt;option value = "6"&gt; 6 &lt;/ option&gt; &lt;option value = "7"&gt; 7 &lt;/ option&gt; &lt;option value = "8"&gt; 8 &lt;/ option&gt; &lt;option value = "9"&gt; 9 &lt;/ option&gt; &lt;option value = "10"&gt; 10 &lt;/ option&gt; &lt;option value = "11" &gt; 11 &lt;/ option&gt; &lt;option value = "12"&gt; 12 &lt;/ option&gt; &lt;option value = "13"&gt; 13 &lt;/ option&gt; &lt;option value = "14"&gt; 14 &lt;/ option&gt; &lt;option value = " 15 "&gt; 15 &lt;/ option&gt; &lt;option value =" 16 "&gt; 16 &lt;/ option&gt; &lt;option value =" 17 "&gt; 17 &lt;/ option&gt; &lt;option value =" 18 "&gt; 18 &lt;/ option&gt; &lt;option value = "19"&gt; 19 &lt;/ option&gt; &lt;option value = "20"&gt; 20 &lt;/ option&gt; &lt;option value = "21"&gt; 21 &lt;/ option&gt; &lt;option value = "22"&gt; 22 &lt;/ option&gt; &lt; option value = "23"&gt; 23 &lt;/ option&gt; &lt;option value = "24"&gt; 24 &lt;/ option&gt; &lt;option value = "25"&gt; 25 &lt;/ option&gt; &lt;option value = "26"&gt; 26 &lt;/ option &gt; &lt;option value = "27"&gt; 27 &lt;/ option&gt; &lt;option value = "28"&gt; 28 &lt;/ option&gt; &lt;option value = "29"&gt; 29 &lt;/ option&gt; &lt;option value = "30"&gt; 30 &lt;/ option&gt; &lt;option value = "31"&gt; 31 &lt;/ option&gt; &lt;/ select&gt; &lt;select tabindex = "- 1" class = " airy-age-gate-year "&gt; &lt;option value =" 2019 "&gt; 2019 &lt;/ option&gt; &lt;option value =" 2018 "&gt; 2018 &lt;/ option&gt; &lt;option value =" 2017 "&gt; 2017 &lt;/ option&gt; &lt;option value = "2016"&gt; ​​2016 &lt;/ option&gt; &lt;option value = "2015"&gt; 2015 &lt;/ option&gt; &lt;option value = "2014"&gt; 2014 &lt;/ option&gt; &lt;option value = "2013"&gt; 2013 &lt;/ option&gt; &lt;option value = "2012"&gt; 2012 &lt;/ option&gt; &lt;option value = "2011"&gt; 2011 &lt;/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"2003"&gt; 2003 &lt;/ option&gt; &lt;option value = "2002"&gt; 2002 &lt;/ option&gt; &lt;option value = "2001" &gt; 2001 &lt;/ option&gt; &lt;option value = "2000"&gt; 2000 &lt;/ option&gt; &lt;option value = "1999"&gt; 1999 &lt;/ option&gt; &lt;option value = "1998"&gt; 1998 &lt;/ option&gt; &lt;option value = " 1997 "&gt; 1997 &lt;/ option&gt; &lt;option value =" 1996 "&gt; 1996 &lt;/ option&gt; &lt;option value =" 1995 "&gt; 1995 &lt;/ option&gt; &lt;option value =" 1 994 "&gt; 1994 &lt;/ option&gt; &lt;option value =" 1993 "&gt; 1993 &lt;/ option&gt; &lt;option value =" 1992 "&gt; 1992 &lt;/ option&gt; &lt;option value =" 1991 "&gt; 1991 &lt;/ option&gt; &lt;option value = "1990"&gt; 1990 &lt;/ option&gt; &lt;option value = "1989"&gt; 1989 &lt;/ option&gt; &lt;option value = "1988"&gt; 1988 &lt;/ option&gt; &lt;option value = "1987"&gt; 1987 &lt;/ option&gt; &lt; option value = "1986"&gt; 1986 &lt;/ option&gt; &lt;option value = "1985"&gt; 1985 &lt;/ option&gt; &lt;option value = "1984"&gt; 1984 &lt;/ option&gt; &lt;option value = "1983"&gt; 1983 &lt;/ option &gt; &lt;option value = "1982"&gt; 1982 &lt;/ option&gt; &lt;option value = "1981"&gt; 1981 &lt;/ option&gt; &lt;option value = "1980"&gt; 1980 &lt;/ option&gt; &lt;option value = "1979"&gt; 1979 &lt; / option&gt; &lt;option value = "1978"&gt; 1978 &lt;/ option&gt; &lt;option value = "1977"&gt; 1977 &lt;/ option&gt; &lt;option value = "1976"&gt; 1976 &lt;/ option&gt; &lt;option value = "1975"&gt; 1975 &lt;/ option&gt; &lt;option value = "1974"&gt; 1974 &lt;/ option&gt; &lt;option value = "1973"&gt; 1973 &lt;/ option&gt; &lt;option value = "1972"&gt; 1972 &lt;/ option&gt; &lt;option value = "1971 "&gt; 1971 &lt;/ option&gt; &lt;option value =" 1970 "&gt; 1970 &lt;/ option&gt; &lt;option value =" 1969 "&gt; 1969 &lt;/ option&gt; &lt;option value =" 1968 "&gt; 1968 &lt;/ option&gt; &lt;option value = "1967"&gt; 1967 &lt;/ option&gt; &lt;option value = "1966"&gt; 1966 &lt;/ option&gt; &lt;option value = "1965"&gt; 1965 &lt;/ opt ion&gt; &lt;option value = "1964"&gt; 1964 &lt;/ option&gt; &lt;option value = "1963"&gt; 1963 &lt;/ option&gt; &lt;option value = "1962"&gt; 1962 &lt;/ option&gt; &lt;option value = "1961"&gt; 1961 &lt;/ option&gt; &lt;option value = "1960"&gt; 1960 &lt;/ option&gt; &lt;option value = "1959"&gt; 1959 &lt;/ option&gt; &lt;option value = "1958"&gt; 1958 &lt;/ option&gt; &lt;option value = "1957" &gt; 1957 &lt;/ option&gt; &lt;option value = "1956"&gt; 1956 &lt;/ option&gt; &lt;option value = "1955"&gt; 1955 &lt;/ option&gt; &lt;option value = "1954"&gt; 1954 &lt;/ option&gt; &lt;option value = " 1953 "&gt; 1953 &lt;/ option&gt; &lt;option value =" 1952 "&gt; 1952 &lt;/ option&gt; &lt;option value =" 1951 "&gt; 1951 &lt;/ option&gt; &lt;option value =" 1950 "&gt; 1950 &lt;/ option&gt; &lt;option value = "1949"&gt; 1949 &lt;/ option&gt; &lt;option value = "1948"&gt; 1948 &lt;/ option&gt; &lt;option value = "1947"&gt; 1947 &lt;/ option&gt; &lt;option value = "1946"&gt; 1946 &lt;/ option&gt; &lt; option value = "1945"&gt; 1945 &lt;/ option&gt; &lt;option value = "1944"&gt; 1944 &lt;/ option&gt; &lt;option value = "1943"&gt; 1943 &lt;/ option&gt; &lt;option value = "1942"&gt; 1942 &lt;/ option &gt; &lt;option value = "1941"&gt; 1941 &lt;/ option&gt; &lt;option value = "1940"&gt; 1940 &lt;/ option&gt; &lt;option value = "1939"&gt; 1939 &lt;/ option&gt; &lt;option value = "1938"&gt; 1938 &lt; / option&gt; &lt;option value = "1937"&gt; 1937 &lt;/ option&gt; &lt;option value = "1936"&gt; 1936 &lt;/ option&gt; &lt;option va lue = "1935"&gt; 1935 &lt;/ option&gt; &lt;option value = "1934"&gt; 1934 &lt;/ option&gt; &lt;option value = "1933"&gt; 1933 &lt;/ option&gt; &lt;option value = "1932"&gt; 1932 &lt;/ option&gt; &lt;option value = "1931"&gt; 1931 &lt;/ option&gt; &lt;option value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 &gt; 1920 &lt;/ option&gt; &lt;option value = "1919"&gt; 1919 &lt;/ option&gt; &lt;option value = "1918"&gt; 1918 &lt;/ option&gt; &lt;option value = "1917"&gt; 1917 &lt;/ option&gt; &lt;option value = " 1916 "&gt; 1916 &lt;/ option&gt; &lt;option value =" 1915 "&gt; 1915 &lt;/ option&gt; &lt;option value =" 1914 "&gt; 1914 &lt;/ option&gt; &lt;option value =" 1913 "&gt; 1913 &lt;/ option&gt; &lt;option value = "1912"&gt; 1912 &lt;/ option&gt; &lt;option value = "1911"&gt; 1911 &lt;/ option&gt; &lt;option value = "1910"&gt; 1910 &lt;/ option&gt; &lt;option value = "1909"&gt; 1909 &lt;/ option&gt; &lt; option value = "1908"&gt; 1908 &lt;/ option&gt; &lt;option value = "1907"&gt; 1907 &lt;/ option&gt; &lt;option value = "1906"&gt; 190 6 &lt;/ option&gt; &lt;option value = "1905"&gt; 1905 &lt;/ option&gt; &lt;option value = "1904"&gt; 1904 &lt;/ option&gt; &lt;option value = "1903"&gt; 1903 &lt;/ option&gt; &lt;option value = "1902 "&gt; 1902 &lt;/ option&gt; &lt;option value =" 1901 "&gt; 1901 &lt;/ option&gt; &lt;option value =" 1900 "&gt; 1900 &lt;/ option&gt; &lt;/ select&gt; &lt;div tabindex =" - 1 "class =" airy- age-gate-submit airy-submit airy-button airy-submit-disabled "&gt; Submit &lt;/ div&gt; &lt;/ div&gt; &lt;/ div&gt; &lt;/ div&gt; &lt;/ div&gt; &lt;/ div&gt; &lt;div tabindex =" - 1 "class =" airy-install-flash-dialog airy-stage airy-vertical-centering-table airy-dialog airy-denied "style =" opacity: 0; visibility: hidden; "&gt; &lt;div tabindex =" - 1 "class = "airy-install-flash-vertical-centering-table-cell airy-vertical-centering-table-cell"&gt; &lt;div tabindex = "- 1" class = "airy-vertical-centering-wrapper airy-install-flash- elements-wrapper "&gt; &lt;div tabindex =" - 1 "class =" airy-install-flash-elements airy-dialog-elements "&gt; &lt;div tabindex =" - 1 "class =" airy-install-flash-prompt "&gt; Adobe Flash Player is required to watch this video &lt;/ div&gt;. &lt;div tabindex = "- 1" class = "airy-install-flash-button-wrapper airy-dialog-inner-elements"&gt; &lt;div tabindex = "- 1" class = "airy-install-flash-button airy-button"&gt; Install Flash Player &lt;/ div&gt; &lt;/ div&gt; &lt;/ div&gt; &lt;/ div&gt; &lt;/ div&gt; &lt;/ div&gt; &lt;div tabindex = "- 1" class = "airy-video-unsupported-dialog airy-stage airy-vertical-centering-table airy-dialog airy-denied" style = "opacity: 0; visibility: hidden;"&gt; &lt;div tabindex = "-1" class = "airy-video-unsupported-vertical-centering-table-cell airy-vertical-centering-table-cell"&gt; &lt;div tabindex = "- 1" class = "airy-vertical-centering-wrapper airy -video-unsupported-elements-wrapper "&gt; &lt;div tabindex =" - 1 "class =" airy-video-unsupported-elements airy-dialog-elements "&gt; &lt;div tabindex =" - 1 "class =" airy-video- unsupported-prompt "&gt; &lt;/ div&gt; &lt;/ div&gt; &lt;/ div&gt; &lt;/ div&gt; &lt;/ div&gt; &lt;div tabindex =" - 1 "class =" airy-loading-spinner-stage airy-stage "&gt; &lt;div tabindex = "- 1" class = "airy-loading-spinner-vertical-centering-table-cell airy-vertical-centering-table-cell"&gt; &lt;div tabindex = "- 1" class = "airy-loading-spinner- container airy-scalable-hint-container "&gt; &lt;div tabindex =" - 1 "class =" airy-loading-spinner-dummy airy-scalable-dummy "&gt; &lt; / Div&gt; &lt;div tabindex = "- 1" class = "airy-loading-spinner airy-hint" style = "visibility: hidden;"&gt; &lt;/ div&gt; &lt;/ div&gt; &lt;/ div&gt; &lt;/ div&gt; &lt;div tabindex = "- 1" class = "airy-ads-screen-size-toggle airy-screen-size-toggle airy-fullscreen" style = "visibility: hidden;"&gt; &lt;/ div&gt; &lt;div tabindex = "- 1" class = "airy-ad-prompt-container" style = "visibility: hidden;"&gt; &lt;div tabindex = "- 1" class = "airy-ad-prompt-vertical-centering-table airy-vertical-centering-table" &gt; &lt;div tabindex = "- 1" class = "airy-ad-prompt-vertical-centering-table-cell airy-vertical-centering-table-cell"&gt; &lt;div tabindex = "- 1" class = "airy-ad -prompt-label "&gt; &lt;/ div&gt; &lt;/ div&gt; &lt;/ div&gt; &lt;/ div&gt; &lt;div tabindex =" - 1 "class =" airy-ads-controls-container "style =" visibility: hidden; "&gt; &lt;div tabindex = "- 1" class = "airy-ads-audio-toggle airy-audio-toggle airy-on" style = "visibility: hidden;"&gt; &lt;/ div&gt; &lt;div tabindex = "- 1" class = "airy-time-remaining-label-container"&gt; &lt;div tabindex = "- 1" class = "airy-time-remaining-vertical-centering-table airy-vertical-centering-table"&gt; &lt;div tabindex = "- 1 "class =" airy-time-remaini ng-vertical-centering-table-cell airy-vertical-centering-table-cell "&gt; &lt;div tabindex =" - 1 "class =" airy-vertical-centering-wrapper airy-time-remaining-label-wrapper "&gt; &lt; div tabindex = "- 1" class = "airy-time-remaining-label" style = "visibility: hidden;"&gt; &lt;/ div&gt; &lt;div tabindex = "- 1" class = "airy-ad-skip" style = "visibility: hidden;"&gt; &lt;/ div&gt; &lt;div tabindex = "- 1" class = "airy-ad-end" style = "visibility: hidden;"&gt; &lt;/ div&gt; &lt;/ div&gt; &lt;/ div&gt; &lt; / div&gt; &lt;/ div&gt; &lt;div tabindex = "- 1" class = "airy-learn-more" style = "visibility: hidden;"&gt; &lt;/ div&gt; &lt;/ div&gt; &lt;div tabindex = "- 1" class = "airy-play-toggle-hint-stage airy-stage airy-cursor"&gt; &lt;div tabindex = "- 1" class = "airy-play-toggle-hint-vertical-centering-table-cell airy-vertical-centering -table-cell airy-cursor "&gt; &lt;div tabindex =" - 1 "class =" airy-play-toggle-hint-container airy-scalable-hint-container "&gt; &lt;div tabindex =" - 1 "class =" airy -play-toggle-hint-dummy airy-scalable-dummy "&gt; &lt;/ div&gt; &lt;div tabindex =" - 1 "class =" airy-play-toggle-hint airy-hint airy-play-hint "style =" opacity : 1; visibility: visible; "&gt; &lt;/ div&gt; &lt;/ d iv&gt; &lt;/ div&gt; &lt;/ div&gt; &lt;div tabindex = "- 1" class = "airy-replay-hint-stage airy-stage" style = "visibility: hidden;"&gt; &lt;div tabindex = "- 1" class = "airy-replay-hint-vertical-centering-table-cell airy-vertical-centering-table-cell airy-cursor"&gt; &lt;div tabindex = "- 1" class = "airy-replay-hint-container airy-scalable -hint-container "&gt; &lt;div tabindex =" - 1 "class =" airy-replay-hint-dummy airy-scalable-dummy "&gt; &lt;/ div&gt; &lt;div tabindex =" - 1 "class =" airy-replay- hint airy-hint "&gt; &lt;/ div&gt; &lt;/ div&gt; &lt;/ div&gt; &lt;/ div&gt; &lt;div tabindex =" - 1 "class =" airy-autoplay-hint-stage airy-stage "style =" visibility: hidden ; "&gt; &lt;div tabindex =" - 1 "class =" airy-autoplay-hint-vertical-centering-table-cell airy-vertical-centering-table-cell airy-cursor "&gt; &lt;div tabindex =" - 1 "class = "airy-autoplay-hint-container airy-scalable-hint-container"&gt; &lt;div tabindex = "- 1" class = "airy-autoplay-hint-dummy airy-scalable-dummy"&gt; &lt;/ div&gt; &lt;/ div &gt; &lt;/ div&gt; &lt;/ div&gt; &lt;/ div&gt; &lt;/ div&gt; &lt;input type = "hidden" name = "" value = "https://images-cn.ssl-images-amazon.com/images/I /81dnY7sDItS.mp4 "class =" video-url "&gt; &lt;input type = "Hidden" name = "" value = "https://images-cn.ssl-images-amazon.com/images/I/81PXjNEv2+S.png" class = "video-slate-img-url"&gt; &amp; nbsp ; garbage, garbage, garbage noise, not a year to buy, not how to use it broke, a lot of garbage internet bad evaluation. Amazon also regardless of the sale, rubbish! Noise, not a year to buy, not how to use it broke, a lot of garbage Internet bad evaluation. Amazon also regardless of the sale, rubbish! Noise, not a year to buy, not how to use it broke, a lot of garbage Internet bad evaluation. Amazon also regardless of the sale, rubbish!</v>
      </c>
    </row>
    <row r="10074">
      <c r="A10074" s="1">
        <v>1.0</v>
      </c>
      <c r="B10074" s="1" t="s">
        <v>9999</v>
      </c>
      <c r="C10074" t="str">
        <f>IFERROR(__xludf.DUMMYFUNCTION("GOOGLETRANSLATE(B10074, ""zh"", ""en"")"),"Why is it so hard quality is very, very poor, as the fabric stiff like cardboard.")</f>
        <v>Why is it so hard quality is very, very poor, as the fabric stiff like cardboard.</v>
      </c>
    </row>
    <row r="10075">
      <c r="A10075" s="1">
        <v>1.0</v>
      </c>
      <c r="B10075" s="1" t="s">
        <v>10000</v>
      </c>
      <c r="C10075" t="str">
        <f>IFERROR(__xludf.DUMMYFUNCTION("GOOGLETRANSLATE(B10075, ""zh"", ""en"")"),"Extremely inappropriate number of pants do not fly. Buy the XL is too large, L is too small! Ah seize the customer's purchase overseas too high return freight psychology, made some quality problems of goods last bought a sweater Ms. actually have a deep s"&amp;"ense of perfume! In the thousands of black streaky Ah, buy clothes not a fit, very disappointed to Ah!")</f>
        <v>Extremely inappropriate number of pants do not fly. Buy the XL is too large, L is too small! Ah seize the customer's purchase overseas too high return freight psychology, made some quality problems of goods last bought a sweater Ms. actually have a deep sense of perfume! In the thousands of black streaky Ah, buy clothes not a fit, very disappointed to Ah!</v>
      </c>
    </row>
    <row r="10076">
      <c r="A10076" s="1">
        <v>4.0</v>
      </c>
      <c r="B10076" s="1" t="s">
        <v>10001</v>
      </c>
      <c r="C10076" t="str">
        <f>IFERROR(__xludf.DUMMYFUNCTION("GOOGLETRANSLATE(B10076, ""zh"", ""en"")"),"so cute! Good quality! It is easy to use!")</f>
        <v>so cute! Good quality! It is easy to use!</v>
      </c>
    </row>
    <row r="10077">
      <c r="A10077" s="1">
        <v>4.0</v>
      </c>
      <c r="B10077" s="1" t="s">
        <v>10002</v>
      </c>
      <c r="C10077" t="str">
        <f>IFERROR(__xludf.DUMMYFUNCTION("GOOGLETRANSLATE(B10077, ""zh"", ""en"")"),"Very good choice've always liked 9,902,014 years at Amazon US last year bought a pair of transport back retired general in the country or abroad should be about RMB1500 engage in activities to buy this election may be the relationship between the size I u"&amp;"sually wear sneakers 41 yards this shall select the length of 8.5D (M) of the foot instep is not high enough I is not wide but it feels a little bit narrow quality is very good praise")</f>
        <v>Very good choice've always liked 9,902,014 years at Amazon US last year bought a pair of transport back retired general in the country or abroad should be about RMB1500 engage in activities to buy this election may be the relationship between the size I usually wear sneakers 41 yards this shall select the length of 8.5D (M) of the foot instep is not high enough I is not wide but it feels a little bit narrow quality is very good praise</v>
      </c>
    </row>
    <row r="10078">
      <c r="A10078" s="1">
        <v>4.0</v>
      </c>
      <c r="B10078" s="1" t="s">
        <v>10003</v>
      </c>
      <c r="C10078" t="str">
        <f>IFERROR(__xludf.DUMMYFUNCTION("GOOGLETRANSLATE(B10078, ""zh"", ""en"")"),"No picture so long, but the fabric is not very docile relatively hard, wear swelling up and there is a feeling, not a very good look at the picture is not so long, but the fabric is not very docile relatively hard, wear swelling up and there is a feeling,"&amp;" not look good")</f>
        <v>No picture so long, but the fabric is not very docile relatively hard, wear swelling up and there is a feeling, not a very good look at the picture is not so long, but the fabric is not very docile relatively hard, wear swelling up and there is a feeling, not look good</v>
      </c>
    </row>
    <row r="10079">
      <c r="A10079" s="1">
        <v>4.0</v>
      </c>
      <c r="B10079" s="1" t="s">
        <v>10004</v>
      </c>
      <c r="C10079" t="str">
        <f>IFERROR(__xludf.DUMMYFUNCTION("GOOGLETRANSLATE(B10079, ""zh"", ""en"")"),"Good to wear something good, the south like a winter sun, Nichia thing is packaged well, the domestic distribution logistics Poor")</f>
        <v>Good to wear something good, the south like a winter sun, Nichia thing is packaged well, the domestic distribution logistics Poor</v>
      </c>
    </row>
    <row r="10080">
      <c r="A10080" s="1">
        <v>4.0</v>
      </c>
      <c r="B10080" s="1" t="s">
        <v>10005</v>
      </c>
      <c r="C10080" t="str">
        <f>IFERROR(__xludf.DUMMYFUNCTION("GOOGLETRANSLATE(B10080, ""zh"", ""en"")"),"Water color pretty beautiful color washing, hem waist like a little more, because it is elastic fabric, obviously a little waist to better reflect the inverted triangle version, in general, is satisfied. T T: 181 Chest 107 L code is appropriate")</f>
        <v>Water color pretty beautiful color washing, hem waist like a little more, because it is elastic fabric, obviously a little waist to better reflect the inverted triangle version, in general, is satisfied. T T: 181 Chest 107 L code is appropriate</v>
      </c>
    </row>
    <row r="10081">
      <c r="A10081" s="1">
        <v>5.0</v>
      </c>
      <c r="B10081" s="1" t="s">
        <v>10006</v>
      </c>
      <c r="C10081" t="str">
        <f>IFERROR(__xludf.DUMMYFUNCTION("GOOGLETRANSLATE(B10081, ""zh"", ""en"")"),"Very satisfied very fit, has been looking to buy jeans, 180,70 chose big yards, put on as custom-like fit, the longer their wingspan, satisfied")</f>
        <v>Very satisfied very fit, has been looking to buy jeans, 180,70 chose big yards, put on as custom-like fit, the longer their wingspan, satisfied</v>
      </c>
    </row>
    <row r="10082">
      <c r="A10082" s="1">
        <v>5.0</v>
      </c>
      <c r="B10082" s="1" t="s">
        <v>10007</v>
      </c>
      <c r="C10082" t="str">
        <f>IFERROR(__xludf.DUMMYFUNCTION("GOOGLETRANSLATE(B10082, ""zh"", ""en"")"),"Very comfortable, very comfortable high cost, high cost")</f>
        <v>Very comfortable, very comfortable high cost, high cost</v>
      </c>
    </row>
    <row r="10083">
      <c r="A10083" s="1">
        <v>5.0</v>
      </c>
      <c r="B10083" s="1" t="s">
        <v>10008</v>
      </c>
      <c r="C10083" t="str">
        <f>IFERROR(__xludf.DUMMYFUNCTION("GOOGLETRANSLATE(B10083, ""zh"", ""en"")"),"A very nice watch! Buy a record low, on the basis of price activity and beat 75 fold, spent only 1101 yuan, very simple and classic of a watch, travel time is very accurate, very like!")</f>
        <v>A very nice watch! Buy a record low, on the basis of price activity and beat 75 fold, spent only 1101 yuan, very simple and classic of a watch, travel time is very accurate, very like!</v>
      </c>
    </row>
    <row r="10084">
      <c r="A10084" s="1">
        <v>5.0</v>
      </c>
      <c r="B10084" s="1" t="s">
        <v>10009</v>
      </c>
      <c r="C10084" t="str">
        <f>IFERROR(__xludf.DUMMYFUNCTION("GOOGLETRANSLATE(B10084, ""zh"", ""en"")"),"Reasonable length is useful, comfortable texture, awesome")</f>
        <v>Reasonable length is useful, comfortable texture, awesome</v>
      </c>
    </row>
    <row r="10085">
      <c r="A10085" s="1">
        <v>5.0</v>
      </c>
      <c r="B10085" s="1" t="s">
        <v>10010</v>
      </c>
      <c r="C10085" t="str">
        <f>IFERROR(__xludf.DUMMYFUNCTION("GOOGLETRANSLATE(B10085, ""zh"", ""en"")"),"Comfortable and have a type, nice shopping malls counters only original raw rubber-soled that paragraph, this did not try to buy the usual number actually very fit, do not wear foot wear in summer is not too stuffy, very satisfied, fast shipping.")</f>
        <v>Comfortable and have a type, nice shopping malls counters only original raw rubber-soled that paragraph, this did not try to buy the usual number actually very fit, do not wear foot wear in summer is not too stuffy, very satisfied, fast shipping.</v>
      </c>
    </row>
    <row r="10086">
      <c r="A10086" s="1">
        <v>5.0</v>
      </c>
      <c r="B10086" s="1" t="s">
        <v>10011</v>
      </c>
      <c r="C10086" t="str">
        <f>IFERROR(__xludf.DUMMYFUNCTION("GOOGLETRANSLATE(B10086, ""zh"", ""en"")"),"Thanks to the comments section pioneers have been before the Amazon shopping experience is not good, but this time carefully studied the comments section of the opinion, decisive reelection size, 171cm, 86kg, waist 94cm, 34 * 26 election, come back a try,"&amp;" is simply perfect, logistics and even five days ahead of schedule, have to like this one, I hope my comments help other consumers. Thank you!")</f>
        <v>Thanks to the comments section pioneers have been before the Amazon shopping experience is not good, but this time carefully studied the comments section of the opinion, decisive reelection size, 171cm, 86kg, waist 94cm, 34 * 26 election, come back a try, is simply perfect, logistics and even five days ahead of schedule, have to like this one, I hope my comments help other consumers. Thank you!</v>
      </c>
    </row>
    <row r="10087">
      <c r="A10087" s="1">
        <v>5.0</v>
      </c>
      <c r="B10087" s="1" t="s">
        <v>10012</v>
      </c>
      <c r="C10087" t="str">
        <f>IFERROR(__xludf.DUMMYFUNCTION("GOOGLETRANSLATE(B10087, ""zh"", ""en"")"),"Good Nichia's shipping much better than the United States and Asia who often put on a piece of clothing direct courier bags sent over this little self-cultivation especially the arms and waist collar a little quality okay")</f>
        <v>Good Nichia's shipping much better than the United States and Asia who often put on a piece of clothing direct courier bags sent over this little self-cultivation especially the arms and waist collar a little quality okay</v>
      </c>
    </row>
    <row r="10088">
      <c r="A10088" s="1">
        <v>5.0</v>
      </c>
      <c r="B10088" s="1" t="s">
        <v>10013</v>
      </c>
      <c r="C10088" t="str">
        <f>IFERROR(__xludf.DUMMYFUNCTION("GOOGLETRANSLATE(B10088, ""zh"", ""en"")"),"Good very good, shipping is also fast. Hong Kong warehouse equipment should be issued.")</f>
        <v>Good very good, shipping is also fast. Hong Kong warehouse equipment should be issued.</v>
      </c>
    </row>
    <row r="10089">
      <c r="A10089" s="1">
        <v>5.0</v>
      </c>
      <c r="B10089" s="1" t="s">
        <v>10014</v>
      </c>
      <c r="C10089" t="str">
        <f>IFERROR(__xludf.DUMMYFUNCTION("GOOGLETRANSLATE(B10089, ""zh"", ""en"")"),"Satisfied with the cute little cutlery to the baby store goods in 39 seconds")</f>
        <v>Satisfied with the cute little cutlery to the baby store goods in 39 seconds</v>
      </c>
    </row>
    <row r="10090">
      <c r="A10090" s="1">
        <v>5.0</v>
      </c>
      <c r="B10090" s="1" t="s">
        <v>10015</v>
      </c>
      <c r="C10090" t="str">
        <f>IFERROR(__xludf.DUMMYFUNCTION("GOOGLETRANSLATE(B10090, ""zh"", ""en"")"),"Feeling good, very handsome, very satisfied with these shoes, the size of the problem has been entangled before, just better dressed. Talk about size for reference purposes only. My feet long is 260mm, usually wear newbalance is 41.5 yards, which I chose "&amp;"8.5, had wanted the election ee, no darkbrown, had to chose 8.5m, put before the toes little space, suitable for winter wear thick socks. Shoes and handsome, with dark slacks suit, looks like the general movement / hiking shoes, waterproof performance is "&amp;"currently no test. If there is wear in Guangdong, it will certainly be hot, feet will feel the heat. If it is in the East China Central China region winter wear, feel good, of course, and certainly not enough to warm the northern. Suggest that you buy whe"&amp;"n the amount of good size.")</f>
        <v>Feeling good, very handsome, very satisfied with these shoes, the size of the problem has been entangled before, just better dressed. Talk about size for reference purposes only. My feet long is 260mm, usually wear newbalance is 41.5 yards, which I chose 8.5, had wanted the election ee, no darkbrown, had to chose 8.5m, put before the toes little space, suitable for winter wear thick socks. Shoes and handsome, with dark slacks suit, looks like the general movement / hiking shoes, waterproof performance is currently no test. If there is wear in Guangdong, it will certainly be hot, feet will feel the heat. If it is in the East China Central China region winter wear, feel good, of course, and certainly not enough to warm the northern. Suggest that you buy when the amount of good size.</v>
      </c>
    </row>
    <row r="10091">
      <c r="A10091" s="1">
        <v>5.0</v>
      </c>
      <c r="B10091" s="1" t="s">
        <v>10016</v>
      </c>
      <c r="C10091" t="str">
        <f>IFERROR(__xludf.DUMMYFUNCTION("GOOGLETRANSLATE(B10091, ""zh"", ""en"")"),"Function normal capacity, there is little noise")</f>
        <v>Function normal capacity, there is little noise</v>
      </c>
    </row>
    <row r="10092">
      <c r="A10092" s="1">
        <v>5.0</v>
      </c>
      <c r="B10092" s="1" t="s">
        <v>10017</v>
      </c>
      <c r="C10092" t="str">
        <f>IFERROR(__xludf.DUMMYFUNCTION("GOOGLETRANSLATE(B10092, ""zh"", ""en"")"),"It has been very good with comfortable non-allergic")</f>
        <v>It has been very good with comfortable non-allergic</v>
      </c>
    </row>
    <row r="10093">
      <c r="A10093" s="1">
        <v>5.0</v>
      </c>
      <c r="B10093" s="1" t="s">
        <v>10018</v>
      </c>
      <c r="C10093" t="str">
        <f>IFERROR(__xludf.DUMMYFUNCTION("GOOGLETRANSLATE(B10093, ""zh"", ""en"")"),"Very practical design is reasonable, with good children")</f>
        <v>Very practical design is reasonable, with good children</v>
      </c>
    </row>
    <row r="10094">
      <c r="A10094" s="1">
        <v>5.0</v>
      </c>
      <c r="B10094" s="1" t="s">
        <v>10019</v>
      </c>
      <c r="C10094" t="str">
        <f>IFERROR(__xludf.DUMMYFUNCTION("GOOGLETRANSLATE(B10094, ""zh"", ""en"")"),"Recommended bought two to give to children, students with a size just right")</f>
        <v>Recommended bought two to give to children, students with a size just right</v>
      </c>
    </row>
    <row r="10095">
      <c r="A10095" s="1">
        <v>5.0</v>
      </c>
      <c r="B10095" s="1" t="s">
        <v>10020</v>
      </c>
      <c r="C10095" t="str">
        <f>IFERROR(__xludf.DUMMYFUNCTION("GOOGLETRANSLATE(B10095, ""zh"", ""en"")"),"Buy buy buy, do not hesitate to express so fast I did not expect, cups nothing wrong, did not find a temporary problem, there is a buy anything else, there is no domestic distribution logistics in addition to outside information, no problems, but the basi"&amp;"c domestic second day arrived, and I this is in a very remote place, very good experience")</f>
        <v>Buy buy buy, do not hesitate to express so fast I did not expect, cups nothing wrong, did not find a temporary problem, there is a buy anything else, there is no domestic distribution logistics in addition to outside information, no problems, but the basic domestic second day arrived, and I this is in a very remote place, very good experience</v>
      </c>
    </row>
    <row r="10096">
      <c r="A10096" s="1">
        <v>5.0</v>
      </c>
      <c r="B10096" s="1" t="s">
        <v>10021</v>
      </c>
      <c r="C10096" t="str">
        <f>IFERROR(__xludf.DUMMYFUNCTION("GOOGLETRANSLATE(B10096, ""zh"", ""en"")"),"Origin Portugal is producer of Portugal! Overall fairly satisfied")</f>
        <v>Origin Portugal is producer of Portugal! Overall fairly satisfied</v>
      </c>
    </row>
    <row r="10097">
      <c r="A10097" s="1">
        <v>5.0</v>
      </c>
      <c r="B10097" s="1" t="s">
        <v>10022</v>
      </c>
      <c r="C10097" t="str">
        <f>IFERROR(__xludf.DUMMYFUNCTION("GOOGLETRANSLATE(B10097, ""zh"", ""en"")"),"One pair of good shoes very fit, the price is very beautiful, I hope as soon as possible female models in stock.")</f>
        <v>One pair of good shoes very fit, the price is very beautiful, I hope as soon as possible female models in stock.</v>
      </c>
    </row>
    <row r="10098">
      <c r="A10098" s="1">
        <v>5.0</v>
      </c>
      <c r="B10098" s="1" t="s">
        <v>10023</v>
      </c>
      <c r="C10098" t="str">
        <f>IFERROR(__xludf.DUMMYFUNCTION("GOOGLETRANSLATE(B10098, ""zh"", ""en"")"),"Good good, baby put it down, it does not know is that every time the baby to drink the remaining water, there is no taste, very good. Capacity is a little small")</f>
        <v>Good good, baby put it down, it does not know is that every time the baby to drink the remaining water, there is no taste, very good. Capacity is a little small</v>
      </c>
    </row>
    <row r="10099">
      <c r="A10099" s="1">
        <v>5.0</v>
      </c>
      <c r="B10099" s="1" t="s">
        <v>10024</v>
      </c>
      <c r="C10099" t="str">
        <f>IFERROR(__xludf.DUMMYFUNCTION("GOOGLETRANSLATE(B10099, ""zh"", ""en"")"),"Super easy super easy to use bottles, we used a few brands, the most practical, real cow Amazon distribution, the US direct mail, order to delivery, 6 days")</f>
        <v>Super easy super easy to use bottles, we used a few brands, the most practical, real cow Amazon distribution, the US direct mail, order to delivery, 6 days</v>
      </c>
    </row>
    <row r="10100">
      <c r="A10100" s="1">
        <v>5.0</v>
      </c>
      <c r="B10100" s="1" t="s">
        <v>10025</v>
      </c>
      <c r="C10100" t="str">
        <f>IFERROR(__xludf.DUMMYFUNCTION("GOOGLETRANSLATE(B10100, ""zh"", ""en"")"),"This is very good to see from the little red book, thanks to Meyer, efficient logistics system, very beautiful shoes, this particular white")</f>
        <v>This is very good to see from the little red book, thanks to Meyer, efficient logistics system, very beautiful shoes, this particular white</v>
      </c>
    </row>
    <row r="10101">
      <c r="A10101" s="1">
        <v>5.0</v>
      </c>
      <c r="B10101" s="1" t="s">
        <v>10026</v>
      </c>
      <c r="C10101" t="str">
        <f>IFERROR(__xludf.DUMMYFUNCTION("GOOGLETRANSLATE(B10101, ""zh"", ""en"")"),"Appropriate, authentic look good, usually 56-58 hat, adjust a little to the right, a hat is relatively deep, the bulk should be no problem")</f>
        <v>Appropriate, authentic look good, usually 56-58 hat, adjust a little to the right, a hat is relatively deep, the bulk should be no problem</v>
      </c>
    </row>
    <row r="10102">
      <c r="A10102" s="1">
        <v>5.0</v>
      </c>
      <c r="B10102" s="1" t="s">
        <v>10027</v>
      </c>
      <c r="C10102" t="str">
        <f>IFERROR(__xludf.DUMMYFUNCTION("GOOGLETRANSLATE(B10102, ""zh"", ""en"")"),"Cheap, authentic good, softer than some of the EB50, the key is cheap, widely issuing Offers complete 100 8 very good value")</f>
        <v>Cheap, authentic good, softer than some of the EB50, the key is cheap, widely issuing Offers complete 100 8 very good value</v>
      </c>
    </row>
    <row r="10103">
      <c r="A10103" s="1">
        <v>2.0</v>
      </c>
      <c r="B10103" s="1" t="s">
        <v>10028</v>
      </c>
      <c r="C10103" t="str">
        <f>IFERROR(__xludf.DUMMYFUNCTION("GOOGLETRANSLATE(B10103, ""zh"", ""en"")"),"Strong flavor, very smelly, unhealthy, do not recommend buying heavy flavor, very healthy, adults are not suitable for use, let alone a baby.")</f>
        <v>Strong flavor, very smelly, unhealthy, do not recommend buying heavy flavor, very healthy, adults are not suitable for use, let alone a baby.</v>
      </c>
    </row>
    <row r="10104">
      <c r="A10104" s="1">
        <v>3.0</v>
      </c>
      <c r="B10104" s="1" t="s">
        <v>10029</v>
      </c>
      <c r="C10104" t="str">
        <f>IFERROR(__xludf.DUMMYFUNCTION("GOOGLETRANSLATE(B10104, ""zh"", ""en"")"),"Disappointed. . Goods packaging is not very good. . The basic carton is too simple for the hard disk is. . . And the disk is not very satisfactory to detect bad sectors")</f>
        <v>Disappointed. . Goods packaging is not very good. . The basic carton is too simple for the hard disk is. . . And the disk is not very satisfactory to detect bad sectors</v>
      </c>
    </row>
    <row r="10105">
      <c r="A10105" s="1">
        <v>3.0</v>
      </c>
      <c r="B10105" s="1" t="s">
        <v>10030</v>
      </c>
      <c r="C10105" t="str">
        <f>IFERROR(__xludf.DUMMYFUNCTION("GOOGLETRANSLATE(B10105, ""zh"", ""en"")"),"Once bought three, the fabric is good, but this package is indeed to take Tucao look! I lean (175,60KG, waist 31), as previously bought CK So this is to buy S code, the size is just right! After all, is modal fabric, body feeling is good, elastic can be m"&amp;"ore suitable for summer wear, relatively cool! But but but. . . . This package is too much garbage, the grade is too low! ! ! Supermarket 30 dollars a package of underwear than it is a hundred times better! ! !")</f>
        <v>Once bought three, the fabric is good, but this package is indeed to take Tucao look! I lean (175,60KG, waist 31), as previously bought CK So this is to buy S code, the size is just right! After all, is modal fabric, body feeling is good, elastic can be more suitable for summer wear, relatively cool! But but but. . . . This package is too much garbage, the grade is too low! ! ! Supermarket 30 dollars a package of underwear than it is a hundred times better! ! !</v>
      </c>
    </row>
    <row r="10106">
      <c r="A10106" s="1">
        <v>3.0</v>
      </c>
      <c r="B10106" s="1" t="s">
        <v>10031</v>
      </c>
      <c r="C10106" t="str">
        <f>IFERROR(__xludf.DUMMYFUNCTION("GOOGLETRANSLATE(B10106, ""zh"", ""en"")"),"General hard hard fabric. Not comfortable")</f>
        <v>General hard hard fabric. Not comfortable</v>
      </c>
    </row>
    <row r="10107">
      <c r="A10107" s="1">
        <v>1.0</v>
      </c>
      <c r="B10107" s="1" t="s">
        <v>10032</v>
      </c>
      <c r="C10107" t="str">
        <f>IFERROR(__xludf.DUMMYFUNCTION("GOOGLETRANSLATE(B10107, ""zh"", ""en"")"),"Vietnam garbage produced, poor quality of heinous, sleeves traces crooked!")</f>
        <v>Vietnam garbage produced, poor quality of heinous, sleeves traces crooked!</v>
      </c>
    </row>
    <row r="10108">
      <c r="A10108" s="1">
        <v>1.0</v>
      </c>
      <c r="B10108" s="1" t="s">
        <v>10033</v>
      </c>
      <c r="C10108" t="str">
        <f>IFERROR(__xludf.DUMMYFUNCTION("GOOGLETRANSLATE(B10108, ""zh"", ""en"")"),"Cheater cheated businesses, according to the picture with the color that much difference, to send over looks very old kind of scary trousers large, it has been fooled")</f>
        <v>Cheater cheated businesses, according to the picture with the color that much difference, to send over looks very old kind of scary trousers large, it has been fooled</v>
      </c>
    </row>
    <row r="10109">
      <c r="A10109" s="1">
        <v>4.0</v>
      </c>
      <c r="B10109" s="1" t="s">
        <v>10034</v>
      </c>
      <c r="C10109" t="str">
        <f>IFERROR(__xludf.DUMMYFUNCTION("GOOGLETRANSLATE(B10109, ""zh"", ""en"")"),"Simple style, fabric suitable number OK code, the code number by normal wear buy their own. Fabric is comfortable, simple style.")</f>
        <v>Simple style, fabric suitable number OK code, the code number by normal wear buy their own. Fabric is comfortable, simple style.</v>
      </c>
    </row>
    <row r="10110">
      <c r="A10110" s="1">
        <v>4.0</v>
      </c>
      <c r="B10110" s="1" t="s">
        <v>10035</v>
      </c>
      <c r="C10110" t="str">
        <f>IFERROR(__xludf.DUMMYFUNCTION("GOOGLETRANSLATE(B10110, ""zh"", ""en"")"),"Overall can accept too messy needle thread 172 to buy the right size s number is somewhat longer length")</f>
        <v>Overall can accept too messy needle thread 172 to buy the right size s number is somewhat longer length</v>
      </c>
    </row>
    <row r="10111">
      <c r="A10111" s="1">
        <v>4.0</v>
      </c>
      <c r="B10111" s="1" t="s">
        <v>10036</v>
      </c>
      <c r="C10111" t="str">
        <f>IFERROR(__xludf.DUMMYFUNCTION("GOOGLETRANSLATE(B10111, ""zh"", ""en"")"),"After the purchase of 165 girls girls should wear appropriate minimum code, and cotton fabrics are not feeling a little more rigid than cotton, cuffs will be relatively large, clothes washing through will carry a little more.")</f>
        <v>After the purchase of 165 girls girls should wear appropriate minimum code, and cotton fabrics are not feeling a little more rigid than cotton, cuffs will be relatively large, clothes washing through will carry a little more.</v>
      </c>
    </row>
    <row r="10112">
      <c r="A10112" s="1">
        <v>4.0</v>
      </c>
      <c r="B10112" s="1" t="s">
        <v>10037</v>
      </c>
      <c r="C10112" t="str">
        <f>IFERROR(__xludf.DUMMYFUNCTION("GOOGLETRANSLATE(B10112, ""zh"", ""en"")"),"Three and a half very comfortable Nissan champion workmanship is really good but the price is too low than the nearly 300 it UNIQLO strengths")</f>
        <v>Three and a half very comfortable Nissan champion workmanship is really good but the price is too low than the nearly 300 it UNIQLO strengths</v>
      </c>
    </row>
    <row r="10113">
      <c r="A10113" s="1">
        <v>4.0</v>
      </c>
      <c r="B10113" s="1" t="s">
        <v>10038</v>
      </c>
      <c r="C10113" t="str">
        <f>IFERROR(__xludf.DUMMYFUNCTION("GOOGLETRANSLATE(B10113, ""zh"", ""en"")"),"Very good logistics fast none, things are very delicate. like very much.")</f>
        <v>Very good logistics fast none, things are very delicate. like very much.</v>
      </c>
    </row>
    <row r="10114">
      <c r="A10114" s="1">
        <v>5.0</v>
      </c>
      <c r="B10114" s="1" t="s">
        <v>10039</v>
      </c>
      <c r="C10114" t="str">
        <f>IFERROR(__xludf.DUMMYFUNCTION("GOOGLETRANSLATE(B10114, ""zh"", ""en"")"),"Very easy to use because before the wheat is broken, say buy a good point with the next. Then bought only to find everyone is used to do or what anchor playing and singing, I used to play the game, very ashamed. But really well, the human voice is very cl"&amp;"ear, and it is a line, very neat. There is a problem that radio is easy to put my mouse and keyboard sounds close in, playing chicken when a teammate caused a lot of trouble ah.")</f>
        <v>Very easy to use because before the wheat is broken, say buy a good point with the next. Then bought only to find everyone is used to do or what anchor playing and singing, I used to play the game, very ashamed. But really well, the human voice is very clear, and it is a line, very neat. There is a problem that radio is easy to put my mouse and keyboard sounds close in, playing chicken when a teammate caused a lot of trouble ah.</v>
      </c>
    </row>
    <row r="10115">
      <c r="A10115" s="1">
        <v>5.0</v>
      </c>
      <c r="B10115" s="1" t="s">
        <v>10040</v>
      </c>
      <c r="C10115" t="str">
        <f>IFERROR(__xludf.DUMMYFUNCTION("GOOGLETRANSLATE(B10115, ""zh"", ""en"")"),"Good, good quality and good style! Good, good quality and good style! Under Armour is clothing sizes are too large, dress length sleeves and a longer length! 169,122 kg, S code")</f>
        <v>Good, good quality and good style! Good, good quality and good style! Under Armour is clothing sizes are too large, dress length sleeves and a longer length! 169,122 kg, S code</v>
      </c>
    </row>
    <row r="10116">
      <c r="A10116" s="1">
        <v>5.0</v>
      </c>
      <c r="B10116" s="1" t="s">
        <v>10041</v>
      </c>
      <c r="C10116" t="str">
        <f>IFERROR(__xludf.DUMMYFUNCTION("GOOGLETRANSLATE(B10116, ""zh"", ""en"")"),"Citizen Eco-Drive watches watches about eight days on arrival, try them for some time, feeling fine workmanship, good texture, with exactly the same picture, very fond of this style watch!")</f>
        <v>Citizen Eco-Drive watches watches about eight days on arrival, try them for some time, feeling fine workmanship, good texture, with exactly the same picture, very fond of this style watch!</v>
      </c>
    </row>
    <row r="10117">
      <c r="A10117" s="1">
        <v>5.0</v>
      </c>
      <c r="B10117" s="1" t="s">
        <v>10042</v>
      </c>
      <c r="C10117" t="str">
        <f>IFERROR(__xludf.DUMMYFUNCTION("GOOGLETRANSLATE(B10117, ""zh"", ""en"")"),"Very satisfied looks very nice, but also very comfortable, value for money")</f>
        <v>Very satisfied looks very nice, but also very comfortable, value for money</v>
      </c>
    </row>
    <row r="10118">
      <c r="A10118" s="1">
        <v>5.0</v>
      </c>
      <c r="B10118" s="1" t="s">
        <v>10043</v>
      </c>
      <c r="C10118" t="str">
        <f>IFERROR(__xludf.DUMMYFUNCTION("GOOGLETRANSLATE(B10118, ""zh"", ""en"")"),"Shoes are genuine work sloppy, did not step on the line high, the glue did not have to jail")</f>
        <v>Shoes are genuine work sloppy, did not step on the line high, the glue did not have to jail</v>
      </c>
    </row>
    <row r="10119">
      <c r="A10119" s="1">
        <v>5.0</v>
      </c>
      <c r="B10119" s="1" t="s">
        <v>10044</v>
      </c>
      <c r="C10119" t="str">
        <f>IFERROR(__xludf.DUMMYFUNCTION("GOOGLETRANSLATE(B10119, ""zh"", ""en"")"),"Comfortable to wear 159cm50kg, s code exactly. The most praise is just right sleeves to the wrist, material good, very comfortable to wear.")</f>
        <v>Comfortable to wear 159cm50kg, s code exactly. The most praise is just right sleeves to the wrist, material good, very comfortable to wear.</v>
      </c>
    </row>
    <row r="10120">
      <c r="A10120" s="1">
        <v>5.0</v>
      </c>
      <c r="B10120" s="1" t="s">
        <v>10045</v>
      </c>
      <c r="C10120" t="str">
        <f>IFERROR(__xludf.DUMMYFUNCTION("GOOGLETRANSLATE(B10120, ""zh"", ""en"")"),"Cost-effective quality is good, wearing a very comfortable, very high price.")</f>
        <v>Cost-effective quality is good, wearing a very comfortable, very high price.</v>
      </c>
    </row>
    <row r="10121">
      <c r="A10121" s="1">
        <v>5.0</v>
      </c>
      <c r="B10121" s="1" t="s">
        <v>10046</v>
      </c>
      <c r="C10121" t="str">
        <f>IFERROR(__xludf.DUMMYFUNCTION("GOOGLETRANSLATE(B10121, ""zh"", ""en"")"),"The size feels just fine in the domestic electricity business platform does not have to sell, the price is still pretty good, that is, the particles will be relatively large, so the time is not very comfortable to swallow")</f>
        <v>The size feels just fine in the domestic electricity business platform does not have to sell, the price is still pretty good, that is, the particles will be relatively large, so the time is not very comfortable to swallow</v>
      </c>
    </row>
    <row r="10122">
      <c r="A10122" s="1">
        <v>5.0</v>
      </c>
      <c r="B10122" s="1" t="s">
        <v>10047</v>
      </c>
      <c r="C10122" t="str">
        <f>IFERROR(__xludf.DUMMYFUNCTION("GOOGLETRANSLATE(B10122, ""zh"", ""en"")"),"A very beautiful hi-hing color. Scissors texture, looking not cheap, after all, brand-safe")</f>
        <v>A very beautiful hi-hing color. Scissors texture, looking not cheap, after all, brand-safe</v>
      </c>
    </row>
    <row r="10123">
      <c r="A10123" s="1">
        <v>5.0</v>
      </c>
      <c r="B10123" s="1" t="s">
        <v>10048</v>
      </c>
      <c r="C10123" t="str">
        <f>IFERROR(__xludf.DUMMYFUNCTION("GOOGLETRANSLATE(B10123, ""zh"", ""en"")"),"Code is too large height 173,63KG, buy the S number, or big, is displayed on the wash label is 180/92, but the fabric is very comfortable, okay")</f>
        <v>Code is too large height 173,63KG, buy the S number, or big, is displayed on the wash label is 180/92, but the fabric is very comfortable, okay</v>
      </c>
    </row>
    <row r="10124">
      <c r="A10124" s="1">
        <v>5.0</v>
      </c>
      <c r="B10124" s="1" t="s">
        <v>10049</v>
      </c>
      <c r="C10124" t="str">
        <f>IFERROR(__xludf.DUMMYFUNCTION("GOOGLETRANSLATE(B10124, ""zh"", ""en"")"),"The right to continue very appropriate, cost-effective. We will continue scouring the sea.")</f>
        <v>The right to continue very appropriate, cost-effective. We will continue scouring the sea.</v>
      </c>
    </row>
    <row r="10125">
      <c r="A10125" s="1">
        <v>5.0</v>
      </c>
      <c r="B10125" s="1" t="s">
        <v>10050</v>
      </c>
      <c r="C10125" t="str">
        <f>IFERROR(__xludf.DUMMYFUNCTION("GOOGLETRANSLATE(B10125, ""zh"", ""en"")"),"Good quality clothes, quality is good, for the size tangle of information I can refer to: domestic 180/104 of normal wear, wearing L code just right.")</f>
        <v>Good quality clothes, quality is good, for the size tangle of information I can refer to: domestic 180/104 of normal wear, wearing L code just right.</v>
      </c>
    </row>
    <row r="10126">
      <c r="A10126" s="1">
        <v>5.0</v>
      </c>
      <c r="B10126" s="1" t="s">
        <v>4055</v>
      </c>
      <c r="C10126" t="str">
        <f>IFERROR(__xludf.DUMMYFUNCTION("GOOGLETRANSLATE(B10126, ""zh"", ""en"")"),"Elastic good very good, very good elasticity")</f>
        <v>Elastic good very good, very good elasticity</v>
      </c>
    </row>
    <row r="10127">
      <c r="A10127" s="1">
        <v>5.0</v>
      </c>
      <c r="B10127" s="1" t="s">
        <v>10051</v>
      </c>
      <c r="C10127" t="str">
        <f>IFERROR(__xludf.DUMMYFUNCTION("GOOGLETRANSLATE(B10127, ""zh"", ""en"")"),"Good good material, soft and comfortable. Buy M code, clothes shoulder width 41, bust 98, sleeve did not amount, however long, I 167 tall to wear sleeves and pleated just twice before, wants to buy S code Slim better")</f>
        <v>Good good material, soft and comfortable. Buy M code, clothes shoulder width 41, bust 98, sleeve did not amount, however long, I 167 tall to wear sleeves and pleated just twice before, wants to buy S code Slim better</v>
      </c>
    </row>
    <row r="10128">
      <c r="A10128" s="1">
        <v>5.0</v>
      </c>
      <c r="B10128" s="1" t="s">
        <v>10052</v>
      </c>
      <c r="C10128" t="str">
        <f>IFERROR(__xludf.DUMMYFUNCTION("GOOGLETRANSLATE(B10128, ""zh"", ""en"")"),"Affordable fabric like a general")</f>
        <v>Affordable fabric like a general</v>
      </c>
    </row>
    <row r="10129">
      <c r="A10129" s="1">
        <v>5.0</v>
      </c>
      <c r="B10129" s="1" t="s">
        <v>10053</v>
      </c>
      <c r="C10129" t="str">
        <f>IFERROR(__xludf.DUMMYFUNCTION("GOOGLETRANSLATE(B10129, ""zh"", ""en"")"),"The high cost of solar radio plus accurate and peace of mind, affordable. Support Purchase")</f>
        <v>The high cost of solar radio plus accurate and peace of mind, affordable. Support Purchase</v>
      </c>
    </row>
    <row r="10130">
      <c r="A10130" s="1">
        <v>5.0</v>
      </c>
      <c r="B10130" s="1" t="s">
        <v>10054</v>
      </c>
      <c r="C10130" t="str">
        <f>IFERROR(__xludf.DUMMYFUNCTION("GOOGLETRANSLATE(B10130, ""zh"", ""en"")"),"Clothes too large elevated 174, weight 144, domestic size 175 / 96A, before buying m is too large, back")</f>
        <v>Clothes too large elevated 174, weight 144, domestic size 175 / 96A, before buying m is too large, back</v>
      </c>
    </row>
    <row r="10131">
      <c r="A10131" s="1">
        <v>5.0</v>
      </c>
      <c r="B10131" s="1" t="s">
        <v>10055</v>
      </c>
      <c r="C10131" t="str">
        <f>IFERROR(__xludf.DUMMYFUNCTION("GOOGLETRANSLATE(B10131, ""zh"", ""en"")"),"Open a sound I knew bought the right to buy certain eastern Cruiser S1000, listening to the uncomfortable back. Then bought Swans X3, listening to the soft little effort and no, disappointed and back. And then bought this, open a sound I know to buy the r"&amp;"ight, this is it.")</f>
        <v>Open a sound I knew bought the right to buy certain eastern Cruiser S1000, listening to the uncomfortable back. Then bought Swans X3, listening to the soft little effort and no, disappointed and back. And then bought this, open a sound I know to buy the right, this is it.</v>
      </c>
    </row>
    <row r="10132">
      <c r="A10132" s="1">
        <v>5.0</v>
      </c>
      <c r="B10132" s="1" t="s">
        <v>10056</v>
      </c>
      <c r="C10132" t="str">
        <f>IFERROR(__xludf.DUMMYFUNCTION("GOOGLETRANSLATE(B10132, ""zh"", ""en"")"),"Size standard normal size, domestic buy buy L L, 180 for normal size")</f>
        <v>Size standard normal size, domestic buy buy L L, 180 for normal size</v>
      </c>
    </row>
    <row r="10133">
      <c r="A10133" s="1">
        <v>5.0</v>
      </c>
      <c r="B10133" s="1" t="s">
        <v>10057</v>
      </c>
      <c r="C10133" t="str">
        <f>IFERROR(__xludf.DUMMYFUNCTION("GOOGLETRANSLATE(B10133, ""zh"", ""en"")"),"So far through most comfortable underwear for the first time I bought two gray, and this time bought two black. The high-waisted briefs materials stress, high count cotton is soft and comfortable, no deviation washed several times, and much better than do"&amp;"mestic brands, especially for middle-aged men.")</f>
        <v>So far through most comfortable underwear for the first time I bought two gray, and this time bought two black. The high-waisted briefs materials stress, high count cotton is soft and comfortable, no deviation washed several times, and much better than domestic brands, especially for middle-aged men.</v>
      </c>
    </row>
    <row r="10134">
      <c r="A10134" s="1">
        <v>5.0</v>
      </c>
      <c r="B10134" s="1" t="s">
        <v>10058</v>
      </c>
      <c r="C10134" t="str">
        <f>IFERROR(__xludf.DUMMYFUNCTION("GOOGLETRANSLATE(B10134, ""zh"", ""en"")"),"Fairly good height 175 cm, 63 kg of body weight, the appropriate code. Indeed relatively long length, I heard that will shrink, so you will not worry about the texture is good, not too thin, very good quality")</f>
        <v>Fairly good height 175 cm, 63 kg of body weight, the appropriate code. Indeed relatively long length, I heard that will shrink, so you will not worry about the texture is good, not too thin, very good quality</v>
      </c>
    </row>
    <row r="10135">
      <c r="A10135" s="1">
        <v>5.0</v>
      </c>
      <c r="B10135" s="1" t="s">
        <v>10059</v>
      </c>
      <c r="C10135" t="str">
        <f>IFERROR(__xludf.DUMMYFUNCTION("GOOGLETRANSLATE(B10135, ""zh"", ""en"")"),"Holding a cup a good choice, easy to carry")</f>
        <v>Holding a cup a good choice, easy to carry</v>
      </c>
    </row>
    <row r="10136">
      <c r="A10136" s="1">
        <v>2.0</v>
      </c>
      <c r="B10136" s="1" t="s">
        <v>10060</v>
      </c>
      <c r="C10136" t="str">
        <f>IFERROR(__xludf.DUMMYFUNCTION("GOOGLETRANSLATE(B10136, ""zh"", ""en"")"),"I do not like to play ball, scratchy, not worth the price")</f>
        <v>I do not like to play ball, scratchy, not worth the price</v>
      </c>
    </row>
    <row r="10137">
      <c r="A10137" s="1">
        <v>3.0</v>
      </c>
      <c r="B10137" s="1" t="s">
        <v>10061</v>
      </c>
      <c r="C10137" t="str">
        <f>IFERROR(__xludf.DUMMYFUNCTION("GOOGLETRANSLATE(B10137, ""zh"", ""en"")"),"Upper card feet, must buy a bigger size for the job vamp card feet, a small number.")</f>
        <v>Upper card feet, must buy a bigger size for the job vamp card feet, a small number.</v>
      </c>
    </row>
    <row r="10138">
      <c r="A10138" s="1">
        <v>3.0</v>
      </c>
      <c r="B10138" s="1" t="s">
        <v>10062</v>
      </c>
      <c r="C10138" t="str">
        <f>IFERROR(__xludf.DUMMYFUNCTION("GOOGLETRANSLATE(B10138, ""zh"", ""en"")"),"The origin of the problem is I do not know with the French-made product is not the same Amoy Germany")</f>
        <v>The origin of the problem is I do not know with the French-made product is not the same Amoy Germany</v>
      </c>
    </row>
    <row r="10139">
      <c r="A10139" s="1">
        <v>1.0</v>
      </c>
      <c r="B10139" s="1" t="s">
        <v>10063</v>
      </c>
      <c r="C10139" t="str">
        <f>IFERROR(__xludf.DUMMYFUNCTION("GOOGLETRANSLATE(B10139, ""zh"", ""en"")"),"Deceptive! Across the seas to have a hole in my pants, relied on cheap stuff Free expensive, I think I'll eat dark loss? Well, you win")</f>
        <v>Deceptive! Across the seas to have a hole in my pants, relied on cheap stuff Free expensive, I think I'll eat dark loss? Well, you win</v>
      </c>
    </row>
    <row r="10140">
      <c r="A10140" s="1">
        <v>1.0</v>
      </c>
      <c r="B10140" s="1" t="s">
        <v>10064</v>
      </c>
      <c r="C10140" t="str">
        <f>IFERROR(__xludf.DUMMYFUNCTION("GOOGLETRANSLATE(B10140, ""zh"", ""en"")"),"Oversized, can not use large code can not be used,")</f>
        <v>Oversized, can not use large code can not be used,</v>
      </c>
    </row>
    <row r="10141">
      <c r="A10141" s="1">
        <v>1.0</v>
      </c>
      <c r="B10141" s="1" t="s">
        <v>10065</v>
      </c>
      <c r="C10141" t="str">
        <f>IFERROR(__xludf.DUMMYFUNCTION("GOOGLETRANSLATE(B10141, ""zh"", ""en"")"),"Poor quality poor quality of")</f>
        <v>Poor quality poor quality of</v>
      </c>
    </row>
    <row r="10142">
      <c r="A10142" s="1">
        <v>4.0</v>
      </c>
      <c r="B10142" s="1" t="s">
        <v>10066</v>
      </c>
      <c r="C10142" t="str">
        <f>IFERROR(__xludf.DUMMYFUNCTION("GOOGLETRANSLATE(B10142, ""zh"", ""en"")"),"Good speed, head is large enough, with a very smooth, but the noise is not small. 8T, bought film library linked with simple AC68U taken. AC68U official statement maximum support 4T external hard drives, buy this 8T hung with the same, no abnormalities, s"&amp;"uggesting capacity models are right. *** must pay attention, do not use AC68U ""Viewing disk health status"" feature that will complain, will try to repair, it may corrupt data ***. Hanging on AC68U spent half a month, okay, do not watch the movie when th"&amp;"e disc was soon going to sleep. Need to remove the hard drive when we must enter AC68U settings in the pop-up, pull the line to avoid direct damage to data. Disk itself vibration, but it does not sound directly read the disk only a slight rattle. If the d"&amp;"isk directly on the table will be a lot of buzz, is the desktop into a sound radiator, the sound is a table, not the hard drive. Approach is in the disc pad beneath a cushion to absorb the shock, the sound is not so obvious.")</f>
        <v>Good speed, head is large enough, with a very smooth, but the noise is not small. 8T, bought film library linked with simple AC68U taken. AC68U official statement maximum support 4T external hard drives, buy this 8T hung with the same, no abnormalities, suggesting capacity models are right. *** must pay attention, do not use AC68U "Viewing disk health status" feature that will complain, will try to repair, it may corrupt data ***. Hanging on AC68U spent half a month, okay, do not watch the movie when the disc was soon going to sleep. Need to remove the hard drive when we must enter AC68U settings in the pop-up, pull the line to avoid direct damage to data. Disk itself vibration, but it does not sound directly read the disk only a slight rattle. If the disk directly on the table will be a lot of buzz, is the desktop into a sound radiator, the sound is a table, not the hard drive. Approach is in the disc pad beneath a cushion to absorb the shock, the sound is not so obvious.</v>
      </c>
    </row>
    <row r="10143">
      <c r="A10143" s="1">
        <v>4.0</v>
      </c>
      <c r="B10143" s="1" t="s">
        <v>10067</v>
      </c>
      <c r="C10143" t="str">
        <f>IFERROR(__xludf.DUMMYFUNCTION("GOOGLETRANSLATE(B10143, ""zh"", ""en"")"),"Too good, good, not from previous reviews, I do not know how many wasted points, points can change money now know, they should look carefully evaluated, then I put these words to copy to go, both to earn points, but also the easy way to go where copy wher"&amp;"e, most importantly, do not seriously review, do not think how much worse word, sent directly to it, recommend it to everyone! !")</f>
        <v>Too good, good, not from previous reviews, I do not know how many wasted points, points can change money now know, they should look carefully evaluated, then I put these words to copy to go, both to earn points, but also the easy way to go where copy where, most importantly, do not seriously review, do not think how much worse word, sent directly to it, recommend it to everyone! !</v>
      </c>
    </row>
    <row r="10144">
      <c r="A10144" s="1">
        <v>4.0</v>
      </c>
      <c r="B10144" s="1" t="s">
        <v>10068</v>
      </c>
      <c r="C10144" t="str">
        <f>IFERROR(__xludf.DUMMYFUNCTION("GOOGLETRANSLATE(B10144, ""zh"", ""en"")"),"Good value for money to replace the old brush, feel good, if the bristles can then softer the better")</f>
        <v>Good value for money to replace the old brush, feel good, if the bristles can then softer the better</v>
      </c>
    </row>
    <row r="10145">
      <c r="A10145" s="1">
        <v>4.0</v>
      </c>
      <c r="B10145" s="1" t="s">
        <v>10069</v>
      </c>
      <c r="C10145" t="str">
        <f>IFERROR(__xludf.DUMMYFUNCTION("GOOGLETRANSLATE(B10145, ""zh"", ""en"")"),"Good quality general said the Japanese version, which is the domestic hoodies more than 100 pieces only. Near the 350 block relative to the price, the clothes in general. Tim is better to buy dozens of pieces of FILA, or spend less to buy Di-resistant mat"&amp;"erials are better than this good work. Upper body effect is quite good.")</f>
        <v>Good quality general said the Japanese version, which is the domestic hoodies more than 100 pieces only. Near the 350 block relative to the price, the clothes in general. Tim is better to buy dozens of pieces of FILA, or spend less to buy Di-resistant materials are better than this good work. Upper body effect is quite good.</v>
      </c>
    </row>
    <row r="10146">
      <c r="A10146" s="1">
        <v>5.0</v>
      </c>
      <c r="B10146" s="1" t="s">
        <v>10070</v>
      </c>
      <c r="C10146" t="str">
        <f>IFERROR(__xludf.DUMMYFUNCTION("GOOGLETRANSLATE(B10146, ""zh"", ""en"")"),"The first medical examination, but fortunately for the first time experience, grasp of the size and the size is not very accurate, but can wear to go, it is good")</f>
        <v>The first medical examination, but fortunately for the first time experience, grasp of the size and the size is not very accurate, but can wear to go, it is good</v>
      </c>
    </row>
    <row r="10147">
      <c r="A10147" s="1">
        <v>5.0</v>
      </c>
      <c r="B10147" s="1" t="s">
        <v>10071</v>
      </c>
      <c r="C10147" t="str">
        <f>IFERROR(__xludf.DUMMYFUNCTION("GOOGLETRANSLATE(B10147, ""zh"", ""en"")"),"Protein very high cost, the credibility of security, very trustworthy, I love it.")</f>
        <v>Protein very high cost, the credibility of security, very trustworthy, I love it.</v>
      </c>
    </row>
    <row r="10148">
      <c r="A10148" s="1">
        <v>5.0</v>
      </c>
      <c r="B10148" s="1" t="s">
        <v>10072</v>
      </c>
      <c r="C10148" t="str">
        <f>IFERROR(__xludf.DUMMYFUNCTION("GOOGLETRANSLATE(B10148, ""zh"", ""en"")"),"Received very good pants, Mauritius production, thin section!")</f>
        <v>Received very good pants, Mauritius production, thin section!</v>
      </c>
    </row>
    <row r="10149">
      <c r="A10149" s="1">
        <v>5.0</v>
      </c>
      <c r="B10149" s="1" t="s">
        <v>10073</v>
      </c>
      <c r="C10149" t="str">
        <f>IFERROR(__xludf.DUMMYFUNCTION("GOOGLETRANSLATE(B10149, ""zh"", ""en"")"),"Well OK, Ok")</f>
        <v>Well OK, Ok</v>
      </c>
    </row>
    <row r="10150">
      <c r="A10150" s="1">
        <v>5.0</v>
      </c>
      <c r="B10150" s="1" t="s">
        <v>10074</v>
      </c>
      <c r="C10150" t="str">
        <f>IFERROR(__xludf.DUMMYFUNCTION("GOOGLETRANSLATE(B10150, ""zh"", ""en"")"),"Price, ease of use and price concessions, including tax buy 800 head, just before an overpaid nearly 200 yuan in the East, heartache comprehend ah, disk very good, bought a few did wrong, and now overseas purchase 10 days on receipt, the speed of Leverage"&amp;", very satisfied")</f>
        <v>Price, ease of use and price concessions, including tax buy 800 head, just before an overpaid nearly 200 yuan in the East, heartache comprehend ah, disk very good, bought a few did wrong, and now overseas purchase 10 days on receipt, the speed of Leverage, very satisfied</v>
      </c>
    </row>
    <row r="10151">
      <c r="A10151" s="1">
        <v>5.0</v>
      </c>
      <c r="B10151" s="1" t="s">
        <v>10075</v>
      </c>
      <c r="C10151" t="str">
        <f>IFERROR(__xludf.DUMMYFUNCTION("GOOGLETRANSLATE(B10151, ""zh"", ""en"")"),"Like good little bottle cute, really like, give yourself to buy niece, she was a small one. Fenfen and tender cutest")</f>
        <v>Like good little bottle cute, really like, give yourself to buy niece, she was a small one. Fenfen and tender cutest</v>
      </c>
    </row>
    <row r="10152">
      <c r="A10152" s="1">
        <v>5.0</v>
      </c>
      <c r="B10152" s="1" t="s">
        <v>10076</v>
      </c>
      <c r="C10152" t="str">
        <f>IFERROR(__xludf.DUMMYFUNCTION("GOOGLETRANSLATE(B10152, ""zh"", ""en"")"),"Boost the immune system the best match with Jarrow Formulas glucan significantly boost the immune system, dextran combined with Nature's way of probiotics has been taken continuously for a month, the effect is very good, probiotics Hodgson demise reaction"&amp;" period of three months has been smooth clearance , the bacteria successfully colonize the intestine, dextran also provides very good support as a prebiotic fiber, this time adding lactoferrin just fused, and follow-up continue to observe the effect after"&amp;" update this comment")</f>
        <v>Boost the immune system the best match with Jarrow Formulas glucan significantly boost the immune system, dextran combined with Nature's way of probiotics has been taken continuously for a month, the effect is very good, probiotics Hodgson demise reaction period of three months has been smooth clearance , the bacteria successfully colonize the intestine, dextran also provides very good support as a prebiotic fiber, this time adding lactoferrin just fused, and follow-up continue to observe the effect after update this comment</v>
      </c>
    </row>
    <row r="10153">
      <c r="A10153" s="1">
        <v>5.0</v>
      </c>
      <c r="B10153" s="1" t="s">
        <v>10077</v>
      </c>
      <c r="C10153" t="str">
        <f>IFERROR(__xludf.DUMMYFUNCTION("GOOGLETRANSLATE(B10153, ""zh"", ""en"")"),"Liked the work and style are satisfied, Europe and the number is too large one yards,")</f>
        <v>Liked the work and style are satisfied, Europe and the number is too large one yards,</v>
      </c>
    </row>
    <row r="10154">
      <c r="A10154" s="1">
        <v>5.0</v>
      </c>
      <c r="B10154" s="1" t="s">
        <v>10078</v>
      </c>
      <c r="C10154" t="str">
        <f>IFERROR(__xludf.DUMMYFUNCTION("GOOGLETRANSLATE(B10154, ""zh"", ""en"")"),"1 watch is really good none, express delivery is also very fast.")</f>
        <v>1 watch is really good none, express delivery is also very fast.</v>
      </c>
    </row>
    <row r="10155">
      <c r="A10155" s="1">
        <v>5.0</v>
      </c>
      <c r="B10155" s="1" t="s">
        <v>10079</v>
      </c>
      <c r="C10155" t="str">
        <f>IFERROR(__xludf.DUMMYFUNCTION("GOOGLETRANSLATE(B10155, ""zh"", ""en"")"),"Po has been used to taste like the treasure has been used to taste like the")</f>
        <v>Po has been used to taste like the treasure has been used to taste like the</v>
      </c>
    </row>
    <row r="10156">
      <c r="A10156" s="1">
        <v>5.0</v>
      </c>
      <c r="B10156" s="1" t="s">
        <v>10080</v>
      </c>
      <c r="C10156" t="str">
        <f>IFERROR(__xludf.DUMMYFUNCTION("GOOGLETRANSLATE(B10156, ""zh"", ""en"")"),"Less than three hundred, or can, the same section double eleven days Mi 1399 low rise, medium thickness. Normal size. 180,95KG wear 32, 30 just right")</f>
        <v>Less than three hundred, or can, the same section double eleven days Mi 1399 low rise, medium thickness. Normal size. 180,95KG wear 32, 30 just right</v>
      </c>
    </row>
    <row r="10157">
      <c r="A10157" s="1">
        <v>5.0</v>
      </c>
      <c r="B10157" s="1" t="s">
        <v>10081</v>
      </c>
      <c r="C10157" t="str">
        <f>IFERROR(__xludf.DUMMYFUNCTION("GOOGLETRANSLATE(B10157, ""zh"", ""en"")"),"The right size, taste is not so big that 43 Nike sneakers just to buy 42 (UK 8 yards on the box), a special smell a little taste can also be accepted, no one else said so much, it may be a lot of problems it. Try a little, leather is a bit hard, looks a l"&amp;"ittle cheap, although written on the box it is indeed cow leather. But the price to buy their music feeling or value for money.")</f>
        <v>The right size, taste is not so big that 43 Nike sneakers just to buy 42 (UK 8 yards on the box), a special smell a little taste can also be accepted, no one else said so much, it may be a lot of problems it. Try a little, leather is a bit hard, looks a little cheap, although written on the box it is indeed cow leather. But the price to buy their music feeling or value for money.</v>
      </c>
    </row>
    <row r="10158">
      <c r="A10158" s="1">
        <v>5.0</v>
      </c>
      <c r="B10158" s="1" t="s">
        <v>10082</v>
      </c>
      <c r="C10158" t="str">
        <f>IFERROR(__xludf.DUMMYFUNCTION("GOOGLETRANSLATE(B10158, ""zh"", ""en"")"),"Size 183 high, 95 kg, wearing too large")</f>
        <v>Size 183 high, 95 kg, wearing too large</v>
      </c>
    </row>
    <row r="10159">
      <c r="A10159" s="1">
        <v>5.0</v>
      </c>
      <c r="B10159" s="1" t="s">
        <v>10083</v>
      </c>
      <c r="C10159" t="str">
        <f>IFERROR(__xludf.DUMMYFUNCTION("GOOGLETRANSLATE(B10159, ""zh"", ""en"")"),"Very good, very good high cost! Cost-effective, the only drawback is the luminous effect is bad ........")</f>
        <v>Very good, very good high cost! Cost-effective, the only drawback is the luminous effect is bad ........</v>
      </c>
    </row>
    <row r="10160">
      <c r="A10160" s="1">
        <v>5.0</v>
      </c>
      <c r="B10160" s="1" t="s">
        <v>10084</v>
      </c>
      <c r="C10160" t="str">
        <f>IFERROR(__xludf.DUMMYFUNCTION("GOOGLETRANSLATE(B10160, ""zh"", ""en"")"),"Trustworthy recommendation to buy exquisite easy to operate mobile phone via Bluetooth connection detection recording data")</f>
        <v>Trustworthy recommendation to buy exquisite easy to operate mobile phone via Bluetooth connection detection recording data</v>
      </c>
    </row>
    <row r="10161">
      <c r="A10161" s="1">
        <v>5.0</v>
      </c>
      <c r="B10161" s="1" t="s">
        <v>10085</v>
      </c>
      <c r="C10161" t="str">
        <f>IFERROR(__xludf.DUMMYFUNCTION("GOOGLETRANSLATE(B10161, ""zh"", ""en"")"),"Satisfied very satisfied, catch up with discount buy, cheap. Favorite pair of ECCO")</f>
        <v>Satisfied very satisfied, catch up with discount buy, cheap. Favorite pair of ECCO</v>
      </c>
    </row>
    <row r="10162">
      <c r="A10162" s="1">
        <v>5.0</v>
      </c>
      <c r="B10162" s="1" t="s">
        <v>10086</v>
      </c>
      <c r="C10162" t="str">
        <f>IFERROR(__xludf.DUMMYFUNCTION("GOOGLETRANSLATE(B10162, ""zh"", ""en"")"),"Fortunately may be slow to find disk capacity issues")</f>
        <v>Fortunately may be slow to find disk capacity issues</v>
      </c>
    </row>
    <row r="10163">
      <c r="A10163" s="1">
        <v>5.0</v>
      </c>
      <c r="B10163" s="1" t="s">
        <v>10087</v>
      </c>
      <c r="C10163" t="str">
        <f>IFERROR(__xludf.DUMMYFUNCTION("GOOGLETRANSLATE(B10163, ""zh"", ""en"")"),"Really great! Very nice hand five hundred whole, the price is a lot cheaper than the counter. Size colors are very positive, except through some effort into it (with a little pull is recommended length of the shoe), otherwise impeccable. Personally I feel"&amp;" that Chelsea boots plain compared to the classic 8 holes Martin boots classic better show last type. 8 toe hole too short, it seemed a bit to stay, and very foot wear, and the perfect solution to all the problems 2976 1460. But remind, high instep of the"&amp;" shoe should really not suitable for little feet wide problem, toe lateral space is relatively surplus.")</f>
        <v>Really great! Very nice hand five hundred whole, the price is a lot cheaper than the counter. Size colors are very positive, except through some effort into it (with a little pull is recommended length of the shoe), otherwise impeccable. Personally I feel that Chelsea boots plain compared to the classic 8 holes Martin boots classic better show last type. 8 toe hole too short, it seemed a bit to stay, and very foot wear, and the perfect solution to all the problems 2976 1460. But remind, high instep of the shoe should really not suitable for little feet wide problem, toe lateral space is relatively surplus.</v>
      </c>
    </row>
    <row r="10164">
      <c r="A10164" s="1">
        <v>5.0</v>
      </c>
      <c r="B10164" s="1" t="s">
        <v>10088</v>
      </c>
      <c r="C10164" t="str">
        <f>IFERROR(__xludf.DUMMYFUNCTION("GOOGLETRANSLATE(B10164, ""zh"", ""en"")"),"Suitable commercial very elastic, suitable for winter wear, which can wear Qiuku or trousers.")</f>
        <v>Suitable commercial very elastic, suitable for winter wear, which can wear Qiuku or trousers.</v>
      </c>
    </row>
    <row r="10165">
      <c r="A10165" s="1">
        <v>5.0</v>
      </c>
      <c r="B10165" s="1" t="s">
        <v>10089</v>
      </c>
      <c r="C10165" t="str">
        <f>IFERROR(__xludf.DUMMYFUNCTION("GOOGLETRANSLATE(B10165, ""zh"", ""en"")"),"MOVE FREE joint health, glucosamine chondroitin do not come empty, give you the latest information: a bottle of December 2020 maturity; a bottle of February 2021 expiration. August 7, 2018 ordered a week of arrival.")</f>
        <v>MOVE FREE joint health, glucosamine chondroitin do not come empty, give you the latest information: a bottle of December 2020 maturity; a bottle of February 2021 expiration. August 7, 2018 ordered a week of arrival.</v>
      </c>
    </row>
    <row r="10166">
      <c r="A10166" s="1">
        <v>5.0</v>
      </c>
      <c r="B10166" s="1" t="s">
        <v>10090</v>
      </c>
      <c r="C10166" t="str">
        <f>IFERROR(__xludf.DUMMYFUNCTION("GOOGLETRANSLATE(B10166, ""zh"", ""en"")"),"After using a computer with a stress-free experience, a good part of the treble bass still feel less, is estimated to see at Bao Bao, the effect can try to change lines.")</f>
        <v>After using a computer with a stress-free experience, a good part of the treble bass still feel less, is estimated to see at Bao Bao, the effect can try to change lines.</v>
      </c>
    </row>
    <row r="10167">
      <c r="A10167" s="1">
        <v>5.0</v>
      </c>
      <c r="B10167" s="1" t="s">
        <v>10091</v>
      </c>
      <c r="C10167" t="str">
        <f>IFERROR(__xludf.DUMMYFUNCTION("GOOGLETRANSLATE(B10167, ""zh"", ""en"")"),"Help my sister to buy, saying that in addition to the other are good to help slow the arrival of younger sister to buy, say in addition to all other good slow arrival")</f>
        <v>Help my sister to buy, saying that in addition to the other are good to help slow the arrival of younger sister to buy, say in addition to all other good slow arrival</v>
      </c>
    </row>
    <row r="10168">
      <c r="A10168" s="1">
        <v>2.0</v>
      </c>
      <c r="B10168" s="1" t="s">
        <v>10092</v>
      </c>
      <c r="C10168" t="str">
        <f>IFERROR(__xludf.DUMMYFUNCTION("GOOGLETRANSLATE(B10168, ""zh"", ""en"")"),"Too big, too big, too big, too wide waist and legs also suitable, work can be, pants back is too great, the loss transferred to other students")</f>
        <v>Too big, too big, too big, too wide waist and legs also suitable, work can be, pants back is too great, the loss transferred to other students</v>
      </c>
    </row>
    <row r="10169">
      <c r="A10169" s="1">
        <v>3.0</v>
      </c>
      <c r="B10169" s="1" t="s">
        <v>10093</v>
      </c>
      <c r="C10169" t="str">
        <f>IFERROR(__xludf.DUMMYFUNCTION("GOOGLETRANSLATE(B10169, ""zh"", ""en"")"),"Fine headphones, but they need a better balance to gain the full five stars For:. Great definition, the presence of the upper mids and highs are significantly more pronounced Against:. Weak bass, If you are familiar with some like Apple's Earpods.")</f>
        <v>Fine headphones, but they need a better balance to gain the full five stars For:. Great definition, the presence of the upper mids and highs are significantly more pronounced Against:. Weak bass, If you are familiar with some like Apple's Earpods.</v>
      </c>
    </row>
    <row r="10170">
      <c r="A10170" s="1">
        <v>3.0</v>
      </c>
      <c r="B10170" s="1" t="s">
        <v>10094</v>
      </c>
      <c r="C10170" t="str">
        <f>IFERROR(__xludf.DUMMYFUNCTION("GOOGLETRANSLATE(B10170, ""zh"", ""en"")"),"Disappointed easily off the wire, wore it once it finds a hole, too disappointed")</f>
        <v>Disappointed easily off the wire, wore it once it finds a hole, too disappointed</v>
      </c>
    </row>
    <row r="10171">
      <c r="A10171" s="1">
        <v>3.0</v>
      </c>
      <c r="B10171" s="1" t="s">
        <v>10095</v>
      </c>
      <c r="C10171" t="str">
        <f>IFERROR(__xludf.DUMMYFUNCTION("GOOGLETRANSLATE(B10171, ""zh"", ""en"")"),"Could not suck suck suck live below the basic never used live well with")</f>
        <v>Could not suck suck suck live below the basic never used live well with</v>
      </c>
    </row>
    <row r="10172">
      <c r="A10172" s="1">
        <v>1.0</v>
      </c>
      <c r="B10172" s="1" t="s">
        <v>10096</v>
      </c>
      <c r="C10172" t="str">
        <f>IFERROR(__xludf.DUMMYFUNCTION("GOOGLETRANSLATE(B10172, ""zh"", ""en"")"),"What a gift it is defective, thanks to open a look, you can not get rid of impurities, suspected to be defective")</f>
        <v>What a gift it is defective, thanks to open a look, you can not get rid of impurities, suspected to be defective</v>
      </c>
    </row>
    <row r="10173">
      <c r="A10173" s="1">
        <v>1.0</v>
      </c>
      <c r="B10173" s="1" t="s">
        <v>10097</v>
      </c>
      <c r="C10173" t="str">
        <f>IFERROR(__xludf.DUMMYFUNCTION("GOOGLETRANSLATE(B10173, ""zh"", ""en"")"),"Super bad experience as a senior member of Amazon Prime, I once again jump pit bought a super-mast pants spit slots it: Amazon's staff do not really take heart, not the size horse head horse mouth, I choose not the main reason for the quasi-even more exas"&amp;"perating is not a replacement, only to return back to the original cartridge return shipping overseas is almost the price of the pants")</f>
        <v>Super bad experience as a senior member of Amazon Prime, I once again jump pit bought a super-mast pants spit slots it: Amazon's staff do not really take heart, not the size horse head horse mouth, I choose not the main reason for the quasi-even more exasperating is not a replacement, only to return back to the original cartridge return shipping overseas is almost the price of the pants</v>
      </c>
    </row>
    <row r="10174">
      <c r="A10174" s="1">
        <v>4.0</v>
      </c>
      <c r="B10174" s="1" t="s">
        <v>10098</v>
      </c>
      <c r="C10174" t="str">
        <f>IFERROR(__xludf.DUMMYFUNCTION("GOOGLETRANSLATE(B10174, ""zh"", ""en"")"),"Small very comfortable clothes, is a little too small a number")</f>
        <v>Small very comfortable clothes, is a little too small a number</v>
      </c>
    </row>
    <row r="10175">
      <c r="A10175" s="1">
        <v>4.0</v>
      </c>
      <c r="B10175" s="1" t="s">
        <v>10099</v>
      </c>
      <c r="C10175" t="str">
        <f>IFERROR(__xludf.DUMMYFUNCTION("GOOGLETRANSLATE(B10175, ""zh"", ""en"")"),"Well-crafted details are in place, very good work, it is to have yellow spots on top of a piece of clothing, wash off")</f>
        <v>Well-crafted details are in place, very good work, it is to have yellow spots on top of a piece of clothing, wash off</v>
      </c>
    </row>
    <row r="10176">
      <c r="A10176" s="1">
        <v>4.0</v>
      </c>
      <c r="B10176" s="1" t="s">
        <v>10100</v>
      </c>
      <c r="C10176" t="str">
        <f>IFERROR(__xludf.DUMMYFUNCTION("GOOGLETRANSLATE(B10176, ""zh"", ""en"")"),"Code is too large pants okay, code is too large, 166,50kg, m number is too large")</f>
        <v>Code is too large pants okay, code is too large, 166,50kg, m number is too large</v>
      </c>
    </row>
    <row r="10177">
      <c r="A10177" s="1">
        <v>4.0</v>
      </c>
      <c r="B10177" s="1" t="s">
        <v>10101</v>
      </c>
      <c r="C10177" t="str">
        <f>IFERROR(__xludf.DUMMYFUNCTION("GOOGLETRANSLATE(B10177, ""zh"", ""en"")"),"Bit thin, buy XL, leg width point a little thin, buy XL, leg width point")</f>
        <v>Bit thin, buy XL, leg width point a little thin, buy XL, leg width point</v>
      </c>
    </row>
    <row r="10178">
      <c r="A10178" s="1">
        <v>4.0</v>
      </c>
      <c r="B10178" s="1" t="s">
        <v>10102</v>
      </c>
      <c r="C10178" t="str">
        <f>IFERROR(__xludf.DUMMYFUNCTION("GOOGLETRANSLATE(B10178, ""zh"", ""en"")"),"Good quality, but the shoe is too small. The shoes work well but the shoe is too small, buy something to pay attention than Reebok shoes to less than half the number, want to buy, then we must pay attention.")</f>
        <v>Good quality, but the shoe is too small. The shoes work well but the shoe is too small, buy something to pay attention than Reebok shoes to less than half the number, want to buy, then we must pay attention.</v>
      </c>
    </row>
    <row r="10179">
      <c r="A10179" s="1">
        <v>5.0</v>
      </c>
      <c r="B10179" s="1" t="s">
        <v>10103</v>
      </c>
      <c r="C10179" t="str">
        <f>IFERROR(__xludf.DUMMYFUNCTION("GOOGLETRANSLATE(B10179, ""zh"", ""en"")"),"Number unbiased inside with a thin layer of velvet, very good, the numbers are not biased, I 161,95 pounds to wear just xs, which can only add unlined, no less wear sweaters, with the domestic similar size.")</f>
        <v>Number unbiased inside with a thin layer of velvet, very good, the numbers are not biased, I 161,95 pounds to wear just xs, which can only add unlined, no less wear sweaters, with the domestic similar size.</v>
      </c>
    </row>
    <row r="10180">
      <c r="A10180" s="1">
        <v>5.0</v>
      </c>
      <c r="B10180" s="1" t="s">
        <v>10104</v>
      </c>
      <c r="C10180" t="str">
        <f>IFERROR(__xludf.DUMMYFUNCTION("GOOGLETRANSLATE(B10180, ""zh"", ""en"")"),"Thank you for shopping at Amazon for the overall service I provide, it is very good")</f>
        <v>Thank you for shopping at Amazon for the overall service I provide, it is very good</v>
      </c>
    </row>
    <row r="10181">
      <c r="A10181" s="1">
        <v>5.0</v>
      </c>
      <c r="B10181" s="1" t="s">
        <v>10105</v>
      </c>
      <c r="C10181" t="str">
        <f>IFERROR(__xludf.DUMMYFUNCTION("GOOGLETRANSLATE(B10181, ""zh"", ""en"")"),"Black five special satisfaction did not expect to buy the US version of Slim straight jeans lee straight jeans wear with almost ordinary domestic")</f>
        <v>Black five special satisfaction did not expect to buy the US version of Slim straight jeans lee straight jeans wear with almost ordinary domestic</v>
      </c>
    </row>
    <row r="10182">
      <c r="A10182" s="1">
        <v>5.0</v>
      </c>
      <c r="B10182" s="1" t="s">
        <v>10106</v>
      </c>
      <c r="C10182" t="str">
        <f>IFERROR(__xludf.DUMMYFUNCTION("GOOGLETRANSLATE(B10182, ""zh"", ""en"")"),"Good very good, it is to buy big, too lazy to back")</f>
        <v>Good very good, it is to buy big, too lazy to back</v>
      </c>
    </row>
    <row r="10183">
      <c r="A10183" s="1">
        <v>5.0</v>
      </c>
      <c r="B10183" s="1" t="s">
        <v>10107</v>
      </c>
      <c r="C10183" t="str">
        <f>IFERROR(__xludf.DUMMYFUNCTION("GOOGLETRANSLATE(B10183, ""zh"", ""en"")"),"Asian feet is recommended to buy W widened. Logistics faster than imagined, home for a good luck, a lot faster. The buy 8w, usually wear sneakers 41, this put more relaxed, you can add insoles wear comfortable, perfect soles hard to avoid the problem. I b"&amp;"ought this anti-fur is still relatively soft, tried not wear foot, shoelace is looking very vulnerable. Hopefully, not too fast, when autumn wear a plastic, ha ha.")</f>
        <v>Asian feet is recommended to buy W widened. Logistics faster than imagined, home for a good luck, a lot faster. The buy 8w, usually wear sneakers 41, this put more relaxed, you can add insoles wear comfortable, perfect soles hard to avoid the problem. I bought this anti-fur is still relatively soft, tried not wear foot, shoelace is looking very vulnerable. Hopefully, not too fast, when autumn wear a plastic, ha ha.</v>
      </c>
    </row>
    <row r="10184">
      <c r="A10184" s="1">
        <v>5.0</v>
      </c>
      <c r="B10184" s="1" t="s">
        <v>10108</v>
      </c>
      <c r="C10184" t="str">
        <f>IFERROR(__xludf.DUMMYFUNCTION("GOOGLETRANSLATE(B10184, ""zh"", ""en"")"),"Clothes quality can still, soft. Is a little leakage. Clothes to, and the quality is still very comfortable, a little soft. That is a little transparent, dew point, and I want to do for the whole milk paste? .")</f>
        <v>Clothes quality can still, soft. Is a little leakage. Clothes to, and the quality is still very comfortable, a little soft. That is a little transparent, dew point, and I want to do for the whole milk paste? .</v>
      </c>
    </row>
    <row r="10185">
      <c r="A10185" s="1">
        <v>5.0</v>
      </c>
      <c r="B10185" s="1" t="s">
        <v>10109</v>
      </c>
      <c r="C10185" t="str">
        <f>IFERROR(__xludf.DUMMYFUNCTION("GOOGLETRANSLATE(B10185, ""zh"", ""en"")"),"Very good very good, one day in advance to packaging is a big box. Bit deeper color than the color icon, but okay, I really like. I did not expect is that the cup surface is matte touch, I thought it was smooth yet. Very good use, it is paid from expectat"&amp;"ions, did not let me down.")</f>
        <v>Very good very good, one day in advance to packaging is a big box. Bit deeper color than the color icon, but okay, I really like. I did not expect is that the cup surface is matte touch, I thought it was smooth yet. Very good use, it is paid from expectations, did not let me down.</v>
      </c>
    </row>
    <row r="10186">
      <c r="A10186" s="1">
        <v>5.0</v>
      </c>
      <c r="B10186" s="1" t="s">
        <v>10110</v>
      </c>
      <c r="C10186" t="str">
        <f>IFERROR(__xludf.DUMMYFUNCTION("GOOGLETRANSLATE(B10186, ""zh"", ""en"")"),"Very, very good a water purifier, the water is also very easy to install enough.")</f>
        <v>Very, very good a water purifier, the water is also very easy to install enough.</v>
      </c>
    </row>
    <row r="10187">
      <c r="A10187" s="1">
        <v>5.0</v>
      </c>
      <c r="B10187" s="1" t="s">
        <v>10111</v>
      </c>
      <c r="C10187" t="str">
        <f>IFERROR(__xludf.DUMMYFUNCTION("GOOGLETRANSLATE(B10187, ""zh"", ""en"")"),"Xiaopen friends favorite son liked, good quality")</f>
        <v>Xiaopen friends favorite son liked, good quality</v>
      </c>
    </row>
    <row r="10188">
      <c r="A10188" s="1">
        <v>5.0</v>
      </c>
      <c r="B10188" s="1" t="s">
        <v>10112</v>
      </c>
      <c r="C10188" t="str">
        <f>IFERROR(__xludf.DUMMYFUNCTION("GOOGLETRANSLATE(B10188, ""zh"", ""en"")"),"Appropriate, but for Asians vamp low, but a good leather, wear appropriate dress. Appropriate, but for Asians vamp low, but a good leather, wear appropriate dress.")</f>
        <v>Appropriate, but for Asians vamp low, but a good leather, wear appropriate dress. Appropriate, but for Asians vamp low, but a good leather, wear appropriate dress.</v>
      </c>
    </row>
    <row r="10189">
      <c r="A10189" s="1">
        <v>5.0</v>
      </c>
      <c r="B10189" s="1" t="s">
        <v>10113</v>
      </c>
      <c r="C10189" t="str">
        <f>IFERROR(__xludf.DUMMYFUNCTION("GOOGLETRANSLATE(B10189, ""zh"", ""en"")"),"Good to come out of the insole is not hard, leather is very soft, positive look a little ugly")</f>
        <v>Good to come out of the insole is not hard, leather is very soft, positive look a little ugly</v>
      </c>
    </row>
    <row r="10190">
      <c r="A10190" s="1">
        <v>5.0</v>
      </c>
      <c r="B10190" s="1" t="s">
        <v>10114</v>
      </c>
      <c r="C10190" t="str">
        <f>IFERROR(__xludf.DUMMYFUNCTION("GOOGLETRANSLATE(B10190, ""zh"", ""en"")"),"Will not receive the table, feeling good value for money, is not very good, did not answer a call can")</f>
        <v>Will not receive the table, feeling good value for money, is not very good, did not answer a call can</v>
      </c>
    </row>
    <row r="10191">
      <c r="A10191" s="1">
        <v>5.0</v>
      </c>
      <c r="B10191" s="1" t="s">
        <v>10115</v>
      </c>
      <c r="C10191" t="str">
        <f>IFERROR(__xludf.DUMMYFUNCTION("GOOGLETRANSLATE(B10191, ""zh"", ""en"")"),"Nike size 42 this buy 41, just good, Chuan Chuan will be bigger, comfortable, fast logistics really what he was. The fastest purchased overseas, four days arrive, praise 👍🏻")</f>
        <v>Nike size 42 this buy 41, just good, Chuan Chuan will be bigger, comfortable, fast logistics really what he was. The fastest purchased overseas, four days arrive, praise 👍🏻</v>
      </c>
    </row>
    <row r="10192">
      <c r="A10192" s="1">
        <v>5.0</v>
      </c>
      <c r="B10192" s="1" t="s">
        <v>10116</v>
      </c>
      <c r="C10192" t="str">
        <f>IFERROR(__xludf.DUMMYFUNCTION("GOOGLETRANSLATE(B10192, ""zh"", ""en"")"),"Very good bought two colors, this shirt is blind spy, results 181cm87kg wearing L just right, and the version on the strong points for wear, but others say look old ......")</f>
        <v>Very good bought two colors, this shirt is blind spy, results 181cm87kg wearing L just right, and the version on the strong points for wear, but others say look old ......</v>
      </c>
    </row>
    <row r="10193">
      <c r="A10193" s="1">
        <v>5.0</v>
      </c>
      <c r="B10193" s="1" t="s">
        <v>10117</v>
      </c>
      <c r="C10193" t="str">
        <f>IFERROR(__xludf.DUMMYFUNCTION("GOOGLETRANSLATE(B10193, ""zh"", ""en"")"),"Moderate size is the right size, color is also good")</f>
        <v>Moderate size is the right size, color is also good</v>
      </c>
    </row>
    <row r="10194">
      <c r="A10194" s="1">
        <v>5.0</v>
      </c>
      <c r="B10194" s="1" t="s">
        <v>10118</v>
      </c>
      <c r="C10194" t="str">
        <f>IFERROR(__xludf.DUMMYFUNCTION("GOOGLETRANSLATE(B10194, ""zh"", ""en"")"),"The effect of the insulation effect is very good, and sophisticated product, worth buying")</f>
        <v>The effect of the insulation effect is very good, and sophisticated product, worth buying</v>
      </c>
    </row>
    <row r="10195">
      <c r="A10195" s="1">
        <v>5.0</v>
      </c>
      <c r="B10195" s="1" t="s">
        <v>10119</v>
      </c>
      <c r="C10195" t="str">
        <f>IFERROR(__xludf.DUMMYFUNCTION("GOOGLETRANSLATE(B10195, ""zh"", ""en"")"),"Leather belt, good quality. Scouring the sea for the first time, or a little apprehension, fear of the wrong size, fear of poor quality. Belt is based on waist size to buy, try after receipt of the next, can snap into the penultimate hole, it feels a litt"&amp;"le bit short. But overall very satisfied, after watching the effect of the use of down to see whether it is worth buying again.")</f>
        <v>Leather belt, good quality. Scouring the sea for the first time, or a little apprehension, fear of the wrong size, fear of poor quality. Belt is based on waist size to buy, try after receipt of the next, can snap into the penultimate hole, it feels a little bit short. But overall very satisfied, after watching the effect of the use of down to see whether it is worth buying again.</v>
      </c>
    </row>
    <row r="10196">
      <c r="A10196" s="1">
        <v>5.0</v>
      </c>
      <c r="B10196" s="1" t="s">
        <v>10120</v>
      </c>
      <c r="C10196" t="str">
        <f>IFERROR(__xludf.DUMMYFUNCTION("GOOGLETRANSLATE(B10196, ""zh"", ""en"")"),"Awesome! Awesome! Tall plus the high cost of boots, looked Lynx Tim Bolan Guan network before you buy, this guardian of the earth to 1890. Boots appearance and functionality are very satisfied, so the United States and Asia over the search, really search "&amp;"to, freight + tariff less than a thousand, apart from anything else made up. About ten days arrival, the packaging is quite simple, just a pair of shoes and a document in a shoe box. I usually wear 41 yards, corresponding to the size of the United States "&amp;"and Asia are 7.5M, boots just right, all around, a slight margin, in particular, this 6.5-inch boots are very light, feel a little heavy, with long boots and flexible I empty for easy to wear off two lines buckle, cyclists when the parcel is very comforta"&amp;"ble. Wanted to send a photo, made a lazy, more and more code words of it, the last five-star praise!")</f>
        <v>Awesome! Awesome! Tall plus the high cost of boots, looked Lynx Tim Bolan Guan network before you buy, this guardian of the earth to 1890. Boots appearance and functionality are very satisfied, so the United States and Asia over the search, really search to, freight + tariff less than a thousand, apart from anything else made up. About ten days arrival, the packaging is quite simple, just a pair of shoes and a document in a shoe box. I usually wear 41 yards, corresponding to the size of the United States and Asia are 7.5M, boots just right, all around, a slight margin, in particular, this 6.5-inch boots are very light, feel a little heavy, with long boots and flexible I empty for easy to wear off two lines buckle, cyclists when the parcel is very comfortable. Wanted to send a photo, made a lazy, more and more code words of it, the last five-star praise!</v>
      </c>
    </row>
    <row r="10197">
      <c r="A10197" s="1">
        <v>5.0</v>
      </c>
      <c r="B10197" s="1" t="s">
        <v>10121</v>
      </c>
      <c r="C10197" t="str">
        <f>IFERROR(__xludf.DUMMYFUNCTION("GOOGLETRANSLATE(B10197, ""zh"", ""en"")"),"like. The value of something very good. Studied for some time in Wuxi, Jiangsu, China on the success wave.")</f>
        <v>like. The value of something very good. Studied for some time in Wuxi, Jiangsu, China on the success wave.</v>
      </c>
    </row>
    <row r="10198">
      <c r="A10198" s="1">
        <v>5.0</v>
      </c>
      <c r="B10198" s="1" t="s">
        <v>10122</v>
      </c>
      <c r="C10198" t="str">
        <f>IFERROR(__xludf.DUMMYFUNCTION("GOOGLETRANSLATE(B10198, ""zh"", ""en"")"),"Easy to recommend fine, deal with real convenient")</f>
        <v>Easy to recommend fine, deal with real convenient</v>
      </c>
    </row>
    <row r="10199">
      <c r="A10199" s="1">
        <v>5.0</v>
      </c>
      <c r="B10199" s="1" t="s">
        <v>10123</v>
      </c>
      <c r="C10199" t="str">
        <f>IFERROR(__xludf.DUMMYFUNCTION("GOOGLETRANSLATE(B10199, ""zh"", ""en"")"),"Good used once, kneading tried to do the toast I used to do with taste has improved, that is a little big shock, feeling all jumped in the table on the floor. ================================================== == spent some time, baking essential, my fami"&amp;"ly eat more bread, breakfast staple, this film out soon, a chieftain of the amount of 10 minutes out of the film. Making cookies is very easy to pass the butter, a few minutes of it, and then add a variety of materials in, very easy ah. I also bought a 3 "&amp;"quart cup, do cake when to pass the protein, other large cup used to stir the material, and then mixed in a large cup, made a cheese cake, cream cheese, stirring very even, greatly reducing production time.")</f>
        <v>Good used once, kneading tried to do the toast I used to do with taste has improved, that is a little big shock, feeling all jumped in the table on the floor. ================================================== == spent some time, baking essential, my family eat more bread, breakfast staple, this film out soon, a chieftain of the amount of 10 minutes out of the film. Making cookies is very easy to pass the butter, a few minutes of it, and then add a variety of materials in, very easy ah. I also bought a 3 quart cup, do cake when to pass the protein, other large cup used to stir the material, and then mixed in a large cup, made a cheese cake, cream cheese, stirring very even, greatly reducing production time.</v>
      </c>
    </row>
    <row r="10200">
      <c r="A10200" s="1">
        <v>5.0</v>
      </c>
      <c r="B10200" s="1" t="s">
        <v>10124</v>
      </c>
      <c r="C10200" t="str">
        <f>IFERROR(__xludf.DUMMYFUNCTION("GOOGLETRANSLATE(B10200, ""zh"", ""en"")"),"Style is very appropriate in accordance with the usual buy their own shoes, shoe size to buy on it, I usually wear Ada, Nike 41 yards number, this number is 40 yards just do a good job, bright point on the color than the picture, Zhendian treasure buy, pl"&amp;"us taxes less than $ 600, much cheaper than the store")</f>
        <v>Style is very appropriate in accordance with the usual buy their own shoes, shoe size to buy on it, I usually wear Ada, Nike 41 yards number, this number is 40 yards just do a good job, bright point on the color than the picture, Zhendian treasure buy, plus taxes less than $ 600, much cheaper than the store</v>
      </c>
    </row>
    <row r="10201">
      <c r="A10201" s="1">
        <v>2.0</v>
      </c>
      <c r="B10201" s="1" t="s">
        <v>10125</v>
      </c>
      <c r="C10201" t="str">
        <f>IFERROR(__xludf.DUMMYFUNCTION("GOOGLETRANSLATE(B10201, ""zh"", ""en"")"),"Three loaded box deformation does not look good, as to give as gifts or in-store at ease")</f>
        <v>Three loaded box deformation does not look good, as to give as gifts or in-store at ease</v>
      </c>
    </row>
    <row r="10202">
      <c r="A10202" s="1">
        <v>3.0</v>
      </c>
      <c r="B10202" s="1" t="s">
        <v>10126</v>
      </c>
      <c r="C10202" t="str">
        <f>IFERROR(__xludf.DUMMYFUNCTION("GOOGLETRANSLATE(B10202, ""zh"", ""en"")"),"Okay I was shocked packaging regarded Express posted a sign in the original box to duct-mail came immediately check box is not completely rotted away fans and accessories have not broken but fortunately did not use bad feeling did not feel it was okay and"&amp;" more faster and more cost-effective along anyway, 380 hand touches")</f>
        <v>Okay I was shocked packaging regarded Express posted a sign in the original box to duct-mail came immediately check box is not completely rotted away fans and accessories have not broken but fortunately did not use bad feeling did not feel it was okay and more faster and more cost-effective along anyway, 380 hand touches</v>
      </c>
    </row>
    <row r="10203">
      <c r="A10203" s="1">
        <v>1.0</v>
      </c>
      <c r="B10203" s="1" t="s">
        <v>10127</v>
      </c>
      <c r="C10203" t="str">
        <f>IFERROR(__xludf.DUMMYFUNCTION("GOOGLETRANSLATE(B10203, ""zh"", ""en"")"),"And the larger the desired effect did not type out")</f>
        <v>And the larger the desired effect did not type out</v>
      </c>
    </row>
    <row r="10204">
      <c r="A10204" s="1">
        <v>1.0</v>
      </c>
      <c r="B10204" s="1" t="s">
        <v>10128</v>
      </c>
      <c r="C10204" t="str">
        <f>IFERROR(__xludf.DUMMYFUNCTION("GOOGLETRANSLATE(B10204, ""zh"", ""en"")"),"Good good good fair price, fair trade!")</f>
        <v>Good good good fair price, fair trade!</v>
      </c>
    </row>
    <row r="10205">
      <c r="A10205" s="1">
        <v>1.0</v>
      </c>
      <c r="B10205" s="1" t="s">
        <v>10129</v>
      </c>
      <c r="C10205" t="str">
        <f>IFERROR(__xludf.DUMMYFUNCTION("GOOGLETRANSLATE(B10205, ""zh"", ""en"")"),"Careful to buy only spent two days can not be opened, returns and repairs are more trouble, need to be sent to the United States, so I spent the money is white. . . . . .")</f>
        <v>Careful to buy only spent two days can not be opened, returns and repairs are more trouble, need to be sent to the United States, so I spent the money is white. . . . . .</v>
      </c>
    </row>
    <row r="10206">
      <c r="A10206" s="1">
        <v>4.0</v>
      </c>
      <c r="B10206" s="1" t="s">
        <v>10130</v>
      </c>
      <c r="C10206" t="str">
        <f>IFERROR(__xludf.DUMMYFUNCTION("GOOGLETRANSLATE(B10206, ""zh"", ""en"")"),"Taste great taste great, very cute and lovely")</f>
        <v>Taste great taste great, very cute and lovely</v>
      </c>
    </row>
    <row r="10207">
      <c r="A10207" s="1">
        <v>4.0</v>
      </c>
      <c r="B10207" s="1" t="s">
        <v>10131</v>
      </c>
      <c r="C10207" t="str">
        <f>IFERROR(__xludf.DUMMYFUNCTION("GOOGLETRANSLATE(B10207, ""zh"", ""en"")"),"There are a number of different wear different effects and picture, the picture is straight trousers look a little self-cultivation effect, actually wore casual loose belong effect, very fat legs")</f>
        <v>There are a number of different wear different effects and picture, the picture is straight trousers look a little self-cultivation effect, actually wore casual loose belong effect, very fat legs</v>
      </c>
    </row>
    <row r="10208">
      <c r="A10208" s="1">
        <v>4.0</v>
      </c>
      <c r="B10208" s="1" t="s">
        <v>10132</v>
      </c>
      <c r="C10208" t="str">
        <f>IFERROR(__xludf.DUMMYFUNCTION("GOOGLETRANSLATE(B10208, ""zh"", ""en"")"),"Basically satisfied pants received, from order to receipt 12 days, it is quite fast, after all, direct mail from the United States! Mexican origin, thickness enough, but slightly rough work, details of the process is not good! I 180,80kg, bought the 36x32"&amp;". Slightly longer!")</f>
        <v>Basically satisfied pants received, from order to receipt 12 days, it is quite fast, after all, direct mail from the United States! Mexican origin, thickness enough, but slightly rough work, details of the process is not good! I 180,80kg, bought the 36x32. Slightly longer!</v>
      </c>
    </row>
    <row r="10209">
      <c r="A10209" s="1">
        <v>4.0</v>
      </c>
      <c r="B10209" s="1" t="s">
        <v>10133</v>
      </c>
      <c r="C10209" t="str">
        <f>IFERROR(__xludf.DUMMYFUNCTION("GOOGLETRANSLATE(B10209, ""zh"", ""en"")"),"Quality is good, but the order confirmation time is too long February 5 Kusakabe single, 20, was ordered success, this time is too long. Fortunately, express delivery to the force, received a 24. In addition to relatively simple packaging, on a cardboard "&amp;"box, mobile hard disk inside the rock, disassemble tried, I did not find the problem. Commodity good, give praise!")</f>
        <v>Quality is good, but the order confirmation time is too long February 5 Kusakabe single, 20, was ordered success, this time is too long. Fortunately, express delivery to the force, received a 24. In addition to relatively simple packaging, on a cardboard box, mobile hard disk inside the rock, disassemble tried, I did not find the problem. Commodity good, give praise!</v>
      </c>
    </row>
    <row r="10210">
      <c r="A10210" s="1">
        <v>4.0</v>
      </c>
      <c r="B10210" s="1" t="s">
        <v>10134</v>
      </c>
      <c r="C10210" t="str">
        <f>IFERROR(__xludf.DUMMYFUNCTION("GOOGLETRANSLATE(B10210, ""zh"", ""en"")"),"Worth buying color is not bright pictures, old blue hair. Comfort and satisfaction!")</f>
        <v>Worth buying color is not bright pictures, old blue hair. Comfort and satisfaction!</v>
      </c>
    </row>
    <row r="10211">
      <c r="A10211" s="1">
        <v>5.0</v>
      </c>
      <c r="B10211" s="1" t="s">
        <v>10135</v>
      </c>
      <c r="C10211" t="str">
        <f>IFERROR(__xludf.DUMMYFUNCTION("GOOGLETRANSLATE(B10211, ""zh"", ""en"")"),"Good comfortable, beautiful, good quality, thick")</f>
        <v>Good comfortable, beautiful, good quality, thick</v>
      </c>
    </row>
    <row r="10212">
      <c r="A10212" s="1">
        <v>5.0</v>
      </c>
      <c r="B10212" s="1" t="s">
        <v>10136</v>
      </c>
      <c r="C10212" t="str">
        <f>IFERROR(__xludf.DUMMYFUNCTION("GOOGLETRANSLATE(B10212, ""zh"", ""en"")"),"Good relatively strong")</f>
        <v>Good relatively strong</v>
      </c>
    </row>
    <row r="10213">
      <c r="A10213" s="1">
        <v>5.0</v>
      </c>
      <c r="B10213" s="1" t="s">
        <v>10137</v>
      </c>
      <c r="C10213" t="str">
        <f>IFERROR(__xludf.DUMMYFUNCTION("GOOGLETRANSLATE(B10213, ""zh"", ""en"")"),"Baby likes super easy to use, easy to carry")</f>
        <v>Baby likes super easy to use, easy to carry</v>
      </c>
    </row>
    <row r="10214">
      <c r="A10214" s="1">
        <v>5.0</v>
      </c>
      <c r="B10214" s="1" t="s">
        <v>10138</v>
      </c>
      <c r="C10214" t="str">
        <f>IFERROR(__xludf.DUMMYFUNCTION("GOOGLETRANSLATE(B10214, ""zh"", ""en"")"),"Nice warm and good, is the county's quality has been good")</f>
        <v>Nice warm and good, is the county's quality has been good</v>
      </c>
    </row>
    <row r="10215">
      <c r="A10215" s="1">
        <v>5.0</v>
      </c>
      <c r="B10215" s="1" t="s">
        <v>10139</v>
      </c>
      <c r="C10215" t="str">
        <f>IFERROR(__xludf.DUMMYFUNCTION("GOOGLETRANSLATE(B10215, ""zh"", ""en"")"),"The price is right, worth having it sent back to Germany Amazon goods, speed to fly, less than a week to arrive, something good, take a look at the main theater, listen to radio, nothing much sound quality is definitely good enough , opened battery is ful"&amp;"l, spent three or four hours left 1/3 right, step one and see if it is fully charged can use more, is not a charging port outside that comes with rubber protection Cypriot, almost always feel that God horse, if it was a little water does not know what wil"&amp;"l happen")</f>
        <v>The price is right, worth having it sent back to Germany Amazon goods, speed to fly, less than a week to arrive, something good, take a look at the main theater, listen to radio, nothing much sound quality is definitely good enough , opened battery is full, spent three or four hours left 1/3 right, step one and see if it is fully charged can use more, is not a charging port outside that comes with rubber protection Cypriot, almost always feel that God horse, if it was a little water does not know what will happen</v>
      </c>
    </row>
    <row r="10216">
      <c r="A10216" s="1">
        <v>5.0</v>
      </c>
      <c r="B10216" s="1" t="s">
        <v>10140</v>
      </c>
      <c r="C10216" t="str">
        <f>IFERROR(__xludf.DUMMYFUNCTION("GOOGLETRANSLATE(B10216, ""zh"", ""en"")"),"Practical package, satisfying shopping experience. Shipping soon, the customs card for three days, or at the time expected to receive. Japan shipped very carefully, packaging thick. Backpack good, volume is relatively large, very satisfied.")</f>
        <v>Practical package, satisfying shopping experience. Shipping soon, the customs card for three days, or at the time expected to receive. Japan shipped very carefully, packaging thick. Backpack good, volume is relatively large, very satisfied.</v>
      </c>
    </row>
    <row r="10217">
      <c r="A10217" s="1">
        <v>5.0</v>
      </c>
      <c r="B10217" s="1" t="s">
        <v>10141</v>
      </c>
      <c r="C10217" t="str">
        <f>IFERROR(__xludf.DUMMYFUNCTION("GOOGLETRANSLATE(B10217, ""zh"", ""en"")"),"Children like to add zinc, give it a try. Children grow up, nutrition should be balanced")</f>
        <v>Children like to add zinc, give it a try. Children grow up, nutrition should be balanced</v>
      </c>
    </row>
    <row r="10218">
      <c r="A10218" s="1">
        <v>5.0</v>
      </c>
      <c r="B10218" s="1" t="s">
        <v>10142</v>
      </c>
      <c r="C10218" t="str">
        <f>IFERROR(__xludf.DUMMYFUNCTION("GOOGLETRANSLATE(B10218, ""zh"", ""en"")"),"Although not the cheapest price high black is buying, but it is very cost-effective combination of 199-80")</f>
        <v>Although not the cheapest price high black is buying, but it is very cost-effective combination of 199-80</v>
      </c>
    </row>
    <row r="10219">
      <c r="A10219" s="1">
        <v>5.0</v>
      </c>
      <c r="B10219" s="1" t="s">
        <v>10143</v>
      </c>
      <c r="C10219" t="str">
        <f>IFERROR(__xludf.DUMMYFUNCTION("GOOGLETRANSLATE(B10219, ""zh"", ""en"")"),"Perfect 181CM weight 93KG LL is appropriate, comfortable and soft.")</f>
        <v>Perfect 181CM weight 93KG LL is appropriate, comfortable and soft.</v>
      </c>
    </row>
    <row r="10220">
      <c r="A10220" s="1">
        <v>5.0</v>
      </c>
      <c r="B10220" s="1" t="s">
        <v>10144</v>
      </c>
      <c r="C10220" t="str">
        <f>IFERROR(__xludf.DUMMYFUNCTION("GOOGLETRANSLATE(B10220, ""zh"", ""en"")"),"Like love but not so old the color has a positive or easy to dirty")</f>
        <v>Like love but not so old the color has a positive or easy to dirty</v>
      </c>
    </row>
    <row r="10221">
      <c r="A10221" s="1">
        <v>5.0</v>
      </c>
      <c r="B10221" s="1" t="s">
        <v>10145</v>
      </c>
      <c r="C10221" t="str">
        <f>IFERROR(__xludf.DUMMYFUNCTION("GOOGLETRANSLATE(B10221, ""zh"", ""en"")"),"Comment bought several times, good texture, affordable")</f>
        <v>Comment bought several times, good texture, affordable</v>
      </c>
    </row>
    <row r="10222">
      <c r="A10222" s="1">
        <v>5.0</v>
      </c>
      <c r="B10222" s="1" t="s">
        <v>10146</v>
      </c>
      <c r="C10222" t="str">
        <f>IFERROR(__xludf.DUMMYFUNCTION("GOOGLETRANSLATE(B10222, ""zh"", ""en"")"),"Quality is given to the child's red. The price of it. Quality is also good.")</f>
        <v>Quality is given to the child's red. The price of it. Quality is also good.</v>
      </c>
    </row>
    <row r="10223">
      <c r="A10223" s="1">
        <v>5.0</v>
      </c>
      <c r="B10223" s="1" t="s">
        <v>10147</v>
      </c>
      <c r="C10223" t="str">
        <f>IFERROR(__xludf.DUMMYFUNCTION("GOOGLETRANSLATE(B10223, ""zh"", ""en"")"),"Trousers very flexible, high cost, RMB hundred dollars to buy value for money, material is very thick very flexible.")</f>
        <v>Trousers very flexible, high cost, RMB hundred dollars to buy value for money, material is very thick very flexible.</v>
      </c>
    </row>
    <row r="10224">
      <c r="A10224" s="1">
        <v>5.0</v>
      </c>
      <c r="B10224" s="1" t="s">
        <v>10148</v>
      </c>
      <c r="C10224" t="str">
        <f>IFERROR(__xludf.DUMMYFUNCTION("GOOGLETRANSLATE(B10224, ""zh"", ""en"")"),"Very appropriate clothes basically just good, except my belly compare drums, must have deep breath outside. 165 / 75kg. not bad.")</f>
        <v>Very appropriate clothes basically just good, except my belly compare drums, must have deep breath outside. 165 / 75kg. not bad.</v>
      </c>
    </row>
    <row r="10225">
      <c r="A10225" s="1">
        <v>5.0</v>
      </c>
      <c r="B10225" s="1" t="s">
        <v>10149</v>
      </c>
      <c r="C10225" t="str">
        <f>IFERROR(__xludf.DUMMYFUNCTION("GOOGLETRANSLATE(B10225, ""zh"", ""en"")"),"Lovely bottle of good quality, no taste, feel good")</f>
        <v>Lovely bottle of good quality, no taste, feel good</v>
      </c>
    </row>
    <row r="10226">
      <c r="A10226" s="1">
        <v>5.0</v>
      </c>
      <c r="B10226" s="1" t="s">
        <v>10150</v>
      </c>
      <c r="C10226" t="str">
        <f>IFERROR(__xludf.DUMMYFUNCTION("GOOGLETRANSLATE(B10226, ""zh"", ""en"")"),"Good like a good love")</f>
        <v>Good like a good love</v>
      </c>
    </row>
    <row r="10227">
      <c r="A10227" s="1">
        <v>5.0</v>
      </c>
      <c r="B10227" s="1" t="s">
        <v>10151</v>
      </c>
      <c r="C10227" t="str">
        <f>IFERROR(__xludf.DUMMYFUNCTION("GOOGLETRANSLATE(B10227, ""zh"", ""en"")"),"Is genuine baby eating okay, nothing different with human flesh before brought back.")</f>
        <v>Is genuine baby eating okay, nothing different with human flesh before brought back.</v>
      </c>
    </row>
    <row r="10228">
      <c r="A10228" s="1">
        <v>5.0</v>
      </c>
      <c r="B10228" s="1" t="s">
        <v>10152</v>
      </c>
      <c r="C10228" t="str">
        <f>IFERROR(__xludf.DUMMYFUNCTION("GOOGLETRANSLATE(B10228, ""zh"", ""en"")"),"It is large enough insulation liked")</f>
        <v>It is large enough insulation liked</v>
      </c>
    </row>
    <row r="10229">
      <c r="A10229" s="1">
        <v>5.0</v>
      </c>
      <c r="B10229" s="1" t="s">
        <v>10153</v>
      </c>
      <c r="C10229" t="str">
        <f>IFERROR(__xludf.DUMMYFUNCTION("GOOGLETRANSLATE(B10229, ""zh"", ""en"")"),"Color of lead teacher recommended color of lead good use, very good, but inevitably die off after the Amazon simple packaging long-distance transport, there is only a sum not to cut off half of the draw, mulberry heart!")</f>
        <v>Color of lead teacher recommended color of lead good use, very good, but inevitably die off after the Amazon simple packaging long-distance transport, there is only a sum not to cut off half of the draw, mulberry heart!</v>
      </c>
    </row>
    <row r="10230">
      <c r="A10230" s="1">
        <v>5.0</v>
      </c>
      <c r="B10230" s="1" t="s">
        <v>10154</v>
      </c>
      <c r="C10230" t="str">
        <f>IFERROR(__xludf.DUMMYFUNCTION("GOOGLETRANSLATE(B10230, ""zh"", ""en"")"),"👌 good mechanical hard drive alternatives.")</f>
        <v>👌 good mechanical hard drive alternatives.</v>
      </c>
    </row>
    <row r="10231">
      <c r="A10231" s="1">
        <v>5.0</v>
      </c>
      <c r="B10231" s="1" t="s">
        <v>10155</v>
      </c>
      <c r="C10231" t="str">
        <f>IFERROR(__xludf.DUMMYFUNCTION("GOOGLETRANSLATE(B10231, ""zh"", ""en"")"),"Amazon's first service is very good, feeling very good speaker, I felt myself than 10 years ago, more than 300 speakers much better. With a white, ha ha")</f>
        <v>Amazon's first service is very good, feeling very good speaker, I felt myself than 10 years ago, more than 300 speakers much better. With a white, ha ha</v>
      </c>
    </row>
    <row r="10232">
      <c r="A10232" s="1">
        <v>2.0</v>
      </c>
      <c r="B10232" s="1" t="s">
        <v>10156</v>
      </c>
      <c r="C10232" t="str">
        <f>IFERROR(__xludf.DUMMYFUNCTION("GOOGLETRANSLATE(B10232, ""zh"", ""en"")"),"The length of the sleeves have a good silent ah, there is the length of the sleeves, the clothes smell a little big, the fabric is also possible, cotton")</f>
        <v>The length of the sleeves have a good silent ah, there is the length of the sleeves, the clothes smell a little big, the fabric is also possible, cotton</v>
      </c>
    </row>
    <row r="10233">
      <c r="A10233" s="1">
        <v>3.0</v>
      </c>
      <c r="B10233" s="1" t="s">
        <v>10157</v>
      </c>
      <c r="C10233" t="str">
        <f>IFERROR(__xludf.DUMMYFUNCTION("GOOGLETRANSLATE(B10233, ""zh"", ""en"")"),"Dinner plate is not suitable for my family's dining chair, too, put uneven")</f>
        <v>Dinner plate is not suitable for my family's dining chair, too, put uneven</v>
      </c>
    </row>
    <row r="10234">
      <c r="A10234" s="1">
        <v>3.0</v>
      </c>
      <c r="B10234" s="1" t="s">
        <v>10158</v>
      </c>
      <c r="C10234" t="str">
        <f>IFERROR(__xludf.DUMMYFUNCTION("GOOGLETRANSLATE(B10234, ""zh"", ""en"")"),"Packaging very disappointed. Holes played too far outside position. China sent across the oceans, but packed in a layer of foam paper, there is no reliable protection measures. Buttons and belt feel pretty good. Just holes played too far outside, so that "&amp;"I was looking for someone to hit with two holes, destroyed the original appearance.")</f>
        <v>Packaging very disappointed. Holes played too far outside position. China sent across the oceans, but packed in a layer of foam paper, there is no reliable protection measures. Buttons and belt feel pretty good. Just holes played too far outside, so that I was looking for someone to hit with two holes, destroyed the original appearance.</v>
      </c>
    </row>
    <row r="10235">
      <c r="A10235" s="1">
        <v>3.0</v>
      </c>
      <c r="B10235" s="1" t="s">
        <v>10159</v>
      </c>
      <c r="C10235" t="str">
        <f>IFERROR(__xludf.DUMMYFUNCTION("GOOGLETRANSLATE(B10235, ""zh"", ""en"")"),"Code number code number a little smaller. 40.5 also usually wear a little big, the double top went so far as 40.5 feet. Shoes, looks too small")</f>
        <v>Code number code number a little smaller. 40.5 also usually wear a little big, the double top went so far as 40.5 feet. Shoes, looks too small</v>
      </c>
    </row>
    <row r="10236">
      <c r="A10236" s="1">
        <v>1.0</v>
      </c>
      <c r="B10236" s="1" t="s">
        <v>10160</v>
      </c>
      <c r="C10236" t="str">
        <f>IFERROR(__xludf.DUMMYFUNCTION("GOOGLETRANSLATE(B10236, ""zh"", ""en"")"),"Wear a few days on the jump yarn, and quality, but off to wear a few days on the jump yarn, and low quality")</f>
        <v>Wear a few days on the jump yarn, and quality, but off to wear a few days on the jump yarn, and low quality</v>
      </c>
    </row>
    <row r="10237">
      <c r="A10237" s="1">
        <v>1.0</v>
      </c>
      <c r="B10237" s="1" t="s">
        <v>10161</v>
      </c>
      <c r="C10237" t="str">
        <f>IFERROR(__xludf.DUMMYFUNCTION("GOOGLETRANSLATE(B10237, ""zh"", ""en"")"),"Do not buy! ! ! All the same fault! ! Due to browse through all buyers evaluate before you buy, found a lot of buyers have experienced mechanical failure problem, we kept that in mind, found to have quality problems can return within a month, then buy the"&amp;" next character test results! ! The comments were all the fault I met! ! Are mainly two: When using 1- half, into the electric charge (electric charge once a new machine), even if the battery is fully lit display, a boot, one second running automatically "&amp;"shut down immediately, the battery light flashes, no power can then be recharged into the charging, and the battery hot parts; 2- there are times when the use of the nozzle is inserted, a power, out of the entire spraying nozzle, another nozzle remains th"&amp;"e same, then after two days, and then the good , do not use it to look at it feel? ! 3- Bi Jie no warranty policy on non-domestic sales of the product, if you buy a classmate unfortunate discovery machine is broken in a month and a day's time, then only w"&amp;"hen the money lost. . . . Because of these two fault I have seen in the previous buyers comments, and even all their strokes, the absolute reason to doubt the quality of this product is substandard, cracked walls recommend Amazon shelves! We have started "&amp;"to walk refund process")</f>
        <v>Do not buy! ! ! All the same fault! ! Due to browse through all buyers evaluate before you buy, found a lot of buyers have experienced mechanical failure problem, we kept that in mind, found to have quality problems can return within a month, then buy the next character test results! ! The comments were all the fault I met! ! Are mainly two: When using 1- half, into the electric charge (electric charge once a new machine), even if the battery is fully lit display, a boot, one second running automatically shut down immediately, the battery light flashes, no power can then be recharged into the charging, and the battery hot parts; 2- there are times when the use of the nozzle is inserted, a power, out of the entire spraying nozzle, another nozzle remains the same, then after two days, and then the good , do not use it to look at it feel? ! 3- Bi Jie no warranty policy on non-domestic sales of the product, if you buy a classmate unfortunate discovery machine is broken in a month and a day's time, then only when the money lost. . . . Because of these two fault I have seen in the previous buyers comments, and even all their strokes, the absolute reason to doubt the quality of this product is substandard, cracked walls recommend Amazon shelves! We have started to walk refund process</v>
      </c>
    </row>
    <row r="10238">
      <c r="A10238" s="1">
        <v>1.0</v>
      </c>
      <c r="B10238" s="1" t="s">
        <v>10162</v>
      </c>
      <c r="C10238" t="str">
        <f>IFERROR(__xludf.DUMMYFUNCTION("GOOGLETRANSLATE(B10238, ""zh"", ""en"")"),"Serious fade, rough work, thread everywhere. Serious fade, rough work, thread everywhere.")</f>
        <v>Serious fade, rough work, thread everywhere. Serious fade, rough work, thread everywhere.</v>
      </c>
    </row>
    <row r="10239">
      <c r="A10239" s="1">
        <v>4.0</v>
      </c>
      <c r="B10239" s="1" t="s">
        <v>10163</v>
      </c>
      <c r="C10239" t="str">
        <f>IFERROR(__xludf.DUMMYFUNCTION("GOOGLETRANSLATE(B10239, ""zh"", ""en"")"),"Feel okay, that is a big point usually wear sneakers are wearing 41 and 41.5 of CAT boots to wear just 40 yards, the shoes I chose the second smallest code still feel great, and added a insole")</f>
        <v>Feel okay, that is a big point usually wear sneakers are wearing 41 and 41.5 of CAT boots to wear just 40 yards, the shoes I chose the second smallest code still feel great, and added a insole</v>
      </c>
    </row>
    <row r="10240">
      <c r="A10240" s="1">
        <v>4.0</v>
      </c>
      <c r="B10240" s="1" t="s">
        <v>10164</v>
      </c>
      <c r="C10240" t="str">
        <f>IFERROR(__xludf.DUMMYFUNCTION("GOOGLETRANSLATE(B10240, ""zh"", ""en"")"),"A long time to fade the grayed good, not from the previous evaluation, I do not know how many wasted points, points can change money now know, they should look carefully evaluated, then I put these words to copy away, both earn points, but also the easy w"&amp;"ay, where are copying where, most importantly, do not seriously review, do not think how much worse word, sent directly to it, recommend it to everyone! !")</f>
        <v>A long time to fade the grayed good, not from the previous evaluation, I do not know how many wasted points, points can change money now know, they should look carefully evaluated, then I put these words to copy away, both earn points, but also the easy way, where are copying where, most importantly, do not seriously review, do not think how much worse word, sent directly to it, recommend it to everyone! !</v>
      </c>
    </row>
    <row r="10241">
      <c r="A10241" s="1">
        <v>4.0</v>
      </c>
      <c r="B10241" s="1" t="s">
        <v>10165</v>
      </c>
      <c r="C10241" t="str">
        <f>IFERROR(__xludf.DUMMYFUNCTION("GOOGLETRANSLATE(B10241, ""zh"", ""en"")"),"A sub-price for a half without playing tight, hard can stand. lee same size minimum, the pursuit of comfort, please pass")</f>
        <v>A sub-price for a half without playing tight, hard can stand. lee same size minimum, the pursuit of comfort, please pass</v>
      </c>
    </row>
    <row r="10242">
      <c r="A10242" s="1">
        <v>4.0</v>
      </c>
      <c r="B10242" s="1" t="s">
        <v>10166</v>
      </c>
      <c r="C10242" t="str">
        <f>IFERROR(__xludf.DUMMYFUNCTION("GOOGLETRANSLATE(B10242, ""zh"", ""en"")"),"Good Italian quality, quality assurance")</f>
        <v>Good Italian quality, quality assurance</v>
      </c>
    </row>
    <row r="10243">
      <c r="A10243" s="1">
        <v>4.0</v>
      </c>
      <c r="B10243" s="1" t="s">
        <v>10167</v>
      </c>
      <c r="C10243" t="str">
        <f>IFERROR(__xludf.DUMMYFUNCTION("GOOGLETRANSLATE(B10243, ""zh"", ""en"")"),"Good little long, 350 to buy appropriate. made in China, reliable quality.")</f>
        <v>Good little long, 350 to buy appropriate. made in China, reliable quality.</v>
      </c>
    </row>
    <row r="10244">
      <c r="A10244" s="1">
        <v>5.0</v>
      </c>
      <c r="B10244" s="1" t="s">
        <v>10168</v>
      </c>
      <c r="C10244" t="str">
        <f>IFERROR(__xludf.DUMMYFUNCTION("GOOGLETRANSLATE(B10244, ""zh"", ""en"")"),"Really good quality leather, wearing a period of time, good quality leather, usually wear pants 36, a flow orifice")</f>
        <v>Really good quality leather, wearing a period of time, good quality leather, usually wear pants 36, a flow orifice</v>
      </c>
    </row>
    <row r="10245">
      <c r="A10245" s="1">
        <v>5.0</v>
      </c>
      <c r="B10245" s="1" t="s">
        <v>10169</v>
      </c>
      <c r="C10245" t="str">
        <f>IFERROR(__xludf.DUMMYFUNCTION("GOOGLETRANSLATE(B10245, ""zh"", ""en"")"),"Very well get our hands found to be very light, easy to carry, very fast, brand assurance")</f>
        <v>Very well get our hands found to be very light, easy to carry, very fast, brand assurance</v>
      </c>
    </row>
    <row r="10246">
      <c r="A10246" s="1">
        <v>5.0</v>
      </c>
      <c r="B10246" s="1" t="s">
        <v>10170</v>
      </c>
      <c r="C10246" t="str">
        <f>IFERROR(__xludf.DUMMYFUNCTION("GOOGLETRANSLATE(B10246, ""zh"", ""en"")"),"Handsome really cool. 17695 kg. m just right. Fitness for many years. Passed up obvious inverted triangle effect. Like like like")</f>
        <v>Handsome really cool. 17695 kg. m just right. Fitness for many years. Passed up obvious inverted triangle effect. Like like like</v>
      </c>
    </row>
    <row r="10247">
      <c r="A10247" s="1">
        <v>5.0</v>
      </c>
      <c r="B10247" s="1" t="s">
        <v>10171</v>
      </c>
      <c r="C10247" t="str">
        <f>IFERROR(__xludf.DUMMYFUNCTION("GOOGLETRANSLATE(B10247, ""zh"", ""en"")"),"That was quick orders yesterday, 16:00 few went to ah! ! ! ! Of course, the sound quality did not have to say slightly .k240s is k240s, anyway, I like! ! ! ! 1000-200 and friends to scrape together a single, super arrived! ! ! Just do not care when bought"&amp;" home fell a bit, distressed ah! ! ! !")</f>
        <v>That was quick orders yesterday, 16:00 few went to ah! ! ! ! Of course, the sound quality did not have to say slightly .k240s is k240s, anyway, I like! ! ! ! 1000-200 and friends to scrape together a single, super arrived! ! ! Just do not care when bought home fell a bit, distressed ah! ! ! !</v>
      </c>
    </row>
    <row r="10248">
      <c r="A10248" s="1">
        <v>5.0</v>
      </c>
      <c r="B10248" s="1" t="s">
        <v>10172</v>
      </c>
      <c r="C10248" t="str">
        <f>IFERROR(__xludf.DUMMYFUNCTION("GOOGLETRANSLATE(B10248, ""zh"", ""en"")"),"Meal replacement health care products can be absorbed me better! Reaction is more obvious! Eat for a week to feel the effect! Muscle firming up significantly! Taste becomes less want to eat! I feel pretty well! I hope no side effects!")</f>
        <v>Meal replacement health care products can be absorbed me better! Reaction is more obvious! Eat for a week to feel the effect! Muscle firming up significantly! Taste becomes less want to eat! I feel pretty well! I hope no side effects!</v>
      </c>
    </row>
    <row r="10249">
      <c r="A10249" s="1">
        <v>5.0</v>
      </c>
      <c r="B10249" s="1" t="s">
        <v>10173</v>
      </c>
      <c r="C10249" t="str">
        <f>IFERROR(__xludf.DUMMYFUNCTION("GOOGLETRANSLATE(B10249, ""zh"", ""en"")"),"The right size is not bad")</f>
        <v>The right size is not bad</v>
      </c>
    </row>
    <row r="10250">
      <c r="A10250" s="1">
        <v>5.0</v>
      </c>
      <c r="B10250" s="1" t="s">
        <v>10174</v>
      </c>
      <c r="C10250" t="str">
        <f>IFERROR(__xludf.DUMMYFUNCTION("GOOGLETRANSLATE(B10250, ""zh"", ""en"")"),"Top products imported from Germany, the quality of none, when promotional cheaper than Amazon Germany, I could not bear to use.")</f>
        <v>Top products imported from Germany, the quality of none, when promotional cheaper than Amazon Germany, I could not bear to use.</v>
      </c>
    </row>
    <row r="10251">
      <c r="A10251" s="1">
        <v>5.0</v>
      </c>
      <c r="B10251" s="1" t="s">
        <v>10175</v>
      </c>
      <c r="C10251" t="str">
        <f>IFERROR(__xludf.DUMMYFUNCTION("GOOGLETRANSLATE(B10251, ""zh"", ""en"")"),"The children liked the taste delicious and can make up a little calcium, very good!")</f>
        <v>The children liked the taste delicious and can make up a little calcium, very good!</v>
      </c>
    </row>
    <row r="10252">
      <c r="A10252" s="1">
        <v>5.0</v>
      </c>
      <c r="B10252" s="1" t="s">
        <v>10176</v>
      </c>
      <c r="C10252" t="str">
        <f>IFERROR(__xludf.DUMMYFUNCTION("GOOGLETRANSLATE(B10252, ""zh"", ""en"")"),"Very comfortable to wear, like to buy logistics speed is still acceptable and size before, but this time bought to wear a little small, but still very comfortable to wear")</f>
        <v>Very comfortable to wear, like to buy logistics speed is still acceptable and size before, but this time bought to wear a little small, but still very comfortable to wear</v>
      </c>
    </row>
    <row r="10253">
      <c r="A10253" s="1">
        <v>5.0</v>
      </c>
      <c r="B10253" s="1" t="s">
        <v>10177</v>
      </c>
      <c r="C10253" t="str">
        <f>IFERROR(__xludf.DUMMYFUNCTION("GOOGLETRANSLATE(B10253, ""zh"", ""en"")"),"Thoughtful design lingerie underwear very satisfactory, fabric is very comfortable, packet processing is not specially prominent, more comfortable wearing stickers, or businesses want thoughtful, leading edge single layer, pull out of other clothes withou"&amp;"t leaving any traces, so sweet.")</f>
        <v>Thoughtful design lingerie underwear very satisfactory, fabric is very comfortable, packet processing is not specially prominent, more comfortable wearing stickers, or businesses want thoughtful, leading edge single layer, pull out of other clothes without leaving any traces, so sweet.</v>
      </c>
    </row>
    <row r="10254">
      <c r="A10254" s="1">
        <v>5.0</v>
      </c>
      <c r="B10254" s="1" t="s">
        <v>10178</v>
      </c>
      <c r="C10254" t="str">
        <f>IFERROR(__xludf.DUMMYFUNCTION("GOOGLETRANSLATE(B10254, ""zh"", ""en"")"),"Fenfen and tender very lovely color, another on tender. Baby put it down.")</f>
        <v>Fenfen and tender very lovely color, another on tender. Baby put it down.</v>
      </c>
    </row>
    <row r="10255">
      <c r="A10255" s="1">
        <v>5.0</v>
      </c>
      <c r="B10255" s="1" t="s">
        <v>10179</v>
      </c>
      <c r="C10255" t="str">
        <f>IFERROR(__xludf.DUMMYFUNCTION("GOOGLETRANSLATE(B10255, ""zh"", ""en"")"),"I also can not tell which ear received anything, or do not buy too expensive headphones. This is also the line, wearing not uncomfortable")</f>
        <v>I also can not tell which ear received anything, or do not buy too expensive headphones. This is also the line, wearing not uncomfortable</v>
      </c>
    </row>
    <row r="10256">
      <c r="A10256" s="1">
        <v>5.0</v>
      </c>
      <c r="B10256" s="1" t="s">
        <v>10180</v>
      </c>
      <c r="C10256" t="str">
        <f>IFERROR(__xludf.DUMMYFUNCTION("GOOGLETRANSLATE(B10256, ""zh"", ""en"")"),"Domestic always liked to draw up such a good product")</f>
        <v>Domestic always liked to draw up such a good product</v>
      </c>
    </row>
    <row r="10257">
      <c r="A10257" s="1">
        <v>5.0</v>
      </c>
      <c r="B10257" s="1" t="s">
        <v>10181</v>
      </c>
      <c r="C10257" t="str">
        <f>IFERROR(__xludf.DUMMYFUNCTION("GOOGLETRANSLATE(B10257, ""zh"", ""en"")"),"ok normal sports shoes 39 yards, this election 7.5W foot feeling a little long, but the width of the right. There is a strange place I should have skin tag on the shoes, but this pair does not, appears to be genuine. , There is little excess glue is a nor"&amp;"mal phenomenon, others are pretty good, express fast. Produced in the Dominican Republic.")</f>
        <v>ok normal sports shoes 39 yards, this election 7.5W foot feeling a little long, but the width of the right. There is a strange place I should have skin tag on the shoes, but this pair does not, appears to be genuine. , There is little excess glue is a normal phenomenon, others are pretty good, express fast. Produced in the Dominican Republic.</v>
      </c>
    </row>
    <row r="10258">
      <c r="A10258" s="1">
        <v>5.0</v>
      </c>
      <c r="B10258" s="1" t="s">
        <v>10182</v>
      </c>
      <c r="C10258" t="str">
        <f>IFERROR(__xludf.DUMMYFUNCTION("GOOGLETRANSLATE(B10258, ""zh"", ""en"")"),"Speed ​​is fast! Small is too small to worry about easily get lost!")</f>
        <v>Speed ​​is fast! Small is too small to worry about easily get lost!</v>
      </c>
    </row>
    <row r="10259">
      <c r="A10259" s="1">
        <v>5.0</v>
      </c>
      <c r="B10259" s="1" t="s">
        <v>10183</v>
      </c>
      <c r="C10259" t="str">
        <f>IFERROR(__xludf.DUMMYFUNCTION("GOOGLETRANSLATE(B10259, ""zh"", ""en"")"),"Value than the domestic cost-effective to buy too much, though very few accessories, strangely fitting description than two years short of the mark. Sent when the box has been opened, but not used carefully read the signs. Experience is also good, but als"&amp;"o very easy to carry when traveling for the future, the only drawback is too heavy, I feel hot hand on a piece of clothing sour. Overall, I liked it, the good news is the price to buy, according to more than 1,000 domestic prices then I think not worth it")</f>
        <v>Value than the domestic cost-effective to buy too much, though very few accessories, strangely fitting description than two years short of the mark. Sent when the box has been opened, but not used carefully read the signs. Experience is also good, but also very easy to carry when traveling for the future, the only drawback is too heavy, I feel hot hand on a piece of clothing sour. Overall, I liked it, the good news is the price to buy, according to more than 1,000 domestic prices then I think not worth it</v>
      </c>
    </row>
    <row r="10260">
      <c r="A10260" s="1">
        <v>5.0</v>
      </c>
      <c r="B10260" s="1" t="s">
        <v>10184</v>
      </c>
      <c r="C10260" t="str">
        <f>IFERROR(__xludf.DUMMYFUNCTION("GOOGLETRANSLATE(B10260, ""zh"", ""en"")"),"Gospel fat clothes workmanship and materials are good, I height 176CM weight 110KG ,, buy 2XL is slightly larger.")</f>
        <v>Gospel fat clothes workmanship and materials are good, I height 176CM weight 110KG ,, buy 2XL is slightly larger.</v>
      </c>
    </row>
    <row r="10261">
      <c r="A10261" s="1">
        <v>5.0</v>
      </c>
      <c r="B10261" s="1" t="s">
        <v>10185</v>
      </c>
      <c r="C10261" t="str">
        <f>IFERROR(__xludf.DUMMYFUNCTION("GOOGLETRANSLATE(B10261, ""zh"", ""en"")"),"Good quality, size is too large and the quality of the same description, CK underwear common size is too large, 180cm burly figure, XL are great, just good time to buy L")</f>
        <v>Good quality, size is too large and the quality of the same description, CK underwear common size is too large, 180cm burly figure, XL are great, just good time to buy L</v>
      </c>
    </row>
    <row r="10262">
      <c r="A10262" s="1">
        <v>5.0</v>
      </c>
      <c r="B10262" s="1" t="s">
        <v>10186</v>
      </c>
      <c r="C10262" t="str">
        <f>IFERROR(__xludf.DUMMYFUNCTION("GOOGLETRANSLATE(B10262, ""zh"", ""en"")"),"Just arrive genuine, authentic is good, bass")</f>
        <v>Just arrive genuine, authentic is good, bass</v>
      </c>
    </row>
    <row r="10263">
      <c r="A10263" s="1">
        <v>5.0</v>
      </c>
      <c r="B10263" s="1" t="s">
        <v>10187</v>
      </c>
      <c r="C10263" t="str">
        <f>IFERROR(__xludf.DUMMYFUNCTION("GOOGLETRANSLATE(B10263, ""zh"", ""en"")"),"Finally willing to drink a bottle in front for the four brands of baby bottles, baby bottles this change to finally willing reluctantly to drink, or to the breast real sense thumbs up!")</f>
        <v>Finally willing to drink a bottle in front for the four brands of baby bottles, baby bottles this change to finally willing reluctantly to drink, or to the breast real sense thumbs up!</v>
      </c>
    </row>
    <row r="10264">
      <c r="A10264" s="1">
        <v>5.0</v>
      </c>
      <c r="B10264" s="1" t="s">
        <v>10188</v>
      </c>
      <c r="C10264" t="str">
        <f>IFERROR(__xludf.DUMMYFUNCTION("GOOGLETRANSLATE(B10264, ""zh"", ""en"")"),"Really good previously bought HX6962, I spent more than two years, have a toothbrush will not start seeing this pink, could not help but shot down, there a few times, to more than 6962 points softer shock, feeling brush cleaner")</f>
        <v>Really good previously bought HX6962, I spent more than two years, have a toothbrush will not start seeing this pink, could not help but shot down, there a few times, to more than 6962 points softer shock, feeling brush cleaner</v>
      </c>
    </row>
    <row r="10265">
      <c r="A10265" s="1">
        <v>5.0</v>
      </c>
      <c r="B10265" s="1" t="s">
        <v>10189</v>
      </c>
      <c r="C10265" t="str">
        <f>IFERROR(__xludf.DUMMYFUNCTION("GOOGLETRANSLATE(B10265, ""zh"", ""en"")"),"Deodorant effect is quite good in the summer the focus is very comfortable to wear deodorant works well Also: Member Day Nichia aspects of membership benefits did not sync up")</f>
        <v>Deodorant effect is quite good in the summer the focus is very comfortable to wear deodorant works well Also: Member Day Nichia aspects of membership benefits did not sync up</v>
      </c>
    </row>
    <row r="10266">
      <c r="A10266" s="1">
        <v>2.0</v>
      </c>
      <c r="B10266" s="1" t="s">
        <v>10190</v>
      </c>
      <c r="C10266" t="str">
        <f>IFERROR(__xludf.DUMMYFUNCTION("GOOGLETRANSLATE(B10266, ""zh"", ""en"")"),"No insole? Why did not insoles do not have it?")</f>
        <v>No insole? Why did not insoles do not have it?</v>
      </c>
    </row>
    <row r="10267">
      <c r="A10267" s="1">
        <v>3.0</v>
      </c>
      <c r="B10267" s="1" t="s">
        <v>10191</v>
      </c>
      <c r="C10267" t="str">
        <f>IFERROR(__xludf.DUMMYFUNCTION("GOOGLETRANSLATE(B10267, ""zh"", ""en"")"),"Japanese version of the code number is too small clothes, buy L number, wear on the body is Slim models, but a little short, I 162, usually T-shirt to wear s code, especially due to crop cultivation will shoulder more powerful M code.")</f>
        <v>Japanese version of the code number is too small clothes, buy L number, wear on the body is Slim models, but a little short, I 162, usually T-shirt to wear s code, especially due to crop cultivation will shoulder more powerful M code.</v>
      </c>
    </row>
    <row r="10268">
      <c r="A10268" s="1">
        <v>3.0</v>
      </c>
      <c r="B10268" s="1" t="s">
        <v>10192</v>
      </c>
      <c r="C10268" t="str">
        <f>IFERROR(__xludf.DUMMYFUNCTION("GOOGLETRANSLATE(B10268, ""zh"", ""en"")"),"6 yards five yards summing exchange thought Fama Ding family's shoe size is too large! 5 yards should just buy now 6 yards full big a yard cushion insole is too large, there is no need to exchange?")</f>
        <v>6 yards five yards summing exchange thought Fama Ding family's shoe size is too large! 5 yards should just buy now 6 yards full big a yard cushion insole is too large, there is no need to exchange?</v>
      </c>
    </row>
    <row r="10269">
      <c r="A10269" s="1">
        <v>3.0</v>
      </c>
      <c r="B10269" s="1" t="s">
        <v>10193</v>
      </c>
      <c r="C10269" t="str">
        <f>IFERROR(__xludf.DUMMYFUNCTION("GOOGLETRANSLATE(B10269, ""zh"", ""en"")"),"Stethoscope effect is too strong Sennheiser sound quality is impeccable, but this is a flawed design and wire, stethoscope effect is very serious, do not even think about basic clip out, I was put in bed with.")</f>
        <v>Stethoscope effect is too strong Sennheiser sound quality is impeccable, but this is a flawed design and wire, stethoscope effect is very serious, do not even think about basic clip out, I was put in bed with.</v>
      </c>
    </row>
    <row r="10270">
      <c r="A10270" s="1">
        <v>1.0</v>
      </c>
      <c r="B10270" s="1" t="s">
        <v>10194</v>
      </c>
      <c r="C10270" t="str">
        <f>IFERROR(__xludf.DUMMYFUNCTION("GOOGLETRANSLATE(B10270, ""zh"", ""en"")"),"Defective, hopes to strengthen quality control to buy three different colors before shipment, the result favorite is defective, have holes, stains.")</f>
        <v>Defective, hopes to strengthen quality control to buy three different colors before shipment, the result favorite is defective, have holes, stains.</v>
      </c>
    </row>
    <row r="10271">
      <c r="A10271" s="1">
        <v>1.0</v>
      </c>
      <c r="B10271" s="1" t="s">
        <v>10195</v>
      </c>
      <c r="C10271" t="str">
        <f>IFERROR(__xludf.DUMMYFUNCTION("GOOGLETRANSLATE(B10271, ""zh"", ""en"")"),"Two mobile phones before seen so many people said it might be second-hand, I take chances to buy, the result is true, the machines used by others, even if the quality is no problem, that number is certainly less than 15w times ah! ! !")</f>
        <v>Two mobile phones before seen so many people said it might be second-hand, I take chances to buy, the result is true, the machines used by others, even if the quality is no problem, that number is certainly less than 15w times ah! ! !</v>
      </c>
    </row>
    <row r="10272">
      <c r="A10272" s="1">
        <v>4.0</v>
      </c>
      <c r="B10272" s="1" t="s">
        <v>10196</v>
      </c>
      <c r="C10272" t="str">
        <f>IFERROR(__xludf.DUMMYFUNCTION("GOOGLETRANSLATE(B10272, ""zh"", ""en"")"),"Quick-drying breathable quick-drying")</f>
        <v>Quick-drying breathable quick-drying</v>
      </c>
    </row>
    <row r="10273">
      <c r="A10273" s="1">
        <v>4.0</v>
      </c>
      <c r="B10273" s="1" t="s">
        <v>10197</v>
      </c>
      <c r="C10273" t="str">
        <f>IFERROR(__xludf.DUMMYFUNCTION("GOOGLETRANSLATE(B10273, ""zh"", ""en"")"),"Completely different too large a good thing completely different too large the other are pretty good")</f>
        <v>Completely different too large a good thing completely different too large the other are pretty good</v>
      </c>
    </row>
    <row r="10274">
      <c r="A10274" s="1">
        <v>4.0</v>
      </c>
      <c r="B10274" s="1" t="s">
        <v>10198</v>
      </c>
      <c r="C10274" t="str">
        <f>IFERROR(__xludf.DUMMYFUNCTION("GOOGLETRANSLATE(B10274, ""zh"", ""en"")"),"Wearing it, well this nice pants pants pocket rub dirty with some regret, I am afraid that first wash before wearing. I like American size pants, the right size, the same size consistency or.")</f>
        <v>Wearing it, well this nice pants pants pocket rub dirty with some regret, I am afraid that first wash before wearing. I like American size pants, the right size, the same size consistency or.</v>
      </c>
    </row>
    <row r="10275">
      <c r="A10275" s="1">
        <v>4.0</v>
      </c>
      <c r="B10275" s="1" t="s">
        <v>10199</v>
      </c>
      <c r="C10275" t="str">
        <f>IFERROR(__xludf.DUMMYFUNCTION("GOOGLETRANSLATE(B10275, ""zh"", ""en"")"),"Yes pretty good, 240d winter is still considered thin")</f>
        <v>Yes pretty good, 240d winter is still considered thin</v>
      </c>
    </row>
    <row r="10276">
      <c r="A10276" s="1">
        <v>5.0</v>
      </c>
      <c r="B10276" s="1" t="s">
        <v>10200</v>
      </c>
      <c r="C10276" t="str">
        <f>IFERROR(__xludf.DUMMYFUNCTION("GOOGLETRANSLATE(B10276, ""zh"", ""en"")"),"Smells good baby like the taste")</f>
        <v>Smells good baby like the taste</v>
      </c>
    </row>
    <row r="10277">
      <c r="A10277" s="1">
        <v>5.0</v>
      </c>
      <c r="B10277" s="1" t="s">
        <v>10201</v>
      </c>
      <c r="C10277" t="str">
        <f>IFERROR(__xludf.DUMMYFUNCTION("GOOGLETRANSLATE(B10277, ""zh"", ""en"")"),"Electric toothbrush has been pretty good with the old models, the most recent is always bleeding. See another upgraded version of events, a brush is not bleeding, continue to use. Just do not know will not like the above comments, the repair can not be ch"&amp;"anged.")</f>
        <v>Electric toothbrush has been pretty good with the old models, the most recent is always bleeding. See another upgraded version of events, a brush is not bleeding, continue to use. Just do not know will not like the above comments, the repair can not be changed.</v>
      </c>
    </row>
    <row r="10278">
      <c r="A10278" s="1">
        <v>5.0</v>
      </c>
      <c r="B10278" s="1" t="s">
        <v>10202</v>
      </c>
      <c r="C10278" t="str">
        <f>IFERROR(__xludf.DUMMYFUNCTION("GOOGLETRANSLATE(B10278, ""zh"", ""en"")"),"Good thin, for sports and chest with a large")</f>
        <v>Good thin, for sports and chest with a large</v>
      </c>
    </row>
    <row r="10279">
      <c r="A10279" s="1">
        <v>5.0</v>
      </c>
      <c r="B10279" s="1" t="s">
        <v>10203</v>
      </c>
      <c r="C10279" t="str">
        <f>IFERROR(__xludf.DUMMYFUNCTION("GOOGLETRANSLATE(B10279, ""zh"", ""en"")"),"Logistics soon! The United States made up to three days, not the general was quick, hard drive no problem, easy to use!")</f>
        <v>Logistics soon! The United States made up to three days, not the general was quick, hard drive no problem, easy to use!</v>
      </c>
    </row>
    <row r="10280">
      <c r="A10280" s="1">
        <v>5.0</v>
      </c>
      <c r="B10280" s="1" t="s">
        <v>10204</v>
      </c>
      <c r="C10280" t="str">
        <f>IFERROR(__xludf.DUMMYFUNCTION("GOOGLETRANSLATE(B10280, ""zh"", ""en"")"),"The right size, the foot more comfortable, good price. The right size, the foot more comfortable, good price.")</f>
        <v>The right size, the foot more comfortable, good price. The right size, the foot more comfortable, good price.</v>
      </c>
    </row>
    <row r="10281">
      <c r="A10281" s="1">
        <v>5.0</v>
      </c>
      <c r="B10281" s="1" t="s">
        <v>10205</v>
      </c>
      <c r="C10281" t="str">
        <f>IFERROR(__xludf.DUMMYFUNCTION("GOOGLETRANSLATE(B10281, ""zh"", ""en"")"),"Is to force the headset Do not be too sure 80 ohm and 250 ohm difference between good and bad push push, as long as the sound tricky, high-impedance voice definitely stick")</f>
        <v>Is to force the headset Do not be too sure 80 ohm and 250 ohm difference between good and bad push push, as long as the sound tricky, high-impedance voice definitely stick</v>
      </c>
    </row>
    <row r="10282">
      <c r="A10282" s="1">
        <v>5.0</v>
      </c>
      <c r="B10282" s="1" t="s">
        <v>10206</v>
      </c>
      <c r="C10282" t="str">
        <f>IFERROR(__xludf.DUMMYFUNCTION("GOOGLETRANSLATE(B10282, ""zh"", ""en"")"),"Very very very very fashionable look good atmosphere fashion look good")</f>
        <v>Very very very very fashionable look good atmosphere fashion look good</v>
      </c>
    </row>
    <row r="10283">
      <c r="A10283" s="1">
        <v>5.0</v>
      </c>
      <c r="B10283" s="1" t="s">
        <v>10207</v>
      </c>
      <c r="C10283" t="str">
        <f>IFERROR(__xludf.DUMMYFUNCTION("GOOGLETRANSLATE(B10283, ""zh"", ""en"")"),"Overall satisfaction, in the perfect packaging in general. Before bought a pair of shoes to buy according to size, not only the pressure of feet, but also relatively short, this time to buy according to the size of Nike, a little longer but it does not pu"&amp;"sh the instep, the width of the right. Amazon since the domestic parcel after half, this package had no liking.")</f>
        <v>Overall satisfaction, in the perfect packaging in general. Before bought a pair of shoes to buy according to size, not only the pressure of feet, but also relatively short, this time to buy according to the size of Nike, a little longer but it does not push the instep, the width of the right. Amazon since the domestic parcel after half, this package had no liking.</v>
      </c>
    </row>
    <row r="10284">
      <c r="A10284" s="1">
        <v>5.0</v>
      </c>
      <c r="B10284" s="1" t="s">
        <v>10208</v>
      </c>
      <c r="C10284" t="str">
        <f>IFERROR(__xludf.DUMMYFUNCTION("GOOGLETRANSLATE(B10284, ""zh"", ""en"")"),"Happy shopping time shopping very satisfied, good-looking style, wearing comfortable, I really like a pair of shoes.")</f>
        <v>Happy shopping time shopping very satisfied, good-looking style, wearing comfortable, I really like a pair of shoes.</v>
      </c>
    </row>
    <row r="10285">
      <c r="A10285" s="1">
        <v>5.0</v>
      </c>
      <c r="B10285" s="1" t="s">
        <v>10209</v>
      </c>
      <c r="C10285" t="str">
        <f>IFERROR(__xludf.DUMMYFUNCTION("GOOGLETRANSLATE(B10285, ""zh"", ""en"")"),"Good fabric is very good, the version look good, standard code! Inexpensive")</f>
        <v>Good fabric is very good, the version look good, standard code! Inexpensive</v>
      </c>
    </row>
    <row r="10286">
      <c r="A10286" s="1">
        <v>5.0</v>
      </c>
      <c r="B10286" s="1" t="s">
        <v>10210</v>
      </c>
      <c r="C10286" t="str">
        <f>IFERROR(__xludf.DUMMYFUNCTION("GOOGLETRANSLATE(B10286, ""zh"", ""en"")"),"Perfect, I do not want to amazon.cn yellow perfect, I do not want to amazon.cn yellow")</f>
        <v>Perfect, I do not want to amazon.cn yellow perfect, I do not want to amazon.cn yellow</v>
      </c>
    </row>
    <row r="10287">
      <c r="A10287" s="1">
        <v>5.0</v>
      </c>
      <c r="B10287" s="1" t="s">
        <v>10211</v>
      </c>
      <c r="C10287" t="str">
        <f>IFERROR(__xludf.DUMMYFUNCTION("GOOGLETRANSLATE(B10287, ""zh"", ""en"")"),"Amazon is willing to international purchasing and touched again very much satisfied with the same quality and the store counter. We look forward to working again.")</f>
        <v>Amazon is willing to international purchasing and touched again very much satisfied with the same quality and the store counter. We look forward to working again.</v>
      </c>
    </row>
    <row r="10288">
      <c r="A10288" s="1">
        <v>5.0</v>
      </c>
      <c r="B10288" s="1" t="s">
        <v>10212</v>
      </c>
      <c r="C10288" t="str">
        <f>IFERROR(__xludf.DUMMYFUNCTION("GOOGLETRANSLATE(B10288, ""zh"", ""en"")"),"Shoes to wear very comfortable shoes to wear very comfortable, very bag legs")</f>
        <v>Shoes to wear very comfortable shoes to wear very comfortable, very bag legs</v>
      </c>
    </row>
    <row r="10289">
      <c r="A10289" s="1">
        <v>5.0</v>
      </c>
      <c r="B10289" s="1" t="s">
        <v>10213</v>
      </c>
      <c r="C10289" t="str">
        <f>IFERROR(__xludf.DUMMYFUNCTION("GOOGLETRANSLATE(B10289, ""zh"", ""en"")"),"He wrote about good, very good use, but really not very good packaging, boxes are crushed, logistics faster than estimated. What are the Japanese specification, it should be genuine! First purchase lamy, I feel pretty good.")</f>
        <v>He wrote about good, very good use, but really not very good packaging, boxes are crushed, logistics faster than estimated. What are the Japanese specification, it should be genuine! First purchase lamy, I feel pretty good.</v>
      </c>
    </row>
    <row r="10290">
      <c r="A10290" s="1">
        <v>5.0</v>
      </c>
      <c r="B10290" s="1" t="s">
        <v>10214</v>
      </c>
      <c r="C10290" t="str">
        <f>IFERROR(__xludf.DUMMYFUNCTION("GOOGLETRANSLATE(B10290, ""zh"", ""en"")"),"High power boil water fast, although the introductory paragraph, but still boil water quickly, big power. Just sea Amoy appliance warranty is a problem in the future")</f>
        <v>High power boil water fast, although the introductory paragraph, but still boil water quickly, big power. Just sea Amoy appliance warranty is a problem in the future</v>
      </c>
    </row>
    <row r="10291">
      <c r="A10291" s="1">
        <v>5.0</v>
      </c>
      <c r="B10291" s="1" t="s">
        <v>10215</v>
      </c>
      <c r="C10291" t="str">
        <f>IFERROR(__xludf.DUMMYFUNCTION("GOOGLETRANSLATE(B10291, ""zh"", ""en"")"),"Cheap packaging good, work well, comfortable fabrics. Left chest logo is embroidered.")</f>
        <v>Cheap packaging good, work well, comfortable fabrics. Left chest logo is embroidered.</v>
      </c>
    </row>
    <row r="10292">
      <c r="A10292" s="1">
        <v>5.0</v>
      </c>
      <c r="B10292" s="1" t="s">
        <v>10216</v>
      </c>
      <c r="C10292" t="str">
        <f>IFERROR(__xludf.DUMMYFUNCTION("GOOGLETRANSLATE(B10292, ""zh"", ""en"")"),"30W29 This is a little elastic pants, these pants suits me 172CM, 70KG. This is a standard straight pants, I wear thick calf compare absolute satisfaction, super fit. Last point is the origin of Mexico's pants")</f>
        <v>30W29 This is a little elastic pants, these pants suits me 172CM, 70KG. This is a standard straight pants, I wear thick calf compare absolute satisfaction, super fit. Last point is the origin of Mexico's pants</v>
      </c>
    </row>
    <row r="10293">
      <c r="A10293" s="1">
        <v>5.0</v>
      </c>
      <c r="B10293" s="1" t="s">
        <v>10217</v>
      </c>
      <c r="C10293" t="str">
        <f>IFERROR(__xludf.DUMMYFUNCTION("GOOGLETRANSLATE(B10293, ""zh"", ""en"")"),"Get the goods on the demolition, put black group NAS, the annual output of 2019, helium disk is a new model, do not cheat paste can be used. Get the goods on the demolition, put black group NAS, the annual output of 2019, helium disk is a new model, do no"&amp;"t cheat paste can be used.")</f>
        <v>Get the goods on the demolition, put black group NAS, the annual output of 2019, helium disk is a new model, do not cheat paste can be used. Get the goods on the demolition, put black group NAS, the annual output of 2019, helium disk is a new model, do not cheat paste can be used.</v>
      </c>
    </row>
    <row r="10294">
      <c r="A10294" s="1">
        <v>5.0</v>
      </c>
      <c r="B10294" s="1" t="s">
        <v>10218</v>
      </c>
      <c r="C10294" t="str">
        <f>IFERROR(__xludf.DUMMYFUNCTION("GOOGLETRANSLATE(B10294, ""zh"", ""en"")"),"Very good Jordanian origin. Chemical fiber fabrics half cotton half, feel very comfortable to wear, work is nothing to say. I 175cm75kg moderate Asian body length too fat to wear M are appropriate, some commentators do not know how to pick the numbers. Me"&amp;"dium thickness, Beijing Spring and autumn are very appropriate.")</f>
        <v>Very good Jordanian origin. Chemical fiber fabrics half cotton half, feel very comfortable to wear, work is nothing to say. I 175cm75kg moderate Asian body length too fat to wear M are appropriate, some commentators do not know how to pick the numbers. Medium thickness, Beijing Spring and autumn are very appropriate.</v>
      </c>
    </row>
    <row r="10295">
      <c r="A10295" s="1">
        <v>5.0</v>
      </c>
      <c r="B10295" s="1" t="s">
        <v>10219</v>
      </c>
      <c r="C10295" t="str">
        <f>IFERROR(__xludf.DUMMYFUNCTION("GOOGLETRANSLATE(B10295, ""zh"", ""en"")"),"I liked it very much, 15 years playing abroad when he home a pair of manpower. Genjiao significant comfort small feet.")</f>
        <v>I liked it very much, 15 years playing abroad when he home a pair of manpower. Genjiao significant comfort small feet.</v>
      </c>
    </row>
    <row r="10296">
      <c r="A10296" s="1">
        <v>5.0</v>
      </c>
      <c r="B10296" s="1" t="s">
        <v>10220</v>
      </c>
      <c r="C10296" t="str">
        <f>IFERROR(__xludf.DUMMYFUNCTION("GOOGLETRANSLATE(B10296, ""zh"", ""en"")"),"Inexpensive, good things, worth buying. Really good quality affordable, good things, worth buying. Really good quality")</f>
        <v>Inexpensive, good things, worth buying. Really good quality affordable, good things, worth buying. Really good quality</v>
      </c>
    </row>
    <row r="10297">
      <c r="A10297" s="1">
        <v>5.0</v>
      </c>
      <c r="B10297" s="1" t="s">
        <v>10221</v>
      </c>
      <c r="C10297" t="str">
        <f>IFERROR(__xludf.DUMMYFUNCTION("GOOGLETRANSLATE(B10297, ""zh"", ""en"")"),"Suitable great, very appropriate, quality is very good, very satisfied.")</f>
        <v>Suitable great, very appropriate, quality is very good, very satisfied.</v>
      </c>
    </row>
    <row r="10298">
      <c r="A10298" s="1">
        <v>2.0</v>
      </c>
      <c r="B10298" s="1" t="s">
        <v>10222</v>
      </c>
      <c r="C10298" t="str">
        <f>IFERROR(__xludf.DUMMYFUNCTION("GOOGLETRANSLATE(B10298, ""zh"", ""en"")"),"Size is too large, choose a smaller size version of the long section loose. Dress is loose. Note the size of election time. Thicker than cotton fabrics in general, it should be very durable. Pattern is offset, apart from anything else take my mother to wa"&amp;"sh, then wash trademarks broken! ! ! ! ! ! Broken! ! ! ! ! I once did not wear ah, this is to do it the old process?")</f>
        <v>Size is too large, choose a smaller size version of the long section loose. Dress is loose. Note the size of election time. Thicker than cotton fabrics in general, it should be very durable. Pattern is offset, apart from anything else take my mother to wash, then wash trademarks broken! ! ! ! ! ! Broken! ! ! ! ! I once did not wear ah, this is to do it the old process?</v>
      </c>
    </row>
    <row r="10299">
      <c r="A10299" s="1">
        <v>3.0</v>
      </c>
      <c r="B10299" s="1" t="s">
        <v>10223</v>
      </c>
      <c r="C10299" t="str">
        <f>IFERROR(__xludf.DUMMYFUNCTION("GOOGLETRANSLATE(B10299, ""zh"", ""en"")"),"Too small, too small, too small, too small, not just for adults with children.")</f>
        <v>Too small, too small, too small, too small, not just for adults with children.</v>
      </c>
    </row>
    <row r="10300">
      <c r="A10300" s="1">
        <v>3.0</v>
      </c>
      <c r="B10300" s="1" t="s">
        <v>10224</v>
      </c>
      <c r="C10300" t="str">
        <f>IFERROR(__xludf.DUMMYFUNCTION("GOOGLETRANSLATE(B10300, ""zh"", ""en"")"),"Buy big buy big")</f>
        <v>Buy big buy big</v>
      </c>
    </row>
    <row r="10301">
      <c r="A10301" s="1">
        <v>1.0</v>
      </c>
      <c r="B10301" s="1" t="s">
        <v>10225</v>
      </c>
      <c r="C10301" t="str">
        <f>IFERROR(__xludf.DUMMYFUNCTION("GOOGLETRANSLATE(B10301, ""zh"", ""en"")"),"Before the product is not the same as the previous buy goods with a difference, not before the good, and wrapped capsule rind tastes changed. If it later still the smell will not be purchased.")</f>
        <v>Before the product is not the same as the previous buy goods with a difference, not before the good, and wrapped capsule rind tastes changed. If it later still the smell will not be purchased.</v>
      </c>
    </row>
    <row r="10302">
      <c r="A10302" s="1">
        <v>1.0</v>
      </c>
      <c r="B10302" s="1" t="s">
        <v>10226</v>
      </c>
      <c r="C10302" t="str">
        <f>IFERROR(__xludf.DUMMYFUNCTION("GOOGLETRANSLATE(B10302, ""zh"", ""en"")"),"Poor little work to spread the goods feeling ......")</f>
        <v>Poor little work to spread the goods feeling ......</v>
      </c>
    </row>
    <row r="10303">
      <c r="A10303" s="1">
        <v>4.0</v>
      </c>
      <c r="B10303" s="1" t="s">
        <v>10227</v>
      </c>
      <c r="C10303" t="str">
        <f>IFERROR(__xludf.DUMMYFUNCTION("GOOGLETRANSLATE(B10303, ""zh"", ""en"")"),"Ear clip a little low-frequency contrast is the strongest I've ever used Baia is indeed popular for the only not for me is big, just clip a little pain in my ear, a few years ago used Sennheiser comfort")</f>
        <v>Ear clip a little low-frequency contrast is the strongest I've ever used Baia is indeed popular for the only not for me is big, just clip a little pain in my ear, a few years ago used Sennheiser comfort</v>
      </c>
    </row>
    <row r="10304">
      <c r="A10304" s="1">
        <v>4.0</v>
      </c>
      <c r="B10304" s="1" t="s">
        <v>10228</v>
      </c>
      <c r="C10304" t="str">
        <f>IFERROR(__xludf.DUMMYFUNCTION("GOOGLETRANSLATE(B10304, ""zh"", ""en"")"),"Can also effect can be, consistent with price")</f>
        <v>Can also effect can be, consistent with price</v>
      </c>
    </row>
    <row r="10305">
      <c r="A10305" s="1">
        <v>4.0</v>
      </c>
      <c r="B10305" s="1" t="s">
        <v>10229</v>
      </c>
      <c r="C10305" t="str">
        <f>IFERROR(__xludf.DUMMYFUNCTION("GOOGLETRANSLATE(B10305, ""zh"", ""en"")"),"Size is too large colors look good, inside pilling, lot size is too large, 174CM80kg wear M code big, too wide mainly to see the sleeves too long. United States Code M corresponds Asian yards XL, S code feel more appropriate. In addition, it is too large "&amp;"the effect of wearing, female than male wearing a good-looking to wear")</f>
        <v>Size is too large colors look good, inside pilling, lot size is too large, 174CM80kg wear M code big, too wide mainly to see the sleeves too long. United States Code M corresponds Asian yards XL, S code feel more appropriate. In addition, it is too large the effect of wearing, female than male wearing a good-looking to wear</v>
      </c>
    </row>
    <row r="10306">
      <c r="A10306" s="1">
        <v>4.0</v>
      </c>
      <c r="B10306" s="1" t="s">
        <v>10230</v>
      </c>
      <c r="C10306" t="str">
        <f>IFERROR(__xludf.DUMMYFUNCTION("GOOGLETRANSLATE(B10306, ""zh"", ""en"")"),"No. M clothes, or big, affordable")</f>
        <v>No. M clothes, or big, affordable</v>
      </c>
    </row>
    <row r="10307">
      <c r="A10307" s="1">
        <v>4.0</v>
      </c>
      <c r="B10307" s="1" t="s">
        <v>10231</v>
      </c>
      <c r="C10307" t="str">
        <f>IFERROR(__xludf.DUMMYFUNCTION("GOOGLETRANSLATE(B10307, ""zh"", ""en"")"),"General strap looks very beautiful, is strap in general, to go up louder")</f>
        <v>General strap looks very beautiful, is strap in general, to go up louder</v>
      </c>
    </row>
    <row r="10308">
      <c r="A10308" s="1">
        <v>5.0</v>
      </c>
      <c r="B10308" s="1" t="s">
        <v>10232</v>
      </c>
      <c r="C10308" t="str">
        <f>IFERROR(__xludf.DUMMYFUNCTION("GOOGLETRANSLATE(B10308, ""zh"", ""en"")"),"excellent! ! ! ! Especially particularly like, back to do a few times, and needs with a transformer, Taobao more than 200 dollars it has done many times, there is no problem")</f>
        <v>excellent! ! ! ! Especially particularly like, back to do a few times, and needs with a transformer, Taobao more than 200 dollars it has done many times, there is no problem</v>
      </c>
    </row>
    <row r="10309">
      <c r="A10309" s="1">
        <v>5.0</v>
      </c>
      <c r="B10309" s="1" t="s">
        <v>10233</v>
      </c>
      <c r="C10309" t="str">
        <f>IFERROR(__xludf.DUMMYFUNCTION("GOOGLETRANSLATE(B10309, ""zh"", ""en"")"),"Good friends are like, five-star praise ah ha ha ha")</f>
        <v>Good friends are like, five-star praise ah ha ha ha</v>
      </c>
    </row>
    <row r="10310">
      <c r="A10310" s="1">
        <v>5.0</v>
      </c>
      <c r="B10310" s="1" t="s">
        <v>10234</v>
      </c>
      <c r="C10310" t="str">
        <f>IFERROR(__xludf.DUMMYFUNCTION("GOOGLETRANSLATE(B10310, ""zh"", ""en"")"),"Yes, very comfortable 165,65kg, xs appropriate")</f>
        <v>Yes, very comfortable 165,65kg, xs appropriate</v>
      </c>
    </row>
    <row r="10311">
      <c r="A10311" s="1">
        <v>5.0</v>
      </c>
      <c r="B10311" s="1" t="s">
        <v>10235</v>
      </c>
      <c r="C10311" t="str">
        <f>IFERROR(__xludf.DUMMYFUNCTION("GOOGLETRANSLATE(B10311, ""zh"", ""en"")"),"Very appropriate I 181cm, 78kg, M code just right, clothing material is very comfortable.")</f>
        <v>Very appropriate I 181cm, 78kg, M code just right, clothing material is very comfortable.</v>
      </c>
    </row>
    <row r="10312">
      <c r="A10312" s="1">
        <v>5.0</v>
      </c>
      <c r="B10312" s="1" t="s">
        <v>10236</v>
      </c>
      <c r="C10312" t="str">
        <f>IFERROR(__xludf.DUMMYFUNCTION("GOOGLETRANSLATE(B10312, ""zh"", ""en"")"),"Cost is very high! Product design, workmanship, connotation are excellent, cost is very high! Amazon's overseas purchase awesome")</f>
        <v>Cost is very high! Product design, workmanship, connotation are excellent, cost is very high! Amazon's overseas purchase awesome</v>
      </c>
    </row>
    <row r="10313">
      <c r="A10313" s="1">
        <v>5.0</v>
      </c>
      <c r="B10313" s="1" t="s">
        <v>10237</v>
      </c>
      <c r="C10313" t="str">
        <f>IFERROR(__xludf.DUMMYFUNCTION("GOOGLETRANSLATE(B10313, ""zh"", ""en"")"),"China Product Logistics is really Mana! With 10 days! To turn the country through courier! Packaging worse, we have an opening, and a layer of plastic film which has better fixed! Test no problem! Cheaper than domestic prices more than 300! Also, write on"&amp;" the hard disk of Chinese products!")</f>
        <v>China Product Logistics is really Mana! With 10 days! To turn the country through courier! Packaging worse, we have an opening, and a layer of plastic film which has better fixed! Test no problem! Cheaper than domestic prices more than 300! Also, write on the hard disk of Chinese products!</v>
      </c>
    </row>
    <row r="10314">
      <c r="A10314" s="1">
        <v>5.0</v>
      </c>
      <c r="B10314" s="1" t="s">
        <v>10238</v>
      </c>
      <c r="C10314" t="str">
        <f>IFERROR(__xludf.DUMMYFUNCTION("GOOGLETRANSLATE(B10314, ""zh"", ""en"")"),"Genuine excellent prices SanDisk Warranty, bought directly registered, compared to the price of domestic great advantage, Prime membership is very value, if purchased abroad Amazon better after-sale again, competition is not general, ah, the threshold is "&amp;"It will be much reduced.")</f>
        <v>Genuine excellent prices SanDisk Warranty, bought directly registered, compared to the price of domestic great advantage, Prime membership is very value, if purchased abroad Amazon better after-sale again, competition is not general, ah, the threshold is It will be much reduced.</v>
      </c>
    </row>
    <row r="10315">
      <c r="A10315" s="1">
        <v>5.0</v>
      </c>
      <c r="B10315" s="1" t="s">
        <v>10239</v>
      </c>
      <c r="C10315" t="str">
        <f>IFERROR(__xludf.DUMMYFUNCTION("GOOGLETRANSLATE(B10315, ""zh"", ""en"")"),"The thousands strongest first title in computer headset Direct Push is misleading, at least integrated sound card is absolutely impossible with the front end of the hud-mx1, great effect")</f>
        <v>The thousands strongest first title in computer headset Direct Push is misleading, at least integrated sound card is absolutely impossible with the front end of the hud-mx1, great effect</v>
      </c>
    </row>
    <row r="10316">
      <c r="A10316" s="1">
        <v>5.0</v>
      </c>
      <c r="B10316" s="1" t="s">
        <v>10240</v>
      </c>
      <c r="C10316" t="str">
        <f>IFERROR(__xludf.DUMMYFUNCTION("GOOGLETRANSLATE(B10316, ""zh"", ""en"")"),"Something good to say ah, logistics is also good. Something good to say ah, logistics is also good. Two cups, very good to say ah. Son liked.")</f>
        <v>Something good to say ah, logistics is also good. Something good to say ah, logistics is also good. Two cups, very good to say ah. Son liked.</v>
      </c>
    </row>
    <row r="10317">
      <c r="A10317" s="1">
        <v>5.0</v>
      </c>
      <c r="B10317" s="1" t="s">
        <v>10241</v>
      </c>
      <c r="C10317" t="str">
        <f>IFERROR(__xludf.DUMMYFUNCTION("GOOGLETRANSLATE(B10317, ""zh"", ""en"")"),"Comfortable warm good, very comfortable, bought two, the southern winter winter")</f>
        <v>Comfortable warm good, very comfortable, bought two, the southern winter winter</v>
      </c>
    </row>
    <row r="10318">
      <c r="A10318" s="1">
        <v>5.0</v>
      </c>
      <c r="B10318" s="1" t="s">
        <v>10242</v>
      </c>
      <c r="C10318" t="str">
        <f>IFERROR(__xludf.DUMMYFUNCTION("GOOGLETRANSLATE(B10318, ""zh"", ""en"")"),"Very good strong suction is not afraid to throw touch in favor of training")</f>
        <v>Very good strong suction is not afraid to throw touch in favor of training</v>
      </c>
    </row>
    <row r="10319">
      <c r="A10319" s="1">
        <v>5.0</v>
      </c>
      <c r="B10319" s="1" t="s">
        <v>10243</v>
      </c>
      <c r="C10319" t="str">
        <f>IFERROR(__xludf.DUMMYFUNCTION("GOOGLETRANSLATE(B10319, ""zh"", ""en"")"),"Comfortable and very comfortable underwear, wearing no sense of restraint")</f>
        <v>Comfortable and very comfortable underwear, wearing no sense of restraint</v>
      </c>
    </row>
    <row r="10320">
      <c r="A10320" s="1">
        <v>5.0</v>
      </c>
      <c r="B10320" s="1" t="s">
        <v>10244</v>
      </c>
      <c r="C10320" t="str">
        <f>IFERROR(__xludf.DUMMYFUNCTION("GOOGLETRANSLATE(B10320, ""zh"", ""en"")"),"Comfortable to wear very comfortable, made in India")</f>
        <v>Comfortable to wear very comfortable, made in India</v>
      </c>
    </row>
    <row r="10321">
      <c r="A10321" s="1">
        <v>5.0</v>
      </c>
      <c r="B10321" s="1" t="s">
        <v>10245</v>
      </c>
      <c r="C10321" t="str">
        <f>IFERROR(__xludf.DUMMYFUNCTION("GOOGLETRANSLATE(B10321, ""zh"", ""en"")"),"My height is 170 recommended size, slim! Tight feeling like effect buy xs, s buy loose effect")</f>
        <v>My height is 170 recommended size, slim! Tight feeling like effect buy xs, s buy loose effect</v>
      </c>
    </row>
    <row r="10322">
      <c r="A10322" s="1">
        <v>5.0</v>
      </c>
      <c r="B10322" s="1" t="s">
        <v>10246</v>
      </c>
      <c r="C10322" t="str">
        <f>IFERROR(__xludf.DUMMYFUNCTION("GOOGLETRANSLATE(B10322, ""zh"", ""en"")"),"Good quality trousers a bit small, but fairly comfortable to wear")</f>
        <v>Good quality trousers a bit small, but fairly comfortable to wear</v>
      </c>
    </row>
    <row r="10323">
      <c r="A10323" s="1">
        <v>5.0</v>
      </c>
      <c r="B10323" s="1" t="s">
        <v>10247</v>
      </c>
      <c r="C10323" t="str">
        <f>IFERROR(__xludf.DUMMYFUNCTION("GOOGLETRANSLATE(B10323, ""zh"", ""en"")"),"I like how it can Jiabao like to use, it should be genuine it.")</f>
        <v>I like how it can Jiabao like to use, it should be genuine it.</v>
      </c>
    </row>
    <row r="10324">
      <c r="A10324" s="1">
        <v>5.0</v>
      </c>
      <c r="B10324" s="1" t="s">
        <v>10248</v>
      </c>
      <c r="C10324" t="str">
        <f>IFERROR(__xludf.DUMMYFUNCTION("GOOGLETRANSLATE(B10324, ""zh"", ""en"")"),"Good luck strongly recommended to buy, buy the winner.")</f>
        <v>Good luck strongly recommended to buy, buy the winner.</v>
      </c>
    </row>
    <row r="10325">
      <c r="A10325" s="1">
        <v>5.0</v>
      </c>
      <c r="B10325" s="1" t="s">
        <v>10249</v>
      </c>
      <c r="C10325" t="str">
        <f>IFERROR(__xludf.DUMMYFUNCTION("GOOGLETRANSLATE(B10325, ""zh"", ""en"")"),"Good quality is good, the price is right")</f>
        <v>Good quality is good, the price is right</v>
      </c>
    </row>
    <row r="10326">
      <c r="A10326" s="1">
        <v>5.0</v>
      </c>
      <c r="B10326" s="1" t="s">
        <v>10250</v>
      </c>
      <c r="C10326" t="str">
        <f>IFERROR(__xludf.DUMMYFUNCTION("GOOGLETRANSLATE(B10326, ""zh"", ""en"")"),"Very comfortable do not know what the reasons have not been contacted customer service to confirm delivery of the shipments was normal although waited so long to get our hands on feel worthy received but the packaging super good sleeping bag Nichia impecc"&amp;"able workmanship feel comfortable with their own wants a")</f>
        <v>Very comfortable do not know what the reasons have not been contacted customer service to confirm delivery of the shipments was normal although waited so long to get our hands on feel worthy received but the packaging super good sleeping bag Nichia impeccable workmanship feel comfortable with their own wants a</v>
      </c>
    </row>
    <row r="10327">
      <c r="A10327" s="1">
        <v>5.0</v>
      </c>
      <c r="B10327" s="1" t="s">
        <v>6683</v>
      </c>
      <c r="C10327" t="str">
        <f>IFERROR(__xludf.DUMMYFUNCTION("GOOGLETRANSLATE(B10327, ""zh"", ""en"")"),"Suitable comfortable very comfortable, very suitable to buy")</f>
        <v>Suitable comfortable very comfortable, very suitable to buy</v>
      </c>
    </row>
    <row r="10328">
      <c r="A10328" s="1">
        <v>5.0</v>
      </c>
      <c r="B10328" s="1" t="s">
        <v>10251</v>
      </c>
      <c r="C10328" t="str">
        <f>IFERROR(__xludf.DUMMYFUNCTION("GOOGLETRANSLATE(B10328, ""zh"", ""en"")"),"Good work inexpensive, good stainless steel")</f>
        <v>Good work inexpensive, good stainless steel</v>
      </c>
    </row>
    <row r="10329">
      <c r="A10329" s="1">
        <v>5.0</v>
      </c>
      <c r="B10329" s="1" t="s">
        <v>10252</v>
      </c>
      <c r="C10329" t="str">
        <f>IFERROR(__xludf.DUMMYFUNCTION("GOOGLETRANSLATE(B10329, ""zh"", ""en"")"),"Just start with headphones, look forward to good effect not burn. Logistics pretty fast, even behind, headphones sound not listen carefully, looking forward to have good results, high cost something, a little flaw on ear headphones.")</f>
        <v>Just start with headphones, look forward to good effect not burn. Logistics pretty fast, even behind, headphones sound not listen carefully, looking forward to have good results, high cost something, a little flaw on ear headphones.</v>
      </c>
    </row>
    <row r="10330">
      <c r="A10330" s="1">
        <v>2.0</v>
      </c>
      <c r="B10330" s="1" t="s">
        <v>10253</v>
      </c>
      <c r="C10330" t="str">
        <f>IFERROR(__xludf.DUMMYFUNCTION("GOOGLETRANSLATE(B10330, ""zh"", ""en"")"),"Color seriously. Among other things, this color is too serious flaws.")</f>
        <v>Color seriously. Among other things, this color is too serious flaws.</v>
      </c>
    </row>
    <row r="10331">
      <c r="A10331" s="1">
        <v>3.0</v>
      </c>
      <c r="B10331" s="1" t="s">
        <v>10254</v>
      </c>
      <c r="C10331" t="str">
        <f>IFERROR(__xludf.DUMMYFUNCTION("GOOGLETRANSLATE(B10331, ""zh"", ""en"")"),"Not bad wrap thigh wrapped thigh, wear twice already can not hold the thigh. And the purchase of rice crackers feeling is not the same ah")</f>
        <v>Not bad wrap thigh wrapped thigh, wear twice already can not hold the thigh. And the purchase of rice crackers feeling is not the same ah</v>
      </c>
    </row>
    <row r="10332">
      <c r="A10332" s="1">
        <v>3.0</v>
      </c>
      <c r="B10332" s="1" t="s">
        <v>10255</v>
      </c>
      <c r="C10332" t="str">
        <f>IFERROR(__xludf.DUMMYFUNCTION("GOOGLETRANSLATE(B10332, ""zh"", ""en"")"),"Too lazy to return, too troublesome basic models underwear, do not gather, the effect is very general")</f>
        <v>Too lazy to return, too troublesome basic models underwear, do not gather, the effect is very general</v>
      </c>
    </row>
    <row r="10333">
      <c r="A10333" s="1">
        <v>1.0</v>
      </c>
      <c r="B10333" s="1" t="s">
        <v>10256</v>
      </c>
      <c r="C10333" t="str">
        <f>IFERROR(__xludf.DUMMYFUNCTION("GOOGLETRANSLATE(B10333, ""zh"", ""en"")"),"Return too,")</f>
        <v>Return too,</v>
      </c>
    </row>
    <row r="10334">
      <c r="A10334" s="1">
        <v>1.0</v>
      </c>
      <c r="B10334" s="1" t="s">
        <v>10257</v>
      </c>
      <c r="C10334" t="str">
        <f>IFERROR(__xludf.DUMMYFUNCTION("GOOGLETRANSLATE(B10334, ""zh"", ""en"")"),"I used to buy with flour is not the same, and are bought in the Amazon. I used to buy a jar high point, low point now. Packaging has changed, the previous pink is pink now is creamy white, before there is no security now. Sale of counterfeits is it?")</f>
        <v>I used to buy with flour is not the same, and are bought in the Amazon. I used to buy a jar high point, low point now. Packaging has changed, the previous pink is pink now is creamy white, before there is no security now. Sale of counterfeits is it?</v>
      </c>
    </row>
    <row r="10335">
      <c r="A10335" s="1">
        <v>1.0</v>
      </c>
      <c r="B10335" s="1" t="s">
        <v>10258</v>
      </c>
      <c r="C10335" t="str">
        <f>IFERROR(__xludf.DUMMYFUNCTION("GOOGLETRANSLATE(B10335, ""zh"", ""en"")"),"Open plastic is very serious, and there is no sale! Shoes are rubbish, open plastic is very serious, and later the sisters do not buy, buy to step on mine!")</f>
        <v>Open plastic is very serious, and there is no sale! Shoes are rubbish, open plastic is very serious, and later the sisters do not buy, buy to step on mine!</v>
      </c>
    </row>
    <row r="10336">
      <c r="A10336" s="1">
        <v>4.0</v>
      </c>
      <c r="B10336" s="1" t="s">
        <v>10259</v>
      </c>
      <c r="C10336" t="str">
        <f>IFERROR(__xludf.DUMMYFUNCTION("GOOGLETRANSLATE(B10336, ""zh"", ""en"")"),"Fortunately, the overall pants really hard, not easy to take care of the dirty")</f>
        <v>Fortunately, the overall pants really hard, not easy to take care of the dirty</v>
      </c>
    </row>
    <row r="10337">
      <c r="A10337" s="1">
        <v>4.0</v>
      </c>
      <c r="B10337" s="1" t="s">
        <v>10260</v>
      </c>
      <c r="C10337" t="str">
        <f>IFERROR(__xludf.DUMMYFUNCTION("GOOGLETRANSLATE(B10337, ""zh"", ""en"")"),"Too much cotton fabrics, feel good, that is too big, was originally bought for her husband, he wore 173.78kg of domestic ck l is appropriate, this huge, see the same contrast difference of ...... l had to give I 182,90kg's brother")</f>
        <v>Too much cotton fabrics, feel good, that is too big, was originally bought for her husband, he wore 173.78kg of domestic ck l is appropriate, this huge, see the same contrast difference of ...... l had to give I 182,90kg's brother</v>
      </c>
    </row>
    <row r="10338">
      <c r="A10338" s="1">
        <v>4.0</v>
      </c>
      <c r="B10338" s="1" t="s">
        <v>10261</v>
      </c>
      <c r="C10338" t="str">
        <f>IFERROR(__xludf.DUMMYFUNCTION("GOOGLETRANSLATE(B10338, ""zh"", ""en"")"),"Recommended for 4½ spring and autumn wear appropriate upper body feeling better than another zipper to buy!")</f>
        <v>Recommended for 4½ spring and autumn wear appropriate upper body feeling better than another zipper to buy!</v>
      </c>
    </row>
    <row r="10339">
      <c r="A10339" s="1">
        <v>4.0</v>
      </c>
      <c r="B10339" s="1" t="s">
        <v>8236</v>
      </c>
      <c r="C10339" t="str">
        <f>IFERROR(__xludf.DUMMYFUNCTION("GOOGLETRANSLATE(B10339, ""zh"", ""en"")"),"Particularly good you can refer to 168,110 pounds")</f>
        <v>Particularly good you can refer to 168,110 pounds</v>
      </c>
    </row>
    <row r="10340">
      <c r="A10340" s="1">
        <v>4.0</v>
      </c>
      <c r="B10340" s="1" t="s">
        <v>10262</v>
      </c>
      <c r="C10340" t="str">
        <f>IFERROR(__xludf.DUMMYFUNCTION("GOOGLETRANSLATE(B10340, ""zh"", ""en"")"),"Slightly longer cortex good, prices generally, usually wear pants W29-30, and the buckle of the most tight hole or a little loose")</f>
        <v>Slightly longer cortex good, prices generally, usually wear pants W29-30, and the buckle of the most tight hole or a little loose</v>
      </c>
    </row>
    <row r="10341">
      <c r="A10341" s="1">
        <v>5.0</v>
      </c>
      <c r="B10341" s="1" t="s">
        <v>10263</v>
      </c>
      <c r="C10341" t="str">
        <f>IFERROR(__xludf.DUMMYFUNCTION("GOOGLETRANSLATE(B10341, ""zh"", ""en"")"),"Size just right size")</f>
        <v>Size just right size</v>
      </c>
    </row>
    <row r="10342">
      <c r="A10342" s="1">
        <v>5.0</v>
      </c>
      <c r="B10342" s="1" t="s">
        <v>10264</v>
      </c>
      <c r="C10342" t="str">
        <f>IFERROR(__xludf.DUMMYFUNCTION("GOOGLETRANSLATE(B10342, ""zh"", ""en"")"),"Craft, read and write speed is great! Workmanship, read and write speed is great!")</f>
        <v>Craft, read and write speed is great! Workmanship, read and write speed is great!</v>
      </c>
    </row>
    <row r="10343">
      <c r="A10343" s="1">
        <v>5.0</v>
      </c>
      <c r="B10343" s="1" t="s">
        <v>10265</v>
      </c>
      <c r="C10343" t="str">
        <f>IFERROR(__xludf.DUMMYFUNCTION("GOOGLETRANSLATE(B10343, ""zh"", ""en"")"),"Looks like a very powerful feature, wait for me to reveal a face under study, low-key color, looks very complex, high-value color so I let them go. And so on with a sister paper to the beach to see the ebb and flow of children!")</f>
        <v>Looks like a very powerful feature, wait for me to reveal a face under study, low-key color, looks very complex, high-value color so I let them go. And so on with a sister paper to the beach to see the ebb and flow of children!</v>
      </c>
    </row>
    <row r="10344">
      <c r="A10344" s="1">
        <v>5.0</v>
      </c>
      <c r="B10344" s="1" t="s">
        <v>10266</v>
      </c>
      <c r="C10344" t="str">
        <f>IFERROR(__xludf.DUMMYFUNCTION("GOOGLETRANSLATE(B10344, ""zh"", ""en"")"),"Good quality, fit! Quality can, 171Cm / 69kg, 31/30 is appropriate, slightly longer than a small point, the first to wear a period of time to say!")</f>
        <v>Good quality, fit! Quality can, 171Cm / 69kg, 31/30 is appropriate, slightly longer than a small point, the first to wear a period of time to say!</v>
      </c>
    </row>
    <row r="10345">
      <c r="A10345" s="1">
        <v>5.0</v>
      </c>
      <c r="B10345" s="1" t="s">
        <v>10267</v>
      </c>
      <c r="C10345" t="str">
        <f>IFERROR(__xludf.DUMMYFUNCTION("GOOGLETRANSLATE(B10345, ""zh"", ""en"")"),"Satisfied with the relatively thin, just right for summer wear. Vietnamese, quality okay. 168,85 kg body, L number (Found Chest 106, Length 71) fit perfectly. Amazon sea purchase certain risks (return too much trouble), the seller generally do not have a "&amp;"detailed and accurate description of the size (this issue to the Amazon raised many times, long-term observations, almost no improvement).")</f>
        <v>Satisfied with the relatively thin, just right for summer wear. Vietnamese, quality okay. 168,85 kg body, L number (Found Chest 106, Length 71) fit perfectly. Amazon sea purchase certain risks (return too much trouble), the seller generally do not have a detailed and accurate description of the size (this issue to the Amazon raised many times, long-term observations, almost no improvement).</v>
      </c>
    </row>
    <row r="10346">
      <c r="A10346" s="1">
        <v>5.0</v>
      </c>
      <c r="B10346" s="1" t="s">
        <v>10268</v>
      </c>
      <c r="C10346" t="str">
        <f>IFERROR(__xludf.DUMMYFUNCTION("GOOGLETRANSLATE(B10346, ""zh"", ""en"")"),"Bar size is very appropriate, good quality")</f>
        <v>Bar size is very appropriate, good quality</v>
      </c>
    </row>
    <row r="10347">
      <c r="A10347" s="1">
        <v>5.0</v>
      </c>
      <c r="B10347" s="1" t="s">
        <v>10269</v>
      </c>
      <c r="C10347" t="str">
        <f>IFERROR(__xludf.DUMMYFUNCTION("GOOGLETRANSLATE(B10347, ""zh"", ""en"")"),"Okay! I have no children to send to friends, feedback is also OK!")</f>
        <v>Okay! I have no children to send to friends, feedback is also OK!</v>
      </c>
    </row>
    <row r="10348">
      <c r="A10348" s="1">
        <v>5.0</v>
      </c>
      <c r="B10348" s="1" t="s">
        <v>10270</v>
      </c>
      <c r="C10348" t="str">
        <f>IFERROR(__xludf.DUMMYFUNCTION("GOOGLETRANSLATE(B10348, ""zh"", ""en"")"),"Really useful. Stew pot good use, the soup does not overflow. A little pressure cooker effect. In addition, the United States also looks ah.")</f>
        <v>Really useful. Stew pot good use, the soup does not overflow. A little pressure cooker effect. In addition, the United States also looks ah.</v>
      </c>
    </row>
    <row r="10349">
      <c r="A10349" s="1">
        <v>5.0</v>
      </c>
      <c r="B10349" s="1" t="s">
        <v>10271</v>
      </c>
      <c r="C10349" t="str">
        <f>IFERROR(__xludf.DUMMYFUNCTION("GOOGLETRANSLATE(B10349, ""zh"", ""en"")"),"Perfect computer speakers I think the quality of life gap between the Chinese and American people like dostyle and e4.5 $ 160 of ¥ 160, is a monthly salary of thousands of pieces, a living just under the ear. Express too violent, two boxes are through hol"&amp;"es, cracks speaker packaging bags has, fortunately all right speakers, coupled with the perfect computer and found no noise floor and current sound, the road to this pseudo-zealot pause, and then upgrade would have to wait before I buy a villa 🏡")</f>
        <v>Perfect computer speakers I think the quality of life gap between the Chinese and American people like dostyle and e4.5 $ 160 of ¥ 160, is a monthly salary of thousands of pieces, a living just under the ear. Express too violent, two boxes are through holes, cracks speaker packaging bags has, fortunately all right speakers, coupled with the perfect computer and found no noise floor and current sound, the road to this pseudo-zealot pause, and then upgrade would have to wait before I buy a villa 🏡</v>
      </c>
    </row>
    <row r="10350">
      <c r="A10350" s="1">
        <v>5.0</v>
      </c>
      <c r="B10350" s="1" t="s">
        <v>10272</v>
      </c>
      <c r="C10350" t="str">
        <f>IFERROR(__xludf.DUMMYFUNCTION("GOOGLETRANSLATE(B10350, ""zh"", ""en"")"),"Really nice liked the color did not look good domestic")</f>
        <v>Really nice liked the color did not look good domestic</v>
      </c>
    </row>
    <row r="10351">
      <c r="A10351" s="1">
        <v>5.0</v>
      </c>
      <c r="B10351" s="1" t="s">
        <v>10273</v>
      </c>
      <c r="C10351" t="str">
        <f>IFERROR(__xludf.DUMMYFUNCTION("GOOGLETRANSLATE(B10351, ""zh"", ""en"")"),"Great shoes shoes very good, very comfortable, rainy day may have more or less the watermark, did just fine.")</f>
        <v>Great shoes shoes very good, very comfortable, rainy day may have more or less the watermark, did just fine.</v>
      </c>
    </row>
    <row r="10352">
      <c r="A10352" s="1">
        <v>5.0</v>
      </c>
      <c r="B10352" s="1" t="s">
        <v>10274</v>
      </c>
      <c r="C10352" t="str">
        <f>IFERROR(__xludf.DUMMYFUNCTION("GOOGLETRANSLATE(B10352, ""zh"", ""en"")"),"Bottle of very good My baby is still receiving a bottle, the baby with a friend people are eating, and my baby really pick, really good bottle, self-employed are genuine.")</f>
        <v>Bottle of very good My baby is still receiving a bottle, the baby with a friend people are eating, and my baby really pick, really good bottle, self-employed are genuine.</v>
      </c>
    </row>
    <row r="10353">
      <c r="A10353" s="1">
        <v>5.0</v>
      </c>
      <c r="B10353" s="1" t="s">
        <v>10275</v>
      </c>
      <c r="C10353" t="str">
        <f>IFERROR(__xludf.DUMMYFUNCTION("GOOGLETRANSLATE(B10353, ""zh"", ""en"")"),"Satisfied very satisfied with a pair of shoes, the right size, color, like")</f>
        <v>Satisfied very satisfied with a pair of shoes, the right size, color, like</v>
      </c>
    </row>
    <row r="10354">
      <c r="A10354" s="1">
        <v>5.0</v>
      </c>
      <c r="B10354" s="1" t="s">
        <v>10276</v>
      </c>
      <c r="C10354" t="str">
        <f>IFERROR(__xludf.DUMMYFUNCTION("GOOGLETRANSLATE(B10354, ""zh"", ""en"")"),"A trustworthy jeans. Good quality, the right size.")</f>
        <v>A trustworthy jeans. Good quality, the right size.</v>
      </c>
    </row>
    <row r="10355">
      <c r="A10355" s="1">
        <v>5.0</v>
      </c>
      <c r="B10355" s="1" t="s">
        <v>10277</v>
      </c>
      <c r="C10355" t="str">
        <f>IFERROR(__xludf.DUMMYFUNCTION("GOOGLETRANSLATE(B10355, ""zh"", ""en"")"),"Good good shoes, the Amazon sea Amoy speed is also very fast, under a single number 25, about a week to go, the buy slightly larger than a little, I was 270mm feet, buy 102E, d should be enough.")</f>
        <v>Good good shoes, the Amazon sea Amoy speed is also very fast, under a single number 25, about a week to go, the buy slightly larger than a little, I was 270mm feet, buy 102E, d should be enough.</v>
      </c>
    </row>
    <row r="10356">
      <c r="A10356" s="1">
        <v>5.0</v>
      </c>
      <c r="B10356" s="1" t="s">
        <v>10278</v>
      </c>
      <c r="C10356" t="str">
        <f>IFERROR(__xludf.DUMMYFUNCTION("GOOGLETRANSLATE(B10356, ""zh"", ""en"")"),"Full five-star product is very easy to use color values ​​are also very good price is cheaper than the high domestic counter")</f>
        <v>Full five-star product is very easy to use color values ​​are also very good price is cheaper than the high domestic counter</v>
      </c>
    </row>
    <row r="10357">
      <c r="A10357" s="1">
        <v>5.0</v>
      </c>
      <c r="B10357" s="1" t="s">
        <v>10279</v>
      </c>
      <c r="C10357" t="str">
        <f>IFERROR(__xludf.DUMMYFUNCTION("GOOGLETRANSLATE(B10357, ""zh"", ""en"")"),"Version good darker than the introduction, he compared.")</f>
        <v>Version good darker than the introduction, he compared.</v>
      </c>
    </row>
    <row r="10358">
      <c r="A10358" s="1">
        <v>5.0</v>
      </c>
      <c r="B10358" s="1" t="s">
        <v>10280</v>
      </c>
      <c r="C10358" t="str">
        <f>IFERROR(__xludf.DUMMYFUNCTION("GOOGLETRANSLATE(B10358, ""zh"", ""en"")"),"Recommended very much, the price is reasonable")</f>
        <v>Recommended very much, the price is reasonable</v>
      </c>
    </row>
    <row r="10359">
      <c r="A10359" s="1">
        <v>5.0</v>
      </c>
      <c r="B10359" s="1" t="s">
        <v>10281</v>
      </c>
      <c r="C10359" t="str">
        <f>IFERROR(__xludf.DUMMYFUNCTION("GOOGLETRANSLATE(B10359, ""zh"", ""en"")"),"Good, not from the previous evaluation, I do not know how many wasted points, points can change money now know, they should look carefully evaluated, then I put these words to copy to go, both to earn points, but also save trouble, went to which copy wher"&amp;"e, most importantly, do not seriously review, do not think how much worse word, sent directly to it, recommend it to everyone! !")</f>
        <v>Good, not from the previous evaluation, I do not know how many wasted points, points can change money now know, they should look carefully evaluated, then I put these words to copy to go, both to earn points, but also save trouble, went to which copy where, most importantly, do not seriously review, do not think how much worse word, sent directly to it, recommend it to everyone! !</v>
      </c>
    </row>
    <row r="10360">
      <c r="A10360" s="1">
        <v>5.0</v>
      </c>
      <c r="B10360" s="1" t="s">
        <v>10282</v>
      </c>
      <c r="C10360" t="str">
        <f>IFERROR(__xludf.DUMMYFUNCTION("GOOGLETRANSLATE(B10360, ""zh"", ""en"")"),"Very good is the second time to buy! Still very good, you deserve! Good!")</f>
        <v>Very good is the second time to buy! Still very good, you deserve! Good!</v>
      </c>
    </row>
    <row r="10361">
      <c r="A10361" s="1">
        <v>5.0</v>
      </c>
      <c r="B10361" s="1" t="s">
        <v>10283</v>
      </c>
      <c r="C10361" t="str">
        <f>IFERROR(__xludf.DUMMYFUNCTION("GOOGLETRANSLATE(B10361, ""zh"", ""en"")"),"Very easy to use good light absorption, the taste is very natural, specific results will need time to verify, but because a friend to buy, she said good results fade fine lines.")</f>
        <v>Very easy to use good light absorption, the taste is very natural, specific results will need time to verify, but because a friend to buy, she said good results fade fine lines.</v>
      </c>
    </row>
    <row r="10362">
      <c r="A10362" s="1">
        <v>5.0</v>
      </c>
      <c r="B10362" s="1" t="s">
        <v>10284</v>
      </c>
      <c r="C10362" t="str">
        <f>IFERROR(__xludf.DUMMYFUNCTION("GOOGLETRANSLATE(B10362, ""zh"", ""en"")"),"Yes great, value for money")</f>
        <v>Yes great, value for money</v>
      </c>
    </row>
    <row r="10363">
      <c r="A10363" s="1">
        <v>2.0</v>
      </c>
      <c r="B10363" s="1" t="s">
        <v>10285</v>
      </c>
      <c r="C10363" t="str">
        <f>IFERROR(__xludf.DUMMYFUNCTION("GOOGLETRANSLATE(B10363, ""zh"", ""en"")"),"Color color too serious. Real fundamental Gray")</f>
        <v>Color color too serious. Real fundamental Gray</v>
      </c>
    </row>
    <row r="10364">
      <c r="A10364" s="1">
        <v>3.0</v>
      </c>
      <c r="B10364" s="1" t="s">
        <v>10286</v>
      </c>
      <c r="C10364" t="str">
        <f>IFERROR(__xludf.DUMMYFUNCTION("GOOGLETRANSLATE(B10364, ""zh"", ""en"")"),"Feeling pretty good quality clothes a little too large. But the feeling is still too large a point na. Boyfriend height 188cm, weight 83kg, but still a lot of big, only when the pajamas to wear.")</f>
        <v>Feeling pretty good quality clothes a little too large. But the feeling is still too large a point na. Boyfriend height 188cm, weight 83kg, but still a lot of big, only when the pajamas to wear.</v>
      </c>
    </row>
    <row r="10365">
      <c r="A10365" s="1">
        <v>3.0</v>
      </c>
      <c r="B10365" s="1" t="s">
        <v>10287</v>
      </c>
      <c r="C10365" t="str">
        <f>IFERROR(__xludf.DUMMYFUNCTION("GOOGLETRANSLATE(B10365, ""zh"", ""en"")"),"Better than expected unsatisfactory appearance, but not insulated. Button rough somewhat loose. made in china. Word on the button, a less than a week out. The quality is really general, not recommended.")</f>
        <v>Better than expected unsatisfactory appearance, but not insulated. Button rough somewhat loose. made in china. Word on the button, a less than a week out. The quality is really general, not recommended.</v>
      </c>
    </row>
    <row r="10366">
      <c r="A10366" s="1">
        <v>3.0</v>
      </c>
      <c r="B10366" s="1" t="s">
        <v>10288</v>
      </c>
      <c r="C10366" t="str">
        <f>IFERROR(__xludf.DUMMYFUNCTION("GOOGLETRANSLATE(B10366, ""zh"", ""en"")"),"General price this spoon general feeling, said to be able to measure the temperature, in fact, not very sensitive, sometimes the temperature is not high, spoon color also changed, however, practicality is not high")</f>
        <v>General price this spoon general feeling, said to be able to measure the temperature, in fact, not very sensitive, sometimes the temperature is not high, spoon color also changed, however, practicality is not high</v>
      </c>
    </row>
    <row r="10367">
      <c r="A10367" s="1">
        <v>1.0</v>
      </c>
      <c r="B10367" s="1" t="s">
        <v>10289</v>
      </c>
      <c r="C10367" t="str">
        <f>IFERROR(__xludf.DUMMYFUNCTION("GOOGLETRANSLATE(B10367, ""zh"", ""en"")"),"Do not Buy a difference, on the value of twenty, not hard to wear, also particularly fat")</f>
        <v>Do not Buy a difference, on the value of twenty, not hard to wear, also particularly fat</v>
      </c>
    </row>
    <row r="10368">
      <c r="A10368" s="1">
        <v>1.0</v>
      </c>
      <c r="B10368" s="1" t="s">
        <v>10290</v>
      </c>
      <c r="C10368" t="str">
        <f>IFERROR(__xludf.DUMMYFUNCTION("GOOGLETRANSLATE(B10368, ""zh"", ""en"")"),"And random comes with not the same. And random comes with not the same.")</f>
        <v>And random comes with not the same. And random comes with not the same.</v>
      </c>
    </row>
    <row r="10369">
      <c r="A10369" s="1">
        <v>1.0</v>
      </c>
      <c r="B10369" s="1" t="s">
        <v>10291</v>
      </c>
      <c r="C10369" t="str">
        <f>IFERROR(__xludf.DUMMYFUNCTION("GOOGLETRANSLATE(B10369, ""zh"", ""en"")"),"Not recommended to buy poor quality hard drive, returns the admissibility slow")</f>
        <v>Not recommended to buy poor quality hard drive, returns the admissibility slow</v>
      </c>
    </row>
    <row r="10370">
      <c r="A10370" s="1">
        <v>4.0</v>
      </c>
      <c r="B10370" s="1" t="s">
        <v>10292</v>
      </c>
      <c r="C10370" t="str">
        <f>IFERROR(__xludf.DUMMYFUNCTION("GOOGLETRANSLATE(B10370, ""zh"", ""en"")"),"Sportswear Sports Classic is very good, wear nice to travel")</f>
        <v>Sportswear Sports Classic is very good, wear nice to travel</v>
      </c>
    </row>
    <row r="10371">
      <c r="A10371" s="1">
        <v>4.0</v>
      </c>
      <c r="B10371" s="1" t="s">
        <v>10293</v>
      </c>
      <c r="C10371" t="str">
        <f>IFERROR(__xludf.DUMMYFUNCTION("GOOGLETRANSLATE(B10371, ""zh"", ""en"")"),"Good texture big shoes code number of very good people afraid of the water big British code is simply a big yard")</f>
        <v>Good texture big shoes code number of very good people afraid of the water big British code is simply a big yard</v>
      </c>
    </row>
    <row r="10372">
      <c r="A10372" s="1">
        <v>4.0</v>
      </c>
      <c r="B10372" s="1" t="s">
        <v>10294</v>
      </c>
      <c r="C10372" t="str">
        <f>IFERROR(__xludf.DUMMYFUNCTION("GOOGLETRANSLATE(B10372, ""zh"", ""en"")"),"Too big, and too great a difference there is description of goods, should buy a smaller size")</f>
        <v>Too big, and too great a difference there is description of goods, should buy a smaller size</v>
      </c>
    </row>
    <row r="10373">
      <c r="A10373" s="1">
        <v>4.0</v>
      </c>
      <c r="B10373" s="1" t="s">
        <v>10295</v>
      </c>
      <c r="C10373" t="str">
        <f>IFERROR(__xludf.DUMMYFUNCTION("GOOGLETRANSLATE(B10373, ""zh"", ""en"")"),"Slightly large (as a whole) is somewhat large (as a whole), but it seems slightly smaller size neckline")</f>
        <v>Slightly large (as a whole) is somewhat large (as a whole), but it seems slightly smaller size neckline</v>
      </c>
    </row>
    <row r="10374">
      <c r="A10374" s="1">
        <v>4.0</v>
      </c>
      <c r="B10374" s="1" t="s">
        <v>10296</v>
      </c>
      <c r="C10374" t="str">
        <f>IFERROR(__xludf.DUMMYFUNCTION("GOOGLETRANSLATE(B10374, ""zh"", ""en"")"),"Well a good deal very fond of, at the counter tried to kick off 1250, Amazon purchased overseas bargain. The cortex is just a bad, very easy to fold, there is only a trace of wear.")</f>
        <v>Well a good deal very fond of, at the counter tried to kick off 1250, Amazon purchased overseas bargain. The cortex is just a bad, very easy to fold, there is only a trace of wear.</v>
      </c>
    </row>
    <row r="10375">
      <c r="A10375" s="1">
        <v>5.0</v>
      </c>
      <c r="B10375" s="1" t="s">
        <v>10297</v>
      </c>
      <c r="C10375" t="str">
        <f>IFERROR(__xludf.DUMMYFUNCTION("GOOGLETRANSLATE(B10375, ""zh"", ""en"")"),"Nice packaging too simple, is simply appalling. On foot too amazing")</f>
        <v>Nice packaging too simple, is simply appalling. On foot too amazing</v>
      </c>
    </row>
    <row r="10376">
      <c r="A10376" s="1">
        <v>5.0</v>
      </c>
      <c r="B10376" s="1" t="s">
        <v>10298</v>
      </c>
      <c r="C10376" t="str">
        <f>IFERROR(__xludf.DUMMYFUNCTION("GOOGLETRANSLATE(B10376, ""zh"", ""en"")"),"In the end he is survived 10 years of headphones, the sound of the classic ah. On o2 + odac burn, if not the pursuit of extreme, on a common external sound card on it. Thousand dollars less difficult to uncontested!")</f>
        <v>In the end he is survived 10 years of headphones, the sound of the classic ah. On o2 + odac burn, if not the pursuit of extreme, on a common external sound card on it. Thousand dollars less difficult to uncontested!</v>
      </c>
    </row>
    <row r="10377">
      <c r="A10377" s="1">
        <v>5.0</v>
      </c>
      <c r="B10377" s="1" t="s">
        <v>10299</v>
      </c>
      <c r="C10377" t="str">
        <f>IFERROR(__xludf.DUMMYFUNCTION("GOOGLETRANSLATE(B10377, ""zh"", ""en"")"),"Very comfortable and very fit, lightweight models, like!")</f>
        <v>Very comfortable and very fit, lightweight models, like!</v>
      </c>
    </row>
    <row r="10378">
      <c r="A10378" s="1">
        <v>5.0</v>
      </c>
      <c r="B10378" s="1" t="s">
        <v>10300</v>
      </c>
      <c r="C10378" t="str">
        <f>IFERROR(__xludf.DUMMYFUNCTION("GOOGLETRANSLATE(B10378, ""zh"", ""en"")"),"The right size, the right size and some is narrow, some is narrow, good quality")</f>
        <v>The right size, the right size and some is narrow, some is narrow, good quality</v>
      </c>
    </row>
    <row r="10379">
      <c r="A10379" s="1">
        <v>5.0</v>
      </c>
      <c r="B10379" s="1" t="s">
        <v>10301</v>
      </c>
      <c r="C10379" t="str">
        <f>IFERROR(__xludf.DUMMYFUNCTION("GOOGLETRANSLATE(B10379, ""zh"", ""en"")"),"Good quality Slim models than the average of the United States, might be bottoming shirt because of it.")</f>
        <v>Good quality Slim models than the average of the United States, might be bottoming shirt because of it.</v>
      </c>
    </row>
    <row r="10380">
      <c r="A10380" s="1">
        <v>5.0</v>
      </c>
      <c r="B10380" s="1" t="s">
        <v>10302</v>
      </c>
      <c r="C10380" t="str">
        <f>IFERROR(__xludf.DUMMYFUNCTION("GOOGLETRANSLATE(B10380, ""zh"", ""en"")"),"The most important thing is to drink and exercise almost two and a half months have not finished a little muscle revealed As for the result of exercise or to promote the role of protein powder that is not clear, but the basic drinking habits have to drink"&amp;" exercise")</f>
        <v>The most important thing is to drink and exercise almost two and a half months have not finished a little muscle revealed As for the result of exercise or to promote the role of protein powder that is not clear, but the basic drinking habits have to drink exercise</v>
      </c>
    </row>
    <row r="10381">
      <c r="A10381" s="1">
        <v>5.0</v>
      </c>
      <c r="B10381" s="1" t="s">
        <v>10303</v>
      </c>
      <c r="C10381" t="str">
        <f>IFERROR(__xludf.DUMMYFUNCTION("GOOGLETRANSLATE(B10381, ""zh"", ""en"")"),"64G CF card for SLR, the basic enough, fast storage speed.")</f>
        <v>64G CF card for SLR, the basic enough, fast storage speed.</v>
      </c>
    </row>
    <row r="10382">
      <c r="A10382" s="1">
        <v>5.0</v>
      </c>
      <c r="B10382" s="1" t="s">
        <v>10304</v>
      </c>
      <c r="C10382" t="str">
        <f>IFERROR(__xludf.DUMMYFUNCTION("GOOGLETRANSLATE(B10382, ""zh"", ""en"")"),"Very easy to use, cost is very high. Very easy to use, cost is very high.")</f>
        <v>Very easy to use, cost is very high. Very easy to use, cost is very high.</v>
      </c>
    </row>
    <row r="10383">
      <c r="A10383" s="1">
        <v>5.0</v>
      </c>
      <c r="B10383" s="1" t="s">
        <v>10305</v>
      </c>
      <c r="C10383" t="str">
        <f>IFERROR(__xludf.DUMMYFUNCTION("GOOGLETRANSLATE(B10383, ""zh"", ""en"")"),"Comfortable very nice table, is a bit hard, do a little sore hand")</f>
        <v>Comfortable very nice table, is a bit hard, do a little sore hand</v>
      </c>
    </row>
    <row r="10384">
      <c r="A10384" s="1">
        <v>5.0</v>
      </c>
      <c r="B10384" s="1" t="s">
        <v>10306</v>
      </c>
      <c r="C10384" t="str">
        <f>IFERROR(__xludf.DUMMYFUNCTION("GOOGLETRANSLATE(B10384, ""zh"", ""en"")"),"Two cups of a combination of equipment, bright colors, not bad. Quite like it.")</f>
        <v>Two cups of a combination of equipment, bright colors, not bad. Quite like it.</v>
      </c>
    </row>
    <row r="10385">
      <c r="A10385" s="1">
        <v>5.0</v>
      </c>
      <c r="B10385" s="1" t="s">
        <v>10307</v>
      </c>
      <c r="C10385" t="str">
        <f>IFERROR(__xludf.DUMMYFUNCTION("GOOGLETRANSLATE(B10385, ""zh"", ""en"")"),"Very good, the Japanese sent me to Japan in Nanjing four days of receipt, the block than expected. The pacifier is 240ml M number, pacifier 160ML is SS number")</f>
        <v>Very good, the Japanese sent me to Japan in Nanjing four days of receipt, the block than expected. The pacifier is 240ml M number, pacifier 160ML is SS number</v>
      </c>
    </row>
    <row r="10386">
      <c r="A10386" s="1">
        <v>5.0</v>
      </c>
      <c r="B10386" s="1" t="s">
        <v>10308</v>
      </c>
      <c r="C10386" t="str">
        <f>IFERROR(__xludf.DUMMYFUNCTION("GOOGLETRANSLATE(B10386, ""zh"", ""en"")"),"Suitable match rejuvenated the old razor")</f>
        <v>Suitable match rejuvenated the old razor</v>
      </c>
    </row>
    <row r="10387">
      <c r="A10387" s="1">
        <v>5.0</v>
      </c>
      <c r="B10387" s="1" t="s">
        <v>10309</v>
      </c>
      <c r="C10387" t="str">
        <f>IFERROR(__xludf.DUMMYFUNCTION("GOOGLETRANSLATE(B10387, ""zh"", ""en"")"),"Not bad, really like! That is, sent me packaging sucks!")</f>
        <v>Not bad, really like! That is, sent me packaging sucks!</v>
      </c>
    </row>
    <row r="10388">
      <c r="A10388" s="1">
        <v>5.0</v>
      </c>
      <c r="B10388" s="1" t="s">
        <v>10310</v>
      </c>
      <c r="C10388" t="str">
        <f>IFERROR(__xludf.DUMMYFUNCTION("GOOGLETRANSLATE(B10388, ""zh"", ""en"")"),"Comfortable running shoes very comfortable, very sense of the parcel, good, prices are appropriate benefits.")</f>
        <v>Comfortable running shoes very comfortable, very sense of the parcel, good, prices are appropriate benefits.</v>
      </c>
    </row>
    <row r="10389">
      <c r="A10389" s="1">
        <v>5.0</v>
      </c>
      <c r="B10389" s="1" t="s">
        <v>10311</v>
      </c>
      <c r="C10389" t="str">
        <f>IFERROR(__xludf.DUMMYFUNCTION("GOOGLETRANSLATE(B10389, ""zh"", ""en"")"),"Very good stuff good, logistics is also good, packaging is also complete, 👌")</f>
        <v>Very good stuff good, logistics is also good, packaging is also complete, 👌</v>
      </c>
    </row>
    <row r="10390">
      <c r="A10390" s="1">
        <v>5.0</v>
      </c>
      <c r="B10390" s="1" t="s">
        <v>10312</v>
      </c>
      <c r="C10390" t="str">
        <f>IFERROR(__xludf.DUMMYFUNCTION("GOOGLETRANSLATE(B10390, ""zh"", ""en"")"),"Praise. Full-fifth of praise. Does not require opening the lid with one hand, then this cup is perfect. Pieces of pink, the color is also very nice. At that time, less than 100 to buy. Excluding tax.")</f>
        <v>Praise. Full-fifth of praise. Does not require opening the lid with one hand, then this cup is perfect. Pieces of pink, the color is also very nice. At that time, less than 100 to buy. Excluding tax.</v>
      </c>
    </row>
    <row r="10391">
      <c r="A10391" s="1">
        <v>5.0</v>
      </c>
      <c r="B10391" s="1" t="s">
        <v>10313</v>
      </c>
      <c r="C10391" t="str">
        <f>IFERROR(__xludf.DUMMYFUNCTION("GOOGLETRANSLATE(B10391, ""zh"", ""en"")"),"Aunt has been used towel can direct mail, too convenient")</f>
        <v>Aunt has been used towel can direct mail, too convenient</v>
      </c>
    </row>
    <row r="10392">
      <c r="A10392" s="1">
        <v>5.0</v>
      </c>
      <c r="B10392" s="1" t="s">
        <v>10314</v>
      </c>
      <c r="C10392" t="str">
        <f>IFERROR(__xludf.DUMMYFUNCTION("GOOGLETRANSLATE(B10392, ""zh"", ""en"")"),"Fit, good quality nice color, wearing a fitted, logistics can, about 10 days to")</f>
        <v>Fit, good quality nice color, wearing a fitted, logistics can, about 10 days to</v>
      </c>
    </row>
    <row r="10393">
      <c r="A10393" s="1">
        <v>5.0</v>
      </c>
      <c r="B10393" s="1" t="s">
        <v>10315</v>
      </c>
      <c r="C10393" t="str">
        <f>IFERROR(__xludf.DUMMYFUNCTION("GOOGLETRANSLATE(B10393, ""zh"", ""en"")"),"Something good, but a bit heavy. Something good, not oil fried egg. But a little heavy, my wife does not like to use.")</f>
        <v>Something good, but a bit heavy. Something good, not oil fried egg. But a little heavy, my wife does not like to use.</v>
      </c>
    </row>
    <row r="10394">
      <c r="A10394" s="1">
        <v>5.0</v>
      </c>
      <c r="B10394" s="1" t="s">
        <v>10316</v>
      </c>
      <c r="C10394" t="str">
        <f>IFERROR(__xludf.DUMMYFUNCTION("GOOGLETRANSLATE(B10394, ""zh"", ""en"")"),"Very stylish, soft and delicious rice. Very stylish, but also make rice soft and delicious.")</f>
        <v>Very stylish, soft and delicious rice. Very stylish, but also make rice soft and delicious.</v>
      </c>
    </row>
    <row r="10395">
      <c r="A10395" s="1">
        <v>5.0</v>
      </c>
      <c r="B10395" s="1" t="s">
        <v>10317</v>
      </c>
      <c r="C10395" t="str">
        <f>IFERROR(__xludf.DUMMYFUNCTION("GOOGLETRANSLATE(B10395, ""zh"", ""en"")"),"Very appropriate size, usually wear 42, looked comment specifically bought 8 yards, super suitable shoes are really comfortable, more comfortable than 10061, light, soft, step up there SHI sense, quite satisfactory. The only place that is not very satisfi"&amp;"ed with the picture color depth than a lot of obvious")</f>
        <v>Very appropriate size, usually wear 42, looked comment specifically bought 8 yards, super suitable shoes are really comfortable, more comfortable than 10061, light, soft, step up there SHI sense, quite satisfactory. The only place that is not very satisfied with the picture color depth than a lot of obvious</v>
      </c>
    </row>
    <row r="10396">
      <c r="A10396" s="1">
        <v>2.0</v>
      </c>
      <c r="B10396" s="1" t="s">
        <v>10318</v>
      </c>
      <c r="C10396" t="str">
        <f>IFERROR(__xludf.DUMMYFUNCTION("GOOGLETRANSLATE(B10396, ""zh"", ""en"")"),"Size is too big size is too large, I bought other brands of 34/30, can this big, long, simply can not wear, return to 125 yuan freight, can only give as gifts.")</f>
        <v>Size is too big size is too large, I bought other brands of 34/30, can this big, long, simply can not wear, return to 125 yuan freight, can only give as gifts.</v>
      </c>
    </row>
    <row r="10397">
      <c r="A10397" s="1">
        <v>3.0</v>
      </c>
      <c r="B10397" s="1" t="s">
        <v>10319</v>
      </c>
      <c r="C10397" t="str">
        <f>IFERROR(__xludf.DUMMYFUNCTION("GOOGLETRANSLATE(B10397, ""zh"", ""en"")"),"Rough work more comfortable to wear, but a rough work, you can still see the surface of plastic.")</f>
        <v>Rough work more comfortable to wear, but a rough work, you can still see the surface of plastic.</v>
      </c>
    </row>
    <row r="10398">
      <c r="A10398" s="1">
        <v>3.0</v>
      </c>
      <c r="B10398" s="1" t="s">
        <v>10320</v>
      </c>
      <c r="C10398" t="str">
        <f>IFERROR(__xludf.DUMMYFUNCTION("GOOGLETRANSLATE(B10398, ""zh"", ""en"")"),"Aprons smell great not imagine good, especially in cover gasket, she smells bad. Insulation effect personally feel that the general")</f>
        <v>Aprons smell great not imagine good, especially in cover gasket, she smells bad. Insulation effect personally feel that the general</v>
      </c>
    </row>
    <row r="10399">
      <c r="A10399" s="1">
        <v>3.0</v>
      </c>
      <c r="B10399" s="1" t="s">
        <v>10321</v>
      </c>
      <c r="C10399" t="str">
        <f>IFERROR(__xludf.DUMMYFUNCTION("GOOGLETRANSLATE(B10399, ""zh"", ""en"")"),"Looks very nice, but the quality in general if you want to chase chase the trend, do not care about quality, definitely recommend, because style super nice two lace can be used interchangeably. But the quality is really puma shoes and Nike Ada can not be "&amp;"compared. Quality control Shenru ~ I usually 36.5-37 feet, United States Code has been 6.5 this pair just right, it is appropriate")</f>
        <v>Looks very nice, but the quality in general if you want to chase chase the trend, do not care about quality, definitely recommend, because style super nice two lace can be used interchangeably. But the quality is really puma shoes and Nike Ada can not be compared. Quality control Shenru ~ I usually 36.5-37 feet, United States Code has been 6.5 this pair just right, it is appropriate</v>
      </c>
    </row>
    <row r="10400">
      <c r="A10400" s="1">
        <v>1.0</v>
      </c>
      <c r="B10400" s="1" t="s">
        <v>10322</v>
      </c>
      <c r="C10400" t="str">
        <f>IFERROR(__xludf.DUMMYFUNCTION("GOOGLETRANSLATE(B10400, ""zh"", ""en"")"),"Physical sale mess dish general, no logistics packaging, the packaging is press-deformed. While still disappointed customer service, flicker buyers, on to their customers the runaround.")</f>
        <v>Physical sale mess dish general, no logistics packaging, the packaging is press-deformed. While still disappointed customer service, flicker buyers, on to their customers the runaround.</v>
      </c>
    </row>
    <row r="10401">
      <c r="A10401" s="1">
        <v>1.0</v>
      </c>
      <c r="B10401" s="1" t="s">
        <v>10323</v>
      </c>
      <c r="C10401" t="str">
        <f>IFERROR(__xludf.DUMMYFUNCTION("GOOGLETRANSLATE(B10401, ""zh"", ""en"")"),"Quality sucks only run a few times on open plastic, it sucks this quality, not before gt2000-resistant grass, did not wear soft 2000")</f>
        <v>Quality sucks only run a few times on open plastic, it sucks this quality, not before gt2000-resistant grass, did not wear soft 2000</v>
      </c>
    </row>
    <row r="10402">
      <c r="A10402" s="1">
        <v>4.0</v>
      </c>
      <c r="B10402" s="1" t="s">
        <v>10324</v>
      </c>
      <c r="C10402" t="str">
        <f>IFERROR(__xludf.DUMMYFUNCTION("GOOGLETRANSLATE(B10402, ""zh"", ""en"")"),"Shoe itself is fairly satisfied with good shoes, but get the goods found to be defective, the customer feedback to quickly follow up, for the first time feel the Amazon sale, are satisfied. Carrying shoe insole disadvantage is more rigid, but not unaccept"&amp;"able.")</f>
        <v>Shoe itself is fairly satisfied with good shoes, but get the goods found to be defective, the customer feedback to quickly follow up, for the first time feel the Amazon sale, are satisfied. Carrying shoe insole disadvantage is more rigid, but not unacceptable.</v>
      </c>
    </row>
    <row r="10403">
      <c r="A10403" s="1">
        <v>4.0</v>
      </c>
      <c r="B10403" s="1" t="s">
        <v>10325</v>
      </c>
      <c r="C10403" t="str">
        <f>IFERROR(__xludf.DUMMYFUNCTION("GOOGLETRANSLATE(B10403, ""zh"", ""en"")"),"Nice nice! Very warm")</f>
        <v>Nice nice! Very warm</v>
      </c>
    </row>
    <row r="10404">
      <c r="A10404" s="1">
        <v>4.0</v>
      </c>
      <c r="B10404" s="1" t="s">
        <v>10326</v>
      </c>
      <c r="C10404" t="str">
        <f>IFERROR(__xludf.DUMMYFUNCTION("GOOGLETRANSLATE(B10404, ""zh"", ""en"")"),"Okay quality is not bad also thought so good! Height 176, weight 90kg, broad shoulders, a little tight fit")</f>
        <v>Okay quality is not bad also thought so good! Height 176, weight 90kg, broad shoulders, a little tight fit</v>
      </c>
    </row>
    <row r="10405">
      <c r="A10405" s="1">
        <v>4.0</v>
      </c>
      <c r="B10405" s="1" t="s">
        <v>2753</v>
      </c>
      <c r="C10405" t="str">
        <f>IFERROR(__xludf.DUMMYFUNCTION("GOOGLETRANSLATE(B10405, ""zh"", ""en"")"),"Comfortable but very comfortable just love sticky hair sticky hair size is too large or domestic m l s code this appropriate")</f>
        <v>Comfortable but very comfortable just love sticky hair sticky hair size is too large or domestic m l s code this appropriate</v>
      </c>
    </row>
    <row r="10406">
      <c r="A10406" s="1">
        <v>4.0</v>
      </c>
      <c r="B10406" s="1" t="s">
        <v>10327</v>
      </c>
      <c r="C10406" t="str">
        <f>IFERROR(__xludf.DUMMYFUNCTION("GOOGLETRANSLATE(B10406, ""zh"", ""en"")"),"Great! Very nice surface. However, it is too big, a big thick.")</f>
        <v>Great! Very nice surface. However, it is too big, a big thick.</v>
      </c>
    </row>
    <row r="10407">
      <c r="A10407" s="1">
        <v>5.0</v>
      </c>
      <c r="B10407" s="1" t="s">
        <v>10328</v>
      </c>
      <c r="C10407" t="str">
        <f>IFERROR(__xludf.DUMMYFUNCTION("GOOGLETRANSLATE(B10407, ""zh"", ""en"")"),"Looked good effect good receipt of goods added up to good effect in the supermarket chase comment")</f>
        <v>Looked good effect good receipt of goods added up to good effect in the supermarket chase comment</v>
      </c>
    </row>
    <row r="10408">
      <c r="A10408" s="1">
        <v>5.0</v>
      </c>
      <c r="B10408" s="1" t="s">
        <v>10329</v>
      </c>
      <c r="C10408" t="str">
        <f>IFERROR(__xludf.DUMMYFUNCTION("GOOGLETRANSLATE(B10408, ""zh"", ""en"")"),"Fortunately, high color value, see colleagues say good-looking, soon to be a link. Usually 36 yards, to buy six lengths ok, that foot wide, set into a little tight (wear stockings), a colleague said it might be deliberately designed to keep warm, I hope C"&amp;"huan Chuan can loose a little on the perfect")</f>
        <v>Fortunately, high color value, see colleagues say good-looking, soon to be a link. Usually 36 yards, to buy six lengths ok, that foot wide, set into a little tight (wear stockings), a colleague said it might be deliberately designed to keep warm, I hope Chuan Chuan can loose a little on the perfect</v>
      </c>
    </row>
    <row r="10409">
      <c r="A10409" s="1">
        <v>5.0</v>
      </c>
      <c r="B10409" s="1" t="s">
        <v>10330</v>
      </c>
      <c r="C10409" t="str">
        <f>IFERROR(__xludf.DUMMYFUNCTION("GOOGLETRANSLATE(B10409, ""zh"", ""en"")"),"Perfect models wild leather leather shoes a little hard a little hard to wear two days required for a pair of slow a relief to win in good shape to take care of")</f>
        <v>Perfect models wild leather leather shoes a little hard a little hard to wear two days required for a pair of slow a relief to win in good shape to take care of</v>
      </c>
    </row>
    <row r="10410">
      <c r="A10410" s="1">
        <v>5.0</v>
      </c>
      <c r="B10410" s="1" t="s">
        <v>10331</v>
      </c>
      <c r="C10410" t="str">
        <f>IFERROR(__xludf.DUMMYFUNCTION("GOOGLETRANSLATE(B10410, ""zh"", ""en"")"),"Enjoyed very good dimensional models are appropriate")</f>
        <v>Enjoyed very good dimensional models are appropriate</v>
      </c>
    </row>
    <row r="10411">
      <c r="A10411" s="1">
        <v>5.0</v>
      </c>
      <c r="B10411" s="1" t="s">
        <v>10332</v>
      </c>
      <c r="C10411" t="str">
        <f>IFERROR(__xludf.DUMMYFUNCTION("GOOGLETRANSLATE(B10411, ""zh"", ""en"")"),"Boots a bit tight because of pregnancy foot fat, and usually wear 39, this time also buy the 39, except for special numbers tight fit, such as giving birth only in wearing boots is also very light.")</f>
        <v>Boots a bit tight because of pregnancy foot fat, and usually wear 39, this time also buy the 39, except for special numbers tight fit, such as giving birth only in wearing boots is also very light.</v>
      </c>
    </row>
    <row r="10412">
      <c r="A10412" s="1">
        <v>5.0</v>
      </c>
      <c r="B10412" s="1" t="s">
        <v>10333</v>
      </c>
      <c r="C10412" t="str">
        <f>IFERROR(__xludf.DUMMYFUNCTION("GOOGLETRANSLATE(B10412, ""zh"", ""en"")"),"The right size, I 177,66 kg, s code is perfect, comfortable, good.")</f>
        <v>The right size, I 177,66 kg, s code is perfect, comfortable, good.</v>
      </c>
    </row>
    <row r="10413">
      <c r="A10413" s="1">
        <v>5.0</v>
      </c>
      <c r="B10413" s="1" t="s">
        <v>10334</v>
      </c>
      <c r="C10413" t="str">
        <f>IFERROR(__xludf.DUMMYFUNCTION("GOOGLETRANSLATE(B10413, ""zh"", ""en"")"),"narumi years ago and never disappointed buy the same series of 17-inch cake dish a perfect match, I like the size, compact")</f>
        <v>narumi years ago and never disappointed buy the same series of 17-inch cake dish a perfect match, I like the size, compact</v>
      </c>
    </row>
    <row r="10414">
      <c r="A10414" s="1">
        <v>5.0</v>
      </c>
      <c r="B10414" s="1" t="s">
        <v>10335</v>
      </c>
      <c r="C10414" t="str">
        <f>IFERROR(__xludf.DUMMYFUNCTION("GOOGLETRANSLATE(B10414, ""zh"", ""en"")"),"Suitable good quality very thin size 183cm, 86kg size suitable very thin")</f>
        <v>Suitable good quality very thin size 183cm, 86kg size suitable very thin</v>
      </c>
    </row>
    <row r="10415">
      <c r="A10415" s="1">
        <v>5.0</v>
      </c>
      <c r="B10415" s="1" t="s">
        <v>10336</v>
      </c>
      <c r="C10415" t="str">
        <f>IFERROR(__xludf.DUMMYFUNCTION("GOOGLETRANSLATE(B10415, ""zh"", ""en"")"),"Yes, breast and bottle feeding, the baby should eat, easy to clean good bottle, breast and bottle feeding, the baby should eat, easy to clean bottle")</f>
        <v>Yes, breast and bottle feeding, the baby should eat, easy to clean good bottle, breast and bottle feeding, the baby should eat, easy to clean bottle</v>
      </c>
    </row>
    <row r="10416">
      <c r="A10416" s="1">
        <v>5.0</v>
      </c>
      <c r="B10416" s="1" t="s">
        <v>10337</v>
      </c>
      <c r="C10416" t="str">
        <f>IFERROR(__xludf.DUMMYFUNCTION("GOOGLETRANSLATE(B10416, ""zh"", ""en"")"),"Worth buying is very good, just bought a swim, waterproof effect.")</f>
        <v>Worth buying is very good, just bought a swim, waterproof effect.</v>
      </c>
    </row>
    <row r="10417">
      <c r="A10417" s="1">
        <v>5.0</v>
      </c>
      <c r="B10417" s="1" t="s">
        <v>10338</v>
      </c>
      <c r="C10417" t="str">
        <f>IFERROR(__xludf.DUMMYFUNCTION("GOOGLETRANSLATE(B10417, ""zh"", ""en"")"),"Good shaving machine good shape Ye Hao, also using smooth, not ten years to buy a two-headed; the price of less than 1200, to buy when the discount, but shipping a little slow, two weeks after arrival may be possible.")</f>
        <v>Good shaving machine good shape Ye Hao, also using smooth, not ten years to buy a two-headed; the price of less than 1200, to buy when the discount, but shipping a little slow, two weeks after arrival may be possible.</v>
      </c>
    </row>
    <row r="10418">
      <c r="A10418" s="1">
        <v>5.0</v>
      </c>
      <c r="B10418" s="1" t="s">
        <v>10339</v>
      </c>
      <c r="C10418" t="str">
        <f>IFERROR(__xludf.DUMMYFUNCTION("GOOGLETRANSLATE(B10418, ""zh"", ""en"")"),"Amazon's size table is wrong, causing me to buy the freshman code quickly update it Amazon. Certainly none of comfort, the key is the size table too much garbage. I uploaded a table found from Timberland official.")</f>
        <v>Amazon's size table is wrong, causing me to buy the freshman code quickly update it Amazon. Certainly none of comfort, the key is the size table too much garbage. I uploaded a table found from Timberland official.</v>
      </c>
    </row>
    <row r="10419">
      <c r="A10419" s="1">
        <v>5.0</v>
      </c>
      <c r="B10419" s="1" t="s">
        <v>10340</v>
      </c>
      <c r="C10419" t="str">
        <f>IFERROR(__xludf.DUMMYFUNCTION("GOOGLETRANSLATE(B10419, ""zh"", ""en"")"),"Clothes are Rouran slightly longer, no sense of restraint, clothes a little longer. The label is placed at the very intimate clothes, unlike most of the clothes are placed in the neck, every time you buy clothes but also strenuous cut back, or you'll get "&amp;"neck discomfort.")</f>
        <v>Clothes are Rouran slightly longer, no sense of restraint, clothes a little longer. The label is placed at the very intimate clothes, unlike most of the clothes are placed in the neck, every time you buy clothes but also strenuous cut back, or you'll get neck discomfort.</v>
      </c>
    </row>
    <row r="10420">
      <c r="A10420" s="1">
        <v>5.0</v>
      </c>
      <c r="B10420" s="1" t="s">
        <v>10341</v>
      </c>
      <c r="C10420" t="str">
        <f>IFERROR(__xludf.DUMMYFUNCTION("GOOGLETRANSLATE(B10420, ""zh"", ""en"")"),"Well, the price of the good to the mother to buy, the effect is very good, even better than before the effect of the same brand, the price is too good, you must repurchase")</f>
        <v>Well, the price of the good to the mother to buy, the effect is very good, even better than before the effect of the same brand, the price is too good, you must repurchase</v>
      </c>
    </row>
    <row r="10421">
      <c r="A10421" s="1">
        <v>5.0</v>
      </c>
      <c r="B10421" s="1" t="s">
        <v>10342</v>
      </c>
      <c r="C10421" t="str">
        <f>IFERROR(__xludf.DUMMYFUNCTION("GOOGLETRANSLATE(B10421, ""zh"", ""en"")"),"Heart of water for a long time, finally pulling weeds, so cost-effective but also very good, very comfortable, Bang Bang da, very fast, but also for completely different")</f>
        <v>Heart of water for a long time, finally pulling weeds, so cost-effective but also very good, very comfortable, Bang Bang da, very fast, but also for completely different</v>
      </c>
    </row>
    <row r="10422">
      <c r="A10422" s="1">
        <v>5.0</v>
      </c>
      <c r="B10422" s="1" t="s">
        <v>10343</v>
      </c>
      <c r="C10422" t="str">
        <f>IFERROR(__xludf.DUMMYFUNCTION("GOOGLETRANSLATE(B10422, ""zh"", ""en"")"),"Evaluate the quality of a good, very practical baby")</f>
        <v>Evaluate the quality of a good, very practical baby</v>
      </c>
    </row>
    <row r="10423">
      <c r="A10423" s="1">
        <v>5.0</v>
      </c>
      <c r="B10423" s="1" t="s">
        <v>10344</v>
      </c>
      <c r="C10423" t="str">
        <f>IFERROR(__xludf.DUMMYFUNCTION("GOOGLETRANSLATE(B10423, ""zh"", ""en"")"),"Amazon price is really famous in the country three incense ladle, small hands to get the first impression than expected, the first mobile phone ear audition song new pants, feeling no surprise, then listen to the cd drive with Panasonic's portable, a litt"&amp;"le better, not enthusiasts, too professional not to say, I felt the sound Amazon is worth the price of domestic electricity providers to sell 1K personally feel is not worth, less than five hundred Amazon really fragrant, full appearance is really nice, r"&amp;"ock feelings, recommended to buy!")</f>
        <v>Amazon price is really famous in the country three incense ladle, small hands to get the first impression than expected, the first mobile phone ear audition song new pants, feeling no surprise, then listen to the cd drive with Panasonic's portable, a little better, not enthusiasts, too professional not to say, I felt the sound Amazon is worth the price of domestic electricity providers to sell 1K personally feel is not worth, less than five hundred Amazon really fragrant, full appearance is really nice, rock feelings, recommended to buy!</v>
      </c>
    </row>
    <row r="10424">
      <c r="A10424" s="1">
        <v>5.0</v>
      </c>
      <c r="B10424" s="1" t="s">
        <v>10345</v>
      </c>
      <c r="C10424" t="str">
        <f>IFERROR(__xludf.DUMMYFUNCTION("GOOGLETRANSLATE(B10424, ""zh"", ""en"")"),"Try United States imported US peacekeeping Glucosamine try the original, with the domestic sold compared to smaller bottles, the price is slightly higher, the drug tasted no different to see results.")</f>
        <v>Try United States imported US peacekeeping Glucosamine try the original, with the domestic sold compared to smaller bottles, the price is slightly higher, the drug tasted no different to see results.</v>
      </c>
    </row>
    <row r="10425">
      <c r="A10425" s="1">
        <v>5.0</v>
      </c>
      <c r="B10425" s="1" t="s">
        <v>10346</v>
      </c>
      <c r="C10425" t="str">
        <f>IFERROR(__xludf.DUMMYFUNCTION("GOOGLETRANSLATE(B10425, ""zh"", ""en"")"),"Made in China is very strong, proud of what Chinese people should also be right! Made just see on the label in China, was still a little uncomfortable, for the first time to buy things on it, so long and complex that will be imported goods, my Eupolyphaga"&amp;", no culture is terrible, it would not be xenophilia , pocket a big circle just feel what's declaration also buy back its own country produce something a bit helpless, made in China too strong, Zaozhidaojiu less trouble.")</f>
        <v>Made in China is very strong, proud of what Chinese people should also be right! Made just see on the label in China, was still a little uncomfortable, for the first time to buy things on it, so long and complex that will be imported goods, my Eupolyphaga, no culture is terrible, it would not be xenophilia , pocket a big circle just feel what's declaration also buy back its own country produce something a bit helpless, made in China too strong, Zaozhidaojiu less trouble.</v>
      </c>
    </row>
    <row r="10426">
      <c r="A10426" s="1">
        <v>5.0</v>
      </c>
      <c r="B10426" s="1" t="s">
        <v>10347</v>
      </c>
      <c r="C10426" t="str">
        <f>IFERROR(__xludf.DUMMYFUNCTION("GOOGLETRANSLATE(B10426, ""zh"", ""en"")"),"Before bought a very good, very, very well dressed, and later has been out of stock, the stock now, immediately bought two")</f>
        <v>Before bought a very good, very, very well dressed, and later has been out of stock, the stock now, immediately bought two</v>
      </c>
    </row>
    <row r="10427">
      <c r="A10427" s="1">
        <v>5.0</v>
      </c>
      <c r="B10427" s="1" t="s">
        <v>10348</v>
      </c>
      <c r="C10427" t="str">
        <f>IFERROR(__xludf.DUMMYFUNCTION("GOOGLETRANSLATE(B10427, ""zh"", ""en"")"),"Good price good, packaging is also very good, non-destructive hand to support overseas Amazon purchase, Benckiser despise Lee, never to the mainland high-end products.")</f>
        <v>Good price good, packaging is also very good, non-destructive hand to support overseas Amazon purchase, Benckiser despise Lee, never to the mainland high-end products.</v>
      </c>
    </row>
    <row r="10428">
      <c r="A10428" s="1">
        <v>5.0</v>
      </c>
      <c r="B10428" s="1" t="s">
        <v>10349</v>
      </c>
      <c r="C10428" t="str">
        <f>IFERROR(__xludf.DUMMYFUNCTION("GOOGLETRANSLATE(B10428, ""zh"", ""en"")"),"Super comfortable comfortable not to do, and like, logistics super fast.")</f>
        <v>Super comfortable comfortable not to do, and like, logistics super fast.</v>
      </c>
    </row>
    <row r="10429">
      <c r="A10429" s="1">
        <v>2.0</v>
      </c>
      <c r="B10429" s="1" t="s">
        <v>10350</v>
      </c>
      <c r="C10429" t="str">
        <f>IFERROR(__xludf.DUMMYFUNCTION("GOOGLETRANSLATE(B10429, ""zh"", ""en"")"),"Too thin is too thin, rubbish clothes")</f>
        <v>Too thin is too thin, rubbish clothes</v>
      </c>
    </row>
    <row r="10430">
      <c r="A10430" s="1">
        <v>3.0</v>
      </c>
      <c r="B10430" s="1" t="s">
        <v>10351</v>
      </c>
      <c r="C10430" t="str">
        <f>IFERROR(__xludf.DUMMYFUNCTION("GOOGLETRANSLATE(B10430, ""zh"", ""en"")"),"Buy store goods packaging, packaging is too simple, and looks really clean,")</f>
        <v>Buy store goods packaging, packaging is too simple, and looks really clean,</v>
      </c>
    </row>
    <row r="10431">
      <c r="A10431" s="1">
        <v>1.0</v>
      </c>
      <c r="B10431" s="1" t="s">
        <v>10352</v>
      </c>
      <c r="C10431" t="str">
        <f>IFERROR(__xludf.DUMMYFUNCTION("GOOGLETRANSLATE(B10431, ""zh"", ""en"")"),"Great big too outrageous, what is this code?")</f>
        <v>Great big too outrageous, what is this code?</v>
      </c>
    </row>
    <row r="10432">
      <c r="A10432" s="1">
        <v>1.0</v>
      </c>
      <c r="B10432" s="1" t="s">
        <v>10353</v>
      </c>
      <c r="C10432" t="str">
        <f>IFERROR(__xludf.DUMMYFUNCTION("GOOGLETRANSLATE(B10432, ""zh"", ""en"")"),"Pilling serious just wear twice, a large area from the ball, basically can not wear, bought in Japan will not like this, do not know is not true, Poor")</f>
        <v>Pilling serious just wear twice, a large area from the ball, basically can not wear, bought in Japan will not like this, do not know is not true, Poor</v>
      </c>
    </row>
    <row r="10433">
      <c r="A10433" s="1">
        <v>1.0</v>
      </c>
      <c r="B10433" s="1" t="s">
        <v>10354</v>
      </c>
      <c r="C10433" t="str">
        <f>IFERROR(__xludf.DUMMYFUNCTION("GOOGLETRANSLATE(B10433, ""zh"", ""en"")"),"Pictures and goods sent to the picture is not the same as why the purple lid, issued to white goods is indeed cover? I am not satisfied with the physical discrepancies, I bought in the United States and you are a local map on the same purple cover")</f>
        <v>Pictures and goods sent to the picture is not the same as why the purple lid, issued to white goods is indeed cover? I am not satisfied with the physical discrepancies, I bought in the United States and you are a local map on the same purple cover</v>
      </c>
    </row>
    <row r="10434">
      <c r="A10434" s="1">
        <v>4.0</v>
      </c>
      <c r="B10434" s="1" t="s">
        <v>10355</v>
      </c>
      <c r="C10434" t="str">
        <f>IFERROR(__xludf.DUMMYFUNCTION("GOOGLETRANSLATE(B10434, ""zh"", ""en"")"),"Very good very good looking, boyfriend said I bought small. . . .")</f>
        <v>Very good very good looking, boyfriend said I bought small. . . .</v>
      </c>
    </row>
    <row r="10435">
      <c r="A10435" s="1">
        <v>4.0</v>
      </c>
      <c r="B10435" s="1" t="s">
        <v>10356</v>
      </c>
      <c r="C10435" t="str">
        <f>IFERROR(__xludf.DUMMYFUNCTION("GOOGLETRANSLATE(B10435, ""zh"", ""en"")"),"From different areas, different products bought four colors, two origin, workmanship, materials, and have a slightly different version. Mexico, Nicaragua feeling than to do good. Nicaragua more self points, more flexible material on the spot. In addition,"&amp;" double black color of the pants to write more lenient than other colors, along the lower legs wider than the other colors.")</f>
        <v>From different areas, different products bought four colors, two origin, workmanship, materials, and have a slightly different version. Mexico, Nicaragua feeling than to do good. Nicaragua more self points, more flexible material on the spot. In addition, double black color of the pants to write more lenient than other colors, along the lower legs wider than the other colors.</v>
      </c>
    </row>
    <row r="10436">
      <c r="A10436" s="1">
        <v>4.0</v>
      </c>
      <c r="B10436" s="1" t="s">
        <v>10357</v>
      </c>
      <c r="C10436" t="str">
        <f>IFERROR(__xludf.DUMMYFUNCTION("GOOGLETRANSLATE(B10436, ""zh"", ""en"")"),"Not feel good with, feel good, I do not know the baby like it or not")</f>
        <v>Not feel good with, feel good, I do not know the baby like it or not</v>
      </c>
    </row>
    <row r="10437">
      <c r="A10437" s="1">
        <v>4.0</v>
      </c>
      <c r="B10437" s="1" t="s">
        <v>10358</v>
      </c>
      <c r="C10437" t="str">
        <f>IFERROR(__xludf.DUMMYFUNCTION("GOOGLETRANSLATE(B10437, ""zh"", ""en"")"),"Shoes also good ...... but why shipping box does not tag")</f>
        <v>Shoes also good ...... but why shipping box does not tag</v>
      </c>
    </row>
    <row r="10438">
      <c r="A10438" s="1">
        <v>5.0</v>
      </c>
      <c r="B10438" s="1" t="s">
        <v>10359</v>
      </c>
      <c r="C10438" t="str">
        <f>IFERROR(__xludf.DUMMYFUNCTION("GOOGLETRANSLATE(B10438, ""zh"", ""en"")"),"Very good shoes is probably the most comfortable I crossed clarks shoes. Leather is very soft, very thin, summer wear is not hot. Sports shoes to wear 40 yards to buy the shoes of uk6. I thought a bit long, because in the past bought a few pairs of uk6 cl"&amp;"arks I wear a little long, the results of this just right. awesome. And this logistics quickly, I feel a lot faster than the US one week early than expected")</f>
        <v>Very good shoes is probably the most comfortable I crossed clarks shoes. Leather is very soft, very thin, summer wear is not hot. Sports shoes to wear 40 yards to buy the shoes of uk6. I thought a bit long, because in the past bought a few pairs of uk6 clarks I wear a little long, the results of this just right. awesome. And this logistics quickly, I feel a lot faster than the US one week early than expected</v>
      </c>
    </row>
    <row r="10439">
      <c r="A10439" s="1">
        <v>5.0</v>
      </c>
      <c r="B10439" s="1" t="s">
        <v>10360</v>
      </c>
      <c r="C10439" t="str">
        <f>IFERROR(__xludf.DUMMYFUNCTION("GOOGLETRANSLATE(B10439, ""zh"", ""en"")"),"Good things more than I bought in the country's sour, it may be too pure, do not understand English, do not know the date of manufacture.")</f>
        <v>Good things more than I bought in the country's sour, it may be too pure, do not understand English, do not know the date of manufacture.</v>
      </c>
    </row>
    <row r="10440">
      <c r="A10440" s="1">
        <v>5.0</v>
      </c>
      <c r="B10440" s="1" t="s">
        <v>10361</v>
      </c>
      <c r="C10440" t="str">
        <f>IFERROR(__xludf.DUMMYFUNCTION("GOOGLETRANSLATE(B10440, ""zh"", ""en"")"),"Hat beautiful hat is very good, wear the right! In the domestic counter can not buy, only buy on Amazon, summer beige very wild, the basic thread wood oh")</f>
        <v>Hat beautiful hat is very good, wear the right! In the domestic counter can not buy, only buy on Amazon, summer beige very wild, the basic thread wood oh</v>
      </c>
    </row>
    <row r="10441">
      <c r="A10441" s="1">
        <v>5.0</v>
      </c>
      <c r="B10441" s="1" t="s">
        <v>10362</v>
      </c>
      <c r="C10441" t="str">
        <f>IFERROR(__xludf.DUMMYFUNCTION("GOOGLETRANSLATE(B10441, ""zh"", ""en"")"),"Like very beautiful, super fit, usually wear 40, 6.5uk. The only drawback is the insole too smooth. Wearing a few weeks a little deformed, because the leather is particularly thin is particularly soft, slender legs will not wear too much out of shape, fat"&amp;" feet, high instep, recommended to consider carefully")</f>
        <v>Like very beautiful, super fit, usually wear 40, 6.5uk. The only drawback is the insole too smooth. Wearing a few weeks a little deformed, because the leather is particularly thin is particularly soft, slender legs will not wear too much out of shape, fat feet, high instep, recommended to consider carefully</v>
      </c>
    </row>
    <row r="10442">
      <c r="A10442" s="1">
        <v>5.0</v>
      </c>
      <c r="B10442" s="1" t="s">
        <v>10363</v>
      </c>
      <c r="C10442" t="str">
        <f>IFERROR(__xludf.DUMMYFUNCTION("GOOGLETRANSLATE(B10442, ""zh"", ""en"")"),"Pen share 👍, smooth writing, the ink stroke good, very satisfied.")</f>
        <v>Pen share 👍, smooth writing, the ink stroke good, very satisfied.</v>
      </c>
    </row>
    <row r="10443">
      <c r="A10443" s="1">
        <v>5.0</v>
      </c>
      <c r="B10443" s="1" t="s">
        <v>10364</v>
      </c>
      <c r="C10443" t="str">
        <f>IFERROR(__xludf.DUMMYFUNCTION("GOOGLETRANSLATE(B10443, ""zh"", ""en"")"),"braun like this classic watch, the family has several watches, most like this")</f>
        <v>braun like this classic watch, the family has several watches, most like this</v>
      </c>
    </row>
    <row r="10444">
      <c r="A10444" s="1">
        <v>5.0</v>
      </c>
      <c r="B10444" s="1" t="s">
        <v>10365</v>
      </c>
      <c r="C10444" t="str">
        <f>IFERROR(__xludf.DUMMYFUNCTION("GOOGLETRANSLATE(B10444, ""zh"", ""en"")"),"Standby after watching the effect bought spare, good cheap ah, buy a domestic filter will 1000 the")</f>
        <v>Standby after watching the effect bought spare, good cheap ah, buy a domestic filter will 1000 the</v>
      </c>
    </row>
    <row r="10445">
      <c r="A10445" s="1">
        <v>5.0</v>
      </c>
      <c r="B10445" s="1" t="s">
        <v>10366</v>
      </c>
      <c r="C10445" t="str">
        <f>IFERROR(__xludf.DUMMYFUNCTION("GOOGLETRANSLATE(B10445, ""zh"", ""en"")"),"Good positive trial, I feel very good!")</f>
        <v>Good positive trial, I feel very good!</v>
      </c>
    </row>
    <row r="10446">
      <c r="A10446" s="1">
        <v>5.0</v>
      </c>
      <c r="B10446" s="1" t="s">
        <v>10367</v>
      </c>
      <c r="C10446" t="str">
        <f>IFERROR(__xludf.DUMMYFUNCTION("GOOGLETRANSLATE(B10446, ""zh"", ""en"")"),"Very suitable for summer, very comfortable and suitable for summer, very comfortable, not tight Le sense, it will not slip or shift, packaging is also considering the details, has continued to buy.")</f>
        <v>Very suitable for summer, very comfortable and suitable for summer, very comfortable, not tight Le sense, it will not slip or shift, packaging is also considering the details, has continued to buy.</v>
      </c>
    </row>
    <row r="10447">
      <c r="A10447" s="1">
        <v>5.0</v>
      </c>
      <c r="B10447" s="1" t="s">
        <v>10368</v>
      </c>
      <c r="C10447" t="str">
        <f>IFERROR(__xludf.DUMMYFUNCTION("GOOGLETRANSLATE(B10447, ""zh"", ""en"")"),"Good good style, like the expected very fit.")</f>
        <v>Good good style, like the expected very fit.</v>
      </c>
    </row>
    <row r="10448">
      <c r="A10448" s="1">
        <v>5.0</v>
      </c>
      <c r="B10448" s="1" t="s">
        <v>10369</v>
      </c>
      <c r="C10448" t="str">
        <f>IFERROR(__xludf.DUMMYFUNCTION("GOOGLETRANSLATE(B10448, ""zh"", ""en"")"),"Good-looking, comfortable, the right size")</f>
        <v>Good-looking, comfortable, the right size</v>
      </c>
    </row>
    <row r="10449">
      <c r="A10449" s="1">
        <v>5.0</v>
      </c>
      <c r="B10449" s="1" t="s">
        <v>10370</v>
      </c>
      <c r="C10449" t="str">
        <f>IFERROR(__xludf.DUMMYFUNCTION("GOOGLETRANSLATE(B10449, ""zh"", ""en"")"),"Value for money is very smooth soft material, very comfortable attached to the skin")</f>
        <v>Value for money is very smooth soft material, very comfortable attached to the skin</v>
      </c>
    </row>
    <row r="10450">
      <c r="A10450" s="1">
        <v>5.0</v>
      </c>
      <c r="B10450" s="1" t="s">
        <v>10371</v>
      </c>
      <c r="C10450" t="str">
        <f>IFERROR(__xludf.DUMMYFUNCTION("GOOGLETRANSLATE(B10450, ""zh"", ""en"")"),"It is a more affordable home service. Compare hypertrophy, very suitable for home service.")</f>
        <v>It is a more affordable home service. Compare hypertrophy, very suitable for home service.</v>
      </c>
    </row>
    <row r="10451">
      <c r="A10451" s="1">
        <v>5.0</v>
      </c>
      <c r="B10451" s="1" t="s">
        <v>10372</v>
      </c>
      <c r="C10451" t="str">
        <f>IFERROR(__xludf.DUMMYFUNCTION("GOOGLETRANSLATE(B10451, ""zh"", ""en"")"),"Is to force the filter once used to boil water to drink before, this is the second of.")</f>
        <v>Is to force the filter once used to boil water to drink before, this is the second of.</v>
      </c>
    </row>
    <row r="10452">
      <c r="A10452" s="1">
        <v>5.0</v>
      </c>
      <c r="B10452" s="1" t="s">
        <v>10373</v>
      </c>
      <c r="C10452" t="str">
        <f>IFERROR(__xludf.DUMMYFUNCTION("GOOGLETRANSLATE(B10452, ""zh"", ""en"")"),"1 174.140 pounds wearing s just the US version is slightly longer sleeves")</f>
        <v>1 174.140 pounds wearing s just the US version is slightly longer sleeves</v>
      </c>
    </row>
    <row r="10453">
      <c r="A10453" s="1">
        <v>5.0</v>
      </c>
      <c r="B10453" s="1" t="s">
        <v>10374</v>
      </c>
      <c r="C10453" t="str">
        <f>IFERROR(__xludf.DUMMYFUNCTION("GOOGLETRANSLATE(B10453, ""zh"", ""en"")"),"Zoli baby adapt slowly get used to the cup! Beginning some resistance")</f>
        <v>Zoli baby adapt slowly get used to the cup! Beginning some resistance</v>
      </c>
    </row>
    <row r="10454">
      <c r="A10454" s="1">
        <v>5.0</v>
      </c>
      <c r="B10454" s="1" t="s">
        <v>10375</v>
      </c>
      <c r="C10454" t="str">
        <f>IFERROR(__xludf.DUMMYFUNCTION("GOOGLETRANSLATE(B10454, ""zh"", ""en"")"),"Recommended to buy this pair of shoes using CUSHION PLUS technology, the official website explained: accurate positioning, dual-density cushioning technology targeted structure, can relieve forefoot pressure, consistent with biomechanics of the foot when "&amp;"walking naturally, to keep your feet comfortable. Upper material of leather, textile materials are mainly shoe, shoes mouth circle sheep, rubber soles, shoes wide, short wide foot recommended people to buy.")</f>
        <v>Recommended to buy this pair of shoes using CUSHION PLUS technology, the official website explained: accurate positioning, dual-density cushioning technology targeted structure, can relieve forefoot pressure, consistent with biomechanics of the foot when walking naturally, to keep your feet comfortable. Upper material of leather, textile materials are mainly shoe, shoes mouth circle sheep, rubber soles, shoes wide, short wide foot recommended people to buy.</v>
      </c>
    </row>
    <row r="10455">
      <c r="A10455" s="1">
        <v>5.0</v>
      </c>
      <c r="B10455" s="1" t="s">
        <v>10376</v>
      </c>
      <c r="C10455" t="str">
        <f>IFERROR(__xludf.DUMMYFUNCTION("GOOGLETRANSLATE(B10455, ""zh"", ""en"")"),"Design science, especially science, very good, do not leak milk")</f>
        <v>Design science, especially science, very good, do not leak milk</v>
      </c>
    </row>
    <row r="10456">
      <c r="A10456" s="1">
        <v>5.0</v>
      </c>
      <c r="B10456" s="1" t="s">
        <v>10377</v>
      </c>
      <c r="C10456" t="str">
        <f>IFERROR(__xludf.DUMMYFUNCTION("GOOGLETRANSLATE(B10456, ""zh"", ""en"")"),"Good heat bottles quickly, feel good, not prone to nipple nipple confusion")</f>
        <v>Good heat bottles quickly, feel good, not prone to nipple nipple confusion</v>
      </c>
    </row>
    <row r="10457">
      <c r="A10457" s="1">
        <v>5.0</v>
      </c>
      <c r="B10457" s="1" t="s">
        <v>10378</v>
      </c>
      <c r="C10457" t="str">
        <f>IFERROR(__xludf.DUMMYFUNCTION("GOOGLETRANSLATE(B10457, ""zh"", ""en"")"),"As always, easy to use good, careful packaging, as always, easy to use - what the whole of the two!")</f>
        <v>As always, easy to use good, careful packaging, as always, easy to use - what the whole of the two!</v>
      </c>
    </row>
    <row r="10458">
      <c r="A10458" s="1">
        <v>5.0</v>
      </c>
      <c r="B10458" s="1" t="s">
        <v>10379</v>
      </c>
      <c r="C10458" t="str">
        <f>IFERROR(__xludf.DUMMYFUNCTION("GOOGLETRANSLATE(B10458, ""zh"", ""en"")"),"Good workmanship, material thick, good. Previously bought a stainless steel filter paper to use, this does not require perfection. He said parts of six people, pour a mug are dissatisfied.")</f>
        <v>Good workmanship, material thick, good. Previously bought a stainless steel filter paper to use, this does not require perfection. He said parts of six people, pour a mug are dissatisfied.</v>
      </c>
    </row>
    <row r="10459">
      <c r="A10459" s="1">
        <v>5.0</v>
      </c>
      <c r="B10459" s="1" t="s">
        <v>10380</v>
      </c>
      <c r="C10459" t="str">
        <f>IFERROR(__xludf.DUMMYFUNCTION("GOOGLETRANSLATE(B10459, ""zh"", ""en"")"),"Size is too large a bit bigger in size, 181cm86kg fitness wear L code often feel big, too loose")</f>
        <v>Size is too large a bit bigger in size, 181cm86kg fitness wear L code often feel big, too loose</v>
      </c>
    </row>
    <row r="10460">
      <c r="A10460" s="1">
        <v>2.0</v>
      </c>
      <c r="B10460" s="1" t="s">
        <v>10381</v>
      </c>
      <c r="C10460" t="str">
        <f>IFERROR(__xludf.DUMMYFUNCTION("GOOGLETRANSLATE(B10460, ""zh"", ""en"")"),"Satisfaction tried to come to the counter to buy, buy a small code number, this is a bit too large! Very comfortable very light, the price is beautiful! From Japan to send over only a few days! Super satisfied with the time shopping!")</f>
        <v>Satisfaction tried to come to the counter to buy, buy a small code number, this is a bit too large! Very comfortable very light, the price is beautiful! From Japan to send over only a few days! Super satisfied with the time shopping!</v>
      </c>
    </row>
    <row r="10461">
      <c r="A10461" s="1">
        <v>3.0</v>
      </c>
      <c r="B10461" s="1" t="s">
        <v>10382</v>
      </c>
      <c r="C10461" t="str">
        <f>IFERROR(__xludf.DUMMYFUNCTION("GOOGLETRANSLATE(B10461, ""zh"", ""en"")"),"Buy small! Slim version, cotton, slightly elastic, a little sticky ash, 172,70 kg to buy small! More suitable for medium build, older people point it!")</f>
        <v>Buy small! Slim version, cotton, slightly elastic, a little sticky ash, 172,70 kg to buy small! More suitable for medium build, older people point it!</v>
      </c>
    </row>
    <row r="10462">
      <c r="A10462" s="1">
        <v>3.0</v>
      </c>
      <c r="B10462" s="1" t="s">
        <v>10383</v>
      </c>
      <c r="C10462" t="str">
        <f>IFERROR(__xludf.DUMMYFUNCTION("GOOGLETRANSLATE(B10462, ""zh"", ""en"")"),"Plastic part is failure, the cracked pot leaks can not be used with good, boil water quickly, material security. But that is part of the plastic cracking, life is too short.")</f>
        <v>Plastic part is failure, the cracked pot leaks can not be used with good, boil water quickly, material security. But that is part of the plastic cracking, life is too short.</v>
      </c>
    </row>
    <row r="10463">
      <c r="A10463" s="1">
        <v>3.0</v>
      </c>
      <c r="B10463" s="1" t="s">
        <v>10384</v>
      </c>
      <c r="C10463" t="str">
        <f>IFERROR(__xludf.DUMMYFUNCTION("GOOGLETRANSLATE(B10463, ""zh"", ""en"")"),"Small code! The subject is not clear code is too small! It's about 155 children 90 pounds to wear high")</f>
        <v>Small code! The subject is not clear code is too small! It's about 155 children 90 pounds to wear high</v>
      </c>
    </row>
    <row r="10464">
      <c r="A10464" s="1">
        <v>1.0</v>
      </c>
      <c r="B10464" s="1" t="s">
        <v>10385</v>
      </c>
      <c r="C10464" t="str">
        <f>IFERROR(__xludf.DUMMYFUNCTION("GOOGLETRANSLATE(B10464, ""zh"", ""en"")"),"I walked into the science of how to spend money to buy a new one opened garbage. Really bad, especially in multi-thread, the material is particularly poor. This is the business of a lie, or moral turpitude? Welcome to watch this issue ""into the science o"&amp;"f how I spend money to buy a championship brand of garbage pants."" Drawings. A star are too many.")</f>
        <v>I walked into the science of how to spend money to buy a new one opened garbage. Really bad, especially in multi-thread, the material is particularly poor. This is the business of a lie, or moral turpitude? Welcome to watch this issue "into the science of how I spend money to buy a championship brand of garbage pants." Drawings. A star are too many.</v>
      </c>
    </row>
    <row r="10465">
      <c r="A10465" s="1">
        <v>1.0</v>
      </c>
      <c r="B10465" s="1" t="s">
        <v>10386</v>
      </c>
      <c r="C10465" t="str">
        <f>IFERROR(__xludf.DUMMYFUNCTION("GOOGLETRANSLATE(B10465, ""zh"", ""en"")"),"R U KIDDING ?! different color ...")</f>
        <v>R U KIDDING ?! different color ...</v>
      </c>
    </row>
    <row r="10466">
      <c r="A10466" s="1">
        <v>4.0</v>
      </c>
      <c r="B10466" s="1" t="s">
        <v>10387</v>
      </c>
      <c r="C10466" t="str">
        <f>IFERROR(__xludf.DUMMYFUNCTION("GOOGLETRANSLATE(B10466, ""zh"", ""en"")"),"Looks good, running shock may not suitable for everyday wear, board feet, tired, uncomfortable looks good, running shock may not suitable for everyday wear, board feet, tired, uncomfortable")</f>
        <v>Looks good, running shock may not suitable for everyday wear, board feet, tired, uncomfortable looks good, running shock may not suitable for everyday wear, board feet, tired, uncomfortable</v>
      </c>
    </row>
    <row r="10467">
      <c r="A10467" s="1">
        <v>4.0</v>
      </c>
      <c r="B10467" s="1" t="s">
        <v>10388</v>
      </c>
      <c r="C10467" t="str">
        <f>IFERROR(__xludf.DUMMYFUNCTION("GOOGLETRANSLATE(B10467, ""zh"", ""en"")"),"Good-looking lights are not bright enough to get started, the duration is too short, product issues, nothing to do with Amazon")</f>
        <v>Good-looking lights are not bright enough to get started, the duration is too short, product issues, nothing to do with Amazon</v>
      </c>
    </row>
    <row r="10468">
      <c r="A10468" s="1">
        <v>4.0</v>
      </c>
      <c r="B10468" s="1" t="s">
        <v>10389</v>
      </c>
      <c r="C10468" t="str">
        <f>IFERROR(__xludf.DUMMYFUNCTION("GOOGLETRANSLATE(B10468, ""zh"", ""en"")"),"Better than imagined good look at the big yellow")</f>
        <v>Better than imagined good look at the big yellow</v>
      </c>
    </row>
    <row r="10469">
      <c r="A10469" s="1">
        <v>4.0</v>
      </c>
      <c r="B10469" s="1" t="s">
        <v>10390</v>
      </c>
      <c r="C10469" t="str">
        <f>IFERROR(__xludf.DUMMYFUNCTION("GOOGLETRANSLATE(B10469, ""zh"", ""en"")"),"I want to be careful to buy watertight insulation, but really is not insulation")</f>
        <v>I want to be careful to buy watertight insulation, but really is not insulation</v>
      </c>
    </row>
    <row r="10470">
      <c r="A10470" s="1">
        <v>4.0</v>
      </c>
      <c r="B10470" s="1" t="s">
        <v>10391</v>
      </c>
      <c r="C10470" t="str">
        <f>IFERROR(__xludf.DUMMYFUNCTION("GOOGLETRANSLATE(B10470, ""zh"", ""en"")"),"Yen value is too high, the quality is also good.")</f>
        <v>Yen value is too high, the quality is also good.</v>
      </c>
    </row>
    <row r="10471">
      <c r="A10471" s="1">
        <v>5.0</v>
      </c>
      <c r="B10471" s="1" t="s">
        <v>10392</v>
      </c>
      <c r="C10471" t="str">
        <f>IFERROR(__xludf.DUMMYFUNCTION("GOOGLETRANSLATE(B10471, ""zh"", ""en"")"),"Taobao cheaper than a lot of love for the first time to buy the sea, the tariff is too expensive, no way out of domestic-made")</f>
        <v>Taobao cheaper than a lot of love for the first time to buy the sea, the tariff is too expensive, no way out of domestic-made</v>
      </c>
    </row>
    <row r="10472">
      <c r="A10472" s="1">
        <v>5.0</v>
      </c>
      <c r="B10472" s="1" t="s">
        <v>10393</v>
      </c>
      <c r="C10472" t="str">
        <f>IFERROR(__xludf.DUMMYFUNCTION("GOOGLETRANSLATE(B10472, ""zh"", ""en"")"),"Described in detail. Clothing and evaluation as expected, relatively hard, but does not wrinkle, to wear while you get used, will be a little fluff, the price is very close to the people, I am 175 tall, 60 kg, wearing this code number just right.")</f>
        <v>Described in detail. Clothing and evaluation as expected, relatively hard, but does not wrinkle, to wear while you get used, will be a little fluff, the price is very close to the people, I am 175 tall, 60 kg, wearing this code number just right.</v>
      </c>
    </row>
    <row r="10473">
      <c r="A10473" s="1">
        <v>5.0</v>
      </c>
      <c r="B10473" s="1" t="s">
        <v>10394</v>
      </c>
      <c r="C10473" t="str">
        <f>IFERROR(__xludf.DUMMYFUNCTION("GOOGLETRANSLATE(B10473, ""zh"", ""en"")"),"Good quality stuff quality is also good, that is a little small, very thin, delicate looks count, logistics and soon, quite satisfactory.")</f>
        <v>Good quality stuff quality is also good, that is a little small, very thin, delicate looks count, logistics and soon, quite satisfactory.</v>
      </c>
    </row>
    <row r="10474">
      <c r="A10474" s="1">
        <v>5.0</v>
      </c>
      <c r="B10474" s="1" t="s">
        <v>10395</v>
      </c>
      <c r="C10474" t="str">
        <f>IFERROR(__xludf.DUMMYFUNCTION("GOOGLETRANSLATE(B10474, ""zh"", ""en"")"),"Not quite pajamas collar, outer wear inappropriate, can only do pajamas")</f>
        <v>Not quite pajamas collar, outer wear inappropriate, can only do pajamas</v>
      </c>
    </row>
    <row r="10475">
      <c r="A10475" s="1">
        <v>5.0</v>
      </c>
      <c r="B10475" s="1" t="s">
        <v>10396</v>
      </c>
      <c r="C10475" t="str">
        <f>IFERROR(__xludf.DUMMYFUNCTION("GOOGLETRANSLATE(B10475, ""zh"", ""en"")"),"Bags good hiding, hiding like leather, soft leather engaging, the design is also very good, moderate size, it may be a bit too small for men. In general, also, a good hiding.")</f>
        <v>Bags good hiding, hiding like leather, soft leather engaging, the design is also very good, moderate size, it may be a bit too small for men. In general, also, a good hiding.</v>
      </c>
    </row>
    <row r="10476">
      <c r="A10476" s="1">
        <v>5.0</v>
      </c>
      <c r="B10476" s="1" t="s">
        <v>10397</v>
      </c>
      <c r="C10476" t="str">
        <f>IFERROR(__xludf.DUMMYFUNCTION("GOOGLETRANSLATE(B10476, ""zh"", ""en"")"),"Compare hypertrophy Kutong waist and length and I are very selected number of matches is Kutong feel more fat than expected")</f>
        <v>Compare hypertrophy Kutong waist and length and I are very selected number of matches is Kutong feel more fat than expected</v>
      </c>
    </row>
    <row r="10477">
      <c r="A10477" s="1">
        <v>5.0</v>
      </c>
      <c r="B10477" s="1" t="s">
        <v>10398</v>
      </c>
      <c r="C10477" t="str">
        <f>IFERROR(__xludf.DUMMYFUNCTION("GOOGLETRANSLATE(B10477, ""zh"", ""en"")"),"SHOES look good, look good on the feet comfortable on the feet comfortable shoes look great, look great on the feet comfortable shoes, comfortable dress shoes on the feet look great, comfortable on foot")</f>
        <v>SHOES look good, look good on the feet comfortable on the feet comfortable shoes look great, look great on the feet comfortable shoes, comfortable dress shoes on the feet look great, comfortable on foot</v>
      </c>
    </row>
    <row r="10478">
      <c r="A10478" s="1">
        <v>5.0</v>
      </c>
      <c r="B10478" s="1" t="s">
        <v>10399</v>
      </c>
      <c r="C10478" t="str">
        <f>IFERROR(__xludf.DUMMYFUNCTION("GOOGLETRANSLATE(B10478, ""zh"", ""en"")"),"Like the baby is like, you can divert attention the baby, eat less hand in hand. AIU direct mail is also more comfortable, his mouth something really afraid to buy a fake.")</f>
        <v>Like the baby is like, you can divert attention the baby, eat less hand in hand. AIU direct mail is also more comfortable, his mouth something really afraid to buy a fake.</v>
      </c>
    </row>
    <row r="10479">
      <c r="A10479" s="1">
        <v>5.0</v>
      </c>
      <c r="B10479" s="1" t="s">
        <v>8033</v>
      </c>
      <c r="C10479" t="str">
        <f>IFERROR(__xludf.DUMMYFUNCTION("GOOGLETRANSLATE(B10479, ""zh"", ""en"")"),"Good quality good quality")</f>
        <v>Good quality good quality</v>
      </c>
    </row>
    <row r="10480">
      <c r="A10480" s="1">
        <v>5.0</v>
      </c>
      <c r="B10480" s="1" t="s">
        <v>10400</v>
      </c>
      <c r="C10480" t="str">
        <f>IFERROR(__xludf.DUMMYFUNCTION("GOOGLETRANSLATE(B10480, ""zh"", ""en"")"),"Beautiful soft fabric, very comfortable.")</f>
        <v>Beautiful soft fabric, very comfortable.</v>
      </c>
    </row>
    <row r="10481">
      <c r="A10481" s="1">
        <v>5.0</v>
      </c>
      <c r="B10481" s="1" t="s">
        <v>10401</v>
      </c>
      <c r="C10481" t="str">
        <f>IFERROR(__xludf.DUMMYFUNCTION("GOOGLETRANSLATE(B10481, ""zh"", ""en"")"),"Not to evaluate before something really good! I do not know how much cheaper than the domestic equivalent of 70% off! Well then complete evaluation can take points Ha! Not to evaluate before something really good! I do not know how much cheaper than the d"&amp;"omestic equivalent of 70% off! Well then complete evaluation can take points Ha!")</f>
        <v>Not to evaluate before something really good! I do not know how much cheaper than the domestic equivalent of 70% off! Well then complete evaluation can take points Ha! Not to evaluate before something really good! I do not know how much cheaper than the domestic equivalent of 70% off! Well then complete evaluation can take points Ha!</v>
      </c>
    </row>
    <row r="10482">
      <c r="A10482" s="1">
        <v>5.0</v>
      </c>
      <c r="B10482" s="1" t="s">
        <v>10402</v>
      </c>
      <c r="C10482" t="str">
        <f>IFERROR(__xludf.DUMMYFUNCTION("GOOGLETRANSLATE(B10482, ""zh"", ""en"")"),"Little big a little bit big, good workmanship")</f>
        <v>Little big a little bit big, good workmanship</v>
      </c>
    </row>
    <row r="10483">
      <c r="A10483" s="1">
        <v>5.0</v>
      </c>
      <c r="B10483" s="1" t="s">
        <v>10403</v>
      </c>
      <c r="C10483" t="str">
        <f>IFERROR(__xludf.DUMMYFUNCTION("GOOGLETRANSLATE(B10483, ""zh"", ""en"")"),"Fit, good, genuine good, soft fabric, hand-cut good part of the standard type. I 188㎝, 86㎏, chose the L, just.")</f>
        <v>Fit, good, genuine good, soft fabric, hand-cut good part of the standard type. I 188㎝, 86㎏, chose the L, just.</v>
      </c>
    </row>
    <row r="10484">
      <c r="A10484" s="1">
        <v>5.0</v>
      </c>
      <c r="B10484" s="1" t="s">
        <v>10404</v>
      </c>
      <c r="C10484" t="str">
        <f>IFERROR(__xludf.DUMMYFUNCTION("GOOGLETRANSLATE(B10484, ""zh"", ""en"")"),"As thin Qiuku! ! Mrs. Mrs. thin! ! Qiuku thickness! Than Wei pants")</f>
        <v>As thin Qiuku! ! Mrs. Mrs. thin! ! Qiuku thickness! Than Wei pants</v>
      </c>
    </row>
    <row r="10485">
      <c r="A10485" s="1">
        <v>5.0</v>
      </c>
      <c r="B10485" s="1" t="s">
        <v>10405</v>
      </c>
      <c r="C10485" t="str">
        <f>IFERROR(__xludf.DUMMYFUNCTION("GOOGLETRANSLATE(B10485, ""zh"", ""en"")"),"Buyers can dress fabric, the workmanship is not very fine, just bought has not reached the businesses to cut prices! Buy Shihai forget the free postage .....")</f>
        <v>Buyers can dress fabric, the workmanship is not very fine, just bought has not reached the businesses to cut prices! Buy Shihai forget the free postage .....</v>
      </c>
    </row>
    <row r="10486">
      <c r="A10486" s="1">
        <v>5.0</v>
      </c>
      <c r="B10486" s="1" t="s">
        <v>10406</v>
      </c>
      <c r="C10486" t="str">
        <f>IFERROR(__xludf.DUMMYFUNCTION("GOOGLETRANSLATE(B10486, ""zh"", ""en"")"),"Hard disk hard disk is partitioned good, very practical, ultra-quiet, transmission speed quickly, the home of several hard drives have made a backup of data.")</f>
        <v>Hard disk hard disk is partitioned good, very practical, ultra-quiet, transmission speed quickly, the home of several hard drives have made a backup of data.</v>
      </c>
    </row>
    <row r="10487">
      <c r="A10487" s="1">
        <v>5.0</v>
      </c>
      <c r="B10487" s="1" t="s">
        <v>10407</v>
      </c>
      <c r="C10487" t="str">
        <f>IFERROR(__xludf.DUMMYFUNCTION("GOOGLETRANSLATE(B10487, ""zh"", ""en"")"),"Than domestic sports shoes most of the code, other than the satisfaction of domestic sports shoes most of the code, other satisfaction")</f>
        <v>Than domestic sports shoes most of the code, other than the satisfaction of domestic sports shoes most of the code, other satisfaction</v>
      </c>
    </row>
    <row r="10488">
      <c r="A10488" s="1">
        <v>5.0</v>
      </c>
      <c r="B10488" s="1" t="s">
        <v>10408</v>
      </c>
      <c r="C10488" t="str">
        <f>IFERROR(__xludf.DUMMYFUNCTION("GOOGLETRANSLATE(B10488, ""zh"", ""en"")"),"The first sea did not capsize shoes seven days to come, get a confirmation is brand new, no problem. Particularly comfortable to wear in winter.")</f>
        <v>The first sea did not capsize shoes seven days to come, get a confirmation is brand new, no problem. Particularly comfortable to wear in winter.</v>
      </c>
    </row>
    <row r="10489">
      <c r="A10489" s="1">
        <v>5.0</v>
      </c>
      <c r="B10489" s="1" t="s">
        <v>10409</v>
      </c>
      <c r="C10489" t="str">
        <f>IFERROR(__xludf.DUMMYFUNCTION("GOOGLETRANSLATE(B10489, ""zh"", ""en"")"),"More like bananas baby bananas prefer paragraph, bananas Nade Wen better, but I have a banana and we have to give him a change of mood to buy octopus")</f>
        <v>More like bananas baby bananas prefer paragraph, bananas Nade Wen better, but I have a banana and we have to give him a change of mood to buy octopus</v>
      </c>
    </row>
    <row r="10490">
      <c r="A10490" s="1">
        <v>5.0</v>
      </c>
      <c r="B10490" s="1" t="s">
        <v>10410</v>
      </c>
      <c r="C10490" t="str">
        <f>IFERROR(__xludf.DUMMYFUNCTION("GOOGLETRANSLATE(B10490, ""zh"", ""en"")"),"Like too large, but very warm, although there is no feeling of 450d, 300d but certainly effective, the key still so thin, much better than some brands, has repurchased")</f>
        <v>Like too large, but very warm, although there is no feeling of 450d, 300d but certainly effective, the key still so thin, much better than some brands, has repurchased</v>
      </c>
    </row>
    <row r="10491">
      <c r="A10491" s="1">
        <v>5.0</v>
      </c>
      <c r="B10491" s="1" t="s">
        <v>10411</v>
      </c>
      <c r="C10491" t="str">
        <f>IFERROR(__xludf.DUMMYFUNCTION("GOOGLETRANSLATE(B10491, ""zh"", ""en"")"),"Good quality is very good, although the price and almost home, but I heard good Japanese quality.")</f>
        <v>Good quality is very good, although the price and almost home, but I heard good Japanese quality.</v>
      </c>
    </row>
    <row r="10492">
      <c r="A10492" s="1">
        <v>5.0</v>
      </c>
      <c r="B10492" s="1" t="s">
        <v>10412</v>
      </c>
      <c r="C10492" t="str">
        <f>IFERROR(__xludf.DUMMYFUNCTION("GOOGLETRANSLATE(B10492, ""zh"", ""en"")"),"Pretty stockpile, the baby has not been able yet")</f>
        <v>Pretty stockpile, the baby has not been able yet</v>
      </c>
    </row>
    <row r="10493">
      <c r="A10493" s="1">
        <v>2.0</v>
      </c>
      <c r="B10493" s="1" t="s">
        <v>10413</v>
      </c>
      <c r="C10493" t="str">
        <f>IFERROR(__xludf.DUMMYFUNCTION("GOOGLETRANSLATE(B10493, ""zh"", ""en"")"),"Against posts to wear uncomfortable, inappropriate, good quality, but the price is cheap")</f>
        <v>Against posts to wear uncomfortable, inappropriate, good quality, but the price is cheap</v>
      </c>
    </row>
    <row r="10494">
      <c r="A10494" s="1">
        <v>3.0</v>
      </c>
      <c r="B10494" s="1" t="s">
        <v>10414</v>
      </c>
      <c r="C10494" t="str">
        <f>IFERROR(__xludf.DUMMYFUNCTION("GOOGLETRANSLATE(B10494, ""zh"", ""en"")"),"How to pick their own waist size. Waist is too large, I chose the waist of 40W, 40 × 2.54 = 101.6cm, but actually there is 107cm, I counted wrong or what I do not know.")</f>
        <v>How to pick their own waist size. Waist is too large, I chose the waist of 40W, 40 × 2.54 = 101.6cm, but actually there is 107cm, I counted wrong or what I do not know.</v>
      </c>
    </row>
    <row r="10495">
      <c r="A10495" s="1">
        <v>3.0</v>
      </c>
      <c r="B10495" s="1" t="s">
        <v>10415</v>
      </c>
      <c r="C10495" t="str">
        <f>IFERROR(__xludf.DUMMYFUNCTION("GOOGLETRANSLATE(B10495, ""zh"", ""en"")"),"Do not recommend buying 165/118 Waist 71 Hips 94 black fade if the number is too large towel aunt aunt torn towel pad contact surfaces are all black fur")</f>
        <v>Do not recommend buying 165/118 Waist 71 Hips 94 black fade if the number is too large towel aunt aunt torn towel pad contact surfaces are all black fur</v>
      </c>
    </row>
    <row r="10496">
      <c r="A10496" s="1">
        <v>1.0</v>
      </c>
      <c r="B10496" s="1" t="s">
        <v>10416</v>
      </c>
      <c r="C10496" t="str">
        <f>IFERROR(__xludf.DUMMYFUNCTION("GOOGLETRANSLATE(B10496, ""zh"", ""en"")"),"Large size color yardage allowed allowed for a small yardage allowed for a large, color is also great, very dark, very dark color clothes")</f>
        <v>Large size color yardage allowed allowed for a small yardage allowed for a large, color is also great, very dark, very dark color clothes</v>
      </c>
    </row>
    <row r="10497">
      <c r="A10497" s="1">
        <v>1.0</v>
      </c>
      <c r="B10497" s="1" t="s">
        <v>10417</v>
      </c>
      <c r="C10497" t="str">
        <f>IFERROR(__xludf.DUMMYFUNCTION("GOOGLETRANSLATE(B10497, ""zh"", ""en"")"),"Nachulaimai bad can it? ? ? I am very happy pen to get results showed that the bad! ! !")</f>
        <v>Nachulaimai bad can it? ? ? I am very happy pen to get results showed that the bad! ! !</v>
      </c>
    </row>
    <row r="10498">
      <c r="A10498" s="1">
        <v>1.0</v>
      </c>
      <c r="B10498" s="1" t="s">
        <v>10418</v>
      </c>
      <c r="C10498" t="str">
        <f>IFERROR(__xludf.DUMMYFUNCTION("GOOGLETRANSLATE(B10498, ""zh"", ""en"")"),"Unlike the genuine bad lot! ! Disappointed ah! Only washed once, pilling! !")</f>
        <v>Unlike the genuine bad lot! ! Disappointed ah! Only washed once, pilling! !</v>
      </c>
    </row>
    <row r="10499">
      <c r="A10499" s="1">
        <v>4.0</v>
      </c>
      <c r="B10499" s="1" t="s">
        <v>10419</v>
      </c>
      <c r="C10499" t="str">
        <f>IFERROR(__xludf.DUMMYFUNCTION("GOOGLETRANSLATE(B10499, ""zh"", ""en"")"),"Clothes fabric is very soft and comfortable clothes soft and comfortable to wear, the only feeling inadequate is very tight sleeves, belonging to Slim version of model, with a waist")</f>
        <v>Clothes fabric is very soft and comfortable clothes soft and comfortable to wear, the only feeling inadequate is very tight sleeves, belonging to Slim version of model, with a waist</v>
      </c>
    </row>
    <row r="10500">
      <c r="A10500" s="1">
        <v>4.0</v>
      </c>
      <c r="B10500" s="1" t="s">
        <v>10420</v>
      </c>
      <c r="C10500" t="str">
        <f>IFERROR(__xludf.DUMMYFUNCTION("GOOGLETRANSLATE(B10500, ""zh"", ""en"")"),"Watch or can, have obsessive-compulsive disorder seriously consider the advantages of: 1. shape 2. Time can also compare the registration error is still not large multi-function 3. While practicality is not strong disadvantages: 1. Other reviews are reall"&amp;"y second hand partial misalignment of the scale, carefully choose obsessive-compulsive disorder, although the second hand with a little soft, but looked really uncomfortable 2. strap just got the feeling is similar to frosted, and then took place a few da"&amp;"ys there will be frequent friction polished feel (their own brain supplement), some polished and some matte, looks and feels dirty 3. the second hand moves basically sound really big this price calculation can still buy")</f>
        <v>Watch or can, have obsessive-compulsive disorder seriously consider the advantages of: 1. shape 2. Time can also compare the registration error is still not large multi-function 3. While practicality is not strong disadvantages: 1. Other reviews are really second hand partial misalignment of the scale, carefully choose obsessive-compulsive disorder, although the second hand with a little soft, but looked really uncomfortable 2. strap just got the feeling is similar to frosted, and then took place a few days there will be frequent friction polished feel (their own brain supplement), some polished and some matte, looks and feels dirty 3. the second hand moves basically sound really big this price calculation can still buy</v>
      </c>
    </row>
    <row r="10501">
      <c r="A10501" s="1">
        <v>4.0</v>
      </c>
      <c r="B10501" s="1" t="s">
        <v>10421</v>
      </c>
      <c r="C10501" t="str">
        <f>IFERROR(__xludf.DUMMYFUNCTION("GOOGLETRANSLATE(B10501, ""zh"", ""en"")"),"Oh, can also be pretty good quality ...... ...... ...... good price yeah")</f>
        <v>Oh, can also be pretty good quality ...... ...... ...... good price yeah</v>
      </c>
    </row>
    <row r="10502">
      <c r="A10502" s="1">
        <v>4.0</v>
      </c>
      <c r="B10502" s="1" t="s">
        <v>10422</v>
      </c>
      <c r="C10502" t="str">
        <f>IFERROR(__xludf.DUMMYFUNCTION("GOOGLETRANSLATE(B10502, ""zh"", ""en"")"),"It can only be used for storage. Only 30MB / S, it is not too good, is limited by the slow speed.")</f>
        <v>It can only be used for storage. Only 30MB / S, it is not too good, is limited by the slow speed.</v>
      </c>
    </row>
    <row r="10503">
      <c r="A10503" s="1">
        <v>4.0</v>
      </c>
      <c r="B10503" s="1" t="s">
        <v>10423</v>
      </c>
      <c r="C10503" t="str">
        <f>IFERROR(__xludf.DUMMYFUNCTION("GOOGLETRANSLATE(B10503, ""zh"", ""en"")"),"A little bit big before buying the same brand of underwear, M numbers a little, this time chose L, a bit too large. Comfortable, feel good, once I bought four.")</f>
        <v>A little bit big before buying the same brand of underwear, M numbers a little, this time chose L, a bit too large. Comfortable, feel good, once I bought four.</v>
      </c>
    </row>
    <row r="10504">
      <c r="A10504" s="1">
        <v>5.0</v>
      </c>
      <c r="B10504" s="1" t="s">
        <v>10424</v>
      </c>
      <c r="C10504" t="str">
        <f>IFERROR(__xludf.DUMMYFUNCTION("GOOGLETRANSLATE(B10504, ""zh"", ""en"")"),"Practical convenience with adapter, very good, can be versatile, transmission speed")</f>
        <v>Practical convenience with adapter, very good, can be versatile, transmission speed</v>
      </c>
    </row>
    <row r="10505">
      <c r="A10505" s="1">
        <v>5.0</v>
      </c>
      <c r="B10505" s="1" t="s">
        <v>10425</v>
      </c>
      <c r="C10505" t="str">
        <f>IFERROR(__xludf.DUMMYFUNCTION("GOOGLETRANSLATE(B10505, ""zh"", ""en"")"),"Bangladesh recommended capacity, work better than the texture of Mexico production. Low waist, very flexible, very thin legs. Very suitable for young people, high cost.")</f>
        <v>Bangladesh recommended capacity, work better than the texture of Mexico production. Low waist, very flexible, very thin legs. Very suitable for young people, high cost.</v>
      </c>
    </row>
    <row r="10506">
      <c r="A10506" s="1">
        <v>5.0</v>
      </c>
      <c r="B10506" s="1" t="s">
        <v>10426</v>
      </c>
      <c r="C10506" t="str">
        <f>IFERROR(__xludf.DUMMYFUNCTION("GOOGLETRANSLATE(B10506, ""zh"", ""en"")"),"Good 172,75 KG 30/30, just")</f>
        <v>Good 172,75 KG 30/30, just</v>
      </c>
    </row>
    <row r="10507">
      <c r="A10507" s="1">
        <v>5.0</v>
      </c>
      <c r="B10507" s="1" t="s">
        <v>10427</v>
      </c>
      <c r="C10507" t="str">
        <f>IFERROR(__xludf.DUMMYFUNCTION("GOOGLETRANSLATE(B10507, ""zh"", ""en"")"),"Clothes very appropriate clothing is appropriate, 175cm, 62Kg,")</f>
        <v>Clothes very appropriate clothing is appropriate, 175cm, 62Kg,</v>
      </c>
    </row>
    <row r="10508">
      <c r="A10508" s="1">
        <v>5.0</v>
      </c>
      <c r="B10508" s="1" t="s">
        <v>10428</v>
      </c>
      <c r="C10508" t="str">
        <f>IFERROR(__xludf.DUMMYFUNCTION("GOOGLETRANSLATE(B10508, ""zh"", ""en"")"),"Partial code is not fit 53cm L Bust, the allowed data size of the table, the basic codes are not partial, very fit.")</f>
        <v>Partial code is not fit 53cm L Bust, the allowed data size of the table, the basic codes are not partial, very fit.</v>
      </c>
    </row>
    <row r="10509">
      <c r="A10509" s="1">
        <v>5.0</v>
      </c>
      <c r="B10509" s="1" t="s">
        <v>10429</v>
      </c>
      <c r="C10509" t="str">
        <f>IFERROR(__xludf.DUMMYFUNCTION("GOOGLETRANSLATE(B10509, ""zh"", ""en"")"),"Okay okay, right size. 1 m M 7, 72 kg suitable.")</f>
        <v>Okay okay, right size. 1 m M 7, 72 kg suitable.</v>
      </c>
    </row>
    <row r="10510">
      <c r="A10510" s="1">
        <v>5.0</v>
      </c>
      <c r="B10510" s="1" t="s">
        <v>10430</v>
      </c>
      <c r="C10510" t="str">
        <f>IFERROR(__xludf.DUMMYFUNCTION("GOOGLETRANSLATE(B10510, ""zh"", ""en"")"),"Beautiful black five special price of looting, 1.2 more than 1,200 suits, used now, especially cost-effective.")</f>
        <v>Beautiful black five special price of looting, 1.2 more than 1,200 suits, used now, especially cost-effective.</v>
      </c>
    </row>
    <row r="10511">
      <c r="A10511" s="1">
        <v>5.0</v>
      </c>
      <c r="B10511" s="1" t="s">
        <v>10431</v>
      </c>
      <c r="C10511" t="str">
        <f>IFERROR(__xludf.DUMMYFUNCTION("GOOGLETRANSLATE(B10511, ""zh"", ""en"")"),"Overall satisfaction, and expected little difference. 174cm, 62kg, 29w * 30L appropriate. Washed more powerful, hands are arrived lint.")</f>
        <v>Overall satisfaction, and expected little difference. 174cm, 62kg, 29w * 30L appropriate. Washed more powerful, hands are arrived lint.</v>
      </c>
    </row>
    <row r="10512">
      <c r="A10512" s="1">
        <v>5.0</v>
      </c>
      <c r="B10512" s="1" t="s">
        <v>10432</v>
      </c>
      <c r="C10512" t="str">
        <f>IFERROR(__xludf.DUMMYFUNCTION("GOOGLETRANSLATE(B10512, ""zh"", ""en"")"),"Well with this baby will drink water, no longer have to spoon feed flow around the.")</f>
        <v>Well with this baby will drink water, no longer have to spoon feed flow around the.</v>
      </c>
    </row>
    <row r="10513">
      <c r="A10513" s="1">
        <v>5.0</v>
      </c>
      <c r="B10513" s="1" t="s">
        <v>10433</v>
      </c>
      <c r="C10513" t="str">
        <f>IFERROR(__xludf.DUMMYFUNCTION("GOOGLETRANSLATE(B10513, ""zh"", ""en"")"),"Good daily replenishment")</f>
        <v>Good daily replenishment</v>
      </c>
    </row>
    <row r="10514">
      <c r="A10514" s="1">
        <v>5.0</v>
      </c>
      <c r="B10514" s="1" t="s">
        <v>10434</v>
      </c>
      <c r="C10514" t="str">
        <f>IFERROR(__xludf.DUMMYFUNCTION("GOOGLETRANSLATE(B10514, ""zh"", ""en"")"),"Multi-store point total right enough for some time, the price was right for multi-store")</f>
        <v>Multi-store point total right enough for some time, the price was right for multi-store</v>
      </c>
    </row>
    <row r="10515">
      <c r="A10515" s="1">
        <v>5.0</v>
      </c>
      <c r="B10515" s="1" t="s">
        <v>10435</v>
      </c>
      <c r="C10515" t="str">
        <f>IFERROR(__xludf.DUMMYFUNCTION("GOOGLETRANSLATE(B10515, ""zh"", ""en"")"),"Size is too large to wear No. 180/100 of her husband, this brand to buy L code is too large, should buy the appropriate M, but the return of trouble, but also be able to wear larger, then buy this brand to buy M code")</f>
        <v>Size is too large to wear No. 180/100 of her husband, this brand to buy L code is too large, should buy the appropriate M, but the return of trouble, but also be able to wear larger, then buy this brand to buy M code</v>
      </c>
    </row>
    <row r="10516">
      <c r="A10516" s="1">
        <v>5.0</v>
      </c>
      <c r="B10516" s="1" t="s">
        <v>10436</v>
      </c>
      <c r="C10516" t="str">
        <f>IFERROR(__xludf.DUMMYFUNCTION("GOOGLETRANSLATE(B10516, ""zh"", ""en"")"),"Yeah how bad pick size L of each country are not the same ah ...... Japan's small. Europe is too large")</f>
        <v>Yeah how bad pick size L of each country are not the same ah ...... Japan's small. Europe is too large</v>
      </c>
    </row>
    <row r="10517">
      <c r="A10517" s="1">
        <v>5.0</v>
      </c>
      <c r="B10517" s="1" t="s">
        <v>10437</v>
      </c>
      <c r="C10517" t="str">
        <f>IFERROR(__xludf.DUMMYFUNCTION("GOOGLETRANSLATE(B10517, ""zh"", ""en"")"),"Usually 85B, the right size usually 85B, the right size.")</f>
        <v>Usually 85B, the right size usually 85B, the right size.</v>
      </c>
    </row>
    <row r="10518">
      <c r="A10518" s="1">
        <v>5.0</v>
      </c>
      <c r="B10518" s="1" t="s">
        <v>10438</v>
      </c>
      <c r="C10518" t="str">
        <f>IFERROR(__xludf.DUMMYFUNCTION("GOOGLETRANSLATE(B10518, ""zh"", ""en"")"),"Some good fade, wear comfortable and generous, good")</f>
        <v>Some good fade, wear comfortable and generous, good</v>
      </c>
    </row>
    <row r="10519">
      <c r="A10519" s="1">
        <v>5.0</v>
      </c>
      <c r="B10519" s="1" t="s">
        <v>10439</v>
      </c>
      <c r="C10519" t="str">
        <f>IFERROR(__xludf.DUMMYFUNCTION("GOOGLETRANSLATE(B10519, ""zh"", ""en"")"),"Nice golden brown bottle with flash, matte texture, feeling kind of low-key luxury.")</f>
        <v>Nice golden brown bottle with flash, matte texture, feeling kind of low-key luxury.</v>
      </c>
    </row>
    <row r="10520">
      <c r="A10520" s="1">
        <v>5.0</v>
      </c>
      <c r="B10520" s="1" t="s">
        <v>10440</v>
      </c>
      <c r="C10520" t="str">
        <f>IFERROR(__xludf.DUMMYFUNCTION("GOOGLETRANSLATE(B10520, ""zh"", ""en"")"),"Really nice pants while lee bought two pants, this very comfortable, another piece of fabric too hard, not easy to squat, wear socks difficult. All in all these pants very good, worth buying.")</f>
        <v>Really nice pants while lee bought two pants, this very comfortable, another piece of fabric too hard, not easy to squat, wear socks difficult. All in all these pants very good, worth buying.</v>
      </c>
    </row>
    <row r="10521">
      <c r="A10521" s="1">
        <v>5.0</v>
      </c>
      <c r="B10521" s="1" t="s">
        <v>10441</v>
      </c>
      <c r="C10521" t="str">
        <f>IFERROR(__xludf.DUMMYFUNCTION("GOOGLETRANSLATE(B10521, ""zh"", ""en"")"),"Is praise introduced as design and fabric-like comfort, size version of the fabrics are satisfied. ok👌")</f>
        <v>Is praise introduced as design and fabric-like comfort, size version of the fabrics are satisfied. ok👌</v>
      </c>
    </row>
    <row r="10522">
      <c r="A10522" s="1">
        <v>5.0</v>
      </c>
      <c r="B10522" s="1" t="s">
        <v>10442</v>
      </c>
      <c r="C10522" t="str">
        <f>IFERROR(__xludf.DUMMYFUNCTION("GOOGLETRANSLATE(B10522, ""zh"", ""en"")"),"Good quality will buy the right size is my favorite color")</f>
        <v>Good quality will buy the right size is my favorite color</v>
      </c>
    </row>
    <row r="10523">
      <c r="A10523" s="1">
        <v>5.0</v>
      </c>
      <c r="B10523" s="1" t="s">
        <v>10443</v>
      </c>
      <c r="C10523" t="str">
        <f>IFERROR(__xludf.DUMMYFUNCTION("GOOGLETRANSLATE(B10523, ""zh"", ""en"")"),"OMG OMG This color is also good read it! Buy it!")</f>
        <v>OMG OMG This color is also good read it! Buy it!</v>
      </c>
    </row>
    <row r="10524">
      <c r="A10524" s="1">
        <v>5.0</v>
      </c>
      <c r="B10524" s="1" t="s">
        <v>10444</v>
      </c>
      <c r="C10524" t="str">
        <f>IFERROR(__xludf.DUMMYFUNCTION("GOOGLETRANSLATE(B10524, ""zh"", ""en"")"),"Bottles no problem with me before the US Sea Amoy like this to help a friend with a bottle I've had I do not know how many, in addition to sometimes express not take heart not out of the box crushed issues, see the comments so much doubt true and false ve"&amp;"ry funny, I find before purchasing my daughter in the United States and Asia to buy transport to return home, with the sea in the Amazon Amoy exactly the same. Individual can sweep the yard, sweep the yard sweep suit does not come out, but things are the "&amp;"same, so those who find fault party venue and maternal stores, you buy expensive Well, do not mislead people! Serious suspected opponents sent care! I know purchasing AIU often buy something, Amazon is really the conscience of US imperialism business, ple"&amp;"ase do not for selfish casually climb bite OK? My daughter used this bottle to drink milk every day, because the leak is screwed tightly inside the silicone pad deformation really it!")</f>
        <v>Bottles no problem with me before the US Sea Amoy like this to help a friend with a bottle I've had I do not know how many, in addition to sometimes express not take heart not out of the box crushed issues, see the comments so much doubt true and false very funny, I find before purchasing my daughter in the United States and Asia to buy transport to return home, with the sea in the Amazon Amoy exactly the same. Individual can sweep the yard, sweep the yard sweep suit does not come out, but things are the same, so those who find fault party venue and maternal stores, you buy expensive Well, do not mislead people! Serious suspected opponents sent care! I know purchasing AIU often buy something, Amazon is really the conscience of US imperialism business, please do not for selfish casually climb bite OK? My daughter used this bottle to drink milk every day, because the leak is screwed tightly inside the silicone pad deformation really it!</v>
      </c>
    </row>
    <row r="10525">
      <c r="A10525" s="1">
        <v>5.0</v>
      </c>
      <c r="B10525" s="1" t="s">
        <v>10445</v>
      </c>
      <c r="C10525" t="str">
        <f>IFERROR(__xludf.DUMMYFUNCTION("GOOGLETRANSLATE(B10525, ""zh"", ""en"")"),"Size appropriate, cost-effective purchase of No. 45, can not wear, the number right size.")</f>
        <v>Size appropriate, cost-effective purchase of No. 45, can not wear, the number right size.</v>
      </c>
    </row>
    <row r="10526">
      <c r="A10526" s="1">
        <v>2.0</v>
      </c>
      <c r="B10526" s="1" t="s">
        <v>10446</v>
      </c>
      <c r="C10526" t="str">
        <f>IFERROR(__xludf.DUMMYFUNCTION("GOOGLETRANSLATE(B10526, ""zh"", ""en"")"),"Well worth having is not easy to scratch watertight")</f>
        <v>Well worth having is not easy to scratch watertight</v>
      </c>
    </row>
    <row r="10527">
      <c r="A10527" s="1">
        <v>3.0</v>
      </c>
      <c r="B10527" s="1" t="s">
        <v>10447</v>
      </c>
      <c r="C10527" t="str">
        <f>IFERROR(__xludf.DUMMYFUNCTION("GOOGLETRANSLATE(B10527, ""zh"", ""en"")"),"Although hundreds of dollars is not bad bargain, but that is Casio, the quality is good, and also looks good, very good-looking, it is recommended to need to watch and cash-strapped brother, I want to use it to show off, then on a free the")</f>
        <v>Although hundreds of dollars is not bad bargain, but that is Casio, the quality is good, and also looks good, very good-looking, it is recommended to need to watch and cash-strapped brother, I want to use it to show off, then on a free the</v>
      </c>
    </row>
    <row r="10528">
      <c r="A10528" s="1">
        <v>3.0</v>
      </c>
      <c r="B10528" s="1" t="s">
        <v>10448</v>
      </c>
      <c r="C10528" t="str">
        <f>IFERROR(__xludf.DUMMYFUNCTION("GOOGLETRANSLATE(B10528, ""zh"", ""en"")"),"13 years under extremely poor packaging, simple packaging chilling, hope upper body good results")</f>
        <v>13 years under extremely poor packaging, simple packaging chilling, hope upper body good results</v>
      </c>
    </row>
    <row r="10529">
      <c r="A10529" s="1">
        <v>3.0</v>
      </c>
      <c r="B10529" s="1" t="s">
        <v>10449</v>
      </c>
      <c r="C10529" t="str">
        <f>IFERROR(__xludf.DUMMYFUNCTION("GOOGLETRANSLATE(B10529, ""zh"", ""en"")"),"Chinese-made package feels it bought JH times or defective. .")</f>
        <v>Chinese-made package feels it bought JH times or defective. .</v>
      </c>
    </row>
    <row r="10530">
      <c r="A10530" s="1">
        <v>1.0</v>
      </c>
      <c r="B10530" s="1" t="s">
        <v>10450</v>
      </c>
      <c r="C10530" t="str">
        <f>IFERROR(__xludf.DUMMYFUNCTION("GOOGLETRANSLATE(B10530, ""zh"", ""en"")"),"Goods scanning process requires the goods do not match, there is no ink suction tube, only disposable ink tube")</f>
        <v>Goods scanning process requires the goods do not match, there is no ink suction tube, only disposable ink tube</v>
      </c>
    </row>
    <row r="10531">
      <c r="A10531" s="1">
        <v>1.0</v>
      </c>
      <c r="B10531" s="1" t="s">
        <v>10451</v>
      </c>
      <c r="C10531" t="str">
        <f>IFERROR(__xludf.DUMMYFUNCTION("GOOGLETRANSLATE(B10531, ""zh"", ""en"")"),"No power cord received the goods lack the power cord, contact the customer, but also the processing time in January")</f>
        <v>No power cord received the goods lack the power cord, contact the customer, but also the processing time in January</v>
      </c>
    </row>
    <row r="10532">
      <c r="A10532" s="1">
        <v>4.0</v>
      </c>
      <c r="B10532" s="1" t="s">
        <v>10452</v>
      </c>
      <c r="C10532" t="str">
        <f>IFERROR(__xludf.DUMMYFUNCTION("GOOGLETRANSLATE(B10532, ""zh"", ""en"")"),"Champion's size chart is very accurate, of course, I started to experience before the United States Department of view according to the letter S is not just a good 175 cm 72 kg S is the actual performance, static next Cean Well, pull up on the move involv"&amp;"es pulling . By Size Table I are very precise M. Make do with a slightly.")</f>
        <v>Champion's size chart is very accurate, of course, I started to experience before the United States Department of view according to the letter S is not just a good 175 cm 72 kg S is the actual performance, static next Cean Well, pull up on the move involves pulling . By Size Table I are very precise M. Make do with a slightly.</v>
      </c>
    </row>
    <row r="10533">
      <c r="A10533" s="1">
        <v>4.0</v>
      </c>
      <c r="B10533" s="1" t="s">
        <v>10453</v>
      </c>
      <c r="C10533" t="str">
        <f>IFERROR(__xludf.DUMMYFUNCTION("GOOGLETRANSLATE(B10533, ""zh"", ""en"")"),"37 yards wide foot, the right lateral wear, slightly longer than the length of some 37 yards wide foot, the right lateral wear, some slightly longer, very soft leather, so they considered bad foot")</f>
        <v>37 yards wide foot, the right lateral wear, slightly longer than the length of some 37 yards wide foot, the right lateral wear, some slightly longer, very soft leather, so they considered bad foot</v>
      </c>
    </row>
    <row r="10534">
      <c r="A10534" s="1">
        <v>4.0</v>
      </c>
      <c r="B10534" s="1" t="s">
        <v>10454</v>
      </c>
      <c r="C10534" t="str">
        <f>IFERROR(__xludf.DUMMYFUNCTION("GOOGLETRANSLATE(B10534, ""zh"", ""en"")"),"Picture color and serious bought a pair of tarmac, across the sea for 10 days. Color is army green, and pictures are not the same, Portuguese production, processing thread work well, the first double Ecco shoes, nothing bad to say. Ouma usually wear shoes"&amp;" 40, this is 40, put on tiptoe a little gap. It seems a little Ecco shoes generally too large. With the insole is very thin. I hope comfortable to wear.")</f>
        <v>Picture color and serious bought a pair of tarmac, across the sea for 10 days. Color is army green, and pictures are not the same, Portuguese production, processing thread work well, the first double Ecco shoes, nothing bad to say. Ouma usually wear shoes 40, this is 40, put on tiptoe a little gap. It seems a little Ecco shoes generally too large. With the insole is very thin. I hope comfortable to wear.</v>
      </c>
    </row>
    <row r="10535">
      <c r="A10535" s="1">
        <v>4.0</v>
      </c>
      <c r="B10535" s="1" t="s">
        <v>10455</v>
      </c>
      <c r="C10535" t="str">
        <f>IFERROR(__xludf.DUMMYFUNCTION("GOOGLETRANSLATE(B10535, ""zh"", ""en"")"),"Note the size produced in Indonesia, buy small half a yard, wearing just, this is quite narrow, wide feet can be properly most of the code, optimistic about the size, the size of the United States Code, Ouma table is, it will not pay attention to the wron"&amp;"g code, but shoes are very beautiful.")</f>
        <v>Note the size produced in Indonesia, buy small half a yard, wearing just, this is quite narrow, wide feet can be properly most of the code, optimistic about the size, the size of the United States Code, Ouma table is, it will not pay attention to the wrong code, but shoes are very beautiful.</v>
      </c>
    </row>
    <row r="10536">
      <c r="A10536" s="1">
        <v>4.0</v>
      </c>
      <c r="B10536" s="1" t="s">
        <v>10456</v>
      </c>
      <c r="C10536" t="str">
        <f>IFERROR(__xludf.DUMMYFUNCTION("GOOGLETRANSLATE(B10536, ""zh"", ""en"")"),"OK 178cm, 83kg, L number, and slightly larger for reference. Clothes itself can also work, from the Philippines, ......")</f>
        <v>OK 178cm, 83kg, L number, and slightly larger for reference. Clothes itself can also work, from the Philippines, ......</v>
      </c>
    </row>
    <row r="10537">
      <c r="A10537" s="1">
        <v>5.0</v>
      </c>
      <c r="B10537" s="1" t="s">
        <v>10457</v>
      </c>
      <c r="C10537" t="str">
        <f>IFERROR(__xludf.DUMMYFUNCTION("GOOGLETRANSLATE(B10537, ""zh"", ""en"")"),"170 size is too large, the weight 54, the customer service recommended too M, S for a suitable, slightly resilient and comfortable to wear")</f>
        <v>170 size is too large, the weight 54, the customer service recommended too M, S for a suitable, slightly resilient and comfortable to wear</v>
      </c>
    </row>
    <row r="10538">
      <c r="A10538" s="1">
        <v>5.0</v>
      </c>
      <c r="B10538" s="1" t="s">
        <v>10458</v>
      </c>
      <c r="C10538" t="str">
        <f>IFERROR(__xludf.DUMMYFUNCTION("GOOGLETRANSLATE(B10538, ""zh"", ""en"")"),"Genuine, good quality, good speed is genuine soft bottom, usually wear 35.36, selected codes 3-4.")</f>
        <v>Genuine, good quality, good speed is genuine soft bottom, usually wear 35.36, selected codes 3-4.</v>
      </c>
    </row>
    <row r="10539">
      <c r="A10539" s="1">
        <v>5.0</v>
      </c>
      <c r="B10539" s="1" t="s">
        <v>10459</v>
      </c>
      <c r="C10539" t="str">
        <f>IFERROR(__xludf.DUMMYFUNCTION("GOOGLETRANSLATE(B10539, ""zh"", ""en"")"),"The new buy when you did not see the new written above it? The new is thin, you")</f>
        <v>The new buy when you did not see the new written above it? The new is thin, you</v>
      </c>
    </row>
    <row r="10540">
      <c r="A10540" s="1">
        <v>5.0</v>
      </c>
      <c r="B10540" s="1" t="s">
        <v>10460</v>
      </c>
      <c r="C10540" t="str">
        <f>IFERROR(__xludf.DUMMYFUNCTION("GOOGLETRANSLATE(B10540, ""zh"", ""en"")"),"Yes well, you can shave a round, commonly known as watermelon scoop")</f>
        <v>Yes well, you can shave a round, commonly known as watermelon scoop</v>
      </c>
    </row>
    <row r="10541">
      <c r="A10541" s="1">
        <v>5.0</v>
      </c>
      <c r="B10541" s="1" t="s">
        <v>10461</v>
      </c>
      <c r="C10541" t="str">
        <f>IFERROR(__xludf.DUMMYFUNCTION("GOOGLETRANSLATE(B10541, ""zh"", ""en"")"),"Really good table, Amazon operated stores at ease, the right size, is genuine")</f>
        <v>Really good table, Amazon operated stores at ease, the right size, is genuine</v>
      </c>
    </row>
    <row r="10542">
      <c r="A10542" s="1">
        <v>5.0</v>
      </c>
      <c r="B10542" s="1" t="s">
        <v>10462</v>
      </c>
      <c r="C10542" t="str">
        <f>IFERROR(__xludf.DUMMYFUNCTION("GOOGLETRANSLATE(B10542, ""zh"", ""en"")"),"Before bought to wear short-sleeved version for sports feel good, it has bought a long-sleeved, short-sleeved and as comfortable to wear breathable, suitable to wear during exercise, more satisfied")</f>
        <v>Before bought to wear short-sleeved version for sports feel good, it has bought a long-sleeved, short-sleeved and as comfortable to wear breathable, suitable to wear during exercise, more satisfied</v>
      </c>
    </row>
    <row r="10543">
      <c r="A10543" s="1">
        <v>5.0</v>
      </c>
      <c r="B10543" s="1" t="s">
        <v>10463</v>
      </c>
      <c r="C10543" t="str">
        <f>IFERROR(__xludf.DUMMYFUNCTION("GOOGLETRANSLATE(B10543, ""zh"", ""en"")"),"Looked pretty good, than the average vest big 173CM 100KG, just wear XL, is a bit long clothes")</f>
        <v>Looked pretty good, than the average vest big 173CM 100KG, just wear XL, is a bit long clothes</v>
      </c>
    </row>
    <row r="10544">
      <c r="A10544" s="1">
        <v>5.0</v>
      </c>
      <c r="B10544" s="1" t="s">
        <v>10464</v>
      </c>
      <c r="C10544" t="str">
        <f>IFERROR(__xludf.DUMMYFUNCTION("GOOGLETRANSLATE(B10544, ""zh"", ""en"")"),"Length looks good, but a bit long")</f>
        <v>Length looks good, but a bit long</v>
      </c>
    </row>
    <row r="10545">
      <c r="A10545" s="1">
        <v>5.0</v>
      </c>
      <c r="B10545" s="1" t="s">
        <v>10465</v>
      </c>
      <c r="C10545" t="str">
        <f>IFERROR(__xludf.DUMMYFUNCTION("GOOGLETRANSLATE(B10545, ""zh"", ""en"")"),"Larger than the number two domestic my dad a little more than 178,90 kg, xl appropriate")</f>
        <v>Larger than the number two domestic my dad a little more than 178,90 kg, xl appropriate</v>
      </c>
    </row>
    <row r="10546">
      <c r="A10546" s="1">
        <v>5.0</v>
      </c>
      <c r="B10546" s="1" t="s">
        <v>10466</v>
      </c>
      <c r="C10546" t="str">
        <f>IFERROR(__xludf.DUMMYFUNCTION("GOOGLETRANSLATE(B10546, ""zh"", ""en"")"),"Good cotton underwear to wear more comfortable, high waist is also more suitable for me, love.")</f>
        <v>Good cotton underwear to wear more comfortable, high waist is also more suitable for me, love.</v>
      </c>
    </row>
    <row r="10547">
      <c r="A10547" s="1">
        <v>5.0</v>
      </c>
      <c r="B10547" s="1" t="s">
        <v>10467</v>
      </c>
      <c r="C10547" t="str">
        <f>IFERROR(__xludf.DUMMYFUNCTION("GOOGLETRANSLATE(B10547, ""zh"", ""en"")"),"Simple beauty from the primary school had to wear the habit of the table, before the band had a lot, but now think of it, the table is the most important point of view of time, outside vanity, beautiful, mask the true meaning of the table ??? simple style"&amp;", I think it is a manifestation of the atmosphere, simple but not simple, huh, huh!")</f>
        <v>Simple beauty from the primary school had to wear the habit of the table, before the band had a lot, but now think of it, the table is the most important point of view of time, outside vanity, beautiful, mask the true meaning of the table ??? simple style, I think it is a manifestation of the atmosphere, simple but not simple, huh, huh!</v>
      </c>
    </row>
    <row r="10548">
      <c r="A10548" s="1">
        <v>5.0</v>
      </c>
      <c r="B10548" s="1" t="s">
        <v>10468</v>
      </c>
      <c r="C10548" t="str">
        <f>IFERROR(__xludf.DUMMYFUNCTION("GOOGLETRANSLATE(B10548, ""zh"", ""en"")"),"Quality can also be the quality and expected, just wear a few days.")</f>
        <v>Quality can also be the quality and expected, just wear a few days.</v>
      </c>
    </row>
    <row r="10549">
      <c r="A10549" s="1">
        <v>5.0</v>
      </c>
      <c r="B10549" s="1" t="s">
        <v>10469</v>
      </c>
      <c r="C10549" t="str">
        <f>IFERROR(__xludf.DUMMYFUNCTION("GOOGLETRANSLATE(B10549, ""zh"", ""en"")"),"M girls wear a little oversize but that is the effect I want a little girl wearing oversize M is the effect I want, but the length of the clothes is a bit long but not very long or very comfortable to wear")</f>
        <v>M girls wear a little oversize but that is the effect I want a little girl wearing oversize M is the effect I want, but the length of the clothes is a bit long but not very long or very comfortable to wear</v>
      </c>
    </row>
    <row r="10550">
      <c r="A10550" s="1">
        <v>5.0</v>
      </c>
      <c r="B10550" s="1" t="s">
        <v>10470</v>
      </c>
      <c r="C10550" t="str">
        <f>IFERROR(__xludf.DUMMYFUNCTION("GOOGLETRANSLATE(B10550, ""zh"", ""en"")"),"Manufacture of conscience, continue to buy cotton, India produced. Very comfortable, use of materials, will continue to buy")</f>
        <v>Manufacture of conscience, continue to buy cotton, India produced. Very comfortable, use of materials, will continue to buy</v>
      </c>
    </row>
    <row r="10551">
      <c r="A10551" s="1">
        <v>5.0</v>
      </c>
      <c r="B10551" s="1" t="s">
        <v>10471</v>
      </c>
      <c r="C10551" t="str">
        <f>IFERROR(__xludf.DUMMYFUNCTION("GOOGLETRANSLATE(B10551, ""zh"", ""en"")"),"In line with expectations cup good, the only pity the cover material is plastic")</f>
        <v>In line with expectations cup good, the only pity the cover material is plastic</v>
      </c>
    </row>
    <row r="10552">
      <c r="A10552" s="1">
        <v>5.0</v>
      </c>
      <c r="B10552" s="1" t="s">
        <v>10472</v>
      </c>
      <c r="C10552" t="str">
        <f>IFERROR(__xludf.DUMMYFUNCTION("GOOGLETRANSLATE(B10552, ""zh"", ""en"")"),"Packing the perfect watch packaging is very good to buy Dad likes him")</f>
        <v>Packing the perfect watch packaging is very good to buy Dad likes him</v>
      </c>
    </row>
    <row r="10553">
      <c r="A10553" s="1">
        <v>5.0</v>
      </c>
      <c r="B10553" s="1" t="s">
        <v>10473</v>
      </c>
      <c r="C10553" t="str">
        <f>IFERROR(__xludf.DUMMYFUNCTION("GOOGLETRANSLATE(B10553, ""zh"", ""en"")"),"Pretty good shoes, usually 43 yards, to buy 9.5uk, color is the right size. The sole comfort is good, but slightly worse than the self-inductance three shoes. More than a pair of dark-colored laces and distribution, we have replaced the original white lac"&amp;"es.")</f>
        <v>Pretty good shoes, usually 43 yards, to buy 9.5uk, color is the right size. The sole comfort is good, but slightly worse than the self-inductance three shoes. More than a pair of dark-colored laces and distribution, we have replaced the original white laces.</v>
      </c>
    </row>
    <row r="10554">
      <c r="A10554" s="1">
        <v>5.0</v>
      </c>
      <c r="B10554" s="1" t="s">
        <v>10474</v>
      </c>
      <c r="C10554" t="str">
        <f>IFERROR(__xludf.DUMMYFUNCTION("GOOGLETRANSLATE(B10554, ""zh"", ""en"")"),"Comfortable and stylish and comfortable type, the gospel of the Princess Taiping, winter wear is not cold, I do not know whether the summer will be hot. I can not wait for summer to start another one, ha ha")</f>
        <v>Comfortable and stylish and comfortable type, the gospel of the Princess Taiping, winter wear is not cold, I do not know whether the summer will be hot. I can not wait for summer to start another one, ha ha</v>
      </c>
    </row>
    <row r="10555">
      <c r="A10555" s="1">
        <v>5.0</v>
      </c>
      <c r="B10555" s="1" t="s">
        <v>10475</v>
      </c>
      <c r="C10555" t="str">
        <f>IFERROR(__xludf.DUMMYFUNCTION("GOOGLETRANSLATE(B10555, ""zh"", ""en"")"),"Value for money price of less than a thousand dollars can buy a Rolex appearance, Citizen movement, the American quality watches, discount after purchasing almost finished and the United States money, highly cost-effective")</f>
        <v>Value for money price of less than a thousand dollars can buy a Rolex appearance, Citizen movement, the American quality watches, discount after purchasing almost finished and the United States money, highly cost-effective</v>
      </c>
    </row>
    <row r="10556">
      <c r="A10556" s="1">
        <v>5.0</v>
      </c>
      <c r="B10556" s="1" t="s">
        <v>10476</v>
      </c>
      <c r="C10556" t="str">
        <f>IFERROR(__xludf.DUMMYFUNCTION("GOOGLETRANSLATE(B10556, ""zh"", ""en"")"),"Very good friend said very comfortable to wear, next time try to buy a small a size")</f>
        <v>Very good friend said very comfortable to wear, next time try to buy a small a size</v>
      </c>
    </row>
    <row r="10557">
      <c r="A10557" s="1">
        <v>5.0</v>
      </c>
      <c r="B10557" s="1" t="s">
        <v>10477</v>
      </c>
      <c r="C10557" t="str">
        <f>IFERROR(__xludf.DUMMYFUNCTION("GOOGLETRANSLATE(B10557, ""zh"", ""en"")"),"Value for money moderate thickness, smooth writing, comfortable grip, texture than Choate family.")</f>
        <v>Value for money moderate thickness, smooth writing, comfortable grip, texture than Choate family.</v>
      </c>
    </row>
    <row r="10558">
      <c r="A10558" s="1">
        <v>2.0</v>
      </c>
      <c r="B10558" s="1" t="s">
        <v>10478</v>
      </c>
      <c r="C10558" t="str">
        <f>IFERROR(__xludf.DUMMYFUNCTION("GOOGLETRANSLATE(B10558, ""zh"", ""en"")"),"Feeling something is junk. I do not know whether or not to leave dust on the glass, no color outside the box legendary, logo on the blade saw that it was brown marks, do not know or second-hand defective products? So far so expensive to buy, and my heart "&amp;"really uncomfortable.")</f>
        <v>Feeling something is junk. I do not know whether or not to leave dust on the glass, no color outside the box legendary, logo on the blade saw that it was brown marks, do not know or second-hand defective products? So far so expensive to buy, and my heart really uncomfortable.</v>
      </c>
    </row>
    <row r="10559">
      <c r="A10559" s="1">
        <v>3.0</v>
      </c>
      <c r="B10559" s="1" t="s">
        <v>10479</v>
      </c>
      <c r="C10559" t="str">
        <f>IFERROR(__xludf.DUMMYFUNCTION("GOOGLETRANSLATE(B10559, ""zh"", ""en"")"),"General General express speed is very fast, but the quality is really not very good, do not get yourself under thread to be dispersed, wearing a week, parts of the sleeves a little fur ball up, origin Honduras, the quality is really not good homemade")</f>
        <v>General General express speed is very fast, but the quality is really not very good, do not get yourself under thread to be dispersed, wearing a week, parts of the sleeves a little fur ball up, origin Honduras, the quality is really not good homemade</v>
      </c>
    </row>
    <row r="10560">
      <c r="A10560" s="1">
        <v>3.0</v>
      </c>
      <c r="B10560" s="1" t="s">
        <v>10480</v>
      </c>
      <c r="C10560" t="str">
        <f>IFERROR(__xludf.DUMMYFUNCTION("GOOGLETRANSLATE(B10560, ""zh"", ""en"")"),"This should not buy the brand. Pros: The shoes look good, at least to increase the height forty-five cm, and is waterproof. Disadvantages: general comfort, not even on speaking and comfortable, spend the Ba Jiubai feeling is not worth the money. Insole bo"&amp;"ttom is Pidi paper, so it was like two cardboard Piga cotton insoles, origin Vietnam. On another matter of principle, the United States is now more exclusive, there are alternative should try to choose domestically.")</f>
        <v>This should not buy the brand. Pros: The shoes look good, at least to increase the height forty-five cm, and is waterproof. Disadvantages: general comfort, not even on speaking and comfortable, spend the Ba Jiubai feeling is not worth the money. Insole bottom is Pidi paper, so it was like two cardboard Piga cotton insoles, origin Vietnam. On another matter of principle, the United States is now more exclusive, there are alternative should try to choose domestically.</v>
      </c>
    </row>
    <row r="10561">
      <c r="A10561" s="1">
        <v>1.0</v>
      </c>
      <c r="B10561" s="1" t="s">
        <v>10481</v>
      </c>
      <c r="C10561" t="str">
        <f>IFERROR(__xludf.DUMMYFUNCTION("GOOGLETRANSLATE(B10561, ""zh"", ""en"")"),"Quality problems, use the first time can not be recharged using electricity opened the first release is finished, then it can not be recharged electricity, no lights, bad review! Additional: thumbs up for the Amazon customer service, service attitude and "&amp;"deal with the situation very satisfied")</f>
        <v>Quality problems, use the first time can not be recharged using electricity opened the first release is finished, then it can not be recharged electricity, no lights, bad review! Additional: thumbs up for the Amazon customer service, service attitude and deal with the situation very satisfied</v>
      </c>
    </row>
    <row r="10562">
      <c r="A10562" s="1">
        <v>1.0</v>
      </c>
      <c r="B10562" s="1" t="s">
        <v>10482</v>
      </c>
      <c r="C10562" t="str">
        <f>IFERROR(__xludf.DUMMYFUNCTION("GOOGLETRANSLATE(B10562, ""zh"", ""en"")"),"I began to catch up with the perfect bottle to buy time to see the comments worried some say dirty inside the packaging is not right, right, right hairy but still feel something special is affordable and practical to buy after receipt of no other buyers s"&amp;"aid those problems in time Shang Hao goods very open what came good quality smoked")</f>
        <v>I began to catch up with the perfect bottle to buy time to see the comments worried some say dirty inside the packaging is not right, right, right hairy but still feel something special is affordable and practical to buy after receipt of no other buyers said those problems in time Shang Hao goods very open what came good quality smoked</v>
      </c>
    </row>
    <row r="10563">
      <c r="A10563" s="1">
        <v>1.0</v>
      </c>
      <c r="B10563" s="1" t="s">
        <v>10483</v>
      </c>
      <c r="C10563" t="str">
        <f>IFERROR(__xludf.DUMMYFUNCTION("GOOGLETRANSLATE(B10563, ""zh"", ""en"")"),"Not good, not recommended is not good, tight, rough, size allowed!")</f>
        <v>Not good, not recommended is not good, tight, rough, size allowed!</v>
      </c>
    </row>
    <row r="10564">
      <c r="A10564" s="1">
        <v>4.0</v>
      </c>
      <c r="B10564" s="1" t="s">
        <v>10484</v>
      </c>
      <c r="C10564" t="str">
        <f>IFERROR(__xludf.DUMMYFUNCTION("GOOGLETRANSLATE(B10564, ""zh"", ""en"")"),"Good to my wife bought, thin, fabric also can comfortably afford the ball. Milky white, not white, collar a little big.")</f>
        <v>Good to my wife bought, thin, fabric also can comfortably afford the ball. Milky white, not white, collar a little big.</v>
      </c>
    </row>
    <row r="10565">
      <c r="A10565" s="1">
        <v>4.0</v>
      </c>
      <c r="B10565" s="1" t="s">
        <v>10485</v>
      </c>
      <c r="C10565" t="str">
        <f>IFERROR(__xludf.DUMMYFUNCTION("GOOGLETRANSLATE(B10565, ""zh"", ""en"")"),"Yes, basically satisfied boots hand, not bad. The size can be, foot length 255, NB wear US8, this just started selling UK7 too large, the re-buy, there are nice wide version of the US 7, just after the foot. Tried US7 standard width of more crowded feet, "&amp;"so these people buy a small one yard, but to choose the width, the British code-standard width not more hate, give you a reference. Further uppers minor imperfection, there are two points in FIG paint")</f>
        <v>Yes, basically satisfied boots hand, not bad. The size can be, foot length 255, NB wear US8, this just started selling UK7 too large, the re-buy, there are nice wide version of the US 7, just after the foot. Tried US7 standard width of more crowded feet, so these people buy a small one yard, but to choose the width, the British code-standard width not more hate, give you a reference. Further uppers minor imperfection, there are two points in FIG paint</v>
      </c>
    </row>
    <row r="10566">
      <c r="A10566" s="1">
        <v>4.0</v>
      </c>
      <c r="B10566" s="1" t="s">
        <v>10486</v>
      </c>
      <c r="C10566" t="str">
        <f>IFERROR(__xludf.DUMMYFUNCTION("GOOGLETRANSLATE(B10566, ""zh"", ""en"")"),"The small size of some small bags loaded summer piecemeal phone keys like LingChao OK")</f>
        <v>The small size of some small bags loaded summer piecemeal phone keys like LingChao OK</v>
      </c>
    </row>
    <row r="10567">
      <c r="A10567" s="1">
        <v>4.0</v>
      </c>
      <c r="B10567" s="1" t="s">
        <v>10487</v>
      </c>
      <c r="C10567" t="str">
        <f>IFERROR(__xludf.DUMMYFUNCTION("GOOGLETRANSLATE(B10567, ""zh"", ""en"")"),"Yes Cock wire table, keep good time, with a luminous dial, the overall good, but sounds a little big, strap a bit hard, stitching and edge portions of the need to polish it. The price is okay, after all, a sub-price goods.")</f>
        <v>Yes Cock wire table, keep good time, with a luminous dial, the overall good, but sounds a little big, strap a bit hard, stitching and edge portions of the need to polish it. The price is okay, after all, a sub-price goods.</v>
      </c>
    </row>
    <row r="10568">
      <c r="A10568" s="1">
        <v>5.0</v>
      </c>
      <c r="B10568" s="1" t="s">
        <v>10488</v>
      </c>
      <c r="C10568" t="str">
        <f>IFERROR(__xludf.DUMMYFUNCTION("GOOGLETRANSLATE(B10568, ""zh"", ""en"")"),"Worth very fit, very comfortable to wear.")</f>
        <v>Worth very fit, very comfortable to wear.</v>
      </c>
    </row>
    <row r="10569">
      <c r="A10569" s="1">
        <v>5.0</v>
      </c>
      <c r="B10569" s="1" t="s">
        <v>10489</v>
      </c>
      <c r="C10569" t="str">
        <f>IFERROR(__xludf.DUMMYFUNCTION("GOOGLETRANSLATE(B10569, ""zh"", ""en"")"),"US direct mail or quickly made in Korea, there is no question of stainless steel and plastic layer loose comments of other people say, good workmanship, glass lid and if there are enough")</f>
        <v>US direct mail or quickly made in Korea, there is no question of stainless steel and plastic layer loose comments of other people say, good workmanship, glass lid and if there are enough</v>
      </c>
    </row>
    <row r="10570">
      <c r="A10570" s="1">
        <v>5.0</v>
      </c>
      <c r="B10570" s="1" t="s">
        <v>10490</v>
      </c>
      <c r="C10570" t="str">
        <f>IFERROR(__xludf.DUMMYFUNCTION("GOOGLETRANSLATE(B10570, ""zh"", ""en"")"),"Wide version of the very, very good, before the feet wide version is very comfortable, the version is also good to see")</f>
        <v>Wide version of the very, very good, before the feet wide version is very comfortable, the version is also good to see</v>
      </c>
    </row>
    <row r="10571">
      <c r="A10571" s="1">
        <v>5.0</v>
      </c>
      <c r="B10571" s="1" t="s">
        <v>10491</v>
      </c>
      <c r="C10571" t="str">
        <f>IFERROR(__xludf.DUMMYFUNCTION("GOOGLETRANSLATE(B10571, ""zh"", ""en"")"),"Very thin very thin very comfortable, very suitable for winter, is not Le man, wearing no problem sleeping")</f>
        <v>Very thin very thin very comfortable, very suitable for winter, is not Le man, wearing no problem sleeping</v>
      </c>
    </row>
    <row r="10572">
      <c r="A10572" s="1">
        <v>5.0</v>
      </c>
      <c r="B10572" s="1" t="s">
        <v>10492</v>
      </c>
      <c r="C10572" t="str">
        <f>IFERROR(__xludf.DUMMYFUNCTION("GOOGLETRANSLATE(B10572, ""zh"", ""en"")"),"Good quality and comfortable to wear, but also practical!")</f>
        <v>Good quality and comfortable to wear, but also practical!</v>
      </c>
    </row>
    <row r="10573">
      <c r="A10573" s="1">
        <v>5.0</v>
      </c>
      <c r="B10573" s="1" t="s">
        <v>2833</v>
      </c>
      <c r="C10573" t="str">
        <f>IFERROR(__xludf.DUMMYFUNCTION("GOOGLETRANSLATE(B10573, ""zh"", ""en"")"),"Cost can be cheaper than Taobao. Corset pants really very comfortable to wear, no sense of restraint, nor the following leg curl, if not more, then stomach meat, the meat will not be pushed above. Postpartum 106 pounds, 163cm, 64 to buy, the feeling is es"&amp;"timated to wear a few days to buy a small yards. Wear thin circle, shaping waist than at the stomach feel better. A little depressed this morning wearing, made in China found written above ~")</f>
        <v>Cost can be cheaper than Taobao. Corset pants really very comfortable to wear, no sense of restraint, nor the following leg curl, if not more, then stomach meat, the meat will not be pushed above. Postpartum 106 pounds, 163cm, 64 to buy, the feeling is estimated to wear a few days to buy a small yards. Wear thin circle, shaping waist than at the stomach feel better. A little depressed this morning wearing, made in China found written above ~</v>
      </c>
    </row>
    <row r="10574">
      <c r="A10574" s="1">
        <v>5.0</v>
      </c>
      <c r="B10574" s="1" t="s">
        <v>10493</v>
      </c>
      <c r="C10574" t="str">
        <f>IFERROR(__xludf.DUMMYFUNCTION("GOOGLETRANSLATE(B10574, ""zh"", ""en"")"),"Exact match, exact match, affordable, affordable, good")</f>
        <v>Exact match, exact match, affordable, affordable, good</v>
      </c>
    </row>
    <row r="10575">
      <c r="A10575" s="1">
        <v>5.0</v>
      </c>
      <c r="B10575" s="1" t="s">
        <v>10494</v>
      </c>
      <c r="C10575" t="str">
        <f>IFERROR(__xludf.DUMMYFUNCTION("GOOGLETRANSLATE(B10575, ""zh"", ""en"")"),"Size standard, thin fabric, style belongs to the self, not the kind of fat legs. For summer, like last year bought, the price anyway, that will be enough to wear season")</f>
        <v>Size standard, thin fabric, style belongs to the self, not the kind of fat legs. For summer, like last year bought, the price anyway, that will be enough to wear season</v>
      </c>
    </row>
    <row r="10576">
      <c r="A10576" s="1">
        <v>5.0</v>
      </c>
      <c r="B10576" s="1" t="s">
        <v>10495</v>
      </c>
      <c r="C10576" t="str">
        <f>IFERROR(__xludf.DUMMYFUNCTION("GOOGLETRANSLATE(B10576, ""zh"", ""en"")"),"Good quality is very good, very thick.")</f>
        <v>Good quality is very good, very thick.</v>
      </c>
    </row>
    <row r="10577">
      <c r="A10577" s="1">
        <v>5.0</v>
      </c>
      <c r="B10577" s="1" t="s">
        <v>10496</v>
      </c>
      <c r="C10577" t="str">
        <f>IFERROR(__xludf.DUMMYFUNCTION("GOOGLETRANSLATE(B10577, ""zh"", ""en"")"),"Comfortable, foot wear thin feet completely, although some hard but very comfortable shoes is relatively thin, but fortunately buy big half a yard, generally speaking it is worth it")</f>
        <v>Comfortable, foot wear thin feet completely, although some hard but very comfortable shoes is relatively thin, but fortunately buy big half a yard, generally speaking it is worth it</v>
      </c>
    </row>
    <row r="10578">
      <c r="A10578" s="1">
        <v>5.0</v>
      </c>
      <c r="B10578" s="1" t="s">
        <v>10497</v>
      </c>
      <c r="C10578" t="str">
        <f>IFERROR(__xludf.DUMMYFUNCTION("GOOGLETRANSLATE(B10578, ""zh"", ""en"")"),"A good speaker must praise, bass and treble balance, especially in the bass, absolutely shocking. Overall resolution is also good, clear detail. Listen to the symphony, spatial sense out of it, not muddy sound of various musical instruments, sound field, "&amp;"good dynamic. Say the disadvantage, that is, IF almost sounds less charm point, the treble is not enough light, but generally listen to music, watching movies enough yet. Comprehensive price point of view, Wensheng Swans and walker (or 5,000 speakers with"&amp;"in 3000), than the real force or Danna Ken given there are still gaps, after all, at that price, in a word, a good speaker, invincible hand within 3000.")</f>
        <v>A good speaker must praise, bass and treble balance, especially in the bass, absolutely shocking. Overall resolution is also good, clear detail. Listen to the symphony, spatial sense out of it, not muddy sound of various musical instruments, sound field, good dynamic. Say the disadvantage, that is, IF almost sounds less charm point, the treble is not enough light, but generally listen to music, watching movies enough yet. Comprehensive price point of view, Wensheng Swans and walker (or 5,000 speakers within 3000), than the real force or Danna Ken given there are still gaps, after all, at that price, in a word, a good speaker, invincible hand within 3000.</v>
      </c>
    </row>
    <row r="10579">
      <c r="A10579" s="1">
        <v>5.0</v>
      </c>
      <c r="B10579" s="1" t="s">
        <v>10498</v>
      </c>
      <c r="C10579" t="str">
        <f>IFERROR(__xludf.DUMMYFUNCTION("GOOGLETRANSLATE(B10579, ""zh"", ""en"")"),"Cheap cheap, store goods. Tax 214")</f>
        <v>Cheap cheap, store goods. Tax 214</v>
      </c>
    </row>
    <row r="10580">
      <c r="A10580" s="1">
        <v>5.0</v>
      </c>
      <c r="B10580" s="1" t="s">
        <v>10499</v>
      </c>
      <c r="C10580" t="str">
        <f>IFERROR(__xludf.DUMMYFUNCTION("GOOGLETRANSLATE(B10580, ""zh"", ""en"")"),"Yes. Baby loves to eat, a small man, sweet and sour, acidic it.")</f>
        <v>Yes. Baby loves to eat, a small man, sweet and sour, acidic it.</v>
      </c>
    </row>
    <row r="10581">
      <c r="A10581" s="1">
        <v>5.0</v>
      </c>
      <c r="B10581" s="1" t="s">
        <v>10500</v>
      </c>
      <c r="C10581" t="str">
        <f>IFERROR(__xludf.DUMMYFUNCTION("GOOGLETRANSLATE(B10581, ""zh"", ""en"")"),"Good wearing feeling fine, usually in the country is the right to buy 42")</f>
        <v>Good wearing feeling fine, usually in the country is the right to buy 42</v>
      </c>
    </row>
    <row r="10582">
      <c r="A10582" s="1">
        <v>5.0</v>
      </c>
      <c r="B10582" s="1" t="s">
        <v>10501</v>
      </c>
      <c r="C10582" t="str">
        <f>IFERROR(__xludf.DUMMYFUNCTION("GOOGLETRANSLATE(B10582, ""zh"", ""en"")"),"Bring more comfortable, sound quality is also to follow this price, the sound quality is good. Open headphones, the sound will certainly be exposed, but also to hear outside sound, then the sound field really do not know.")</f>
        <v>Bring more comfortable, sound quality is also to follow this price, the sound quality is good. Open headphones, the sound will certainly be exposed, but also to hear outside sound, then the sound field really do not know.</v>
      </c>
    </row>
    <row r="10583">
      <c r="A10583" s="1">
        <v>5.0</v>
      </c>
      <c r="B10583" s="1" t="s">
        <v>10502</v>
      </c>
      <c r="C10583" t="str">
        <f>IFERROR(__xludf.DUMMYFUNCTION("GOOGLETRANSLATE(B10583, ""zh"", ""en"")"),"Lee women's long sleeve Oxford shirt value price elasticity, wear very good field")</f>
        <v>Lee women's long sleeve Oxford shirt value price elasticity, wear very good field</v>
      </c>
    </row>
    <row r="10584">
      <c r="A10584" s="1">
        <v>5.0</v>
      </c>
      <c r="B10584" s="1" t="s">
        <v>10503</v>
      </c>
      <c r="C10584" t="str">
        <f>IFERROR(__xludf.DUMMYFUNCTION("GOOGLETRANSLATE(B10584, ""zh"", ""en"")"),"Really good good deals in, delivery fast, easy to use. give it a like")</f>
        <v>Really good good deals in, delivery fast, easy to use. give it a like</v>
      </c>
    </row>
    <row r="10585">
      <c r="A10585" s="1">
        <v>5.0</v>
      </c>
      <c r="B10585" s="1" t="s">
        <v>10504</v>
      </c>
      <c r="C10585" t="str">
        <f>IFERROR(__xludf.DUMMYFUNCTION("GOOGLETRANSLATE(B10585, ""zh"", ""en"")"),"Good very good, very good to use with")</f>
        <v>Good very good, very good to use with</v>
      </c>
    </row>
    <row r="10586">
      <c r="A10586" s="1">
        <v>5.0</v>
      </c>
      <c r="B10586" s="1" t="s">
        <v>10505</v>
      </c>
      <c r="C10586" t="str">
        <f>IFERROR(__xludf.DUMMYFUNCTION("GOOGLETRANSLATE(B10586, ""zh"", ""en"")"),"Logistics and soon my height 173cm, weight 74Kg, wear very fit, give you a reference, workmanship and materials are good, the price is cheaper than domestic")</f>
        <v>Logistics and soon my height 173cm, weight 74Kg, wear very fit, give you a reference, workmanship and materials are good, the price is cheaper than domestic</v>
      </c>
    </row>
    <row r="10587">
      <c r="A10587" s="1">
        <v>5.0</v>
      </c>
      <c r="B10587" s="1" t="s">
        <v>10506</v>
      </c>
      <c r="C10587" t="str">
        <f>IFERROR(__xludf.DUMMYFUNCTION("GOOGLETRANSLATE(B10587, ""zh"", ""en"")"),"Like thicker clothes, but also the line")</f>
        <v>Like thicker clothes, but also the line</v>
      </c>
    </row>
    <row r="10588">
      <c r="A10588" s="1">
        <v>5.0</v>
      </c>
      <c r="B10588" s="1" t="s">
        <v>10507</v>
      </c>
      <c r="C10588" t="str">
        <f>IFERROR(__xludf.DUMMYFUNCTION("GOOGLETRANSLATE(B10588, ""zh"", ""en"")"),"Very good with very good use, price, transmission speed very quickly, the overall satisfaction")</f>
        <v>Very good with very good use, price, transmission speed very quickly, the overall satisfaction</v>
      </c>
    </row>
    <row r="10589">
      <c r="A10589" s="1">
        <v>5.0</v>
      </c>
      <c r="B10589" s="1" t="s">
        <v>10508</v>
      </c>
      <c r="C10589" t="str">
        <f>IFERROR(__xludf.DUMMYFUNCTION("GOOGLETRANSLATE(B10589, ""zh"", ""en"")"),"Very comfortable very fond of, is the word of the insole to wear off once")</f>
        <v>Very comfortable very fond of, is the word of the insole to wear off once</v>
      </c>
    </row>
    <row r="10590">
      <c r="A10590" s="1">
        <v>2.0</v>
      </c>
      <c r="B10590" s="1" t="s">
        <v>10509</v>
      </c>
      <c r="C10590" t="str">
        <f>IFERROR(__xludf.DUMMYFUNCTION("GOOGLETRANSLATE(B10590, ""zh"", ""en"")"),"Product Description too little performance does not allow customers to understand the full sole is too hard, wear uncomfortable")</f>
        <v>Product Description too little performance does not allow customers to understand the full sole is too hard, wear uncomfortable</v>
      </c>
    </row>
    <row r="10591">
      <c r="A10591" s="1">
        <v>3.0</v>
      </c>
      <c r="B10591" s="1" t="s">
        <v>10510</v>
      </c>
      <c r="C10591" t="str">
        <f>IFERROR(__xludf.DUMMYFUNCTION("GOOGLETRANSLATE(B10591, ""zh"", ""en"")"),"Soft and comfortable, beautiful design tape a little loose behind the cross. The fabric is very soft and comfortable, just the size of the cup. Tape relatively thin, flexible, so a large chest, then support will not be strong, and wear over time, you will"&amp;" feel more loose. Some of tight election dimensions recommended to buy.")</f>
        <v>Soft and comfortable, beautiful design tape a little loose behind the cross. The fabric is very soft and comfortable, just the size of the cup. Tape relatively thin, flexible, so a large chest, then support will not be strong, and wear over time, you will feel more loose. Some of tight election dimensions recommended to buy.</v>
      </c>
    </row>
    <row r="10592">
      <c r="A10592" s="1">
        <v>3.0</v>
      </c>
      <c r="B10592" s="1" t="s">
        <v>10511</v>
      </c>
      <c r="C10592" t="str">
        <f>IFERROR(__xludf.DUMMYFUNCTION("GOOGLETRANSLATE(B10592, ""zh"", ""en"")"),"Bad packaging, courier packaging violence filter is not good, across the sea floor on the package, and there is no fixed time to receive the outermost packaging has been broken, leaving only the product itself thin layer boxes . Express very bad, very goo"&amp;"d product, packaging bad review")</f>
        <v>Bad packaging, courier packaging violence filter is not good, across the sea floor on the package, and there is no fixed time to receive the outermost packaging has been broken, leaving only the product itself thin layer boxes . Express very bad, very good product, packaging bad review</v>
      </c>
    </row>
    <row r="10593">
      <c r="A10593" s="1">
        <v>3.0</v>
      </c>
      <c r="B10593" s="1" t="s">
        <v>10512</v>
      </c>
      <c r="C10593" t="str">
        <f>IFERROR(__xludf.DUMMYFUNCTION("GOOGLETRANSLATE(B10593, ""zh"", ""en"")"),"Fade shoes shoes is comfortable, it is the leather fade.")</f>
        <v>Fade shoes shoes is comfortable, it is the leather fade.</v>
      </c>
    </row>
    <row r="10594">
      <c r="A10594" s="1">
        <v>1.0</v>
      </c>
      <c r="B10594" s="1" t="s">
        <v>10513</v>
      </c>
      <c r="C10594" t="str">
        <f>IFERROR(__xludf.DUMMYFUNCTION("GOOGLETRANSLATE(B10594, ""zh"", ""en"")"),"Shorts material is not good, relatively thick summer wear, polyester fibers. Shorts material is not good, relatively thick summer wear, polyester fibers. Length can be relatively wide difference in fat.")</f>
        <v>Shorts material is not good, relatively thick summer wear, polyester fibers. Shorts material is not good, relatively thick summer wear, polyester fibers. Length can be relatively wide difference in fat.</v>
      </c>
    </row>
    <row r="10595">
      <c r="A10595" s="1">
        <v>1.0</v>
      </c>
      <c r="B10595" s="1" t="s">
        <v>10514</v>
      </c>
      <c r="C10595" t="str">
        <f>IFERROR(__xludf.DUMMYFUNCTION("GOOGLETRANSLATE(B10595, ""zh"", ""en"")"),"Rotten home do not know where the good, very thin, not warm, negative feedback, Japan also has bad things.")</f>
        <v>Rotten home do not know where the good, very thin, not warm, negative feedback, Japan also has bad things.</v>
      </c>
    </row>
    <row r="10596">
      <c r="A10596" s="1">
        <v>4.0</v>
      </c>
      <c r="B10596" s="1" t="s">
        <v>10515</v>
      </c>
      <c r="C10596" t="str">
        <f>IFERROR(__xludf.DUMMYFUNCTION("GOOGLETRANSLATE(B10596, ""zh"", ""en"")"),"Some of the small size of the election in accordance with comments, do not want some little tight. Some multi-thread")</f>
        <v>Some of the small size of the election in accordance with comments, do not want some little tight. Some multi-thread</v>
      </c>
    </row>
    <row r="10597">
      <c r="A10597" s="1">
        <v>4.0</v>
      </c>
      <c r="B10597" s="1" t="s">
        <v>10516</v>
      </c>
      <c r="C10597" t="str">
        <f>IFERROR(__xludf.DUMMYFUNCTION("GOOGLETRANSLATE(B10597, ""zh"", ""en"")"),"Advent date is not ye, March 2018")</f>
        <v>Advent date is not ye, March 2018</v>
      </c>
    </row>
    <row r="10598">
      <c r="A10598" s="1">
        <v>4.0</v>
      </c>
      <c r="B10598" s="1" t="s">
        <v>10517</v>
      </c>
      <c r="C10598" t="str">
        <f>IFERROR(__xludf.DUMMYFUNCTION("GOOGLETRANSLATE(B10598, ""zh"", ""en"")"),"Express do not fly a second time to buy, something is still very good, dhl do not fly, but also charge 53 yuan warehouse management fees, although the final negotiated settlement of the Amazon customer service to allow customers to contact the courier, th"&amp;"e courier is looking for you, so Contact the customer's own, is not responsible for, played n the phone, finally solved")</f>
        <v>Express do not fly a second time to buy, something is still very good, dhl do not fly, but also charge 53 yuan warehouse management fees, although the final negotiated settlement of the Amazon customer service to allow customers to contact the courier, the courier is looking for you, so Contact the customer's own, is not responsible for, played n the phone, finally solved</v>
      </c>
    </row>
    <row r="10599">
      <c r="A10599" s="1">
        <v>4.0</v>
      </c>
      <c r="B10599" s="1" t="s">
        <v>10518</v>
      </c>
      <c r="C10599" t="str">
        <f>IFERROR(__xludf.DUMMYFUNCTION("GOOGLETRANSLATE(B10599, ""zh"", ""en"")"),"Cost-effective 1.72 m 63 kg S buy just the right number, and the price a lot cheaper than the domestic counter.")</f>
        <v>Cost-effective 1.72 m 63 kg S buy just the right number, and the price a lot cheaper than the domestic counter.</v>
      </c>
    </row>
    <row r="10600">
      <c r="A10600" s="1">
        <v>4.0</v>
      </c>
      <c r="B10600" s="1" t="s">
        <v>10519</v>
      </c>
      <c r="C10600" t="str">
        <f>IFERROR(__xludf.DUMMYFUNCTION("GOOGLETRANSLATE(B10600, ""zh"", ""en"")"),"Look just fine to wear good clothes for the fall")</f>
        <v>Look just fine to wear good clothes for the fall</v>
      </c>
    </row>
    <row r="10601">
      <c r="A10601" s="1">
        <v>5.0</v>
      </c>
      <c r="B10601" s="1" t="s">
        <v>10520</v>
      </c>
      <c r="C10601" t="str">
        <f>IFERROR(__xludf.DUMMYFUNCTION("GOOGLETRANSLATE(B10601, ""zh"", ""en"")"),"Express is also fast I can not believe I bought this product overseas, at No. 15 in the morning alone actually 17 noon to go. Σ (° △ ° |||) ︴ packaging intact, go back at night to say Cece Fast and the Furious")</f>
        <v>Express is also fast I can not believe I bought this product overseas, at No. 15 in the morning alone actually 17 noon to go. Σ (° △ ° |||) ︴ packaging intact, go back at night to say Cece Fast and the Furious</v>
      </c>
    </row>
    <row r="10602">
      <c r="A10602" s="1">
        <v>5.0</v>
      </c>
      <c r="B10602" s="1" t="s">
        <v>10521</v>
      </c>
      <c r="C10602" t="str">
        <f>IFERROR(__xludf.DUMMYFUNCTION("GOOGLETRANSLATE(B10602, ""zh"", ""en"")"),"Perfect experience is too hard, life and life to my left and right ankle cut two pieces of meat ...... full two months before the long back. More than a year after the written comments, the back of beautiful women, who bought who shangdang. Genuine? ! Thi"&amp;"s experience really speechless")</f>
        <v>Perfect experience is too hard, life and life to my left and right ankle cut two pieces of meat ...... full two months before the long back. More than a year after the written comments, the back of beautiful women, who bought who shangdang. Genuine? ! This experience really speechless</v>
      </c>
    </row>
    <row r="10603">
      <c r="A10603" s="1">
        <v>5.0</v>
      </c>
      <c r="B10603" s="1" t="s">
        <v>10522</v>
      </c>
      <c r="C10603" t="str">
        <f>IFERROR(__xludf.DUMMYFUNCTION("GOOGLETRANSLATE(B10603, ""zh"", ""en"")"),"Like the right size, good fabrics, workmanship Ye Hao")</f>
        <v>Like the right size, good fabrics, workmanship Ye Hao</v>
      </c>
    </row>
    <row r="10604">
      <c r="A10604" s="1">
        <v>5.0</v>
      </c>
      <c r="B10604" s="1" t="s">
        <v>10523</v>
      </c>
      <c r="C10604" t="str">
        <f>IFERROR(__xludf.DUMMYFUNCTION("GOOGLETRANSLATE(B10604, ""zh"", ""en"")"),"Yes, slightly longer. S m corresponds to the minimum number, 167 wear conspicuous hem long, just right shoulder, but no xs.")</f>
        <v>Yes, slightly longer. S m corresponds to the minimum number, 167 wear conspicuous hem long, just right shoulder, but no xs.</v>
      </c>
    </row>
    <row r="10605">
      <c r="A10605" s="1">
        <v>5.0</v>
      </c>
      <c r="B10605" s="1" t="s">
        <v>10524</v>
      </c>
      <c r="C10605" t="str">
        <f>IFERROR(__xludf.DUMMYFUNCTION("GOOGLETRANSLATE(B10605, ""zh"", ""en"")"),"Very good very good, very comfortable, is not a little tight.")</f>
        <v>Very good very good, very comfortable, is not a little tight.</v>
      </c>
    </row>
    <row r="10606">
      <c r="A10606" s="1">
        <v>5.0</v>
      </c>
      <c r="B10606" s="1" t="s">
        <v>10525</v>
      </c>
      <c r="C10606" t="str">
        <f>IFERROR(__xludf.DUMMYFUNCTION("GOOGLETRANSLATE(B10606, ""zh"", ""en"")"),"Bluetooth how to do something good, tall ,,, The only question now, the Bluetooth function is not available in China, too bad")</f>
        <v>Bluetooth how to do something good, tall ,,, The only question now, the Bluetooth function is not available in China, too bad</v>
      </c>
    </row>
    <row r="10607">
      <c r="A10607" s="1">
        <v>5.0</v>
      </c>
      <c r="B10607" s="1" t="s">
        <v>10526</v>
      </c>
      <c r="C10607" t="str">
        <f>IFERROR(__xludf.DUMMYFUNCTION("GOOGLETRANSLATE(B10607, ""zh"", ""en"")"),"Looks good not use, store goods, it should be good")</f>
        <v>Looks good not use, store goods, it should be good</v>
      </c>
    </row>
    <row r="10608">
      <c r="A10608" s="1">
        <v>5.0</v>
      </c>
      <c r="B10608" s="1" t="s">
        <v>10527</v>
      </c>
      <c r="C10608" t="str">
        <f>IFERROR(__xludf.DUMMYFUNCTION("GOOGLETRANSLATE(B10608, ""zh"", ""en"")"),"Clothes very fit, very comfortable to wear. Clothes very fit, very comfortable to wear.")</f>
        <v>Clothes very fit, very comfortable to wear. Clothes very fit, very comfortable to wear.</v>
      </c>
    </row>
    <row r="10609">
      <c r="A10609" s="1">
        <v>5.0</v>
      </c>
      <c r="B10609" s="1" t="s">
        <v>10528</v>
      </c>
      <c r="C10609" t="str">
        <f>IFERROR(__xludf.DUMMYFUNCTION("GOOGLETRANSLATE(B10609, ""zh"", ""en"")"),"Really great gospel fat, 3XL super super, 230 pounds big fat man wearing a little big, big fat clothes to worry about the future, ha ha")</f>
        <v>Really great gospel fat, 3XL super super, 230 pounds big fat man wearing a little big, big fat clothes to worry about the future, ha ha</v>
      </c>
    </row>
    <row r="10610">
      <c r="A10610" s="1">
        <v>5.0</v>
      </c>
      <c r="B10610" s="1" t="s">
        <v>10529</v>
      </c>
      <c r="C10610" t="str">
        <f>IFERROR(__xludf.DUMMYFUNCTION("GOOGLETRANSLATE(B10610, ""zh"", ""en"")"),"CK underwear three very comfortable, very like the color also like")</f>
        <v>CK underwear three very comfortable, very like the color also like</v>
      </c>
    </row>
    <row r="10611">
      <c r="A10611" s="1">
        <v>5.0</v>
      </c>
      <c r="B10611" s="1" t="s">
        <v>10530</v>
      </c>
      <c r="C10611" t="str">
        <f>IFERROR(__xludf.DUMMYFUNCTION("GOOGLETRANSLATE(B10611, ""zh"", ""en"")"),"OK liked")</f>
        <v>OK liked</v>
      </c>
    </row>
    <row r="10612">
      <c r="A10612" s="1">
        <v>5.0</v>
      </c>
      <c r="B10612" s="1" t="s">
        <v>10531</v>
      </c>
      <c r="C10612" t="str">
        <f>IFERROR(__xludf.DUMMYFUNCTION("GOOGLETRANSLATE(B10612, ""zh"", ""en"")"),"Affordable good quality brush brush brush as always, a good friend after buying only to your home to buy do not have to worry about election")</f>
        <v>Affordable good quality brush brush brush as always, a good friend after buying only to your home to buy do not have to worry about election</v>
      </c>
    </row>
    <row r="10613">
      <c r="A10613" s="1">
        <v>5.0</v>
      </c>
      <c r="B10613" s="1" t="s">
        <v>10532</v>
      </c>
      <c r="C10613" t="str">
        <f>IFERROR(__xludf.DUMMYFUNCTION("GOOGLETRANSLATE(B10613, ""zh"", ""en"")"),"Nice clothes good, that is a little too large, tall 177/85, wear large L, M wearing a small, tangled")</f>
        <v>Nice clothes good, that is a little too large, tall 177/85, wear large L, M wearing a small, tangled</v>
      </c>
    </row>
    <row r="10614">
      <c r="A10614" s="1">
        <v>5.0</v>
      </c>
      <c r="B10614" s="1" t="s">
        <v>10533</v>
      </c>
      <c r="C10614" t="str">
        <f>IFERROR(__xludf.DUMMYFUNCTION("GOOGLETRANSLATE(B10614, ""zh"", ""en"")"),"To wear watches just bought a long time, afraid to wear watches, mostly trouble. Met this light energy, it eliminates a lot of trouble. Really good, I would recommend to a friend.")</f>
        <v>To wear watches just bought a long time, afraid to wear watches, mostly trouble. Met this light energy, it eliminates a lot of trouble. Really good, I would recommend to a friend.</v>
      </c>
    </row>
    <row r="10615">
      <c r="A10615" s="1">
        <v>5.0</v>
      </c>
      <c r="B10615" s="1" t="s">
        <v>10534</v>
      </c>
      <c r="C10615" t="str">
        <f>IFERROR(__xludf.DUMMYFUNCTION("GOOGLETRANSLATE(B10615, ""zh"", ""en"")"),"Good Good, good")</f>
        <v>Good Good, good</v>
      </c>
    </row>
    <row r="10616">
      <c r="A10616" s="1">
        <v>5.0</v>
      </c>
      <c r="B10616" s="1" t="s">
        <v>10535</v>
      </c>
      <c r="C10616" t="str">
        <f>IFERROR(__xludf.DUMMYFUNCTION("GOOGLETRANSLATE(B10616, ""zh"", ""en"")"),"The first piece of Japanese table like the colors, the light can go, the performance did not say. My only regret is not with a luminous")</f>
        <v>The first piece of Japanese table like the colors, the light can go, the performance did not say. My only regret is not with a luminous</v>
      </c>
    </row>
    <row r="10617">
      <c r="A10617" s="1">
        <v>5.0</v>
      </c>
      <c r="B10617" s="1" t="s">
        <v>10536</v>
      </c>
      <c r="C10617" t="str">
        <f>IFERROR(__xludf.DUMMYFUNCTION("GOOGLETRANSLATE(B10617, ""zh"", ""en"")"),"Buy cheaper than domestic nothing to say it, cheaper than some East Point, 10 good enough for three years")</f>
        <v>Buy cheaper than domestic nothing to say it, cheaper than some East Point, 10 good enough for three years</v>
      </c>
    </row>
    <row r="10618">
      <c r="A10618" s="1">
        <v>5.0</v>
      </c>
      <c r="B10618" s="1" t="s">
        <v>10537</v>
      </c>
      <c r="C10618" t="str">
        <f>IFERROR(__xludf.DUMMYFUNCTION("GOOGLETRANSLATE(B10618, ""zh"", ""en"")"),"Because pregnancy symphysis pubis dysfunction buy, there is relief. Because pregnancy symphysis pubis dysfunction buy, there is relief.")</f>
        <v>Because pregnancy symphysis pubis dysfunction buy, there is relief. Because pregnancy symphysis pubis dysfunction buy, there is relief.</v>
      </c>
    </row>
    <row r="10619">
      <c r="A10619" s="1">
        <v>5.0</v>
      </c>
      <c r="B10619" s="1" t="s">
        <v>10538</v>
      </c>
      <c r="C10619" t="str">
        <f>IFERROR(__xludf.DUMMYFUNCTION("GOOGLETRANSLATE(B10619, ""zh"", ""en"")"),"Wear for a long time after the evaluation is very comfortable, lee brand of jeans to wear body is feeling comfortable.")</f>
        <v>Wear for a long time after the evaluation is very comfortable, lee brand of jeans to wear body is feeling comfortable.</v>
      </c>
    </row>
    <row r="10620">
      <c r="A10620" s="1">
        <v>5.0</v>
      </c>
      <c r="B10620" s="1" t="s">
        <v>10539</v>
      </c>
      <c r="C10620" t="str">
        <f>IFERROR(__xludf.DUMMYFUNCTION("GOOGLETRANSLATE(B10620, ""zh"", ""en"")"),"Genuine insulation effect did not have to say, the main color is hard to come by 🌹 cup superb 🌹 color is rare, I like")</f>
        <v>Genuine insulation effect did not have to say, the main color is hard to come by 🌹 cup superb 🌹 color is rare, I like</v>
      </c>
    </row>
    <row r="10621">
      <c r="A10621" s="1">
        <v>5.0</v>
      </c>
      <c r="B10621" s="1" t="s">
        <v>10540</v>
      </c>
      <c r="C10621" t="str">
        <f>IFERROR(__xludf.DUMMYFUNCTION("GOOGLETRANSLATE(B10621, ""zh"", ""en"")"),"Maintenance of goods sent to the United States, see the tariff record. A few days, put the 2T, quality can be. Sound micro-ring, pass fast enough 20M / s or so, I am most worried about the maintenance issues! Where to go after bad repair ..")</f>
        <v>Maintenance of goods sent to the United States, see the tariff record. A few days, put the 2T, quality can be. Sound micro-ring, pass fast enough 20M / s or so, I am most worried about the maintenance issues! Where to go after bad repair ..</v>
      </c>
    </row>
    <row r="10622">
      <c r="A10622" s="1">
        <v>5.0</v>
      </c>
      <c r="B10622" s="1" t="s">
        <v>2501</v>
      </c>
      <c r="C10622" t="str">
        <f>IFERROR(__xludf.DUMMYFUNCTION("GOOGLETRANSLATE(B10622, ""zh"", ""en"")"),"Cost-effective prefer, just SHORT length.")</f>
        <v>Cost-effective prefer, just SHORT length.</v>
      </c>
    </row>
    <row r="10623">
      <c r="A10623" s="1">
        <v>2.0</v>
      </c>
      <c r="B10623" s="1" t="s">
        <v>10541</v>
      </c>
      <c r="C10623" t="str">
        <f>IFERROR(__xludf.DUMMYFUNCTION("GOOGLETRANSLATE(B10623, ""zh"", ""en"")"),"Loose version of the type, do not be fooled by the title pants are loose version, written on pants relaxed fit, actually be able to mark it as Slim!")</f>
        <v>Loose version of the type, do not be fooled by the title pants are loose version, written on pants relaxed fit, actually be able to mark it as Slim!</v>
      </c>
    </row>
    <row r="10624">
      <c r="A10624" s="1">
        <v>3.0</v>
      </c>
      <c r="B10624" s="1" t="s">
        <v>10542</v>
      </c>
      <c r="C10624" t="str">
        <f>IFERROR(__xludf.DUMMYFUNCTION("GOOGLETRANSLATE(B10624, ""zh"", ""en"")"),"JBL origin Dongguan price of your headset with ear pain did not bring the same overall rating, do not recommend buying reasons: 1, 5 meters are particularly vulnerable to dropped calls, it will close the reconnection 2, wearing squeeze ear headphones, les"&amp;"s than 1 hour, pain it's 3, so it will work, I saw the box of origin - Dongguan, Guangdong, was thinking ~ IQ pay tax value ah 4, Apple's smallest phone volume, you can really play the role of a headset, open two small cells Music will not work, if the 3-"&amp;"4 lattice of this almost like putting, and the higher up you can directly remove the headset to put away the 5, sum up, the more than 2 million, is not worth, hope buy carefully! ! !")</f>
        <v>JBL origin Dongguan price of your headset with ear pain did not bring the same overall rating, do not recommend buying reasons: 1, 5 meters are particularly vulnerable to dropped calls, it will close the reconnection 2, wearing squeeze ear headphones, less than 1 hour, pain it's 3, so it will work, I saw the box of origin - Dongguan, Guangdong, was thinking ~ IQ pay tax value ah 4, Apple's smallest phone volume, you can really play the role of a headset, open two small cells Music will not work, if the 3-4 lattice of this almost like putting, and the higher up you can directly remove the headset to put away the 5, sum up, the more than 2 million, is not worth, hope buy carefully! ! !</v>
      </c>
    </row>
    <row r="10625">
      <c r="A10625" s="1">
        <v>3.0</v>
      </c>
      <c r="B10625" s="1" t="s">
        <v>10543</v>
      </c>
      <c r="C10625" t="str">
        <f>IFERROR(__xludf.DUMMYFUNCTION("GOOGLETRANSLATE(B10625, ""zh"", ""en"")"),"I do not know misled, big number, but can not escape")</f>
        <v>I do not know misled, big number, but can not escape</v>
      </c>
    </row>
    <row r="10626">
      <c r="A10626" s="1">
        <v>1.0</v>
      </c>
      <c r="B10626" s="1" t="s">
        <v>10544</v>
      </c>
      <c r="C10626" t="str">
        <f>IFERROR(__xludf.DUMMYFUNCTION("GOOGLETRANSLATE(B10626, ""zh"", ""en"")"),"This is not true hoodies, buy a washing machine is a washing machine to wash clothes fall Xie Xie, clothes itself is covered with Xie Xie, fake no doubt! This really is not quality! amazon actually selling fake")</f>
        <v>This is not true hoodies, buy a washing machine is a washing machine to wash clothes fall Xie Xie, clothes itself is covered with Xie Xie, fake no doubt! This really is not quality! amazon actually selling fake</v>
      </c>
    </row>
    <row r="10627">
      <c r="A10627" s="1">
        <v>1.0</v>
      </c>
      <c r="B10627" s="1" t="s">
        <v>10545</v>
      </c>
      <c r="C10627" t="str">
        <f>IFERROR(__xludf.DUMMYFUNCTION("GOOGLETRANSLATE(B10627, ""zh"", ""en"")"),"Why only quality hardware with a month on the paint chips?")</f>
        <v>Why only quality hardware with a month on the paint chips?</v>
      </c>
    </row>
    <row r="10628">
      <c r="A10628" s="1">
        <v>1.0</v>
      </c>
      <c r="B10628" s="1" t="s">
        <v>10546</v>
      </c>
      <c r="C10628" t="str">
        <f>IFERROR(__xludf.DUMMYFUNCTION("GOOGLETRANSLATE(B10628, ""zh"", ""en"")"),"Packaging simple, collision avoidance measures to do open the package and found a container handle cracked, depressed 😒, compared to other domestic shopping platform, Amazon's packaging too simple")</f>
        <v>Packaging simple, collision avoidance measures to do open the package and found a container handle cracked, depressed 😒, compared to other domestic shopping platform, Amazon's packaging too simple</v>
      </c>
    </row>
    <row r="10629">
      <c r="A10629" s="1">
        <v>4.0</v>
      </c>
      <c r="B10629" s="1" t="s">
        <v>10547</v>
      </c>
      <c r="C10629" t="str">
        <f>IFERROR(__xludf.DUMMYFUNCTION("GOOGLETRANSLATE(B10629, ""zh"", ""en"")"),"Style and quality are good usually wear 36 yards, or buy the normal code after watching a comment, the results look like a big half a yard.")</f>
        <v>Style and quality are good usually wear 36 yards, or buy the normal code after watching a comment, the results look like a big half a yard.</v>
      </c>
    </row>
    <row r="10630">
      <c r="A10630" s="1">
        <v>4.0</v>
      </c>
      <c r="B10630" s="1" t="s">
        <v>10548</v>
      </c>
      <c r="C10630" t="str">
        <f>IFERROR(__xludf.DUMMYFUNCTION("GOOGLETRANSLATE(B10630, ""zh"", ""en"")"),"I feel pretty good size getting bigger, so Europeans and Americans can wear, I also want to buy")</f>
        <v>I feel pretty good size getting bigger, so Europeans and Americans can wear, I also want to buy</v>
      </c>
    </row>
    <row r="10631">
      <c r="A10631" s="1">
        <v>4.0</v>
      </c>
      <c r="B10631" s="1" t="s">
        <v>10549</v>
      </c>
      <c r="C10631" t="str">
        <f>IFERROR(__xludf.DUMMYFUNCTION("GOOGLETRANSLATE(B10631, ""zh"", ""en"")"),"Satisfied. Time still on time, but the courier brother's phone is marked as harassing phone calls. Send cloud storage flashy. Not good operation.")</f>
        <v>Satisfied. Time still on time, but the courier brother's phone is marked as harassing phone calls. Send cloud storage flashy. Not good operation.</v>
      </c>
    </row>
    <row r="10632">
      <c r="A10632" s="1">
        <v>4.0</v>
      </c>
      <c r="B10632" s="1" t="s">
        <v>10550</v>
      </c>
      <c r="C10632" t="str">
        <f>IFERROR(__xludf.DUMMYFUNCTION("GOOGLETRANSLATE(B10632, ""zh"", ""en"")"),"Colin start very fit, soft leather, very much 😘")</f>
        <v>Colin start very fit, soft leather, very much 😘</v>
      </c>
    </row>
    <row r="10633">
      <c r="A10633" s="1">
        <v>4.0</v>
      </c>
      <c r="B10633" s="1" t="s">
        <v>10551</v>
      </c>
      <c r="C10633" t="str">
        <f>IFERROR(__xludf.DUMMYFUNCTION("GOOGLETRANSLATE(B10633, ""zh"", ""en"")"),"Praise good. Workmanship is better than the domestic version")</f>
        <v>Praise good. Workmanship is better than the domestic version</v>
      </c>
    </row>
    <row r="10634">
      <c r="A10634" s="1">
        <v>5.0</v>
      </c>
      <c r="B10634" s="1" t="s">
        <v>10552</v>
      </c>
      <c r="C10634" t="str">
        <f>IFERROR(__xludf.DUMMYFUNCTION("GOOGLETRANSLATE(B10634, ""zh"", ""en"")"),"Fabrics can be satisfied. Bigger than thought")</f>
        <v>Fabrics can be satisfied. Bigger than thought</v>
      </c>
    </row>
    <row r="10635">
      <c r="A10635" s="1">
        <v>5.0</v>
      </c>
      <c r="B10635" s="1" t="s">
        <v>10553</v>
      </c>
      <c r="C10635" t="str">
        <f>IFERROR(__xludf.DUMMYFUNCTION("GOOGLETRANSLATE(B10635, ""zh"", ""en"")"),"Comfortable to wear very comfortable, very standard code, permeability or.")</f>
        <v>Comfortable to wear very comfortable, very standard code, permeability or.</v>
      </c>
    </row>
    <row r="10636">
      <c r="A10636" s="1">
        <v>5.0</v>
      </c>
      <c r="B10636" s="1" t="s">
        <v>10554</v>
      </c>
      <c r="C10636" t="str">
        <f>IFERROR(__xludf.DUMMYFUNCTION("GOOGLETRANSLATE(B10636, ""zh"", ""en"")"),"Fast camera card like that is too expensive very fast camera card like that is too expensive")</f>
        <v>Fast camera card like that is too expensive very fast camera card like that is too expensive</v>
      </c>
    </row>
    <row r="10637">
      <c r="A10637" s="1">
        <v>5.0</v>
      </c>
      <c r="B10637" s="1" t="s">
        <v>10555</v>
      </c>
      <c r="C10637" t="str">
        <f>IFERROR(__xludf.DUMMYFUNCTION("GOOGLETRANSLATE(B10637, ""zh"", ""en"")"),"Cost-effective quality is very good, very flexible, smaller than a domestic code just right.")</f>
        <v>Cost-effective quality is very good, very flexible, smaller than a domestic code just right.</v>
      </c>
    </row>
    <row r="10638">
      <c r="A10638" s="1">
        <v>5.0</v>
      </c>
      <c r="B10638" s="1" t="s">
        <v>10556</v>
      </c>
      <c r="C10638" t="str">
        <f>IFERROR(__xludf.DUMMYFUNCTION("GOOGLETRANSLATE(B10638, ""zh"", ""en"")"),"Classic, positive yardage usually 40 yards, bought 7US, appropriate, but big feet is recommended to buy most of the code")</f>
        <v>Classic, positive yardage usually 40 yards, bought 7US, appropriate, but big feet is recommended to buy most of the code</v>
      </c>
    </row>
    <row r="10639">
      <c r="A10639" s="1">
        <v>5.0</v>
      </c>
      <c r="B10639" s="1" t="s">
        <v>10557</v>
      </c>
      <c r="C10639" t="str">
        <f>IFERROR(__xludf.DUMMYFUNCTION("GOOGLETRANSLATE(B10639, ""zh"", ""en"")"),"Product quality and services of a very good, there is also all kinds of stickers, the children very much")</f>
        <v>Product quality and services of a very good, there is also all kinds of stickers, the children very much</v>
      </c>
    </row>
    <row r="10640">
      <c r="A10640" s="1">
        <v>5.0</v>
      </c>
      <c r="B10640" s="1" t="s">
        <v>10558</v>
      </c>
      <c r="C10640" t="str">
        <f>IFERROR(__xludf.DUMMYFUNCTION("GOOGLETRANSLATE(B10640, ""zh"", ""en"")"),"High cost cheaper than on the East a certain treasure, high cost.")</f>
        <v>High cost cheaper than on the East a certain treasure, high cost.</v>
      </c>
    </row>
    <row r="10641">
      <c r="A10641" s="1">
        <v>5.0</v>
      </c>
      <c r="B10641" s="1" t="s">
        <v>10559</v>
      </c>
      <c r="C10641" t="str">
        <f>IFERROR(__xludf.DUMMYFUNCTION("GOOGLETRANSLATE(B10641, ""zh"", ""en"")"),"177cm, 63kg, very suitable for 177cm, 63kg. very suitable. Thin section, very comfortable.")</f>
        <v>177cm, 63kg, very suitable for 177cm, 63kg. very suitable. Thin section, very comfortable.</v>
      </c>
    </row>
    <row r="10642">
      <c r="A10642" s="1">
        <v>5.0</v>
      </c>
      <c r="B10642" s="1" t="s">
        <v>10560</v>
      </c>
      <c r="C10642" t="str">
        <f>IFERROR(__xludf.DUMMYFUNCTION("GOOGLETRANSLATE(B10642, ""zh"", ""en"")"),"Good box, no doubt! Turnip greens, all have love, each person requires a different, no matter how good the products are difficult to reach. I have one pair E8 + T10 when watching a movie in the living room with, hearing a lot of listening sound each time "&amp;"you open Edifier C2 near-field listening to music in the library always feel uncomfortable. In other E5? Think about switching power supply and adjust the volume control box is individually would be too long-winded, say the study on the Internet to play g"&amp;"ames to be so high-power doing it? In the practical use of this principle for a C2. E4.5 orders on the third day arrived, connected to the computer with an external sound card to decode this brand of 499 seconds, the box came clean, distinct voice, sittin"&amp;"g in front of the computer feel very comfortable. bass? Enough ah, want so much to do, every day, the head of Honghong not really comfortable. This has always been the near-field box unit is small near-field listening environment, some people bored stiff "&amp;"and big horn or go into a big room than the bass. I Onkyo combination set of 5-inch low-frequency 755 spent thousands of pieces, many low-foot, 5-inch speaker but spared the low-frequency sound level is bad, the sound is not clean. Even the low-frequency "&amp;"speaker Bose done very little foot are also the same problem. Personally feel that the sound is to listen, not every day, I took the noisy boom head. In short, no matter how good things have to use the right place, the right treatment. The price is less t"&amp;"han one thousand dollars can only be used to make so many material cost such a good product out has been very good. The so-called golden ears, do not say it on the box Xiaqi bad, and thousands of pieces can go over it a speaker? In most cases in his norma"&amp;"l operating range can hear the sound of many thousands of pieces of quality we need anything demanding it?")</f>
        <v>Good box, no doubt! Turnip greens, all have love, each person requires a different, no matter how good the products are difficult to reach. I have one pair E8 + T10 when watching a movie in the living room with, hearing a lot of listening sound each time you open Edifier C2 near-field listening to music in the library always feel uncomfortable. In other E5? Think about switching power supply and adjust the volume control box is individually would be too long-winded, say the study on the Internet to play games to be so high-power doing it? In the practical use of this principle for a C2. E4.5 orders on the third day arrived, connected to the computer with an external sound card to decode this brand of 499 seconds, the box came clean, distinct voice, sitting in front of the computer feel very comfortable. bass? Enough ah, want so much to do, every day, the head of Honghong not really comfortable. This has always been the near-field box unit is small near-field listening environment, some people bored stiff and big horn or go into a big room than the bass. I Onkyo combination set of 5-inch low-frequency 755 spent thousands of pieces, many low-foot, 5-inch speaker but spared the low-frequency sound level is bad, the sound is not clean. Even the low-frequency speaker Bose done very little foot are also the same problem. Personally feel that the sound is to listen, not every day, I took the noisy boom head. In short, no matter how good things have to use the right place, the right treatment. The price is less than one thousand dollars can only be used to make so many material cost such a good product out has been very good. The so-called golden ears, do not say it on the box Xiaqi bad, and thousands of pieces can go over it a speaker? In most cases in his normal operating range can hear the sound of many thousands of pieces of quality we need anything demanding it?</v>
      </c>
    </row>
    <row r="10643">
      <c r="A10643" s="1">
        <v>5.0</v>
      </c>
      <c r="B10643" s="1" t="s">
        <v>10561</v>
      </c>
      <c r="C10643" t="str">
        <f>IFERROR(__xludf.DUMMYFUNCTION("GOOGLETRANSLATE(B10643, ""zh"", ""en"")"),"Very affordable price and product quality match.")</f>
        <v>Very affordable price and product quality match.</v>
      </c>
    </row>
    <row r="10644">
      <c r="A10644" s="1">
        <v>5.0</v>
      </c>
      <c r="B10644" s="1" t="s">
        <v>10562</v>
      </c>
      <c r="C10644" t="str">
        <f>IFERROR(__xludf.DUMMYFUNCTION("GOOGLETRANSLATE(B10644, ""zh"", ""en"")"),"Good stuff cheap, cheap, but is not licensed to take no points.")</f>
        <v>Good stuff cheap, cheap, but is not licensed to take no points.</v>
      </c>
    </row>
    <row r="10645">
      <c r="A10645" s="1">
        <v>5.0</v>
      </c>
      <c r="B10645" s="1" t="s">
        <v>10563</v>
      </c>
      <c r="C10645" t="str">
        <f>IFERROR(__xludf.DUMMYFUNCTION("GOOGLETRANSLATE(B10645, ""zh"", ""en"")"),"Good writing is very good, moderate degree of thickness, love Amazon")</f>
        <v>Good writing is very good, moderate degree of thickness, love Amazon</v>
      </c>
    </row>
    <row r="10646">
      <c r="A10646" s="1">
        <v>5.0</v>
      </c>
      <c r="B10646" s="1" t="s">
        <v>10564</v>
      </c>
      <c r="C10646" t="str">
        <f>IFERROR(__xludf.DUMMYFUNCTION("GOOGLETRANSLATE(B10646, ""zh"", ""en"")"),"Great! And projected as appropriate, 172-70 buy M just, sleeves and shoulders more lenient, other very fit, a short paragraph, significant leg length. Really good workmanship, fabric feel good! No taste, packaging in general, but across the sea to maintai"&amp;"n the integrity good. It is the half price, number relatively homogeneous.")</f>
        <v>Great! And projected as appropriate, 172-70 buy M just, sleeves and shoulders more lenient, other very fit, a short paragraph, significant leg length. Really good workmanship, fabric feel good! No taste, packaging in general, but across the sea to maintain the integrity good. It is the half price, number relatively homogeneous.</v>
      </c>
    </row>
    <row r="10647">
      <c r="A10647" s="1">
        <v>5.0</v>
      </c>
      <c r="B10647" s="1" t="s">
        <v>10565</v>
      </c>
      <c r="C10647" t="str">
        <f>IFERROR(__xludf.DUMMYFUNCTION("GOOGLETRANSLATE(B10647, ""zh"", ""en"")"),"Yes, it seems than with two banana peel that money a little longer affordable without scouring the sea, many of them are bought on the throw Ken Ken, let the baby try a friend's house a few bananas can be, this is also a good price, fast delivery, direct "&amp;"that money to buy longer than friends and scouring the sea with a little banana peel, think this is more good, practical, and not used to the baby banana peel out of the way")</f>
        <v>Yes, it seems than with two banana peel that money a little longer affordable without scouring the sea, many of them are bought on the throw Ken Ken, let the baby try a friend's house a few bananas can be, this is also a good price, fast delivery, direct that money to buy longer than friends and scouring the sea with a little banana peel, think this is more good, practical, and not used to the baby banana peel out of the way</v>
      </c>
    </row>
    <row r="10648">
      <c r="A10648" s="1">
        <v>5.0</v>
      </c>
      <c r="B10648" s="1" t="s">
        <v>10566</v>
      </c>
      <c r="C10648" t="str">
        <f>IFERROR(__xludf.DUMMYFUNCTION("GOOGLETRANSLATE(B10648, ""zh"", ""en"")"),"Large two yards shape a bit exaggerated affordable, much cheaper than domestic, modeling a bit exaggerated, probably big enough yard, bought to increase domestic wear increase, probably half a yard yards, others say no")</f>
        <v>Large two yards shape a bit exaggerated affordable, much cheaper than domestic, modeling a bit exaggerated, probably big enough yard, bought to increase domestic wear increase, probably half a yard yards, others say no</v>
      </c>
    </row>
    <row r="10649">
      <c r="A10649" s="1">
        <v>5.0</v>
      </c>
      <c r="B10649" s="1" t="s">
        <v>10567</v>
      </c>
      <c r="C10649" t="str">
        <f>IFERROR(__xludf.DUMMYFUNCTION("GOOGLETRANSLATE(B10649, ""zh"", ""en"")"),"Okay Made in China, Indonesia did not feel good workmanship, appearance and inside fabric Figure")</f>
        <v>Okay Made in China, Indonesia did not feel good workmanship, appearance and inside fabric Figure</v>
      </c>
    </row>
    <row r="10650">
      <c r="A10650" s="1">
        <v>5.0</v>
      </c>
      <c r="B10650" s="1" t="s">
        <v>10568</v>
      </c>
      <c r="C10650" t="str">
        <f>IFERROR(__xludf.DUMMYFUNCTION("GOOGLETRANSLATE(B10650, ""zh"", ""en"")"),"Powder worth buying, assured quality, next to continue")</f>
        <v>Powder worth buying, assured quality, next to continue</v>
      </c>
    </row>
    <row r="10651">
      <c r="A10651" s="1">
        <v>5.0</v>
      </c>
      <c r="B10651" s="1" t="s">
        <v>10569</v>
      </c>
      <c r="C10651" t="str">
        <f>IFERROR(__xludf.DUMMYFUNCTION("GOOGLETRANSLATE(B10651, ""zh"", ""en"")"),"Glucosamine dimension to the mother to buy food, but according to eat colleagues say eat digestion of the stomach is not very good, but it does have a role in soft tissue.")</f>
        <v>Glucosamine dimension to the mother to buy food, but according to eat colleagues say eat digestion of the stomach is not very good, but it does have a role in soft tissue.</v>
      </c>
    </row>
    <row r="10652">
      <c r="A10652" s="1">
        <v>5.0</v>
      </c>
      <c r="B10652" s="1" t="s">
        <v>10570</v>
      </c>
      <c r="C10652" t="str">
        <f>IFERROR(__xludf.DUMMYFUNCTION("GOOGLETRANSLATE(B10652, ""zh"", ""en"")"),"Size according to the size of the subject to write a little too big")</f>
        <v>Size according to the size of the subject to write a little too big</v>
      </c>
    </row>
    <row r="10653">
      <c r="A10653" s="1">
        <v>5.0</v>
      </c>
      <c r="B10653" s="1" t="s">
        <v>10571</v>
      </c>
      <c r="C10653" t="str">
        <f>IFERROR(__xludf.DUMMYFUNCTION("GOOGLETRANSLATE(B10653, ""zh"", ""en"")"),"Getting a good choice for a good, small and do not take place. When the operation sound is not small, but fortunately short time, small storage bin capacity, add water often equivalent to changing the water often, very good. No quality problems")</f>
        <v>Getting a good choice for a good, small and do not take place. When the operation sound is not small, but fortunately short time, small storage bin capacity, add water often equivalent to changing the water often, very good. No quality problems</v>
      </c>
    </row>
    <row r="10654">
      <c r="A10654" s="1">
        <v>5.0</v>
      </c>
      <c r="B10654" s="1" t="s">
        <v>10572</v>
      </c>
      <c r="C10654" t="str">
        <f>IFERROR(__xludf.DUMMYFUNCTION("GOOGLETRANSLATE(B10654, ""zh"", ""en"")"),"Praise affordable, high shipping and distribution efficiency, the key is genuine, praise!")</f>
        <v>Praise affordable, high shipping and distribution efficiency, the key is genuine, praise!</v>
      </c>
    </row>
    <row r="10655">
      <c r="A10655" s="1">
        <v>5.0</v>
      </c>
      <c r="B10655" s="1" t="s">
        <v>10573</v>
      </c>
      <c r="C10655" t="str">
        <f>IFERROR(__xludf.DUMMYFUNCTION("GOOGLETRANSLATE(B10655, ""zh"", ""en"")"),"Good overall pretty good, it will continue to buy")</f>
        <v>Good overall pretty good, it will continue to buy</v>
      </c>
    </row>
    <row r="10656">
      <c r="A10656" s="1">
        <v>2.0</v>
      </c>
      <c r="B10656" s="1" t="s">
        <v>10574</v>
      </c>
      <c r="C10656" t="str">
        <f>IFERROR(__xludf.DUMMYFUNCTION("GOOGLETRANSLATE(B10656, ""zh"", ""en"")"),"Very frustrating time ... arrived on the bad to the control board failure (domestic aftermarket detection) Bosch control of goods should not be such as some bad ah, return shipping is also more expensive than goods that Amazon is responsible to recommend "&amp;"domestic sale, the costs are reimbursed . The machine is very good to use, but the new machine to repair hand, my heart is still uncomfortable, two stars, a sale to Amazon, to a Bosch aftermarket.")</f>
        <v>Very frustrating time ... arrived on the bad to the control board failure (domestic aftermarket detection) Bosch control of goods should not be such as some bad ah, return shipping is also more expensive than goods that Amazon is responsible to recommend domestic sale, the costs are reimbursed . The machine is very good to use, but the new machine to repair hand, my heart is still uncomfortable, two stars, a sale to Amazon, to a Bosch aftermarket.</v>
      </c>
    </row>
    <row r="10657">
      <c r="A10657" s="1">
        <v>3.0</v>
      </c>
      <c r="B10657" s="1" t="s">
        <v>10575</v>
      </c>
      <c r="C10657" t="str">
        <f>IFERROR(__xludf.DUMMYFUNCTION("GOOGLETRANSLATE(B10657, ""zh"", ""en"")"),"Children spoon useless, weak burst! Waste of money spoons.")</f>
        <v>Children spoon useless, weak burst! Waste of money spoons.</v>
      </c>
    </row>
    <row r="10658">
      <c r="A10658" s="1">
        <v>3.0</v>
      </c>
      <c r="B10658" s="1" t="s">
        <v>10576</v>
      </c>
      <c r="C10658" t="str">
        <f>IFERROR(__xludf.DUMMYFUNCTION("GOOGLETRANSLATE(B10658, ""zh"", ""en"")"),"Airtight, airtight quality of general ah, boring. Fortunately style. 1100 + worth feeling, quality in general.")</f>
        <v>Airtight, airtight quality of general ah, boring. Fortunately style. 1100 + worth feeling, quality in general.</v>
      </c>
    </row>
    <row r="10659">
      <c r="A10659" s="1">
        <v>3.0</v>
      </c>
      <c r="B10659" s="1" t="s">
        <v>10577</v>
      </c>
      <c r="C10659" t="str">
        <f>IFERROR(__xludf.DUMMYFUNCTION("GOOGLETRANSLATE(B10659, ""zh"", ""en"")"),"Usually wear pants too large too large the lot 12 yards 32")</f>
        <v>Usually wear pants too large too large the lot 12 yards 32</v>
      </c>
    </row>
    <row r="10660">
      <c r="A10660" s="1">
        <v>1.0</v>
      </c>
      <c r="B10660" s="1" t="s">
        <v>10578</v>
      </c>
      <c r="C10660" t="str">
        <f>IFERROR(__xludf.DUMMYFUNCTION("GOOGLETRANSLATE(B10660, ""zh"", ""en"")"),"Base and not expensive, highly bonded &lt;div id = ""video-block-RPMVH7MCUKM0H"" class = ""a-section a-spacing-small a-spacing-top-mini video-block""&gt; &lt;/ div&gt; &lt;input type = ""hidden"" name = """" value = ""https://images-cn.ssl-images-amazon.com/images/I/71i"&amp;"1TlhREdS.mp4"" class = ""video-url""&gt; &lt;input type = ""hidden"" name = """" value = ""https://images-cn.ssl-images-amazon.com/images/I/A1KqbnQfMfS.png"" class = ""video-slate-img-url""&gt; &amp; nbsp; and expensive, is not affixed to the base together, shake to a"&amp;"nd fro, the situation after the water becomes more apparent. Quite satisfied.")</f>
        <v>Base and not expensive, highly bonded &lt;div id = "video-block-RPMVH7MCUKM0H" class = "a-section a-spacing-small a-spacing-top-mini video-block"&gt; &lt;/ div&gt; &lt;input type = "hidden" name = "" value = "https://images-cn.ssl-images-amazon.com/images/I/71i1TlhREdS.mp4" class = "video-url"&gt; &lt;input type = "hidden" name = "" value = "https://images-cn.ssl-images-amazon.com/images/I/A1KqbnQfMfS.png" class = "video-slate-img-url"&gt; &amp; nbsp; and expensive, is not affixed to the base together, shake to and fro, the situation after the water becomes more apparent. Quite satisfied.</v>
      </c>
    </row>
    <row r="10661">
      <c r="A10661" s="1">
        <v>1.0</v>
      </c>
      <c r="B10661" s="1" t="s">
        <v>10579</v>
      </c>
      <c r="C10661" t="str">
        <f>IFERROR(__xludf.DUMMYFUNCTION("GOOGLETRANSLATE(B10661, ""zh"", ""en"")"),"The wrong goods sent to the UK but also their own back I bought the neutral section shown in white UK7, white! White white white sole side! UK7 Boots received was white with black edges and I specifically skipped uk7 men choose this option does not / uk7 "&amp;"result suffix sent neither want nor wear one pair of shoes, here is not responsible for Central Asia sent overseas to return their own positions, pay the tax also has donated white friends")</f>
        <v>The wrong goods sent to the UK but also their own back I bought the neutral section shown in white UK7, white! White white white sole side! UK7 Boots received was white with black edges and I specifically skipped uk7 men choose this option does not / uk7 result suffix sent neither want nor wear one pair of shoes, here is not responsible for Central Asia sent overseas to return their own positions, pay the tax also has donated white friends</v>
      </c>
    </row>
    <row r="10662">
      <c r="A10662" s="1">
        <v>4.0</v>
      </c>
      <c r="B10662" s="1" t="s">
        <v>10580</v>
      </c>
      <c r="C10662" t="str">
        <f>IFERROR(__xludf.DUMMYFUNCTION("GOOGLETRANSLATE(B10662, ""zh"", ""en"")"),"Elegant and generous style pretty good color elegant nude color heel height suitable comfortable. Is a little too large shoe had dropped out")</f>
        <v>Elegant and generous style pretty good color elegant nude color heel height suitable comfortable. Is a little too large shoe had dropped out</v>
      </c>
    </row>
    <row r="10663">
      <c r="A10663" s="1">
        <v>4.0</v>
      </c>
      <c r="B10663" s="1" t="s">
        <v>10581</v>
      </c>
      <c r="C10663" t="str">
        <f>IFERROR(__xludf.DUMMYFUNCTION("GOOGLETRANSLATE(B10663, ""zh"", ""en"")"),"Slightly smaller a little bit small ... 60kg")</f>
        <v>Slightly smaller a little bit small ... 60kg</v>
      </c>
    </row>
    <row r="10664">
      <c r="A10664" s="1">
        <v>4.0</v>
      </c>
      <c r="B10664" s="1" t="s">
        <v>10582</v>
      </c>
      <c r="C10664" t="str">
        <f>IFERROR(__xludf.DUMMYFUNCTION("GOOGLETRANSLATE(B10664, ""zh"", ""en"")"),"After ten days of receiving work fine .. put on a kind of feeling through, it is full of memories, like going back twenty-five years ago. Wrist robust enthusiasts do not recommend wearing ,,,,,")</f>
        <v>After ten days of receiving work fine .. put on a kind of feeling through, it is full of memories, like going back twenty-five years ago. Wrist robust enthusiasts do not recommend wearing ,,,,,</v>
      </c>
    </row>
    <row r="10665">
      <c r="A10665" s="1">
        <v>4.0</v>
      </c>
      <c r="B10665" s="1" t="s">
        <v>10583</v>
      </c>
      <c r="C10665" t="str">
        <f>IFERROR(__xludf.DUMMYFUNCTION("GOOGLETRANSLATE(B10665, ""zh"", ""en"")"),"Such as the arrival of spring can wear good clothes")</f>
        <v>Such as the arrival of spring can wear good clothes</v>
      </c>
    </row>
    <row r="10666">
      <c r="A10666" s="1">
        <v>4.0</v>
      </c>
      <c r="B10666" s="1" t="s">
        <v>10584</v>
      </c>
      <c r="C10666" t="str">
        <f>IFERROR(__xludf.DUMMYFUNCTION("GOOGLETRANSLATE(B10666, ""zh"", ""en"")"),"Good work OK, do not fade, is also very good pants")</f>
        <v>Good work OK, do not fade, is also very good pants</v>
      </c>
    </row>
    <row r="10667">
      <c r="A10667" s="1">
        <v>5.0</v>
      </c>
      <c r="B10667" s="1" t="s">
        <v>10585</v>
      </c>
      <c r="C10667" t="str">
        <f>IFERROR(__xludf.DUMMYFUNCTION("GOOGLETRANSLATE(B10667, ""zh"", ""en"")"),"An affordable faucet taps Although most of this material is plastic, but rational design, to users with a great convenience, the other very fine work, the downside is that the packaging is defective, the head of the hose will be scratches on stainless ste"&amp;"el clips, affect the appearance. I have this two scratches.")</f>
        <v>An affordable faucet taps Although most of this material is plastic, but rational design, to users with a great convenience, the other very fine work, the downside is that the packaging is defective, the head of the hose will be scratches on stainless steel clips, affect the appearance. I have this two scratches.</v>
      </c>
    </row>
    <row r="10668">
      <c r="A10668" s="1">
        <v>5.0</v>
      </c>
      <c r="B10668" s="1" t="s">
        <v>10586</v>
      </c>
      <c r="C10668" t="str">
        <f>IFERROR(__xludf.DUMMYFUNCTION("GOOGLETRANSLATE(B10668, ""zh"", ""en"")"),"Easy to use them large, affordable, very smooth to use now")</f>
        <v>Easy to use them large, affordable, very smooth to use now</v>
      </c>
    </row>
    <row r="10669">
      <c r="A10669" s="1">
        <v>5.0</v>
      </c>
      <c r="B10669" s="1" t="s">
        <v>10587</v>
      </c>
      <c r="C10669" t="str">
        <f>IFERROR(__xludf.DUMMYFUNCTION("GOOGLETRANSLATE(B10669, ""zh"", ""en"")"),"Taste a little taste not particularly fond of light")</f>
        <v>Taste a little taste not particularly fond of light</v>
      </c>
    </row>
    <row r="10670">
      <c r="A10670" s="1">
        <v>5.0</v>
      </c>
      <c r="B10670" s="1" t="s">
        <v>10588</v>
      </c>
      <c r="C10670" t="str">
        <f>IFERROR(__xludf.DUMMYFUNCTION("GOOGLETRANSLATE(B10670, ""zh"", ""en"")"),"Worth buying very satisfied, especially the vacuum insulation effect, 90 degrees off the evening, the morning temperature there are about 40 degrees, and quite quiet. The only confusing is that this is actually the Japanese domestic models made in China, "&amp;"while domestic line payment indeed made in Japan")</f>
        <v>Worth buying very satisfied, especially the vacuum insulation effect, 90 degrees off the evening, the morning temperature there are about 40 degrees, and quite quiet. The only confusing is that this is actually the Japanese domestic models made in China, while domestic line payment indeed made in Japan</v>
      </c>
    </row>
    <row r="10671">
      <c r="A10671" s="1">
        <v>5.0</v>
      </c>
      <c r="B10671" s="1" t="s">
        <v>10589</v>
      </c>
      <c r="C10671" t="str">
        <f>IFERROR(__xludf.DUMMYFUNCTION("GOOGLETRANSLATE(B10671, ""zh"", ""en"")"),"Receive the baby. This baby received, open the packaging to see complete. Such as installation and then comment.")</f>
        <v>Receive the baby. This baby received, open the packaging to see complete. Such as installation and then comment.</v>
      </c>
    </row>
    <row r="10672">
      <c r="A10672" s="1">
        <v>5.0</v>
      </c>
      <c r="B10672" s="1" t="s">
        <v>10590</v>
      </c>
      <c r="C10672" t="str">
        <f>IFERROR(__xludf.DUMMYFUNCTION("GOOGLETRANSLATE(B10672, ""zh"", ""en"")"),"Not bad not bad, the insulation effect like a general, but the color value is still quite high")</f>
        <v>Not bad not bad, the insulation effect like a general, but the color value is still quite high</v>
      </c>
    </row>
    <row r="10673">
      <c r="A10673" s="1">
        <v>5.0</v>
      </c>
      <c r="B10673" s="1" t="s">
        <v>10591</v>
      </c>
      <c r="C10673" t="str">
        <f>IFERROR(__xludf.DUMMYFUNCTION("GOOGLETRANSLATE(B10673, ""zh"", ""en"")"),"Vitamin AIU quality of trust! Taste good, hope to have results!")</f>
        <v>Vitamin AIU quality of trust! Taste good, hope to have results!</v>
      </c>
    </row>
    <row r="10674">
      <c r="A10674" s="1">
        <v>5.0</v>
      </c>
      <c r="B10674" s="1" t="s">
        <v>10592</v>
      </c>
      <c r="C10674" t="str">
        <f>IFERROR(__xludf.DUMMYFUNCTION("GOOGLETRANSLATE(B10674, ""zh"", ""en"")"),"Thermos straw cup very good, good insulation, watertight, like Thermos products")</f>
        <v>Thermos straw cup very good, good insulation, watertight, like Thermos products</v>
      </c>
    </row>
    <row r="10675">
      <c r="A10675" s="1">
        <v>5.0</v>
      </c>
      <c r="B10675" s="1" t="s">
        <v>10593</v>
      </c>
      <c r="C10675" t="str">
        <f>IFERROR(__xludf.DUMMYFUNCTION("GOOGLETRANSLATE(B10675, ""zh"", ""en"")"),"Too large good quality, but a little too large, usually wear 38 yards appropriate, the shoes feel a big 1.5 yards")</f>
        <v>Too large good quality, but a little too large, usually wear 38 yards appropriate, the shoes feel a big 1.5 yards</v>
      </c>
    </row>
    <row r="10676">
      <c r="A10676" s="1">
        <v>5.0</v>
      </c>
      <c r="B10676" s="1" t="s">
        <v>10594</v>
      </c>
      <c r="C10676" t="str">
        <f>IFERROR(__xludf.DUMMYFUNCTION("GOOGLETRANSLATE(B10676, ""zh"", ""en"")"),"And the last time the fabric is not the same because it is so old customers a better understanding of the number, 176cm, 88kg, big hip, wearing No. L just right, the last to buy cotton is very comfortable, it is recommended to buy a multi-color, the bette"&amp;"r.")</f>
        <v>And the last time the fabric is not the same because it is so old customers a better understanding of the number, 176cm, 88kg, big hip, wearing No. L just right, the last to buy cotton is very comfortable, it is recommended to buy a multi-color, the better.</v>
      </c>
    </row>
    <row r="10677">
      <c r="A10677" s="1">
        <v>5.0</v>
      </c>
      <c r="B10677" s="1" t="s">
        <v>10595</v>
      </c>
      <c r="C10677" t="str">
        <f>IFERROR(__xludf.DUMMYFUNCTION("GOOGLETRANSLATE(B10677, ""zh"", ""en"")"),"Hot water insulation effect good insulation effect good 90 degrees for more than 24 hours and let cool color color difference in kind is also good-looking little smoldering effect is not easy to try out large-caliber")</f>
        <v>Hot water insulation effect good insulation effect good 90 degrees for more than 24 hours and let cool color color difference in kind is also good-looking little smoldering effect is not easy to try out large-caliber</v>
      </c>
    </row>
    <row r="10678">
      <c r="A10678" s="1">
        <v>5.0</v>
      </c>
      <c r="B10678" s="1" t="s">
        <v>10596</v>
      </c>
      <c r="C10678" t="str">
        <f>IFERROR(__xludf.DUMMYFUNCTION("GOOGLETRANSLATE(B10678, ""zh"", ""en"")"),"Awesome good time shopping, shoes thin, but not frozen feet, good quality, comfortable to wear, worth buying")</f>
        <v>Awesome good time shopping, shoes thin, but not frozen feet, good quality, comfortable to wear, worth buying</v>
      </c>
    </row>
    <row r="10679">
      <c r="A10679" s="1">
        <v>5.0</v>
      </c>
      <c r="B10679" s="1" t="s">
        <v>10597</v>
      </c>
      <c r="C10679" t="str">
        <f>IFERROR(__xludf.DUMMYFUNCTION("GOOGLETRANSLATE(B10679, ""zh"", ""en"")"),"Girls summer essentials! Tampax been using tampons and very easy to use!")</f>
        <v>Girls summer essentials! Tampax been using tampons and very easy to use!</v>
      </c>
    </row>
    <row r="10680">
      <c r="A10680" s="1">
        <v>5.0</v>
      </c>
      <c r="B10680" s="1" t="s">
        <v>10598</v>
      </c>
      <c r="C10680" t="str">
        <f>IFERROR(__xludf.DUMMYFUNCTION("GOOGLETRANSLATE(B10680, ""zh"", ""en"")"),"Style does not look good, but good to wear, very comfortable style does not look good, but good to wear, very comfortable")</f>
        <v>Style does not look good, but good to wear, very comfortable style does not look good, but good to wear, very comfortable</v>
      </c>
    </row>
    <row r="10681">
      <c r="A10681" s="1">
        <v>5.0</v>
      </c>
      <c r="B10681" s="1" t="s">
        <v>10599</v>
      </c>
      <c r="C10681" t="str">
        <f>IFERROR(__xludf.DUMMYFUNCTION("GOOGLETRANSLATE(B10681, ""zh"", ""en"")"),"At time shifts to a single number is not 27. No. 30 arrived. Flying speed issue is how to adjust the time, Intuit simple instructions")</f>
        <v>At time shifts to a single number is not 27. No. 30 arrived. Flying speed issue is how to adjust the time, Intuit simple instructions</v>
      </c>
    </row>
    <row r="10682">
      <c r="A10682" s="1">
        <v>5.0</v>
      </c>
      <c r="B10682" s="1" t="s">
        <v>10600</v>
      </c>
      <c r="C10682" t="str">
        <f>IFERROR(__xludf.DUMMYFUNCTION("GOOGLETRANSLATE(B10682, ""zh"", ""en"")"),"One meter 75, weighing 14O, wear what code like the white")</f>
        <v>One meter 75, weighing 14O, wear what code like the white</v>
      </c>
    </row>
    <row r="10683">
      <c r="A10683" s="1">
        <v>5.0</v>
      </c>
      <c r="B10683" s="1" t="s">
        <v>10601</v>
      </c>
      <c r="C10683" t="str">
        <f>IFERROR(__xludf.DUMMYFUNCTION("GOOGLETRANSLATE(B10683, ""zh"", ""en"")"),"36-37 / 4M US Big Kid 36-37 yards thin feet 4M US Big Kid If you wear thick socks or put insoles recommendations 4.5 Logistics ultrafast one week hand")</f>
        <v>36-37 / 4M US Big Kid 36-37 yards thin feet 4M US Big Kid If you wear thick socks or put insoles recommendations 4.5 Logistics ultrafast one week hand</v>
      </c>
    </row>
    <row r="10684">
      <c r="A10684" s="1">
        <v>5.0</v>
      </c>
      <c r="B10684" s="1" t="s">
        <v>10602</v>
      </c>
      <c r="C10684" t="str">
        <f>IFERROR(__xludf.DUMMYFUNCTION("GOOGLETRANSLATE(B10684, ""zh"", ""en"")"),"Yan high value knife and fork knife and fork popularity, like the color values ​​in the stockpile.")</f>
        <v>Yan high value knife and fork knife and fork popularity, like the color values ​​in the stockpile.</v>
      </c>
    </row>
    <row r="10685">
      <c r="A10685" s="1">
        <v>5.0</v>
      </c>
      <c r="B10685" s="1" t="s">
        <v>10603</v>
      </c>
      <c r="C10685" t="str">
        <f>IFERROR(__xludf.DUMMYFUNCTION("GOOGLETRANSLATE(B10685, ""zh"", ""en"")"),"Great light and warm ~ ~ ah ~ NASA ~ special stick ~ like ~")</f>
        <v>Great light and warm ~ ~ ah ~ NASA ~ special stick ~ like ~</v>
      </c>
    </row>
    <row r="10686">
      <c r="A10686" s="1">
        <v>5.0</v>
      </c>
      <c r="B10686" s="1" t="s">
        <v>10604</v>
      </c>
      <c r="C10686" t="str">
        <f>IFERROR(__xludf.DUMMYFUNCTION("GOOGLETRANSLATE(B10686, ""zh"", ""en"")"),"Practical genuine, well written with good grip!")</f>
        <v>Practical genuine, well written with good grip!</v>
      </c>
    </row>
    <row r="10687">
      <c r="A10687" s="1">
        <v>5.0</v>
      </c>
      <c r="B10687" s="1" t="s">
        <v>10605</v>
      </c>
      <c r="C10687" t="str">
        <f>IFERROR(__xludf.DUMMYFUNCTION("GOOGLETRANSLATE(B10687, ""zh"", ""en"")"),"Do something like this brand very cute")</f>
        <v>Do something like this brand very cute</v>
      </c>
    </row>
    <row r="10688">
      <c r="A10688" s="1">
        <v>5.0</v>
      </c>
      <c r="B10688" s="1" t="s">
        <v>10606</v>
      </c>
      <c r="C10688" t="str">
        <f>IFERROR(__xludf.DUMMYFUNCTION("GOOGLETRANSLATE(B10688, ""zh"", ""en"")"),"Easy to use convenience tall long time to come to comment, in addition to transformers with, other use and easy to clean, feed playing a very fine, very good")</f>
        <v>Easy to use convenience tall long time to come to comment, in addition to transformers with, other use and easy to clean, feed playing a very fine, very good</v>
      </c>
    </row>
    <row r="10689">
      <c r="A10689" s="1">
        <v>2.0</v>
      </c>
      <c r="B10689" s="1" t="s">
        <v>10607</v>
      </c>
      <c r="C10689" t="str">
        <f>IFERROR(__xludf.DUMMYFUNCTION("GOOGLETRANSLATE(B10689, ""zh"", ""en"")"),"The size and the actual size on the label does not match! Bought three, two are 33Wx32L, 1 bar is 32Wx32L, but the strange thing is the same as 33Wx32L and 32Wx32L waist, long pants but long by 1 inch. See picture below. what is the reason? You can change"&amp;" it? Thank you!")</f>
        <v>The size and the actual size on the label does not match! Bought three, two are 33Wx32L, 1 bar is 32Wx32L, but the strange thing is the same as 33Wx32L and 32Wx32L waist, long pants but long by 1 inch. See picture below. what is the reason? You can change it? Thank you!</v>
      </c>
    </row>
    <row r="10690">
      <c r="A10690" s="1">
        <v>3.0</v>
      </c>
      <c r="B10690" s="1" t="s">
        <v>10608</v>
      </c>
      <c r="C10690" t="str">
        <f>IFERROR(__xludf.DUMMYFUNCTION("GOOGLETRANSLATE(B10690, ""zh"", ""en"")"),"The material is a bit hard and finally buy the right size, the material is a bit hard, but there is a place has variegated.")</f>
        <v>The material is a bit hard and finally buy the right size, the material is a bit hard, but there is a place has variegated.</v>
      </c>
    </row>
    <row r="10691">
      <c r="A10691" s="1">
        <v>1.0</v>
      </c>
      <c r="B10691" s="1" t="s">
        <v>10609</v>
      </c>
      <c r="C10691" t="str">
        <f>IFERROR(__xludf.DUMMYFUNCTION("GOOGLETRANSLATE(B10691, ""zh"", ""en"")"),"Defective a star do not want to, standard code it, less than half yards, right foot line must be fitted out, a look that is defective! Are embarrassed to wear out, others think it is the cottage!")</f>
        <v>Defective a star do not want to, standard code it, less than half yards, right foot line must be fitted out, a look that is defective! Are embarrassed to wear out, others think it is the cottage!</v>
      </c>
    </row>
    <row r="10692">
      <c r="A10692" s="1">
        <v>1.0</v>
      </c>
      <c r="B10692" s="1" t="s">
        <v>10610</v>
      </c>
      <c r="C10692" t="str">
        <f>IFERROR(__xludf.DUMMYFUNCTION("GOOGLETRANSLATE(B10692, ""zh"", ""en"")"),"Shoes very, very good quality shoes, very comfortable to wear, give reasons for a minute that just bought on price cuts.")</f>
        <v>Shoes very, very good quality shoes, very comfortable to wear, give reasons for a minute that just bought on price cuts.</v>
      </c>
    </row>
    <row r="10693">
      <c r="A10693" s="1">
        <v>1.0</v>
      </c>
      <c r="B10693" s="1" t="s">
        <v>10611</v>
      </c>
      <c r="C10693" t="str">
        <f>IFERROR(__xludf.DUMMYFUNCTION("GOOGLETRANSLATE(B10693, ""zh"", ""en"")"),"Warranty bad attitude, service is equal to none. Please can anyone buy this product free of charge before the refund date, the speaker fully tested and ready to return.")</f>
        <v>Warranty bad attitude, service is equal to none. Please can anyone buy this product free of charge before the refund date, the speaker fully tested and ready to return.</v>
      </c>
    </row>
    <row r="10694">
      <c r="A10694" s="1">
        <v>4.0</v>
      </c>
      <c r="B10694" s="1" t="s">
        <v>10612</v>
      </c>
      <c r="C10694" t="str">
        <f>IFERROR(__xludf.DUMMYFUNCTION("GOOGLETRANSLATE(B10694, ""zh"", ""en"")"),"Very strong chocolate taste just received the goods, not opening the lid can smell a stock chocolate, open the lid very intense chocolate flavor, the whole house is chocolate flavor, do not know is not normal, is not it genuine awaiting investigation. But"&amp;" it is quite believe Amazon")</f>
        <v>Very strong chocolate taste just received the goods, not opening the lid can smell a stock chocolate, open the lid very intense chocolate flavor, the whole house is chocolate flavor, do not know is not normal, is not it genuine awaiting investigation. But it is quite believe Amazon</v>
      </c>
    </row>
    <row r="10695">
      <c r="A10695" s="1">
        <v>4.0</v>
      </c>
      <c r="B10695" s="1" t="s">
        <v>10613</v>
      </c>
      <c r="C10695" t="str">
        <f>IFERROR(__xludf.DUMMYFUNCTION("GOOGLETRANSLATE(B10695, ""zh"", ""en"")"),"General practicality more than 50 dollars to buy two of these spoons, really not worth it to spend, very small spoon")</f>
        <v>General practicality more than 50 dollars to buy two of these spoons, really not worth it to spend, very small spoon</v>
      </c>
    </row>
    <row r="10696">
      <c r="A10696" s="1">
        <v>4.0</v>
      </c>
      <c r="B10696" s="1" t="s">
        <v>10614</v>
      </c>
      <c r="C10696" t="str">
        <f>IFERROR(__xludf.DUMMYFUNCTION("GOOGLETRANSLATE(B10696, ""zh"", ""en"")"),"Inexpensive never go before the evaluation, I do not know how many wasted points, points can change money now know, they should look carefully evaluated, then I put these words to copy to go, both to earn points, but also the easy way, where are copy wher"&amp;"e, most importantly, do not seriously review, do not think how much worse word, made directly on it, we try")</f>
        <v>Inexpensive never go before the evaluation, I do not know how many wasted points, points can change money now know, they should look carefully evaluated, then I put these words to copy to go, both to earn points, but also the easy way, where are copy where, most importantly, do not seriously review, do not think how much worse word, made directly on it, we try</v>
      </c>
    </row>
    <row r="10697">
      <c r="A10697" s="1">
        <v>4.0</v>
      </c>
      <c r="B10697" s="1" t="s">
        <v>10615</v>
      </c>
      <c r="C10697" t="str">
        <f>IFERROR(__xludf.DUMMYFUNCTION("GOOGLETRANSLATE(B10697, ""zh"", ""en"")"),"Okay used once, it can also be used. But a lot of oil on the box, ah, do not worry about not brand new? And in some places on the machine is not so smooth. Well, fairly easy to use")</f>
        <v>Okay used once, it can also be used. But a lot of oil on the box, ah, do not worry about not brand new? And in some places on the machine is not so smooth. Well, fairly easy to use</v>
      </c>
    </row>
    <row r="10698">
      <c r="A10698" s="1">
        <v>4.0</v>
      </c>
      <c r="B10698" s="1" t="s">
        <v>10616</v>
      </c>
      <c r="C10698" t="str">
        <f>IFERROR(__xludf.DUMMYFUNCTION("GOOGLETRANSLATE(B10698, ""zh"", ""en"")"),"You can also right with this s m code Uniqlo similar color pattern is very good, it is to play ball.")</f>
        <v>You can also right with this s m code Uniqlo similar color pattern is very good, it is to play ball.</v>
      </c>
    </row>
    <row r="10699">
      <c r="A10699" s="1">
        <v>5.0</v>
      </c>
      <c r="B10699" s="1" t="s">
        <v>10617</v>
      </c>
      <c r="C10699" t="str">
        <f>IFERROR(__xludf.DUMMYFUNCTION("GOOGLETRANSLATE(B10699, ""zh"", ""en"")"),"pa pa pa very nice shoes, size just, reasonable transit time")</f>
        <v>pa pa pa very nice shoes, size just, reasonable transit time</v>
      </c>
    </row>
    <row r="10700">
      <c r="A10700" s="1">
        <v>5.0</v>
      </c>
      <c r="B10700" s="1" t="s">
        <v>10618</v>
      </c>
      <c r="C10700" t="str">
        <f>IFERROR(__xludf.DUMMYFUNCTION("GOOGLETRANSLATE(B10700, ""zh"", ""en"")"),"Large size to heaven, the uncle of the United States can be really thick waist ah. 2 feet 4-2 feet 5, the most distal hole is short of a foot long, but fortunately I have a punching tool.")</f>
        <v>Large size to heaven, the uncle of the United States can be really thick waist ah. 2 feet 4-2 feet 5, the most distal hole is short of a foot long, but fortunately I have a punching tool.</v>
      </c>
    </row>
    <row r="10701">
      <c r="A10701" s="1">
        <v>5.0</v>
      </c>
      <c r="B10701" s="1" t="s">
        <v>10619</v>
      </c>
      <c r="C10701" t="str">
        <f>IFERROR(__xludf.DUMMYFUNCTION("GOOGLETRANSLATE(B10701, ""zh"", ""en"")"),"Very appropriate, very comfortable user-friendly design, no matter the length or neckline cuff size, it can no longer appropriate a ~ ~ ~")</f>
        <v>Very appropriate, very comfortable user-friendly design, no matter the length or neckline cuff size, it can no longer appropriate a ~ ~ ~</v>
      </c>
    </row>
    <row r="10702">
      <c r="A10702" s="1">
        <v>5.0</v>
      </c>
      <c r="B10702" s="1" t="s">
        <v>10620</v>
      </c>
      <c r="C10702" t="str">
        <f>IFERROR(__xludf.DUMMYFUNCTION("GOOGLETRANSLATE(B10702, ""zh"", ""en"")"),"Affordable value for money can be satisfied with a suit outerwear")</f>
        <v>Affordable value for money can be satisfied with a suit outerwear</v>
      </c>
    </row>
    <row r="10703">
      <c r="A10703" s="1">
        <v>5.0</v>
      </c>
      <c r="B10703" s="1" t="s">
        <v>10621</v>
      </c>
      <c r="C10703" t="str">
        <f>IFERROR(__xludf.DUMMYFUNCTION("GOOGLETRANSLATE(B10703, ""zh"", ""en"")"),"The spoon preferably temperature sensitive color features too practical, the shape of the spoon head is also good, very good feed.")</f>
        <v>The spoon preferably temperature sensitive color features too practical, the shape of the spoon head is also good, very good feed.</v>
      </c>
    </row>
    <row r="10704">
      <c r="A10704" s="1">
        <v>5.0</v>
      </c>
      <c r="B10704" s="1" t="s">
        <v>10622</v>
      </c>
      <c r="C10704" t="str">
        <f>IFERROR(__xludf.DUMMYFUNCTION("GOOGLETRANSLATE(B10704, ""zh"", ""en"")"),"Size small point, the quality is absolutely good price in the country Needless to say, the quality can be, other than a few fast-food brands is significantly thicker. Size a little bit too small, 180, in yards, big yards estimates")</f>
        <v>Size small point, the quality is absolutely good price in the country Needless to say, the quality can be, other than a few fast-food brands is significantly thicker. Size a little bit too small, 180, in yards, big yards estimates</v>
      </c>
    </row>
    <row r="10705">
      <c r="A10705" s="1">
        <v>5.0</v>
      </c>
      <c r="B10705" s="1" t="s">
        <v>10623</v>
      </c>
      <c r="C10705" t="str">
        <f>IFERROR(__xludf.DUMMYFUNCTION("GOOGLETRANSLATE(B10705, ""zh"", ""en"")"),"Army table style, high cost, I chose this because the light table. And observed by using ten days, gave the following evaluation. First, stylish, blue nylon strap, clear blue and white dial, stainless steel bezel and dermis with little ...... give 85 minu"&amp;"tes. Then the superior performance, error-free when ten days to go (and mobile phone results table), luminous effect is not bad, just sun solar energy alone can give ...... 95 points. Finally, economical and practical, the price can buy this brand of ligh"&amp;"t table, a good deal. Nylon strap can be cleaned dirty (way to prove its waterproof capability), and then press a few absorbent towels, they did almost the same. Although there is no grade leather strap, but stylish, practical, it can reflect military sty"&amp;"le table ...... you can count 90 points. If you are looking for shortcomings, thick table count? 43mm dial need big hands only Yade Zhu! -60 kg men do not consider, too thin, can not afford lining.")</f>
        <v>Army table style, high cost, I chose this because the light table. And observed by using ten days, gave the following evaluation. First, stylish, blue nylon strap, clear blue and white dial, stainless steel bezel and dermis with little ...... give 85 minutes. Then the superior performance, error-free when ten days to go (and mobile phone results table), luminous effect is not bad, just sun solar energy alone can give ...... 95 points. Finally, economical and practical, the price can buy this brand of light table, a good deal. Nylon strap can be cleaned dirty (way to prove its waterproof capability), and then press a few absorbent towels, they did almost the same. Although there is no grade leather strap, but stylish, practical, it can reflect military style table ...... you can count 90 points. If you are looking for shortcomings, thick table count? 43mm dial need big hands only Yade Zhu! -60 kg men do not consider, too thin, can not afford lining.</v>
      </c>
    </row>
    <row r="10706">
      <c r="A10706" s="1">
        <v>5.0</v>
      </c>
      <c r="B10706" s="1" t="s">
        <v>10624</v>
      </c>
      <c r="C10706" t="str">
        <f>IFERROR(__xludf.DUMMYFUNCTION("GOOGLETRANSLATE(B10706, ""zh"", ""en"")"),"General bottoming pajamas standard of the United States code, the right size. Low price, cost-effective. Recommended consumables.")</f>
        <v>General bottoming pajamas standard of the United States code, the right size. Low price, cost-effective. Recommended consumables.</v>
      </c>
    </row>
    <row r="10707">
      <c r="A10707" s="1">
        <v>5.0</v>
      </c>
      <c r="B10707" s="1" t="s">
        <v>10625</v>
      </c>
      <c r="C10707" t="str">
        <f>IFERROR(__xludf.DUMMYFUNCTION("GOOGLETRANSLATE(B10707, ""zh"", ""en"")"),"Nice pants micro-bomb material, relatively thick, very comfortable, thin legs, two shakuhachi waist overweight, I bought a 38 fails to fit waist")</f>
        <v>Nice pants micro-bomb material, relatively thick, very comfortable, thin legs, two shakuhachi waist overweight, I bought a 38 fails to fit waist</v>
      </c>
    </row>
    <row r="10708">
      <c r="A10708" s="1">
        <v>5.0</v>
      </c>
      <c r="B10708" s="1" t="s">
        <v>10626</v>
      </c>
      <c r="C10708" t="str">
        <f>IFERROR(__xludf.DUMMYFUNCTION("GOOGLETRANSLATE(B10708, ""zh"", ""en"")"),"The first citizen to start very nice, simple and elegant table, the price is affordable.")</f>
        <v>The first citizen to start very nice, simple and elegant table, the price is affordable.</v>
      </c>
    </row>
    <row r="10709">
      <c r="A10709" s="1">
        <v>5.0</v>
      </c>
      <c r="B10709" s="1" t="s">
        <v>10627</v>
      </c>
      <c r="C10709" t="str">
        <f>IFERROR(__xludf.DUMMYFUNCTION("GOOGLETRANSLATE(B10709, ""zh"", ""en"")"),"Good first 2.7-foot-32 × 30 waist pants perfect!")</f>
        <v>Good first 2.7-foot-32 × 30 waist pants perfect!</v>
      </c>
    </row>
    <row r="10710">
      <c r="A10710" s="1">
        <v>5.0</v>
      </c>
      <c r="B10710" s="1" t="s">
        <v>10628</v>
      </c>
      <c r="C10710" t="str">
        <f>IFERROR(__xludf.DUMMYFUNCTION("GOOGLETRANSLATE(B10710, ""zh"", ""en"")"),"Better than expected about the same size, it is worth buying")</f>
        <v>Better than expected about the same size, it is worth buying</v>
      </c>
    </row>
    <row r="10711">
      <c r="A10711" s="1">
        <v>5.0</v>
      </c>
      <c r="B10711" s="1" t="s">
        <v>10629</v>
      </c>
      <c r="C10711" t="str">
        <f>IFERROR(__xludf.DUMMYFUNCTION("GOOGLETRANSLATE(B10711, ""zh"", ""en"")"),"Pot of well-designed pot of well-designed, cost-effective")</f>
        <v>Pot of well-designed pot of well-designed, cost-effective</v>
      </c>
    </row>
    <row r="10712">
      <c r="A10712" s="1">
        <v>5.0</v>
      </c>
      <c r="B10712" s="1" t="s">
        <v>10630</v>
      </c>
      <c r="C10712" t="str">
        <f>IFERROR(__xludf.DUMMYFUNCTION("GOOGLETRANSLATE(B10712, ""zh"", ""en"")"),"Good stockpile does not taste so she can chase a red bell can view a listening exercise")</f>
        <v>Good stockpile does not taste so she can chase a red bell can view a listening exercise</v>
      </c>
    </row>
    <row r="10713">
      <c r="A10713" s="1">
        <v>5.0</v>
      </c>
      <c r="B10713" s="1" t="s">
        <v>10631</v>
      </c>
      <c r="C10713" t="str">
        <f>IFERROR(__xludf.DUMMYFUNCTION("GOOGLETRANSLATE(B10713, ""zh"", ""en"")"),"Cortex cortex very, very good, work is also good, clarks shoes or reassuring")</f>
        <v>Cortex cortex very, very good, work is also good, clarks shoes or reassuring</v>
      </c>
    </row>
    <row r="10714">
      <c r="A10714" s="1">
        <v>5.0</v>
      </c>
      <c r="B10714" s="1" t="s">
        <v>10632</v>
      </c>
      <c r="C10714" t="str">
        <f>IFERROR(__xludf.DUMMYFUNCTION("GOOGLETRANSLATE(B10714, ""zh"", ""en"")"),"Version good, thin, slim version good, Slim straight type, thin section, code foreign than domestic code bigger, about 1-2 yards is too large")</f>
        <v>Version good, thin, slim version good, Slim straight type, thin section, code foreign than domestic code bigger, about 1-2 yards is too large</v>
      </c>
    </row>
    <row r="10715">
      <c r="A10715" s="1">
        <v>5.0</v>
      </c>
      <c r="B10715" s="1" t="s">
        <v>10633</v>
      </c>
      <c r="C10715" t="str">
        <f>IFERROR(__xludf.DUMMYFUNCTION("GOOGLETRANSLATE(B10715, ""zh"", ""en"")"),"Pants good winter clothes, if it is not fit to wear long johns, and a light is still very loose pants")</f>
        <v>Pants good winter clothes, if it is not fit to wear long johns, and a light is still very loose pants</v>
      </c>
    </row>
    <row r="10716">
      <c r="A10716" s="1">
        <v>5.0</v>
      </c>
      <c r="B10716" s="1" t="s">
        <v>10634</v>
      </c>
      <c r="C10716" t="str">
        <f>IFERROR(__xludf.DUMMYFUNCTION("GOOGLETRANSLATE(B10716, ""zh"", ""en"")"),"More satisfying shopping to buy his girlfriend. Little fat, 165cm, 60kg, buy l just right, which can wear a T-shirt bottoming. Basically no color.")</f>
        <v>More satisfying shopping to buy his girlfriend. Little fat, 165cm, 60kg, buy l just right, which can wear a T-shirt bottoming. Basically no color.</v>
      </c>
    </row>
    <row r="10717">
      <c r="A10717" s="1">
        <v>5.0</v>
      </c>
      <c r="B10717" s="1" t="s">
        <v>10635</v>
      </c>
      <c r="C10717" t="str">
        <f>IFERROR(__xludf.DUMMYFUNCTION("GOOGLETRANSLATE(B10717, ""zh"", ""en"")"),"Good not to use, looks good")</f>
        <v>Good not to use, looks good</v>
      </c>
    </row>
    <row r="10718">
      <c r="A10718" s="1">
        <v>5.0</v>
      </c>
      <c r="B10718" s="1" t="s">
        <v>5344</v>
      </c>
      <c r="C10718" t="str">
        <f>IFERROR(__xludf.DUMMYFUNCTION("GOOGLETRANSLATE(B10718, ""zh"", ""en"")"),"Like extremely high cost, pure Global buys")</f>
        <v>Like extremely high cost, pure Global buys</v>
      </c>
    </row>
    <row r="10719">
      <c r="A10719" s="1">
        <v>5.0</v>
      </c>
      <c r="B10719" s="1" t="s">
        <v>10636</v>
      </c>
      <c r="C10719" t="str">
        <f>IFERROR(__xludf.DUMMYFUNCTION("GOOGLETRANSLATE(B10719, ""zh"", ""en"")"),"Good quality, good quality, trustworthy")</f>
        <v>Good quality, good quality, trustworthy</v>
      </c>
    </row>
    <row r="10720">
      <c r="A10720" s="1">
        <v>2.0</v>
      </c>
      <c r="B10720" s="1" t="s">
        <v>10637</v>
      </c>
      <c r="C10720" t="str">
        <f>IFERROR(__xludf.DUMMYFUNCTION("GOOGLETRANSLATE(B10720, ""zh"", ""en"")"),"All of the Cubs have all of the sugar, all glued together to")</f>
        <v>All of the Cubs have all of the sugar, all glued together to</v>
      </c>
    </row>
    <row r="10721">
      <c r="A10721" s="1">
        <v>3.0</v>
      </c>
      <c r="B10721" s="1" t="s">
        <v>10638</v>
      </c>
      <c r="C10721" t="str">
        <f>IFERROR(__xludf.DUMMYFUNCTION("GOOGLETRANSLATE(B10721, ""zh"", ""en"")"),"Ten affordable price a good deal")</f>
        <v>Ten affordable price a good deal</v>
      </c>
    </row>
    <row r="10722">
      <c r="A10722" s="1">
        <v>3.0</v>
      </c>
      <c r="B10722" s="1" t="s">
        <v>10639</v>
      </c>
      <c r="C10722" t="str">
        <f>IFERROR(__xludf.DUMMYFUNCTION("GOOGLETRANSLATE(B10722, ""zh"", ""en"")"),"Thumbs goods brand goods, influential! Good style, dressed up spirit of the people. Unfortunately, some thin.")</f>
        <v>Thumbs goods brand goods, influential! Good style, dressed up spirit of the people. Unfortunately, some thin.</v>
      </c>
    </row>
    <row r="10723">
      <c r="A10723" s="1">
        <v>3.0</v>
      </c>
      <c r="B10723" s="1" t="s">
        <v>10640</v>
      </c>
      <c r="C10723" t="str">
        <f>IFERROR(__xludf.DUMMYFUNCTION("GOOGLETRANSLATE(B10723, ""zh"", ""en"")"),"You can also cheaper, slightly large, if I buy a small yards on the right")</f>
        <v>You can also cheaper, slightly large, if I buy a small yards on the right</v>
      </c>
    </row>
    <row r="10724">
      <c r="A10724" s="1">
        <v>1.0</v>
      </c>
      <c r="B10724" s="1" t="s">
        <v>10641</v>
      </c>
      <c r="C10724" t="str">
        <f>IFERROR(__xludf.DUMMYFUNCTION("GOOGLETRANSLATE(B10724, ""zh"", ""en"")"),"Poor quality poor quality, with more than six months, while children open plastic, not a sound. Maintenance can not buy overseas, too bad!")</f>
        <v>Poor quality poor quality, with more than six months, while children open plastic, not a sound. Maintenance can not buy overseas, too bad!</v>
      </c>
    </row>
    <row r="10725">
      <c r="A10725" s="1">
        <v>1.0</v>
      </c>
      <c r="B10725" s="1" t="s">
        <v>10642</v>
      </c>
      <c r="C10725" t="str">
        <f>IFERROR(__xludf.DUMMYFUNCTION("GOOGLETRANSLATE(B10725, ""zh"", ""en"")"),"Poor Poor this dress, clothes, fade serious, even wash a trademark gone, too fake")</f>
        <v>Poor Poor this dress, clothes, fade serious, even wash a trademark gone, too fake</v>
      </c>
    </row>
    <row r="10726">
      <c r="A10726" s="1">
        <v>1.0</v>
      </c>
      <c r="B10726" s="1" t="s">
        <v>10643</v>
      </c>
      <c r="C10726" t="str">
        <f>IFERROR(__xludf.DUMMYFUNCTION("GOOGLETRANSLATE(B10726, ""zh"", ""en"")"),"Serious fade, have asked me to buy is not a fake has not bought a hat to wear, warm weather wear out, for two months, from work wear, the results of hand contact position brim serious fade, customer service that can not be responsible for, say mouth had a"&amp;" good time")</f>
        <v>Serious fade, have asked me to buy is not a fake has not bought a hat to wear, warm weather wear out, for two months, from work wear, the results of hand contact position brim serious fade, customer service that can not be responsible for, say mouth had a good time</v>
      </c>
    </row>
    <row r="10727">
      <c r="A10727" s="1">
        <v>4.0</v>
      </c>
      <c r="B10727" s="1" t="s">
        <v>10644</v>
      </c>
      <c r="C10727" t="str">
        <f>IFERROR(__xludf.DUMMYFUNCTION("GOOGLETRANSLATE(B10727, ""zh"", ""en"")"),"Shoes, work shoes and work great good, the right size. Unfortunately, a leader laces out. Slow delivery two days have happened.")</f>
        <v>Shoes, work shoes and work great good, the right size. Unfortunately, a leader laces out. Slow delivery two days have happened.</v>
      </c>
    </row>
    <row r="10728">
      <c r="A10728" s="1">
        <v>4.0</v>
      </c>
      <c r="B10728" s="1" t="s">
        <v>10645</v>
      </c>
      <c r="C10728" t="str">
        <f>IFERROR(__xludf.DUMMYFUNCTION("GOOGLETRANSLATE(B10728, ""zh"", ""en"")"),"Good out of sticky ash other are very good.")</f>
        <v>Good out of sticky ash other are very good.</v>
      </c>
    </row>
    <row r="10729">
      <c r="A10729" s="1">
        <v>4.0</v>
      </c>
      <c r="B10729" s="1" t="s">
        <v>10646</v>
      </c>
      <c r="C10729" t="str">
        <f>IFERROR(__xludf.DUMMYFUNCTION("GOOGLETRANSLATE(B10729, ""zh"", ""en"")"),"Like the headset is very good pair of headphones for the street, not suitable for sports. As a Bluetooth headset, the sound quality is very good. Unfortunately, I lost, I want to enter one. Amazon and currently out of stock, whence the cargo?")</f>
        <v>Like the headset is very good pair of headphones for the street, not suitable for sports. As a Bluetooth headset, the sound quality is very good. Unfortunately, I lost, I want to enter one. Amazon and currently out of stock, whence the cargo?</v>
      </c>
    </row>
    <row r="10730">
      <c r="A10730" s="1">
        <v>4.0</v>
      </c>
      <c r="B10730" s="1" t="s">
        <v>10647</v>
      </c>
      <c r="C10730" t="str">
        <f>IFERROR(__xludf.DUMMYFUNCTION("GOOGLETRANSLATE(B10730, ""zh"", ""en"")"),"Very good color good lead with none, is feeling a little rough work, unlike the hundreds of dollars of stuff.")</f>
        <v>Very good color good lead with none, is feeling a little rough work, unlike the hundreds of dollars of stuff.</v>
      </c>
    </row>
    <row r="10731">
      <c r="A10731" s="1">
        <v>5.0</v>
      </c>
      <c r="B10731" s="1" t="s">
        <v>10648</v>
      </c>
      <c r="C10731" t="str">
        <f>IFERROR(__xludf.DUMMYFUNCTION("GOOGLETRANSLATE(B10731, ""zh"", ""en"")"),"ECCO comfort comfortable shoes no problem, like color, shoe size is bigger and there is little trend, 38 feet, 38 ECCO before there will be little big, just right now. Hope can return overseas shopping convenient even more perfect")</f>
        <v>ECCO comfort comfortable shoes no problem, like color, shoe size is bigger and there is little trend, 38 feet, 38 ECCO before there will be little big, just right now. Hope can return overseas shopping convenient even more perfect</v>
      </c>
    </row>
    <row r="10732">
      <c r="A10732" s="1">
        <v>5.0</v>
      </c>
      <c r="B10732" s="1" t="s">
        <v>10649</v>
      </c>
      <c r="C10732" t="str">
        <f>IFERROR(__xludf.DUMMYFUNCTION("GOOGLETRANSLATE(B10732, ""zh"", ""en"")"),"Popular table should be good, children like. It is to wait too long.")</f>
        <v>Popular table should be good, children like. It is to wait too long.</v>
      </c>
    </row>
    <row r="10733">
      <c r="A10733" s="1">
        <v>5.0</v>
      </c>
      <c r="B10733" s="1" t="s">
        <v>10650</v>
      </c>
      <c r="C10733" t="str">
        <f>IFERROR(__xludf.DUMMYFUNCTION("GOOGLETRANSLATE(B10733, ""zh"", ""en"")"),"Anyone who bought 45 yards, and buy big. I can change, I'm 44 yards.'Ve hung salted fish. Insole length with the length of other ecco shoes, like the width is slightly narrower toe space is relatively small. Thin legs did not problem. I'm a little top toe"&amp;" ...")</f>
        <v>Anyone who bought 45 yards, and buy big. I can change, I'm 44 yards.'Ve hung salted fish. Insole length with the length of other ecco shoes, like the width is slightly narrower toe space is relatively small. Thin legs did not problem. I'm a little top toe ...</v>
      </c>
    </row>
    <row r="10734">
      <c r="A10734" s="1">
        <v>5.0</v>
      </c>
      <c r="B10734" s="1" t="s">
        <v>10651</v>
      </c>
      <c r="C10734" t="str">
        <f>IFERROR(__xludf.DUMMYFUNCTION("GOOGLETRANSLATE(B10734, ""zh"", ""en"")"),"Good product packaging is also very good use eh intact.")</f>
        <v>Good product packaging is also very good use eh intact.</v>
      </c>
    </row>
    <row r="10735">
      <c r="A10735" s="1">
        <v>5.0</v>
      </c>
      <c r="B10735" s="1" t="s">
        <v>10652</v>
      </c>
      <c r="C10735" t="str">
        <f>IFERROR(__xludf.DUMMYFUNCTION("GOOGLETRANSLATE(B10735, ""zh"", ""en"")"),"Q10 very good product consistently supported the US nature made brand, previously have bought in VITACOST and IHERB, the USA and Asia purchased overseas direct mail to engage in activities, One One qi to start, very affordable, this time to buy four bottl"&amp;"es, mother adults to eat at home. In addition, I then look at science-related certification of this product: a, USP certification, the products most authoritative one, do not know themselves to Baidu; Second, gluten-free certification; Third, no pigment i"&amp;"s added; Fourth, with no artificial flavor agents; 5, no starch is added; 6, no preservatives. Advertising would be an exaggeration, then you can talk nonsense, cup brush, but the certification mark is not easily fight.")</f>
        <v>Q10 very good product consistently supported the US nature made brand, previously have bought in VITACOST and IHERB, the USA and Asia purchased overseas direct mail to engage in activities, One One qi to start, very affordable, this time to buy four bottles, mother adults to eat at home. In addition, I then look at science-related certification of this product: a, USP certification, the products most authoritative one, do not know themselves to Baidu; Second, gluten-free certification; Third, no pigment is added; Fourth, with no artificial flavor agents; 5, no starch is added; 6, no preservatives. Advertising would be an exaggeration, then you can talk nonsense, cup brush, but the certification mark is not easily fight.</v>
      </c>
    </row>
    <row r="10736">
      <c r="A10736" s="1">
        <v>5.0</v>
      </c>
      <c r="B10736" s="1" t="s">
        <v>10653</v>
      </c>
      <c r="C10736" t="str">
        <f>IFERROR(__xludf.DUMMYFUNCTION("GOOGLETRANSLATE(B10736, ""zh"", ""en"")"),"High cost 173CM71KG, fitness stature, M number of suitable, Vietnamese, material workmanship is superb, praise.")</f>
        <v>High cost 173CM71KG, fitness stature, M number of suitable, Vietnamese, material workmanship is superb, praise.</v>
      </c>
    </row>
    <row r="10737">
      <c r="A10737" s="1">
        <v>5.0</v>
      </c>
      <c r="B10737" s="1" t="s">
        <v>10654</v>
      </c>
      <c r="C10737" t="str">
        <f>IFERROR(__xludf.DUMMYFUNCTION("GOOGLETRANSLATE(B10737, ""zh"", ""en"")"),"Western Digital Western Digital Elements 8TB Portable External Hard Drive price overflowing, it is recommended")</f>
        <v>Western Digital Western Digital Elements 8TB Portable External Hard Drive price overflowing, it is recommended</v>
      </c>
    </row>
    <row r="10738">
      <c r="A10738" s="1">
        <v>5.0</v>
      </c>
      <c r="B10738" s="1" t="s">
        <v>10655</v>
      </c>
      <c r="C10738" t="str">
        <f>IFERROR(__xludf.DUMMYFUNCTION("GOOGLETRANSLATE(B10738, ""zh"", ""en"")"),"Something good! Something good, affordable.")</f>
        <v>Something good! Something good, affordable.</v>
      </c>
    </row>
    <row r="10739">
      <c r="A10739" s="1">
        <v>5.0</v>
      </c>
      <c r="B10739" s="1" t="s">
        <v>10656</v>
      </c>
      <c r="C10739" t="str">
        <f>IFERROR(__xludf.DUMMYFUNCTION("GOOGLETRANSLATE(B10739, ""zh"", ""en"")"),"Slim comfortable warmth")</f>
        <v>Slim comfortable warmth</v>
      </c>
    </row>
    <row r="10740">
      <c r="A10740" s="1">
        <v>5.0</v>
      </c>
      <c r="B10740" s="1" t="s">
        <v>10657</v>
      </c>
      <c r="C10740" t="str">
        <f>IFERROR(__xludf.DUMMYFUNCTION("GOOGLETRANSLATE(B10740, ""zh"", ""en"")"),"Baby prefer convenient, easy to carry")</f>
        <v>Baby prefer convenient, easy to carry</v>
      </c>
    </row>
    <row r="10741">
      <c r="A10741" s="1">
        <v>5.0</v>
      </c>
      <c r="B10741" s="1" t="s">
        <v>10658</v>
      </c>
      <c r="C10741" t="str">
        <f>IFERROR(__xludf.DUMMYFUNCTION("GOOGLETRANSLATE(B10741, ""zh"", ""en"")"),"Value of this country is too expensive, so that overseas purchase this disc removed only very cost-effective disk (of course, engage in special case of Kazakhstan) ... can be destructive separation, separate, and comes with European standard English stand"&amp;"ard power port, okay okay. Of course, and Synology is still a little gap")</f>
        <v>Value of this country is too expensive, so that overseas purchase this disc removed only very cost-effective disk (of course, engage in special case of Kazakhstan) ... can be destructive separation, separate, and comes with European standard English standard power port, okay okay. Of course, and Synology is still a little gap</v>
      </c>
    </row>
    <row r="10742">
      <c r="A10742" s="1">
        <v>5.0</v>
      </c>
      <c r="B10742" s="1" t="s">
        <v>10659</v>
      </c>
      <c r="C10742" t="str">
        <f>IFERROR(__xludf.DUMMYFUNCTION("GOOGLETRANSLATE(B10742, ""zh"", ""en"")"),"Nice comfortable, the right size")</f>
        <v>Nice comfortable, the right size</v>
      </c>
    </row>
    <row r="10743">
      <c r="A10743" s="1">
        <v>5.0</v>
      </c>
      <c r="B10743" s="1" t="s">
        <v>10660</v>
      </c>
      <c r="C10743" t="str">
        <f>IFERROR(__xludf.DUMMYFUNCTION("GOOGLETRANSLATE(B10743, ""zh"", ""en"")"),"Indeed the king of running shoes size just right, the original k23, a bit crowded feet, this is probably the reason in Japan, is appropriate. Weight suitable for large people!")</f>
        <v>Indeed the king of running shoes size just right, the original k23, a bit crowded feet, this is probably the reason in Japan, is appropriate. Weight suitable for large people!</v>
      </c>
    </row>
    <row r="10744">
      <c r="A10744" s="1">
        <v>5.0</v>
      </c>
      <c r="B10744" s="1" t="s">
        <v>10661</v>
      </c>
      <c r="C10744" t="str">
        <f>IFERROR(__xludf.DUMMYFUNCTION("GOOGLETRANSLATE(B10744, ""zh"", ""en"")"),"u can waterproof. Quality is also very good.")</f>
        <v>u can waterproof. Quality is also very good.</v>
      </c>
    </row>
    <row r="10745">
      <c r="A10745" s="1">
        <v>5.0</v>
      </c>
      <c r="B10745" s="1" t="s">
        <v>10662</v>
      </c>
      <c r="C10745" t="str">
        <f>IFERROR(__xludf.DUMMYFUNCTION("GOOGLETRANSLATE(B10745, ""zh"", ""en"")"),"Loose and comfortable. Legs are loose, thick legs for people who are fit. like! ! !")</f>
        <v>Loose and comfortable. Legs are loose, thick legs for people who are fit. like! ! !</v>
      </c>
    </row>
    <row r="10746">
      <c r="A10746" s="1">
        <v>5.0</v>
      </c>
      <c r="B10746" s="1" t="s">
        <v>10663</v>
      </c>
      <c r="C10746" t="str">
        <f>IFERROR(__xludf.DUMMYFUNCTION("GOOGLETRANSLATE(B10746, ""zh"", ""en"")"),"Good shoes very appropriate, like numbers with domestic shoes are very comfortable to wear very light and the price is cheaper than the domestic counter lot Made In Portugal Portugal production")</f>
        <v>Good shoes very appropriate, like numbers with domestic shoes are very comfortable to wear very light and the price is cheaper than the domestic counter lot Made In Portugal Portugal production</v>
      </c>
    </row>
    <row r="10747">
      <c r="A10747" s="1">
        <v>5.0</v>
      </c>
      <c r="B10747" s="1" t="s">
        <v>10664</v>
      </c>
      <c r="C10747" t="str">
        <f>IFERROR(__xludf.DUMMYFUNCTION("GOOGLETRANSLATE(B10747, ""zh"", ""en"")"),"Good work said to be the largest size 58, but can be adjusted to a larger range. Good workmanship, than the blueprint users MLB hat stress. satisfaction.")</f>
        <v>Good work said to be the largest size 58, but can be adjusted to a larger range. Good workmanship, than the blueprint users MLB hat stress. satisfaction.</v>
      </c>
    </row>
    <row r="10748">
      <c r="A10748" s="1">
        <v>5.0</v>
      </c>
      <c r="B10748" s="1" t="s">
        <v>10665</v>
      </c>
      <c r="C10748" t="str">
        <f>IFERROR(__xludf.DUMMYFUNCTION("GOOGLETRANSLATE(B10748, ""zh"", ""en"")"),"Japanese champion quality is much better than US Version Japan championship loose can buy L. AJ S-M and fit the same. 170 60kg")</f>
        <v>Japanese champion quality is much better than US Version Japan championship loose can buy L. AJ S-M and fit the same. 170 60kg</v>
      </c>
    </row>
    <row r="10749">
      <c r="A10749" s="1">
        <v>5.0</v>
      </c>
      <c r="B10749" s="1" t="s">
        <v>10666</v>
      </c>
      <c r="C10749" t="str">
        <f>IFERROR(__xludf.DUMMYFUNCTION("GOOGLETRANSLATE(B10749, ""zh"", ""en"")"),"First, Amazon perfect logistics package is very good; secondly insulation effect is very good, the mouth is also large, very convenient to eat soup; do not clean the entire time in the water wash.")</f>
        <v>First, Amazon perfect logistics package is very good; secondly insulation effect is very good, the mouth is also large, very convenient to eat soup; do not clean the entire time in the water wash.</v>
      </c>
    </row>
    <row r="10750">
      <c r="A10750" s="1">
        <v>5.0</v>
      </c>
      <c r="B10750" s="1" t="s">
        <v>10667</v>
      </c>
      <c r="C10750" t="str">
        <f>IFERROR(__xludf.DUMMYFUNCTION("GOOGLETRANSLATE(B10750, ""zh"", ""en"")"),"Yes, overall satisfaction inexpensive, discount when bought, very satisfied!")</f>
        <v>Yes, overall satisfaction inexpensive, discount when bought, very satisfied!</v>
      </c>
    </row>
    <row r="10751">
      <c r="A10751" s="1">
        <v>5.0</v>
      </c>
      <c r="B10751" s="1" t="s">
        <v>10668</v>
      </c>
      <c r="C10751" t="str">
        <f>IFERROR(__xludf.DUMMYFUNCTION("GOOGLETRANSLATE(B10751, ""zh"", ""en"")"),"Very good with the good, fast absorption, being now laugh lines did not change, then I hope will improve.")</f>
        <v>Very good with the good, fast absorption, being now laugh lines did not change, then I hope will improve.</v>
      </c>
    </row>
    <row r="10752">
      <c r="A10752" s="1">
        <v>5.0</v>
      </c>
      <c r="B10752" s="1" t="s">
        <v>10669</v>
      </c>
      <c r="C10752" t="str">
        <f>IFERROR(__xludf.DUMMYFUNCTION("GOOGLETRANSLATE(B10752, ""zh"", ""en"")"),"Love Sanford Perak Malaysia very satisfied, perfect, ● v ● super love, now so cheap, we should not miss Ha")</f>
        <v>Love Sanford Perak Malaysia very satisfied, perfect, ● v ● super love, now so cheap, we should not miss Ha</v>
      </c>
    </row>
    <row r="10753">
      <c r="A10753" s="1">
        <v>2.0</v>
      </c>
      <c r="B10753" s="1" t="s">
        <v>10670</v>
      </c>
      <c r="C10753" t="str">
        <f>IFERROR(__xludf.DUMMYFUNCTION("GOOGLETRANSLATE(B10753, ""zh"", ""en"")"),"bad quality bad quality standard.")</f>
        <v>bad quality bad quality standard.</v>
      </c>
    </row>
    <row r="10754">
      <c r="A10754" s="1">
        <v>3.0</v>
      </c>
      <c r="B10754" s="1" t="s">
        <v>10671</v>
      </c>
      <c r="C10754" t="str">
        <f>IFERROR(__xludf.DUMMYFUNCTION("GOOGLETRANSLATE(B10754, ""zh"", ""en"")"),"Sound quality worthy of the price directly say Disadvantages 1, the cavity is too heavy, too hard edge shape, wearing a bit uncomfortable. 2, line 3 is too soft too thin, the biggest problem: In order to fit different wiring socket, on-line control of AKG"&amp;" N20 added a small toggle switch; and Bayard this headset is actually equipped with two adapter cable. Earphone body line is very short, the overall long on a giant plug in adapter cable; this is not the worst - of an adapter cable is the mother of 3.5mm "&amp;"jack, think about it, there is such a big headphones and lump things, this is a What psychological feelings. Finally to say about the sound quality is still possible. Baia suitable for lovers.")</f>
        <v>Sound quality worthy of the price directly say Disadvantages 1, the cavity is too heavy, too hard edge shape, wearing a bit uncomfortable. 2, line 3 is too soft too thin, the biggest problem: In order to fit different wiring socket, on-line control of AKG N20 added a small toggle switch; and Bayard this headset is actually equipped with two adapter cable. Earphone body line is very short, the overall long on a giant plug in adapter cable; this is not the worst - of an adapter cable is the mother of 3.5mm jack, think about it, there is such a big headphones and lump things, this is a What psychological feelings. Finally to say about the sound quality is still possible. Baia suitable for lovers.</v>
      </c>
    </row>
    <row r="10755">
      <c r="A10755" s="1">
        <v>3.0</v>
      </c>
      <c r="B10755" s="1" t="s">
        <v>10672</v>
      </c>
      <c r="C10755" t="str">
        <f>IFERROR(__xludf.DUMMYFUNCTION("GOOGLETRANSLATE(B10755, ""zh"", ""en"")"),"Packing too broken, less hand when a received package has been broken to die, direct hole is open, which is only 11. This cross-mailed the package I was drunk, but also in other UK site bought something, definitely not the packaging. Really I could not he"&amp;"lp but want to scold sentence: Amazon UK on glue? ?")</f>
        <v>Packing too broken, less hand when a received package has been broken to die, direct hole is open, which is only 11. This cross-mailed the package I was drunk, but also in other UK site bought something, definitely not the packaging. Really I could not help but want to scold sentence: Amazon UK on glue? ?</v>
      </c>
    </row>
    <row r="10756">
      <c r="A10756" s="1">
        <v>3.0</v>
      </c>
      <c r="B10756" s="1" t="s">
        <v>10673</v>
      </c>
      <c r="C10756" t="str">
        <f>IFERROR(__xludf.DUMMYFUNCTION("GOOGLETRANSLATE(B10756, ""zh"", ""en"")"),"Note inexpensive fabric comfortable size, very bright red color, but my height 180, weight 175, XL is too big for me, which can wear a jacket, well, good, worn over the New Year to visit relatives, festive! !")</f>
        <v>Note inexpensive fabric comfortable size, very bright red color, but my height 180, weight 175, XL is too big for me, which can wear a jacket, well, good, worn over the New Year to visit relatives, festive! !</v>
      </c>
    </row>
    <row r="10757">
      <c r="A10757" s="1">
        <v>1.0</v>
      </c>
      <c r="B10757" s="1" t="s">
        <v>10674</v>
      </c>
      <c r="C10757" t="str">
        <f>IFERROR(__xludf.DUMMYFUNCTION("GOOGLETRANSLATE(B10757, ""zh"", ""en"")"),"Unlike genuine unlike the genuine products, materials and some poor, fork, spoon scraping the rough will be the baby's tongue 😓")</f>
        <v>Unlike genuine unlike the genuine products, materials and some poor, fork, spoon scraping the rough will be the baby's tongue 😓</v>
      </c>
    </row>
    <row r="10758">
      <c r="A10758" s="1">
        <v>1.0</v>
      </c>
      <c r="B10758" s="1" t="s">
        <v>10675</v>
      </c>
      <c r="C10758" t="str">
        <f>IFERROR(__xludf.DUMMYFUNCTION("GOOGLETRANSLATE(B10758, ""zh"", ""en"")"),"Narrow version too narrow! Returns trouble! First, let me shoes, took part in this edition of narrow and wide version, but the time to buy only a narrow version, nor any explanation. Then return now very troublesome, before the return of the Amazon people"&amp;" have home delivery, not money, is now sent to the United States to own and mailed particularly troublesome, need to provide a lot of information, not necessarily through customs. Only a few hundred pieces of shoes, the return would cost more than 200! Re"&amp;"ally I do not know yet how to buy overseas later this pleasant buy down!")</f>
        <v>Narrow version too narrow! Returns trouble! First, let me shoes, took part in this edition of narrow and wide version, but the time to buy only a narrow version, nor any explanation. Then return now very troublesome, before the return of the Amazon people have home delivery, not money, is now sent to the United States to own and mailed particularly troublesome, need to provide a lot of information, not necessarily through customs. Only a few hundred pieces of shoes, the return would cost more than 200! Really I do not know yet how to buy overseas later this pleasant buy down!</v>
      </c>
    </row>
    <row r="10759">
      <c r="A10759" s="1">
        <v>4.0</v>
      </c>
      <c r="B10759" s="1" t="s">
        <v>10676</v>
      </c>
      <c r="C10759" t="str">
        <f>IFERROR(__xludf.DUMMYFUNCTION("GOOGLETRANSLATE(B10759, ""zh"", ""en"")"),"3-month evaluation sound like very much, with too comfortable, that is one thing, it took three months, the right ear of M mark fell, but fortunately picked up take Decker adhesive back, it really was the decline of the British Empire the XD")</f>
        <v>3-month evaluation sound like very much, with too comfortable, that is one thing, it took three months, the right ear of M mark fell, but fortunately picked up take Decker adhesive back, it really was the decline of the British Empire the XD</v>
      </c>
    </row>
    <row r="10760">
      <c r="A10760" s="1">
        <v>4.0</v>
      </c>
      <c r="B10760" s="1" t="s">
        <v>10677</v>
      </c>
      <c r="C10760" t="str">
        <f>IFERROR(__xludf.DUMMYFUNCTION("GOOGLETRANSLATE(B10760, ""zh"", ""en"")"),"Hoodies originator fabrics and gap over three hundred hoodies similar, but the design is more relaxed, 180cm.175 pounds to wear xxl big point ok")</f>
        <v>Hoodies originator fabrics and gap over three hundred hoodies similar, but the design is more relaxed, 180cm.175 pounds to wear xxl big point ok</v>
      </c>
    </row>
    <row r="10761">
      <c r="A10761" s="1">
        <v>4.0</v>
      </c>
      <c r="B10761" s="1" t="s">
        <v>10678</v>
      </c>
      <c r="C10761" t="str">
        <f>IFERROR(__xludf.DUMMYFUNCTION("GOOGLETRANSLATE(B10761, ""zh"", ""en"")"),"Coating off with no more than 10 times, it has big internal sesame coating off.")</f>
        <v>Coating off with no more than 10 times, it has big internal sesame coating off.</v>
      </c>
    </row>
    <row r="10762">
      <c r="A10762" s="1">
        <v>4.0</v>
      </c>
      <c r="B10762" s="1" t="s">
        <v>10679</v>
      </c>
      <c r="C10762" t="str">
        <f>IFERROR(__xludf.DUMMYFUNCTION("GOOGLETRANSLATE(B10762, ""zh"", ""en"")"),"Well good, in the regulation of large thick, it is a bit hard")</f>
        <v>Well good, in the regulation of large thick, it is a bit hard</v>
      </c>
    </row>
    <row r="10763">
      <c r="A10763" s="1">
        <v>4.0</v>
      </c>
      <c r="B10763" s="1" t="s">
        <v>10680</v>
      </c>
      <c r="C10763" t="str">
        <f>IFERROR(__xludf.DUMMYFUNCTION("GOOGLETRANSLATE(B10763, ""zh"", ""en"")"),"Motion also, when quick-drying fabric, sports wear, too large one yard")</f>
        <v>Motion also, when quick-drying fabric, sports wear, too large one yard</v>
      </c>
    </row>
    <row r="10764">
      <c r="A10764" s="1">
        <v>5.0</v>
      </c>
      <c r="B10764" s="1" t="s">
        <v>10681</v>
      </c>
      <c r="C10764" t="str">
        <f>IFERROR(__xludf.DUMMYFUNCTION("GOOGLETRANSLATE(B10764, ""zh"", ""en"")"),"Very good to wear sweater inside rendering clothing do very well!")</f>
        <v>Very good to wear sweater inside rendering clothing do very well!</v>
      </c>
    </row>
    <row r="10765">
      <c r="A10765" s="1">
        <v>5.0</v>
      </c>
      <c r="B10765" s="1" t="s">
        <v>10682</v>
      </c>
      <c r="C10765" t="str">
        <f>IFERROR(__xludf.DUMMYFUNCTION("GOOGLETRANSLATE(B10765, ""zh"", ""en"")"),"Comfortable, value is too large and a half number, comfortable, Beijing counters 1599,600 scored Value")</f>
        <v>Comfortable, value is too large and a half number, comfortable, Beijing counters 1599,600 scored Value</v>
      </c>
    </row>
    <row r="10766">
      <c r="A10766" s="1">
        <v>5.0</v>
      </c>
      <c r="B10766" s="1" t="s">
        <v>10683</v>
      </c>
      <c r="C10766" t="str">
        <f>IFERROR(__xludf.DUMMYFUNCTION("GOOGLETRANSLATE(B10766, ""zh"", ""en"")"),"U disk quality is very good, reliable, quality assurance, something good")</f>
        <v>U disk quality is very good, reliable, quality assurance, something good</v>
      </c>
    </row>
    <row r="10767">
      <c r="A10767" s="1">
        <v>5.0</v>
      </c>
      <c r="B10767" s="1" t="s">
        <v>10684</v>
      </c>
      <c r="C10767" t="str">
        <f>IFERROR(__xludf.DUMMYFUNCTION("GOOGLETRANSLATE(B10767, ""zh"", ""en"")"),"Imported goods is a good used several times the feeling is very good Leverage")</f>
        <v>Imported goods is a good used several times the feeling is very good Leverage</v>
      </c>
    </row>
    <row r="10768">
      <c r="A10768" s="1">
        <v>5.0</v>
      </c>
      <c r="B10768" s="1" t="s">
        <v>10685</v>
      </c>
      <c r="C10768" t="str">
        <f>IFERROR(__xludf.DUMMYFUNCTION("GOOGLETRANSLATE(B10768, ""zh"", ""en"")"),"How often to change a filter? Just start with, I feel very good.")</f>
        <v>How often to change a filter? Just start with, I feel very good.</v>
      </c>
    </row>
    <row r="10769">
      <c r="A10769" s="1">
        <v>5.0</v>
      </c>
      <c r="B10769" s="1" t="s">
        <v>10686</v>
      </c>
      <c r="C10769" t="str">
        <f>IFERROR(__xludf.DUMMYFUNCTION("GOOGLETRANSLATE(B10769, ""zh"", ""en"")"),"Good weight so heavy so heavy a pot of good weight, ah, easy fried steak")</f>
        <v>Good weight so heavy so heavy a pot of good weight, ah, easy fried steak</v>
      </c>
    </row>
    <row r="10770">
      <c r="A10770" s="1">
        <v>5.0</v>
      </c>
      <c r="B10770" s="1" t="s">
        <v>10687</v>
      </c>
      <c r="C10770" t="str">
        <f>IFERROR(__xludf.DUMMYFUNCTION("GOOGLETRANSLATE(B10770, ""zh"", ""en"")"),"Good quality is good, no odor")</f>
        <v>Good quality is good, no odor</v>
      </c>
    </row>
    <row r="10771">
      <c r="A10771" s="1">
        <v>5.0</v>
      </c>
      <c r="B10771" s="1" t="s">
        <v>10688</v>
      </c>
      <c r="C10771" t="str">
        <f>IFERROR(__xludf.DUMMYFUNCTION("GOOGLETRANSLATE(B10771, ""zh"", ""en"")"),"Good shoes, the right size shoes made in China, some really slim, but my feet are very thin, put on just right, logistics is also very to the force, under a single number Nov. 16, went to No. 23")</f>
        <v>Good shoes, the right size shoes made in China, some really slim, but my feet are very thin, put on just right, logistics is also very to the force, under a single number Nov. 16, went to No. 23</v>
      </c>
    </row>
    <row r="10772">
      <c r="A10772" s="1">
        <v>5.0</v>
      </c>
      <c r="B10772" s="1" t="s">
        <v>10689</v>
      </c>
      <c r="C10772" t="str">
        <f>IFERROR(__xludf.DUMMYFUNCTION("GOOGLETRANSLATE(B10772, ""zh"", ""en"")"),"Did not taste very good, easy to use, high temperature will change color")</f>
        <v>Did not taste very good, easy to use, high temperature will change color</v>
      </c>
    </row>
    <row r="10773">
      <c r="A10773" s="1">
        <v>5.0</v>
      </c>
      <c r="B10773" s="1" t="s">
        <v>10690</v>
      </c>
      <c r="C10773" t="str">
        <f>IFERROR(__xludf.DUMMYFUNCTION("GOOGLETRANSLATE(B10773, ""zh"", ""en"")"),"In line with expected delivery time soon, there is no pot flaws, very beautiful.")</f>
        <v>In line with expected delivery time soon, there is no pot flaws, very beautiful.</v>
      </c>
    </row>
    <row r="10774">
      <c r="A10774" s="1">
        <v>5.0</v>
      </c>
      <c r="B10774" s="1" t="s">
        <v>10691</v>
      </c>
      <c r="C10774" t="str">
        <f>IFERROR(__xludf.DUMMYFUNCTION("GOOGLETRANSLATE(B10774, ""zh"", ""en"")"),"The quality of clearance is not very good Le winter, although there is some wear thin but the quality is good")</f>
        <v>The quality of clearance is not very good Le winter, although there is some wear thin but the quality is good</v>
      </c>
    </row>
    <row r="10775">
      <c r="A10775" s="1">
        <v>5.0</v>
      </c>
      <c r="B10775" s="1" t="s">
        <v>10692</v>
      </c>
      <c r="C10775" t="str">
        <f>IFERROR(__xludf.DUMMYFUNCTION("GOOGLETRANSLATE(B10775, ""zh"", ""en"")"),"Good good quality")</f>
        <v>Good good quality</v>
      </c>
    </row>
    <row r="10776">
      <c r="A10776" s="1">
        <v>5.0</v>
      </c>
      <c r="B10776" s="1" t="s">
        <v>10693</v>
      </c>
      <c r="C10776" t="str">
        <f>IFERROR(__xludf.DUMMYFUNCTION("GOOGLETRANSLATE(B10776, ""zh"", ""en"")"),"The fit is excellent. I am happy with the price. The fabric is really comfortable. The appearance is just what I hoped for.")</f>
        <v>The fit is excellent. I am happy with the price. The fabric is really comfortable. The appearance is just what I hoped for.</v>
      </c>
    </row>
    <row r="10777">
      <c r="A10777" s="1">
        <v>5.0</v>
      </c>
      <c r="B10777" s="1" t="s">
        <v>10694</v>
      </c>
      <c r="C10777" t="str">
        <f>IFERROR(__xludf.DUMMYFUNCTION("GOOGLETRANSLATE(B10777, ""zh"", ""en"")"),"Defective packing a little damaged packaging, and buy clothes together, there is no packing cardboard boxes, a plastic bag on the way from the United States came.")</f>
        <v>Defective packing a little damaged packaging, and buy clothes together, there is no packing cardboard boxes, a plastic bag on the way from the United States came.</v>
      </c>
    </row>
    <row r="10778">
      <c r="A10778" s="1">
        <v>5.0</v>
      </c>
      <c r="B10778" s="1" t="s">
        <v>10695</v>
      </c>
      <c r="C10778" t="str">
        <f>IFERROR(__xludf.DUMMYFUNCTION("GOOGLETRANSLATE(B10778, ""zh"", ""en"")"),"Spork reasonable design reasonable design, easy to use. Xiao Man shot in the United States and also with this.")</f>
        <v>Spork reasonable design reasonable design, easy to use. Xiao Man shot in the United States and also with this.</v>
      </c>
    </row>
    <row r="10779">
      <c r="A10779" s="1">
        <v>5.0</v>
      </c>
      <c r="B10779" s="1" t="s">
        <v>10696</v>
      </c>
      <c r="C10779" t="str">
        <f>IFERROR(__xludf.DUMMYFUNCTION("GOOGLETRANSLATE(B10779, ""zh"", ""en"")"),"not bad! worth buying! Is genuine, you can enter the barcode query, pen use them very good, very smooth, very comfortable - compared to other places to buy, a little cheaper, but also more at ease, very much")</f>
        <v>not bad! worth buying! Is genuine, you can enter the barcode query, pen use them very good, very smooth, very comfortable - compared to other places to buy, a little cheaper, but also more at ease, very much</v>
      </c>
    </row>
    <row r="10780">
      <c r="A10780" s="1">
        <v>5.0</v>
      </c>
      <c r="B10780" s="1" t="s">
        <v>10697</v>
      </c>
      <c r="C10780" t="str">
        <f>IFERROR(__xludf.DUMMYFUNCTION("GOOGLETRANSLATE(B10780, ""zh"", ""en"")"),"Practical kids liked, stationery layered, easy management")</f>
        <v>Practical kids liked, stationery layered, easy management</v>
      </c>
    </row>
    <row r="10781">
      <c r="A10781" s="1">
        <v>5.0</v>
      </c>
      <c r="B10781" s="1" t="s">
        <v>10698</v>
      </c>
      <c r="C10781" t="str">
        <f>IFERROR(__xludf.DUMMYFUNCTION("GOOGLETRANSLATE(B10781, ""zh"", ""en"")"),"Very good, great bottle nipples are ss number, Pigeon well")</f>
        <v>Very good, great bottle nipples are ss number, Pigeon well</v>
      </c>
    </row>
    <row r="10782">
      <c r="A10782" s="1">
        <v>5.0</v>
      </c>
      <c r="B10782" s="1" t="s">
        <v>10699</v>
      </c>
      <c r="C10782" t="str">
        <f>IFERROR(__xludf.DUMMYFUNCTION("GOOGLETRANSLATE(B10782, ""zh"", ""en"")"),"High cost performance is very good, convenient and practical")</f>
        <v>High cost performance is very good, convenient and practical</v>
      </c>
    </row>
    <row r="10783">
      <c r="A10783" s="1">
        <v>5.0</v>
      </c>
      <c r="B10783" s="1" t="s">
        <v>10700</v>
      </c>
      <c r="C10783" t="str">
        <f>IFERROR(__xludf.DUMMYFUNCTION("GOOGLETRANSLATE(B10783, ""zh"", ""en"")"),"Good material, good comfortable underwear material itself, very comfortable! Personally I think that is too low-cut and could not cover PP, so embarrassed 😅")</f>
        <v>Good material, good comfortable underwear material itself, very comfortable! Personally I think that is too low-cut and could not cover PP, so embarrassed 😅</v>
      </c>
    </row>
    <row r="10784">
      <c r="A10784" s="1">
        <v>5.0</v>
      </c>
      <c r="B10784" s="1" t="s">
        <v>10701</v>
      </c>
      <c r="C10784" t="str">
        <f>IFERROR(__xludf.DUMMYFUNCTION("GOOGLETRANSLATE(B10784, ""zh"", ""en"")"),"Nas good partner to use the disk directly removed and placed in nas sound not too great, I would like to spend a little longer")</f>
        <v>Nas good partner to use the disk directly removed and placed in nas sound not too great, I would like to spend a little longer</v>
      </c>
    </row>
    <row r="10785">
      <c r="A10785" s="1">
        <v>5.0</v>
      </c>
      <c r="B10785" s="1" t="s">
        <v>10702</v>
      </c>
      <c r="C10785" t="str">
        <f>IFERROR(__xludf.DUMMYFUNCTION("GOOGLETRANSLATE(B10785, ""zh"", ""en"")"),"Good can a small one yard, the color is very good!")</f>
        <v>Good can a small one yard, the color is very good!</v>
      </c>
    </row>
    <row r="10786">
      <c r="A10786" s="1">
        <v>2.0</v>
      </c>
      <c r="B10786" s="1" t="s">
        <v>10703</v>
      </c>
      <c r="C10786" t="str">
        <f>IFERROR(__xludf.DUMMYFUNCTION("GOOGLETRANSLATE(B10786, ""zh"", ""en"")"),"The first overseas shopping experience Tucao first, from the perspective of the shoe itself, the shoes quality is good, although the taste a little bit heavy; toe narrower, more crowded toes. Second, from the perspective of service attitude, one of the Am"&amp;"azon's customer service is good. But the service attitude of the seller does not. On several occasions in reply to my e-mail with the perfunctory tone. Third, the delivery time perspective, this is simply the international rate. May 26 Kusakabe single, wa"&amp;"ited two days, the third day of May 29 reminders, June 1 to take the goods, said clearance, from June 1 to June 13 it has been in reply clearance. Really can not wait, choose to return the application, direct seller refused, saying it does not support sev"&amp;"en days no reason to return. I put up with this. Continue to wait, today received the Amazon customer service calls, deal with this matter, reply to e-mail the seller, the third time is given delivery time. First expected delivery time: June 6; the second"&amp;" is expected delivery time is 12 working days after delivery. Today, e-mail reply is received within three weeks of delivery. Although good shoes, give 2 stars, in recognition of its time in attitudes and delivery services.")</f>
        <v>The first overseas shopping experience Tucao first, from the perspective of the shoe itself, the shoes quality is good, although the taste a little bit heavy; toe narrower, more crowded toes. Second, from the perspective of service attitude, one of the Amazon's customer service is good. But the service attitude of the seller does not. On several occasions in reply to my e-mail with the perfunctory tone. Third, the delivery time perspective, this is simply the international rate. May 26 Kusakabe single, waited two days, the third day of May 29 reminders, June 1 to take the goods, said clearance, from June 1 to June 13 it has been in reply clearance. Really can not wait, choose to return the application, direct seller refused, saying it does not support seven days no reason to return. I put up with this. Continue to wait, today received the Amazon customer service calls, deal with this matter, reply to e-mail the seller, the third time is given delivery time. First expected delivery time: June 6; the second is expected delivery time is 12 working days after delivery. Today, e-mail reply is received within three weeks of delivery. Although good shoes, give 2 stars, in recognition of its time in attitudes and delivery services.</v>
      </c>
    </row>
    <row r="10787">
      <c r="A10787" s="1">
        <v>3.0</v>
      </c>
      <c r="B10787" s="1" t="s">
        <v>10704</v>
      </c>
      <c r="C10787" t="str">
        <f>IFERROR(__xludf.DUMMYFUNCTION("GOOGLETRANSLATE(B10787, ""zh"", ""en"")"),"Product integrity no bump, speed of delivery is too slow, reminders twice before hair. Product integrity no bump, speed of delivery is too slow, reminders twice before hair.")</f>
        <v>Product integrity no bump, speed of delivery is too slow, reminders twice before hair. Product integrity no bump, speed of delivery is too slow, reminders twice before hair.</v>
      </c>
    </row>
    <row r="10788">
      <c r="A10788" s="1">
        <v>3.0</v>
      </c>
      <c r="B10788" s="1" t="s">
        <v>10705</v>
      </c>
      <c r="C10788" t="str">
        <f>IFERROR(__xludf.DUMMYFUNCTION("GOOGLETRANSLATE(B10788, ""zh"", ""en"")"),"Deformation machine wash clothes several times after the deformation")</f>
        <v>Deformation machine wash clothes several times after the deformation</v>
      </c>
    </row>
    <row r="10789">
      <c r="A10789" s="1">
        <v>1.0</v>
      </c>
      <c r="B10789" s="1" t="s">
        <v>10706</v>
      </c>
      <c r="C10789" t="str">
        <f>IFERROR(__xludf.DUMMYFUNCTION("GOOGLETRANSLATE(B10789, ""zh"", ""en"")"),"Size looks like a little problem my height 180 weight 73 kg, bought two, a big small S M's, do not know there is no intermediate code")</f>
        <v>Size looks like a little problem my height 180 weight 73 kg, bought two, a big small S M's, do not know there is no intermediate code</v>
      </c>
    </row>
    <row r="10790">
      <c r="A10790" s="1">
        <v>1.0</v>
      </c>
      <c r="B10790" s="1" t="s">
        <v>10707</v>
      </c>
      <c r="C10790" t="str">
        <f>IFERROR(__xludf.DUMMYFUNCTION("GOOGLETRANSLATE(B10790, ""zh"", ""en"")"),"Seems to be blister packaging is intact, the packaging inside the bubble, it is estimated to see inside the blisters, and then again with a new package to package a bit")</f>
        <v>Seems to be blister packaging is intact, the packaging inside the bubble, it is estimated to see inside the blisters, and then again with a new package to package a bit</v>
      </c>
    </row>
    <row r="10791">
      <c r="A10791" s="1">
        <v>1.0</v>
      </c>
      <c r="B10791" s="1" t="s">
        <v>10708</v>
      </c>
      <c r="C10791" t="str">
        <f>IFERROR(__xludf.DUMMYFUNCTION("GOOGLETRANSLATE(B10791, ""zh"", ""en"")"),"Pipette tips than the previous two days was a hard one and it broke")</f>
        <v>Pipette tips than the previous two days was a hard one and it broke</v>
      </c>
    </row>
    <row r="10792">
      <c r="A10792" s="1">
        <v>4.0</v>
      </c>
      <c r="B10792" s="1" t="s">
        <v>10709</v>
      </c>
      <c r="C10792" t="str">
        <f>IFERROR(__xludf.DUMMYFUNCTION("GOOGLETRANSLATE(B10792, ""zh"", ""en"")"),"Overall pretty good wear a little hard things is not a good grind, such as grinding is not detailed enough carrots, bananas and mashed potatoes mill is actually very aspect, also wear the blueberries strawberries. A little stained, used to clean immediate"&amp;"ly, otherwise it will be difficult to wash")</f>
        <v>Overall pretty good wear a little hard things is not a good grind, such as grinding is not detailed enough carrots, bananas and mashed potatoes mill is actually very aspect, also wear the blueberries strawberries. A little stained, used to clean immediately, otherwise it will be difficult to wash</v>
      </c>
    </row>
    <row r="10793">
      <c r="A10793" s="1">
        <v>4.0</v>
      </c>
      <c r="B10793" s="1" t="s">
        <v>10710</v>
      </c>
      <c r="C10793" t="str">
        <f>IFERROR(__xludf.DUMMYFUNCTION("GOOGLETRANSLATE(B10793, ""zh"", ""en"")"),"Very positive very positive, and the same as before scouring the sea.")</f>
        <v>Very positive very positive, and the same as before scouring the sea.</v>
      </c>
    </row>
    <row r="10794">
      <c r="A10794" s="1">
        <v>4.0</v>
      </c>
      <c r="B10794" s="1" t="s">
        <v>10711</v>
      </c>
      <c r="C10794" t="str">
        <f>IFERROR(__xludf.DUMMYFUNCTION("GOOGLETRANSLATE(B10794, ""zh"", ""en"")"),"Slightly larger, okay 175CM, 70KG, M number exactly, partial long sleeve, bottoming Spring thin section suitable to wear, more thread")</f>
        <v>Slightly larger, okay 175CM, 70KG, M number exactly, partial long sleeve, bottoming Spring thin section suitable to wear, more thread</v>
      </c>
    </row>
    <row r="10795">
      <c r="A10795" s="1">
        <v>4.0</v>
      </c>
      <c r="B10795" s="1" t="s">
        <v>10712</v>
      </c>
      <c r="C10795" t="str">
        <f>IFERROR(__xludf.DUMMYFUNCTION("GOOGLETRANSLATE(B10795, ""zh"", ""en"")"),"Generally too large. Crisp poor.")</f>
        <v>Generally too large. Crisp poor.</v>
      </c>
    </row>
    <row r="10796">
      <c r="A10796" s="1">
        <v>4.0</v>
      </c>
      <c r="B10796" s="1" t="s">
        <v>10713</v>
      </c>
      <c r="C10796" t="str">
        <f>IFERROR(__xludf.DUMMYFUNCTION("GOOGLETRANSLATE(B10796, ""zh"", ""en"")"),"In fact, not so large, buy the normal code on the line. I 168,65 kg, bust 94, waist 79, general fitness, this time to buy a small yard, and the other to buy the US version of the same clothes. Read a lot of reviews, that S code will be relatively large, i"&amp;"n fact, not very large scale the chest and abdomen, but this dress is three-dimensional cut, slim torso will feel more fluffy feeling back. Indeed rough huge arms, everyone says this, and I think that Europe is not due to the size difference and the Chine"&amp;"se, the Americans would not have exceeded our arms twice as thick, so this is a deliberate design, to put it mildly this classic dress is characteristic of it. The crude lead arm coupled draping feeling two arms on both sides of the bulge, so it is genero"&amp;"us than the average number of imitations, we said that the reason appears to wear magnificent. And filled with slimmed-MA-1 jacket than it makes a difference. Do you like this feeling, or would like a collection of words, it is a good choice. I got this, "&amp;"it is made in China, proud to say, the Chinese workmanship is very good. He stressed two points, first, this dress is not self-cultivation, and second, I think this point is more suitable for tall to wear as clothes version has a laterally enlarged role. "&amp;"Good finished, talk about the shortcomings: the cuffs and neckline with knitted wool has a little bit of flash, wearing every day on my two terms, a long time do not know burr Li is not severe. Zipper head very very strong, but began to pull on the zipper"&amp;" parts sometimes a little card, do not know the specific reason is true. Warm words, unless the inner surface of the head plus sets long paragraph sweater, otherwise, neck and waist in the cold or to shivering. Shuai and temperature can not have both. Abo"&amp;"ve for your reference. Pictures do not pass, we posted a lot.")</f>
        <v>In fact, not so large, buy the normal code on the line. I 168,65 kg, bust 94, waist 79, general fitness, this time to buy a small yard, and the other to buy the US version of the same clothes. Read a lot of reviews, that S code will be relatively large, in fact, not very large scale the chest and abdomen, but this dress is three-dimensional cut, slim torso will feel more fluffy feeling back. Indeed rough huge arms, everyone says this, and I think that Europe is not due to the size difference and the Chinese, the Americans would not have exceeded our arms twice as thick, so this is a deliberate design, to put it mildly this classic dress is characteristic of it. The crude lead arm coupled draping feeling two arms on both sides of the bulge, so it is generous than the average number of imitations, we said that the reason appears to wear magnificent. And filled with slimmed-MA-1 jacket than it makes a difference. Do you like this feeling, or would like a collection of words, it is a good choice. I got this, it is made in China, proud to say, the Chinese workmanship is very good. He stressed two points, first, this dress is not self-cultivation, and second, I think this point is more suitable for tall to wear as clothes version has a laterally enlarged role. Good finished, talk about the shortcomings: the cuffs and neckline with knitted wool has a little bit of flash, wearing every day on my two terms, a long time do not know burr Li is not severe. Zipper head very very strong, but began to pull on the zipper parts sometimes a little card, do not know the specific reason is true. Warm words, unless the inner surface of the head plus sets long paragraph sweater, otherwise, neck and waist in the cold or to shivering. Shuai and temperature can not have both. Above for your reference. Pictures do not pass, we posted a lot.</v>
      </c>
    </row>
    <row r="10797">
      <c r="A10797" s="1">
        <v>5.0</v>
      </c>
      <c r="B10797" s="1" t="s">
        <v>10714</v>
      </c>
      <c r="C10797" t="str">
        <f>IFERROR(__xludf.DUMMYFUNCTION("GOOGLETRANSLATE(B10797, ""zh"", ""en"")"),"Good quality and easy to use, hygiene, worth buying.")</f>
        <v>Good quality and easy to use, hygiene, worth buying.</v>
      </c>
    </row>
    <row r="10798">
      <c r="A10798" s="1">
        <v>5.0</v>
      </c>
      <c r="B10798" s="1" t="s">
        <v>10715</v>
      </c>
      <c r="C10798" t="str">
        <f>IFERROR(__xludf.DUMMYFUNCTION("GOOGLETRANSLATE(B10798, ""zh"", ""en"")"),"Good super satisfied! Quality is very good! Color is very nice!")</f>
        <v>Good super satisfied! Quality is very good! Color is very nice!</v>
      </c>
    </row>
    <row r="10799">
      <c r="A10799" s="1">
        <v>5.0</v>
      </c>
      <c r="B10799" s="1" t="s">
        <v>10716</v>
      </c>
      <c r="C10799" t="str">
        <f>IFERROR(__xludf.DUMMYFUNCTION("GOOGLETRANSLATE(B10799, ""zh"", ""en"")"),"Satisfaction to the father to buy, high cost!")</f>
        <v>Satisfaction to the father to buy, high cost!</v>
      </c>
    </row>
    <row r="10800">
      <c r="A10800" s="1">
        <v>5.0</v>
      </c>
      <c r="B10800" s="1" t="s">
        <v>10717</v>
      </c>
      <c r="C10800" t="str">
        <f>IFERROR(__xludf.DUMMYFUNCTION("GOOGLETRANSLATE(B10800, ""zh"", ""en"")"),"Not bad for a child with a spoon head is relatively small, but a little hard")</f>
        <v>Not bad for a child with a spoon head is relatively small, but a little hard</v>
      </c>
    </row>
    <row r="10801">
      <c r="A10801" s="1">
        <v>5.0</v>
      </c>
      <c r="B10801" s="1" t="s">
        <v>10718</v>
      </c>
      <c r="C10801" t="str">
        <f>IFERROR(__xludf.DUMMYFUNCTION("GOOGLETRANSLATE(B10801, ""zh"", ""en"")"),"Good wash dishes out sparkling")</f>
        <v>Good wash dishes out sparkling</v>
      </c>
    </row>
    <row r="10802">
      <c r="A10802" s="1">
        <v>5.0</v>
      </c>
      <c r="B10802" s="1" t="s">
        <v>10719</v>
      </c>
      <c r="C10802" t="str">
        <f>IFERROR(__xludf.DUMMYFUNCTION("GOOGLETRANSLATE(B10802, ""zh"", ""en"")"),"Good quality bottle looks good look")</f>
        <v>Good quality bottle looks good look</v>
      </c>
    </row>
    <row r="10803">
      <c r="A10803" s="1">
        <v>5.0</v>
      </c>
      <c r="B10803" s="1" t="s">
        <v>10720</v>
      </c>
      <c r="C10803" t="str">
        <f>IFERROR(__xludf.DUMMYFUNCTION("GOOGLETRANSLATE(B10803, ""zh"", ""en"")"),"Vitamins, minerals wide variety! Affordable, have been trusted American brand. It should be genuine. Vitamins, minerals wide variety! Peacekeeping good daily supplement tablets. Very good, it will often buy back. Recommended to buy.")</f>
        <v>Vitamins, minerals wide variety! Affordable, have been trusted American brand. It should be genuine. Vitamins, minerals wide variety! Peacekeeping good daily supplement tablets. Very good, it will often buy back. Recommended to buy.</v>
      </c>
    </row>
    <row r="10804">
      <c r="A10804" s="1">
        <v>5.0</v>
      </c>
      <c r="B10804" s="1" t="s">
        <v>10721</v>
      </c>
      <c r="C10804" t="str">
        <f>IFERROR(__xludf.DUMMYFUNCTION("GOOGLETRANSLATE(B10804, ""zh"", ""en"")"),"Good fabric to wear comfortable")</f>
        <v>Good fabric to wear comfortable</v>
      </c>
    </row>
    <row r="10805">
      <c r="A10805" s="1">
        <v>5.0</v>
      </c>
      <c r="B10805" s="1" t="s">
        <v>10722</v>
      </c>
      <c r="C10805" t="str">
        <f>IFERROR(__xludf.DUMMYFUNCTION("GOOGLETRANSLATE(B10805, ""zh"", ""en"")"),"Very, very satisfied always liked to drink coffee, from instant, hanging ears, to buy the machine, used Moka, drip coffee machine. As a get up early to go to work every day single dog, or fully automatic coffee machine a lot easier. Look at yourself in se"&amp;"veral machines, fully automatic machine similar price compared to other brands, DeLonghi coffee machine in concentration, grinding the beans extent, are relatively abundant. Sure enough, after receiving very good, easy to use, boot up in the morning, ever"&amp;"y minute is like a cup of coffee, it is suitable for them such a heart distance, but Wang had Guzhe single in front of struggling every day.")</f>
        <v>Very, very satisfied always liked to drink coffee, from instant, hanging ears, to buy the machine, used Moka, drip coffee machine. As a get up early to go to work every day single dog, or fully automatic coffee machine a lot easier. Look at yourself in several machines, fully automatic machine similar price compared to other brands, DeLonghi coffee machine in concentration, grinding the beans extent, are relatively abundant. Sure enough, after receiving very good, easy to use, boot up in the morning, every minute is like a cup of coffee, it is suitable for them such a heart distance, but Wang had Guzhe single in front of struggling every day.</v>
      </c>
    </row>
    <row r="10806">
      <c r="A10806" s="1">
        <v>5.0</v>
      </c>
      <c r="B10806" s="1" t="s">
        <v>10723</v>
      </c>
      <c r="C10806" t="str">
        <f>IFERROR(__xludf.DUMMYFUNCTION("GOOGLETRANSLATE(B10806, ""zh"", ""en"")"),"good good, basic satisfaction, household thicker.")</f>
        <v>good good, basic satisfaction, household thicker.</v>
      </c>
    </row>
    <row r="10807">
      <c r="A10807" s="1">
        <v>5.0</v>
      </c>
      <c r="B10807" s="1" t="s">
        <v>10724</v>
      </c>
      <c r="C10807" t="str">
        <f>IFERROR(__xludf.DUMMYFUNCTION("GOOGLETRANSLATE(B10807, ""zh"", ""en"")"),"Pitt Zander affordable Overseas")</f>
        <v>Pitt Zander affordable Overseas</v>
      </c>
    </row>
    <row r="10808">
      <c r="A10808" s="1">
        <v>5.0</v>
      </c>
      <c r="B10808" s="1" t="s">
        <v>10725</v>
      </c>
      <c r="C10808" t="str">
        <f>IFERROR(__xludf.DUMMYFUNCTION("GOOGLETRANSLATE(B10808, ""zh"", ""en"")"),"Very good cost-effective toothpaste, a total of six toothpaste, the price is cost-effective, red, blue and white, the children love it.")</f>
        <v>Very good cost-effective toothpaste, a total of six toothpaste, the price is cost-effective, red, blue and white, the children love it.</v>
      </c>
    </row>
    <row r="10809">
      <c r="A10809" s="1">
        <v>5.0</v>
      </c>
      <c r="B10809" s="1" t="s">
        <v>10726</v>
      </c>
      <c r="C10809" t="str">
        <f>IFERROR(__xludf.DUMMYFUNCTION("GOOGLETRANSLATE(B10809, ""zh"", ""en"")"),"Very, very good quality cast iron pot, very thick. Although a little weight, but the bottom of the pot so that temperature uniformity, etc. Particularly suitable fried steak, is not easy to focus, substantially non-stick, real cast iron pot, with the rest"&amp;" assured. Domestic fuel, to create your own brand name and reputation!")</f>
        <v>Very, very good quality cast iron pot, very thick. Although a little weight, but the bottom of the pot so that temperature uniformity, etc. Particularly suitable fried steak, is not easy to focus, substantially non-stick, real cast iron pot, with the rest assured. Domestic fuel, to create your own brand name and reputation!</v>
      </c>
    </row>
    <row r="10810">
      <c r="A10810" s="1">
        <v>5.0</v>
      </c>
      <c r="B10810" s="1" t="s">
        <v>10727</v>
      </c>
      <c r="C10810" t="str">
        <f>IFERROR(__xludf.DUMMYFUNCTION("GOOGLETRANSLATE(B10810, ""zh"", ""en"")"),"Express is very good, good socks to buy the No. 8 February 12 received, I would have thought years ago might not receive, to buy Japanese overseas courier play call. Not to wear socks, good texture, elastic, but I did not imagine thick. It is the feeling "&amp;"of a layer of wool socks.")</f>
        <v>Express is very good, good socks to buy the No. 8 February 12 received, I would have thought years ago might not receive, to buy Japanese overseas courier play call. Not to wear socks, good texture, elastic, but I did not imagine thick. It is the feeling of a layer of wool socks.</v>
      </c>
    </row>
    <row r="10811">
      <c r="A10811" s="1">
        <v>5.0</v>
      </c>
      <c r="B10811" s="1" t="s">
        <v>2190</v>
      </c>
      <c r="C10811" t="str">
        <f>IFERROR(__xludf.DUMMYFUNCTION("GOOGLETRANSLATE(B10811, ""zh"", ""en"")"),"Suitable pretty pretty appropriate")</f>
        <v>Suitable pretty pretty appropriate</v>
      </c>
    </row>
    <row r="10812">
      <c r="A10812" s="1">
        <v>5.0</v>
      </c>
      <c r="B10812" s="1" t="s">
        <v>10728</v>
      </c>
      <c r="C10812" t="str">
        <f>IFERROR(__xludf.DUMMYFUNCTION("GOOGLETRANSLATE(B10812, ""zh"", ""en"")"),"The world's amazing! ! ! Very comfortable shoes good mood is a little complicated while trying to turn a bit to see the tongue is Chinese manufacturing felt a little wonderful world of Chinese-made shoes around the Earth in a circle back to one-third of C"&amp;"hina is the store price one (plus postage tariffs have to) feel this world is really amazing! ! !")</f>
        <v>The world's amazing! ! ! Very comfortable shoes good mood is a little complicated while trying to turn a bit to see the tongue is Chinese manufacturing felt a little wonderful world of Chinese-made shoes around the Earth in a circle back to one-third of China is the store price one (plus postage tariffs have to) feel this world is really amazing! ! !</v>
      </c>
    </row>
    <row r="10813">
      <c r="A10813" s="1">
        <v>5.0</v>
      </c>
      <c r="B10813" s="1" t="s">
        <v>10729</v>
      </c>
      <c r="C10813" t="str">
        <f>IFERROR(__xludf.DUMMYFUNCTION("GOOGLETRANSLATE(B10813, ""zh"", ""en"")"),"The expected value is really good, looking forward to the time to buy")</f>
        <v>The expected value is really good, looking forward to the time to buy</v>
      </c>
    </row>
    <row r="10814">
      <c r="A10814" s="1">
        <v>5.0</v>
      </c>
      <c r="B10814" s="1" t="s">
        <v>10730</v>
      </c>
      <c r="C10814" t="str">
        <f>IFERROR(__xludf.DUMMYFUNCTION("GOOGLETRANSLATE(B10814, ""zh"", ""en"")"),"Satisfaction is very light, hope that more promotions.")</f>
        <v>Satisfaction is very light, hope that more promotions.</v>
      </c>
    </row>
    <row r="10815">
      <c r="A10815" s="1">
        <v>5.0</v>
      </c>
      <c r="B10815" s="1" t="s">
        <v>10731</v>
      </c>
      <c r="C10815" t="str">
        <f>IFERROR(__xludf.DUMMYFUNCTION("GOOGLETRANSLATE(B10815, ""zh"", ""en"")"),"Martin boots will recommend family comfort and durability, good")</f>
        <v>Martin boots will recommend family comfort and durability, good</v>
      </c>
    </row>
    <row r="10816">
      <c r="A10816" s="1">
        <v>5.0</v>
      </c>
      <c r="B10816" s="1" t="s">
        <v>10732</v>
      </c>
      <c r="C10816" t="str">
        <f>IFERROR(__xludf.DUMMYFUNCTION("GOOGLETRANSLATE(B10816, ""zh"", ""en"")"),"Looks good, give the baby stockpile below the glass, I say give the baby a good buy point of the glass, but also to their own baby store goods, like baby like 😍")</f>
        <v>Looks good, give the baby stockpile below the glass, I say give the baby a good buy point of the glass, but also to their own baby store goods, like baby like 😍</v>
      </c>
    </row>
    <row r="10817">
      <c r="A10817" s="1">
        <v>5.0</v>
      </c>
      <c r="B10817" s="1" t="s">
        <v>10733</v>
      </c>
      <c r="C10817" t="str">
        <f>IFERROR(__xludf.DUMMYFUNCTION("GOOGLETRANSLATE(B10817, ""zh"", ""en"")"),"Suitable for spring and autumn wearing my 176CM, 65KG, trousers slightly longer length, waist just looks relatively thick fabrics, fine workmanship, wear body feel very comfortable, suitable for wearing in spring and autumn, the price is a lot cheaper tha"&amp;"n the mall, have bought a second article, it is recommended!")</f>
        <v>Suitable for spring and autumn wearing my 176CM, 65KG, trousers slightly longer length, waist just looks relatively thick fabrics, fine workmanship, wear body feel very comfortable, suitable for wearing in spring and autumn, the price is a lot cheaper than the mall, have bought a second article, it is recommended!</v>
      </c>
    </row>
    <row r="10818">
      <c r="A10818" s="1">
        <v>5.0</v>
      </c>
      <c r="B10818" s="1" t="s">
        <v>10734</v>
      </c>
      <c r="C10818" t="str">
        <f>IFERROR(__xludf.DUMMYFUNCTION("GOOGLETRANSLATE(B10818, ""zh"", ""en"")"),"like very much! Good material, are ""thick"" type. I also measured the list just under the shoulder, but is just right (barely dressed, it is estimated that the thickness of the material also has little influence) the workmanship is really good! Quickly o"&amp;"rders to buy a freshman code ^")</f>
        <v>like very much! Good material, are "thick" type. I also measured the list just under the shoulder, but is just right (barely dressed, it is estimated that the thickness of the material also has little influence) the workmanship is really good! Quickly orders to buy a freshman code ^</v>
      </c>
    </row>
    <row r="10819">
      <c r="A10819" s="1">
        <v>2.0</v>
      </c>
      <c r="B10819" s="1" t="s">
        <v>10735</v>
      </c>
      <c r="C10819" t="str">
        <f>IFERROR(__xludf.DUMMYFUNCTION("GOOGLETRANSLATE(B10819, ""zh"", ""en"")"),"Oh this is my buy most things once kept in the dark, I found a long knife research, the results came out, then hurry, vertigo big night did not look carefully, and then the order. Seriously speaking, Amazon you trade descriptions sucks, do I now look at t"&amp;"he description of this thing on other platforms, and then come back in control.")</f>
        <v>Oh this is my buy most things once kept in the dark, I found a long knife research, the results came out, then hurry, vertigo big night did not look carefully, and then the order. Seriously speaking, Amazon you trade descriptions sucks, do I now look at the description of this thing on other platforms, and then come back in control.</v>
      </c>
    </row>
    <row r="10820">
      <c r="A10820" s="1">
        <v>3.0</v>
      </c>
      <c r="B10820" s="1" t="s">
        <v>10736</v>
      </c>
      <c r="C10820" t="str">
        <f>IFERROR(__xludf.DUMMYFUNCTION("GOOGLETRANSLATE(B10820, ""zh"", ""en"")"),"Foot card looks pretty good, just feel very strange, very expensive shoes, genuine card feet, heels are worn top designers why not consider it catches")</f>
        <v>Foot card looks pretty good, just feel very strange, very expensive shoes, genuine card feet, heels are worn top designers why not consider it catches</v>
      </c>
    </row>
    <row r="10821">
      <c r="A10821" s="1">
        <v>3.0</v>
      </c>
      <c r="B10821" s="1" t="s">
        <v>10737</v>
      </c>
      <c r="C10821" t="str">
        <f>IFERROR(__xludf.DUMMYFUNCTION("GOOGLETRANSLATE(B10821, ""zh"", ""en"")"),"Hand wash quality is generally found the time to have a little fade, quality in general.")</f>
        <v>Hand wash quality is generally found the time to have a little fade, quality in general.</v>
      </c>
    </row>
    <row r="10822">
      <c r="A10822" s="1">
        <v>3.0</v>
      </c>
      <c r="B10822" s="1" t="s">
        <v>10738</v>
      </c>
      <c r="C10822" t="str">
        <f>IFERROR(__xludf.DUMMYFUNCTION("GOOGLETRANSLATE(B10822, ""zh"", ""en"")"),"Qiu Yi fabrics like Qiuyi deformable fabric, the more easily deformable, is not recommended")</f>
        <v>Qiu Yi fabrics like Qiuyi deformable fabric, the more easily deformable, is not recommended</v>
      </c>
    </row>
    <row r="10823">
      <c r="A10823" s="1">
        <v>1.0</v>
      </c>
      <c r="B10823" s="1" t="s">
        <v>10739</v>
      </c>
      <c r="C10823" t="str">
        <f>IFERROR(__xludf.DUMMYFUNCTION("GOOGLETRANSLATE(B10823, ""zh"", ""en"")"),"Maternity Pants Maternity Pants is simply nothing that a good comfortable feeling once did not want to wear")</f>
        <v>Maternity Pants Maternity Pants is simply nothing that a good comfortable feeling once did not want to wear</v>
      </c>
    </row>
    <row r="10824">
      <c r="A10824" s="1">
        <v>1.0</v>
      </c>
      <c r="B10824" s="1" t="s">
        <v>10740</v>
      </c>
      <c r="C10824" t="str">
        <f>IFERROR(__xludf.DUMMYFUNCTION("GOOGLETRANSLATE(B10824, ""zh"", ""en"")"),"Box broken shipped over from England commodity, not even a box, a bag sets directly send over, and after receiving the open and found the box has been completely squeezed broken. Amazon really getting the Low.")</f>
        <v>Box broken shipped over from England commodity, not even a box, a bag sets directly send over, and after receiving the open and found the box has been completely squeezed broken. Amazon really getting the Low.</v>
      </c>
    </row>
    <row r="10825">
      <c r="A10825" s="1">
        <v>4.0</v>
      </c>
      <c r="B10825" s="1" t="s">
        <v>10741</v>
      </c>
      <c r="C10825" t="str">
        <f>IFERROR(__xludf.DUMMYFUNCTION("GOOGLETRANSLATE(B10825, ""zh"", ""en"")"),"Very comfortable to wear, the price is right. Buy my wife, and my wife is very satisfied with the price of the same commodity but a lot cheaper than the store, the arrival time is acceptable.")</f>
        <v>Very comfortable to wear, the price is right. Buy my wife, and my wife is very satisfied with the price of the same commodity but a lot cheaper than the store, the arrival time is acceptable.</v>
      </c>
    </row>
    <row r="10826">
      <c r="A10826" s="1">
        <v>4.0</v>
      </c>
      <c r="B10826" s="1" t="s">
        <v>10742</v>
      </c>
      <c r="C10826" t="str">
        <f>IFERROR(__xludf.DUMMYFUNCTION("GOOGLETRANSLATE(B10826, ""zh"", ""en"")"),"No pictures look good but okay thread a lot, not very fine details, can Chuan Chuan, cost-effective")</f>
        <v>No pictures look good but okay thread a lot, not very fine details, can Chuan Chuan, cost-effective</v>
      </c>
    </row>
    <row r="10827">
      <c r="A10827" s="1">
        <v>4.0</v>
      </c>
      <c r="B10827" s="1" t="s">
        <v>10743</v>
      </c>
      <c r="C10827" t="str">
        <f>IFERROR(__xludf.DUMMYFUNCTION("GOOGLETRANSLATE(B10827, ""zh"", ""en"")"),"Pretty standard size, or to vote for 32 175 long pants suitable elastic waist, 86 waist height chose 175 32 * 30, waist fit, the pants length. . I bought a 32 * 32.")</f>
        <v>Pretty standard size, or to vote for 32 175 long pants suitable elastic waist, 86 waist height chose 175 32 * 30, waist fit, the pants length. . I bought a 32 * 32.</v>
      </c>
    </row>
    <row r="10828">
      <c r="A10828" s="1">
        <v>4.0</v>
      </c>
      <c r="B10828" s="1" t="s">
        <v>10744</v>
      </c>
      <c r="C10828" t="str">
        <f>IFERROR(__xludf.DUMMYFUNCTION("GOOGLETRANSLATE(B10828, ""zh"", ""en"")"),"Very strong well warm in winter to the Northeast also hold live")</f>
        <v>Very strong well warm in winter to the Northeast also hold live</v>
      </c>
    </row>
    <row r="10829">
      <c r="A10829" s="1">
        <v>4.0</v>
      </c>
      <c r="B10829" s="1" t="s">
        <v>10745</v>
      </c>
      <c r="C10829" t="str">
        <f>IFERROR(__xludf.DUMMYFUNCTION("GOOGLETRANSLATE(B10829, ""zh"", ""en"")"),"Buttons, buttons other good, is finicky buttons, not always press on. 188cm, 120kg buy is 3xl.")</f>
        <v>Buttons, buttons other good, is finicky buttons, not always press on. 188cm, 120kg buy is 3xl.</v>
      </c>
    </row>
    <row r="10830">
      <c r="A10830" s="1">
        <v>5.0</v>
      </c>
      <c r="B10830" s="1" t="s">
        <v>10746</v>
      </c>
      <c r="C10830" t="str">
        <f>IFERROR(__xludf.DUMMYFUNCTION("GOOGLETRANSLATE(B10830, ""zh"", ""en"")"),"When good walking accurate, looks good! Hope durable")</f>
        <v>When good walking accurate, looks good! Hope durable</v>
      </c>
    </row>
    <row r="10831">
      <c r="A10831" s="1">
        <v>5.0</v>
      </c>
      <c r="B10831" s="1" t="s">
        <v>10747</v>
      </c>
      <c r="C10831" t="str">
        <f>IFERROR(__xludf.DUMMYFUNCTION("GOOGLETRANSLATE(B10831, ""zh"", ""en"")"),"Thank you, thank you very beautiful cup")</f>
        <v>Thank you, thank you very beautiful cup</v>
      </c>
    </row>
    <row r="10832">
      <c r="A10832" s="1">
        <v>5.0</v>
      </c>
      <c r="B10832" s="1" t="s">
        <v>10748</v>
      </c>
      <c r="C10832" t="str">
        <f>IFERROR(__xludf.DUMMYFUNCTION("GOOGLETRANSLATE(B10832, ""zh"", ""en"")"),"Like 158.s code, very fit, good-looking")</f>
        <v>Like 158.s code, very fit, good-looking</v>
      </c>
    </row>
    <row r="10833">
      <c r="A10833" s="1">
        <v>5.0</v>
      </c>
      <c r="B10833" s="1" t="s">
        <v>10749</v>
      </c>
      <c r="C10833" t="str">
        <f>IFERROR(__xludf.DUMMYFUNCTION("GOOGLETRANSLATE(B10833, ""zh"", ""en"")"),"When using insert it to USB3.1 interfaces, or can not fully experience this special place special edition! ! ! Well worth buying an external 3.5-inch mobile hard disk, volume point of view of personal preference, I felt not so big. In fact, the sides can "&amp;"be placed upright, so basically the space problem is not so great. Remind friends, this data line interface device must be used with a USB3.1 interface, or with USB3.0 interfaces that rate probably only about 20M, if it 3.1USB rate will remain at 100M, hi"&amp;"gh time can to 170M. So 3.0 is really tasteless.")</f>
        <v>When using insert it to USB3.1 interfaces, or can not fully experience this special place special edition! ! ! Well worth buying an external 3.5-inch mobile hard disk, volume point of view of personal preference, I felt not so big. In fact, the sides can be placed upright, so basically the space problem is not so great. Remind friends, this data line interface device must be used with a USB3.1 interface, or with USB3.0 interfaces that rate probably only about 20M, if it 3.1USB rate will remain at 100M, high time can to 170M. So 3.0 is really tasteless.</v>
      </c>
    </row>
    <row r="10834">
      <c r="A10834" s="1">
        <v>5.0</v>
      </c>
      <c r="B10834" s="1" t="s">
        <v>10750</v>
      </c>
      <c r="C10834" t="str">
        <f>IFERROR(__xludf.DUMMYFUNCTION("GOOGLETRANSLATE(B10834, ""zh"", ""en"")"),"Can be pretty good, is the beginning do not know how to tune week, So now is not the original tune calendar between 21:00 and 3:00. This will hurt the table.")</f>
        <v>Can be pretty good, is the beginning do not know how to tune week, So now is not the original tune calendar between 21:00 and 3:00. This will hurt the table.</v>
      </c>
    </row>
    <row r="10835">
      <c r="A10835" s="1">
        <v>5.0</v>
      </c>
      <c r="B10835" s="1" t="s">
        <v>10751</v>
      </c>
      <c r="C10835" t="str">
        <f>IFERROR(__xludf.DUMMYFUNCTION("GOOGLETRANSLATE(B10835, ""zh"", ""en"")"),"Winter wear a little short flexible, winter jacket to wear Qiuku feel nothing. The disadvantage is a little short, other models 30 long pants can cover the foot, this little hanging hanging, it is recommended to buy longer wear or hot days.")</f>
        <v>Winter wear a little short flexible, winter jacket to wear Qiuku feel nothing. The disadvantage is a little short, other models 30 long pants can cover the foot, this little hanging hanging, it is recommended to buy longer wear or hot days.</v>
      </c>
    </row>
    <row r="10836">
      <c r="A10836" s="1">
        <v>5.0</v>
      </c>
      <c r="B10836" s="1" t="s">
        <v>10752</v>
      </c>
      <c r="C10836" t="str">
        <f>IFERROR(__xludf.DUMMYFUNCTION("GOOGLETRANSLATE(B10836, ""zh"", ""en"")"),"High cost and comfortable to wear, looking very like the elderly, but passed up almost wild, very tide, navy also good-looking, small size is definitely the music, until the sea Amoy ecco, my personal feeling, it's 45 yards Clarks shoes, possibly more tha"&amp;"n 44 yards of ecco I always wear around still less than half yards, with almost 44 yards Timberland, shoes like sneakers, I bought Asics 43 yards wide foot parcel is very perfect, but 43 yards shoes a little pinch, usually 44 yards, but fortunately have b"&amp;"een scouring the sea experience, would rather buy a brand for the first time to pick up a big pick 45 yards to wear shoes into their music a little effort, if it is 44 yards might tragedy the")</f>
        <v>High cost and comfortable to wear, looking very like the elderly, but passed up almost wild, very tide, navy also good-looking, small size is definitely the music, until the sea Amoy ecco, my personal feeling, it's 45 yards Clarks shoes, possibly more than 44 yards of ecco I always wear around still less than half yards, with almost 44 yards Timberland, shoes like sneakers, I bought Asics 43 yards wide foot parcel is very perfect, but 43 yards shoes a little pinch, usually 44 yards, but fortunately have been scouring the sea experience, would rather buy a brand for the first time to pick up a big pick 45 yards to wear shoes into their music a little effort, if it is 44 yards might tragedy the</v>
      </c>
    </row>
    <row r="10837">
      <c r="A10837" s="1">
        <v>5.0</v>
      </c>
      <c r="B10837" s="1" t="s">
        <v>10753</v>
      </c>
      <c r="C10837" t="str">
        <f>IFERROR(__xludf.DUMMYFUNCTION("GOOGLETRANSLATE(B10837, ""zh"", ""en"")"),"Good use is very good, very soft upper part, below the pocket and three-dimensional, easy to use, easy to use than personally feel that the money babyb. Color is also very fond of the baby does not resist ~")</f>
        <v>Good use is very good, very soft upper part, below the pocket and three-dimensional, easy to use, easy to use than personally feel that the money babyb. Color is also very fond of the baby does not resist ~</v>
      </c>
    </row>
    <row r="10838">
      <c r="A10838" s="1">
        <v>5.0</v>
      </c>
      <c r="B10838" s="1" t="s">
        <v>10754</v>
      </c>
      <c r="C10838" t="str">
        <f>IFERROR(__xludf.DUMMYFUNCTION("GOOGLETRANSLATE(B10838, ""zh"", ""en"")"),"More suitable bag packaging very carefully! Received surprised, Snitch quality okay. It can work, slightly flawed. I believe more suitable for the Bag!")</f>
        <v>More suitable bag packaging very carefully! Received surprised, Snitch quality okay. It can work, slightly flawed. I believe more suitable for the Bag!</v>
      </c>
    </row>
    <row r="10839">
      <c r="A10839" s="1">
        <v>5.0</v>
      </c>
      <c r="B10839" s="1" t="s">
        <v>10755</v>
      </c>
      <c r="C10839" t="str">
        <f>IFERROR(__xludf.DUMMYFUNCTION("GOOGLETRANSLATE(B10839, ""zh"", ""en"")"),"Small insulation is very good, with the smallest capacity, good thermal insulation")</f>
        <v>Small insulation is very good, with the smallest capacity, good thermal insulation</v>
      </c>
    </row>
    <row r="10840">
      <c r="A10840" s="1">
        <v>5.0</v>
      </c>
      <c r="B10840" s="1" t="s">
        <v>10756</v>
      </c>
      <c r="C10840" t="str">
        <f>IFERROR(__xludf.DUMMYFUNCTION("GOOGLETRANSLATE(B10840, ""zh"", ""en"")"),"Praise, worthy of recommendation. Advantages: lightweight shoes, the quality of none, very good, comfortable to wear, do not cover their feet. Cons: Perhaps because the soles are not a whole of reasons, this shoe insoles do tend to be hard, and shoes slim"&amp;".")</f>
        <v>Praise, worthy of recommendation. Advantages: lightweight shoes, the quality of none, very good, comfortable to wear, do not cover their feet. Cons: Perhaps because the soles are not a whole of reasons, this shoe insoles do tend to be hard, and shoes slim.</v>
      </c>
    </row>
    <row r="10841">
      <c r="A10841" s="1">
        <v>5.0</v>
      </c>
      <c r="B10841" s="1" t="s">
        <v>10757</v>
      </c>
      <c r="C10841" t="str">
        <f>IFERROR(__xludf.DUMMYFUNCTION("GOOGLETRANSLATE(B10841, ""zh"", ""en"")"),"Inexpensive recommended brand of quality control is very good quality than the domestic Leverage code feeling slightly more than half the price of the real benefits of the store code 2000 + 900 AIU hand Value")</f>
        <v>Inexpensive recommended brand of quality control is very good quality than the domestic Leverage code feeling slightly more than half the price of the real benefits of the store code 2000 + 900 AIU hand Value</v>
      </c>
    </row>
    <row r="10842">
      <c r="A10842" s="1">
        <v>5.0</v>
      </c>
      <c r="B10842" s="1" t="s">
        <v>10758</v>
      </c>
      <c r="C10842" t="str">
        <f>IFERROR(__xludf.DUMMYFUNCTION("GOOGLETRANSLATE(B10842, ""zh"", ""en"")"),"Very suitable husband always buys abroad and CK underwear, big and small, this just fine.")</f>
        <v>Very suitable husband always buys abroad and CK underwear, big and small, this just fine.</v>
      </c>
    </row>
    <row r="10843">
      <c r="A10843" s="1">
        <v>5.0</v>
      </c>
      <c r="B10843" s="1" t="s">
        <v>10759</v>
      </c>
      <c r="C10843" t="str">
        <f>IFERROR(__xludf.DUMMYFUNCTION("GOOGLETRANSLATE(B10843, ""zh"", ""en"")"),"7.5US like 38 yards to wear just the right size, comfortable look good!")</f>
        <v>7.5US like 38 yards to wear just the right size, comfortable look good!</v>
      </c>
    </row>
    <row r="10844">
      <c r="A10844" s="1">
        <v>5.0</v>
      </c>
      <c r="B10844" s="1" t="s">
        <v>10760</v>
      </c>
      <c r="C10844" t="str">
        <f>IFERROR(__xludf.DUMMYFUNCTION("GOOGLETRANSLATE(B10844, ""zh"", ""en"")"),"Size m code size is 175/92, hoping to help partners to buy back")</f>
        <v>Size m code size is 175/92, hoping to help partners to buy back</v>
      </c>
    </row>
    <row r="10845">
      <c r="A10845" s="1">
        <v>5.0</v>
      </c>
      <c r="B10845" s="1" t="s">
        <v>10761</v>
      </c>
      <c r="C10845" t="str">
        <f>IFERROR(__xludf.DUMMYFUNCTION("GOOGLETRANSLATE(B10845, ""zh"", ""en"")"),"Doshisha mug to mug her daughter buy, she likes. Clear glass, insulation, compact, good-looking style.")</f>
        <v>Doshisha mug to mug her daughter buy, she likes. Clear glass, insulation, compact, good-looking style.</v>
      </c>
    </row>
    <row r="10846">
      <c r="A10846" s="1">
        <v>5.0</v>
      </c>
      <c r="B10846" s="1" t="s">
        <v>10762</v>
      </c>
      <c r="C10846" t="str">
        <f>IFERROR(__xludf.DUMMYFUNCTION("GOOGLETRANSLATE(B10846, ""zh"", ""en"")"),"Very very light, very good quality, fast shipping, very safe. Use good effect")</f>
        <v>Very very light, very good quality, fast shipping, very safe. Use good effect</v>
      </c>
    </row>
    <row r="10847">
      <c r="A10847" s="1">
        <v>5.0</v>
      </c>
      <c r="B10847" s="1" t="s">
        <v>10763</v>
      </c>
      <c r="C10847" t="str">
        <f>IFERROR(__xludf.DUMMYFUNCTION("GOOGLETRANSLATE(B10847, ""zh"", ""en"")"),"Then preheated cup cooked bored very good, just the right size. Stew beaker premise, rice-rich food must first warm-up and then placed in a beaker stew ,, the most convenient way is to use the microwave a minute or two cups then have to warm-up.")</f>
        <v>Then preheated cup cooked bored very good, just the right size. Stew beaker premise, rice-rich food must first warm-up and then placed in a beaker stew ,, the most convenient way is to use the microwave a minute or two cups then have to warm-up.</v>
      </c>
    </row>
    <row r="10848">
      <c r="A10848" s="1">
        <v>5.0</v>
      </c>
      <c r="B10848" s="1" t="s">
        <v>10764</v>
      </c>
      <c r="C10848" t="str">
        <f>IFERROR(__xludf.DUMMYFUNCTION("GOOGLETRANSLATE(B10848, ""zh"", ""en"")"),"Like super pretty delicate and lovely, very texture")</f>
        <v>Like super pretty delicate and lovely, very texture</v>
      </c>
    </row>
    <row r="10849">
      <c r="A10849" s="1">
        <v>5.0</v>
      </c>
      <c r="B10849" s="1" t="s">
        <v>10765</v>
      </c>
      <c r="C10849" t="str">
        <f>IFERROR(__xludf.DUMMYFUNCTION("GOOGLETRANSLATE(B10849, ""zh"", ""en"")"),"Good shopping very fit, good workmanship, style is what you want, even though prices have gone up but the purchase value, because they like it boots.")</f>
        <v>Good shopping very fit, good workmanship, style is what you want, even though prices have gone up but the purchase value, because they like it boots.</v>
      </c>
    </row>
    <row r="10850">
      <c r="A10850" s="1">
        <v>5.0</v>
      </c>
      <c r="B10850" s="1" t="s">
        <v>10766</v>
      </c>
      <c r="C10850" t="str">
        <f>IFERROR(__xludf.DUMMYFUNCTION("GOOGLETRANSLATE(B10850, ""zh"", ""en"")"),"ecco the right size and comfort")</f>
        <v>ecco the right size and comfort</v>
      </c>
    </row>
    <row r="10851">
      <c r="A10851" s="1">
        <v>5.0</v>
      </c>
      <c r="B10851" s="1" t="s">
        <v>10767</v>
      </c>
      <c r="C10851" t="str">
        <f>IFERROR(__xludf.DUMMYFUNCTION("GOOGLETRANSLATE(B10851, ""zh"", ""en"")"),"satisfaction! ! Ruthless good, kids love! !")</f>
        <v>satisfaction! ! Ruthless good, kids love! !</v>
      </c>
    </row>
    <row r="10852">
      <c r="A10852" s="1">
        <v>2.0</v>
      </c>
      <c r="B10852" s="1" t="s">
        <v>10768</v>
      </c>
      <c r="C10852" t="str">
        <f>IFERROR(__xludf.DUMMYFUNCTION("GOOGLETRANSLATE(B10852, ""zh"", ""en"")"),"CK jeans one day in advance to, and not very thick pants, spring and autumn wear, not made in china. It should not be tax-free zone goods.")</f>
        <v>CK jeans one day in advance to, and not very thick pants, spring and autumn wear, not made in china. It should not be tax-free zone goods.</v>
      </c>
    </row>
    <row r="10853">
      <c r="A10853" s="1">
        <v>3.0</v>
      </c>
      <c r="B10853" s="1" t="s">
        <v>10769</v>
      </c>
      <c r="C10853" t="str">
        <f>IFERROR(__xludf.DUMMYFUNCTION("GOOGLETRANSLATE(B10853, ""zh"", ""en"")"),"Japan, Europe and even the clothes yardage chase are related to the excessive length hem. Ugh! To change. I height 1.72 m, weight 78 kg, L code")</f>
        <v>Japan, Europe and even the clothes yardage chase are related to the excessive length hem. Ugh! To change. I height 1.72 m, weight 78 kg, L code</v>
      </c>
    </row>
    <row r="10854">
      <c r="A10854" s="1">
        <v>3.0</v>
      </c>
      <c r="B10854" s="1" t="s">
        <v>10770</v>
      </c>
      <c r="C10854" t="str">
        <f>IFERROR(__xludf.DUMMYFUNCTION("GOOGLETRANSLATE(B10854, ""zh"", ""en"")"),"Pants more thread fade, wash also fade, are washed 2 times.")</f>
        <v>Pants more thread fade, wash also fade, are washed 2 times.</v>
      </c>
    </row>
    <row r="10855">
      <c r="A10855" s="1">
        <v>1.0</v>
      </c>
      <c r="B10855" s="1" t="s">
        <v>10771</v>
      </c>
      <c r="C10855" t="str">
        <f>IFERROR(__xludf.DUMMYFUNCTION("GOOGLETRANSLATE(B10855, ""zh"", ""en"")"),"no power? Or poor quality? Order No. 16 of November 21 under, something has not arrived, it cut prices by nearly 60 yuan. December 5,6 received something. It is 17 February 10, watch last night suddenly not go. Feeling like a dead look. Is the battery in "&amp;"the hands of the customer can only use it for 2 months?")</f>
        <v>no power? Or poor quality? Order No. 16 of November 21 under, something has not arrived, it cut prices by nearly 60 yuan. December 5,6 received something. It is 17 February 10, watch last night suddenly not go. Feeling like a dead look. Is the battery in the hands of the customer can only use it for 2 months?</v>
      </c>
    </row>
    <row r="10856">
      <c r="A10856" s="1">
        <v>1.0</v>
      </c>
      <c r="B10856" s="1" t="s">
        <v>10772</v>
      </c>
      <c r="C10856" t="str">
        <f>IFERROR(__xludf.DUMMYFUNCTION("GOOGLETRANSLATE(B10856, ""zh"", ""en"")"),"It does not recognize the sea Amoy first encountered defective computer does not recognize, tried various methods are useless, very disappointed, but nevertheless I can stop the sea Amoy heart.")</f>
        <v>It does not recognize the sea Amoy first encountered defective computer does not recognize, tried various methods are useless, very disappointed, but nevertheless I can stop the sea Amoy heart.</v>
      </c>
    </row>
    <row r="10857">
      <c r="A10857" s="1">
        <v>1.0</v>
      </c>
      <c r="B10857" s="1" t="s">
        <v>10773</v>
      </c>
      <c r="C10857" t="str">
        <f>IFERROR(__xludf.DUMMYFUNCTION("GOOGLETRANSLATE(B10857, ""zh"", ""en"")"),"Good fork spoon baby to spend, and the main fancy fork spoon is safe")</f>
        <v>Good fork spoon baby to spend, and the main fancy fork spoon is safe</v>
      </c>
    </row>
    <row r="10858">
      <c r="A10858" s="1">
        <v>4.0</v>
      </c>
      <c r="B10858" s="1" t="s">
        <v>10774</v>
      </c>
      <c r="C10858" t="str">
        <f>IFERROR(__xludf.DUMMYFUNCTION("GOOGLETRANSLATE(B10858, ""zh"", ""en"")"),"1 good quality, pictures have color, greenish-kind 2, version 3 is relatively long, the quality is good, basically no thread")</f>
        <v>1 good quality, pictures have color, greenish-kind 2, version 3 is relatively long, the quality is good, basically no thread</v>
      </c>
    </row>
    <row r="10859">
      <c r="A10859" s="1">
        <v>4.0</v>
      </c>
      <c r="B10859" s="1" t="s">
        <v>10775</v>
      </c>
      <c r="C10859" t="str">
        <f>IFERROR(__xludf.DUMMYFUNCTION("GOOGLETRANSLATE(B10859, ""zh"", ""en"")"),"About these shoes 6uk corresponds 245cm, ankle slightly tightened. Thin cashmere, good quality, did not see the water marks. Just do not like the color.")</f>
        <v>About these shoes 6uk corresponds 245cm, ankle slightly tightened. Thin cashmere, good quality, did not see the water marks. Just do not like the color.</v>
      </c>
    </row>
    <row r="10860">
      <c r="A10860" s="1">
        <v>4.0</v>
      </c>
      <c r="B10860" s="1" t="s">
        <v>10776</v>
      </c>
      <c r="C10860" t="str">
        <f>IFERROR(__xludf.DUMMYFUNCTION("GOOGLETRANSLATE(B10860, ""zh"", ""en"")"),"Easy to carry good mug, easy to carry, the insulation effect Ye Hao!")</f>
        <v>Easy to carry good mug, easy to carry, the insulation effect Ye Hao!</v>
      </c>
    </row>
    <row r="10861">
      <c r="A10861" s="1">
        <v>4.0</v>
      </c>
      <c r="B10861" s="1" t="s">
        <v>10777</v>
      </c>
      <c r="C10861" t="str">
        <f>IFERROR(__xludf.DUMMYFUNCTION("GOOGLETRANSLATE(B10861, ""zh"", ""en"")"),"No taste, the overall feeling good except there is no other plastic packaging are good, that is, at the mall to buy is plastic up, this would not, compare also did not find anything different, the overall good there is no taste.")</f>
        <v>No taste, the overall feeling good except there is no other plastic packaging are good, that is, at the mall to buy is plastic up, this would not, compare also did not find anything different, the overall good there is no taste.</v>
      </c>
    </row>
    <row r="10862">
      <c r="A10862" s="1">
        <v>4.0</v>
      </c>
      <c r="B10862" s="1" t="s">
        <v>10778</v>
      </c>
      <c r="C10862" t="str">
        <f>IFERROR(__xludf.DUMMYFUNCTION("GOOGLETRANSLATE(B10862, ""zh"", ""en"")"),"Cortical good buy size 39, indeed too large, has bought a small a yard in front of a little spare, but in winter you can wear")</f>
        <v>Cortical good buy size 39, indeed too large, has bought a small a yard in front of a little spare, but in winter you can wear</v>
      </c>
    </row>
    <row r="10863">
      <c r="A10863" s="1">
        <v>5.0</v>
      </c>
      <c r="B10863" s="1" t="s">
        <v>10779</v>
      </c>
      <c r="C10863" t="str">
        <f>IFERROR(__xludf.DUMMYFUNCTION("GOOGLETRANSLATE(B10863, ""zh"", ""en"")"),"Looks ugly but comfortable style a bit like safety shoes, no photos look good to wear in the feet was quite comfortable, it is ugly")</f>
        <v>Looks ugly but comfortable style a bit like safety shoes, no photos look good to wear in the feet was quite comfortable, it is ugly</v>
      </c>
    </row>
    <row r="10864">
      <c r="A10864" s="1">
        <v>5.0</v>
      </c>
      <c r="B10864" s="1" t="s">
        <v>10780</v>
      </c>
      <c r="C10864" t="str">
        <f>IFERROR(__xludf.DUMMYFUNCTION("GOOGLETRANSLATE(B10864, ""zh"", ""en"")"),"Very comfortable to wear Clarks slightly smaller than usual, a little bit. Put on no significant bloated, but very move soil. Shoelace easy to open. Always comfortable. In addition upper than imagined high, it belongs to the boots.")</f>
        <v>Very comfortable to wear Clarks slightly smaller than usual, a little bit. Put on no significant bloated, but very move soil. Shoelace easy to open. Always comfortable. In addition upper than imagined high, it belongs to the boots.</v>
      </c>
    </row>
    <row r="10865">
      <c r="A10865" s="1">
        <v>5.0</v>
      </c>
      <c r="B10865" s="1" t="s">
        <v>10781</v>
      </c>
      <c r="C10865" t="str">
        <f>IFERROR(__xludf.DUMMYFUNCTION("GOOGLETRANSLATE(B10865, ""zh"", ""en"")"),"A little odor previously bought the same brand of bananas gutta-percha, very good, but this time there are shares of octopus gutta-percha rubber smell, but the next check is genuine, quality and price does not match, only clears up, loose powder taste giv"&amp;"e your baby with the")</f>
        <v>A little odor previously bought the same brand of bananas gutta-percha, very good, but this time there are shares of octopus gutta-percha rubber smell, but the next check is genuine, quality and price does not match, only clears up, loose powder taste give your baby with the</v>
      </c>
    </row>
    <row r="10866">
      <c r="A10866" s="1">
        <v>5.0</v>
      </c>
      <c r="B10866" s="1" t="s">
        <v>10782</v>
      </c>
      <c r="C10866" t="str">
        <f>IFERROR(__xludf.DUMMYFUNCTION("GOOGLETRANSLATE(B10866, ""zh"", ""en"")"),"The actual color is a bit too large but shallow comfort can also arrive week my height 175 weight 80KG wearing a little big L")</f>
        <v>The actual color is a bit too large but shallow comfort can also arrive week my height 175 weight 80KG wearing a little big L</v>
      </c>
    </row>
    <row r="10867">
      <c r="A10867" s="1">
        <v>5.0</v>
      </c>
      <c r="B10867" s="1" t="s">
        <v>10783</v>
      </c>
      <c r="C10867" t="str">
        <f>IFERROR(__xludf.DUMMYFUNCTION("GOOGLETRANSLATE(B10867, ""zh"", ""en"")"),"Good quality clothes, quality feel good, soft, speed of delivery is also very fast, nice")</f>
        <v>Good quality clothes, quality feel good, soft, speed of delivery is also very fast, nice</v>
      </c>
    </row>
    <row r="10868">
      <c r="A10868" s="1">
        <v>5.0</v>
      </c>
      <c r="B10868" s="1" t="s">
        <v>10784</v>
      </c>
      <c r="C10868" t="str">
        <f>IFERROR(__xludf.DUMMYFUNCTION("GOOGLETRANSLATE(B10868, ""zh"", ""en"")"),"Suitable size of the right size, fast speed stream, arrival five days. Height 181, weight 71kg, buy M code, suitable.")</f>
        <v>Suitable size of the right size, fast speed stream, arrival five days. Height 181, weight 71kg, buy M code, suitable.</v>
      </c>
    </row>
    <row r="10869">
      <c r="A10869" s="1">
        <v>5.0</v>
      </c>
      <c r="B10869" s="1" t="s">
        <v>10785</v>
      </c>
      <c r="C10869" t="str">
        <f>IFERROR(__xludf.DUMMYFUNCTION("GOOGLETRANSLATE(B10869, ""zh"", ""en"")"),"The first shop is also good, the price can buy good quality, should be able to.")</f>
        <v>The first shop is also good, the price can buy good quality, should be able to.</v>
      </c>
    </row>
    <row r="10870">
      <c r="A10870" s="1">
        <v>5.0</v>
      </c>
      <c r="B10870" s="1" t="s">
        <v>10786</v>
      </c>
      <c r="C10870" t="str">
        <f>IFERROR(__xludf.DUMMYFUNCTION("GOOGLETRANSLATE(B10870, ""zh"", ""en"")"),"Business is booming very talk about credibility, trusted brand")</f>
        <v>Business is booming very talk about credibility, trusted brand</v>
      </c>
    </row>
    <row r="10871">
      <c r="A10871" s="1">
        <v>5.0</v>
      </c>
      <c r="B10871" s="1" t="s">
        <v>10787</v>
      </c>
      <c r="C10871" t="str">
        <f>IFERROR(__xludf.DUMMYFUNCTION("GOOGLETRANSLATE(B10871, ""zh"", ""en"")"),"Attractive Attractive looking very good and so is getting cold wear")</f>
        <v>Attractive Attractive looking very good and so is getting cold wear</v>
      </c>
    </row>
    <row r="10872">
      <c r="A10872" s="1">
        <v>5.0</v>
      </c>
      <c r="B10872" s="1" t="s">
        <v>10788</v>
      </c>
      <c r="C10872" t="str">
        <f>IFERROR(__xludf.DUMMYFUNCTION("GOOGLETRANSLATE(B10872, ""zh"", ""en"")"),"Yardage is ideal for very like the style, the texture is very comfortable! Work is also good, high cost!")</f>
        <v>Yardage is ideal for very like the style, the texture is very comfortable! Work is also good, high cost!</v>
      </c>
    </row>
    <row r="10873">
      <c r="A10873" s="1">
        <v>5.0</v>
      </c>
      <c r="B10873" s="1" t="s">
        <v>10789</v>
      </c>
      <c r="C10873" t="str">
        <f>IFERROR(__xludf.DUMMYFUNCTION("GOOGLETRANSLATE(B10873, ""zh"", ""en"")"),"Value for money buy on nas, good, I hope $ 79 knife can be a normal delivery: D")</f>
        <v>Value for money buy on nas, good, I hope $ 79 knife can be a normal delivery: D</v>
      </c>
    </row>
    <row r="10874">
      <c r="A10874" s="1">
        <v>5.0</v>
      </c>
      <c r="B10874" s="1" t="s">
        <v>10790</v>
      </c>
      <c r="C10874" t="str">
        <f>IFERROR(__xludf.DUMMYFUNCTION("GOOGLETRANSLATE(B10874, ""zh"", ""en"")"),"Up channeling the chest pad a little up channeling, in addition to this quite comfortable")</f>
        <v>Up channeling the chest pad a little up channeling, in addition to this quite comfortable</v>
      </c>
    </row>
    <row r="10875">
      <c r="A10875" s="1">
        <v>5.0</v>
      </c>
      <c r="B10875" s="1" t="s">
        <v>10791</v>
      </c>
      <c r="C10875" t="str">
        <f>IFERROR(__xludf.DUMMYFUNCTION("GOOGLETRANSLATE(B10875, ""zh"", ""en"")"),"Too good for hot days when underwear, to my")</f>
        <v>Too good for hot days when underwear, to my</v>
      </c>
    </row>
    <row r="10876">
      <c r="A10876" s="1">
        <v>5.0</v>
      </c>
      <c r="B10876" s="1" t="s">
        <v>10792</v>
      </c>
      <c r="C10876" t="str">
        <f>IFERROR(__xludf.DUMMYFUNCTION("GOOGLETRANSLATE(B10876, ""zh"", ""en"")"),"Root Nichia buy exactly the same, the focus is cheaper than the price of a wash, then went on Amazon to buy a root Nichia buy exactly the same, the focus is cheaper than the price of a wash, since you bought in the Amazon")</f>
        <v>Root Nichia buy exactly the same, the focus is cheaper than the price of a wash, then went on Amazon to buy a root Nichia buy exactly the same, the focus is cheaper than the price of a wash, since you bought in the Amazon</v>
      </c>
    </row>
    <row r="10877">
      <c r="A10877" s="1">
        <v>5.0</v>
      </c>
      <c r="B10877" s="1" t="s">
        <v>10793</v>
      </c>
      <c r="C10877" t="str">
        <f>IFERROR(__xludf.DUMMYFUNCTION("GOOGLETRANSLATE(B10877, ""zh"", ""en"")"),"Very fit, my wife bought my wife liked very fit, my wife bought, my wife likes")</f>
        <v>Very fit, my wife bought my wife liked very fit, my wife bought, my wife likes</v>
      </c>
    </row>
    <row r="10878">
      <c r="A10878" s="1">
        <v>5.0</v>
      </c>
      <c r="B10878" s="1" t="s">
        <v>10794</v>
      </c>
      <c r="C10878" t="str">
        <f>IFERROR(__xludf.DUMMYFUNCTION("GOOGLETRANSLATE(B10878, ""zh"", ""en"")"),"Very satisfied with super good quality, great texture, not yet installed, I do not know how to shower")</f>
        <v>Very satisfied with super good quality, great texture, not yet installed, I do not know how to shower</v>
      </c>
    </row>
    <row r="10879">
      <c r="A10879" s="1">
        <v>5.0</v>
      </c>
      <c r="B10879" s="1" t="s">
        <v>10795</v>
      </c>
      <c r="C10879" t="str">
        <f>IFERROR(__xludf.DUMMYFUNCTION("GOOGLETRANSLATE(B10879, ""zh"", ""en"")"),"Beautiful and easy to use fast delivery, only the United Kingdom to Beijing more than seven days to get the goods, and fast delivery, beauty products, using them is also good, a total of nine colors, but only black spot, quite like this green, but this co"&amp;"lor is also good, recommended")</f>
        <v>Beautiful and easy to use fast delivery, only the United Kingdom to Beijing more than seven days to get the goods, and fast delivery, beauty products, using them is also good, a total of nine colors, but only black spot, quite like this green, but this color is also good, recommended</v>
      </c>
    </row>
    <row r="10880">
      <c r="A10880" s="1">
        <v>5.0</v>
      </c>
      <c r="B10880" s="1" t="s">
        <v>10796</v>
      </c>
      <c r="C10880" t="str">
        <f>IFERROR(__xludf.DUMMYFUNCTION("GOOGLETRANSLATE(B10880, ""zh"", ""en"")"),"Small volume, product is very good at 3.5 with power supply mobile hard disk, the volume is very good. Price is also good, just to keep the movie. Feel than fly with power point without power.")</f>
        <v>Small volume, product is very good at 3.5 with power supply mobile hard disk, the volume is very good. Price is also good, just to keep the movie. Feel than fly with power point without power.</v>
      </c>
    </row>
    <row r="10881">
      <c r="A10881" s="1">
        <v>5.0</v>
      </c>
      <c r="B10881" s="1" t="s">
        <v>10797</v>
      </c>
      <c r="C10881" t="str">
        <f>IFERROR(__xludf.DUMMYFUNCTION("GOOGLETRANSLATE(B10881, ""zh"", ""en"")"),"Very good price is really cheap, very good, but also to buy in")</f>
        <v>Very good price is really cheap, very good, but also to buy in</v>
      </c>
    </row>
    <row r="10882">
      <c r="A10882" s="1">
        <v>5.0</v>
      </c>
      <c r="B10882" s="1" t="s">
        <v>10798</v>
      </c>
      <c r="C10882" t="str">
        <f>IFERROR(__xludf.DUMMYFUNCTION("GOOGLETRANSLATE(B10882, ""zh"", ""en"")"),"Like really, really like it, especially cute")</f>
        <v>Like really, really like it, especially cute</v>
      </c>
    </row>
    <row r="10883">
      <c r="A10883" s="1">
        <v>5.0</v>
      </c>
      <c r="B10883" s="1" t="s">
        <v>10799</v>
      </c>
      <c r="C10883" t="str">
        <f>IFERROR(__xludf.DUMMYFUNCTION("GOOGLETRANSLATE(B10883, ""zh"", ""en"")"),"Style look good, is to wear ankle legs are broken skin around the very tight shoes, socks slightly thicker, are not fit into, I changed socks summer to wear, foot wear and shoes, side, my ankle are full circle grind marks are broken skin, the shoes do the"&amp;" old style, foot wear very delicate, the style is nice.")</f>
        <v>Style look good, is to wear ankle legs are broken skin around the very tight shoes, socks slightly thicker, are not fit into, I changed socks summer to wear, foot wear and shoes, side, my ankle are full circle grind marks are broken skin, the shoes do the old style, foot wear very delicate, the style is nice.</v>
      </c>
    </row>
    <row r="10884">
      <c r="A10884" s="1">
        <v>2.0</v>
      </c>
      <c r="B10884" s="1" t="s">
        <v>10800</v>
      </c>
      <c r="C10884" t="str">
        <f>IFERROR(__xludf.DUMMYFUNCTION("GOOGLETRANSLATE(B10884, ""zh"", ""en"")"),"Photography victory very thick clothes. Written on the label is a carpenter overalls clothes, shop no explanation. Clear color, partial color gray kind. Long sleeves and hem, but photography is amazing, admire.")</f>
        <v>Photography victory very thick clothes. Written on the label is a carpenter overalls clothes, shop no explanation. Clear color, partial color gray kind. Long sleeves and hem, but photography is amazing, admire.</v>
      </c>
    </row>
    <row r="10885">
      <c r="A10885" s="1">
        <v>3.0</v>
      </c>
      <c r="B10885" s="1" t="s">
        <v>4203</v>
      </c>
      <c r="C10885" t="str">
        <f>IFERROR(__xludf.DUMMYFUNCTION("GOOGLETRANSLATE(B10885, ""zh"", ""en"")"),"Is too large, no elasticity to five days. Clothes too large, there is no elastic fabric, beating at the big point, or else suffer wear")</f>
        <v>Is too large, no elasticity to five days. Clothes too large, there is no elastic fabric, beating at the big point, or else suffer wear</v>
      </c>
    </row>
    <row r="10886">
      <c r="A10886" s="1">
        <v>3.0</v>
      </c>
      <c r="B10886" s="1" t="s">
        <v>10801</v>
      </c>
      <c r="C10886" t="str">
        <f>IFERROR(__xludf.DUMMYFUNCTION("GOOGLETRANSLATE(B10886, ""zh"", ""en"")"),"Quality unstructured, and expected the gap getting bigger pants got, the overall feeling is like a wave of cards should have the quality, but the price is barely said in the past, from the logo to the label inside the pants are all indicative of cheap sen"&amp;"sation")</f>
        <v>Quality unstructured, and expected the gap getting bigger pants got, the overall feeling is like a wave of cards should have the quality, but the price is barely said in the past, from the logo to the label inside the pants are all indicative of cheap sensation</v>
      </c>
    </row>
    <row r="10887">
      <c r="A10887" s="1">
        <v>3.0</v>
      </c>
      <c r="B10887" s="1" t="s">
        <v>10802</v>
      </c>
      <c r="C10887" t="str">
        <f>IFERROR(__xludf.DUMMYFUNCTION("GOOGLETRANSLATE(B10887, ""zh"", ""en"")"),"It is too slow delivery time: 2008-05-27 11:11:16 Estimated arrival: 2008-06-22 actually No. 2 June on arrival. The overall feeling of this table is worthy of the price, since ancient times, no good cheap goods, is one such table pointers are not allowed,"&amp;" this is my most annoying place to sleep at night when spattering sound is relatively large. With an old-fashioned watch the same. There is a strong sense of plastic strap. Table relatively light and thin. Dial relatively small.")</f>
        <v>It is too slow delivery time: 2008-05-27 11:11:16 Estimated arrival: 2008-06-22 actually No. 2 June on arrival. The overall feeling of this table is worthy of the price, since ancient times, no good cheap goods, is one such table pointers are not allowed, this is my most annoying place to sleep at night when spattering sound is relatively large. With an old-fashioned watch the same. There is a strong sense of plastic strap. Table relatively light and thin. Dial relatively small.</v>
      </c>
    </row>
    <row r="10888">
      <c r="A10888" s="1">
        <v>1.0</v>
      </c>
      <c r="B10888" s="1" t="s">
        <v>10803</v>
      </c>
      <c r="C10888" t="str">
        <f>IFERROR(__xludf.DUMMYFUNCTION("GOOGLETRANSLATE(B10888, ""zh"", ""en"")"),"Time to send over, there is a crack in the handle, quickly return the time to send over, there is a crack in the handle, quickly return the")</f>
        <v>Time to send over, there is a crack in the handle, quickly return the time to send over, there is a crack in the handle, quickly return the</v>
      </c>
    </row>
    <row r="10889">
      <c r="A10889" s="1">
        <v>1.0</v>
      </c>
      <c r="B10889" s="1" t="s">
        <v>10804</v>
      </c>
      <c r="C10889" t="str">
        <f>IFERROR(__xludf.DUMMYFUNCTION("GOOGLETRANSLATE(B10889, ""zh"", ""en"")"),"Only three very general dress clothes have tags have to suspect someone else returned goods. Hit the customer service phone to explain the reasons for very far-fetched!")</f>
        <v>Only three very general dress clothes have tags have to suspect someone else returned goods. Hit the customer service phone to explain the reasons for very far-fetched!</v>
      </c>
    </row>
    <row r="10890">
      <c r="A10890" s="1">
        <v>1.0</v>
      </c>
      <c r="B10890" s="1" t="s">
        <v>10805</v>
      </c>
      <c r="C10890" t="str">
        <f>IFERROR(__xludf.DUMMYFUNCTION("GOOGLETRANSLATE(B10890, ""zh"", ""en"")"),"About wrong shoe style matters I chose the No. 37 Black Patent Lamper (like snakeskin), but do not know how to send a pair of patent leather, to request a return return to the United States International SF 300, it is not worth! These are the most painful"&amp;" to help people buy, and can only eat their own yabakui. Super depressed! Amazon no longer help to overseas purchased.")</f>
        <v>About wrong shoe style matters I chose the No. 37 Black Patent Lamper (like snakeskin), but do not know how to send a pair of patent leather, to request a return return to the United States International SF 300, it is not worth! These are the most painful to help people buy, and can only eat their own yabakui. Super depressed! Amazon no longer help to overseas purchased.</v>
      </c>
    </row>
    <row r="10891">
      <c r="A10891" s="1">
        <v>4.0</v>
      </c>
      <c r="B10891" s="1" t="s">
        <v>10806</v>
      </c>
      <c r="C10891" t="str">
        <f>IFERROR(__xludf.DUMMYFUNCTION("GOOGLETRANSLATE(B10891, ""zh"", ""en"")"),"Satisfactory. General style, comfort, size accurate.")</f>
        <v>Satisfactory. General style, comfort, size accurate.</v>
      </c>
    </row>
    <row r="10892">
      <c r="A10892" s="1">
        <v>4.0</v>
      </c>
      <c r="B10892" s="1" t="s">
        <v>10807</v>
      </c>
      <c r="C10892" t="str">
        <f>IFERROR(__xludf.DUMMYFUNCTION("GOOGLETRANSLATE(B10892, ""zh"", ""en"")"),"Exquisite into the ear listening for some time, the general environment is listening in the car, on the road. Good sound insulation, wear no discomfort. I fungus, can also be resolved, the width of the sound field is good, really like tuning, to please th"&amp;"e ear. Direct Push mobile phones generally, or Sao Nigerian players to listen, have not used the amp. Portable, work fine, mirror-like steel cavity is indeed the major brands. Comprehensive look at the general price of it, purely personal opinion.")</f>
        <v>Exquisite into the ear listening for some time, the general environment is listening in the car, on the road. Good sound insulation, wear no discomfort. I fungus, can also be resolved, the width of the sound field is good, really like tuning, to please the ear. Direct Push mobile phones generally, or Sao Nigerian players to listen, have not used the amp. Portable, work fine, mirror-like steel cavity is indeed the major brands. Comprehensive look at the general price of it, purely personal opinion.</v>
      </c>
    </row>
    <row r="10893">
      <c r="A10893" s="1">
        <v>4.0</v>
      </c>
      <c r="B10893" s="1" t="s">
        <v>10808</v>
      </c>
      <c r="C10893" t="str">
        <f>IFERROR(__xludf.DUMMYFUNCTION("GOOGLETRANSLATE(B10893, ""zh"", ""en"")"),"Cost is not high or Uniqlo comfort that some lace tie overall uncomfortable to wear")</f>
        <v>Cost is not high or Uniqlo comfort that some lace tie overall uncomfortable to wear</v>
      </c>
    </row>
    <row r="10894">
      <c r="A10894" s="1">
        <v>4.0</v>
      </c>
      <c r="B10894" s="1" t="s">
        <v>10809</v>
      </c>
      <c r="C10894" t="str">
        <f>IFERROR(__xludf.DUMMYFUNCTION("GOOGLETRANSLATE(B10894, ""zh"", ""en"")"),"Size comment at the counter tried to size 36 (5.5 yards) feet tight to wear, 37 (6 yards) slightly loose half a yard just right. Instep little money, after hesitation orders to buy 6W code, after the arrival of very depressed, I large one yards in six yar"&amp;"ds than the length of the counter test, there are many loose feet, only to return. Waited half a month finally have 5.5 yards, and then the next single, 5.5M code, just arrived, or heart stopper, length of 5.5 yards a little more than a lap over a pair of"&amp;" six yards, and 5.5 of this size is actually consistent counters , length just, feet a little tight. To reclaim the freight is too expensive. Amazon too little on the small size, I should be the most appropriate 5.5W, sports shoes to wear 36 yards, thin f"&amp;"eet wide, to be a reference.")</f>
        <v>Size comment at the counter tried to size 36 (5.5 yards) feet tight to wear, 37 (6 yards) slightly loose half a yard just right. Instep little money, after hesitation orders to buy 6W code, after the arrival of very depressed, I large one yards in six yards than the length of the counter test, there are many loose feet, only to return. Waited half a month finally have 5.5 yards, and then the next single, 5.5M code, just arrived, or heart stopper, length of 5.5 yards a little more than a lap over a pair of six yards, and 5.5 of this size is actually consistent counters , length just, feet a little tight. To reclaim the freight is too expensive. Amazon too little on the small size, I should be the most appropriate 5.5W, sports shoes to wear 36 yards, thin feet wide, to be a reference.</v>
      </c>
    </row>
    <row r="10895">
      <c r="A10895" s="1">
        <v>5.0</v>
      </c>
      <c r="B10895" s="1" t="s">
        <v>10810</v>
      </c>
      <c r="C10895" t="str">
        <f>IFERROR(__xludf.DUMMYFUNCTION("GOOGLETRANSLATE(B10895, ""zh"", ""en"")"),"Large wind power! Good shape! It is not very convenient")</f>
        <v>Large wind power! Good shape! It is not very convenient</v>
      </c>
    </row>
    <row r="10896">
      <c r="A10896" s="1">
        <v>5.0</v>
      </c>
      <c r="B10896" s="1" t="s">
        <v>10811</v>
      </c>
      <c r="C10896" t="str">
        <f>IFERROR(__xludf.DUMMYFUNCTION("GOOGLETRANSLATE(B10896, ""zh"", ""en"")"),"Perfect upper body good quality, good version")</f>
        <v>Perfect upper body good quality, good version</v>
      </c>
    </row>
    <row r="10897">
      <c r="A10897" s="1">
        <v>5.0</v>
      </c>
      <c r="B10897" s="1" t="s">
        <v>10812</v>
      </c>
      <c r="C10897" t="str">
        <f>IFERROR(__xludf.DUMMYFUNCTION("GOOGLETRANSLATE(B10897, ""zh"", ""en"")"),"The first sea Amoy, love the use of the Amazon prime membership trial, eliminating the need for a large amount of freight, to find a way to ask the customer service delivery a matter of time, we have been very timely and very detailed response, than the h"&amp;"eart little sister. Shoes of good quality, code number on the problem I compared online article buy just right, the price is very affordable, color-sale customer service but have a little problem quickly to help me make a satisfactory solution, Yuhong Sta"&amp;"r in recognition of customer service and Amazon")</f>
        <v>The first sea Amoy, love the use of the Amazon prime membership trial, eliminating the need for a large amount of freight, to find a way to ask the customer service delivery a matter of time, we have been very timely and very detailed response, than the heart little sister. Shoes of good quality, code number on the problem I compared online article buy just right, the price is very affordable, color-sale customer service but have a little problem quickly to help me make a satisfactory solution, Yuhong Star in recognition of customer service and Amazon</v>
      </c>
    </row>
    <row r="10898">
      <c r="A10898" s="1">
        <v>5.0</v>
      </c>
      <c r="B10898" s="1" t="s">
        <v>10813</v>
      </c>
      <c r="C10898" t="str">
        <f>IFERROR(__xludf.DUMMYFUNCTION("GOOGLETRANSLATE(B10898, ""zh"", ""en"")"),"Very satisfied with the work a little rough, but I feel more strong, looking at the simple low-key, wild, more than the length pants number two on the list")</f>
        <v>Very satisfied with the work a little rough, but I feel more strong, looking at the simple low-key, wild, more than the length pants number two on the list</v>
      </c>
    </row>
    <row r="10899">
      <c r="A10899" s="1">
        <v>5.0</v>
      </c>
      <c r="B10899" s="1" t="s">
        <v>10814</v>
      </c>
      <c r="C10899" t="str">
        <f>IFERROR(__xludf.DUMMYFUNCTION("GOOGLETRANSLATE(B10899, ""zh"", ""en"")"),"For the first time scouring the sea for the first time to buy things from the United States and Asia, and many other things to worry about unpacking receipt of the moment completely disappeared, the whole process ten days to something when the packaging i"&amp;"s very clean and very complete, the box filler amount of gas is enough high protection of the goods, size is also no problem, the price is a lot cheaper compared to domestic, very satisfied with the shopping, gain experience, continue to buy next time")</f>
        <v>For the first time scouring the sea for the first time to buy things from the United States and Asia, and many other things to worry about unpacking receipt of the moment completely disappeared, the whole process ten days to something when the packaging is very clean and very complete, the box filler amount of gas is enough high protection of the goods, size is also no problem, the price is a lot cheaper compared to domestic, very satisfied with the shopping, gain experience, continue to buy next time</v>
      </c>
    </row>
    <row r="10900">
      <c r="A10900" s="1">
        <v>5.0</v>
      </c>
      <c r="B10900" s="1" t="s">
        <v>10815</v>
      </c>
      <c r="C10900" t="str">
        <f>IFERROR(__xludf.DUMMYFUNCTION("GOOGLETRANSLATE(B10900, ""zh"", ""en"")"),"The most important little freshman right size is no problem, but still feel strange, like the best or the size of Genjiao")</f>
        <v>The most important little freshman right size is no problem, but still feel strange, like the best or the size of Genjiao</v>
      </c>
    </row>
    <row r="10901">
      <c r="A10901" s="1">
        <v>5.0</v>
      </c>
      <c r="B10901" s="1" t="s">
        <v>10816</v>
      </c>
      <c r="C10901" t="str">
        <f>IFERROR(__xludf.DUMMYFUNCTION("GOOGLETRANSLATE(B10901, ""zh"", ""en"")"),"Good height just right wearing stuff 185")</f>
        <v>Good height just right wearing stuff 185</v>
      </c>
    </row>
    <row r="10902">
      <c r="A10902" s="1">
        <v>5.0</v>
      </c>
      <c r="B10902" s="1" t="s">
        <v>10817</v>
      </c>
      <c r="C10902" t="str">
        <f>IFERROR(__xludf.DUMMYFUNCTION("GOOGLETRANSLATE(B10902, ""zh"", ""en"")"),"Bottle bottle design is very good, very lovely.")</f>
        <v>Bottle bottle design is very good, very lovely.</v>
      </c>
    </row>
    <row r="10903">
      <c r="A10903" s="1">
        <v>5.0</v>
      </c>
      <c r="B10903" s="1" t="s">
        <v>10818</v>
      </c>
      <c r="C10903" t="str">
        <f>IFERROR(__xludf.DUMMYFUNCTION("GOOGLETRANSLATE(B10903, ""zh"", ""en"")"),"Suitable very comfortable")</f>
        <v>Suitable very comfortable</v>
      </c>
    </row>
    <row r="10904">
      <c r="A10904" s="1">
        <v>5.0</v>
      </c>
      <c r="B10904" s="1" t="s">
        <v>10819</v>
      </c>
      <c r="C10904" t="str">
        <f>IFERROR(__xludf.DUMMYFUNCTION("GOOGLETRANSLATE(B10904, ""zh"", ""en"")"),"Size is too large. No need to buy two small, too.")</f>
        <v>Size is too large. No need to buy two small, too.</v>
      </c>
    </row>
    <row r="10905">
      <c r="A10905" s="1">
        <v>5.0</v>
      </c>
      <c r="B10905" s="1" t="s">
        <v>10820</v>
      </c>
      <c r="C10905" t="str">
        <f>IFERROR(__xludf.DUMMYFUNCTION("GOOGLETRANSLATE(B10905, ""zh"", ""en"")"),"Indian manufacturing satisfied, the price is very affordable, the official self-employed, ups sent me, but to the country and replaced the SF Express, I do not know how it happened.")</f>
        <v>Indian manufacturing satisfied, the price is very affordable, the official self-employed, ups sent me, but to the country and replaced the SF Express, I do not know how it happened.</v>
      </c>
    </row>
    <row r="10906">
      <c r="A10906" s="1">
        <v>5.0</v>
      </c>
      <c r="B10906" s="1" t="s">
        <v>10821</v>
      </c>
      <c r="C10906" t="str">
        <f>IFERROR(__xludf.DUMMYFUNCTION("GOOGLETRANSLATE(B10906, ""zh"", ""en"")"),"I thought it was a transformer needs 2.5 inches, the result is a 3.5-inch mobile hard drive with power of big. Power supply is 100V need a transformer. . . Speed ​​is very fast, then usb3.0 mouth. And solid state drives SSD Duikao 2g file. Speed ​​140 120"&amp;" ---")</f>
        <v>I thought it was a transformer needs 2.5 inches, the result is a 3.5-inch mobile hard drive with power of big. Power supply is 100V need a transformer. . . Speed ​​is very fast, then usb3.0 mouth. And solid state drives SSD Duikao 2g file. Speed ​​140 120 ---</v>
      </c>
    </row>
    <row r="10907">
      <c r="A10907" s="1">
        <v>5.0</v>
      </c>
      <c r="B10907" s="1" t="s">
        <v>10822</v>
      </c>
      <c r="C10907" t="str">
        <f>IFERROR(__xludf.DUMMYFUNCTION("GOOGLETRANSLATE(B10907, ""zh"", ""en"")"),"Black is buying the big brands, affordable, normal size.")</f>
        <v>Black is buying the big brands, affordable, normal size.</v>
      </c>
    </row>
    <row r="10908">
      <c r="A10908" s="1">
        <v>5.0</v>
      </c>
      <c r="B10908" s="1" t="s">
        <v>10823</v>
      </c>
      <c r="C10908" t="str">
        <f>IFERROR(__xludf.DUMMYFUNCTION("GOOGLETRANSLATE(B10908, ""zh"", ""en"")"),"Quality stick of good quality, height 158, weight 52 kg, M number is appropriate.")</f>
        <v>Quality stick of good quality, height 158, weight 52 kg, M number is appropriate.</v>
      </c>
    </row>
    <row r="10909">
      <c r="A10909" s="1">
        <v>5.0</v>
      </c>
      <c r="B10909" s="1" t="s">
        <v>10824</v>
      </c>
      <c r="C10909" t="str">
        <f>IFERROR(__xludf.DUMMYFUNCTION("GOOGLETRANSLATE(B10909, ""zh"", ""en"")"),"Prices are good quality fast")</f>
        <v>Prices are good quality fast</v>
      </c>
    </row>
    <row r="10910">
      <c r="A10910" s="1">
        <v>5.0</v>
      </c>
      <c r="B10910" s="1" t="s">
        <v>10825</v>
      </c>
      <c r="C10910" t="str">
        <f>IFERROR(__xludf.DUMMYFUNCTION("GOOGLETRANSLATE(B10910, ""zh"", ""en"")"),"Easy to use a pencil. Worth repurchase. Very easy to use Perak Malaysia, always with the hope that a lot of concessions")</f>
        <v>Easy to use a pencil. Worth repurchase. Very easy to use Perak Malaysia, always with the hope that a lot of concessions</v>
      </c>
    </row>
    <row r="10911">
      <c r="A10911" s="1">
        <v>5.0</v>
      </c>
      <c r="B10911" s="1" t="s">
        <v>10826</v>
      </c>
      <c r="C10911" t="str">
        <f>IFERROR(__xludf.DUMMYFUNCTION("GOOGLETRANSLATE(B10911, ""zh"", ""en"")"),"Do not buy, beautiful and easy to use is not practical with live ah seemingly good value for money, eight months on end of life, in the middle of the center red peeling, the dregs, I can only re-buy a new one. I hope you do not buy. With live ah")</f>
        <v>Do not buy, beautiful and easy to use is not practical with live ah seemingly good value for money, eight months on end of life, in the middle of the center red peeling, the dregs, I can only re-buy a new one. I hope you do not buy. With live ah</v>
      </c>
    </row>
    <row r="10912">
      <c r="A10912" s="1">
        <v>5.0</v>
      </c>
      <c r="B10912" s="1" t="s">
        <v>10827</v>
      </c>
      <c r="C10912" t="str">
        <f>IFERROR(__xludf.DUMMYFUNCTION("GOOGLETRANSLATE(B10912, ""zh"", ""en"")"),"Well satisfied with the quality, but the baby does not like")</f>
        <v>Well satisfied with the quality, but the baby does not like</v>
      </c>
    </row>
    <row r="10913">
      <c r="A10913" s="1">
        <v>5.0</v>
      </c>
      <c r="B10913" s="1" t="s">
        <v>10828</v>
      </c>
      <c r="C10913" t="str">
        <f>IFERROR(__xludf.DUMMYFUNCTION("GOOGLETRANSLATE(B10913, ""zh"", ""en"")"),"TIMBERLAND boots very good, very good.")</f>
        <v>TIMBERLAND boots very good, very good.</v>
      </c>
    </row>
    <row r="10914">
      <c r="A10914" s="1">
        <v>5.0</v>
      </c>
      <c r="B10914" s="1" t="s">
        <v>10829</v>
      </c>
      <c r="C10914" t="str">
        <f>IFERROR(__xludf.DUMMYFUNCTION("GOOGLETRANSLATE(B10914, ""zh"", ""en"")"),"Can buy no color, can work 70 1.78 L just wear")</f>
        <v>Can buy no color, can work 70 1.78 L just wear</v>
      </c>
    </row>
    <row r="10915">
      <c r="A10915" s="1">
        <v>5.0</v>
      </c>
      <c r="B10915" s="1" t="s">
        <v>10830</v>
      </c>
      <c r="C10915" t="str">
        <f>IFERROR(__xludf.DUMMYFUNCTION("GOOGLETRANSLATE(B10915, ""zh"", ""en"")"),"The backup. I have been to buy a NAS, the final choice of WD. 10T is equipped with Western Digital hard drive. The formation of RAID5, hoping to use a little longer.")</f>
        <v>The backup. I have been to buy a NAS, the final choice of WD. 10T is equipped with Western Digital hard drive. The formation of RAID5, hoping to use a little longer.</v>
      </c>
    </row>
    <row r="10916">
      <c r="A10916" s="1">
        <v>5.0</v>
      </c>
      <c r="B10916" s="1" t="s">
        <v>10831</v>
      </c>
      <c r="C10916" t="str">
        <f>IFERROR(__xludf.DUMMYFUNCTION("GOOGLETRANSLATE(B10916, ""zh"", ""en"")"),"Very good value for money, very fit, regular size")</f>
        <v>Very good value for money, very fit, regular size</v>
      </c>
    </row>
    <row r="10917">
      <c r="A10917" s="1">
        <v>2.0</v>
      </c>
      <c r="B10917" s="1" t="s">
        <v>10832</v>
      </c>
      <c r="C10917" t="str">
        <f>IFERROR(__xludf.DUMMYFUNCTION("GOOGLETRANSLATE(B10917, ""zh"", ""en"")"),"Inferior wear hair loss, drunk. Then this app will not use the! Bye")</f>
        <v>Inferior wear hair loss, drunk. Then this app will not use the! Bye</v>
      </c>
    </row>
    <row r="10918">
      <c r="A10918" s="1">
        <v>3.0</v>
      </c>
      <c r="B10918" s="1" t="s">
        <v>10833</v>
      </c>
      <c r="C10918" t="str">
        <f>IFERROR(__xludf.DUMMYFUNCTION("GOOGLETRANSLATE(B10918, ""zh"", ""en"")"),"How to identify quality confirmation quality. 175.75 kg, wearing M code a little too large, pants raising through a period of time, has not yet seen bleaching, and other brand pants poor quality a bit far.")</f>
        <v>How to identify quality confirmation quality. 175.75 kg, wearing M code a little too large, pants raising through a period of time, has not yet seen bleaching, and other brand pants poor quality a bit far.</v>
      </c>
    </row>
    <row r="10919">
      <c r="A10919" s="1">
        <v>3.0</v>
      </c>
      <c r="B10919" s="1" t="s">
        <v>10834</v>
      </c>
      <c r="C10919" t="str">
        <f>IFERROR(__xludf.DUMMYFUNCTION("GOOGLETRANSLATE(B10919, ""zh"", ""en"")"),"Quality factory inspection to strengthen the brim obvious place off-line, returns trouble and delay time and effort, no return of the product have regrets")</f>
        <v>Quality factory inspection to strengthen the brim obvious place off-line, returns trouble and delay time and effort, no return of the product have regrets</v>
      </c>
    </row>
    <row r="10920">
      <c r="A10920" s="1">
        <v>1.0</v>
      </c>
      <c r="B10920" s="1" t="s">
        <v>10835</v>
      </c>
      <c r="C10920" t="str">
        <f>IFERROR(__xludf.DUMMYFUNCTION("GOOGLETRANSLATE(B10920, ""zh"", ""en"")"),"Very poor, very poor not worth buying the product. The first is direct only, bad, can not use, contact Amazon drained away. Amazon out of the trust to re-order to buy one, that there will be no problem, the results with more than six months and bad. Conta"&amp;"ct Amazon to push China Bi Jie, China Bi Jie simply did not matter to buy overseas products. Comments closer look back only to find this situation quite common. Why is clearly obvious problems with the quality of the product but also selling it? Overseas "&amp;"purchase is to refuse to sell foreign domestic aftermarket also bullying practices regardless of it.")</f>
        <v>Very poor, very poor not worth buying the product. The first is direct only, bad, can not use, contact Amazon drained away. Amazon out of the trust to re-order to buy one, that there will be no problem, the results with more than six months and bad. Contact Amazon to push China Bi Jie, China Bi Jie simply did not matter to buy overseas products. Comments closer look back only to find this situation quite common. Why is clearly obvious problems with the quality of the product but also selling it? Overseas purchase is to refuse to sell foreign domestic aftermarket also bullying practices regardless of it.</v>
      </c>
    </row>
    <row r="10921">
      <c r="A10921" s="1">
        <v>1.0</v>
      </c>
      <c r="B10921" s="1" t="s">
        <v>10836</v>
      </c>
      <c r="C10921" t="str">
        <f>IFERROR(__xludf.DUMMYFUNCTION("GOOGLETRANSLATE(B10921, ""zh"", ""en"")"),"Do not buy and tagging is 2016")</f>
        <v>Do not buy and tagging is 2016</v>
      </c>
    </row>
    <row r="10922">
      <c r="A10922" s="1">
        <v>4.0</v>
      </c>
      <c r="B10922" s="1" t="s">
        <v>10837</v>
      </c>
      <c r="C10922" t="str">
        <f>IFERROR(__xludf.DUMMYFUNCTION("GOOGLETRANSLATE(B10922, ""zh"", ""en"")"),"175 tall, is a little large, especially too wide 175 tall, it is a little large, especially too wide")</f>
        <v>175 tall, is a little large, especially too wide 175 tall, it is a little large, especially too wide</v>
      </c>
    </row>
    <row r="10923">
      <c r="A10923" s="1">
        <v>4.0</v>
      </c>
      <c r="B10923" s="1" t="s">
        <v>10838</v>
      </c>
      <c r="C10923" t="str">
        <f>IFERROR(__xludf.DUMMYFUNCTION("GOOGLETRANSLATE(B10923, ""zh"", ""en"")"),"Smaller than expected, packaging is very simple, only a sub-sets of the plastic bag. Buy trumpet, going to use BB newborn, currently not spend, but it feels a lot shorter than expected. Luckily, this sleeping bag without sleeves, read a lot of information"&amp;", foreign parenting experts recommend sleeping bag without sleeves, to avoid overheating BB discomfort, hope the baby can be like it.")</f>
        <v>Smaller than expected, packaging is very simple, only a sub-sets of the plastic bag. Buy trumpet, going to use BB newborn, currently not spend, but it feels a lot shorter than expected. Luckily, this sleeping bag without sleeves, read a lot of information, foreign parenting experts recommend sleeping bag without sleeves, to avoid overheating BB discomfort, hope the baby can be like it.</v>
      </c>
    </row>
    <row r="10924">
      <c r="A10924" s="1">
        <v>4.0</v>
      </c>
      <c r="B10924" s="1" t="s">
        <v>10839</v>
      </c>
      <c r="C10924" t="str">
        <f>IFERROR(__xludf.DUMMYFUNCTION("GOOGLETRANSLATE(B10924, ""zh"", ""en"")"),"Received a little bit long, I feel a long point.")</f>
        <v>Received a little bit long, I feel a long point.</v>
      </c>
    </row>
    <row r="10925">
      <c r="A10925" s="1">
        <v>4.0</v>
      </c>
      <c r="B10925" s="1" t="s">
        <v>10840</v>
      </c>
      <c r="C10925" t="str">
        <f>IFERROR(__xludf.DUMMYFUNCTION("GOOGLETRANSLATE(B10925, ""zh"", ""en"")"),"Comfortable fabric very good, comfortable fabrics")</f>
        <v>Comfortable fabric very good, comfortable fabrics</v>
      </c>
    </row>
    <row r="10926">
      <c r="A10926" s="1">
        <v>4.0</v>
      </c>
      <c r="B10926" s="1" t="s">
        <v>10841</v>
      </c>
      <c r="C10926" t="str">
        <f>IFERROR(__xludf.DUMMYFUNCTION("GOOGLETRANSLATE(B10926, ""zh"", ""en"")"),"Quality is good, that is a little bit long trousers I bought the same size (34W, 32L) of Levis in North America, just trousers; Lee, then trousers to be longer, only folded around a fly in the ointment.")</f>
        <v>Quality is good, that is a little bit long trousers I bought the same size (34W, 32L) of Levis in North America, just trousers; Lee, then trousers to be longer, only folded around a fly in the ointment.</v>
      </c>
    </row>
    <row r="10927">
      <c r="A10927" s="1">
        <v>5.0</v>
      </c>
      <c r="B10927" s="1" t="s">
        <v>10842</v>
      </c>
      <c r="C10927" t="str">
        <f>IFERROR(__xludf.DUMMYFUNCTION("GOOGLETRANSLATE(B10927, ""zh"", ""en"")"),"Sleeves a little bit too long, but the acceptable range is good ah ah ah! Color super positive! 157 weighing about 85 xs is just for the size of my height, but do not know will not fade wash do not know will not lint thick warm but really quite good")</f>
        <v>Sleeves a little bit too long, but the acceptable range is good ah ah ah! Color super positive! 157 weighing about 85 xs is just for the size of my height, but do not know will not fade wash do not know will not lint thick warm but really quite good</v>
      </c>
    </row>
    <row r="10928">
      <c r="A10928" s="1">
        <v>5.0</v>
      </c>
      <c r="B10928" s="1" t="s">
        <v>10843</v>
      </c>
      <c r="C10928" t="str">
        <f>IFERROR(__xludf.DUMMYFUNCTION("GOOGLETRANSLATE(B10928, ""zh"", ""en"")"),"CK significant level packaging, feel good. Suitable size, 172/66. Waist 81. In fact, S it.")</f>
        <v>CK significant level packaging, feel good. Suitable size, 172/66. Waist 81. In fact, S it.</v>
      </c>
    </row>
    <row r="10929">
      <c r="A10929" s="1">
        <v>5.0</v>
      </c>
      <c r="B10929" s="1" t="s">
        <v>10844</v>
      </c>
      <c r="C10929" t="str">
        <f>IFERROR(__xludf.DUMMYFUNCTION("GOOGLETRANSLATE(B10929, ""zh"", ""en"")"),"Not very satisfied with the package is installed, install a lot of trouble ah, a lot of master will not be installed,")</f>
        <v>Not very satisfied with the package is installed, install a lot of trouble ah, a lot of master will not be installed,</v>
      </c>
    </row>
    <row r="10930">
      <c r="A10930" s="1">
        <v>5.0</v>
      </c>
      <c r="B10930" s="1" t="s">
        <v>10845</v>
      </c>
      <c r="C10930" t="str">
        <f>IFERROR(__xludf.DUMMYFUNCTION("GOOGLETRANSLATE(B10930, ""zh"", ""en"")"),"A pair of jeans that fit very very fit, suitable for spring wear")</f>
        <v>A pair of jeans that fit very very fit, suitable for spring wear</v>
      </c>
    </row>
    <row r="10931">
      <c r="A10931" s="1">
        <v>5.0</v>
      </c>
      <c r="B10931" s="1" t="s">
        <v>10846</v>
      </c>
      <c r="C10931" t="str">
        <f>IFERROR(__xludf.DUMMYFUNCTION("GOOGLETRANSLATE(B10931, ""zh"", ""en"")"),"Nice. still alright. Size us.uk are the same.")</f>
        <v>Nice. still alright. Size us.uk are the same.</v>
      </c>
    </row>
    <row r="10932">
      <c r="A10932" s="1">
        <v>5.0</v>
      </c>
      <c r="B10932" s="1" t="s">
        <v>10847</v>
      </c>
      <c r="C10932" t="str">
        <f>IFERROR(__xludf.DUMMYFUNCTION("GOOGLETRANSLATE(B10932, ""zh"", ""en"")"),"Good particles are relatively large, the people will not swallow careful to buy")</f>
        <v>Good particles are relatively large, the people will not swallow careful to buy</v>
      </c>
    </row>
    <row r="10933">
      <c r="A10933" s="1">
        <v>5.0</v>
      </c>
      <c r="B10933" s="1" t="s">
        <v>10848</v>
      </c>
      <c r="C10933" t="str">
        <f>IFERROR(__xludf.DUMMYFUNCTION("GOOGLETRANSLATE(B10933, ""zh"", ""en"")"),"High price is very good, high cost, it is worth buying")</f>
        <v>High price is very good, high cost, it is worth buying</v>
      </c>
    </row>
    <row r="10934">
      <c r="A10934" s="1">
        <v>5.0</v>
      </c>
      <c r="B10934" s="1" t="s">
        <v>10849</v>
      </c>
      <c r="C10934" t="str">
        <f>IFERROR(__xludf.DUMMYFUNCTION("GOOGLETRANSLATE(B10934, ""zh"", ""en"")"),"Effective insulation engage in activities to buy, very cheap. Insulation effect is really great. Capacity, go out with the water is very convenient!")</f>
        <v>Effective insulation engage in activities to buy, very cheap. Insulation effect is really great. Capacity, go out with the water is very convenient!</v>
      </c>
    </row>
    <row r="10935">
      <c r="A10935" s="1">
        <v>5.0</v>
      </c>
      <c r="B10935" s="1" t="s">
        <v>10850</v>
      </c>
      <c r="C10935" t="str">
        <f>IFERROR(__xludf.DUMMYFUNCTION("GOOGLETRANSLATE(B10935, ""zh"", ""en"")"),"Indeed appropriate, wear very comfortable ah")</f>
        <v>Indeed appropriate, wear very comfortable ah</v>
      </c>
    </row>
    <row r="10936">
      <c r="A10936" s="1">
        <v>5.0</v>
      </c>
      <c r="B10936" s="1" t="s">
        <v>10851</v>
      </c>
      <c r="C10936" t="str">
        <f>IFERROR(__xludf.DUMMYFUNCTION("GOOGLETRANSLATE(B10936, ""zh"", ""en"")"),"Amazon worth having, quality after-sales logistics beautifully! Amazon to buy overseas soon, SF home. Eating at ease, fresh and healthy. Come on previous figures express certain shopping app buy capsules of this section, leakage corrosion damage. Preserva"&amp;"tives are broken melt. Sale very, very difficult. Amazon still fly, regardless of the efficiency of logistics goods sale are beautifully!")</f>
        <v>Amazon worth having, quality after-sales logistics beautifully! Amazon to buy overseas soon, SF home. Eating at ease, fresh and healthy. Come on previous figures express certain shopping app buy capsules of this section, leakage corrosion damage. Preservatives are broken melt. Sale very, very difficult. Amazon still fly, regardless of the efficiency of logistics goods sale are beautifully!</v>
      </c>
    </row>
    <row r="10937">
      <c r="A10937" s="1">
        <v>5.0</v>
      </c>
      <c r="B10937" s="1" t="s">
        <v>10852</v>
      </c>
      <c r="C10937" t="str">
        <f>IFERROR(__xludf.DUMMYFUNCTION("GOOGLETRANSLATE(B10937, ""zh"", ""en"")"),"Very comfortable to wear tight-fitting is not very suitable, but not significant hypertrophy very comfortable to wear but not tight not significant hypertrophy")</f>
        <v>Very comfortable to wear tight-fitting is not very suitable, but not significant hypertrophy very comfortable to wear but not tight not significant hypertrophy</v>
      </c>
    </row>
    <row r="10938">
      <c r="A10938" s="1">
        <v>5.0</v>
      </c>
      <c r="B10938" s="1" t="s">
        <v>10853</v>
      </c>
      <c r="C10938" t="str">
        <f>IFERROR(__xludf.DUMMYFUNCTION("GOOGLETRANSLATE(B10938, ""zh"", ""en"")"),"Worth buying pure stainless steel, appearance is also very beautiful, a key switch do not know resistance is not durable")</f>
        <v>Worth buying pure stainless steel, appearance is also very beautiful, a key switch do not know resistance is not durable</v>
      </c>
    </row>
    <row r="10939">
      <c r="A10939" s="1">
        <v>5.0</v>
      </c>
      <c r="B10939" s="1" t="s">
        <v>10854</v>
      </c>
      <c r="C10939" t="str">
        <f>IFERROR(__xludf.DUMMYFUNCTION("GOOGLETRANSLATE(B10939, ""zh"", ""en"")"),"Height and weight 178 may be 65, s code suitable")</f>
        <v>Height and weight 178 may be 65, s code suitable</v>
      </c>
    </row>
    <row r="10940">
      <c r="A10940" s="1">
        <v>5.0</v>
      </c>
      <c r="B10940" s="1" t="s">
        <v>10855</v>
      </c>
      <c r="C10940" t="str">
        <f>IFERROR(__xludf.DUMMYFUNCTION("GOOGLETRANSLATE(B10940, ""zh"", ""en"")"),"Like love, very nice! M number is appropriate")</f>
        <v>Like love, very nice! M number is appropriate</v>
      </c>
    </row>
    <row r="10941">
      <c r="A10941" s="1">
        <v>5.0</v>
      </c>
      <c r="B10941" s="1" t="s">
        <v>10856</v>
      </c>
      <c r="C10941" t="str">
        <f>IFERROR(__xludf.DUMMYFUNCTION("GOOGLETRANSLATE(B10941, ""zh"", ""en"")"),"Pretty authentic real little kids holding a look that is easy to wash a little taste authentic should like straw is segmented like a child does not know or feel bbox the perfect cup")</f>
        <v>Pretty authentic real little kids holding a look that is easy to wash a little taste authentic should like straw is segmented like a child does not know or feel bbox the perfect cup</v>
      </c>
    </row>
    <row r="10942">
      <c r="A10942" s="1">
        <v>5.0</v>
      </c>
      <c r="B10942" s="1" t="s">
        <v>10857</v>
      </c>
      <c r="C10942" t="str">
        <f>IFERROR(__xludf.DUMMYFUNCTION("GOOGLETRANSLATE(B10942, ""zh"", ""en"")"),"Other nice little fade a little fade other very good! ! ! ! ! ! ! ! ! ! ! !")</f>
        <v>Other nice little fade a little fade other very good! ! ! ! ! ! ! ! ! ! ! !</v>
      </c>
    </row>
    <row r="10943">
      <c r="A10943" s="1">
        <v>5.0</v>
      </c>
      <c r="B10943" s="1" t="s">
        <v>10858</v>
      </c>
      <c r="C10943" t="str">
        <f>IFERROR(__xludf.DUMMYFUNCTION("GOOGLETRANSLATE(B10943, ""zh"", ""en"")"),"And the price to force, shoes good, entangled for a long shoe size is too small a point, my suggestion is that the length of the 275 election uk8.5")</f>
        <v>And the price to force, shoes good, entangled for a long shoe size is too small a point, my suggestion is that the length of the 275 election uk8.5</v>
      </c>
    </row>
    <row r="10944">
      <c r="A10944" s="1">
        <v>5.0</v>
      </c>
      <c r="B10944" s="1" t="s">
        <v>10859</v>
      </c>
      <c r="C10944" t="str">
        <f>IFERROR(__xludf.DUMMYFUNCTION("GOOGLETRANSLATE(B10944, ""zh"", ""en"")"),"Very good comfort")</f>
        <v>Very good comfort</v>
      </c>
    </row>
    <row r="10945">
      <c r="A10945" s="1">
        <v>5.0</v>
      </c>
      <c r="B10945" s="1" t="s">
        <v>10860</v>
      </c>
      <c r="C10945" t="str">
        <f>IFERROR(__xludf.DUMMYFUNCTION("GOOGLETRANSLATE(B10945, ""zh"", ""en"")"),"No. 70 kg Height 172 L 172 substantially fits somewhat large height of 70 kg L substantially fit somewhat large number")</f>
        <v>No. 70 kg Height 172 L 172 substantially fits somewhat large height of 70 kg L substantially fit somewhat large number</v>
      </c>
    </row>
    <row r="10946">
      <c r="A10946" s="1">
        <v>5.0</v>
      </c>
      <c r="B10946" s="1" t="s">
        <v>10861</v>
      </c>
      <c r="C10946" t="str">
        <f>IFERROR(__xludf.DUMMYFUNCTION("GOOGLETRANSLATE(B10946, ""zh"", ""en"")"),"Good clothing styles very good style clothes itself in accordance with the amount of oversized to buy a yard smaller than usual")</f>
        <v>Good clothing styles very good style clothes itself in accordance with the amount of oversized to buy a yard smaller than usual</v>
      </c>
    </row>
    <row r="10947">
      <c r="A10947" s="1">
        <v>5.0</v>
      </c>
      <c r="B10947" s="1" t="s">
        <v>10862</v>
      </c>
      <c r="C10947" t="str">
        <f>IFERROR(__xludf.DUMMYFUNCTION("GOOGLETRANSLATE(B10947, ""zh"", ""en"")"),"Very cost-effective, and bowls suit bought together, with the stockpile.")</f>
        <v>Very cost-effective, and bowls suit bought together, with the stockpile.</v>
      </c>
    </row>
    <row r="10948">
      <c r="A10948" s="1">
        <v>5.0</v>
      </c>
      <c r="B10948" s="1" t="s">
        <v>10863</v>
      </c>
      <c r="C10948" t="str">
        <f>IFERROR(__xludf.DUMMYFUNCTION("GOOGLETRANSLATE(B10948, ""zh"", ""en"")"),"Rare 44 yards to the father's birthday gift, rare to see 44 yards, immediately won")</f>
        <v>Rare 44 yards to the father's birthday gift, rare to see 44 yards, immediately won</v>
      </c>
    </row>
    <row r="10949">
      <c r="A10949" s="1">
        <v>2.0</v>
      </c>
      <c r="B10949" s="1" t="s">
        <v>10864</v>
      </c>
      <c r="C10949" t="str">
        <f>IFERROR(__xludf.DUMMYFUNCTION("GOOGLETRANSLATE(B10949, ""zh"", ""en"")"),"so huge memory large enough memory and speed.")</f>
        <v>so huge memory large enough memory and speed.</v>
      </c>
    </row>
    <row r="10950">
      <c r="A10950" s="1">
        <v>3.0</v>
      </c>
      <c r="B10950" s="1" t="s">
        <v>10865</v>
      </c>
      <c r="C10950" t="str">
        <f>IFERROR(__xludf.DUMMYFUNCTION("GOOGLETRANSLATE(B10950, ""zh"", ""en"")"),"Advent Advent commodity goods, packaging dirty broken, valid until September 2020")</f>
        <v>Advent Advent commodity goods, packaging dirty broken, valid until September 2020</v>
      </c>
    </row>
    <row r="10951">
      <c r="A10951" s="1">
        <v>3.0</v>
      </c>
      <c r="B10951" s="1" t="s">
        <v>10866</v>
      </c>
      <c r="C10951" t="str">
        <f>IFERROR(__xludf.DUMMYFUNCTION("GOOGLETRANSLATE(B10951, ""zh"", ""en"")"),"Taste just started, just open Shui Tang installed open water to drink - I do not know why there is a smell ~")</f>
        <v>Taste just started, just open Shui Tang installed open water to drink - I do not know why there is a smell ~</v>
      </c>
    </row>
    <row r="10952">
      <c r="A10952" s="1">
        <v>1.0</v>
      </c>
      <c r="B10952" s="1" t="s">
        <v>10867</v>
      </c>
      <c r="C10952" t="str">
        <f>IFERROR(__xludf.DUMMYFUNCTION("GOOGLETRANSLATE(B10952, ""zh"", ""en"")"),"Size partial hypertrophy and ""straight Slim"" differ significantly from the title, in fact, much fertilizer style")</f>
        <v>Size partial hypertrophy and "straight Slim" differ significantly from the title, in fact, much fertilizer style</v>
      </c>
    </row>
    <row r="10953">
      <c r="A10953" s="1">
        <v>1.0</v>
      </c>
      <c r="B10953" s="1" t="s">
        <v>10868</v>
      </c>
      <c r="C10953" t="str">
        <f>IFERROR(__xludf.DUMMYFUNCTION("GOOGLETRANSLATE(B10953, ""zh"", ""en"")"),"Not blow too slow writing speed is not black, not recommended to buy. Write speed is slow, home and office desktops were tried N times, photos, music files 6M per class, class movie 10M per second, halo. Extremely easy to stick gray housing, not easy to e"&amp;"rase.")</f>
        <v>Not blow too slow writing speed is not black, not recommended to buy. Write speed is slow, home and office desktops were tried N times, photos, music files 6M per class, class movie 10M per second, halo. Extremely easy to stick gray housing, not easy to erase.</v>
      </c>
    </row>
    <row r="10954">
      <c r="A10954" s="1">
        <v>4.0</v>
      </c>
      <c r="B10954" s="1" t="s">
        <v>10869</v>
      </c>
      <c r="C10954" t="str">
        <f>IFERROR(__xludf.DUMMYFUNCTION("GOOGLETRANSLATE(B10954, ""zh"", ""en"")"),"Worth buying orders to the receipt for six days, very fast speed. I have high 166, 125 pounds try a little, Shoulder Sleeve are just right, buttoned bust some tight, wear just open. Volume a bit this dress M size shoulder width is 42CM, Sleeve 59CM, Bust "&amp;"92CM, Length 55CM, clothes and fabrics are elastic, some wrinkles need ironing pressure can wear what clothes work is not very detailed and some need their own thread deal with it. We hope everyone can buy to help.")</f>
        <v>Worth buying orders to the receipt for six days, very fast speed. I have high 166, 125 pounds try a little, Shoulder Sleeve are just right, buttoned bust some tight, wear just open. Volume a bit this dress M size shoulder width is 42CM, Sleeve 59CM, Bust 92CM, Length 55CM, clothes and fabrics are elastic, some wrinkles need ironing pressure can wear what clothes work is not very detailed and some need their own thread deal with it. We hope everyone can buy to help.</v>
      </c>
    </row>
    <row r="10955">
      <c r="A10955" s="1">
        <v>4.0</v>
      </c>
      <c r="B10955" s="1" t="s">
        <v>10870</v>
      </c>
      <c r="C10955" t="str">
        <f>IFERROR(__xludf.DUMMYFUNCTION("GOOGLETRANSLATE(B10955, ""zh"", ""en"")"),"Deformation of the general bar, a deformation of boiling water")</f>
        <v>Deformation of the general bar, a deformation of boiling water</v>
      </c>
    </row>
    <row r="10956">
      <c r="A10956" s="1">
        <v>4.0</v>
      </c>
      <c r="B10956" s="1" t="s">
        <v>10871</v>
      </c>
      <c r="C10956" t="str">
        <f>IFERROR(__xludf.DUMMYFUNCTION("GOOGLETRANSLATE(B10956, ""zh"", ""en"")"),"Calendar is a deep flaw ah poisoning, but can not accept the calendar, open holes are not allowed, not any alignment, but also undermines the simplicity ... Virgo can not afford injuries. 31 female models no calendar, 33mm too small, ah Braun Braun")</f>
        <v>Calendar is a deep flaw ah poisoning, but can not accept the calendar, open holes are not allowed, not any alignment, but also undermines the simplicity ... Virgo can not afford injuries. 31 female models no calendar, 33mm too small, ah Braun Braun</v>
      </c>
    </row>
    <row r="10957">
      <c r="A10957" s="1">
        <v>4.0</v>
      </c>
      <c r="B10957" s="1" t="s">
        <v>10872</v>
      </c>
      <c r="C10957" t="str">
        <f>IFERROR(__xludf.DUMMYFUNCTION("GOOGLETRANSLATE(B10957, ""zh"", ""en"")"),"There have color other color very comfortable satisfaction")</f>
        <v>There have color other color very comfortable satisfaction</v>
      </c>
    </row>
    <row r="10958">
      <c r="A10958" s="1">
        <v>4.0</v>
      </c>
      <c r="B10958" s="1" t="s">
        <v>10873</v>
      </c>
      <c r="C10958" t="str">
        <f>IFERROR(__xludf.DUMMYFUNCTION("GOOGLETRANSLATE(B10958, ""zh"", ""en"")"),"Really comfortable shoes on the feet, goretex feel very cool, but probably just put need to run, walk more than a foot will hurt. Really comfortable shoes on the feet, goretex feel very cool, but probably just put need to run, walk more than a foot will h"&amp;"urt.")</f>
        <v>Really comfortable shoes on the feet, goretex feel very cool, but probably just put need to run, walk more than a foot will hurt. Really comfortable shoes on the feet, goretex feel very cool, but probably just put need to run, walk more than a foot will hurt.</v>
      </c>
    </row>
    <row r="10959">
      <c r="A10959" s="1">
        <v>5.0</v>
      </c>
      <c r="B10959" s="1" t="s">
        <v>10874</v>
      </c>
      <c r="C10959" t="str">
        <f>IFERROR(__xludf.DUMMYFUNCTION("GOOGLETRANSLATE(B10959, ""zh"", ""en"")"),"Suitable comfortable, size is just right, just right sleeve")</f>
        <v>Suitable comfortable, size is just right, just right sleeve</v>
      </c>
    </row>
    <row r="10960">
      <c r="A10960" s="1">
        <v>5.0</v>
      </c>
      <c r="B10960" s="1" t="s">
        <v>10875</v>
      </c>
      <c r="C10960" t="str">
        <f>IFERROR(__xludf.DUMMYFUNCTION("GOOGLETRANSLATE(B10960, ""zh"", ""en"")"),"lee flexible fabric, the right size I 173cm / 72kg waist, long pants are very appropriate, like color")</f>
        <v>lee flexible fabric, the right size I 173cm / 72kg waist, long pants are very appropriate, like color</v>
      </c>
    </row>
    <row r="10961">
      <c r="A10961" s="1">
        <v>5.0</v>
      </c>
      <c r="B10961" s="1" t="s">
        <v>2438</v>
      </c>
      <c r="C10961" t="str">
        <f>IFERROR(__xludf.DUMMYFUNCTION("GOOGLETRANSLATE(B10961, ""zh"", ""en"")"),"A satisfying shopping very fit, very comfortable, the price is very good!")</f>
        <v>A satisfying shopping very fit, very comfortable, the price is very good!</v>
      </c>
    </row>
    <row r="10962">
      <c r="A10962" s="1">
        <v>5.0</v>
      </c>
      <c r="B10962" s="1" t="s">
        <v>10876</v>
      </c>
      <c r="C10962" t="str">
        <f>IFERROR(__xludf.DUMMYFUNCTION("GOOGLETRANSLATE(B10962, ""zh"", ""en"")"),"Because flexible, buy a bigger size winter in Beijing, this is good enough, 177,67kg, wear LL No.")</f>
        <v>Because flexible, buy a bigger size winter in Beijing, this is good enough, 177,67kg, wear LL No.</v>
      </c>
    </row>
    <row r="10963">
      <c r="A10963" s="1">
        <v>5.0</v>
      </c>
      <c r="B10963" s="1" t="s">
        <v>10877</v>
      </c>
      <c r="C10963" t="str">
        <f>IFERROR(__xludf.DUMMYFUNCTION("GOOGLETRANSLATE(B10963, ""zh"", ""en"")"),"US shipments, goods have been received and look forward to the effect of the end of the day the cat bought two bottles of red, date too fresh, actually expire in October this year, I do not know the true and false. Now cheaper to buy overseas, rest assure"&amp;"d. Goods shipped from the United States, a week earlier than expected to, hoping to ease my sports injury knee!")</f>
        <v>US shipments, goods have been received and look forward to the effect of the end of the day the cat bought two bottles of red, date too fresh, actually expire in October this year, I do not know the true and false. Now cheaper to buy overseas, rest assured. Goods shipped from the United States, a week earlier than expected to, hoping to ease my sports injury knee!</v>
      </c>
    </row>
    <row r="10964">
      <c r="A10964" s="1">
        <v>5.0</v>
      </c>
      <c r="B10964" s="1" t="s">
        <v>10878</v>
      </c>
      <c r="C10964" t="str">
        <f>IFERROR(__xludf.DUMMYFUNCTION("GOOGLETRANSLATE(B10964, ""zh"", ""en"")"),"Comfortable thin section, the right size, feel comfortable.")</f>
        <v>Comfortable thin section, the right size, feel comfortable.</v>
      </c>
    </row>
    <row r="10965">
      <c r="A10965" s="1">
        <v>5.0</v>
      </c>
      <c r="B10965" s="1" t="s">
        <v>10879</v>
      </c>
      <c r="C10965" t="str">
        <f>IFERROR(__xludf.DUMMYFUNCTION("GOOGLETRANSLATE(B10965, ""zh"", ""en"")"),"Practical how should I say, use a can.")</f>
        <v>Practical how should I say, use a can.</v>
      </c>
    </row>
    <row r="10966">
      <c r="A10966" s="1">
        <v>5.0</v>
      </c>
      <c r="B10966" s="1" t="s">
        <v>10880</v>
      </c>
      <c r="C10966" t="str">
        <f>IFERROR(__xludf.DUMMYFUNCTION("GOOGLETRANSLATE(B10966, ""zh"", ""en"")"),"Value for money JBL306 MKII &lt;div id = ""video-block-R1ZYYRZV28AJQH"" class = ""a-section a-spacing-small a-spacing-top-mini video-block""&gt; &lt;div tabindex = ""0"" class = "" airy airy-svg vmin-unsupported airy-skin-beacon ""style ="" background-color: rgb ("&amp;"0, 0, 0); position: relative; width: 100%; height: 100%; font-size: 0px; overflow : hidden; outline: none; ""&gt; &lt;div class ="" airy-renderer-container ""style ="" position: relative; height: 100%; width: 100%; ""&gt; &lt;video id ="" 15 ""preload ="" auto ""src "&amp;"="" https://images-cn.ssl-images-amazon.com/images/I/A1Q-NCgvu0S.mp4 ""style ="" position: absolute; left: 0px; top: 0px; overflow: hidden; height : 1px; width: 1px; ""&gt; &lt;/ video&gt; &lt;/ div&gt; &lt;div id ="" airy-slate-preload ""style ="" background-color: rgb (0"&amp;", 0, 0); background-image: url ( &amp; quot; https: //images-cn.ssl-images-amazon.com/images/I/91snXFgTJgS.png&amp;quot;); background-size: contain; background-position: center center; background-repeat: no-repeat; position : absolute; top: 0px; left: 0px; visibi"&amp;"lity: visible; width: 100%; height: 100%; ""&gt; &lt;/ div&gt; &lt;iframe scrolling = ""no"" frameborder = ""0"" src = ""about: blank"" style = ""display: none;""&gt; &lt;/ iframe&gt; &lt;div tabindex = ""- 1"" class = ""airy-controls-container"" style = "" opacity: 0; visibilit"&amp;"y: hidden; ""&gt; &lt;div tabindex ="" - 1 ""class ="" airy-screen-size-toggle airy-fullscreen ""&gt; &lt;/ div&gt; &lt;div tabindex ="" - 1 ""class ="" airy- container-bottom ""&gt; &lt;div tabindex ="" - 1 ""class ="" airy-track-bar-spacer-left ""style ="" width: 11px; ""&gt; &lt;/ "&amp;"div&gt; &lt;div tabindex ="" - 1 ""class ="" airy-play-toggle airy-play ""style ="" width: 12px; margin-right: 12px; ""&gt; &lt;/ div&gt; &lt;div tabindex ="" - 1 ""class ="" airy-audio-elements ""style ="" float: right; width: 34px; ""&gt; &lt;div tabindex ="" - 1 ""class ="" a"&amp;"iry-audio-toggle airy-on ""&gt; &lt;/ div&gt; &lt;div tabindex ="" - 1 ""class ="" airy-audio-container "" style = ""opacity: 0; visibility: hidden;""&gt; &lt;div tabindex = ""- 1"" class = ""airy-audio-track-bar"" style = ""height: 80%;""&gt; &lt;div tabindex = ""- 1"" class = "&amp;"""airy-audio-scrubber-bar"" style = ""height: 85%;""&gt; &lt;/ div&gt; &lt;div tabindex = ""- 1"" class = ""airy-audio-scrubber"" style = ""height: 12px; bottom : 85%; ""&gt; &lt;/ div&gt; &lt;/ div&gt; &lt;/ div&gt; &lt;/ div&gt; &lt;div tabindex ="" - 1 ""class ="" airy-duration-l abel ""style "&amp;"="" float: right; width: 26px; margin-right: 4px; text-align: center; ""&gt; 0:17 &lt;/ div&gt; &lt;div tabindex ="" - 1 ""class ="" airy-track-bar -spacer-right ""style ="" float: right; width: 11px; ""&gt; &lt;/ div&gt; &lt;div tabindex ="" - 1 ""class ="" airy-track-bar-conta"&amp;"iner ""style ="" margin-left: 35px; margin-right: 75px; ""&gt; &lt;div tabindex ="" - 1 ""class ="" airy-track-bar airy-vertical-centering-table ""&gt; &lt;div tabindex ="" - 1 ""class ="" airy-vertical-centering- table-cell ""&gt; &lt;div tabindex ="" - 1 ""class ="" airy"&amp;"-track-bar-elements ""&gt; &lt;div tabindex ="" - 1 ""class ="" airy-progress-bar ""style ="" width: 6.42087%; ""&gt; &lt;/ div&gt; &lt;div tabindex ="" - 1 ""class ="" airy-scrubber-bar ""&gt; &lt;/ div&gt; &lt;div tabindex ="" - 1 ""class ="" airy-scrubber ""&gt; &lt;div tabindex ="" - 1 "&amp;"""class ="" airy-scrubber-icon ""&gt; &lt;/ div&gt; &lt;div tabindex ="" - 1 ""class ="" airy-adjusted-aui-tooltip ""style ="" opacity: 0; visibility: hidden; ""&gt; &lt;div tabindex = ""- 1"" class = ""airy-adjusted-aui-tooltip-inner""&gt; &lt;div tabindex = ""- 1"" class = ""a"&amp;"iry-current-time-label""&gt; 0:00 &lt;/ div&gt; &lt;/ div &gt; &lt;div tabindex = ""- 1"" class = ""airy-adjusted-aui-arrow-border""&gt; &lt;div tabindex = ""- 1"" class = ""airy-ad justed-aui-arrow ""&gt; &lt;/ div&gt; &lt;/ div&gt; &lt;/ div&gt; &lt;/ div&gt; &lt;/ div&gt; &lt;/ div&gt; &lt;/ div&gt; &lt;/ div&gt; &lt;/ div&gt; &lt;/ d"&amp;"iv&gt; &lt;div tabindex = ""- 1"" class = ""airy-age-gate airy-stage airy-vertical-centering-table airy-dialog"" style = ""opacity: 0; visibility: hidden;""&gt; &lt;div tabindex = ""- 1"" class = ""airy-age-gate-vertical-centering-table-cell airy-vertical-centering-t"&amp;"able-cell""&gt; &lt;div tabindex = ""- 1"" class = ""airy-vertical-centering-wrapper airy-age-gate-elements -wrapper ""&gt; &lt;div tabindex ="" - 1 ""class ="" airy-age-gate-elements airy-dialog-elements ""&gt; &lt;div tabindex ="" - 1 ""class ="" airy-age-gate-prompt ""&gt;"&amp;" This video is not intended for all audiences What date were you born &lt;/ div&gt; &lt;div tabindex = ""- 1"" class = ""airy-age-gate-inputs airy-dialog-inner-elements""&gt;.? &lt;select tabindex = "" -1 ""class ="" airy-age-gate-month ""&gt; &lt;option value ="" 1 ""&gt; Janua"&amp;"ry &lt;/ option&gt; &lt;option value ="" 2 ""&gt; February &lt;/ option&gt; &lt;option value ="" 3 ""&gt; March &lt;/ option&gt; &lt;option value = ""4""&gt; April &lt;/ option&gt; &lt;option value = ""5""&gt; May &lt;/ option&gt; &lt;option value = ""6""&gt; June &lt;/ option&gt; &lt;option value = ""7"" &gt; July &lt;/ option&gt;"&amp;" &lt;option value = ""8""&gt; August &lt;/ option&gt; &lt;option value = ""9""&gt; September &lt;/ option&gt; &lt;option value = ""10""&gt; October &lt;/ option&gt; &lt;option value = ""11""&gt; November &lt;/ option&gt; &lt;option value = ""12""&gt; December &lt;/ option&gt; &lt;/ select&gt; &lt;select tabindex = ""- 1"" "&amp;"class = ""airy-age-gate-day""&gt; &lt;option value = ""1""&gt; 1 &lt;/ option&gt; &lt;option value = ""2""&gt; 2 &lt;/ option&gt; &lt;option value = ""3""&gt; 3 &lt;/ option&gt; &lt;option value = ""4""&gt; 4 &lt;/ option&gt; &lt;option value = ""5""&gt; 5 &lt;/ option&gt; &lt;option value = ""6""&gt; 6 &lt;/ option&gt; &lt;option "&amp;"value = ""7""&gt; 7 &lt;/ option&gt; &lt;option value = ""8""&gt; 8 &lt;/ option&gt; &lt;option value = ""9""&gt; 9 &lt;/ option&gt; &lt;option value = ""10""&gt; 10 &lt;/ option&gt; &lt;option value = ""11""&gt; 11 &lt;/ option&gt; &lt;option value = ""12""&gt; 12 &lt;/ option&gt; &lt;option value = ""13""&gt; 13 &lt;/ option&gt; &lt;op"&amp;"tion value = ""14""&gt; 14 &lt;/ option&gt; &lt;option value = ""15""&gt; 15 &lt;/ option&gt; &lt;option value = ""16""&gt; 16 &lt;/ option&gt; &lt;option value = ""17""&gt; 17 &lt;/ option&gt; &lt;option value = ""18"" &gt; 18 &lt;/ option&gt; &lt;option value = ""19""&gt; 19 &lt;/ option&gt; &lt;option value = ""20""&gt; 20 &lt;/"&amp;" option&gt; &lt;option value = ""21""&gt; 21 &lt;/ option&gt; &lt;option value = "" 22 ""&gt; 22 &lt;/ option&gt; &lt;option value ="" 23 ""&gt; 23 &lt;/ option&gt; &lt;option value ="" 24 ""&gt; 24 &lt;/ option&gt; &lt;option value ="" 25 ""&gt; 25 &lt;/ option&gt; &lt;option value = ""26""&gt; 26 &lt;/ option&gt; &lt;option value"&amp;" = ""27""&gt; 27 &lt;/ option&gt; &lt;option value = ""28""&gt; 28 &lt; / Option&gt; &lt;option value = ""29""&gt; 29 &lt;/ option&gt; &lt;option value = ""30""&gt; 30 &lt;/ option&gt; &lt;option value = ""31""&gt; 31 &lt;/ option&gt; &lt;/ select&gt; &lt;select tabindex = ""-1"" class = ""airy-age-gate-year""&gt; &lt;option "&amp;"value = ""2019""&gt; 2019 &lt;/ option&gt; &lt;option value = ""2018""&gt; 2018 &lt;/ option&gt; &lt;option value = ""2017""&gt; 2017 &lt;/ option&gt; &lt;option value = ""2016""&gt; ​​2016 &lt;/ option&gt; &lt;option value = ""2015""&gt; 2015 &lt;/ option&gt; &lt;option value = ""2014""&gt; 2014 &lt;/ option&gt; &lt;option v"&amp;"alue = ""2013 ""&gt; 2013 &lt;/ option&gt; &lt;option value ="" 2012 ""&gt; 2012 &lt;/ option&gt; &lt;option value ="" 2011 ""&gt; 2011 &lt;/ option&gt; &lt;option value ="" 2010 ""&gt; 2010 &lt;/ option&gt; &lt;option value = ""2009""&gt; 2009 &lt;/ option&gt; &lt;option value = ""2008""&gt; 2008 &lt;/ option&gt; &lt;option "&amp;"value = ""2007""&gt; 2007 &lt;/ option&gt; &lt;option value = ""2006""&gt; 2006 &lt;/ option&gt; &lt;option value = ""2005""&gt; 2005 &lt;/ option&gt; &lt;option value = ""2004""&gt; 2004 &lt;/ option&gt; &lt;option value = ""2003""&gt; 2003 &lt;/ option&gt; &lt;option value = ""2002""&gt; 2002 &lt;/ option&gt; &lt;option val"&amp;"ue = ""2001""&gt; 2001 &lt;/ option&gt; &lt;option value = ""2000""&gt; 2000 &lt;/ option&gt; &lt;option value = ""1999""&gt; 1999 &lt;/ option&gt; &lt;option value = ""1998""&gt; 1998 &lt;/ option&gt; &lt;option value = ""1997""&gt; 1997 &lt;/ option&gt; &lt;option value = ""1996""&gt; 1996 &lt;/ option&gt; &lt;option value "&amp;"= ""1995""&gt; 1995 &lt;/ o ption&gt; &lt;option value = ""1994""&gt; 1994 &lt;/ option&gt; &lt;option value = ""1993""&gt; 1993 &lt;/ option&gt; &lt;option value = ""1992""&gt; 1992 &lt;/ option&gt; &lt;option value = ""1991""&gt; 1991 &lt;/ option&gt; &lt;option value = ""1990""&gt; 1990 &lt;/ option&gt; &lt;option value = "&amp;"""1989""&gt; 1989 &lt;/ option&gt; &lt;option value = ""1988""&gt; 1988 &lt;/ option&gt; &lt;option value = ""1987"" &gt; 1987 &lt;/ option&gt; &lt;option value = ""1986""&gt; 1986 &lt;/ option&gt; &lt;option value = ""1985""&gt; 1985 &lt;/ option&gt; &lt;option value = ""1984""&gt; 1984 &lt;/ option&gt; &lt;option value = """&amp;" 1983 ""&gt; 1983 &lt;/ option&gt; &lt;option value ="" 1982 ""&gt; 1982 &lt;/ option&gt; &lt;option value ="" 1981 ""&gt; 1981 &lt;/ option&gt; &lt;option value ="" 1980 ""&gt; 1980 &lt;/ option&gt; &lt;option value = ""1979""&gt; 1979 &lt;/ option&gt; &lt;option value = ""1978""&gt; 1978 &lt;/ option&gt; &lt;option value = "&amp;"""1977""&gt; 1977 &lt;/ option&gt; &lt;option value = ""1976""&gt; 1976 &lt;/ option&gt; &lt; option value = ""1975""&gt; 1975 &lt;/ option&gt; &lt;option value = ""1974""&gt; 1974 &lt;/ option&gt; &lt;option value = ""1973""&gt; 1973 &lt;/ option&gt; &lt;option value = ""1972""&gt; 1972 &lt;/ option &gt; &lt;option value = "&amp;"""1971""&gt; 1971 &lt;/ option&gt; &lt;option value = ""1970""&gt; 1970 &lt;/ option&gt; &lt;option value = ""1969""&gt; 1969 &lt;/ option&gt; &lt;option value = ""1968""&gt; 1968 &lt; / option&gt; &lt;option value = ""1967""&gt; 1967 &lt;/ option&gt; &lt;option value = ""1966""&gt; 1966 &lt;/ option&gt; &lt;option value = """&amp;"1965""&gt; 1965 &lt;/ option&gt; &lt;option value = ""1964""&gt; 1964 &lt;/ option&gt; &lt;option value = ""1963""&gt; 1963 &lt;/ option&gt; &lt;option value = ""1962""&gt; 1962 &lt;/ option&gt; &lt;option value = ""1961""&gt; 1961 &lt;/ option&gt; &lt;option value = ""1960""&gt; 1960 &lt;/ option&gt; &lt;option value = ""195"&amp;"9""&gt; 1959 &lt;/ option&gt; &lt;option value = ""1958""&gt; 1958 &lt;/ option&gt; &lt;option value = ""1957""&gt; 1957 &lt;/ option&gt; &lt;option value = ""1956""&gt; 1956 &lt;/ option&gt; &lt;option value = ""1955""&gt; 1955 &lt;/ option&gt; &lt;option value = ""1954""&gt; 1954 &lt;/ option&gt; &lt;option value = ""1953"""&amp;"&gt; 1953 &lt;/ option&gt; &lt;option value = ""1952""&gt; 1952 &lt;/ option&gt; &lt;option value = ""1951""&gt; 1951 &lt;/ option&gt; &lt;option value = ""1950"" &gt; 1950 &lt;/ option&gt; &lt;option value = ""1949""&gt; 1949 &lt;/ option&gt; &lt;option value = ""1948""&gt; 1948 &lt;/ option&gt; &lt;option value = ""1947""&gt; "&amp;"1947 &lt;/ option&gt; &lt;option value = "" 1946 ""&gt; 1946 &lt;/ option&gt; &lt;option value ="" 1945 ""&gt; 1945 &lt;/ option&gt; &lt;option value ="" 1944 ""&gt; 1944 &lt;/ option&gt; &lt;option value ="" 1943 ""&gt; 1943 &lt;/ option&gt; &lt;option value = ""1942""&gt; 1942 &lt;/ option&gt; &lt;option value = ""1941"""&amp;"&gt; 1941 &lt;/ option&gt; &lt;option value = ""1940""&gt; 1940 &lt;/ option&gt; &lt;option value = ""1939""&gt; 1939 &lt;/ option&gt; &lt; option value = ""1938""&gt; 1938 &lt;/ option&gt; &lt;option value = ""1937""&gt; 1937 &lt;/ option&gt; &lt;option value = ""1936""&gt; 1 936 &lt;/ option&gt; &lt;option value = ""1935""&gt;"&amp;" 1935 &lt;/ option&gt; &lt;option value = ""1934""&gt; 1934 &lt;/ option&gt; &lt;option value = ""1933""&gt; 1933 &lt;/ option&gt; &lt;option value = ""1932 ""&gt; 1932 &lt;/ option&gt; &lt;option value ="" 1931 ""&gt; 1931 &lt;/ option&gt; &lt;option value ="" 1930 ""&gt; 1930 &lt;/ option&gt; &lt;option value ="" 1929 """&amp;"&gt; 1929 &lt;/ option&gt; &lt;option value = ""1928""&gt; 1928 &lt;/ option&gt; &lt;option value = ""1927""&gt; 1927 &lt;/ option&gt; &lt;option value = ""1926""&gt; 1926 &lt;/ option&gt; &lt;option value = ""1925""&gt; 1925 &lt;/ option&gt; &lt;option value = ""1924""&gt; 1924 &lt;/ option&gt; &lt;option value = ""1923""&gt; 1"&amp;"923 &lt;/ option&gt; &lt;option value = ""1922""&gt; 1922 &lt;/ option&gt; &lt;option value = ""1921""&gt; 1921 &lt;/ option&gt; &lt;option value = ""1920""&gt; 1920 &lt;/ option&gt; &lt;option value = ""1919""&gt; 1919 &lt;/ option&gt; &lt;option value = ""1918""&gt; 1918 &lt;/ option&gt; &lt;option value = ""1917""&gt; 1917"&amp;" &lt;/ option&gt; &lt;option value = ""1916""&gt; 1916 &lt;/ option&gt; &lt;option value = ""1915""&gt; 1915 &lt;/ option&gt; &lt;option value = ""1914""&gt; 1914 &lt;/ option&gt; &lt;option value = ""1913""&gt; 1913 &lt;/ option&gt; &lt;option value = ""1912""&gt; 1912 &lt;/ option&gt; &lt;option value = ""1911""&gt; 1911 &lt;/"&amp;" option&gt; &lt;option value = ""1910""&gt; 1910 &lt;/ option&gt; &lt;option value = ""1909"" &gt; 1909 &lt;/ option&gt; &lt;option value = ""1908""&gt; 1908 &lt;/ option&gt; &lt;option value = ""1907""&gt; 1907 &lt;/ option&gt; &lt;o ption value = ""1906""&gt; 1906 &lt;/ option&gt; &lt;option value = ""1905""&gt; 1905 &lt;/ "&amp;"option&gt; &lt;option value = ""1904""&gt; 1904 &lt;/ option&gt; &lt;option value = ""1903""&gt; 1903 &lt;/ option &gt; &lt;option value = ""1902""&gt; 1902 &lt;/ option&gt; &lt;option value = ""1901""&gt; 1901 &lt;/ option&gt; &lt;option value = ""1900""&gt; 1900 &lt;/ option&gt; &lt;/ select&gt; &lt;div tabindex = ""- 1 ""c"&amp;"lass ="" airy-age-gate-submit airy-submit airy-button airy-submit-disabled ""&gt; Submit &lt;/ div&gt; &lt;/ div&gt; &lt;/ div&gt; &lt;/ div&gt; &lt;/ div&gt; &lt;/ div&gt; &lt;div tabindex = ""- 1"" class = ""airy-install-flash-dialog airy-stage airy-vertical-centering-table airy-dialog airy-den"&amp;"ied"" style = ""opacity: 0; visibility: hidden;""&gt; &lt;div tabindex = ""- 1"" class = ""airy-install-flash-vertical-centering-table-cell airy-vertical-centering-table-cell""&gt; &lt;div tabindex = ""- 1"" class = ""airy-vertical-centering- wrapper airy-install-fla"&amp;"sh-elements-wrapper ""&gt; &lt;div tabindex ="" - 1 ""class ="" airy-install-flash-elements airy-dialog-elements ""&gt; &lt;div tabindex ="" - 1 ""class ="" airy- install-flash-prompt ""&gt; Adobe Flash Player is required to watch this video &lt;/ div&gt; &lt;div tabindex =."" -"&amp;" 1 ""class ="" airy-install-flash-button-wrapper airy-dialo g-inner-elements ""&gt; &lt;div tabindex ="" - 1 ""class ="" airy-install-flash-button airy-button ""&gt; Install Flash Player &lt;/ div&gt; &lt;/ div&gt; &lt;/ div&gt; &lt;/ div&gt; &lt; / div&gt; &lt;/ div&gt; &lt;div tabindex = ""- 1"" clas"&amp;"s = ""airy-video-unsupported-dialog airy-stage airy-vertical-centering-table airy-dialog airy-denied"" style = ""opacity: 0; visibility : hidden; ""&gt; &lt;div tabindex ="" - 1 ""class ="" airy-video-unsupported-vertical-centering-table-cell airy-vertical-cent"&amp;"ering-table-cell ""&gt; &lt;div tabindex ="" - 1 ""class = ""airy-vertical-centering-wrapper airy-video-unsupported-elements-wrapper""&gt; &lt;div tabindex = ""- 1"" class = ""airy-video-unsupported-elements airy-dialog-elements""&gt; &lt;div tabindex = ""- 1 ""class ="" a"&amp;"iry-video-unsupported-prompt ""&gt; &lt;/ div&gt; &lt;/ div&gt; &lt;/ div&gt; &lt;/ div&gt; &lt;/ div&gt; &lt;div tabindex ="" - 1 ""class ="" airy-loading-spinner -stage airy-stage ""&gt; &lt;div tabindex ="" - 1 ""class ="" airy-loading-spinner-vertical-centering-table-cell airy-vertical-center"&amp;"ing-table-cell ""&gt; &lt;div tabindex ="" - 1 "" class = ""airy-loading-spinner-container airy-scalable-hint-container""&gt; &lt;div tabindex = ""- 1"" class = ""airy-loading-spinner-dummy airy-scalable-dummy ""&gt; &lt;/ div&gt; &lt;div tabindex ="" - 1 ""class ="" airy-loadin"&amp;"g-spinner airy-hint ""style ="" visibility: hidden; ""&gt; &lt;/ div&gt; &lt;/ div&gt; &lt;/ div&gt; &lt;/ div&gt; &lt;div tabindex = ""- 1"" class = ""airy-ads-screen-size-toggle airy-screen-size-toggle airy-fullscreen"" style = ""visibility: hidden;""&gt; &lt;/ div&gt; &lt;div tabindex = ""- 1"&amp;""" class = ""airy-ad-prompt-container"" style = ""visibility: hidden;""&gt; &lt;div tabindex = ""- 1"" class = ""airy-ad-prompt-vertical-centering-table airy-vertical-centering-table ""&gt; &lt;div tabindex ="" - 1 ""class ="" airy-ad-prompt-vertical-centering-table-"&amp;"cell airy-vertical-centering-table-cell ""&gt; &lt;div tabindex ="" - 1 ""class ="" airy-ad-prompt-label ""&gt; &lt;/ div&gt; &lt;/ div&gt; &lt;/ div&gt; &lt;/ div&gt; &lt;div tabindex ="" - 1 ""class ="" airy-ads-controls-container ""style = ""visibility: hidden;""&gt; &lt;div tabindex = ""- 1"""&amp;" class = ""airy-ads-audio-toggle airy-audio-toggle airy-on"" style = ""visibility: hidden;""&gt; &lt;/ div&gt; &lt;div tabindex = ""- 1"" class = ""airy-time-remaining-label-container""&gt; &lt;div tabindex = ""- 1"" class = ""airy-time-remaining-vertical-centering-table a"&amp;"iry-vertical-centering-table"" &gt; &lt;div tabindex = ""- 1"" cl ass = ""airy-time-remaining-vertical-centering-table-cell airy-vertical-centering-table-cell""&gt; &lt;div tabindex = ""- 1"" class = ""airy-vertical-centering-wrapper airy-time-remaining -label-wrappe"&amp;"r ""&gt; &lt;div tabindex ="" - 1 ""class ="" airy-time-remaining-label ""style ="" visibility: hidden; ""&gt; &lt;/ div&gt; &lt;div tabindex ="" - 1 ""class ="" airy -ad-skip ""style ="" visibility: hidden; ""&gt; &lt;/ div&gt; &lt;div tabindex ="" - 1 ""class ="" airy-ad-end ""style"&amp;" ="" visibility: hidden; ""&gt; &lt;/ div&gt; &lt;/ div&gt; &lt;/ div&gt; &lt;/ div&gt; &lt;/ div&gt; &lt;div tabindex = ""- 1"" class = ""airy-learn-more"" style = ""visibility: hidden;""&gt; &lt;/ div&gt; &lt;/ div&gt; &lt;div tabindex = ""- 1"" class = ""airy-play-toggle-hint-stage airy-stage airy-cursor"&amp;"""&gt; &lt;div tabindex = ""- 1"" class = ""airy-play-toggle-hint-vertical-centering-table -cell airy-vertical-centering-table-cell airy-cursor ""&gt; &lt;div tabindex ="" - 1 ""class ="" airy-play-toggle-hint-container airy-scalable-hint-container ""&gt; &lt;div tabindex "&amp;"="" -1 ""class ="" airy-play-toggle-hint-dummy airy-scalable-dummy ""&gt; &lt;/ div&gt; &lt;div tabindex ="" - 1 ""class ="" airy-play-toggle-hint airy-hint airy-play -hint ""style ="" opacity: 1; visibilit y: visible; ""&gt; &lt;/ div&gt; &lt;/ div&gt; &lt;/ div&gt; &lt;/ div&gt; &lt;div tabinde"&amp;"x ="" - 1 ""class ="" airy-replay-hint-stage airy-stage ""style ="" visibility: hidden ; ""&gt; &lt;div tabindex ="" - 1 ""class ="" airy-replay-hint-vertical-centering-table-cell airy-vertical-centering-table-cell airy-cursor ""&gt; &lt;div tabindex ="" - 1 ""class "&amp;"= ""airy-replay-hint-container airy-scalable-hint-container""&gt; &lt;div tabindex = ""- 1"" class = ""airy-replay-hint-dummy airy-scalable-dummy""&gt; &lt;/ div&gt; &lt;div tabindex = ""- 1"" class = ""airy-replay-hint airy-hint""&gt; &lt;/ div&gt; &lt;/ div&gt; &lt;/ div&gt; &lt;/ div&gt; &lt;div tab"&amp;"index = ""- 1"" class = ""airy-autoplay-hint -stage airy-stage ""style ="" visibility: hidden; ""&gt; &lt;div tabindex ="" - 1 ""class ="" airy-autoplay-hint-vertical-centering-table-cell airy-vertical-centering-table-cell airy- cursor ""&gt; &lt;div tabindex ="" - 1"&amp;" ""class ="" airy-autoplay-hint-container airy-scalable-hint-container ""&gt; &lt;div tabindex ="" - 1 ""class ="" airy-autoplay-hint-dummy airy- scalable-dummy ""&gt; &lt;/ div&gt; &lt;/ div&gt; &lt;/ div&gt; &lt;/ div&gt; &lt;/ div&gt; &lt;/ div&gt; &lt;input type ="" hidden ""name ="" ""value ="" ht"&amp;"tps: // images-cn .ssl-images-amazon.com / images / I / A1Q-NCgvu0S.mp4 ""class ="" video-url ""&gt; &lt;input type ="" hidden ""name ="" ""value ="" https://images-cn.ssl-images-amazon.com/images/I/91snXFgTJgS.png ""class ="" video-slate- img-url ""&gt; &amp; nbsp; J"&amp;"BL306 do not know why the price will be lower than how JBL305. But this is not just it? The JBL LSR305 State Bank of red sold, posted a little money to buy the JBL306MKII. Really do not regret it, heard the cool, obviously not enough bass dive LSR305 is n"&amp;"o way of comparing .306MKII. 306MKII very soft voice Naiting, no LSR305 scraping ear. And bass dive density in a small volume of very full, perfect. But there are local 306 stickers torn off, what the hell?")</f>
        <v>Value for money JBL306 MKII &lt;div id = "video-block-R1ZYYRZV28AJQH" class = "a-section a-spacing-small a-spacing-top-mini video-block"&gt; &lt;div tabindex = "0" class = " airy airy-svg vmin-unsupported airy-skin-beacon "style =" background-color: rgb (0, 0, 0); position: relative; width: 100%; height: 100%; font-size: 0px; overflow : hidden; outline: none; "&gt; &lt;div class =" airy-renderer-container "style =" position: relative; height: 100%; width: 100%; "&gt; &lt;video id =" 15 "preload =" auto "src =" https://images-cn.ssl-images-amazon.com/images/I/A1Q-NCgvu0S.mp4 "style =" position: absolute; left: 0px; top: 0px; overflow: hidden; height : 1px; width: 1px; "&gt; &lt;/ video&gt; &lt;/ div&gt; &lt;div id =" airy-slate-preload "style =" background-color: rgb (0, 0, 0); background-image: url ( &amp; quot; https: //images-cn.ssl-images-amazon.com/images/I/91snXFgTJgS.png&amp;quot;); background-size: contain; background-position: center center; background-repeat: no-repeat; position : absolute; top: 0px; left: 0px; visibility: visible; width: 100%; height: 100%; "&gt; &lt;/ div&gt; &lt;iframe scrolling = "no" frameborder = "0" src = "about: blank" style = "display: none;"&gt; &lt;/ iframe&gt; &lt;div tabindex = "- 1" class = "airy-controls-container" style = " opacity: 0; visibility: hidden; "&gt; &lt;div tabindex =" - 1 "class =" airy-screen-size-toggle airy-fullscreen "&gt; &lt;/ div&gt; &lt;div tabindex =" - 1 "class =" airy- container-bottom "&gt; &lt;div tabindex =" - 1 "class =" airy-track-bar-spacer-left "style =" width: 11px; "&gt; &lt;/ div&gt; &lt;div tabindex =" - 1 "class =" airy-play-toggle airy-play "style =" width: 12px; margin-right: 12px; "&gt; &lt;/ div&gt; &lt;div tabindex =" - 1 "class =" airy-audio-elements "style =" float: right; width: 34px; "&gt; &lt;div tabindex =" - 1 "class =" airy-audio-toggle airy-on "&gt; &lt;/ div&gt; &lt;div tabindex =" - 1 "class =" airy-audio-container " style = "opacity: 0; visibility: hidden;"&gt; &lt;div tabindex = "- 1" class = "airy-audio-track-bar" style = "height: 80%;"&gt; &lt;div tabindex = "- 1" class = "airy-audio-scrubber-bar" style = "height: 85%;"&gt; &lt;/ div&gt; &lt;div tabindex = "- 1" class = "airy-audio-scrubber" style = "height: 12px; bottom : 85%; "&gt; &lt;/ div&gt; &lt;/ div&gt; &lt;/ div&gt; &lt;/ div&gt; &lt;div tabindex =" - 1 "class =" airy-duration-l abel "style =" float: right; width: 26px; margin-right: 4px; text-align: center; "&gt; 0:17 &lt;/ div&gt; &lt;div tabindex =" - 1 "class =" airy-track-bar -spacer-right "style =" float: right; width: 11px; "&gt; &lt;/ div&gt; &lt;div tabindex =" - 1 "class =" airy-track-bar-container "style =" margin-left: 35px; margin-right: 75px; "&gt; &lt;div tabindex =" - 1 "class =" airy-track-bar airy-vertical-centering-table "&gt; &lt;div tabindex =" - 1 "class =" airy-vertical-centering- table-cell "&gt; &lt;div tabindex =" - 1 "class =" airy-track-bar-elements "&gt; &lt;div tabindex =" - 1 "class =" airy-progress-bar "style =" width: 6.42087%; "&gt; &lt;/ div&gt; &lt;div tabindex =" - 1 "class =" airy-scrubber-bar "&gt; &lt;/ div&gt; &lt;div tabindex =" - 1 "class =" airy-scrubber "&gt; &lt;div tabindex =" - 1 "class =" airy-scrubber-icon "&gt; &lt;/ div&gt; &lt;div tabindex =" - 1 "class =" airy-adjusted-aui-tooltip "style =" opacity: 0; visibility: hidden; "&gt; &lt;div tabindex = "- 1" class = "airy-adjusted-aui-tooltip-inner"&gt; &lt;div tabindex = "- 1" class = "airy-current-time-label"&gt; 0:00 &lt;/ div&gt; &lt;/ div &gt; &lt;div tabindex = "- 1" class = "airy-adjusted-aui-arrow-border"&gt; &lt;div tabindex = "- 1" class = "airy-ad justed-aui-arrow "&gt; &lt;/ div&gt; &lt;/ div&gt; &lt;/ div&gt; &lt;/ div&gt; &lt;/ div&gt; &lt;/ div&gt; &lt;/ div&gt; &lt;/ div&gt; &lt;/ div&gt; &lt;/ div&gt; &lt;div tabindex = "- 1" class = "airy-age-gate airy-stage airy-vertical-centering-table airy-dialog" style = "opacity: 0; visibility: hidden;"&gt; &lt;div tabindex = "- 1" class = "airy-age-gate-vertical-centering-table-cell airy-vertical-centering-table-cell"&gt; &lt;div tabindex = "- 1" class = "airy-vertical-centering-wrapper airy-age-gate-elements -wrapper "&gt; &lt;div tabindex =" - 1 "class =" airy-age-gate-elements airy-dialog-elements "&gt; &lt;div tabindex =" - 1 "class =" airy-age-gate-prompt "&gt; This video is not intended for all audiences What date were you born &lt;/ div&gt; &lt;div tabindex = "- 1" class = "airy-age-gate-inputs airy-dialog-inner-elements"&gt;.? &lt;select tabindex = " -1 "class =" airy-age-gate-month "&gt; &lt;option value =" 1 "&gt; January &lt;/ option&gt; &lt;option value =" 2 "&gt; February &lt;/ option&gt; &lt;option value =" 3 "&gt; March &lt;/ option&gt; &lt;option value = "4"&gt; April &lt;/ option&gt; &lt;option value = "5"&gt; May &lt;/ option&gt; &lt;option value = "6"&gt; June &lt;/ option&gt; &lt;option value = "7" &gt;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&lt;option value = "1"&gt; 1 &lt;/ option&gt; &lt;option value = "2"&gt; 2 &lt;/ option&gt; &lt;option value = "3"&gt; 3 &lt;/ option&gt; &lt;option value = "4"&gt; 4 &lt;/ option&gt; &lt;option value = "5"&gt; 5 &lt;/ option&gt; &lt;option value = "6"&gt; 6 &lt;/ option&gt; &lt;option value = "7"&gt; 7 &lt;/ option&gt; &lt;option value = "8"&gt; 8 &lt;/ option&gt; &lt;option value = "9"&gt; 9 &lt;/ option&gt; &lt;option value = "10"&gt; 10 &lt;/ option&gt; &lt;option value = "11"&gt; 11 &lt;/ option&gt; &lt;option value = "12"&gt; 12 &lt;/ option&gt; &lt;option value = "13"&gt; 13 &lt;/ option&gt; &lt;option value = "14"&gt; 14 &lt;/ option&gt; &lt;option value = "15"&gt; 15 &lt;/ option&gt; &lt;option value = "16"&gt; 16 &lt;/ option&gt; &lt;option value = "17"&gt; 17 &lt;/ option&gt; &lt;option value = "18" &gt; 18 &lt;/ option&gt; &lt;option value = "19"&gt; 19 &lt;/ option&gt; &lt;option value = "20"&gt; 20 &lt;/ option&gt; &lt;option value = "21"&gt; 21 &lt;/ option&gt; &lt;option value = " 22 "&gt; 22 &lt;/ option&gt; &lt;option value =" 23 "&gt; 23 &lt;/ option&gt; &lt;option value =" 24 "&gt; 24 &lt;/ option&gt; &lt;option value =" 25 "&gt; 25 &lt;/ option&gt; &lt;option value = "26"&gt; 26 &lt;/ option&gt; &lt;option value = "27"&gt; 27 &lt;/ option&gt; &lt;option value = "28"&gt; 28 &lt; / Option&gt; &lt;option value = "29"&gt; 29 &lt;/ option&gt; &lt;option value = "30"&gt; 30 &lt;/ option&gt; &lt;option value = "31"&gt; 31 &lt;/ option&gt; &lt;/ select&gt; &lt;select tabindex = "-1" class = "airy-age-gate-year"&gt; &lt;option value = "2019"&gt; 2019 &lt;/ option&gt; &lt;option value = "2018"&gt; 2018 &lt;/ option&gt; &lt;option value = "2017"&gt; 2017 &lt;/ option&gt; &lt;option value = "2016"&gt; ​​2016 &lt;/ option&gt; &lt;option value = "2015"&gt; 2015 &lt;/ option&gt; &lt;option value = "2014"&gt; 2014 &lt;/ option&gt; &lt;option value = "2013 "&gt; 2013 &lt;/ option&gt; &lt;option value =" 2012 "&gt; 2012 &lt;/ option&gt; &lt;option value =" 2011 "&gt; 2011 &lt;/ option&gt; &lt;option value =" 2010 "&gt;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"2003"&gt; 2003 &lt;/ option&gt; &lt;option value = "2002"&gt; 2002 &lt;/ option&gt; &lt;option value = "2001"&gt; 2001 &lt;/ option&gt; &lt;option value = "2000"&gt; 2000 &lt;/ option&gt; &lt;option value = "1999"&gt; 1999 &lt;/ option&gt; &lt;option value = "1998"&gt; 1998 &lt;/ option&gt; &lt;option value = "1997"&gt; 1997 &lt;/ option&gt; &lt;option value = "1996"&gt; 1996 &lt;/ option&gt; &lt;option value = "1995"&gt; 1995 &lt;/ o ption&gt; &lt;option value = "1994"&gt; 1994 &lt;/ option&gt; &lt;option value = "1993"&gt; 1993 &lt;/ option&gt; &lt;option value = "1992"&gt; 1992 &lt;/ option&gt; &lt;option value = "1991"&gt; 1991 &lt;/ option&gt; &lt;option value = "1990"&gt; 1990 &lt;/ option&gt; &lt;option value = "1989"&gt; 1989 &lt;/ option&gt; &lt;option value = "1988"&gt; 1988 &lt;/ option&gt; &lt;option value = "1987" &gt; 1987 &lt;/ option&gt; &lt;option value = "1986"&gt; 1986 &lt;/ option&gt; &lt;option value = "1985"&gt; 1985 &lt;/ option&gt; &lt;option value = "1984"&gt; 1984 &lt;/ option&gt; &lt;option value = " 1983 "&gt; 1983 &lt;/ option&gt; &lt;option value =" 1982 "&gt; 1982 &lt;/ option&gt; &lt;option value =" 1981 "&gt; 1981 &lt;/ option&gt; &lt;option value =" 1980 "&gt; 1980 &lt;/ option&gt; &lt;option value = "1979"&gt; 1979 &lt;/ option&gt; &lt;option value = "1978"&gt; 1978 &lt;/ option&gt; &lt;option value = "1977"&gt; 1977 &lt;/ option&gt; &lt;option value = "1976"&gt; 1976 &lt;/ option&gt; &lt; option value = "1975"&gt; 1975 &lt;/ option&gt; &lt;option value = "1974"&gt; 1974 &lt;/ option&gt; &lt;option value = "1973"&gt; 1973 &lt;/ option&gt; &lt;option value = "1972"&gt; 1972 &lt;/ option &gt; &lt;option value = "1971"&gt; 1971 &lt;/ option&gt; &lt;option value = "1970"&gt; 1970 &lt;/ option&gt; &lt;option value = "1969"&gt; 1969 &lt;/ option&gt; &lt;option value = "1968"&gt; 1968 &lt; / option&gt; &lt;option value = "1967"&gt; 1967 &lt;/ option&gt; &lt;option value = "1966"&gt; 1966 &lt;/ option&gt; &lt;option value = "1965"&gt; 1965 &lt;/ option&gt; &lt;option value = "1964"&gt; 1964 &lt;/ option&gt; &lt;option value = "1963"&gt; 1963 &lt;/ option&gt; &lt;option value = "1962"&gt; 1962 &lt;/ option&gt; &lt;option value = "1961"&gt; 1961 &lt;/ option&gt; &lt;option value = "1960"&gt; 1960 &lt;/ option&gt;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"1952"&gt; 1952 &lt;/ option&gt; &lt;option value = "1951"&gt; 1951 &lt;/ option&gt; &lt;option value = "1950" &gt; 1950 &lt;/ option&gt; &lt;option value = "1949"&gt; 1949 &lt;/ option&gt; &lt;option value = "1948"&gt; 1948 &lt;/ option&gt; &lt;option value = "1947"&gt; 1947 &lt;/ option&gt; &lt;option value = " 1946 "&gt; 1946 &lt;/ option&gt; &lt;option value =" 1945 "&gt; 1945 &lt;/ option&gt; &lt;option value =" 1944 "&gt; 1944 &lt;/ option&gt; &lt;option value =" 1943 "&gt; 1943 &lt;/ option&gt; &lt;option value = "1942"&gt; 1942 &lt;/ option&gt; &lt;option value = "1941"&gt; 1941 &lt;/ option&gt; &lt;option value = "1940"&gt; 1940 &lt;/ option&gt; &lt;option value = "1939"&gt; 1939 &lt;/ option&gt; &lt; option value = "1938"&gt; 1938 &lt;/ option&gt; &lt;option value = "1937"&gt; 1937 &lt;/ option&gt; &lt;option value = "1936"&gt; 1 936 &lt;/ option&gt; &lt;option value = "1935"&gt; 1935 &lt;/ option&gt; &lt;option value = "1934"&gt; 1934 &lt;/ option&gt; &lt;option value = "1933"&gt; 1933 &lt;/ option&gt; &lt;option value = "1932 "&gt; 1932 &lt;/ option&gt; &lt;option value =" 1931 "&gt; 1931 &lt;/ option&gt; &lt;option value =" 1930 "&gt; 1930 &lt;/ option&gt; &lt;option value =" 1929 "&gt;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"1915"&gt; 1915 &lt;/ option&gt; &lt;option value = "1914"&gt; 1914 &lt;/ option&gt; &lt;option value = "1913"&gt; 1913 &lt;/ option&gt; &lt;option value = "1912"&gt; 1912 &lt;/ option&gt; &lt;option value = "1911"&gt; 1911 &lt;/ option&gt; &lt;option value = "1910"&gt; 1910 &lt;/ option&gt; &lt;option value = "1909" &gt; 1909 &lt;/ option&gt; &lt;option value = "1908"&gt; 1908 &lt;/ option&gt; &lt;option value = "1907"&gt; 1907 &lt;/ option&gt; &lt;o ption value = "1906"&gt; 1906 &lt;/ option&gt; &lt;option value = "1905"&gt; 1905 &lt;/ option&gt; &lt;option value = "1904"&gt; 1904 &lt;/ option&gt; &lt;option value = "1903"&gt; 1903 &lt;/ option &gt; &lt;option value = "1902"&gt; 1902 &lt;/ option&gt; &lt;option value = "1901"&gt; 1901 &lt;/ option&gt; &lt;option value = "1900"&gt; 1900 &lt;/ option&gt; &lt;/ select&gt; &lt;div tabindex = "- 1 "class =" airy-age-gate-submit airy-submit airy-button airy-submit-disabled "&gt; Submit &lt;/ div&gt; &lt;/ div&gt; &lt;/ div&gt; &lt;/ div&gt; &lt;/ div&gt; &lt;/ div&gt; &lt;div tabindex = "- 1" class = "airy-install-flash-dialog airy-stage airy-vertical-centering-table airy-dialog airy-denied" style = "opacity: 0; visibility: hidden;"&gt; &lt;div tabindex = "- 1" class = "airy-install-flash-vertical-centering-table-cell airy-vertical-centering-table-cell"&gt; &lt;div tabindex = "- 1" class = "airy-vertical-centering- wrapper airy-install-flash-elements-wrapper "&gt; &lt;div tabindex =" - 1 "class =" airy-install-flash-elements airy-dialog-elements "&gt; &lt;div tabindex =" - 1 "class =" airy- install-flash-prompt "&gt; Adobe Flash Player is required to watch this video &lt;/ div&gt; &lt;div tabindex =." - 1 "class =" airy-install-flash-button-wrapper airy-dialo g-inner-elements "&gt; &lt;div tabindex =" - 1 "class =" airy-install-flash-button airy-button "&gt; Install Flash Player &lt;/ div&gt; &lt;/ div&gt; &lt;/ div&gt; &lt;/ div&gt; &lt; / div&gt; &lt;/ div&gt; &lt;div tabindex = "- 1" class = "airy-video-unsupported-dialog airy-stage airy-vertical-centering-table airy-dialog airy-denied" style = "opacity: 0; visibility : hidden; "&gt; &lt;div tabindex =" - 1 "class =" airy-video-unsupported-vertical-centering-table-cell airy-vertical-centering-table-cell "&gt; &lt;div tabindex =" - 1 "class = "airy-vertical-centering-wrapper airy-video-unsupported-elements-wrapper"&gt; &lt;div tabindex = "- 1" class = "airy-video-unsupported-elements airy-dialog-elements"&gt; &lt;div tabindex = "- 1 "class =" airy-video-unsupported-prompt "&gt; &lt;/ div&gt; &lt;/ div&gt; &lt;/ div&gt; &lt;/ div&gt; &lt;/ div&gt; &lt;div tabindex =" - 1 "class =" airy-loading-spinner -stage airy-stage "&gt; &lt;div tabindex =" - 1 "class =" airy-loading-spinner-vertical-centering-table-cell airy-vertical-centering-table-cell "&gt; &lt;div tabindex =" - 1 " class = "airy-loading-spinner-container airy-scalable-hint-container"&gt; &lt;div tabindex = "- 1" class = "airy-loading-spinner-dummy airy-scalable-dummy "&gt; &lt;/ div&gt; &lt;div tabindex =" - 1 "class =" airy-loading-spinner airy-hint "style =" visibility: hidden; "&gt; &lt;/ div&gt; &lt;/ div&gt; &lt;/ div&gt; &lt;/ div&gt; &lt;div tabindex = "- 1" class = "airy-ads-screen-size-toggle airy-screen-size-toggle airy-fullscreen" style = "visibility: hidden;"&gt; &lt;/ div&gt; &lt;div tabindex = "- 1" class = "airy-ad-prompt-container" style = "visibility: hidden;"&gt; &lt;div tabindex = "- 1" class = "airy-ad-prompt-vertical-centering-table airy-vertical-centering-table "&gt; &lt;div tabindex =" - 1 "class =" airy-ad-prompt-vertical-centering-table-cell airy-vertical-centering-table-cell "&gt; &lt;div tabindex =" - 1 "class =" airy-ad-prompt-label "&gt; &lt;/ div&gt; &lt;/ div&gt; &lt;/ div&gt; &lt;/ div&gt; &lt;div tabindex =" - 1 "class =" airy-ads-controls-container "style = "visibility: hidden;"&gt; &lt;div tabindex = "- 1" class = "airy-ads-audio-toggle airy-audio-toggle airy-on" style = "visibility: hidden;"&gt; &lt;/ div&gt; &lt;div tabindex = "- 1" class = "airy-time-remaining-label-container"&gt; &lt;div tabindex = "- 1" class = "airy-time-remaining-vertical-centering-table airy-vertical-centering-table" &gt; &lt;div tabindex = "- 1" cl ass = "airy-time-remaining-vertical-centering-table-cell airy-vertical-centering-table-cell"&gt; &lt;div tabindex = "- 1" class = "airy-vertical-centering-wrapper airy-time-remaining -label-wrapper "&gt; &lt;div tabindex =" - 1 "class =" airy-time-remaining-label "style =" visibility: hidden; "&gt; &lt;/ div&gt; &lt;div tabindex =" - 1 "class =" airy -ad-skip "style =" visibility: hidden; "&gt; &lt;/ div&gt; &lt;div tabindex =" - 1 "class =" airy-ad-end "style =" visibility: hidden; "&gt; &lt;/ div&gt; &lt;/ div&gt; &lt;/ div&gt; &lt;/ div&gt; &lt;/ div&gt; &lt;div tabindex = "- 1" class = "airy-learn-more" style = "visibility: hidden;"&gt; &lt;/ div&gt; &lt;/ div&gt; &lt;div tabindex = "- 1" class = "airy-play-toggle-hint-stage airy-stage airy-cursor"&gt; &lt;div tabindex = "- 1" class = "airy-play-toggle-hint-vertical-centering-table -cell airy-vertical-centering-table-cell airy-cursor "&gt; &lt;div tabindex =" - 1 "class =" airy-play-toggle-hint-container airy-scalable-hint-container "&gt; &lt;div tabindex =" -1 "class =" airy-play-toggle-hint-dummy airy-scalable-dummy "&gt; &lt;/ div&gt; &lt;div tabindex =" - 1 "class =" airy-play-toggle-hint airy-hint airy-play -hint "style =" opacity: 1; visibilit y: visible; "&gt; &lt;/ div&gt; &lt;/ div&gt; &lt;/ div&gt; &lt;/ div&gt; &lt;div tabindex =" - 1 "class =" airy-replay-hint-stage airy-stage "style =" visibility: hidden ; "&gt; &lt;div tabindex =" - 1 "class =" airy-replay-hint-vertical-centering-table-cell airy-vertical-centering-table-cell airy-cursor "&gt; &lt;div tabindex =" - 1 "class = "airy-replay-hint-container airy-scalable-hint-container"&gt; &lt;div tabindex = "- 1" class = "airy-replay-hint-dummy airy-scalable-dummy"&gt; &lt;/ div&gt; &lt;div tabindex = "- 1" class = "airy-replay-hint airy-hint"&gt; &lt;/ div&gt; &lt;/ div&gt; &lt;/ div&gt; &lt;/ div&gt; &lt;div tabindex = "- 1" class = "airy-autoplay-hint -stage airy-stage "style =" visibility: hidden; "&gt; &lt;div tabindex =" - 1 "class =" airy-autoplay-hint-vertical-centering-table-cell airy-vertical-centering-table-cell airy- cursor "&gt; &lt;div tabindex =" - 1 "class =" airy-autoplay-hint-container airy-scalable-hint-container "&gt; &lt;div tabindex =" - 1 "class =" airy-autoplay-hint-dummy airy- scalable-dummy "&gt; &lt;/ div&gt; &lt;/ div&gt; &lt;/ div&gt; &lt;/ div&gt; &lt;/ div&gt; &lt;/ div&gt; &lt;input type =" hidden "name =" "value =" https: // images-cn .ssl-images-amazon.com / images / I / A1Q-NCgvu0S.mp4 "class =" video-url "&gt; &lt;input type =" hidden "name =" "value =" https://images-cn.ssl-images-amazon.com/images/I/91snXFgTJgS.png "class =" video-slate- img-url "&gt; &amp; nbsp; JBL306 do not know why the price will be lower than how JBL305. But this is not just it? The JBL LSR305 State Bank of red sold, posted a little money to buy the JBL306MKII. Really do not regret it, heard the cool, obviously not enough bass dive LSR305 is no way of comparing .306MKII. 306MKII very soft voice Naiting, no LSR305 scraping ear. And bass dive density in a small volume of very full, perfect. But there are local 306 stickers torn off, what the hell?</v>
      </c>
    </row>
    <row r="10967">
      <c r="A10967" s="1">
        <v>5.0</v>
      </c>
      <c r="B10967" s="1" t="s">
        <v>10881</v>
      </c>
      <c r="C10967" t="str">
        <f>IFERROR(__xludf.DUMMYFUNCTION("GOOGLETRANSLATE(B10967, ""zh"", ""en"")"),"Finally bought a pair of three cost-effective bottom and looks like the size of the domestic counter are not the same, but much cheaper than the counter with the money")</f>
        <v>Finally bought a pair of three cost-effective bottom and looks like the size of the domestic counter are not the same, but much cheaper than the counter with the money</v>
      </c>
    </row>
    <row r="10968">
      <c r="A10968" s="1">
        <v>5.0</v>
      </c>
      <c r="B10968" s="1" t="s">
        <v>10882</v>
      </c>
      <c r="C10968" t="str">
        <f>IFERROR(__xludf.DUMMYFUNCTION("GOOGLETRANSLATE(B10968, ""zh"", ""en"")"),"puma suede sneakers size is very appropriate logistics soon cheaper than the store a lot of very comfortable shoes on feet")</f>
        <v>puma suede sneakers size is very appropriate logistics soon cheaper than the store a lot of very comfortable shoes on feet</v>
      </c>
    </row>
    <row r="10969">
      <c r="A10969" s="1">
        <v>5.0</v>
      </c>
      <c r="B10969" s="1" t="s">
        <v>10883</v>
      </c>
      <c r="C10969" t="str">
        <f>IFERROR(__xludf.DUMMYFUNCTION("GOOGLETRANSLATE(B10969, ""zh"", ""en"")"),"The number is too small clothes than domestic long down jacket is too large, too large number of small clothes, buy smaller in accordance with the comments, it really appropriate. Since work on the price, style is also good, good for tall people wear, saw"&amp;"ed carefully choose")</f>
        <v>The number is too small clothes than domestic long down jacket is too large, too large number of small clothes, buy smaller in accordance with the comments, it really appropriate. Since work on the price, style is also good, good for tall people wear, sawed carefully choose</v>
      </c>
    </row>
    <row r="10970">
      <c r="A10970" s="1">
        <v>5.0</v>
      </c>
      <c r="B10970" s="1" t="s">
        <v>10884</v>
      </c>
      <c r="C10970" t="str">
        <f>IFERROR(__xludf.DUMMYFUNCTION("GOOGLETRANSLATE(B10970, ""zh"", ""en"")"),"Very good to wear four days arrive, do not know where the shipment, pants are authentic, quality is very good, put a small waist flew in a circle, hold my pants has been a big, buy a smaller size")</f>
        <v>Very good to wear four days arrive, do not know where the shipment, pants are authentic, quality is very good, put a small waist flew in a circle, hold my pants has been a big, buy a smaller size</v>
      </c>
    </row>
    <row r="10971">
      <c r="A10971" s="1">
        <v>5.0</v>
      </c>
      <c r="B10971" s="1" t="s">
        <v>10885</v>
      </c>
      <c r="C10971" t="str">
        <f>IFERROR(__xludf.DUMMYFUNCTION("GOOGLETRANSLATE(B10971, ""zh"", ""en"")"),"Straw straw a little taste a little taste, no other")</f>
        <v>Straw straw a little taste a little taste, no other</v>
      </c>
    </row>
    <row r="10972">
      <c r="A10972" s="1">
        <v>5.0</v>
      </c>
      <c r="B10972" s="1" t="s">
        <v>10886</v>
      </c>
      <c r="C10972" t="str">
        <f>IFERROR(__xludf.DUMMYFUNCTION("GOOGLETRANSLATE(B10972, ""zh"", ""en"")"),"There are a few indelible imprint size slightly larger than usual to wear a cast, plug a finger, made in India, work can also be right, a few indelible imprint may not defective it, do not look do not see to, wear conspicuous toe is longer, saying shoebox"&amp;" have had nothing some thing?")</f>
        <v>There are a few indelible imprint size slightly larger than usual to wear a cast, plug a finger, made in India, work can also be right, a few indelible imprint may not defective it, do not look do not see to, wear conspicuous toe is longer, saying shoebox have had nothing some thing?</v>
      </c>
    </row>
    <row r="10973">
      <c r="A10973" s="1">
        <v>5.0</v>
      </c>
      <c r="B10973" s="1" t="s">
        <v>10887</v>
      </c>
      <c r="C10973" t="str">
        <f>IFERROR(__xludf.DUMMYFUNCTION("GOOGLETRANSLATE(B10973, ""zh"", ""en"")"),"Champion Men's Raglan Baseball T-shirt super satisfied, ah, a man and a boyfriend")</f>
        <v>Champion Men's Raglan Baseball T-shirt super satisfied, ah, a man and a boyfriend</v>
      </c>
    </row>
    <row r="10974">
      <c r="A10974" s="1">
        <v>5.0</v>
      </c>
      <c r="B10974" s="1" t="s">
        <v>10888</v>
      </c>
      <c r="C10974" t="str">
        <f>IFERROR(__xludf.DUMMYFUNCTION("GOOGLETRANSLATE(B10974, ""zh"", ""en"")"),"fast! it is good! awesome! From order to hand a total of 11 days, or particularly to the force, after all, it is here from the other end of the earth. Lead color is perfect, is to force, but the packaging seems a bit simple.")</f>
        <v>fast! it is good! awesome! From order to hand a total of 11 days, or particularly to the force, after all, it is here from the other end of the earth. Lead color is perfect, is to force, but the packaging seems a bit simple.</v>
      </c>
    </row>
    <row r="10975">
      <c r="A10975" s="1">
        <v>5.0</v>
      </c>
      <c r="B10975" s="1" t="s">
        <v>10889</v>
      </c>
      <c r="C10975" t="str">
        <f>IFERROR(__xludf.DUMMYFUNCTION("GOOGLETRANSLATE(B10975, ""zh"", ""en"")"),"Looks good, is off color looks good, the color is off")</f>
        <v>Looks good, is off color looks good, the color is off</v>
      </c>
    </row>
    <row r="10976">
      <c r="A10976" s="1">
        <v>5.0</v>
      </c>
      <c r="B10976" s="1" t="s">
        <v>10890</v>
      </c>
      <c r="C10976" t="str">
        <f>IFERROR(__xludf.DUMMYFUNCTION("GOOGLETRANSLATE(B10976, ""zh"", ""en"")"),"Good quality and size just good quality 😊")</f>
        <v>Good quality and size just good quality 😊</v>
      </c>
    </row>
    <row r="10977">
      <c r="A10977" s="1">
        <v>5.0</v>
      </c>
      <c r="B10977" s="1" t="s">
        <v>10891</v>
      </c>
      <c r="C10977" t="str">
        <f>IFERROR(__xludf.DUMMYFUNCTION("GOOGLETRANSLATE(B10977, ""zh"", ""en"")"),"Code size table having a glycidyl XXL bust 119, found 110 after washed twice about 1 meter 8,92kg, self comparison.")</f>
        <v>Code size table having a glycidyl XXL bust 119, found 110 after washed twice about 1 meter 8,92kg, self comparison.</v>
      </c>
    </row>
    <row r="10978">
      <c r="A10978" s="1">
        <v>5.0</v>
      </c>
      <c r="B10978" s="1" t="s">
        <v>10892</v>
      </c>
      <c r="C10978" t="str">
        <f>IFERROR(__xludf.DUMMYFUNCTION("GOOGLETRANSLATE(B10978, ""zh"", ""en"")"),"Overseas cheap and easy to buy a little expensive!")</f>
        <v>Overseas cheap and easy to buy a little expensive!</v>
      </c>
    </row>
    <row r="10979">
      <c r="A10979" s="1">
        <v>5.0</v>
      </c>
      <c r="B10979" s="1" t="s">
        <v>10893</v>
      </c>
      <c r="C10979" t="str">
        <f>IFERROR(__xludf.DUMMYFUNCTION("GOOGLETRANSLATE(B10979, ""zh"", ""en"")"),"Fan art child a very nice business watch, ultra-thin, light weight, clean, refined, literary range of children, very satisfied.")</f>
        <v>Fan art child a very nice business watch, ultra-thin, light weight, clean, refined, literary range of children, very satisfied.</v>
      </c>
    </row>
    <row r="10980">
      <c r="A10980" s="1">
        <v>5.0</v>
      </c>
      <c r="B10980" s="1" t="s">
        <v>10894</v>
      </c>
      <c r="C10980" t="str">
        <f>IFERROR(__xludf.DUMMYFUNCTION("GOOGLETRANSLATE(B10980, ""zh"", ""en"")"),"Affordable send her mother a gift, Philips Warranty policy has given me the confidence to buy small appliances overseas.")</f>
        <v>Affordable send her mother a gift, Philips Warranty policy has given me the confidence to buy small appliances overseas.</v>
      </c>
    </row>
    <row r="10981">
      <c r="A10981" s="1">
        <v>2.0</v>
      </c>
      <c r="B10981" s="1" t="s">
        <v>10895</v>
      </c>
      <c r="C10981" t="str">
        <f>IFERROR(__xludf.DUMMYFUNCTION("GOOGLETRANSLATE(B10981, ""zh"", ""en"")"),"Too small, chest pressure is too small, there is no way to wear")</f>
        <v>Too small, chest pressure is too small, there is no way to wear</v>
      </c>
    </row>
    <row r="10982">
      <c r="A10982" s="1">
        <v>3.0</v>
      </c>
      <c r="B10982" s="1" t="s">
        <v>10896</v>
      </c>
      <c r="C10982" t="str">
        <f>IFERROR(__xludf.DUMMYFUNCTION("GOOGLETRANSLATE(B10982, ""zh"", ""en"")"),"Long sleeves and long sleeves, not suitable for Asians! ! ! ! !")</f>
        <v>Long sleeves and long sleeves, not suitable for Asians! ! ! ! !</v>
      </c>
    </row>
    <row r="10983">
      <c r="A10983" s="1">
        <v>3.0</v>
      </c>
      <c r="B10983" s="1" t="s">
        <v>10897</v>
      </c>
      <c r="C10983" t="str">
        <f>IFERROR(__xludf.DUMMYFUNCTION("GOOGLETRANSLATE(B10983, ""zh"", ""en"")"),"The arrival of good logistics faster than expected, and soon received the goods. Hard quickly identified, can work, but relatively slow write speed: Seagate drive Duikao two large files more than 500M, 16M / S. For mass storage devices, backup spend some "&amp;"time Dora")</f>
        <v>The arrival of good logistics faster than expected, and soon received the goods. Hard quickly identified, can work, but relatively slow write speed: Seagate drive Duikao two large files more than 500M, 16M / S. For mass storage devices, backup spend some time Dora</v>
      </c>
    </row>
    <row r="10984">
      <c r="A10984" s="1">
        <v>1.0</v>
      </c>
      <c r="B10984" s="1" t="s">
        <v>10898</v>
      </c>
      <c r="C10984" t="str">
        <f>IFERROR(__xludf.DUMMYFUNCTION("GOOGLETRANSLATE(B10984, ""zh"", ""en"")"),"Pit father's overseas purchase (expansion disk, super-slow speed)! Pit father's overseas purchase, super long time. No wonder Amazon not do it, no customer service, returns difficult, poor product quality, expansion disk, super-slow speed! Shopping also f"&amp;"rom the dig courier.")</f>
        <v>Pit father's overseas purchase (expansion disk, super-slow speed)! Pit father's overseas purchase, super long time. No wonder Amazon not do it, no customer service, returns difficult, poor product quality, expansion disk, super-slow speed! Shopping also from the dig courier.</v>
      </c>
    </row>
    <row r="10985">
      <c r="A10985" s="1">
        <v>1.0</v>
      </c>
      <c r="B10985" s="1" t="s">
        <v>10899</v>
      </c>
      <c r="C10985" t="str">
        <f>IFERROR(__xludf.DUMMYFUNCTION("GOOGLETRANSLATE(B10985, ""zh"", ""en"")"),"Fortunately, the other is rigid strap would every hand, only half a year strap severe cracking and peeling other better every hand will be stiff strap is only half a year strap severe cracking and peeling")</f>
        <v>Fortunately, the other is rigid strap would every hand, only half a year strap severe cracking and peeling other better every hand will be stiff strap is only half a year strap severe cracking and peeling</v>
      </c>
    </row>
    <row r="10986">
      <c r="A10986" s="1">
        <v>1.0</v>
      </c>
      <c r="B10986" s="1" t="s">
        <v>10900</v>
      </c>
      <c r="C10986" t="str">
        <f>IFERROR(__xludf.DUMMYFUNCTION("GOOGLETRANSLATE(B10986, ""zh"", ""en"")"),"Get out of garbage Amazon China has been very fond of the Amazon, but you now challenging our bottom line, you have the face in China, roll it, garbage Amazon")</f>
        <v>Get out of garbage Amazon China has been very fond of the Amazon, but you now challenging our bottom line, you have the face in China, roll it, garbage Amazon</v>
      </c>
    </row>
    <row r="10987">
      <c r="A10987" s="1">
        <v>4.0</v>
      </c>
      <c r="B10987" s="1" t="s">
        <v>10901</v>
      </c>
      <c r="C10987" t="str">
        <f>IFERROR(__xludf.DUMMYFUNCTION("GOOGLETRANSLATE(B10987, ""zh"", ""en"")"),"More disappointed because of the material out of an old, so it is necessary to buy a accustomed Baohua sound quality, but I did not expect two generations of work is that attitude, basically plastic, metallic and generation differences too large, full of "&amp;"cheap feeling")</f>
        <v>More disappointed because of the material out of an old, so it is necessary to buy a accustomed Baohua sound quality, but I did not expect two generations of work is that attitude, basically plastic, metallic and generation differences too large, full of cheap feeling</v>
      </c>
    </row>
    <row r="10988">
      <c r="A10988" s="1">
        <v>4.0</v>
      </c>
      <c r="B10988" s="1" t="s">
        <v>10902</v>
      </c>
      <c r="C10988" t="str">
        <f>IFERROR(__xludf.DUMMYFUNCTION("GOOGLETRANSLATE(B10988, ""zh"", ""en"")"),"A good helper powerful, though a small juice accessories, also Bifei Shi Le counters much cheaper, fully functional, quality and trust, is the main reason to buy, but get the goods there is some disappointment, dark gray plastic parts process too times, t"&amp;"he edge burr as much, happy to be with a good conversion plug")</f>
        <v>A good helper powerful, though a small juice accessories, also Bifei Shi Le counters much cheaper, fully functional, quality and trust, is the main reason to buy, but get the goods there is some disappointment, dark gray plastic parts process too times, the edge burr as much, happy to be with a good conversion plug</v>
      </c>
    </row>
    <row r="10989">
      <c r="A10989" s="1">
        <v>4.0</v>
      </c>
      <c r="B10989" s="1" t="s">
        <v>10903</v>
      </c>
      <c r="C10989" t="str">
        <f>IFERROR(__xludf.DUMMYFUNCTION("GOOGLETRANSLATE(B10989, ""zh"", ""en"")"),"Usually a little sports shoes 41, after seeing the number of comments the election, after the foot small, give friends. I suggest that you choose one yards")</f>
        <v>Usually a little sports shoes 41, after seeing the number of comments the election, after the foot small, give friends. I suggest that you choose one yards</v>
      </c>
    </row>
    <row r="10990">
      <c r="A10990" s="1">
        <v>4.0</v>
      </c>
      <c r="B10990" s="1" t="s">
        <v>10904</v>
      </c>
      <c r="C10990" t="str">
        <f>IFERROR(__xludf.DUMMYFUNCTION("GOOGLETRANSLATE(B10990, ""zh"", ""en"")"),"No. 26 pants, long pants Ref 232.81 is 30, buy 26, long pants is actually 30, I 160,51, waist 71, a little tight, to wear long pants is right. My legs fairly thick. Pants are very thick, the winter section, is not made in China, work in general. I hope ev"&amp;"eryone has to help.")</f>
        <v>No. 26 pants, long pants Ref 232.81 is 30, buy 26, long pants is actually 30, I 160,51, waist 71, a little tight, to wear long pants is right. My legs fairly thick. Pants are very thick, the winter section, is not made in China, work in general. I hope everyone has to help.</v>
      </c>
    </row>
    <row r="10991">
      <c r="A10991" s="1">
        <v>4.0</v>
      </c>
      <c r="B10991" s="1" t="s">
        <v>10905</v>
      </c>
      <c r="C10991" t="str">
        <f>IFERROR(__xludf.DUMMYFUNCTION("GOOGLETRANSLATE(B10991, ""zh"", ""en"")"),"In general, thin, but this is generally easy to relax, thin, easy wearing loose, not posted")</f>
        <v>In general, thin, but this is generally easy to relax, thin, easy wearing loose, not posted</v>
      </c>
    </row>
    <row r="10992">
      <c r="A10992" s="1">
        <v>5.0</v>
      </c>
      <c r="B10992" s="1" t="s">
        <v>10906</v>
      </c>
      <c r="C10992" t="str">
        <f>IFERROR(__xludf.DUMMYFUNCTION("GOOGLETRANSLATE(B10992, ""zh"", ""en"")"),"Coffee machines, domestic ojbk completely out of Oh! Cheap and easy to use! China can afford to warranty! Household fully ojbk!")</f>
        <v>Coffee machines, domestic ojbk completely out of Oh! Cheap and easy to use! China can afford to warranty! Household fully ojbk!</v>
      </c>
    </row>
    <row r="10993">
      <c r="A10993" s="1">
        <v>5.0</v>
      </c>
      <c r="B10993" s="1" t="s">
        <v>10907</v>
      </c>
      <c r="C10993" t="str">
        <f>IFERROR(__xludf.DUMMYFUNCTION("GOOGLETRANSLATE(B10993, ""zh"", ""en"")"),"Good good conditioning stomach")</f>
        <v>Good good conditioning stomach</v>
      </c>
    </row>
    <row r="10994">
      <c r="A10994" s="1">
        <v>5.0</v>
      </c>
      <c r="B10994" s="1" t="s">
        <v>10908</v>
      </c>
      <c r="C10994" t="str">
        <f>IFERROR(__xludf.DUMMYFUNCTION("GOOGLETRANSLATE(B10994, ""zh"", ""en"")"),"Pretty hair, fabric feeling good. Pretty hair, fabric feeling good.")</f>
        <v>Pretty hair, fabric feeling good. Pretty hair, fabric feeling good.</v>
      </c>
    </row>
    <row r="10995">
      <c r="A10995" s="1">
        <v>5.0</v>
      </c>
      <c r="B10995" s="1" t="s">
        <v>10909</v>
      </c>
      <c r="C10995" t="str">
        <f>IFERROR(__xludf.DUMMYFUNCTION("GOOGLETRANSLATE(B10995, ""zh"", ""en"")"),"Shoes are very good shoes are very good, I 24.5cm feet, very fit.")</f>
        <v>Shoes are very good shoes are very good, I 24.5cm feet, very fit.</v>
      </c>
    </row>
    <row r="10996">
      <c r="A10996" s="1">
        <v>5.0</v>
      </c>
      <c r="B10996" s="1" t="s">
        <v>10910</v>
      </c>
      <c r="C10996" t="str">
        <f>IFERROR(__xludf.DUMMYFUNCTION("GOOGLETRANSLATE(B10996, ""zh"", ""en"")"),"How hot water outlet opening milk cartons and smooth? Spent some time found that there is a problem, plug milk carton becomes laborious, and the hot water outlet is not so smooth, is there any way to do it smoothly, ask you about heroes answer, thank you!")</f>
        <v>How hot water outlet opening milk cartons and smooth? Spent some time found that there is a problem, plug milk carton becomes laborious, and the hot water outlet is not so smooth, is there any way to do it smoothly, ask you about heroes answer, thank you!</v>
      </c>
    </row>
    <row r="10997">
      <c r="A10997" s="1">
        <v>5.0</v>
      </c>
      <c r="B10997" s="1" t="s">
        <v>10911</v>
      </c>
      <c r="C10997" t="str">
        <f>IFERROR(__xludf.DUMMYFUNCTION("GOOGLETRANSLATE(B10997, ""zh"", ""en"")"),"Suitable dimensions of 2 to 8 feet. 1.73 suitable 36/30, a little longer. Straight jeans feet is fat point, there is the opportunity to change to change.")</f>
        <v>Suitable dimensions of 2 to 8 feet. 1.73 suitable 36/30, a little longer. Straight jeans feet is fat point, there is the opportunity to change to change.</v>
      </c>
    </row>
    <row r="10998">
      <c r="A10998" s="1">
        <v>5.0</v>
      </c>
      <c r="B10998" s="1" t="s">
        <v>10912</v>
      </c>
      <c r="C10998" t="str">
        <f>IFERROR(__xludf.DUMMYFUNCTION("GOOGLETRANSLATE(B10998, ""zh"", ""en"")"),"Very good product warm and good design placed side pocket phone jack, to ensure safety, a friend lost cell phone not paying attention, color is very positive!")</f>
        <v>Very good product warm and good design placed side pocket phone jack, to ensure safety, a friend lost cell phone not paying attention, color is very positive!</v>
      </c>
    </row>
    <row r="10999">
      <c r="A10999" s="1">
        <v>5.0</v>
      </c>
      <c r="B10999" s="1" t="s">
        <v>10913</v>
      </c>
      <c r="C10999" t="str">
        <f>IFERROR(__xludf.DUMMYFUNCTION("GOOGLETRANSLATE(B10999, ""zh"", ""en"")"),"Rather long sleeves 178,90kg, is put on long sleeves, and long clothing and even somewhat short, okay")</f>
        <v>Rather long sleeves 178,90kg, is put on long sleeves, and long clothing and even somewhat short, okay</v>
      </c>
    </row>
    <row r="11000">
      <c r="A11000" s="1">
        <v>5.0</v>
      </c>
      <c r="B11000" s="1" t="s">
        <v>10914</v>
      </c>
      <c r="C11000" t="str">
        <f>IFERROR(__xludf.DUMMYFUNCTION("GOOGLETRANSLATE(B11000, ""zh"", ""en"")"),"Very good thin very light, wearing sleep did not feel anything dial is a bit smaller, more suitable for students")</f>
        <v>Very good thin very light, wearing sleep did not feel anything dial is a bit smaller, more suitable for students</v>
      </c>
    </row>
    <row r="11001">
      <c r="A11001" s="1">
        <v>5.0</v>
      </c>
      <c r="B11001" s="1" t="s">
        <v>10915</v>
      </c>
      <c r="C11001" t="str">
        <f>IFERROR(__xludf.DUMMYFUNCTION("GOOGLETRANSLATE(B11001, ""zh"", ""en"")"),"I usually slightly larger 37, this bought 7 yards. Slightly bigger but does not affect the double 11 to buy, express soon, before and after eight days received a package can also be, some press box but to no effect. Black shoes look great ~ ~ but more fav"&amp;"orable prices Friday")</f>
        <v>I usually slightly larger 37, this bought 7 yards. Slightly bigger but does not affect the double 11 to buy, express soon, before and after eight days received a package can also be, some press box but to no effect. Black shoes look great ~ ~ but more favorable prices Friday</v>
      </c>
    </row>
    <row r="11002">
      <c r="A11002" s="1">
        <v>5.0</v>
      </c>
      <c r="B11002" s="1" t="s">
        <v>10916</v>
      </c>
      <c r="C11002" t="str">
        <f>IFERROR(__xludf.DUMMYFUNCTION("GOOGLETRANSLATE(B11002, ""zh"", ""en"")"),"Comfortable, warm, waterproof yet comfortable, warm, still water, wear a good snow day")</f>
        <v>Comfortable, warm, waterproof yet comfortable, warm, still water, wear a good snow day</v>
      </c>
    </row>
    <row r="11003">
      <c r="A11003" s="1">
        <v>5.0</v>
      </c>
      <c r="B11003" s="1" t="s">
        <v>10917</v>
      </c>
      <c r="C11003" t="str">
        <f>IFERROR(__xludf.DUMMYFUNCTION("GOOGLETRANSLATE(B11003, ""zh"", ""en"")"),"Nice bathroom faucet faucet good, soft water, work well, thank you Amazon customer service quality.")</f>
        <v>Nice bathroom faucet faucet good, soft water, work well, thank you Amazon customer service quality.</v>
      </c>
    </row>
    <row r="11004">
      <c r="A11004" s="1">
        <v>5.0</v>
      </c>
      <c r="B11004" s="1" t="s">
        <v>10918</v>
      </c>
      <c r="C11004" t="str">
        <f>IFERROR(__xludf.DUMMYFUNCTION("GOOGLETRANSLATE(B11004, ""zh"", ""en"")"),"Good quality and good easy to use, color value is also very high, very good")</f>
        <v>Good quality and good easy to use, color value is also very high, very good</v>
      </c>
    </row>
    <row r="11005">
      <c r="A11005" s="1">
        <v>5.0</v>
      </c>
      <c r="B11005" s="1" t="s">
        <v>10919</v>
      </c>
      <c r="C11005" t="str">
        <f>IFERROR(__xludf.DUMMYFUNCTION("GOOGLETRANSLATE(B11005, ""zh"", ""en"")"),"Mediocre at first glance, the second eye surprise you! Just get our hands can not wait to get started listening to it, and I spread the headset no difference ah! Good loss! Throw in the bedside cabinet a week, after listening to a symphony. brothers! This"&amp;" wave no loss! Warned the brothers listen to pop music two hundred enough, no difference. While I was listening to pop. Haha. The first expensive headphones, well, Amazon trustworthy.")</f>
        <v>Mediocre at first glance, the second eye surprise you! Just get our hands can not wait to get started listening to it, and I spread the headset no difference ah! Good loss! Throw in the bedside cabinet a week, after listening to a symphony. brothers! This wave no loss! Warned the brothers listen to pop music two hundred enough, no difference. While I was listening to pop. Haha. The first expensive headphones, well, Amazon trustworthy.</v>
      </c>
    </row>
    <row r="11006">
      <c r="A11006" s="1">
        <v>5.0</v>
      </c>
      <c r="B11006" s="1" t="s">
        <v>10920</v>
      </c>
      <c r="C11006" t="str">
        <f>IFERROR(__xludf.DUMMYFUNCTION("GOOGLETRANSLATE(B11006, ""zh"", ""en"")"),"The motion compensation purposes and bones, great age, motion compensation purposes")</f>
        <v>The motion compensation purposes and bones, great age, motion compensation purposes</v>
      </c>
    </row>
    <row r="11007">
      <c r="A11007" s="1">
        <v>5.0</v>
      </c>
      <c r="B11007" s="1" t="s">
        <v>10921</v>
      </c>
      <c r="C11007" t="str">
        <f>IFERROR(__xludf.DUMMYFUNCTION("GOOGLETRANSLATE(B11007, ""zh"", ""en"")"),"Very good better than Oral-b, high vibration frequency, large brush area. Recommend buying simple style, travel charging box irrelevant.")</f>
        <v>Very good better than Oral-b, high vibration frequency, large brush area. Recommend buying simple style, travel charging box irrelevant.</v>
      </c>
    </row>
    <row r="11008">
      <c r="A11008" s="1">
        <v>5.0</v>
      </c>
      <c r="B11008" s="1" t="s">
        <v>10922</v>
      </c>
      <c r="C11008" t="str">
        <f>IFERROR(__xludf.DUMMYFUNCTION("GOOGLETRANSLATE(B11008, ""zh"", ""en"")"),"Dress well, has been basically buy on Amazon")</f>
        <v>Dress well, has been basically buy on Amazon</v>
      </c>
    </row>
    <row r="11009">
      <c r="A11009" s="1">
        <v>5.0</v>
      </c>
      <c r="B11009" s="1" t="s">
        <v>10923</v>
      </c>
      <c r="C11009" t="str">
        <f>IFERROR(__xludf.DUMMYFUNCTION("GOOGLETRANSLATE(B11009, ""zh"", ""en"")"),"And specialty stores, like very comfortable, and the store selling the same")</f>
        <v>And specialty stores, like very comfortable, and the store selling the same</v>
      </c>
    </row>
    <row r="11010">
      <c r="A11010" s="1">
        <v>5.0</v>
      </c>
      <c r="B11010" s="1" t="s">
        <v>10924</v>
      </c>
      <c r="C11010" t="str">
        <f>IFERROR(__xludf.DUMMYFUNCTION("GOOGLETRANSLATE(B11010, ""zh"", ""en"")"),"Kids kids eat it eat it, he has been stocking ing")</f>
        <v>Kids kids eat it eat it, he has been stocking ing</v>
      </c>
    </row>
    <row r="11011">
      <c r="A11011" s="1">
        <v>5.0</v>
      </c>
      <c r="B11011" s="1" t="s">
        <v>10925</v>
      </c>
      <c r="C11011" t="str">
        <f>IFERROR(__xludf.DUMMYFUNCTION("GOOGLETRANSLATE(B11011, ""zh"", ""en"")"),"Very satisfied 11 double arithmetic without being beaten to death, or serving large Amazon Yiyanbuge straight down. 493 hand, including freight and service charges. Taobao is half the price and after a two-fold 11 East. And four days received. Headphones "&amp;"very satisfied. Yan high value, good sound quality. On the sauce.")</f>
        <v>Very satisfied 11 double arithmetic without being beaten to death, or serving large Amazon Yiyanbuge straight down. 493 hand, including freight and service charges. Taobao is half the price and after a two-fold 11 East. And four days received. Headphones very satisfied. Yan high value, good sound quality. On the sauce.</v>
      </c>
    </row>
    <row r="11012">
      <c r="A11012" s="1">
        <v>5.0</v>
      </c>
      <c r="B11012" s="1" t="s">
        <v>10926</v>
      </c>
      <c r="C11012" t="str">
        <f>IFERROR(__xludf.DUMMYFUNCTION("GOOGLETRANSLATE(B11012, ""zh"", ""en"")"),"Well not use, slow delivery, but four days to go. Packaging is also very good")</f>
        <v>Well not use, slow delivery, but four days to go. Packaging is also very good</v>
      </c>
    </row>
    <row r="11013">
      <c r="A11013" s="1">
        <v>5.0</v>
      </c>
      <c r="B11013" s="1" t="s">
        <v>10927</v>
      </c>
      <c r="C11013" t="str">
        <f>IFERROR(__xludf.DUMMYFUNCTION("GOOGLETRANSLATE(B11013, ""zh"", ""en"")"),"Good boiled rice is cob distinct, very good.")</f>
        <v>Good boiled rice is cob distinct, very good.</v>
      </c>
    </row>
    <row r="11014">
      <c r="A11014" s="1">
        <v>2.0</v>
      </c>
      <c r="B11014" s="1" t="s">
        <v>10928</v>
      </c>
      <c r="C11014" t="str">
        <f>IFERROR(__xludf.DUMMYFUNCTION("GOOGLETRANSLATE(B11014, ""zh"", ""en"")"),"Disappointed lid design too bad too many parts, cleaning trouble, can easily be deducted when children use, and some parts can not be removed, a small waterproof apron hot lid is too loose, non-existent, to see photos We know, thanks to a large waterproof"&amp;" waterproof ring inside")</f>
        <v>Disappointed lid design too bad too many parts, cleaning trouble, can easily be deducted when children use, and some parts can not be removed, a small waterproof apron hot lid is too loose, non-existent, to see photos We know, thanks to a large waterproof waterproof ring inside</v>
      </c>
    </row>
    <row r="11015">
      <c r="A11015" s="1">
        <v>3.0</v>
      </c>
      <c r="B11015" s="1" t="s">
        <v>10929</v>
      </c>
      <c r="C11015" t="str">
        <f>IFERROR(__xludf.DUMMYFUNCTION("GOOGLETRANSLATE(B11015, ""zh"", ""en"")"),"Firmware chips fell sharply and seriously diminished, Hui Wing master, Toshiba single channel TLC, with just listed a world of difference")</f>
        <v>Firmware chips fell sharply and seriously diminished, Hui Wing master, Toshiba single channel TLC, with just listed a world of difference</v>
      </c>
    </row>
    <row r="11016">
      <c r="A11016" s="1">
        <v>3.0</v>
      </c>
      <c r="B11016" s="1" t="s">
        <v>10930</v>
      </c>
      <c r="C11016" t="str">
        <f>IFERROR(__xludf.DUMMYFUNCTION("GOOGLETRANSLATE(B11016, ""zh"", ""en"")"),"Too big too big. s are like the pocket surface. Simply speechless")</f>
        <v>Too big too big. s are like the pocket surface. Simply speechless</v>
      </c>
    </row>
    <row r="11017">
      <c r="A11017" s="1">
        <v>3.0</v>
      </c>
      <c r="B11017" s="1" t="s">
        <v>10931</v>
      </c>
      <c r="C11017" t="str">
        <f>IFERROR(__xludf.DUMMYFUNCTION("GOOGLETRANSLATE(B11017, ""zh"", ""en"")"),"Murmur? Why listen to rock when clearly hear noise? ? ? I was listening on the phone, volume 60%")</f>
        <v>Murmur? Why listen to rock when clearly hear noise? ? ? I was listening on the phone, volume 60%</v>
      </c>
    </row>
    <row r="11018">
      <c r="A11018" s="1">
        <v>1.0</v>
      </c>
      <c r="B11018" s="1" t="s">
        <v>10932</v>
      </c>
      <c r="C11018" t="str">
        <f>IFERROR(__xludf.DUMMYFUNCTION("GOOGLETRANSLATE(B11018, ""zh"", ""en"")"),"Poor rubbish, an unpleasant odor, like old clothes")</f>
        <v>Poor rubbish, an unpleasant odor, like old clothes</v>
      </c>
    </row>
    <row r="11019">
      <c r="A11019" s="1">
        <v>1.0</v>
      </c>
      <c r="B11019" s="1" t="s">
        <v>10933</v>
      </c>
      <c r="C11019" t="str">
        <f>IFERROR(__xludf.DUMMYFUNCTION("GOOGLETRANSLATE(B11019, ""zh"", ""en"")"),"Mug rust. I think not long before the cup began to rust, poor quality. I do not buy, I bought several no one does not rust!")</f>
        <v>Mug rust. I think not long before the cup began to rust, poor quality. I do not buy, I bought several no one does not rust!</v>
      </c>
    </row>
    <row r="11020">
      <c r="A11020" s="1">
        <v>1.0</v>
      </c>
      <c r="B11020" s="1" t="s">
        <v>10934</v>
      </c>
      <c r="C11020" t="str">
        <f>IFERROR(__xludf.DUMMYFUNCTION("GOOGLETRANSLATE(B11020, ""zh"", ""en"")"),"Poor poor packaging, clothes smell great, had four clothes, there are two labels not found")</f>
        <v>Poor poor packaging, clothes smell great, had four clothes, there are two labels not found</v>
      </c>
    </row>
    <row r="11021">
      <c r="A11021" s="1">
        <v>4.0</v>
      </c>
      <c r="B11021" s="1" t="s">
        <v>10935</v>
      </c>
      <c r="C11021" t="str">
        <f>IFERROR(__xludf.DUMMYFUNCTION("GOOGLETRANSLATE(B11021, ""zh"", ""en"")"),"304? The next test, used to clean stains may not put a bag, bottle if rust stains ( '° Δ ° `), other aspects of satisfaction")</f>
        <v>304? The next test, used to clean stains may not put a bag, bottle if rust stains ( '° Δ ° `), other aspects of satisfaction</v>
      </c>
    </row>
    <row r="11022">
      <c r="A11022" s="1">
        <v>4.0</v>
      </c>
      <c r="B11022" s="1" t="s">
        <v>10936</v>
      </c>
      <c r="C11022" t="str">
        <f>IFERROR(__xludf.DUMMYFUNCTION("GOOGLETRANSLATE(B11022, ""zh"", ""en"")"),"Quality is very general, not good, the quality is very general, not good,")</f>
        <v>Quality is very general, not good, the quality is very general, not good,</v>
      </c>
    </row>
    <row r="11023">
      <c r="A11023" s="1">
        <v>4.0</v>
      </c>
      <c r="B11023" s="1" t="s">
        <v>10937</v>
      </c>
      <c r="C11023" t="str">
        <f>IFERROR(__xludf.DUMMYFUNCTION("GOOGLETRANSLATE(B11023, ""zh"", ""en"")"),"Like quite satisfied, somewhat flawed, I do not care to wear")</f>
        <v>Like quite satisfied, somewhat flawed, I do not care to wear</v>
      </c>
    </row>
    <row r="11024">
      <c r="A11024" s="1">
        <v>4.0</v>
      </c>
      <c r="B11024" s="1" t="s">
        <v>10938</v>
      </c>
      <c r="C11024" t="str">
        <f>IFERROR(__xludf.DUMMYFUNCTION("GOOGLETRANSLATE(B11024, ""zh"", ""en"")"),"Quality feel okay. Plastic parts, what is material.")</f>
        <v>Quality feel okay. Plastic parts, what is material.</v>
      </c>
    </row>
    <row r="11025">
      <c r="A11025" s="1">
        <v>5.0</v>
      </c>
      <c r="B11025" s="1" t="s">
        <v>10939</v>
      </c>
      <c r="C11025" t="str">
        <f>IFERROR(__xludf.DUMMYFUNCTION("GOOGLETRANSLATE(B11025, ""zh"", ""en"")"),"Yes da very comfortable, 160.50 kg, s code just right")</f>
        <v>Yes da very comfortable, 160.50 kg, s code just right</v>
      </c>
    </row>
    <row r="11026">
      <c r="A11026" s="1">
        <v>5.0</v>
      </c>
      <c r="B11026" s="1" t="s">
        <v>10940</v>
      </c>
      <c r="C11026" t="str">
        <f>IFERROR(__xludf.DUMMYFUNCTION("GOOGLETRANSLATE(B11026, ""zh"", ""en"")"),"Size is very warm, is a little heavy shoes is praise!")</f>
        <v>Size is very warm, is a little heavy shoes is praise!</v>
      </c>
    </row>
    <row r="11027">
      <c r="A11027" s="1">
        <v>5.0</v>
      </c>
      <c r="B11027" s="1" t="s">
        <v>10941</v>
      </c>
      <c r="C11027" t="str">
        <f>IFERROR(__xludf.DUMMYFUNCTION("GOOGLETRANSLATE(B11027, ""zh"", ""en"")"),"Good fabric, very soft and very comfortable and reasonably priced, high cost")</f>
        <v>Good fabric, very soft and very comfortable and reasonably priced, high cost</v>
      </c>
    </row>
    <row r="11028">
      <c r="A11028" s="1">
        <v>5.0</v>
      </c>
      <c r="B11028" s="1" t="s">
        <v>10942</v>
      </c>
      <c r="C11028" t="str">
        <f>IFERROR(__xludf.DUMMYFUNCTION("GOOGLETRANSLATE(B11028, ""zh"", ""en"")"),"Good clothes clothes Shoulder 45CM to 46CM, Bust 108 to 110CM, back length 75 to 76CM. S code of dress")</f>
        <v>Good clothes clothes Shoulder 45CM to 46CM, Bust 108 to 110CM, back length 75 to 76CM. S code of dress</v>
      </c>
    </row>
    <row r="11029">
      <c r="A11029" s="1">
        <v>5.0</v>
      </c>
      <c r="B11029" s="1" t="s">
        <v>10943</v>
      </c>
      <c r="C11029" t="str">
        <f>IFERROR(__xludf.DUMMYFUNCTION("GOOGLETRANSLATE(B11029, ""zh"", ""en"")"),"Fitting pants very good, very fit, recommendation")</f>
        <v>Fitting pants very good, very fit, recommendation</v>
      </c>
    </row>
    <row r="11030">
      <c r="A11030" s="1">
        <v>5.0</v>
      </c>
      <c r="B11030" s="1" t="s">
        <v>10944</v>
      </c>
      <c r="C11030" t="str">
        <f>IFERROR(__xludf.DUMMYFUNCTION("GOOGLETRANSLATE(B11030, ""zh"", ""en"")"),"Little big elastic good, fabric Ye Hao is to choose a smaller size than usual.")</f>
        <v>Little big elastic good, fabric Ye Hao is to choose a smaller size than usual.</v>
      </c>
    </row>
    <row r="11031">
      <c r="A11031" s="1">
        <v>5.0</v>
      </c>
      <c r="B11031" s="1" t="s">
        <v>10945</v>
      </c>
      <c r="C11031" t="str">
        <f>IFERROR(__xludf.DUMMYFUNCTION("GOOGLETRANSLATE(B11031, ""zh"", ""en"")"),"Campaign for six years was the daughter broke ~~~ HD598 HD599 to start a love that is open sound with more than six years of HD598 ~~ still prefer home theater headphones, games, movies, music can enjoy, so start with the HD599, an open sound can distingu"&amp;"ish HD599 HD598 low frequency greater than the lift. Headphones absolutely no problem. The only flaw is that the Amazon service negative feedback in the country to find the logistics, speed.")</f>
        <v>Campaign for six years was the daughter broke ~~~ HD598 HD599 to start a love that is open sound with more than six years of HD598 ~~ still prefer home theater headphones, games, movies, music can enjoy, so start with the HD599, an open sound can distinguish HD599 HD598 low frequency greater than the lift. Headphones absolutely no problem. The only flaw is that the Amazon service negative feedback in the country to find the logistics, speed.</v>
      </c>
    </row>
    <row r="11032">
      <c r="A11032" s="1">
        <v>5.0</v>
      </c>
      <c r="B11032" s="1" t="s">
        <v>10946</v>
      </c>
      <c r="C11032" t="str">
        <f>IFERROR(__xludf.DUMMYFUNCTION("GOOGLETRANSLATE(B11032, ""zh"", ""en"")"),"Essential travel home the quality of workmanship is very good, very fast, essential travel home! ! !")</f>
        <v>Essential travel home the quality of workmanship is very good, very fast, essential travel home! ! !</v>
      </c>
    </row>
    <row r="11033">
      <c r="A11033" s="1">
        <v>5.0</v>
      </c>
      <c r="B11033" s="1" t="s">
        <v>10947</v>
      </c>
      <c r="C11033" t="str">
        <f>IFERROR(__xludf.DUMMYFUNCTION("GOOGLETRANSLATE(B11033, ""zh"", ""en"")"),"Delicate pink book, bought two, a collection of a Bag.")</f>
        <v>Delicate pink book, bought two, a collection of a Bag.</v>
      </c>
    </row>
    <row r="11034">
      <c r="A11034" s="1">
        <v>5.0</v>
      </c>
      <c r="B11034" s="1" t="s">
        <v>10948</v>
      </c>
      <c r="C11034" t="str">
        <f>IFERROR(__xludf.DUMMYFUNCTION("GOOGLETRANSLATE(B11034, ""zh"", ""en"")"),"Very satisfied with the work well, with a day out are good enough, very much.")</f>
        <v>Very satisfied with the work well, with a day out are good enough, very much.</v>
      </c>
    </row>
    <row r="11035">
      <c r="A11035" s="1">
        <v>5.0</v>
      </c>
      <c r="B11035" s="1" t="s">
        <v>10949</v>
      </c>
      <c r="C11035" t="str">
        <f>IFERROR(__xludf.DUMMYFUNCTION("GOOGLETRANSLATE(B11035, ""zh"", ""en"")"),"Good good good good very comfortable very comfortable very comfortable good good good good good good very comfortable very comfortable")</f>
        <v>Good good good good very comfortable very comfortable very comfortable good good good good good good very comfortable very comfortable</v>
      </c>
    </row>
    <row r="11036">
      <c r="A11036" s="1">
        <v>5.0</v>
      </c>
      <c r="B11036" s="1" t="s">
        <v>10950</v>
      </c>
      <c r="C11036" t="str">
        <f>IFERROR(__xludf.DUMMYFUNCTION("GOOGLETRANSLATE(B11036, ""zh"", ""en"")"),"Good quality and a good fit with the brand-foot lattice overpaid dozens of pieces, very nice domineering board")</f>
        <v>Good quality and a good fit with the brand-foot lattice overpaid dozens of pieces, very nice domineering board</v>
      </c>
    </row>
    <row r="11037">
      <c r="A11037" s="1">
        <v>5.0</v>
      </c>
      <c r="B11037" s="1" t="s">
        <v>10951</v>
      </c>
      <c r="C11037" t="str">
        <f>IFERROR(__xludf.DUMMYFUNCTION("GOOGLETRANSLATE(B11037, ""zh"", ""en"")"),"Out shopping before gutta good time off, and only buy the. . . .")</f>
        <v>Out shopping before gutta good time off, and only buy the. . . .</v>
      </c>
    </row>
    <row r="11038">
      <c r="A11038" s="1">
        <v>5.0</v>
      </c>
      <c r="B11038" s="1" t="s">
        <v>10952</v>
      </c>
      <c r="C11038" t="str">
        <f>IFERROR(__xludf.DUMMYFUNCTION("GOOGLETRANSLATE(B11038, ""zh"", ""en"")"),"Good size table quality, comfortable to wear!")</f>
        <v>Good size table quality, comfortable to wear!</v>
      </c>
    </row>
    <row r="11039">
      <c r="A11039" s="1">
        <v>5.0</v>
      </c>
      <c r="B11039" s="1" t="s">
        <v>10953</v>
      </c>
      <c r="C11039" t="str">
        <f>IFERROR(__xludf.DUMMYFUNCTION("GOOGLETRANSLATE(B11039, ""zh"", ""en"")"),"Easy to use, good-looking, by the fall weighed against a variety of bottles, or feel that this is most likely practical, and especially shatterproof.")</f>
        <v>Easy to use, good-looking, by the fall weighed against a variety of bottles, or feel that this is most likely practical, and especially shatterproof.</v>
      </c>
    </row>
    <row r="11040">
      <c r="A11040" s="1">
        <v>5.0</v>
      </c>
      <c r="B11040" s="1" t="s">
        <v>10954</v>
      </c>
      <c r="C11040" t="str">
        <f>IFERROR(__xludf.DUMMYFUNCTION("GOOGLETRANSLATE(B11040, ""zh"", ""en"")"),"Good, with this baby learn to eat")</f>
        <v>Good, with this baby learn to eat</v>
      </c>
    </row>
    <row r="11041">
      <c r="A11041" s="1">
        <v>5.0</v>
      </c>
      <c r="B11041" s="1" t="s">
        <v>10955</v>
      </c>
      <c r="C11041" t="str">
        <f>IFERROR(__xludf.DUMMYFUNCTION("GOOGLETRANSLATE(B11041, ""zh"", ""en"")"),"Worth buying very comfortable to wear both shoes have the feeling of sports shoes functions.")</f>
        <v>Worth buying very comfortable to wear both shoes have the feeling of sports shoes functions.</v>
      </c>
    </row>
    <row r="11042">
      <c r="A11042" s="1">
        <v>5.0</v>
      </c>
      <c r="B11042" s="1" t="s">
        <v>10956</v>
      </c>
      <c r="C11042" t="str">
        <f>IFERROR(__xludf.DUMMYFUNCTION("GOOGLETRANSLATE(B11042, ""zh"", ""en"")"),"Well originally bought the pink, due to the logistics problem back. This color is also good-looking, but also cheaper ......... 100")</f>
        <v>Well originally bought the pink, due to the logistics problem back. This color is also good-looking, but also cheaper ......... 100</v>
      </c>
    </row>
    <row r="11043">
      <c r="A11043" s="1">
        <v>5.0</v>
      </c>
      <c r="B11043" s="1" t="s">
        <v>10957</v>
      </c>
      <c r="C11043" t="str">
        <f>IFERROR(__xludf.DUMMYFUNCTION("GOOGLETRANSLATE(B11043, ""zh"", ""en"")"),"Three months with a little hard for three months with a little hard, buy some. no taste")</f>
        <v>Three months with a little hard for three months with a little hard, buy some. no taste</v>
      </c>
    </row>
    <row r="11044">
      <c r="A11044" s="1">
        <v>5.0</v>
      </c>
      <c r="B11044" s="1" t="s">
        <v>10401</v>
      </c>
      <c r="C11044" t="str">
        <f>IFERROR(__xludf.DUMMYFUNCTION("GOOGLETRANSLATE(B11044, ""zh"", ""en"")"),"Not to evaluate before something really good! I do not know how much cheaper than the domestic equivalent of 70% off! Well then complete evaluation can take points Ha! Not to evaluate before something really good! I do not know how much cheaper than the d"&amp;"omestic equivalent of 70% off! Well then complete evaluation can take points Ha!")</f>
        <v>Not to evaluate before something really good! I do not know how much cheaper than the domestic equivalent of 70% off! Well then complete evaluation can take points Ha! Not to evaluate before something really good! I do not know how much cheaper than the domestic equivalent of 70% off! Well then complete evaluation can take points Ha!</v>
      </c>
    </row>
    <row r="11045">
      <c r="A11045" s="1">
        <v>5.0</v>
      </c>
      <c r="B11045" s="1" t="s">
        <v>10958</v>
      </c>
      <c r="C11045" t="str">
        <f>IFERROR(__xludf.DUMMYFUNCTION("GOOGLETRANSLATE(B11045, ""zh"", ""en"")"),"Good shoes are very fond of this brand of shoes")</f>
        <v>Good shoes are very fond of this brand of shoes</v>
      </c>
    </row>
    <row r="11046">
      <c r="A11046" s="1">
        <v>2.0</v>
      </c>
      <c r="B11046" s="1" t="s">
        <v>10959</v>
      </c>
      <c r="C11046" t="str">
        <f>IFERROR(__xludf.DUMMYFUNCTION("GOOGLETRANSLATE(B11046, ""zh"", ""en"")"),"Ah regret was enthusiastic tried to buy overseas, the results regret. Because the pants is too great! ! He said to be straight, in fact, is loose. Want to return, I found too much trouble! Can only bite the bullet and go piecemeal, tailors only piecemeal "&amp;"help from the crotch less, so the above this cut is very ...... ...... can not wear out very sorry, wasted money. Very depressed π_π")</f>
        <v>Ah regret was enthusiastic tried to buy overseas, the results regret. Because the pants is too great! ! He said to be straight, in fact, is loose. Want to return, I found too much trouble! Can only bite the bullet and go piecemeal, tailors only piecemeal help from the crotch less, so the above this cut is very ...... ...... can not wear out very sorry, wasted money. Very depressed π_π</v>
      </c>
    </row>
    <row r="11047">
      <c r="A11047" s="1">
        <v>3.0</v>
      </c>
      <c r="B11047" s="1" t="s">
        <v>10960</v>
      </c>
      <c r="C11047" t="str">
        <f>IFERROR(__xludf.DUMMYFUNCTION("GOOGLETRANSLATE(B11047, ""zh"", ""en"")"),"I did not think quality is generally good feeling Ref ...... ...... 80 ...... it is generally cost-effective to buy grass ......")</f>
        <v>I did not think quality is generally good feeling Ref ...... ...... 80 ...... it is generally cost-effective to buy grass ......</v>
      </c>
    </row>
    <row r="11048">
      <c r="A11048" s="1">
        <v>3.0</v>
      </c>
      <c r="B11048" s="1" t="s">
        <v>10961</v>
      </c>
      <c r="C11048" t="str">
        <f>IFERROR(__xludf.DUMMYFUNCTION("GOOGLETRANSLATE(B11048, ""zh"", ""en"")"),"Size version hypertrophy, size is too large for some of the older")</f>
        <v>Size version hypertrophy, size is too large for some of the older</v>
      </c>
    </row>
    <row r="11049">
      <c r="A11049" s="1">
        <v>3.0</v>
      </c>
      <c r="B11049" s="1" t="s">
        <v>10962</v>
      </c>
      <c r="C11049" t="str">
        <f>IFERROR(__xludf.DUMMYFUNCTION("GOOGLETRANSLATE(B11049, ""zh"", ""en"")"),"Uncomfortable, waist long pants are fit, that is, the balls are wrapped pain. . . Long-term fitness, not body fat, not thin people do not buy the models.")</f>
        <v>Uncomfortable, waist long pants are fit, that is, the balls are wrapped pain. . . Long-term fitness, not body fat, not thin people do not buy the models.</v>
      </c>
    </row>
    <row r="11050">
      <c r="A11050" s="1">
        <v>1.0</v>
      </c>
      <c r="B11050" s="1" t="s">
        <v>10963</v>
      </c>
      <c r="C11050" t="str">
        <f>IFERROR(__xludf.DUMMYFUNCTION("GOOGLETRANSLATE(B11050, ""zh"", ""en"")"),"Garbage oil taste great simply can not wear, life and death have been washed away to throw the overseas purchase also lazy back")</f>
        <v>Garbage oil taste great simply can not wear, life and death have been washed away to throw the overseas purchase also lazy back</v>
      </c>
    </row>
    <row r="11051">
      <c r="A11051" s="1">
        <v>1.0</v>
      </c>
      <c r="B11051" s="1" t="s">
        <v>10964</v>
      </c>
      <c r="C11051" t="str">
        <f>IFERROR(__xludf.DUMMYFUNCTION("GOOGLETRANSLATE(B11051, ""zh"", ""en"")"),"I do not recommend buying the fabric too hard, airtight.")</f>
        <v>I do not recommend buying the fabric too hard, airtight.</v>
      </c>
    </row>
    <row r="11052">
      <c r="A11052" s="1">
        <v>4.0</v>
      </c>
      <c r="B11052" s="1" t="s">
        <v>10965</v>
      </c>
      <c r="C11052" t="str">
        <f>IFERROR(__xludf.DUMMYFUNCTION("GOOGLETRANSLATE(B11052, ""zh"", ""en"")"),"Good quality clothes size is too large, too large is outrageous. Height 180cm, weight 83kg, wearing a 2XL really ridiculously large.")</f>
        <v>Good quality clothes size is too large, too large is outrageous. Height 180cm, weight 83kg, wearing a 2XL really ridiculously large.</v>
      </c>
    </row>
    <row r="11053">
      <c r="A11053" s="1">
        <v>4.0</v>
      </c>
      <c r="B11053" s="1" t="s">
        <v>10966</v>
      </c>
      <c r="C11053" t="str">
        <f>IFERROR(__xludf.DUMMYFUNCTION("GOOGLETRANSLATE(B11053, ""zh"", ""en"")"),"Texture is not very good texture feels Zaza!")</f>
        <v>Texture is not very good texture feels Zaza!</v>
      </c>
    </row>
    <row r="11054">
      <c r="A11054" s="1">
        <v>4.0</v>
      </c>
      <c r="B11054" s="1" t="s">
        <v>10967</v>
      </c>
      <c r="C11054" t="str">
        <f>IFERROR(__xludf.DUMMYFUNCTION("GOOGLETRANSLATE(B11054, ""zh"", ""en"")"),"I do not know the color problem is the wrong color or the physical and Images too much deviation. Color feeling a lot of depth.")</f>
        <v>I do not know the color problem is the wrong color or the physical and Images too much deviation. Color feeling a lot of depth.</v>
      </c>
    </row>
    <row r="11055">
      <c r="A11055" s="1">
        <v>4.0</v>
      </c>
      <c r="B11055" s="1" t="s">
        <v>10968</v>
      </c>
      <c r="C11055" t="str">
        <f>IFERROR(__xludf.DUMMYFUNCTION("GOOGLETRANSLATE(B11055, ""zh"", ""en"")"),"Not warranty, the warranty can not be negative feedback, negative feedback. A year and the interface is not working, to find their own place shedding")</f>
        <v>Not warranty, the warranty can not be negative feedback, negative feedback. A year and the interface is not working, to find their own place shedding</v>
      </c>
    </row>
    <row r="11056">
      <c r="A11056" s="1">
        <v>4.0</v>
      </c>
      <c r="B11056" s="1" t="s">
        <v>10969</v>
      </c>
      <c r="C11056" t="str">
        <f>IFERROR(__xludf.DUMMYFUNCTION("GOOGLETRANSLATE(B11056, ""zh"", ""en"")"),"Constant temperature is accurate, easy to use, looks ugly constant temperature is accurate, easy to use. But apart from the faucet body all attachments are very cheap plastic plastic products, we do not know how life; moreover, the leading ugly; article w"&amp;"ill talk about the use value belonging to those purchases.")</f>
        <v>Constant temperature is accurate, easy to use, looks ugly constant temperature is accurate, easy to use. But apart from the faucet body all attachments are very cheap plastic plastic products, we do not know how life; moreover, the leading ugly; article will talk about the use value belonging to those purchases.</v>
      </c>
    </row>
    <row r="11057">
      <c r="A11057" s="1">
        <v>5.0</v>
      </c>
      <c r="B11057" s="1" t="s">
        <v>10970</v>
      </c>
      <c r="C11057" t="str">
        <f>IFERROR(__xludf.DUMMYFUNCTION("GOOGLETRANSLATE(B11057, ""zh"", ""en"")"),"Thin section, thin section tight, tight little money. not bad. Recommended size 182cm, 72kg")</f>
        <v>Thin section, thin section tight, tight little money. not bad. Recommended size 182cm, 72kg</v>
      </c>
    </row>
    <row r="11058">
      <c r="A11058" s="1">
        <v>5.0</v>
      </c>
      <c r="B11058" s="1" t="s">
        <v>10971</v>
      </c>
      <c r="C11058" t="str">
        <f>IFERROR(__xludf.DUMMYFUNCTION("GOOGLETRANSLATE(B11058, ""zh"", ""en"")"),"Great headphones great, I bought the most satisfying")</f>
        <v>Great headphones great, I bought the most satisfying</v>
      </c>
    </row>
    <row r="11059">
      <c r="A11059" s="1">
        <v>5.0</v>
      </c>
      <c r="B11059" s="1" t="s">
        <v>10972</v>
      </c>
      <c r="C11059" t="str">
        <f>IFERROR(__xludf.DUMMYFUNCTION("GOOGLETRANSLATE(B11059, ""zh"", ""en"")"),"Good, cheap, clothes fit very fit, bought two a good work, the other is not how cheap. Shipping a little slow, good customer service attitude is good, also called me to explain the situation, this is pretty cool, express not sent home, the attitude in gen"&amp;"eral, a little fly in the ointment, overall not bad.")</f>
        <v>Good, cheap, clothes fit very fit, bought two a good work, the other is not how cheap. Shipping a little slow, good customer service attitude is good, also called me to explain the situation, this is pretty cool, express not sent home, the attitude in general, a little fly in the ointment, overall not bad.</v>
      </c>
    </row>
    <row r="11060">
      <c r="A11060" s="1">
        <v>5.0</v>
      </c>
      <c r="B11060" s="1" t="s">
        <v>10973</v>
      </c>
      <c r="C11060" t="str">
        <f>IFERROR(__xludf.DUMMYFUNCTION("GOOGLETRANSLATE(B11060, ""zh"", ""en"")"),"Cheap headphones cheap, the effect is great value. A typical American-style headphones, do not focus on appearance, low-treble balance is better, rock pop music can do the job.")</f>
        <v>Cheap headphones cheap, the effect is great value. A typical American-style headphones, do not focus on appearance, low-treble balance is better, rock pop music can do the job.</v>
      </c>
    </row>
    <row r="11061">
      <c r="A11061" s="1">
        <v>5.0</v>
      </c>
      <c r="B11061" s="1" t="s">
        <v>10974</v>
      </c>
      <c r="C11061" t="str">
        <f>IFERROR(__xludf.DUMMYFUNCTION("GOOGLETRANSLATE(B11061, ""zh"", ""en"")"),"Worth starting right size, but not leather insole. Much cheaper than the domestic price, or value.")</f>
        <v>Worth starting right size, but not leather insole. Much cheaper than the domestic price, or value.</v>
      </c>
    </row>
    <row r="11062">
      <c r="A11062" s="1">
        <v>5.0</v>
      </c>
      <c r="B11062" s="1" t="s">
        <v>10975</v>
      </c>
      <c r="C11062" t="str">
        <f>IFERROR(__xludf.DUMMYFUNCTION("GOOGLETRANSLATE(B11062, ""zh"", ""en"")"),"In line with expectations has been to buy double clark, next month, just missing a pair of shoes, a good price to start immediately, very lightweight shoes")</f>
        <v>In line with expectations has been to buy double clark, next month, just missing a pair of shoes, a good price to start immediately, very lightweight shoes</v>
      </c>
    </row>
    <row r="11063">
      <c r="A11063" s="1">
        <v>5.0</v>
      </c>
      <c r="B11063" s="1" t="s">
        <v>10976</v>
      </c>
      <c r="C11063" t="str">
        <f>IFERROR(__xludf.DUMMYFUNCTION("GOOGLETRANSLATE(B11063, ""zh"", ""en"")"),"Quiet, quiet operation read and write speed, read and write speed")</f>
        <v>Quiet, quiet operation read and write speed, read and write speed</v>
      </c>
    </row>
    <row r="11064">
      <c r="A11064" s="1">
        <v>5.0</v>
      </c>
      <c r="B11064" s="1" t="s">
        <v>10977</v>
      </c>
      <c r="C11064" t="str">
        <f>IFERROR(__xludf.DUMMYFUNCTION("GOOGLETRANSLATE(B11064, ""zh"", ""en"")"),"988 to start a new tax, a new plug on the light easy to use!")</f>
        <v>988 to start a new tax, a new plug on the light easy to use!</v>
      </c>
    </row>
    <row r="11065">
      <c r="A11065" s="1">
        <v>5.0</v>
      </c>
      <c r="B11065" s="1" t="s">
        <v>10978</v>
      </c>
      <c r="C11065" t="str">
        <f>IFERROR(__xludf.DUMMYFUNCTION("GOOGLETRANSLATE(B11065, ""zh"", ""en"")"),"Baby milk to use in the beginning, is now used for drinking, very good, basically no baby spit milk!")</f>
        <v>Baby milk to use in the beginning, is now used for drinking, very good, basically no baby spit milk!</v>
      </c>
    </row>
    <row r="11066">
      <c r="A11066" s="1">
        <v>5.0</v>
      </c>
      <c r="B11066" s="1" t="s">
        <v>10979</v>
      </c>
      <c r="C11066" t="str">
        <f>IFERROR(__xludf.DUMMYFUNCTION("GOOGLETRANSLATE(B11066, ""zh"", ""en"")"),"You can wear to wear or can. Wash the situation did not appear to fade.")</f>
        <v>You can wear to wear or can. Wash the situation did not appear to fade.</v>
      </c>
    </row>
    <row r="11067">
      <c r="A11067" s="1">
        <v>5.0</v>
      </c>
      <c r="B11067" s="1" t="s">
        <v>10980</v>
      </c>
      <c r="C11067" t="str">
        <f>IFERROR(__xludf.DUMMYFUNCTION("GOOGLETRANSLATE(B11067, ""zh"", ""en"")"),"You can also buy a trumpet, shoulder a little bit small, the other fit, if you buy the number estimated on the big, ugly")</f>
        <v>You can also buy a trumpet, shoulder a little bit small, the other fit, if you buy the number estimated on the big, ugly</v>
      </c>
    </row>
    <row r="11068">
      <c r="A11068" s="1">
        <v>5.0</v>
      </c>
      <c r="B11068" s="1" t="s">
        <v>10981</v>
      </c>
      <c r="C11068" t="str">
        <f>IFERROR(__xludf.DUMMYFUNCTION("GOOGLETRANSLATE(B11068, ""zh"", ""en"")"),"Very fit, very comfortable Bohou moderate, low hips, very good.")</f>
        <v>Very fit, very comfortable Bohou moderate, low hips, very good.</v>
      </c>
    </row>
    <row r="11069">
      <c r="A11069" s="1">
        <v>5.0</v>
      </c>
      <c r="B11069" s="1" t="s">
        <v>10982</v>
      </c>
      <c r="C11069" t="str">
        <f>IFERROR(__xludf.DUMMYFUNCTION("GOOGLETRANSLATE(B11069, ""zh"", ""en"")"),"Good shoes, brown slightly deeper than the picture Some shoes are very appropriate, work is also very good, the original buy US7 code, but later found a small possibility, after receiving the results found outside the shoebox code is US7, US7.5 shoes post"&amp;"ed code, just good, magical Meyer")</f>
        <v>Good shoes, brown slightly deeper than the picture Some shoes are very appropriate, work is also very good, the original buy US7 code, but later found a small possibility, after receiving the results found outside the shoebox code is US7, US7.5 shoes posted code, just good, magical Meyer</v>
      </c>
    </row>
    <row r="11070">
      <c r="A11070" s="1">
        <v>5.0</v>
      </c>
      <c r="B11070" s="1" t="s">
        <v>10983</v>
      </c>
      <c r="C11070" t="str">
        <f>IFERROR(__xludf.DUMMYFUNCTION("GOOGLETRANSLATE(B11070, ""zh"", ""en"")"),"timberland kick is not bad but also not bad to wear good quality, size appropriate length. 35 cm wide leather softer than some of the same brand. To wear very nice.")</f>
        <v>timberland kick is not bad but also not bad to wear good quality, size appropriate length. 35 cm wide leather softer than some of the same brand. To wear very nice.</v>
      </c>
    </row>
    <row r="11071">
      <c r="A11071" s="1">
        <v>5.0</v>
      </c>
      <c r="B11071" s="1" t="s">
        <v>10984</v>
      </c>
      <c r="C11071" t="str">
        <f>IFERROR(__xludf.DUMMYFUNCTION("GOOGLETRANSLATE(B11071, ""zh"", ""en"")"),"Not bad, children must be like to eat")</f>
        <v>Not bad, children must be like to eat</v>
      </c>
    </row>
    <row r="11072">
      <c r="A11072" s="1">
        <v>5.0</v>
      </c>
      <c r="B11072" s="1" t="s">
        <v>10985</v>
      </c>
      <c r="C11072" t="str">
        <f>IFERROR(__xludf.DUMMYFUNCTION("GOOGLETRANSLATE(B11072, ""zh"", ""en"")"),"Perfect through aigle elephant shoes, very comfortable, this time with overseas purchase prime, the price is really affordable, domestic buy a pair, buy two pairs can be purchased overseas.")</f>
        <v>Perfect through aigle elephant shoes, very comfortable, this time with overseas purchase prime, the price is really affordable, domestic buy a pair, buy two pairs can be purchased overseas.</v>
      </c>
    </row>
    <row r="11073">
      <c r="A11073" s="1">
        <v>5.0</v>
      </c>
      <c r="B11073" s="1" t="s">
        <v>10986</v>
      </c>
      <c r="C11073" t="str">
        <f>IFERROR(__xludf.DUMMYFUNCTION("GOOGLETRANSLATE(B11073, ""zh"", ""en"")"),"Very, very good ah, satisfaction, light, good insulation properties")</f>
        <v>Very, very good ah, satisfaction, light, good insulation properties</v>
      </c>
    </row>
    <row r="11074">
      <c r="A11074" s="1">
        <v>5.0</v>
      </c>
      <c r="B11074" s="1" t="s">
        <v>10987</v>
      </c>
      <c r="C11074" t="str">
        <f>IFERROR(__xludf.DUMMYFUNCTION("GOOGLETRANSLATE(B11074, ""zh"", ""en"")"),"Can feel does not look good, large thin models do not like, do not return the currently idle trouble")</f>
        <v>Can feel does not look good, large thin models do not like, do not return the currently idle trouble</v>
      </c>
    </row>
    <row r="11075">
      <c r="A11075" s="1">
        <v>5.0</v>
      </c>
      <c r="B11075" s="1" t="s">
        <v>10988</v>
      </c>
      <c r="C11075" t="str">
        <f>IFERROR(__xludf.DUMMYFUNCTION("GOOGLETRANSLATE(B11075, ""zh"", ""en"")"),"still alright! Shipping a little slow. Upon receipt directly available for Mac and Windows! Transmission speed can be. Sound a bit big. There are indicators Wood is flawed.")</f>
        <v>still alright! Shipping a little slow. Upon receipt directly available for Mac and Windows! Transmission speed can be. Sound a bit big. There are indicators Wood is flawed.</v>
      </c>
    </row>
    <row r="11076">
      <c r="A11076" s="1">
        <v>5.0</v>
      </c>
      <c r="B11076" s="1" t="s">
        <v>10989</v>
      </c>
      <c r="C11076" t="str">
        <f>IFERROR(__xludf.DUMMYFUNCTION("GOOGLETRANSLATE(B11076, ""zh"", ""en"")"),"Also did not use very good, I bought a little freshman, this has not used.")</f>
        <v>Also did not use very good, I bought a little freshman, this has not used.</v>
      </c>
    </row>
    <row r="11077">
      <c r="A11077" s="1">
        <v>5.0</v>
      </c>
      <c r="B11077" s="1" t="s">
        <v>10990</v>
      </c>
      <c r="C11077" t="str">
        <f>IFERROR(__xludf.DUMMYFUNCTION("GOOGLETRANSLATE(B11077, ""zh"", ""en"")"),"Has received quite satisfactory, but not Kaifeng use, look forward to")</f>
        <v>Has received quite satisfactory, but not Kaifeng use, look forward to</v>
      </c>
    </row>
    <row r="11078">
      <c r="A11078" s="1">
        <v>5.0</v>
      </c>
      <c r="B11078" s="1" t="s">
        <v>10991</v>
      </c>
      <c r="C11078" t="str">
        <f>IFERROR(__xludf.DUMMYFUNCTION("GOOGLETRANSLATE(B11078, ""zh"", ""en"")"),"North high Jackets 158, 98 pounds, longer partial sleeves, which can wear a thin sweater. Functional, overall satisfaction, more than 400 special buy recommendation")</f>
        <v>North high Jackets 158, 98 pounds, longer partial sleeves, which can wear a thin sweater. Functional, overall satisfaction, more than 400 special buy recommendation</v>
      </c>
    </row>
    <row r="11079">
      <c r="A11079" s="1">
        <v>2.0</v>
      </c>
      <c r="B11079" s="1" t="s">
        <v>10992</v>
      </c>
      <c r="C11079" t="str">
        <f>IFERROR(__xludf.DUMMYFUNCTION("GOOGLETRANSLATE(B11079, ""zh"", ""en"")"),"Something not very good things to turn around or made in China, not very good results after use, grab very clean,")</f>
        <v>Something not very good things to turn around or made in China, not very good results after use, grab very clean,</v>
      </c>
    </row>
    <row r="11080">
      <c r="A11080" s="1">
        <v>3.0</v>
      </c>
      <c r="B11080" s="1" t="s">
        <v>10993</v>
      </c>
      <c r="C11080" t="str">
        <f>IFERROR(__xludf.DUMMYFUNCTION("GOOGLETRANSLATE(B11080, ""zh"", ""en"")"),"Comments orders to show December 13, it was received on December 19, open to receive poor packaging, poor workmanship,")</f>
        <v>Comments orders to show December 13, it was received on December 19, open to receive poor packaging, poor workmanship,</v>
      </c>
    </row>
    <row r="11081">
      <c r="A11081" s="1">
        <v>3.0</v>
      </c>
      <c r="B11081" s="1" t="s">
        <v>10994</v>
      </c>
      <c r="C11081" t="str">
        <f>IFERROR(__xludf.DUMMYFUNCTION("GOOGLETRANSLATE(B11081, ""zh"", ""en"")"),"Size just four days of receipt of the usual 40 feet is not too small! 6 yards girls just being good! Wear thick socks can be! Narrow shoes look good is not heavy! bj winter wear very warm! I do not wear the foot! Low instep is just put a little time to fe"&amp;"el! Walk on the comfortable! A little flaw on the right foot and overall satisfaction! Legs look long and wear meter eighty! Tisi feel very confident can anyone")</f>
        <v>Size just four days of receipt of the usual 40 feet is not too small! 6 yards girls just being good! Wear thick socks can be! Narrow shoes look good is not heavy! bj winter wear very warm! I do not wear the foot! Low instep is just put a little time to feel! Walk on the comfortable! A little flaw on the right foot and overall satisfaction! Legs look long and wear meter eighty! Tisi feel very confident can anyone</v>
      </c>
    </row>
    <row r="11082">
      <c r="A11082" s="1">
        <v>1.0</v>
      </c>
      <c r="B11082" s="1" t="s">
        <v>4983</v>
      </c>
      <c r="C11082" t="str">
        <f>IFERROR(__xludf.DUMMYFUNCTION("GOOGLETRANSLATE(B11082, ""zh"", ""en"")"),"How much small yards XL with the domestic as large as it, unscrupulous wear, tragedy")</f>
        <v>How much small yards XL with the domestic as large as it, unscrupulous wear, tragedy</v>
      </c>
    </row>
    <row r="11083">
      <c r="A11083" s="1">
        <v>1.0</v>
      </c>
      <c r="B11083" s="1" t="s">
        <v>10995</v>
      </c>
      <c r="C11083" t="str">
        <f>IFERROR(__xludf.DUMMYFUNCTION("GOOGLETRANSLATE(B11083, ""zh"", ""en"")"),"Less than six months fracture cup aprons, mugs leaking this cup with less than six months, the cup that blue apron cut off, and then the cup leaking. The apron is not equipped with parts, but also buy accessories. This cup is poor quality plastic parts, a"&amp;"nd before long it badly worn. Only to find later used this cup is really super bad")</f>
        <v>Less than six months fracture cup aprons, mugs leaking this cup with less than six months, the cup that blue apron cut off, and then the cup leaking. The apron is not equipped with parts, but also buy accessories. This cup is poor quality plastic parts, and before long it badly worn. Only to find later used this cup is really super bad</v>
      </c>
    </row>
    <row r="11084">
      <c r="A11084" s="1">
        <v>4.0</v>
      </c>
      <c r="B11084" s="1" t="s">
        <v>10996</v>
      </c>
      <c r="C11084" t="str">
        <f>IFERROR(__xludf.DUMMYFUNCTION("GOOGLETRANSLATE(B11084, ""zh"", ""en"")"),"made in china! ! ! Cyber ​​Monday scouring the sea, a process, not as a direct buy goods Free Trade Zone is tame, scleroderma, is a bit hard, buy a short help should be good, long trousers to help pull too high. . . .")</f>
        <v>made in china! ! ! Cyber ​​Monday scouring the sea, a process, not as a direct buy goods Free Trade Zone is tame, scleroderma, is a bit hard, buy a short help should be good, long trousers to help pull too high. . . .</v>
      </c>
    </row>
    <row r="11085">
      <c r="A11085" s="1">
        <v>4.0</v>
      </c>
      <c r="B11085" s="1" t="s">
        <v>10997</v>
      </c>
      <c r="C11085" t="str">
        <f>IFERROR(__xludf.DUMMYFUNCTION("GOOGLETRANSLATE(B11085, ""zh"", ""en"")"),"You can also find classic products, felt that I could, okay shopping experience.")</f>
        <v>You can also find classic products, felt that I could, okay shopping experience.</v>
      </c>
    </row>
    <row r="11086">
      <c r="A11086" s="1">
        <v>4.0</v>
      </c>
      <c r="B11086" s="1" t="s">
        <v>10998</v>
      </c>
      <c r="C11086" t="str">
        <f>IFERROR(__xludf.DUMMYFUNCTION("GOOGLETRANSLATE(B11086, ""zh"", ""en"")"),"The sound quality is generally good, the price there. But many details can hear it. not bad. But a long line .... not very convenient ... for home use.")</f>
        <v>The sound quality is generally good, the price there. But many details can hear it. not bad. But a long line .... not very convenient ... for home use.</v>
      </c>
    </row>
    <row r="11087">
      <c r="A11087" s="1">
        <v>4.0</v>
      </c>
      <c r="B11087" s="1" t="s">
        <v>10999</v>
      </c>
      <c r="C11087" t="str">
        <f>IFERROR(__xludf.DUMMYFUNCTION("GOOGLETRANSLATE(B11087, ""zh"", ""en"")"),"Big Jane, surprisingly large. Simple, so simple can not find the second logo.")</f>
        <v>Big Jane, surprisingly large. Simple, so simple can not find the second logo.</v>
      </c>
    </row>
    <row r="11088">
      <c r="A11088" s="1">
        <v>4.0</v>
      </c>
      <c r="B11088" s="1" t="s">
        <v>11000</v>
      </c>
      <c r="C11088" t="str">
        <f>IFERROR(__xludf.DUMMYFUNCTION("GOOGLETRANSLATE(B11088, ""zh"", ""en"")"),"A little paint, but their use should not matter because the deals are flawed, stripping a pen point. In addition, I pen this is not approved, and it feels great seam")</f>
        <v>A little paint, but their use should not matter because the deals are flawed, stripping a pen point. In addition, I pen this is not approved, and it feels great seam</v>
      </c>
    </row>
    <row r="11089">
      <c r="A11089" s="1">
        <v>5.0</v>
      </c>
      <c r="B11089" s="1" t="s">
        <v>11001</v>
      </c>
      <c r="C11089" t="str">
        <f>IFERROR(__xludf.DUMMYFUNCTION("GOOGLETRANSLATE(B11089, ""zh"", ""en"")"),"These trousers are generally very hard too hard but cheap too lazy to back")</f>
        <v>These trousers are generally very hard too hard but cheap too lazy to back</v>
      </c>
    </row>
    <row r="11090">
      <c r="A11090" s="1">
        <v>5.0</v>
      </c>
      <c r="B11090" s="1" t="s">
        <v>11002</v>
      </c>
      <c r="C11090" t="str">
        <f>IFERROR(__xludf.DUMMYFUNCTION("GOOGLETRANSLATE(B11090, ""zh"", ""en"")"),"This brand of premium baby shoe size too small, please note.")</f>
        <v>This brand of premium baby shoe size too small, please note.</v>
      </c>
    </row>
    <row r="11091">
      <c r="A11091" s="1">
        <v>5.0</v>
      </c>
      <c r="B11091" s="1" t="s">
        <v>11003</v>
      </c>
      <c r="C11091" t="str">
        <f>IFERROR(__xludf.DUMMYFUNCTION("GOOGLETRANSLATE(B11091, ""zh"", ""en"")"),"Classic wild-kind look great! Three classic white dial wild! 40mm dial the right size. Winter for a belt, good quartz watch!")</f>
        <v>Classic wild-kind look great! Three classic white dial wild! 40mm dial the right size. Winter for a belt, good quartz watch!</v>
      </c>
    </row>
    <row r="11092">
      <c r="A11092" s="1">
        <v>5.0</v>
      </c>
      <c r="B11092" s="1" t="s">
        <v>11004</v>
      </c>
      <c r="C11092" t="str">
        <f>IFERROR(__xludf.DUMMYFUNCTION("GOOGLETRANSLATE(B11092, ""zh"", ""en"")"),"Affordable very affordable, it should be genuine")</f>
        <v>Affordable very affordable, it should be genuine</v>
      </c>
    </row>
    <row r="11093">
      <c r="A11093" s="1">
        <v>5.0</v>
      </c>
      <c r="B11093" s="1" t="s">
        <v>11005</v>
      </c>
      <c r="C11093" t="str">
        <f>IFERROR(__xludf.DUMMYFUNCTION("GOOGLETRANSLATE(B11093, ""zh"", ""en"")"),"European version of the good size, very appropriate!")</f>
        <v>European version of the good size, very appropriate!</v>
      </c>
    </row>
    <row r="11094">
      <c r="A11094" s="1">
        <v>5.0</v>
      </c>
      <c r="B11094" s="1" t="s">
        <v>7991</v>
      </c>
      <c r="C11094" t="str">
        <f>IFERROR(__xludf.DUMMYFUNCTION("GOOGLETRANSLATE(B11094, ""zh"", ""en"")"),"Comfortable cotton material is actually written black dark green tie, comfortable cotton, the quality can be!")</f>
        <v>Comfortable cotton material is actually written black dark green tie, comfortable cotton, the quality can be!</v>
      </c>
    </row>
    <row r="11095">
      <c r="A11095" s="1">
        <v>5.0</v>
      </c>
      <c r="B11095" s="1" t="s">
        <v>11006</v>
      </c>
      <c r="C11095" t="str">
        <f>IFERROR(__xludf.DUMMYFUNCTION("GOOGLETRANSLATE(B11095, ""zh"", ""en"")"),"Cost-effective choice for cost-effective choice")</f>
        <v>Cost-effective choice for cost-effective choice</v>
      </c>
    </row>
    <row r="11096">
      <c r="A11096" s="1">
        <v>5.0</v>
      </c>
      <c r="B11096" s="1" t="s">
        <v>11007</v>
      </c>
      <c r="C11096" t="str">
        <f>IFERROR(__xludf.DUMMYFUNCTION("GOOGLETRANSLATE(B11096, ""zh"", ""en"")"),"Very nice trousers nothing to say, repeat purchase, value for money")</f>
        <v>Very nice trousers nothing to say, repeat purchase, value for money</v>
      </c>
    </row>
    <row r="11097">
      <c r="A11097" s="1">
        <v>5.0</v>
      </c>
      <c r="B11097" s="1" t="s">
        <v>11008</v>
      </c>
      <c r="C11097" t="str">
        <f>IFERROR(__xludf.DUMMYFUNCTION("GOOGLETRANSLATE(B11097, ""zh"", ""en"")"),"Good quality and price of a family of four supermarket 3,5 million children small bowl far more expensive, but the experience of using the down feel it is worth, first of all supermarkets are 9.9 bowl taste of plastic when heated, is $ 5 bowl after heatin"&amp;"g the bottom of the plastic foam, is not assured of safety and quality. This section can be heated separately heated, put in plastic pots on a good not hot out later. well.")</f>
        <v>Good quality and price of a family of four supermarket 3,5 million children small bowl far more expensive, but the experience of using the down feel it is worth, first of all supermarkets are 9.9 bowl taste of plastic when heated, is $ 5 bowl after heating the bottom of the plastic foam, is not assured of safety and quality. This section can be heated separately heated, put in plastic pots on a good not hot out later. well.</v>
      </c>
    </row>
    <row r="11098">
      <c r="A11098" s="1">
        <v>5.0</v>
      </c>
      <c r="B11098" s="1" t="s">
        <v>11009</v>
      </c>
      <c r="C11098" t="str">
        <f>IFERROR(__xludf.DUMMYFUNCTION("GOOGLETRANSLATE(B11098, ""zh"", ""en"")"),"Hershey goods go accurate, cost-effective, worth having, the key is not always consider the issue of power, functions much pondering, the whole Japanese instructions, read")</f>
        <v>Hershey goods go accurate, cost-effective, worth having, the key is not always consider the issue of power, functions much pondering, the whole Japanese instructions, read</v>
      </c>
    </row>
    <row r="11099">
      <c r="A11099" s="1">
        <v>5.0</v>
      </c>
      <c r="B11099" s="1" t="s">
        <v>11010</v>
      </c>
      <c r="C11099" t="str">
        <f>IFERROR(__xludf.DUMMYFUNCTION("GOOGLETRANSLATE(B11099, ""zh"", ""en"")"),"Shaver good, a lot of improvement")</f>
        <v>Shaver good, a lot of improvement</v>
      </c>
    </row>
    <row r="11100">
      <c r="A11100" s="1">
        <v>5.0</v>
      </c>
      <c r="B11100" s="1" t="s">
        <v>11011</v>
      </c>
      <c r="C11100" t="str">
        <f>IFERROR(__xludf.DUMMYFUNCTION("GOOGLETRANSLATE(B11100, ""zh"", ""en"")"),"Moving at the speed of a single receipt to only four days, direct mail moving speed. Baby for seven months, has been with Japan Pigeon bottles and nipples, very good! Amazon sea Amoy quality assured.")</f>
        <v>Moving at the speed of a single receipt to only four days, direct mail moving speed. Baby for seven months, has been with Japan Pigeon bottles and nipples, very good! Amazon sea Amoy quality assured.</v>
      </c>
    </row>
    <row r="11101">
      <c r="A11101" s="1">
        <v>5.0</v>
      </c>
      <c r="B11101" s="1" t="s">
        <v>11012</v>
      </c>
      <c r="C11101" t="str">
        <f>IFERROR(__xludf.DUMMYFUNCTION("GOOGLETRANSLATE(B11101, ""zh"", ""en"")"),"Nice little crowded but super nice feet")</f>
        <v>Nice little crowded but super nice feet</v>
      </c>
    </row>
    <row r="11102">
      <c r="A11102" s="1">
        <v>5.0</v>
      </c>
      <c r="B11102" s="1" t="s">
        <v>11013</v>
      </c>
      <c r="C11102" t="str">
        <f>IFERROR(__xludf.DUMMYFUNCTION("GOOGLETRANSLATE(B11102, ""zh"", ""en"")"),"Referring height 180, weight 182, Shoulder 50, right wear L number.")</f>
        <v>Referring height 180, weight 182, Shoulder 50, right wear L number.</v>
      </c>
    </row>
    <row r="11103">
      <c r="A11103" s="1">
        <v>5.0</v>
      </c>
      <c r="B11103" s="1" t="s">
        <v>11014</v>
      </c>
      <c r="C11103" t="str">
        <f>IFERROR(__xludf.DUMMYFUNCTION("GOOGLETRANSLATE(B11103, ""zh"", ""en"")"),"Good very good quality, Chinese families to buy it, because the difference between Europe and China, the interface will highlight a little bit. . . Mind carefully")</f>
        <v>Good very good quality, Chinese families to buy it, because the difference between Europe and China, the interface will highlight a little bit. . . Mind carefully</v>
      </c>
    </row>
    <row r="11104">
      <c r="A11104" s="1">
        <v>5.0</v>
      </c>
      <c r="B11104" s="1" t="s">
        <v>11015</v>
      </c>
      <c r="C11104" t="str">
        <f>IFERROR(__xludf.DUMMYFUNCTION("GOOGLETRANSLATE(B11104, ""zh"", ""en"")"),"Bad customer service! Po has never been in a shopping experience, there has been little episode, but a good deal Amazon customer service, the full trust of consumers, problem solving, customer service call back promptly, good attitude!")</f>
        <v>Bad customer service! Po has never been in a shopping experience, there has been little episode, but a good deal Amazon customer service, the full trust of consumers, problem solving, customer service call back promptly, good attitude!</v>
      </c>
    </row>
    <row r="11105">
      <c r="A11105" s="1">
        <v>5.0</v>
      </c>
      <c r="B11105" s="1" t="s">
        <v>11016</v>
      </c>
      <c r="C11105" t="str">
        <f>IFERROR(__xludf.DUMMYFUNCTION("GOOGLETRANSLATE(B11105, ""zh"", ""en"")"),"Good quality, size can be a good quality fabric, sizes can be slightly a little tight")</f>
        <v>Good quality, size can be a good quality fabric, sizes can be slightly a little tight</v>
      </c>
    </row>
    <row r="11106">
      <c r="A11106" s="1">
        <v>5.0</v>
      </c>
      <c r="B11106" s="1" t="s">
        <v>11017</v>
      </c>
      <c r="C11106" t="str">
        <f>IFERROR(__xludf.DUMMYFUNCTION("GOOGLETRANSLATE(B11106, ""zh"", ""en"")"),"The price is high read and write speeds are good, fast and stable. The price is still affordable.")</f>
        <v>The price is high read and write speeds are good, fast and stable. The price is still affordable.</v>
      </c>
    </row>
    <row r="11107">
      <c r="A11107" s="1">
        <v>5.0</v>
      </c>
      <c r="B11107" s="1" t="s">
        <v>11018</v>
      </c>
      <c r="C11107" t="str">
        <f>IFERROR(__xludf.DUMMYFUNCTION("GOOGLETRANSLATE(B11107, ""zh"", ""en"")"),"GUNZE no rims bra gentle story-back comfort Seamless TB1048H VR beige B85 ... is genuine, wearing the right, I like it.")</f>
        <v>GUNZE no rims bra gentle story-back comfort Seamless TB1048H VR beige B85 ... is genuine, wearing the right, I like it.</v>
      </c>
    </row>
    <row r="11108">
      <c r="A11108" s="1">
        <v>5.0</v>
      </c>
      <c r="B11108" s="1" t="s">
        <v>11019</v>
      </c>
      <c r="C11108" t="str">
        <f>IFERROR(__xludf.DUMMYFUNCTION("GOOGLETRANSLATE(B11108, ""zh"", ""en"")"),"Very good, recommended. The right size, the right thickness, the appearance of simplicity, has been worn to April.")</f>
        <v>Very good, recommended. The right size, the right thickness, the appearance of simplicity, has been worn to April.</v>
      </c>
    </row>
    <row r="11109">
      <c r="A11109" s="1">
        <v>5.0</v>
      </c>
      <c r="B11109" s="1" t="s">
        <v>11020</v>
      </c>
      <c r="C11109" t="str">
        <f>IFERROR(__xludf.DUMMYFUNCTION("GOOGLETRANSLATE(B11109, ""zh"", ""en"")"),"Okay okay, a bit hard soles")</f>
        <v>Okay okay, a bit hard soles</v>
      </c>
    </row>
    <row r="11110">
      <c r="A11110" s="1">
        <v>5.0</v>
      </c>
      <c r="B11110" s="1" t="s">
        <v>11021</v>
      </c>
      <c r="C11110" t="str">
        <f>IFERROR(__xludf.DUMMYFUNCTION("GOOGLETRANSLATE(B11110, ""zh"", ""en"")"),"High quality, good quality praise, praise")</f>
        <v>High quality, good quality praise, praise</v>
      </c>
    </row>
    <row r="11111">
      <c r="A11111" s="1">
        <v>2.0</v>
      </c>
      <c r="B11111" s="1" t="s">
        <v>11022</v>
      </c>
      <c r="C11111" t="str">
        <f>IFERROR(__xludf.DUMMYFUNCTION("GOOGLETRANSLATE(B11111, ""zh"", ""en"")"),"A price of a stock has been used before white diamond found this played two days later found a hair")</f>
        <v>A price of a stock has been used before white diamond found this played two days later found a hair</v>
      </c>
    </row>
    <row r="11112">
      <c r="A11112" s="1">
        <v>3.0</v>
      </c>
      <c r="B11112" s="1" t="s">
        <v>11023</v>
      </c>
      <c r="C11112" t="str">
        <f>IFERROR(__xludf.DUMMYFUNCTION("GOOGLETRANSLATE(B11112, ""zh"", ""en"")"),"The ink refill cartridge incoherent")</f>
        <v>The ink refill cartridge incoherent</v>
      </c>
    </row>
    <row r="11113">
      <c r="A11113" s="1">
        <v>3.0</v>
      </c>
      <c r="B11113" s="1" t="s">
        <v>11024</v>
      </c>
      <c r="C11113" t="str">
        <f>IFERROR(__xludf.DUMMYFUNCTION("GOOGLETRANSLATE(B11113, ""zh"", ""en"")"),"Quality generally too large pants pocket and injustice")</f>
        <v>Quality generally too large pants pocket and injustice</v>
      </c>
    </row>
    <row r="11114">
      <c r="A11114" s="1">
        <v>1.0</v>
      </c>
      <c r="B11114" s="1" t="s">
        <v>11025</v>
      </c>
      <c r="C11114" t="str">
        <f>IFERROR(__xludf.DUMMYFUNCTION("GOOGLETRANSLATE(B11114, ""zh"", ""en"")"),"Does not meet the 172, M number is too small, the brand more and more water!")</f>
        <v>Does not meet the 172, M number is too small, the brand more and more water!</v>
      </c>
    </row>
    <row r="11115">
      <c r="A11115" s="1">
        <v>1.0</v>
      </c>
      <c r="B11115" s="1" t="s">
        <v>11026</v>
      </c>
      <c r="C11115" t="str">
        <f>IFERROR(__xludf.DUMMYFUNCTION("GOOGLETRANSLATE(B11115, ""zh"", ""en"")"),"Lemons too times, rust very powerful, very much in love sticky end")</f>
        <v>Lemons too times, rust very powerful, very much in love sticky end</v>
      </c>
    </row>
    <row r="11116">
      <c r="A11116" s="1">
        <v>1.0</v>
      </c>
      <c r="B11116" s="1" t="s">
        <v>11027</v>
      </c>
      <c r="C11116" t="str">
        <f>IFERROR(__xludf.DUMMYFUNCTION("GOOGLETRANSLATE(B11116, ""zh"", ""en"")"),"I checked swisse company holding the original Chinese people ...... have a look at what materials medicine? Immediately Internet search a bit swisse company, I had already given a Chinese company acquired ......")</f>
        <v>I checked swisse company holding the original Chinese people ...... have a look at what materials medicine? Immediately Internet search a bit swisse company, I had already given a Chinese company acquired ......</v>
      </c>
    </row>
    <row r="11117">
      <c r="A11117" s="1">
        <v>4.0</v>
      </c>
      <c r="B11117" s="1" t="s">
        <v>11028</v>
      </c>
      <c r="C11117" t="str">
        <f>IFERROR(__xludf.DUMMYFUNCTION("GOOGLETRANSLATE(B11117, ""zh"", ""en"")"),"Cotton, high-density, poor ventilation, neck tight, small cotton, high-density, poor ventilation, neck tight, too small, a little longer, I do not recommend to buy 101 177 71kg bust")</f>
        <v>Cotton, high-density, poor ventilation, neck tight, small cotton, high-density, poor ventilation, neck tight, too small, a little longer, I do not recommend to buy 101 177 71kg bust</v>
      </c>
    </row>
    <row r="11118">
      <c r="A11118" s="1">
        <v>4.0</v>
      </c>
      <c r="B11118" s="1" t="s">
        <v>11029</v>
      </c>
      <c r="C11118" t="str">
        <f>IFERROR(__xludf.DUMMYFUNCTION("GOOGLETRANSLATE(B11118, ""zh"", ""en"")"),"Size slightly larger than the first wash will fade slightly larger size clothes there to write code equivalent to S Asia or Japan M code")</f>
        <v>Size slightly larger than the first wash will fade slightly larger size clothes there to write code equivalent to S Asia or Japan M code</v>
      </c>
    </row>
    <row r="11119">
      <c r="A11119" s="1">
        <v>4.0</v>
      </c>
      <c r="B11119" s="1" t="s">
        <v>11030</v>
      </c>
      <c r="C11119" t="str">
        <f>IFERROR(__xludf.DUMMYFUNCTION("GOOGLETRANSLATE(B11119, ""zh"", ""en"")"),"Hitachi Enterprise Hard legend legendary refurbished third party in third party refurbished Hitachi enterprise drives, speed in general, heat is not small, start-up and continuous rattle seek not small, generally acceptable running sound, made a slow over"&amp;"all sweep, all green, did not find a good low block, health status, whether it is a brand new refurbished disk platters and heads are still invisible injury flea can only wait for time to test,")</f>
        <v>Hitachi Enterprise Hard legend legendary refurbished third party in third party refurbished Hitachi enterprise drives, speed in general, heat is not small, start-up and continuous rattle seek not small, generally acceptable running sound, made a slow overall sweep, all green, did not find a good low block, health status, whether it is a brand new refurbished disk platters and heads are still invisible injury flea can only wait for time to test,</v>
      </c>
    </row>
    <row r="11120">
      <c r="A11120" s="1">
        <v>4.0</v>
      </c>
      <c r="B11120" s="1" t="s">
        <v>11031</v>
      </c>
      <c r="C11120" t="str">
        <f>IFERROR(__xludf.DUMMYFUNCTION("GOOGLETRANSLATE(B11120, ""zh"", ""en"")"),"Good to send to friends very satisfied. Well, not from the previous evaluation, I do not know how many wasted points, points can change money now know, they should look carefully evaluated, then I put these words to copy to go, both to earn points, but al"&amp;"so the easy way, where are copy where, most importantly, do not seriously review, do not think how much worse word, sent directly to it, recommend it to everyone! !")</f>
        <v>Good to send to friends very satisfied. Well, not from the previous evaluation, I do not know how many wasted points, points can change money now know, they should look carefully evaluated, then I put these words to copy to go, both to earn points, but also the easy way, where are copy where, most importantly, do not seriously review, do not think how much worse word, sent directly to it, recommend it to everyone! !</v>
      </c>
    </row>
    <row r="11121">
      <c r="A11121" s="1">
        <v>4.0</v>
      </c>
      <c r="B11121" s="1" t="s">
        <v>11032</v>
      </c>
      <c r="C11121" t="str">
        <f>IFERROR(__xludf.DUMMYFUNCTION("GOOGLETRANSLATE(B11121, ""zh"", ""en"")"),"The sleeves a little longer tax 233 start, Ma Ma do not like the gray, I've come to order something. Shoulder, arm, waist circumference (Ma Ma have little stomach) are still appropriate. Fabrics feel good, the disadvantage is that if the sleeves are too l"&amp;"ong.")</f>
        <v>The sleeves a little longer tax 233 start, Ma Ma do not like the gray, I've come to order something. Shoulder, arm, waist circumference (Ma Ma have little stomach) are still appropriate. Fabrics feel good, the disadvantage is that if the sleeves are too long.</v>
      </c>
    </row>
    <row r="11122">
      <c r="A11122" s="1">
        <v>5.0</v>
      </c>
      <c r="B11122" s="1" t="s">
        <v>11033</v>
      </c>
      <c r="C11122" t="str">
        <f>IFERROR(__xludf.DUMMYFUNCTION("GOOGLETRANSLATE(B11122, ""zh"", ""en"")"),"In line with expectations 180cm 75kg waist, long pants just good, not good, just wear the fall Guangdong")</f>
        <v>In line with expectations 180cm 75kg waist, long pants just good, not good, just wear the fall Guangdong</v>
      </c>
    </row>
    <row r="11123">
      <c r="A11123" s="1">
        <v>5.0</v>
      </c>
      <c r="B11123" s="1" t="s">
        <v>11034</v>
      </c>
      <c r="C11123" t="str">
        <f>IFERROR(__xludf.DUMMYFUNCTION("GOOGLETRANSLATE(B11123, ""zh"", ""en"")"),"Light and comfortable 173cm, 69kg s code very appropriate. Very light, wore a quick-drying fabric underwear, so in Shenzhen, the weather is suitable. like very much.")</f>
        <v>Light and comfortable 173cm, 69kg s code very appropriate. Very light, wore a quick-drying fabric underwear, so in Shenzhen, the weather is suitable. like very much.</v>
      </c>
    </row>
    <row r="11124">
      <c r="A11124" s="1">
        <v>5.0</v>
      </c>
      <c r="B11124" s="1" t="s">
        <v>11035</v>
      </c>
      <c r="C11124" t="str">
        <f>IFERROR(__xludf.DUMMYFUNCTION("GOOGLETRANSLATE(B11124, ""zh"", ""en"")"),"Comprehensive cost-effective use for some time, a fairly clean shaven, sounds a bit big, all aspects can also be integrated, okay ~ logistics a little slow, waited fifteen days. Amazon does not worry about fakes, so the logistics slow to accept. Just did "&amp;"not expect, I did not hand it to cut prices ~ hum 😭")</f>
        <v>Comprehensive cost-effective use for some time, a fairly clean shaven, sounds a bit big, all aspects can also be integrated, okay ~ logistics a little slow, waited fifteen days. Amazon does not worry about fakes, so the logistics slow to accept. Just did not expect, I did not hand it to cut prices ~ hum 😭</v>
      </c>
    </row>
    <row r="11125">
      <c r="A11125" s="1">
        <v>5.0</v>
      </c>
      <c r="B11125" s="1" t="s">
        <v>11036</v>
      </c>
      <c r="C11125" t="str">
        <f>IFERROR(__xludf.DUMMYFUNCTION("GOOGLETRANSLATE(B11125, ""zh"", ""en"")"),"What usually code on what to buy code. Size just right. This is the style of trouser legs too big, too fat.")</f>
        <v>What usually code on what to buy code. Size just right. This is the style of trouser legs too big, too fat.</v>
      </c>
    </row>
    <row r="11126">
      <c r="A11126" s="1">
        <v>5.0</v>
      </c>
      <c r="B11126" s="1" t="s">
        <v>11037</v>
      </c>
      <c r="C11126" t="str">
        <f>IFERROR(__xludf.DUMMYFUNCTION("GOOGLETRANSLATE(B11126, ""zh"", ""en"")"),"This brand head very close to the people at this price, fast delivery.")</f>
        <v>This brand head very close to the people at this price, fast delivery.</v>
      </c>
    </row>
    <row r="11127">
      <c r="A11127" s="1">
        <v>5.0</v>
      </c>
      <c r="B11127" s="1" t="s">
        <v>11038</v>
      </c>
      <c r="C11127" t="str">
        <f>IFERROR(__xludf.DUMMYFUNCTION("GOOGLETRANSLATE(B11127, ""zh"", ""en"")"),"Good price including tax of about 200 to start, the sound quality equivalent to the level of Apple wired headset, but this is, after all, Bluetooth wireless, also found no delay, good price")</f>
        <v>Good price including tax of about 200 to start, the sound quality equivalent to the level of Apple wired headset, but this is, after all, Bluetooth wireless, also found no delay, good price</v>
      </c>
    </row>
    <row r="11128">
      <c r="A11128" s="1">
        <v>5.0</v>
      </c>
      <c r="B11128" s="1" t="s">
        <v>11039</v>
      </c>
      <c r="C11128" t="str">
        <f>IFERROR(__xludf.DUMMYFUNCTION("GOOGLETRANSLATE(B11128, ""zh"", ""en"")"),"+ Pretty cool alarm clock timer, when to go silent, easy to learn")</f>
        <v>+ Pretty cool alarm clock timer, when to go silent, easy to learn</v>
      </c>
    </row>
    <row r="11129">
      <c r="A11129" s="1">
        <v>5.0</v>
      </c>
      <c r="B11129" s="1" t="s">
        <v>11040</v>
      </c>
      <c r="C11129" t="str">
        <f>IFERROR(__xludf.DUMMYFUNCTION("GOOGLETRANSLATE(B11129, ""zh"", ""en"")"),"Comprehensive look very nice, high-end atmosphere on the grade, the price is a good deal! The insulation effect is also pretty good")</f>
        <v>Comprehensive look very nice, high-end atmosphere on the grade, the price is a good deal! The insulation effect is also pretty good</v>
      </c>
    </row>
    <row r="11130">
      <c r="A11130" s="1">
        <v>5.0</v>
      </c>
      <c r="B11130" s="1" t="s">
        <v>11041</v>
      </c>
      <c r="C11130" t="str">
        <f>IFERROR(__xludf.DUMMYFUNCTION("GOOGLETRANSLATE(B11130, ""zh"", ""en"")"),"Good-looking superb, good fabrics, like color, soft and comfortable.")</f>
        <v>Good-looking superb, good fabrics, like color, soft and comfortable.</v>
      </c>
    </row>
    <row r="11131">
      <c r="A11131" s="1">
        <v>5.0</v>
      </c>
      <c r="B11131" s="1" t="s">
        <v>11042</v>
      </c>
      <c r="C11131" t="str">
        <f>IFERROR(__xludf.DUMMYFUNCTION("GOOGLETRANSLATE(B11131, ""zh"", ""en"")"),"Recommend affordable, so very appropriate dress pants, size is also very positive, 175 80kg")</f>
        <v>Recommend affordable, so very appropriate dress pants, size is also very positive, 175 80kg</v>
      </c>
    </row>
    <row r="11132">
      <c r="A11132" s="1">
        <v>5.0</v>
      </c>
      <c r="B11132" s="1" t="s">
        <v>11043</v>
      </c>
      <c r="C11132" t="str">
        <f>IFERROR(__xludf.DUMMYFUNCTION("GOOGLETRANSLATE(B11132, ""zh"", ""en"")"),"Good cotton, comfortable to wear, no deformation washed up")</f>
        <v>Good cotton, comfortable to wear, no deformation washed up</v>
      </c>
    </row>
    <row r="11133">
      <c r="A11133" s="1">
        <v>5.0</v>
      </c>
      <c r="B11133" s="1" t="s">
        <v>11044</v>
      </c>
      <c r="C11133" t="str">
        <f>IFERROR(__xludf.DUMMYFUNCTION("GOOGLETRANSLATE(B11133, ""zh"", ""en"")"),"Like a good, like, I want to point out the activities of 20 cm")</f>
        <v>Like a good, like, I want to point out the activities of 20 cm</v>
      </c>
    </row>
    <row r="11134">
      <c r="A11134" s="1">
        <v>5.0</v>
      </c>
      <c r="B11134" s="1" t="s">
        <v>11045</v>
      </c>
      <c r="C11134" t="str">
        <f>IFERROR(__xludf.DUMMYFUNCTION("GOOGLETRANSLATE(B11134, ""zh"", ""en"")"),"The T-shirt material is very thick material that will not easily deformable material well!")</f>
        <v>The T-shirt material is very thick material that will not easily deformable material well!</v>
      </c>
    </row>
    <row r="11135">
      <c r="A11135" s="1">
        <v>5.0</v>
      </c>
      <c r="B11135" s="1" t="s">
        <v>11046</v>
      </c>
      <c r="C11135" t="str">
        <f>IFERROR(__xludf.DUMMYFUNCTION("GOOGLETRANSLATE(B11135, ""zh"", ""en"")"),"Seagate Seagate Expansion 2TB mobile hard disk read and write speeds are good praise! ! ! ! ! ! ! ! ! ! ! ! !")</f>
        <v>Seagate Seagate Expansion 2TB mobile hard disk read and write speeds are good praise! ! ! ! ! ! ! ! ! ! ! ! !</v>
      </c>
    </row>
    <row r="11136">
      <c r="A11136" s="1">
        <v>5.0</v>
      </c>
      <c r="B11136" s="1" t="s">
        <v>4325</v>
      </c>
      <c r="C11136" t="str">
        <f>IFERROR(__xludf.DUMMYFUNCTION("GOOGLETRANSLATE(B11136, ""zh"", ""en"")"),"Models fit models of good quality and can not ball but not over size over size models are not recommended to buy a large two yards of good quality ball can not afford")</f>
        <v>Models fit models of good quality and can not ball but not over size over size models are not recommended to buy a large two yards of good quality ball can not afford</v>
      </c>
    </row>
    <row r="11137">
      <c r="A11137" s="1">
        <v>5.0</v>
      </c>
      <c r="B11137" s="1" t="s">
        <v>11047</v>
      </c>
      <c r="C11137" t="str">
        <f>IFERROR(__xludf.DUMMYFUNCTION("GOOGLETRANSLATE(B11137, ""zh"", ""en"")"),"Five-star quality is good, very comfortable to wear.")</f>
        <v>Five-star quality is good, very comfortable to wear.</v>
      </c>
    </row>
    <row r="11138">
      <c r="A11138" s="1">
        <v>5.0</v>
      </c>
      <c r="B11138" s="1" t="s">
        <v>11048</v>
      </c>
      <c r="C11138" t="str">
        <f>IFERROR(__xludf.DUMMYFUNCTION("GOOGLETRANSLATE(B11138, ""zh"", ""en"")"),"Very satisfied with the appearance, wearing comfortable, relatively low surface suitable for foot tarsal")</f>
        <v>Very satisfied with the appearance, wearing comfortable, relatively low surface suitable for foot tarsal</v>
      </c>
    </row>
    <row r="11139">
      <c r="A11139" s="1">
        <v>5.0</v>
      </c>
      <c r="B11139" s="1" t="s">
        <v>11049</v>
      </c>
      <c r="C11139" t="str">
        <f>IFERROR(__xludf.DUMMYFUNCTION("GOOGLETRANSLATE(B11139, ""zh"", ""en"")"),"After ok ok good you can, do not so expensive")</f>
        <v>After ok ok good you can, do not so expensive</v>
      </c>
    </row>
    <row r="11140">
      <c r="A11140" s="1">
        <v>5.0</v>
      </c>
      <c r="B11140" s="1" t="s">
        <v>11050</v>
      </c>
      <c r="C11140" t="str">
        <f>IFERROR(__xludf.DUMMYFUNCTION("GOOGLETRANSLATE(B11140, ""zh"", ""en"")"),"Just received, not with, the appearance, workmanship, can only be described as stunning just received, not with, the appearance, workmanship, can only be described as stunning")</f>
        <v>Just received, not with, the appearance, workmanship, can only be described as stunning just received, not with, the appearance, workmanship, can only be described as stunning</v>
      </c>
    </row>
    <row r="11141">
      <c r="A11141" s="1">
        <v>5.0</v>
      </c>
      <c r="B11141" s="1" t="s">
        <v>11051</v>
      </c>
      <c r="C11141" t="str">
        <f>IFERROR(__xludf.DUMMYFUNCTION("GOOGLETRANSLATE(B11141, ""zh"", ""en"")"),"Good good good sealing material, satisfaction")</f>
        <v>Good good good sealing material, satisfaction</v>
      </c>
    </row>
    <row r="11142">
      <c r="A11142" s="1">
        <v>5.0</v>
      </c>
      <c r="B11142" s="1" t="s">
        <v>11052</v>
      </c>
      <c r="C11142" t="str">
        <f>IFERROR(__xludf.DUMMYFUNCTION("GOOGLETRANSLATE(B11142, ""zh"", ""en"")"),"Good quality clothes, a little too large, it is recommended to buy a small one yard")</f>
        <v>Good quality clothes, a little too large, it is recommended to buy a small one yard</v>
      </c>
    </row>
    <row r="11143">
      <c r="A11143" s="1">
        <v>5.0</v>
      </c>
      <c r="B11143" s="1" t="s">
        <v>11053</v>
      </c>
      <c r="C11143" t="str">
        <f>IFERROR(__xludf.DUMMYFUNCTION("GOOGLETRANSLATE(B11143, ""zh"", ""en"")"),"Very satisfied with the logistics very complete faster than imagined, packaging, should be genuine.")</f>
        <v>Very satisfied with the logistics very complete faster than imagined, packaging, should be genuine.</v>
      </c>
    </row>
    <row r="11144">
      <c r="A11144" s="1">
        <v>2.0</v>
      </c>
      <c r="B11144" s="1" t="s">
        <v>11054</v>
      </c>
      <c r="C11144" t="str">
        <f>IFERROR(__xludf.DUMMYFUNCTION("GOOGLETRANSLATE(B11144, ""zh"", ""en"")"),"Hypertrophy, fabrics are generally 1.98 meters, 90 kg, just 2XL length, size too fat, thin fabric, a little light.")</f>
        <v>Hypertrophy, fabrics are generally 1.98 meters, 90 kg, just 2XL length, size too fat, thin fabric, a little light.</v>
      </c>
    </row>
    <row r="11145">
      <c r="A11145" s="1">
        <v>3.0</v>
      </c>
      <c r="B11145" s="1" t="s">
        <v>11055</v>
      </c>
      <c r="C11145" t="str">
        <f>IFERROR(__xludf.DUMMYFUNCTION("GOOGLETRANSLATE(B11145, ""zh"", ""en"")"),"Clothes too big too loose, too large")</f>
        <v>Clothes too big too loose, too large</v>
      </c>
    </row>
    <row r="11146">
      <c r="A11146" s="1">
        <v>3.0</v>
      </c>
      <c r="B11146" s="1" t="s">
        <v>11056</v>
      </c>
      <c r="C11146" t="str">
        <f>IFERROR(__xludf.DUMMYFUNCTION("GOOGLETRANSLATE(B11146, ""zh"", ""en"")"),"Dark blue color is not physical goods and buyers show color differences, no buyers show good-looking. They 1 m 8, weighing 156 kg, are suitable. Thin clothes. You can do rendering clothing.")</f>
        <v>Dark blue color is not physical goods and buyers show color differences, no buyers show good-looking. They 1 m 8, weighing 156 kg, are suitable. Thin clothes. You can do rendering clothing.</v>
      </c>
    </row>
    <row r="11147">
      <c r="A11147" s="1">
        <v>3.0</v>
      </c>
      <c r="B11147" s="1" t="s">
        <v>11057</v>
      </c>
      <c r="C11147" t="str">
        <f>IFERROR(__xludf.DUMMYFUNCTION("GOOGLETRANSLATE(B11147, ""zh"", ""en"")"),"Material is generally not recommended the material is very general. S corresponds No. 170 / 92A")</f>
        <v>Material is generally not recommended the material is very general. S corresponds No. 170 / 92A</v>
      </c>
    </row>
    <row r="11148">
      <c r="A11148" s="1">
        <v>1.0</v>
      </c>
      <c r="B11148" s="1" t="s">
        <v>11058</v>
      </c>
      <c r="C11148" t="str">
        <f>IFERROR(__xludf.DUMMYFUNCTION("GOOGLETRANSLATE(B11148, ""zh"", ""en"")"),"Bad leak leaking a bit, not very okay")</f>
        <v>Bad leak leaking a bit, not very okay</v>
      </c>
    </row>
    <row r="11149">
      <c r="A11149" s="1">
        <v>1.0</v>
      </c>
      <c r="B11149" s="1" t="s">
        <v>11059</v>
      </c>
      <c r="C11149" t="str">
        <f>IFERROR(__xludf.DUMMYFUNCTION("GOOGLETRANSLATE(B11149, ""zh"", ""en"")"),"Quality is not good quality! But comfort is good, sole sucker son liked")</f>
        <v>Quality is not good quality! But comfort is good, sole sucker son liked</v>
      </c>
    </row>
    <row r="11150">
      <c r="A11150" s="1">
        <v>1.0</v>
      </c>
      <c r="B11150" s="1" t="s">
        <v>11060</v>
      </c>
      <c r="C11150" t="str">
        <f>IFERROR(__xludf.DUMMYFUNCTION("GOOGLETRANSLATE(B11150, ""zh"", ""en"")"),"I do not meet the size of the table is in strict accordance with the size of the amount available on the web page, but then to but much larger! This is not my body type can wear ··········")</f>
        <v>I do not meet the size of the table is in strict accordance with the size of the amount available on the web page, but then to but much larger! This is not my body type can wear ··········</v>
      </c>
    </row>
    <row r="11151">
      <c r="A11151" s="1">
        <v>4.0</v>
      </c>
      <c r="B11151" s="1" t="s">
        <v>11061</v>
      </c>
      <c r="C11151" t="str">
        <f>IFERROR(__xludf.DUMMYFUNCTION("GOOGLETRANSLATE(B11151, ""zh"", ""en"")"),"Good value for money, travel party unfriendly Deya, about seven days of arrival. Good material, pattern enough. After unpacking the packing list (Figure), we found no domestic standard models of travel charging case, USB plug and USB cable, do not know or"&amp;" forgot to install this version does not. No portable travel case, obviously unfriendly travel party. The two shortcoming offset some of the benefits of price, minus one point.")</f>
        <v>Good value for money, travel party unfriendly Deya, about seven days of arrival. Good material, pattern enough. After unpacking the packing list (Figure), we found no domestic standard models of travel charging case, USB plug and USB cable, do not know or forgot to install this version does not. No portable travel case, obviously unfriendly travel party. The two shortcoming offset some of the benefits of price, minus one point.</v>
      </c>
    </row>
    <row r="11152">
      <c r="A11152" s="1">
        <v>4.0</v>
      </c>
      <c r="B11152" s="1" t="s">
        <v>11062</v>
      </c>
      <c r="C11152" t="str">
        <f>IFERROR(__xludf.DUMMYFUNCTION("GOOGLETRANSLATE(B11152, ""zh"", ""en"")"),"See you usually wear shoe size shoe size, just how many centimeters")</f>
        <v>See you usually wear shoe size shoe size, just how many centimeters</v>
      </c>
    </row>
    <row r="11153">
      <c r="A11153" s="1">
        <v>4.0</v>
      </c>
      <c r="B11153" s="1" t="s">
        <v>11063</v>
      </c>
      <c r="C11153" t="str">
        <f>IFERROR(__xludf.DUMMYFUNCTION("GOOGLETRANSLATE(B11153, ""zh"", ""en"")"),"US OXO show Austrian frozen food storage boxes (60ml * 6 Ge) 0 months or more with a stockpile of looked pretty good,")</f>
        <v>US OXO show Austrian frozen food storage boxes (60ml * 6 Ge) 0 months or more with a stockpile of looked pretty good,</v>
      </c>
    </row>
    <row r="11154">
      <c r="A11154" s="1">
        <v>4.0</v>
      </c>
      <c r="B11154" s="1" t="s">
        <v>11064</v>
      </c>
      <c r="C11154" t="str">
        <f>IFERROR(__xludf.DUMMYFUNCTION("GOOGLETRANSLATE(B11154, ""zh"", ""en"")"),"Design of long pants short height 174, weight 55, M codes are suitable WHR, but too short legs into pants 8")</f>
        <v>Design of long pants short height 174, weight 55, M codes are suitable WHR, but too short legs into pants 8</v>
      </c>
    </row>
    <row r="11155">
      <c r="A11155" s="1">
        <v>4.0</v>
      </c>
      <c r="B11155" s="1" t="s">
        <v>11065</v>
      </c>
      <c r="C11155" t="str">
        <f>IFERROR(__xludf.DUMMYFUNCTION("GOOGLETRANSLATE(B11155, ""zh"", ""en"")"),"Reviews thermos good, very lightweight, in line with the product introduction, only complaint is the logistics too slow, to the domestic express delivery situation has not been updated, to take the initiative to call it 🈶 progress.")</f>
        <v>Reviews thermos good, very lightweight, in line with the product introduction, only complaint is the logistics too slow, to the domestic express delivery situation has not been updated, to take the initiative to call it 🈶 progress.</v>
      </c>
    </row>
    <row r="11156">
      <c r="A11156" s="1">
        <v>5.0</v>
      </c>
      <c r="B11156" s="1" t="s">
        <v>11066</v>
      </c>
      <c r="C11156" t="str">
        <f>IFERROR(__xludf.DUMMYFUNCTION("GOOGLETRANSLATE(B11156, ""zh"", ""en"")"),"Something good, logistics is also faster. Something good, logistics is also faster.")</f>
        <v>Something good, logistics is also faster. Something good, logistics is also faster.</v>
      </c>
    </row>
    <row r="11157">
      <c r="A11157" s="1">
        <v>5.0</v>
      </c>
      <c r="B11157" s="1" t="s">
        <v>11067</v>
      </c>
      <c r="C11157" t="str">
        <f>IFERROR(__xludf.DUMMYFUNCTION("GOOGLETRANSLATE(B11157, ""zh"", ""en"")"),"Size size can be, it is that some fat! Usually wear shoes 42.5")</f>
        <v>Size size can be, it is that some fat! Usually wear shoes 42.5</v>
      </c>
    </row>
    <row r="11158">
      <c r="A11158" s="1">
        <v>5.0</v>
      </c>
      <c r="B11158" s="1" t="s">
        <v>11068</v>
      </c>
      <c r="C11158" t="str">
        <f>IFERROR(__xludf.DUMMYFUNCTION("GOOGLETRANSLATE(B11158, ""zh"", ""en"")"),"Like really like, 108CM bust, L code a little loose, inside with velvet for fall and winter, the price to buy a count value. Is a solid color with a high cotton content, do not know will not washing bleaching, in front of two of cotton, a year washing ble"&amp;"aching not become severely worn.")</f>
        <v>Like really like, 108CM bust, L code a little loose, inside with velvet for fall and winter, the price to buy a count value. Is a solid color with a high cotton content, do not know will not washing bleaching, in front of two of cotton, a year washing bleaching not become severely worn.</v>
      </c>
    </row>
    <row r="11159">
      <c r="A11159" s="1">
        <v>5.0</v>
      </c>
      <c r="B11159" s="1" t="s">
        <v>11069</v>
      </c>
      <c r="C11159" t="str">
        <f>IFERROR(__xludf.DUMMYFUNCTION("GOOGLETRANSLATE(B11159, ""zh"", ""en"")"),"Cost-effective one meter 70, seventy-five kg. 33,30 nice pants. Really comfortable, made in China, brands are generally more than this price.")</f>
        <v>Cost-effective one meter 70, seventy-five kg. 33,30 nice pants. Really comfortable, made in China, brands are generally more than this price.</v>
      </c>
    </row>
    <row r="11160">
      <c r="A11160" s="1">
        <v>5.0</v>
      </c>
      <c r="B11160" s="1" t="s">
        <v>11070</v>
      </c>
      <c r="C11160" t="str">
        <f>IFERROR(__xludf.DUMMYFUNCTION("GOOGLETRANSLATE(B11160, ""zh"", ""en"")"),"Calvin Klein Calvin Klein men's three fitted cotton elastic pants white baby grand cheap, upper body is also comfortable, fit.")</f>
        <v>Calvin Klein Calvin Klein men's three fitted cotton elastic pants white baby grand cheap, upper body is also comfortable, fit.</v>
      </c>
    </row>
    <row r="11161">
      <c r="A11161" s="1">
        <v>5.0</v>
      </c>
      <c r="B11161" s="1" t="s">
        <v>11071</v>
      </c>
      <c r="C11161" t="str">
        <f>IFERROR(__xludf.DUMMYFUNCTION("GOOGLETRANSLATE(B11161, ""zh"", ""en"")"),"As always, good insulation is very good, size is also very convenient")</f>
        <v>As always, good insulation is very good, size is also very convenient</v>
      </c>
    </row>
    <row r="11162">
      <c r="A11162" s="1">
        <v>5.0</v>
      </c>
      <c r="B11162" s="1" t="s">
        <v>11072</v>
      </c>
      <c r="C11162" t="str">
        <f>IFERROR(__xludf.DUMMYFUNCTION("GOOGLETRANSLATE(B11162, ""zh"", ""en"")"),"Baby allergic to cow milk, mixed feeding before the baby to eat this, but eating his mother's milk and eat some milk allergy, then eat Niukang Te amino acid powder (neocate) the doctor's advice, however, reflect a great baby, spit acidic water, change thi"&amp;"s amino acid powder, baby to get used to! Biniukangte taste a lot better")</f>
        <v>Baby allergic to cow milk, mixed feeding before the baby to eat this, but eating his mother's milk and eat some milk allergy, then eat Niukang Te amino acid powder (neocate) the doctor's advice, however, reflect a great baby, spit acidic water, change this amino acid powder, baby to get used to! Biniukangte taste a lot better</v>
      </c>
    </row>
    <row r="11163">
      <c r="A11163" s="1">
        <v>5.0</v>
      </c>
      <c r="B11163" s="1" t="s">
        <v>11073</v>
      </c>
      <c r="C11163" t="str">
        <f>IFERROR(__xludf.DUMMYFUNCTION("GOOGLETRANSLATE(B11163, ""zh"", ""en"")"),"Table genuine good is really a great kind")</f>
        <v>Table genuine good is really a great kind</v>
      </c>
    </row>
    <row r="11164">
      <c r="A11164" s="1">
        <v>5.0</v>
      </c>
      <c r="B11164" s="1" t="s">
        <v>11074</v>
      </c>
      <c r="C11164" t="str">
        <f>IFERROR(__xludf.DUMMYFUNCTION("GOOGLETRANSLATE(B11164, ""zh"", ""en"")"),"Taste is very full-bodied taste is enough. Taste a little sticky. Carefully read the instructions, once to 5 tablespoons ah. . . Shaker almost all filled, add water or milk. One can imagine the viscosity and mouthfeel. But also a day to drink two back pro"&amp;"pped dead. Feeling the muscles up a lot. It seems before are eating too little.")</f>
        <v>Taste is very full-bodied taste is enough. Taste a little sticky. Carefully read the instructions, once to 5 tablespoons ah. . . Shaker almost all filled, add water or milk. One can imagine the viscosity and mouthfeel. But also a day to drink two back propped dead. Feeling the muscles up a lot. It seems before are eating too little.</v>
      </c>
    </row>
    <row r="11165">
      <c r="A11165" s="1">
        <v>5.0</v>
      </c>
      <c r="B11165" s="1" t="s">
        <v>11075</v>
      </c>
      <c r="C11165" t="str">
        <f>IFERROR(__xludf.DUMMYFUNCTION("GOOGLETRANSLATE(B11165, ""zh"", ""en"")"),"nicr very easy to use, worthy of the price")</f>
        <v>nicr very easy to use, worthy of the price</v>
      </c>
    </row>
    <row r="11166">
      <c r="A11166" s="1">
        <v>5.0</v>
      </c>
      <c r="B11166" s="1" t="s">
        <v>6455</v>
      </c>
      <c r="C11166" t="str">
        <f>IFERROR(__xludf.DUMMYFUNCTION("GOOGLETRANSLATE(B11166, ""zh"", ""en"")"),"Good Good")</f>
        <v>Good Good</v>
      </c>
    </row>
    <row r="11167">
      <c r="A11167" s="1">
        <v>5.0</v>
      </c>
      <c r="B11167" s="1" t="s">
        <v>11076</v>
      </c>
      <c r="C11167" t="str">
        <f>IFERROR(__xludf.DUMMYFUNCTION("GOOGLETRANSLATE(B11167, ""zh"", ""en"")"),"Very good, very fast during the purchase of concessions from the United States sent the box intact, even shorter than the length of iPhone6, smaller than I imagined. USB3.0 speed is very fast, very satisfied")</f>
        <v>Very good, very fast during the purchase of concessions from the United States sent the box intact, even shorter than the length of iPhone6, smaller than I imagined. USB3.0 speed is very fast, very satisfied</v>
      </c>
    </row>
    <row r="11168">
      <c r="A11168" s="1">
        <v>5.0</v>
      </c>
      <c r="B11168" s="1" t="s">
        <v>11077</v>
      </c>
      <c r="C11168" t="str">
        <f>IFERROR(__xludf.DUMMYFUNCTION("GOOGLETRANSLATE(B11168, ""zh"", ""en"")"),"Easy to use, less water to travel a good companion, more portable, but one less packaging bags, found himself one, there are some not very good at a less amount of water, the water would be better if they can add")</f>
        <v>Easy to use, less water to travel a good companion, more portable, but one less packaging bags, found himself one, there are some not very good at a less amount of water, the water would be better if they can add</v>
      </c>
    </row>
    <row r="11169">
      <c r="A11169" s="1">
        <v>5.0</v>
      </c>
      <c r="B11169" s="1" t="s">
        <v>11078</v>
      </c>
      <c r="C11169" t="str">
        <f>IFERROR(__xludf.DUMMYFUNCTION("GOOGLETRANSLATE(B11169, ""zh"", ""en"")"),"Comfortable, elegant and very comfortable, very beautiful, gospel Bigfoot women!")</f>
        <v>Comfortable, elegant and very comfortable, very beautiful, gospel Bigfoot women!</v>
      </c>
    </row>
    <row r="11170">
      <c r="A11170" s="1">
        <v>5.0</v>
      </c>
      <c r="B11170" s="1" t="s">
        <v>11079</v>
      </c>
      <c r="C11170" t="str">
        <f>IFERROR(__xludf.DUMMYFUNCTION("GOOGLETRANSLATE(B11170, ""zh"", ""en"")"),"Very good quality shoes their preference")</f>
        <v>Very good quality shoes their preference</v>
      </c>
    </row>
    <row r="11171">
      <c r="A11171" s="1">
        <v>5.0</v>
      </c>
      <c r="B11171" s="1" t="s">
        <v>11080</v>
      </c>
      <c r="C11171" t="str">
        <f>IFERROR(__xludf.DUMMYFUNCTION("GOOGLETRANSLATE(B11171, ""zh"", ""en"")"),"Good style to help people buy, wear on the body is very fit, discounts, very favorable.")</f>
        <v>Good style to help people buy, wear on the body is very fit, discounts, very favorable.</v>
      </c>
    </row>
    <row r="11172">
      <c r="A11172" s="1">
        <v>5.0</v>
      </c>
      <c r="B11172" s="1" t="s">
        <v>11081</v>
      </c>
      <c r="C11172" t="str">
        <f>IFERROR(__xludf.DUMMYFUNCTION("GOOGLETRANSLATE(B11172, ""zh"", ""en"")"),"The amp feel good, though not very easy to push, the last on the amp OK, pha-2 and mojo are 😄")</f>
        <v>The amp feel good, though not very easy to push, the last on the amp OK, pha-2 and mojo are 😄</v>
      </c>
    </row>
    <row r="11173">
      <c r="A11173" s="1">
        <v>5.0</v>
      </c>
      <c r="B11173" s="1" t="s">
        <v>11082</v>
      </c>
      <c r="C11173" t="str">
        <f>IFERROR(__xludf.DUMMYFUNCTION("GOOGLETRANSLATE(B11173, ""zh"", ""en"")"),"Although not very good quality baby, but good quality")</f>
        <v>Although not very good quality baby, but good quality</v>
      </c>
    </row>
    <row r="11174">
      <c r="A11174" s="1">
        <v>5.0</v>
      </c>
      <c r="B11174" s="1" t="s">
        <v>11083</v>
      </c>
      <c r="C11174" t="str">
        <f>IFERROR(__xludf.DUMMYFUNCTION("GOOGLETRANSLATE(B11174, ""zh"", ""en"")"),"Abdomen with the results were good, wear is also more breathable")</f>
        <v>Abdomen with the results were good, wear is also more breathable</v>
      </c>
    </row>
    <row r="11175">
      <c r="A11175" s="1">
        <v>5.0</v>
      </c>
      <c r="B11175" s="1" t="s">
        <v>11084</v>
      </c>
      <c r="C11175" t="str">
        <f>IFERROR(__xludf.DUMMYFUNCTION("GOOGLETRANSLATE(B11175, ""zh"", ""en"")"),"My pants from Africa a second time to buy things in the United States and Asia. 140 jeans goods worthy of the price of more than 300 of the country strong. But manufacturing is startling Mauritius common made in china gone")</f>
        <v>My pants from Africa a second time to buy things in the United States and Asia. 140 jeans goods worthy of the price of more than 300 of the country strong. But manufacturing is startling Mauritius common made in china gone</v>
      </c>
    </row>
    <row r="11176">
      <c r="A11176" s="1">
        <v>5.0</v>
      </c>
      <c r="B11176" s="1" t="s">
        <v>11085</v>
      </c>
      <c r="C11176" t="str">
        <f>IFERROR(__xludf.DUMMYFUNCTION("GOOGLETRANSLATE(B11176, ""zh"", ""en"")"),"Logistics quickly packed well, with then comment.")</f>
        <v>Logistics quickly packed well, with then comment.</v>
      </c>
    </row>
    <row r="11177">
      <c r="A11177" s="1">
        <v>5.0</v>
      </c>
      <c r="B11177" s="1" t="s">
        <v>11086</v>
      </c>
      <c r="C11177" t="str">
        <f>IFERROR(__xludf.DUMMYFUNCTION("GOOGLETRANSLATE(B11177, ""zh"", ""en"")"),"I have sound, do not know that other people have not a bit large, general speed, no other problems, one month after a great voice, as if knocking the same, baits very swiftly loud, do not know will not be a problem")</f>
        <v>I have sound, do not know that other people have not a bit large, general speed, no other problems, one month after a great voice, as if knocking the same, baits very swiftly loud, do not know will not be a problem</v>
      </c>
    </row>
    <row r="11178">
      <c r="A11178" s="1">
        <v>2.0</v>
      </c>
      <c r="B11178" s="1" t="s">
        <v>11087</v>
      </c>
      <c r="C11178" t="str">
        <f>IFERROR(__xludf.DUMMYFUNCTION("GOOGLETRANSLATE(B11178, ""zh"", ""en"")"),"Thin leather thin leather work in general, work is also very general")</f>
        <v>Thin leather thin leather work in general, work is also very general</v>
      </c>
    </row>
    <row r="11179">
      <c r="A11179" s="1">
        <v>3.0</v>
      </c>
      <c r="B11179" s="1" t="s">
        <v>11088</v>
      </c>
      <c r="C11179" t="str">
        <f>IFERROR(__xludf.DUMMYFUNCTION("GOOGLETRANSLATE(B11179, ""zh"", ""en"")"),"Something good, but little information to guide the machine received, do Braised bamboo shoots very fresh; the new 650 is no jog and grinding butt function? 300 recipes that good information how did not see it? Stirrer used twice, stewed chicken soup can "&amp;"scrap it")</f>
        <v>Something good, but little information to guide the machine received, do Braised bamboo shoots very fresh; the new 650 is no jog and grinding butt function? 300 recipes that good information how did not see it? Stirrer used twice, stewed chicken soup can scrap it</v>
      </c>
    </row>
    <row r="11180">
      <c r="A11180" s="1">
        <v>3.0</v>
      </c>
      <c r="B11180" s="1" t="s">
        <v>11089</v>
      </c>
      <c r="C11180" t="str">
        <f>IFERROR(__xludf.DUMMYFUNCTION("GOOGLETRANSLATE(B11180, ""zh"", ""en"")"),"Packaging is gone, next to the handle paint damaged damaged last to buy milk, milk gone. This package also damaged this, you only have to take a pot of ems. Next to the handle closed beta also block out the paint, I do not know no impact.")</f>
        <v>Packaging is gone, next to the handle paint damaged damaged last to buy milk, milk gone. This package also damaged this, you only have to take a pot of ems. Next to the handle closed beta also block out the paint, I do not know no impact.</v>
      </c>
    </row>
    <row r="11181">
      <c r="A11181" s="1">
        <v>1.0</v>
      </c>
      <c r="B11181" s="1" t="s">
        <v>11090</v>
      </c>
      <c r="C11181" t="str">
        <f>IFERROR(__xludf.DUMMYFUNCTION("GOOGLETRANSLATE(B11181, ""zh"", ""en"")"),"This shoe colors fade away it 😂😂")</f>
        <v>This shoe colors fade away it 😂😂</v>
      </c>
    </row>
    <row r="11182">
      <c r="A11182" s="1">
        <v>1.0</v>
      </c>
      <c r="B11182" s="1" t="s">
        <v>11091</v>
      </c>
      <c r="C11182" t="str">
        <f>IFERROR(__xludf.DUMMYFUNCTION("GOOGLETRANSLATE(B11182, ""zh"", ""en"")"),"Pants pants bad bad, not like poor quality.")</f>
        <v>Pants pants bad bad, not like poor quality.</v>
      </c>
    </row>
    <row r="11183">
      <c r="A11183" s="1">
        <v>4.0</v>
      </c>
      <c r="B11183" s="1" t="s">
        <v>11092</v>
      </c>
      <c r="C11183" t="str">
        <f>IFERROR(__xludf.DUMMYFUNCTION("GOOGLETRANSLATE(B11183, ""zh"", ""en"")"),"And slightly large numbers slightly too large a number. Loose thigh, buttocks did not feel relaxed, legs than fat. Length, too fat appropriate. Overall pants still can. 172cm, 80kg.")</f>
        <v>And slightly large numbers slightly too large a number. Loose thigh, buttocks did not feel relaxed, legs than fat. Length, too fat appropriate. Overall pants still can. 172cm, 80kg.</v>
      </c>
    </row>
    <row r="11184">
      <c r="A11184" s="1">
        <v>4.0</v>
      </c>
      <c r="B11184" s="1" t="s">
        <v>11093</v>
      </c>
      <c r="C11184" t="str">
        <f>IFERROR(__xludf.DUMMYFUNCTION("GOOGLETRANSLATE(B11184, ""zh"", ""en"")"),"Not bad after all, only a hundred dollars, I think the value for money, pants a little bit hard, do not know will not wash good point, other satisfaction")</f>
        <v>Not bad after all, only a hundred dollars, I think the value for money, pants a little bit hard, do not know will not wash good point, other satisfaction</v>
      </c>
    </row>
    <row r="11185">
      <c r="A11185" s="1">
        <v>4.0</v>
      </c>
      <c r="B11185" s="1" t="s">
        <v>11094</v>
      </c>
      <c r="C11185" t="str">
        <f>IFERROR(__xludf.DUMMYFUNCTION("GOOGLETRANSLATE(B11185, ""zh"", ""en"")"),"Simple and stylish with expected, good-looking, quality okay, summer, autumn can wear to")</f>
        <v>Simple and stylish with expected, good-looking, quality okay, summer, autumn can wear to</v>
      </c>
    </row>
    <row r="11186">
      <c r="A11186" s="1">
        <v>4.0</v>
      </c>
      <c r="B11186" s="1" t="s">
        <v>11095</v>
      </c>
      <c r="C11186" t="str">
        <f>IFERROR(__xludf.DUMMYFUNCTION("GOOGLETRANSLATE(B11186, ""zh"", ""en"")"),"Tiger is not a little heavy 190 grams lighter lid is heavy bottle coated")</f>
        <v>Tiger is not a little heavy 190 grams lighter lid is heavy bottle coated</v>
      </c>
    </row>
    <row r="11187">
      <c r="A11187" s="1">
        <v>5.0</v>
      </c>
      <c r="B11187" s="1" t="s">
        <v>11096</v>
      </c>
      <c r="C11187" t="str">
        <f>IFERROR(__xludf.DUMMYFUNCTION("GOOGLETRANSLATE(B11187, ""zh"", ""en"")"),"Satisfactory very appropriate clothes, over the water again re-evaluation")</f>
        <v>Satisfactory very appropriate clothes, over the water again re-evaluation</v>
      </c>
    </row>
    <row r="11188">
      <c r="A11188" s="1">
        <v>5.0</v>
      </c>
      <c r="B11188" s="1" t="s">
        <v>11097</v>
      </c>
      <c r="C11188" t="str">
        <f>IFERROR(__xludf.DUMMYFUNCTION("GOOGLETRANSLATE(B11188, ""zh"", ""en"")"),"Waist thicker than the thin silk stockings also more comfortable Naples Spring can wear next to the skin is also very comfortable")</f>
        <v>Waist thicker than the thin silk stockings also more comfortable Naples Spring can wear next to the skin is also very comfortable</v>
      </c>
    </row>
    <row r="11189">
      <c r="A11189" s="1">
        <v>5.0</v>
      </c>
      <c r="B11189" s="1" t="s">
        <v>11098</v>
      </c>
      <c r="C11189" t="str">
        <f>IFERROR(__xludf.DUMMYFUNCTION("GOOGLETRANSLATE(B11189, ""zh"", ""en"")"),"Black five good thing is not to force things, not just the black five days a good price later, dozens of continuous price cuts, relatively silent, but fortunately Amazon to solve, also good, overall very satisfied, very cost-effective high")</f>
        <v>Black five good thing is not to force things, not just the black five days a good price later, dozens of continuous price cuts, relatively silent, but fortunately Amazon to solve, also good, overall very satisfied, very cost-effective high</v>
      </c>
    </row>
    <row r="11190">
      <c r="A11190" s="1">
        <v>5.0</v>
      </c>
      <c r="B11190" s="1" t="s">
        <v>11099</v>
      </c>
      <c r="C11190" t="str">
        <f>IFERROR(__xludf.DUMMYFUNCTION("GOOGLETRANSLATE(B11190, ""zh"", ""en"")"),"Inexpensive domestic same size, color is dark gray, and very chic, satisfied.")</f>
        <v>Inexpensive domestic same size, color is dark gray, and very chic, satisfied.</v>
      </c>
    </row>
    <row r="11191">
      <c r="A11191" s="1">
        <v>5.0</v>
      </c>
      <c r="B11191" s="1" t="s">
        <v>11100</v>
      </c>
      <c r="C11191" t="str">
        <f>IFERROR(__xludf.DUMMYFUNCTION("GOOGLETRANSLATE(B11191, ""zh"", ""en"")"),"Bottom yellow whitening do not know if it is true, felt cheap to buy, with the bottom after having yellow, do not know warm milk or warm already poor quality, the other is no such situation")</f>
        <v>Bottom yellow whitening do not know if it is true, felt cheap to buy, with the bottom after having yellow, do not know warm milk or warm already poor quality, the other is no such situation</v>
      </c>
    </row>
    <row r="11192">
      <c r="A11192" s="1">
        <v>5.0</v>
      </c>
      <c r="B11192" s="1" t="s">
        <v>11101</v>
      </c>
      <c r="C11192" t="str">
        <f>IFERROR(__xludf.DUMMYFUNCTION("GOOGLETRANSLATE(B11192, ""zh"", ""en"")"),"well. Quantity, it is worth starting. Cost-effective, it is to buy a little too much. Authentic.")</f>
        <v>well. Quantity, it is worth starting. Cost-effective, it is to buy a little too much. Authentic.</v>
      </c>
    </row>
    <row r="11193">
      <c r="A11193" s="1">
        <v>5.0</v>
      </c>
      <c r="B11193" s="1" t="s">
        <v>11102</v>
      </c>
      <c r="C11193" t="str">
        <f>IFERROR(__xludf.DUMMYFUNCTION("GOOGLETRANSLATE(B11193, ""zh"", ""en"")"),"Pot pot well received, and not use. That pot is really heavy ah!")</f>
        <v>Pot pot well received, and not use. That pot is really heavy ah!</v>
      </c>
    </row>
    <row r="11194">
      <c r="A11194" s="1">
        <v>5.0</v>
      </c>
      <c r="B11194" s="1" t="s">
        <v>11103</v>
      </c>
      <c r="C11194" t="str">
        <f>IFERROR(__xludf.DUMMYFUNCTION("GOOGLETRANSLATE(B11194, ""zh"", ""en"")"),"Good &lt;div id = ""video-block-R8GRW6UWA0MFT"" class = ""a-section a-spacing-small a-spacing-top-mini video-block""&gt; &lt;/ div&gt; &lt;input type = ""hidden"" name = """" value = ""https://images-cn.ssl-images-amazon.com/images/I/91lTc0HhWmS.mp4"" class = ""video-ur"&amp;"l""&gt; &lt;input type = ""hidden"" name = """" value = ""https : //images-cn.ssl-images-amazon.com/images/I/71dyT-Eb83S.png ""class ="" video-slate-img-url ""&gt; &amp; nbsp; very high color value, faster boil water ,very quiet")</f>
        <v>Good &lt;div id = "video-block-R8GRW6UWA0MFT" class = "a-section a-spacing-small a-spacing-top-mini video-block"&gt; &lt;/ div&gt; &lt;input type = "hidden" name = "" value = "https://images-cn.ssl-images-amazon.com/images/I/91lTc0HhWmS.mp4" class = "video-url"&gt; &lt;input type = "hidden" name = "" value = "https : //images-cn.ssl-images-amazon.com/images/I/71dyT-Eb83S.png "class =" video-slate-img-url "&gt; &amp; nbsp; very high color value, faster boil water ,very quiet</v>
      </c>
    </row>
    <row r="11195">
      <c r="A11195" s="1">
        <v>5.0</v>
      </c>
      <c r="B11195" s="1" t="s">
        <v>11104</v>
      </c>
      <c r="C11195" t="str">
        <f>IFERROR(__xludf.DUMMYFUNCTION("GOOGLETRANSLATE(B11195, ""zh"", ""en"")"),"Perfect price is too beautiful, almost to tears. Something good, like children love to draw.")</f>
        <v>Perfect price is too beautiful, almost to tears. Something good, like children love to draw.</v>
      </c>
    </row>
    <row r="11196">
      <c r="A11196" s="1">
        <v>5.0</v>
      </c>
      <c r="B11196" s="1" t="s">
        <v>11105</v>
      </c>
      <c r="C11196" t="str">
        <f>IFERROR(__xludf.DUMMYFUNCTION("GOOGLETRANSLATE(B11196, ""zh"", ""en"")"),"Good clothes, height 163 weight 58Kg. No just S. This soft, lightweight clothing is recommended")</f>
        <v>Good clothes, height 163 weight 58Kg. No just S. This soft, lightweight clothing is recommended</v>
      </c>
    </row>
    <row r="11197">
      <c r="A11197" s="1">
        <v>5.0</v>
      </c>
      <c r="B11197" s="1" t="s">
        <v>11106</v>
      </c>
      <c r="C11197" t="str">
        <f>IFERROR(__xludf.DUMMYFUNCTION("GOOGLETRANSLATE(B11197, ""zh"", ""en"")"),"Birth with respect, I actually missed for so long! Not from the previous evaluation, I do not know how many wasted points, points can change money now know, they should look carefully evaluated, then I put these words to copy to go, both to earn points, b"&amp;"ut also save trouble, they go where copy , sent directly to it, recommend it to everyone!")</f>
        <v>Birth with respect, I actually missed for so long! Not from the previous evaluation, I do not know how many wasted points, points can change money now know, they should look carefully evaluated, then I put these words to copy to go, both to earn points, but also save trouble, they go where copy , sent directly to it, recommend it to everyone!</v>
      </c>
    </row>
    <row r="11198">
      <c r="A11198" s="1">
        <v>5.0</v>
      </c>
      <c r="B11198" s="1" t="s">
        <v>11107</v>
      </c>
      <c r="C11198" t="str">
        <f>IFERROR(__xludf.DUMMYFUNCTION("GOOGLETRANSLATE(B11198, ""zh"", ""en"")"),"Well well well")</f>
        <v>Well well well</v>
      </c>
    </row>
    <row r="11199">
      <c r="A11199" s="1">
        <v>5.0</v>
      </c>
      <c r="B11199" s="1" t="s">
        <v>11108</v>
      </c>
      <c r="C11199" t="str">
        <f>IFERROR(__xludf.DUMMYFUNCTION("GOOGLETRANSLATE(B11199, ""zh"", ""en"")"),"Price liked the cotton flower Uniqlo buy CK, very happy")</f>
        <v>Price liked the cotton flower Uniqlo buy CK, very happy</v>
      </c>
    </row>
    <row r="11200">
      <c r="A11200" s="1">
        <v>5.0</v>
      </c>
      <c r="B11200" s="1" t="s">
        <v>11109</v>
      </c>
      <c r="C11200" t="str">
        <f>IFERROR(__xludf.DUMMYFUNCTION("GOOGLETRANSLATE(B11200, ""zh"", ""en"")"),"Like, good quality child at home to help a friend buy, like, watertight")</f>
        <v>Like, good quality child at home to help a friend buy, like, watertight</v>
      </c>
    </row>
    <row r="11201">
      <c r="A11201" s="1">
        <v>5.0</v>
      </c>
      <c r="B11201" s="1" t="s">
        <v>11110</v>
      </c>
      <c r="C11201" t="str">
        <f>IFERROR(__xludf.DUMMYFUNCTION("GOOGLETRANSLATE(B11201, ""zh"", ""en"")"),"Kazakhstan enjoyed it, but also to a week")</f>
        <v>Kazakhstan enjoyed it, but also to a week</v>
      </c>
    </row>
    <row r="11202">
      <c r="A11202" s="1">
        <v>5.0</v>
      </c>
      <c r="B11202" s="1" t="s">
        <v>11111</v>
      </c>
      <c r="C11202" t="str">
        <f>IFERROR(__xludf.DUMMYFUNCTION("GOOGLETRANSLATE(B11202, ""zh"", ""en"")"),"Small expensive. But value for money! The award-winning product if there is nothing to comment on. This is to choose the best durable goods in the bear range in. expensive. But value for money.")</f>
        <v>Small expensive. But value for money! The award-winning product if there is nothing to comment on. This is to choose the best durable goods in the bear range in. expensive. But value for money.</v>
      </c>
    </row>
    <row r="11203">
      <c r="A11203" s="1">
        <v>5.0</v>
      </c>
      <c r="B11203" s="1" t="s">
        <v>3939</v>
      </c>
      <c r="C11203" t="str">
        <f>IFERROR(__xludf.DUMMYFUNCTION("GOOGLETRANSLATE(B11203, ""zh"", ""en"")"),"175.75 good, wear s good, too hot, thick.")</f>
        <v>175.75 good, wear s good, too hot, thick.</v>
      </c>
    </row>
    <row r="11204">
      <c r="A11204" s="1">
        <v>5.0</v>
      </c>
      <c r="B11204" s="1" t="s">
        <v>11112</v>
      </c>
      <c r="C11204" t="str">
        <f>IFERROR(__xludf.DUMMYFUNCTION("GOOGLETRANSLATE(B11204, ""zh"", ""en"")"),"Yes a little bit hard, but overall not bad")</f>
        <v>Yes a little bit hard, but overall not bad</v>
      </c>
    </row>
    <row r="11205">
      <c r="A11205" s="1">
        <v>5.0</v>
      </c>
      <c r="B11205" s="1" t="s">
        <v>11113</v>
      </c>
      <c r="C11205" t="str">
        <f>IFERROR(__xludf.DUMMYFUNCTION("GOOGLETRANSLATE(B11205, ""zh"", ""en"")"),"Very satisfied with the shopping waist 2-foot-six height 170, weight 74 kg, just try to buy the size and length, can wear directly, I want to feel the fabric is very satisfied")</f>
        <v>Very satisfied with the shopping waist 2-foot-six height 170, weight 74 kg, just try to buy the size and length, can wear directly, I want to feel the fabric is very satisfied</v>
      </c>
    </row>
    <row r="11206">
      <c r="A11206" s="1">
        <v>5.0</v>
      </c>
      <c r="B11206" s="1" t="s">
        <v>11114</v>
      </c>
      <c r="C11206" t="str">
        <f>IFERROR(__xludf.DUMMYFUNCTION("GOOGLETRANSLATE(B11206, ""zh"", ""en"")"),"Minimalist style cute cute, easy to clean, that is white bottom, easy to dye.")</f>
        <v>Minimalist style cute cute, easy to clean, that is white bottom, easy to dye.</v>
      </c>
    </row>
    <row r="11207">
      <c r="A11207" s="1">
        <v>5.0</v>
      </c>
      <c r="B11207" s="1" t="s">
        <v>11115</v>
      </c>
      <c r="C11207" t="str">
        <f>IFERROR(__xludf.DUMMYFUNCTION("GOOGLETRANSLATE(B11207, ""zh"", ""en"")"),"Beautiful maroon maroon bit like a deep burgundy red, low-key was white. For others to buy, height 183, weighing about 160 pounds, M is appropriate, there are thin cashmere.")</f>
        <v>Beautiful maroon maroon bit like a deep burgundy red, low-key was white. For others to buy, height 183, weighing about 160 pounds, M is appropriate, there are thin cashmere.</v>
      </c>
    </row>
    <row r="11208">
      <c r="A11208" s="1">
        <v>5.0</v>
      </c>
      <c r="B11208" s="1" t="s">
        <v>11116</v>
      </c>
      <c r="C11208" t="str">
        <f>IFERROR(__xludf.DUMMYFUNCTION("GOOGLETRANSLATE(B11208, ""zh"", ""en"")"),"Well suited to the site, suitable for wearing on to the site")</f>
        <v>Well suited to the site, suitable for wearing on to the site</v>
      </c>
    </row>
    <row r="11209">
      <c r="A11209" s="1">
        <v>2.0</v>
      </c>
      <c r="B11209" s="1" t="s">
        <v>11117</v>
      </c>
      <c r="C11209" t="str">
        <f>IFERROR(__xludf.DUMMYFUNCTION("GOOGLETRANSLATE(B11209, ""zh"", ""en"")"),"Nothing permanent press effect wrinkle effect a little bad, white and transparent, particularly poor")</f>
        <v>Nothing permanent press effect wrinkle effect a little bad, white and transparent, particularly poor</v>
      </c>
    </row>
    <row r="11210">
      <c r="A11210" s="1">
        <v>3.0</v>
      </c>
      <c r="B11210" s="1" t="s">
        <v>11118</v>
      </c>
      <c r="C11210" t="str">
        <f>IFERROR(__xludf.DUMMYFUNCTION("GOOGLETRANSLATE(B11210, ""zh"", ""en"")"),"Belt thin is too thin. I let my colleague from Germany before coming back with a another style belt. This is half of its width.")</f>
        <v>Belt thin is too thin. I let my colleague from Germany before coming back with a another style belt. This is half of its width.</v>
      </c>
    </row>
    <row r="11211">
      <c r="A11211" s="1">
        <v>3.0</v>
      </c>
      <c r="B11211" s="1" t="s">
        <v>11119</v>
      </c>
      <c r="C11211" t="str">
        <f>IFERROR(__xludf.DUMMYFUNCTION("GOOGLETRANSLATE(B11211, ""zh"", ""en"")"),"Really not sure slightly smaller size, slightly smaller point")</f>
        <v>Really not sure slightly smaller size, slightly smaller point</v>
      </c>
    </row>
    <row r="11212">
      <c r="A11212" s="1">
        <v>1.0</v>
      </c>
      <c r="B11212" s="1" t="s">
        <v>11120</v>
      </c>
      <c r="C11212" t="str">
        <f>IFERROR(__xludf.DUMMYFUNCTION("GOOGLETRANSLATE(B11212, ""zh"", ""en"")"),"It has been found to have a few pieces simply can not write a word not in a good likeness, but has now found a few pieces simply can not write a word")</f>
        <v>It has been found to have a few pieces simply can not write a word not in a good likeness, but has now found a few pieces simply can not write a word</v>
      </c>
    </row>
    <row r="11213">
      <c r="A11213" s="1">
        <v>1.0</v>
      </c>
      <c r="B11213" s="1" t="s">
        <v>11121</v>
      </c>
      <c r="C11213" t="str">
        <f>IFERROR(__xludf.DUMMYFUNCTION("GOOGLETRANSLATE(B11213, ""zh"", ""en"")"),"I bought a lot of plastic smell in the United States and Asia, there was no direct mail, take transit, also bought two boxes, great taste, do not know the true and false, asked to Friends of Music, also said there will be taste, but before bought the old "&amp;"version is no taste, work is also more detailed")</f>
        <v>I bought a lot of plastic smell in the United States and Asia, there was no direct mail, take transit, also bought two boxes, great taste, do not know the true and false, asked to Friends of Music, also said there will be taste, but before bought the old version is no taste, work is also more detailed</v>
      </c>
    </row>
    <row r="11214">
      <c r="A11214" s="1">
        <v>4.0</v>
      </c>
      <c r="B11214" s="1" t="s">
        <v>11122</v>
      </c>
      <c r="C11214" t="str">
        <f>IFERROR(__xludf.DUMMYFUNCTION("GOOGLETRANSLATE(B11214, ""zh"", ""en"")"),"Good sense of use is very good, but unfortunately did not see the time to buy, not ultra-thin, slightly thicker")</f>
        <v>Good sense of use is very good, but unfortunately did not see the time to buy, not ultra-thin, slightly thicker</v>
      </c>
    </row>
    <row r="11215">
      <c r="A11215" s="1">
        <v>4.0</v>
      </c>
      <c r="B11215" s="1" t="s">
        <v>11123</v>
      </c>
      <c r="C11215" t="str">
        <f>IFERROR(__xludf.DUMMYFUNCTION("GOOGLETRANSLATE(B11215, ""zh"", ""en"")"),"Like a general before you buy children suction cups Thermos, say Tiger is better than Thermos, this time to buy a Tiger, and large capacity, size can accept, work and Thermos not much different, they are not Zojirushi good. Just Zojirushi children mug sty"&amp;"le really likes it up.")</f>
        <v>Like a general before you buy children suction cups Thermos, say Tiger is better than Thermos, this time to buy a Tiger, and large capacity, size can accept, work and Thermos not much different, they are not Zojirushi good. Just Zojirushi children mug style really likes it up.</v>
      </c>
    </row>
    <row r="11216">
      <c r="A11216" s="1">
        <v>4.0</v>
      </c>
      <c r="B11216" s="1" t="s">
        <v>11124</v>
      </c>
      <c r="C11216" t="str">
        <f>IFERROR(__xludf.DUMMYFUNCTION("GOOGLETRANSLATE(B11216, ""zh"", ""en"")"),"Nice work clothes still can, after all this price, but also the value. Height 166CM, weight 55KG, there is a little Diudiu large. I want to want to buy a friend for reference.")</f>
        <v>Nice work clothes still can, after all this price, but also the value. Height 166CM, weight 55KG, there is a little Diudiu large. I want to want to buy a friend for reference.</v>
      </c>
    </row>
    <row r="11217">
      <c r="A11217" s="1">
        <v>4.0</v>
      </c>
      <c r="B11217" s="1" t="s">
        <v>11125</v>
      </c>
      <c r="C11217" t="str">
        <f>IFERROR(__xludf.DUMMYFUNCTION("GOOGLETRANSLATE(B11217, ""zh"", ""en"")"),"A little table also is a bit small")</f>
        <v>A little table also is a bit small</v>
      </c>
    </row>
    <row r="11218">
      <c r="A11218" s="1">
        <v>4.0</v>
      </c>
      <c r="B11218" s="1" t="s">
        <v>11126</v>
      </c>
      <c r="C11218" t="str">
        <f>IFERROR(__xludf.DUMMYFUNCTION("GOOGLETRANSLATE(B11218, ""zh"", ""en"")"),"Good quality warm good, old-fashioned style appears to point, 173cm, 76kg, M a little bit longer length")</f>
        <v>Good quality warm good, old-fashioned style appears to point, 173cm, 76kg, M a little bit longer length</v>
      </c>
    </row>
    <row r="11219">
      <c r="A11219" s="1">
        <v>5.0</v>
      </c>
      <c r="B11219" s="1" t="s">
        <v>11127</v>
      </c>
      <c r="C11219" t="str">
        <f>IFERROR(__xludf.DUMMYFUNCTION("GOOGLETRANSLATE(B11219, ""zh"", ""en"")"),"Comments about Philips shaver is very easy to use! Very user-friendly products for men set!")</f>
        <v>Comments about Philips shaver is very easy to use! Very user-friendly products for men set!</v>
      </c>
    </row>
    <row r="11220">
      <c r="A11220" s="1">
        <v>5.0</v>
      </c>
      <c r="B11220" s="1" t="s">
        <v>11128</v>
      </c>
      <c r="C11220" t="str">
        <f>IFERROR(__xludf.DUMMYFUNCTION("GOOGLETRANSLATE(B11220, ""zh"", ""en"")"),"Recommended to buy very good, you can buy.")</f>
        <v>Recommended to buy very good, you can buy.</v>
      </c>
    </row>
    <row r="11221">
      <c r="A11221" s="1">
        <v>5.0</v>
      </c>
      <c r="B11221" s="1" t="s">
        <v>11129</v>
      </c>
      <c r="C11221" t="str">
        <f>IFERROR(__xludf.DUMMYFUNCTION("GOOGLETRANSLATE(B11221, ""zh"", ""en"")"),"Like light and comfortable, standard number, worth buying")</f>
        <v>Like light and comfortable, standard number, worth buying</v>
      </c>
    </row>
    <row r="11222">
      <c r="A11222" s="1">
        <v>5.0</v>
      </c>
      <c r="B11222" s="1" t="s">
        <v>11130</v>
      </c>
      <c r="C11222" t="str">
        <f>IFERROR(__xludf.DUMMYFUNCTION("GOOGLETRANSLATE(B11222, ""zh"", ""en"")"),"Big black shoes big black hard leather and soft soles look okay, fine liner, is to buy ...... soles not hard, it should be quite fit to go")</f>
        <v>Big black shoes big black hard leather and soft soles look okay, fine liner, is to buy ...... soles not hard, it should be quite fit to go</v>
      </c>
    </row>
    <row r="11223">
      <c r="A11223" s="1">
        <v>5.0</v>
      </c>
      <c r="B11223" s="1" t="s">
        <v>11131</v>
      </c>
      <c r="C11223" t="str">
        <f>IFERROR(__xludf.DUMMYFUNCTION("GOOGLETRANSLATE(B11223, ""zh"", ""en"")"),"Okay, that size is not good grasp! Returns trouble! After the store or to fly! A bit large, 175, 180 pounds, an estimated 36.30 just fine, 38,32 big point, trifle generous!")</f>
        <v>Okay, that size is not good grasp! Returns trouble! After the store or to fly! A bit large, 175, 180 pounds, an estimated 36.30 just fine, 38,32 big point, trifle generous!</v>
      </c>
    </row>
    <row r="11224">
      <c r="A11224" s="1">
        <v>5.0</v>
      </c>
      <c r="B11224" s="1" t="s">
        <v>11132</v>
      </c>
      <c r="C11224" t="str">
        <f>IFERROR(__xludf.DUMMYFUNCTION("GOOGLETRANSLATE(B11224, ""zh"", ""en"")"),"Swiss origin is also good quality new version can be installed legacy filter percolator, not leaking powder, good quality")</f>
        <v>Swiss origin is also good quality new version can be installed legacy filter percolator, not leaking powder, good quality</v>
      </c>
    </row>
    <row r="11225">
      <c r="A11225" s="1">
        <v>5.0</v>
      </c>
      <c r="B11225" s="1" t="s">
        <v>11133</v>
      </c>
      <c r="C11225" t="str">
        <f>IFERROR(__xludf.DUMMYFUNCTION("GOOGLETRANSLATE(B11225, ""zh"", ""en"")"),"Recommended quality should be very good, style is not bad. Taxuexunmei no problem.")</f>
        <v>Recommended quality should be very good, style is not bad. Taxuexunmei no problem.</v>
      </c>
    </row>
    <row r="11226">
      <c r="A11226" s="1">
        <v>5.0</v>
      </c>
      <c r="B11226" s="1" t="s">
        <v>11134</v>
      </c>
      <c r="C11226" t="str">
        <f>IFERROR(__xludf.DUMMYFUNCTION("GOOGLETRANSLATE(B11226, ""zh"", ""en"")"),"Long sleeves and long sleeves clothes just fine to see that the price is very favorable")</f>
        <v>Long sleeves and long sleeves clothes just fine to see that the price is very favorable</v>
      </c>
    </row>
    <row r="11227">
      <c r="A11227" s="1">
        <v>5.0</v>
      </c>
      <c r="B11227" s="1" t="s">
        <v>11135</v>
      </c>
      <c r="C11227" t="str">
        <f>IFERROR(__xludf.DUMMYFUNCTION("GOOGLETRANSLATE(B11227, ""zh"", ""en"")"),"Good very thick, wearing more comfortable, satisfied, 177,80, wearing just")</f>
        <v>Good very thick, wearing more comfortable, satisfied, 177,80, wearing just</v>
      </c>
    </row>
    <row r="11228">
      <c r="A11228" s="1">
        <v>5.0</v>
      </c>
      <c r="B11228" s="1" t="s">
        <v>11136</v>
      </c>
      <c r="C11228" t="str">
        <f>IFERROR(__xludf.DUMMYFUNCTION("GOOGLETRANSLATE(B11228, ""zh"", ""en"")"),"Color beautiful, very beautiful color number is too large, the number is too large, the proposed purchase")</f>
        <v>Color beautiful, very beautiful color number is too large, the number is too large, the proposed purchase</v>
      </c>
    </row>
    <row r="11229">
      <c r="A11229" s="1">
        <v>5.0</v>
      </c>
      <c r="B11229" s="1" t="s">
        <v>5458</v>
      </c>
      <c r="C11229" t="str">
        <f>IFERROR(__xludf.DUMMYFUNCTION("GOOGLETRANSLATE(B11229, ""zh"", ""en"")"),"Underwear is very comfortable to wear on the body, but there is a problem cup")</f>
        <v>Underwear is very comfortable to wear on the body, but there is a problem cup</v>
      </c>
    </row>
    <row r="11230">
      <c r="A11230" s="1">
        <v>5.0</v>
      </c>
      <c r="B11230" s="1" t="s">
        <v>11137</v>
      </c>
      <c r="C11230" t="str">
        <f>IFERROR(__xludf.DUMMYFUNCTION("GOOGLETRANSLATE(B11230, ""zh"", ""en"")"),"But basically the same pants waist and domestic, is 32, like Nichia length is 32")</f>
        <v>But basically the same pants waist and domestic, is 32, like Nichia length is 32</v>
      </c>
    </row>
    <row r="11231">
      <c r="A11231" s="1">
        <v>5.0</v>
      </c>
      <c r="B11231" s="1" t="s">
        <v>11138</v>
      </c>
      <c r="C11231" t="str">
        <f>IFERROR(__xludf.DUMMYFUNCTION("GOOGLETRANSLATE(B11231, ""zh"", ""en"")"),"High cost very much, cheap, OK quality")</f>
        <v>High cost very much, cheap, OK quality</v>
      </c>
    </row>
    <row r="11232">
      <c r="A11232" s="1">
        <v>5.0</v>
      </c>
      <c r="B11232" s="1" t="s">
        <v>11139</v>
      </c>
      <c r="C11232" t="str">
        <f>IFERROR(__xludf.DUMMYFUNCTION("GOOGLETRANSLATE(B11232, ""zh"", ""en"")"),"I like quality assurance. A hundred dollars, buy a cup, quality is quite good.")</f>
        <v>I like quality assurance. A hundred dollars, buy a cup, quality is quite good.</v>
      </c>
    </row>
    <row r="11233">
      <c r="A11233" s="1">
        <v>5.0</v>
      </c>
      <c r="B11233" s="1" t="s">
        <v>11140</v>
      </c>
      <c r="C11233" t="str">
        <f>IFERROR(__xludf.DUMMYFUNCTION("GOOGLETRANSLATE(B11233, ""zh"", ""en"")"),"Yes 1.62,100 pounds wearing m just! Usually wear sportswear 160! For reference next! Clothes quality is very good! White is beige, not white Oh!")</f>
        <v>Yes 1.62,100 pounds wearing m just! Usually wear sportswear 160! For reference next! Clothes quality is very good! White is beige, not white Oh!</v>
      </c>
    </row>
    <row r="11234">
      <c r="A11234" s="1">
        <v>5.0</v>
      </c>
      <c r="B11234" s="1" t="s">
        <v>11141</v>
      </c>
      <c r="C11234" t="str">
        <f>IFERROR(__xludf.DUMMYFUNCTION("GOOGLETRANSLATE(B11234, ""zh"", ""en"")"),"Although not the lowest appropriate, but it can buy the right size, satisfaction")</f>
        <v>Although not the lowest appropriate, but it can buy the right size, satisfaction</v>
      </c>
    </row>
    <row r="11235">
      <c r="A11235" s="1">
        <v>5.0</v>
      </c>
      <c r="B11235" s="1" t="s">
        <v>11142</v>
      </c>
      <c r="C11235" t="str">
        <f>IFERROR(__xludf.DUMMYFUNCTION("GOOGLETRANSLATE(B11235, ""zh"", ""en"")"),"No suitable, well, I like")</f>
        <v>No suitable, well, I like</v>
      </c>
    </row>
    <row r="11236">
      <c r="A11236" s="1">
        <v>5.0</v>
      </c>
      <c r="B11236" s="1" t="s">
        <v>11143</v>
      </c>
      <c r="C11236" t="str">
        <f>IFERROR(__xludf.DUMMYFUNCTION("GOOGLETRANSLATE(B11236, ""zh"", ""en"")"),"Very good headset is a treasure like a cat in the evaluation of some mildew and other problems are not expensive here though dozens of blocks but still value")</f>
        <v>Very good headset is a treasure like a cat in the evaluation of some mildew and other problems are not expensive here though dozens of blocks but still value</v>
      </c>
    </row>
    <row r="11237">
      <c r="A11237" s="1">
        <v>5.0</v>
      </c>
      <c r="B11237" s="1" t="s">
        <v>11144</v>
      </c>
      <c r="C11237" t="str">
        <f>IFERROR(__xludf.DUMMYFUNCTION("GOOGLETRANSLATE(B11237, ""zh"", ""en"")"),"Belt nice! Amazon Black Belt five members discounts are only less than 100 yuan! Really cheap! Belt is leather, the material feel good!")</f>
        <v>Belt nice! Amazon Black Belt five members discounts are only less than 100 yuan! Really cheap! Belt is leather, the material feel good!</v>
      </c>
    </row>
    <row r="11238">
      <c r="A11238" s="1">
        <v>5.0</v>
      </c>
      <c r="B11238" s="1" t="s">
        <v>11145</v>
      </c>
      <c r="C11238" t="str">
        <f>IFERROR(__xludf.DUMMYFUNCTION("GOOGLETRANSLATE(B11238, ""zh"", ""en"")"),"Very good, very nice shoes like this, ECCO always excellent! But overseas purchase tariffs are still too high for that.")</f>
        <v>Very good, very nice shoes like this, ECCO always excellent! But overseas purchase tariffs are still too high for that.</v>
      </c>
    </row>
    <row r="11239">
      <c r="A11239" s="1">
        <v>5.0</v>
      </c>
      <c r="B11239" s="1" t="s">
        <v>11146</v>
      </c>
      <c r="C11239" t="str">
        <f>IFERROR(__xludf.DUMMYFUNCTION("GOOGLETRANSLATE(B11239, ""zh"", ""en"")"),"Clothes very good clothes, material good, very comfortable to wear")</f>
        <v>Clothes very good clothes, material good, very comfortable to wear</v>
      </c>
    </row>
    <row r="11240">
      <c r="A11240" s="1">
        <v>2.0</v>
      </c>
      <c r="B11240" s="1" t="s">
        <v>11147</v>
      </c>
      <c r="C11240" t="str">
        <f>IFERROR(__xludf.DUMMYFUNCTION("GOOGLETRANSLATE(B11240, ""zh"", ""en"")"),"Too big now I weight 178 M code a bit big to wear 85 should wear S")</f>
        <v>Too big now I weight 178 M code a bit big to wear 85 should wear S</v>
      </c>
    </row>
    <row r="11241">
      <c r="A11241" s="1">
        <v>3.0</v>
      </c>
      <c r="B11241" s="1" t="s">
        <v>11148</v>
      </c>
      <c r="C11241" t="str">
        <f>IFERROR(__xludf.DUMMYFUNCTION("GOOGLETRANSLATE(B11241, ""zh"", ""en"")"),"Not recommended Indeed, this package can also feel the cortex, but the interior of the fabric and texture is really poor, not recommended.")</f>
        <v>Not recommended Indeed, this package can also feel the cortex, but the interior of the fabric and texture is really poor, not recommended.</v>
      </c>
    </row>
    <row r="11242">
      <c r="A11242" s="1">
        <v>3.0</v>
      </c>
      <c r="B11242" s="1" t="s">
        <v>11149</v>
      </c>
      <c r="C11242" t="str">
        <f>IFERROR(__xludf.DUMMYFUNCTION("GOOGLETRANSLATE(B11242, ""zh"", ""en"")"),"Code number is too large too, the general European and American version of the clothes I choose M code, the M significantly larger.")</f>
        <v>Code number is too large too, the general European and American version of the clothes I choose M code, the M significantly larger.</v>
      </c>
    </row>
    <row r="11243">
      <c r="A11243" s="1">
        <v>1.0</v>
      </c>
      <c r="B11243" s="1" t="s">
        <v>11150</v>
      </c>
      <c r="C11243" t="str">
        <f>IFERROR(__xludf.DUMMYFUNCTION("GOOGLETRANSLATE(B11243, ""zh"", ""en"")"),"Less than a month pilling, pilling very serious")</f>
        <v>Less than a month pilling, pilling very serious</v>
      </c>
    </row>
    <row r="11244">
      <c r="A11244" s="1">
        <v>1.0</v>
      </c>
      <c r="B11244" s="1" t="s">
        <v>11151</v>
      </c>
      <c r="C11244" t="str">
        <f>IFERROR(__xludf.DUMMYFUNCTION("GOOGLETRANSLATE(B11244, ""zh"", ""en"")"),"Pen is not a new nose has used ink trace")</f>
        <v>Pen is not a new nose has used ink trace</v>
      </c>
    </row>
    <row r="11245">
      <c r="A11245" s="1">
        <v>1.0</v>
      </c>
      <c r="B11245" s="1" t="s">
        <v>11152</v>
      </c>
      <c r="C11245" t="str">
        <f>IFERROR(__xludf.DUMMYFUNCTION("GOOGLETRANSLATE(B11245, ""zh"", ""en"")"),"Defective, extremely rough out a piece of shoe leather, the other only obvious imprint, and leakage of viscose very rough, absolutely defective and even that is fake, after all, more than 1,000 domestic counter price of this quality would be beaten okay ,"&amp;" four hundred are too lazy to back, this is the first and last time in the Amazon shopping!")</f>
        <v>Defective, extremely rough out a piece of shoe leather, the other only obvious imprint, and leakage of viscose very rough, absolutely defective and even that is fake, after all, more than 1,000 domestic counter price of this quality would be beaten okay , four hundred are too lazy to back, this is the first and last time in the Amazon shopping!</v>
      </c>
    </row>
    <row r="11246">
      <c r="A11246" s="1">
        <v>4.0</v>
      </c>
      <c r="B11246" s="1" t="s">
        <v>11153</v>
      </c>
      <c r="C11246" t="str">
        <f>IFERROR(__xludf.DUMMYFUNCTION("GOOGLETRANSLATE(B11246, ""zh"", ""en"")"),"Star models of shoes worth having good shoes, logistics very speed, like seven days or less before the Spring Festival, a bit bigger in size, and read reviews already sold a small one yard, wearing sports shoes us9 (42) code, the origin of China, the pric"&amp;"e ratio Mainland cheaper hundreds. There is an obvious and very deep scratches, color darker than some on the map, star models of shoes worth having on the quality of the upper.")</f>
        <v>Star models of shoes worth having good shoes, logistics very speed, like seven days or less before the Spring Festival, a bit bigger in size, and read reviews already sold a small one yard, wearing sports shoes us9 (42) code, the origin of China, the price ratio Mainland cheaper hundreds. There is an obvious and very deep scratches, color darker than some on the map, star models of shoes worth having on the quality of the upper.</v>
      </c>
    </row>
    <row r="11247">
      <c r="A11247" s="1">
        <v>4.0</v>
      </c>
      <c r="B11247" s="1" t="s">
        <v>11154</v>
      </c>
      <c r="C11247" t="str">
        <f>IFERROR(__xludf.DUMMYFUNCTION("GOOGLETRANSLATE(B11247, ""zh"", ""en"")"),"Looking like")</f>
        <v>Looking like</v>
      </c>
    </row>
    <row r="11248">
      <c r="A11248" s="1">
        <v>4.0</v>
      </c>
      <c r="B11248" s="1" t="s">
        <v>11155</v>
      </c>
      <c r="C11248" t="str">
        <f>IFERROR(__xludf.DUMMYFUNCTION("GOOGLETRANSLATE(B11248, ""zh"", ""en"")"),"Good, cost-effective I bought several friends to give up, and the response is good. In-kind look better than the map!")</f>
        <v>Good, cost-effective I bought several friends to give up, and the response is good. In-kind look better than the map!</v>
      </c>
    </row>
    <row r="11249">
      <c r="A11249" s="1">
        <v>4.0</v>
      </c>
      <c r="B11249" s="1" t="s">
        <v>11156</v>
      </c>
      <c r="C11249" t="str">
        <f>IFERROR(__xludf.DUMMYFUNCTION("GOOGLETRANSLATE(B11249, ""zh"", ""en"")"),"Also good, the price is cheaper than purchasing a whole looked good, the packaging box is damaged, no smell bottle, bottle low close the gap a little bit")</f>
        <v>Also good, the price is cheaper than purchasing a whole looked good, the packaging box is damaged, no smell bottle, bottle low close the gap a little bit</v>
      </c>
    </row>
    <row r="11250">
      <c r="A11250" s="1">
        <v>4.0</v>
      </c>
      <c r="B11250" s="1" t="s">
        <v>11157</v>
      </c>
      <c r="C11250" t="str">
        <f>IFERROR(__xludf.DUMMYFUNCTION("GOOGLETRANSLATE(B11250, ""zh"", ""en"")"),"Product reviews My height 178cm, weight 86kg, waist circumference 2 feet 7, wore just. Cotton material, Mexico production. Very affordable price.")</f>
        <v>Product reviews My height 178cm, weight 86kg, waist circumference 2 feet 7, wore just. Cotton material, Mexico production. Very affordable price.</v>
      </c>
    </row>
    <row r="11251">
      <c r="A11251" s="1">
        <v>5.0</v>
      </c>
      <c r="B11251" s="1" t="s">
        <v>11158</v>
      </c>
      <c r="C11251" t="str">
        <f>IFERROR(__xludf.DUMMYFUNCTION("GOOGLETRANSLATE(B11251, ""zh"", ""en"")"),"Like It is good for running")</f>
        <v>Like It is good for running</v>
      </c>
    </row>
    <row r="11252">
      <c r="A11252" s="1">
        <v>5.0</v>
      </c>
      <c r="B11252" s="1" t="s">
        <v>11159</v>
      </c>
      <c r="C11252" t="str">
        <f>IFERROR(__xludf.DUMMYFUNCTION("GOOGLETRANSLATE(B11252, ""zh"", ""en"")"),"Nice belt belts good, 35mm 82cm waist just right, not cut")</f>
        <v>Nice belt belts good, 35mm 82cm waist just right, not cut</v>
      </c>
    </row>
    <row r="11253">
      <c r="A11253" s="1">
        <v>5.0</v>
      </c>
      <c r="B11253" s="1" t="s">
        <v>11160</v>
      </c>
      <c r="C11253" t="str">
        <f>IFERROR(__xludf.DUMMYFUNCTION("GOOGLETRANSLATE(B11253, ""zh"", ""en"")"),"Standard height 177 weight 165 number, not the stomach is a relatively strong domestic people usually wear a T-shirt 185, this election is L code. Everyday wear is also very fast drying type")</f>
        <v>Standard height 177 weight 165 number, not the stomach is a relatively strong domestic people usually wear a T-shirt 185, this election is L code. Everyday wear is also very fast drying type</v>
      </c>
    </row>
    <row r="11254">
      <c r="A11254" s="1">
        <v>5.0</v>
      </c>
      <c r="B11254" s="1" t="s">
        <v>11161</v>
      </c>
      <c r="C11254" t="str">
        <f>IFERROR(__xludf.DUMMYFUNCTION("GOOGLETRANSLATE(B11254, ""zh"", ""en"")"),"Essential household has been using, multi-speed adjustment will not feel too much pressure, very comfortable with them, and now can not do without, and after dinner wanted rushing teeth")</f>
        <v>Essential household has been using, multi-speed adjustment will not feel too much pressure, very comfortable with them, and now can not do without, and after dinner wanted rushing teeth</v>
      </c>
    </row>
    <row r="11255">
      <c r="A11255" s="1">
        <v>5.0</v>
      </c>
      <c r="B11255" s="1" t="s">
        <v>11162</v>
      </c>
      <c r="C11255" t="str">
        <f>IFERROR(__xludf.DUMMYFUNCTION("GOOGLETRANSLATE(B11255, ""zh"", ""en"")"),"Suitable low rise, 95% cotton. Workmanship is good, basically no thread. Kenyan production. 180cm, 86kg, L code. Suitable")</f>
        <v>Suitable low rise, 95% cotton. Workmanship is good, basically no thread. Kenyan production. 180cm, 86kg, L code. Suitable</v>
      </c>
    </row>
    <row r="11256">
      <c r="A11256" s="1">
        <v>5.0</v>
      </c>
      <c r="B11256" s="1" t="s">
        <v>11163</v>
      </c>
      <c r="C11256" t="str">
        <f>IFERROR(__xludf.DUMMYFUNCTION("GOOGLETRANSLATE(B11256, ""zh"", ""en"")"),"My husband bought a lot of good pieces, I like to buy at Amazon")</f>
        <v>My husband bought a lot of good pieces, I like to buy at Amazon</v>
      </c>
    </row>
    <row r="11257">
      <c r="A11257" s="1">
        <v>5.0</v>
      </c>
      <c r="B11257" s="1" t="s">
        <v>11164</v>
      </c>
      <c r="C11257" t="str">
        <f>IFERROR(__xludf.DUMMYFUNCTION("GOOGLETRANSLATE(B11257, ""zh"", ""en"")"),"Cheap very cheap, with a while to say it, I hope not overturned.")</f>
        <v>Cheap very cheap, with a while to say it, I hope not overturned.</v>
      </c>
    </row>
    <row r="11258">
      <c r="A11258" s="1">
        <v>5.0</v>
      </c>
      <c r="B11258" s="1" t="s">
        <v>11165</v>
      </c>
      <c r="C11258" t="str">
        <f>IFERROR(__xludf.DUMMYFUNCTION("GOOGLETRANSLATE(B11258, ""zh"", ""en"")"),"Satisfied fully functional, like children, can not help but color is dirty.")</f>
        <v>Satisfied fully functional, like children, can not help but color is dirty.</v>
      </c>
    </row>
    <row r="11259">
      <c r="A11259" s="1">
        <v>5.0</v>
      </c>
      <c r="B11259" s="1" t="s">
        <v>11166</v>
      </c>
      <c r="C11259" t="str">
        <f>IFERROR(__xludf.DUMMYFUNCTION("GOOGLETRANSLATE(B11259, ""zh"", ""en"")"),"Grape seed did not eat but the price is right. Amazon's overseas shopping is still very trust")</f>
        <v>Grape seed did not eat but the price is right. Amazon's overseas shopping is still very trust</v>
      </c>
    </row>
    <row r="11260">
      <c r="A11260" s="1">
        <v>5.0</v>
      </c>
      <c r="B11260" s="1" t="s">
        <v>11167</v>
      </c>
      <c r="C11260" t="str">
        <f>IFERROR(__xludf.DUMMYFUNCTION("GOOGLETRANSLATE(B11260, ""zh"", ""en"")"),"Size still have to figure out your own husband wider shoulder just 80KG wear L, red looks good")</f>
        <v>Size still have to figure out your own husband wider shoulder just 80KG wear L, red looks good</v>
      </c>
    </row>
    <row r="11261">
      <c r="A11261" s="1">
        <v>5.0</v>
      </c>
      <c r="B11261" s="1" t="s">
        <v>11168</v>
      </c>
      <c r="C11261" t="str">
        <f>IFERROR(__xludf.DUMMYFUNCTION("GOOGLETRANSLATE(B11261, ""zh"", ""en"")"),"Why shipments is inconsistent with the size of the next receipt of my order is 8hk, shipping is 8.5hk, for the left foot, right foot there are some big, a little Genjiao when heels, overall pretty satisfied")</f>
        <v>Why shipments is inconsistent with the size of the next receipt of my order is 8hk, shipping is 8.5hk, for the left foot, right foot there are some big, a little Genjiao when heels, overall pretty satisfied</v>
      </c>
    </row>
    <row r="11262">
      <c r="A11262" s="1">
        <v>5.0</v>
      </c>
      <c r="B11262" s="1" t="s">
        <v>11169</v>
      </c>
      <c r="C11262" t="str">
        <f>IFERROR(__xludf.DUMMYFUNCTION("GOOGLETRANSLATE(B11262, ""zh"", ""en"")"),"Fit 175 tall and 2 feet 5 waist pants elastic very good, appropriate!")</f>
        <v>Fit 175 tall and 2 feet 5 waist pants elastic very good, appropriate!</v>
      </c>
    </row>
    <row r="11263">
      <c r="A11263" s="1">
        <v>5.0</v>
      </c>
      <c r="B11263" s="1" t="s">
        <v>11170</v>
      </c>
      <c r="C11263" t="str">
        <f>IFERROR(__xludf.DUMMYFUNCTION("GOOGLETRANSLATE(B11263, ""zh"", ""en"")"),"Suitable monovalent size value. Size and length of the country with the same ease to buy it.")</f>
        <v>Suitable monovalent size value. Size and length of the country with the same ease to buy it.</v>
      </c>
    </row>
    <row r="11264">
      <c r="A11264" s="1">
        <v>5.0</v>
      </c>
      <c r="B11264" s="1" t="s">
        <v>11171</v>
      </c>
      <c r="C11264" t="str">
        <f>IFERROR(__xludf.DUMMYFUNCTION("GOOGLETRANSLATE(B11264, ""zh"", ""en"")"),"Unlike good to wear stockings Taobao to sell it to pull the stockings this you can see is a very thin line of knit very elastic and comfortable to wear good legs Naples")</f>
        <v>Unlike good to wear stockings Taobao to sell it to pull the stockings this you can see is a very thin line of knit very elastic and comfortable to wear good legs Naples</v>
      </c>
    </row>
    <row r="11265">
      <c r="A11265" s="1">
        <v>5.0</v>
      </c>
      <c r="B11265" s="1" t="s">
        <v>11172</v>
      </c>
      <c r="C11265" t="str">
        <f>IFERROR(__xludf.DUMMYFUNCTION("GOOGLETRANSLATE(B11265, ""zh"", ""en"")"),"Bang Bang ma1 jacket authentic genuine ALPHA MA1 jacket, Haitao save 300 yuan more than the price Taobao, it is still very good. Height 183 weight 92 kg, L number exactly.")</f>
        <v>Bang Bang ma1 jacket authentic genuine ALPHA MA1 jacket, Haitao save 300 yuan more than the price Taobao, it is still very good. Height 183 weight 92 kg, L number exactly.</v>
      </c>
    </row>
    <row r="11266">
      <c r="A11266" s="1">
        <v>5.0</v>
      </c>
      <c r="B11266" s="1" t="s">
        <v>11173</v>
      </c>
      <c r="C11266" t="str">
        <f>IFERROR(__xludf.DUMMYFUNCTION("GOOGLETRANSLATE(B11266, ""zh"", ""en"")"),"Artisan spirit repeatedly purchased! Really like")</f>
        <v>Artisan spirit repeatedly purchased! Really like</v>
      </c>
    </row>
    <row r="11267">
      <c r="A11267" s="1">
        <v>5.0</v>
      </c>
      <c r="B11267" s="1" t="s">
        <v>11174</v>
      </c>
      <c r="C11267" t="str">
        <f>IFERROR(__xludf.DUMMYFUNCTION("GOOGLETRANSLATE(B11267, ""zh"", ""en"")"),"Book very comfortable very comfortable, in Korea more than 260 one, did not buy, wear very comfortable, suitable for summer wear I 173,70 kg, bought the increase, too, again bought large yards")</f>
        <v>Book very comfortable very comfortable, in Korea more than 260 one, did not buy, wear very comfortable, suitable for summer wear I 173,70 kg, bought the increase, too, again bought large yards</v>
      </c>
    </row>
    <row r="11268">
      <c r="A11268" s="1">
        <v>5.0</v>
      </c>
      <c r="B11268" s="1" t="s">
        <v>11175</v>
      </c>
      <c r="C11268" t="str">
        <f>IFERROR(__xludf.DUMMYFUNCTION("GOOGLETRANSLATE(B11268, ""zh"", ""en"")"),"Color picture is not in line with the color and the picture is not met, but still looks good, the recommended size is very appropriate.")</f>
        <v>Color picture is not in line with the color and the picture is not met, but still looks good, the recommended size is very appropriate.</v>
      </c>
    </row>
    <row r="11269">
      <c r="A11269" s="1">
        <v>5.0</v>
      </c>
      <c r="B11269" s="1" t="s">
        <v>11176</v>
      </c>
      <c r="C11269" t="str">
        <f>IFERROR(__xludf.DUMMYFUNCTION("GOOGLETRANSLATE(B11269, ""zh"", ""en"")"),"Hey Whew, good shoes, oh great, super handsome, is scouring the sea for very fast delivery, 10 days hand, the German postal over, like a friend to start a bold, no problems. Shoe size may be the most usual code")</f>
        <v>Hey Whew, good shoes, oh great, super handsome, is scouring the sea for very fast delivery, 10 days hand, the German postal over, like a friend to start a bold, no problems. Shoe size may be the most usual code</v>
      </c>
    </row>
    <row r="11270">
      <c r="A11270" s="1">
        <v>5.0</v>
      </c>
      <c r="B11270" s="1" t="s">
        <v>11177</v>
      </c>
      <c r="C11270" t="str">
        <f>IFERROR(__xludf.DUMMYFUNCTION("GOOGLETRANSLATE(B11270, ""zh"", ""en"")"),"Yes well, not from the previous evaluation, I do not know how many wasted points, points can change money now know, they should look carefully evaluated, then I put these words to copy to go, both to earn points, but also save trouble, went to which copy "&amp;"where, most importantly, do not seriously review, do not think how much worse word, sent directly to it, recommend it to everyone")</f>
        <v>Yes well, not from the previous evaluation, I do not know how many wasted points, points can change money now know, they should look carefully evaluated, then I put these words to copy to go, both to earn points, but also save trouble, went to which copy where, most importantly, do not seriously review, do not think how much worse word, sent directly to it, recommend it to everyone</v>
      </c>
    </row>
    <row r="11271">
      <c r="A11271" s="1">
        <v>5.0</v>
      </c>
      <c r="B11271" s="1" t="s">
        <v>11178</v>
      </c>
      <c r="C11271" t="str">
        <f>IFERROR(__xludf.DUMMYFUNCTION("GOOGLETRANSLATE(B11271, ""zh"", ""en"")"),"Like the Zojirushi mug is very good")</f>
        <v>Like the Zojirushi mug is very good</v>
      </c>
    </row>
    <row r="11272">
      <c r="A11272" s="1">
        <v>5.0</v>
      </c>
      <c r="B11272" s="1" t="s">
        <v>11179</v>
      </c>
      <c r="C11272" t="str">
        <f>IFERROR(__xludf.DUMMYFUNCTION("GOOGLETRANSLATE(B11272, ""zh"", ""en"")"),"Genuine reasonable price, packaging is also good, very good baby")</f>
        <v>Genuine reasonable price, packaging is also good, very good baby</v>
      </c>
    </row>
    <row r="11273">
      <c r="A11273" s="1">
        <v>2.0</v>
      </c>
      <c r="B11273" s="1" t="s">
        <v>11180</v>
      </c>
      <c r="C11273" t="str">
        <f>IFERROR(__xludf.DUMMYFUNCTION("GOOGLETRANSLATE(B11273, ""zh"", ""en"")"),"Wear shoes to buy 41 yards of black UK7 smooth skin of serious domestic shoe smelly feet airtight, severe squeeze feet, and seriously smelly feet! Seriously stinky feet, seriously smelly feet! The important thing to say three times!")</f>
        <v>Wear shoes to buy 41 yards of black UK7 smooth skin of serious domestic shoe smelly feet airtight, severe squeeze feet, and seriously smelly feet! Seriously stinky feet, seriously smelly feet! The important thing to say three times!</v>
      </c>
    </row>
    <row r="11274">
      <c r="A11274" s="1">
        <v>3.0</v>
      </c>
      <c r="B11274" s="1" t="s">
        <v>11181</v>
      </c>
      <c r="C11274" t="str">
        <f>IFERROR(__xludf.DUMMYFUNCTION("GOOGLETRANSLATE(B11274, ""zh"", ""en"")"),"Selling a little expensive clothing type and quality okay, but the price is not high, and in-kind tax for nearly two thousand dollars really feel a little expensive ...... really, just received a buying clothes, the price is down 500 yuan, really It depre"&amp;"ssed, so Amazon can not play me (^ ^)")</f>
        <v>Selling a little expensive clothing type and quality okay, but the price is not high, and in-kind tax for nearly two thousand dollars really feel a little expensive ...... really, just received a buying clothes, the price is down 500 yuan, really It depressed, so Amazon can not play me (^ ^)</v>
      </c>
    </row>
    <row r="11275">
      <c r="A11275" s="1">
        <v>3.0</v>
      </c>
      <c r="B11275" s="1" t="s">
        <v>11182</v>
      </c>
      <c r="C11275" t="str">
        <f>IFERROR(__xludf.DUMMYFUNCTION("GOOGLETRANSLATE(B11275, ""zh"", ""en"")"),"The right size, very easy to fluff estimates can not wear a few times will be scrapped, although the texture and comfortable, but too easy to fluff up, height 175, weight 63, buy small, just the right size")</f>
        <v>The right size, very easy to fluff estimates can not wear a few times will be scrapped, although the texture and comfortable, but too easy to fluff up, height 175, weight 63, buy small, just the right size</v>
      </c>
    </row>
    <row r="11276">
      <c r="A11276" s="1">
        <v>3.0</v>
      </c>
      <c r="B11276" s="1" t="s">
        <v>11183</v>
      </c>
      <c r="C11276" t="str">
        <f>IFERROR(__xludf.DUMMYFUNCTION("GOOGLETRANSLATE(B11276, ""zh"", ""en"")"),"General mouth a little, not very good wash, other OK it, the bottle design is Nianshang Qu. Overall nothing amazing. amazon is cheaper, and if it does not pay the regular price shopping.")</f>
        <v>General mouth a little, not very good wash, other OK it, the bottle design is Nianshang Qu. Overall nothing amazing. amazon is cheaper, and if it does not pay the regular price shopping.</v>
      </c>
    </row>
    <row r="11277">
      <c r="A11277" s="1">
        <v>1.0</v>
      </c>
      <c r="B11277" s="1" t="s">
        <v>11184</v>
      </c>
      <c r="C11277" t="str">
        <f>IFERROR(__xludf.DUMMYFUNCTION("GOOGLETRANSLATE(B11277, ""zh"", ""en"")"),"Not so good on so thick thin nothing like the picture the clothes was thick, not as expected as the picture. A bad experience in Amazon.")</f>
        <v>Not so good on so thick thin nothing like the picture the clothes was thick, not as expected as the picture. A bad experience in Amazon.</v>
      </c>
    </row>
    <row r="11278">
      <c r="A11278" s="1">
        <v>1.0</v>
      </c>
      <c r="B11278" s="1" t="s">
        <v>11185</v>
      </c>
      <c r="C11278" t="str">
        <f>IFERROR(__xludf.DUMMYFUNCTION("GOOGLETRANSLATE(B11278, ""zh"", ""en"")"),"Fake, it is better to spread the goods garbage! Garbage! Sin first time when all the other clothes stained bad!")</f>
        <v>Fake, it is better to spread the goods garbage! Garbage! Sin first time when all the other clothes stained bad!</v>
      </c>
    </row>
    <row r="11279">
      <c r="A11279" s="1">
        <v>1.0</v>
      </c>
      <c r="B11279" s="1" t="s">
        <v>11186</v>
      </c>
      <c r="C11279" t="str">
        <f>IFERROR(__xludf.DUMMYFUNCTION("GOOGLETRANSLATE(B11279, ""zh"", ""en"")"),"I seriously want to write a review! This is the first overseas Amazon shopping experience, I am very happy! 1. Before you buy only worry about the size of the problem. After repeatedly query the size and on schedule. However, the quality of goods unexpect"&amp;"edly! My dad works shoemaking company, do high-end foundry, Timberland is the quality of what I know, as this leather so long scratches and holes to play, OEM factory in China is absolutely not over QC off, they will definitely face on the shoe as defecti"&amp;"ve products cut destruction! I received this pair is the Dominican production of different origin but the quality control standards should be the same, can not understand how these shoes factory! As a follow-guess transportation processes cause these prob"&amp;"lems, I am difficult to trace. Lane apron and workmanship is engaged Leverage, miserable. Mayer said the forum dumping defective products to China, I do not recognize nor deny. 2. Quality problems return pad their own freight, Amazon subsequent full reimb"&amp;"ursement. This pair of shoes SF shipping ¥ 550 +, EMS700 +, the entire process is expected to transport one week plus the refund process three weeks a total of four weeks! Obsessive-compulsive disorder will die! The return of the express orders on your En"&amp;"glish is not very good Oh the. The returns also have customs sectors, as well as the risk of loss. 3. This is the most does not matter, I'm buying it plunges nearly ¥ 100. I Renzai, on the map:")</f>
        <v>I seriously want to write a review! This is the first overseas Amazon shopping experience, I am very happy! 1. Before you buy only worry about the size of the problem. After repeatedly query the size and on schedule. However, the quality of goods unexpectedly! My dad works shoemaking company, do high-end foundry, Timberland is the quality of what I know, as this leather so long scratches and holes to play, OEM factory in China is absolutely not over QC off, they will definitely face on the shoe as defective products cut destruction! I received this pair is the Dominican production of different origin but the quality control standards should be the same, can not understand how these shoes factory! As a follow-guess transportation processes cause these problems, I am difficult to trace. Lane apron and workmanship is engaged Leverage, miserable. Mayer said the forum dumping defective products to China, I do not recognize nor deny. 2. Quality problems return pad their own freight, Amazon subsequent full reimbursement. This pair of shoes SF shipping ¥ 550 +, EMS700 +, the entire process is expected to transport one week plus the refund process three weeks a total of four weeks! Obsessive-compulsive disorder will die! The return of the express orders on your English is not very good Oh the. The returns also have customs sectors, as well as the risk of loss. 3. This is the most does not matter, I'm buying it plunges nearly ¥ 100. I Renzai, on the map:</v>
      </c>
    </row>
    <row r="11280">
      <c r="A11280" s="1">
        <v>4.0</v>
      </c>
      <c r="B11280" s="1" t="s">
        <v>11187</v>
      </c>
      <c r="C11280" t="str">
        <f>IFERROR(__xludf.DUMMYFUNCTION("GOOGLETRANSLATE(B11280, ""zh"", ""en"")"),"Size big height 173, weight 100 kg hey M code, and a large L code is not the slightest bit. CK directed to buy underwear, but may be low-end products, wear a period of time slightly fluff. Amazon bought a lot of overseas purchase, experience, think it is "&amp;"good quality made in China, the country is more than fake, but the same price or domestically produced good, how than Vietnam, India and more variety of strong, even better than the United States, a lot of US production is more rough, but people do not re"&amp;"cognize, in a now about environmental problems, so the purchase of overseas packaging is relatively simple.")</f>
        <v>Size big height 173, weight 100 kg hey M code, and a large L code is not the slightest bit. CK directed to buy underwear, but may be low-end products, wear a period of time slightly fluff. Amazon bought a lot of overseas purchase, experience, think it is good quality made in China, the country is more than fake, but the same price or domestically produced good, how than Vietnam, India and more variety of strong, even better than the United States, a lot of US production is more rough, but people do not recognize, in a now about environmental problems, so the purchase of overseas packaging is relatively simple.</v>
      </c>
    </row>
    <row r="11281">
      <c r="A11281" s="1">
        <v>4.0</v>
      </c>
      <c r="B11281" s="1" t="s">
        <v>11188</v>
      </c>
      <c r="C11281" t="str">
        <f>IFERROR(__xludf.DUMMYFUNCTION("GOOGLETRANSLATE(B11281, ""zh"", ""en"")"),"An oil smell. Commodity strong smell of oil, to get the piece of the Ku Feng is crooked.")</f>
        <v>An oil smell. Commodity strong smell of oil, to get the piece of the Ku Feng is crooked.</v>
      </c>
    </row>
    <row r="11282">
      <c r="A11282" s="1">
        <v>4.0</v>
      </c>
      <c r="B11282" s="1" t="s">
        <v>11189</v>
      </c>
      <c r="C11282" t="str">
        <f>IFERROR(__xludf.DUMMYFUNCTION("GOOGLETRANSLATE(B11282, ""zh"", ""en"")"),"Out of some parts tasteless, others are perfect before using the machine chef is 4407, I felt little power, nothing was re-buy accessories. Just bought this discount, the price is cheaper than purchasing a treasure Nearly a thousand. Get the goods pass th"&amp;"e dough absolutely easy to use! It is to have these parts only to find some really sad! Today, with the jar it found no broken portion mango, wmf effective as a portable juicer. It is worth saying is good meat grinder! But most are not stainless steel mea"&amp;"t grinder. Of course, the main industry to pass the dough is really high efficiency!")</f>
        <v>Out of some parts tasteless, others are perfect before using the machine chef is 4407, I felt little power, nothing was re-buy accessories. Just bought this discount, the price is cheaper than purchasing a treasure Nearly a thousand. Get the goods pass the dough absolutely easy to use! It is to have these parts only to find some really sad! Today, with the jar it found no broken portion mango, wmf effective as a portable juicer. It is worth saying is good meat grinder! But most are not stainless steel meat grinder. Of course, the main industry to pass the dough is really high efficiency!</v>
      </c>
    </row>
    <row r="11283">
      <c r="A11283" s="1">
        <v>4.0</v>
      </c>
      <c r="B11283" s="1" t="s">
        <v>11190</v>
      </c>
      <c r="C11283" t="str">
        <f>IFERROR(__xludf.DUMMYFUNCTION("GOOGLETRANSLATE(B11283, ""zh"", ""en"")"),"Shoes good honest work in general ... It is said that domestic high imitation doing fine ... buy more comfortable shoes are not the first to pursue ... this is entirely for styling ... Adidas Nike usually wear 42 to 42.5, the 7uk size quite right, walk mo"&amp;"re do not wear this anymore ...")</f>
        <v>Shoes good honest work in general ... It is said that domestic high imitation doing fine ... buy more comfortable shoes are not the first to pursue ... this is entirely for styling ... Adidas Nike usually wear 42 to 42.5, the 7uk size quite right, walk more do not wear this anymore ...</v>
      </c>
    </row>
    <row r="11284">
      <c r="A11284" s="1">
        <v>4.0</v>
      </c>
      <c r="B11284" s="1" t="s">
        <v>11191</v>
      </c>
      <c r="C11284" t="str">
        <f>IFERROR(__xludf.DUMMYFUNCTION("GOOGLETRANSLATE(B11284, ""zh"", ""en"")"),"I have an account with grease wife bought! IMHO quality control in general, there is a piece of a grease above, I guess processing plant which links rubs oil on the machine. Also I forgot to return the complaint, directly open to wash, no wash. It should "&amp;"be washed with petrol but could not wash off the gasoline.")</f>
        <v>I have an account with grease wife bought! IMHO quality control in general, there is a piece of a grease above, I guess processing plant which links rubs oil on the machine. Also I forgot to return the complaint, directly open to wash, no wash. It should be washed with petrol but could not wash off the gasoline.</v>
      </c>
    </row>
    <row r="11285">
      <c r="A11285" s="1">
        <v>5.0</v>
      </c>
      <c r="B11285" s="1" t="s">
        <v>11192</v>
      </c>
      <c r="C11285" t="str">
        <f>IFERROR(__xludf.DUMMYFUNCTION("GOOGLETRANSLATE(B11285, ""zh"", ""en"")"),"The outer layer also can do while the intermediate layer is not thick, but the wide range of uses. Do wear fleece inside layer, intermediate layer outside the sleeve also do jacket, lukewarm also can be worn alone")</f>
        <v>The outer layer also can do while the intermediate layer is not thick, but the wide range of uses. Do wear fleece inside layer, intermediate layer outside the sleeve also do jacket, lukewarm also can be worn alone</v>
      </c>
    </row>
    <row r="11286">
      <c r="A11286" s="1">
        <v>5.0</v>
      </c>
      <c r="B11286" s="1" t="s">
        <v>11193</v>
      </c>
      <c r="C11286" t="str">
        <f>IFERROR(__xludf.DUMMYFUNCTION("GOOGLETRANSLATE(B11286, ""zh"", ""en"")"),"The friend said that after eating the heart of a lot of discomfort, try to buy a friend said to be comfortable after eating a lot of heart, try to buy")</f>
        <v>The friend said that after eating the heart of a lot of discomfort, try to buy a friend said to be comfortable after eating a lot of heart, try to buy</v>
      </c>
    </row>
    <row r="11287">
      <c r="A11287" s="1">
        <v>5.0</v>
      </c>
      <c r="B11287" s="1" t="s">
        <v>11194</v>
      </c>
      <c r="C11287" t="str">
        <f>IFERROR(__xludf.DUMMYFUNCTION("GOOGLETRANSLATE(B11287, ""zh"", ""en"")"),"Good quality, recommended hand eleven hundred, 172cm, 89Kg, XL appropriate. Which wear a T-shirt, with fleece, can winter.")</f>
        <v>Good quality, recommended hand eleven hundred, 172cm, 89Kg, XL appropriate. Which wear a T-shirt, with fleece, can winter.</v>
      </c>
    </row>
    <row r="11288">
      <c r="A11288" s="1">
        <v>5.0</v>
      </c>
      <c r="B11288" s="1" t="s">
        <v>11195</v>
      </c>
      <c r="C11288" t="str">
        <f>IFERROR(__xludf.DUMMYFUNCTION("GOOGLETRANSLATE(B11288, ""zh"", ""en"")"),"Super good clothes I liked it, comfortable fabric, the right size. I 194 cm 112 kg, XXL wear is appropriate. The price is right.")</f>
        <v>Super good clothes I liked it, comfortable fabric, the right size. I 194 cm 112 kg, XXL wear is appropriate. The price is right.</v>
      </c>
    </row>
    <row r="11289">
      <c r="A11289" s="1">
        <v>5.0</v>
      </c>
      <c r="B11289" s="1" t="s">
        <v>11196</v>
      </c>
      <c r="C11289" t="str">
        <f>IFERROR(__xludf.DUMMYFUNCTION("GOOGLETRANSLATE(B11289, ""zh"", ""en"")"),"Fit good clothes, numbers can be. I 95KG170cm")</f>
        <v>Fit good clothes, numbers can be. I 95KG170cm</v>
      </c>
    </row>
    <row r="11290">
      <c r="A11290" s="1">
        <v>5.0</v>
      </c>
      <c r="B11290" s="1" t="s">
        <v>11197</v>
      </c>
      <c r="C11290" t="str">
        <f>IFERROR(__xludf.DUMMYFUNCTION("GOOGLETRANSLATE(B11290, ""zh"", ""en"")"),"Nice clothes good work pretty good cost-effective")</f>
        <v>Nice clothes good work pretty good cost-effective</v>
      </c>
    </row>
    <row r="11291">
      <c r="A11291" s="1">
        <v>5.0</v>
      </c>
      <c r="B11291" s="1" t="s">
        <v>11198</v>
      </c>
      <c r="C11291" t="str">
        <f>IFERROR(__xludf.DUMMYFUNCTION("GOOGLETRANSLATE(B11291, ""zh"", ""en"")"),"The right size and quality as always, good! The right size and quality as always, good!")</f>
        <v>The right size and quality as always, good! The right size and quality as always, good!</v>
      </c>
    </row>
    <row r="11292">
      <c r="A11292" s="1">
        <v>5.0</v>
      </c>
      <c r="B11292" s="1" t="s">
        <v>11199</v>
      </c>
      <c r="C11292" t="str">
        <f>IFERROR(__xludf.DUMMYFUNCTION("GOOGLETRANSLATE(B11292, ""zh"", ""en"")"),"Good comfortable, very comfortable. . . .")</f>
        <v>Good comfortable, very comfortable. . . .</v>
      </c>
    </row>
    <row r="11293">
      <c r="A11293" s="1">
        <v>5.0</v>
      </c>
      <c r="B11293" s="1" t="s">
        <v>11200</v>
      </c>
      <c r="C11293" t="str">
        <f>IFERROR(__xludf.DUMMYFUNCTION("GOOGLETRANSLATE(B11293, ""zh"", ""en"")"),"Positive fit height 175, weight 73kg, Small positive fit, and slightly longer hem also.")</f>
        <v>Positive fit height 175, weight 73kg, Small positive fit, and slightly longer hem also.</v>
      </c>
    </row>
    <row r="11294">
      <c r="A11294" s="1">
        <v>5.0</v>
      </c>
      <c r="B11294" s="1" t="s">
        <v>11201</v>
      </c>
      <c r="C11294" t="str">
        <f>IFERROR(__xludf.DUMMYFUNCTION("GOOGLETRANSLATE(B11294, ""zh"", ""en"")"),"Comfortable warm can not afford to file")</f>
        <v>Comfortable warm can not afford to file</v>
      </c>
    </row>
    <row r="11295">
      <c r="A11295" s="1">
        <v>5.0</v>
      </c>
      <c r="B11295" s="1" t="s">
        <v>11202</v>
      </c>
      <c r="C11295" t="str">
        <f>IFERROR(__xludf.DUMMYFUNCTION("GOOGLETRANSLATE(B11295, ""zh"", ""en"")"),"Good very good cup cup indeed come from Japan, very good")</f>
        <v>Good very good cup cup indeed come from Japan, very good</v>
      </c>
    </row>
    <row r="11296">
      <c r="A11296" s="1">
        <v>5.0</v>
      </c>
      <c r="B11296" s="1" t="s">
        <v>11203</v>
      </c>
      <c r="C11296" t="str">
        <f>IFERROR(__xludf.DUMMYFUNCTION("GOOGLETRANSLATE(B11296, ""zh"", ""en"")"),"Good product very good product, cost-effective, is to buy a second piece")</f>
        <v>Good product very good product, cost-effective, is to buy a second piece</v>
      </c>
    </row>
    <row r="11297">
      <c r="A11297" s="1">
        <v>5.0</v>
      </c>
      <c r="B11297" s="1" t="s">
        <v>11204</v>
      </c>
      <c r="C11297" t="str">
        <f>IFERROR(__xludf.DUMMYFUNCTION("GOOGLETRANSLATE(B11297, ""zh"", ""en"")"),"402 hand shoes + tax, within eight days served 37.5 235 long, try to counter the 37 shoes just right, but the price 360 ​​37.5, 37 and 38 are cheaper than about 200, 37.5 decisive election, opened the 30-day trial membership Province freight, shoes plus t"&amp;"ax hand 402,8 working days. Suede uppers a little ring true kind of gray, dyed black shoe box mount a little, do not know the problem or storage transport problems, but compared to the domestic counter super discount 1000,400 has been the cost.")</f>
        <v>402 hand shoes + tax, within eight days served 37.5 235 long, try to counter the 37 shoes just right, but the price 360 ​​37.5, 37 and 38 are cheaper than about 200, 37.5 decisive election, opened the 30-day trial membership Province freight, shoes plus tax hand 402,8 working days. Suede uppers a little ring true kind of gray, dyed black shoe box mount a little, do not know the problem or storage transport problems, but compared to the domestic counter super discount 1000,400 has been the cost.</v>
      </c>
    </row>
    <row r="11298">
      <c r="A11298" s="1">
        <v>5.0</v>
      </c>
      <c r="B11298" s="1" t="s">
        <v>11205</v>
      </c>
      <c r="C11298" t="str">
        <f>IFERROR(__xludf.DUMMYFUNCTION("GOOGLETRANSLATE(B11298, ""zh"", ""en"")"),"The good shoes sneaker leather softer, but the soles a little bit hard, put the foot look good, wild")</f>
        <v>The good shoes sneaker leather softer, but the soles a little bit hard, put the foot look good, wild</v>
      </c>
    </row>
    <row r="11299">
      <c r="A11299" s="1">
        <v>5.0</v>
      </c>
      <c r="B11299" s="1" t="s">
        <v>11206</v>
      </c>
      <c r="C11299" t="str">
        <f>IFERROR(__xludf.DUMMYFUNCTION("GOOGLETRANSLATE(B11299, ""zh"", ""en"")"),"Somewhat good, not from the previous evaluation, I do not know how many wasted points, points can change money now know, they should look carefully evaluated, then I put these words to copy to go, both to earn points, but also save trouble, went to which "&amp;"copy where, most importantly, do not seriously review, do not think how much worse word, sent directly to it, recommend it to everyone! !")</f>
        <v>Somewhat good, not from the previous evaluation, I do not know how many wasted points, points can change money now know, they should look carefully evaluated, then I put these words to copy to go, both to earn points, but also save trouble, went to which copy where, most importantly, do not seriously review, do not think how much worse word, sent directly to it, recommend it to everyone! !</v>
      </c>
    </row>
    <row r="11300">
      <c r="A11300" s="1">
        <v>5.0</v>
      </c>
      <c r="B11300" s="1" t="s">
        <v>11207</v>
      </c>
      <c r="C11300" t="str">
        <f>IFERROR(__xludf.DUMMYFUNCTION("GOOGLETRANSLATE(B11300, ""zh"", ""en"")"),"Good, cheap to buy the father, previously bought London Fog trench coat, well, after the discount is not cheap, so the cost to see the clothes, decisive start, relatively old-fashioned style, so Dad wearing just.")</f>
        <v>Good, cheap to buy the father, previously bought London Fog trench coat, well, after the discount is not cheap, so the cost to see the clothes, decisive start, relatively old-fashioned style, so Dad wearing just.</v>
      </c>
    </row>
    <row r="11301">
      <c r="A11301" s="1">
        <v>5.0</v>
      </c>
      <c r="B11301" s="1" t="s">
        <v>11208</v>
      </c>
      <c r="C11301" t="str">
        <f>IFERROR(__xludf.DUMMYFUNCTION("GOOGLETRANSLATE(B11301, ""zh"", ""en"")"),"999 yuan seconds of speakers, worth buying. 999 yuan seconds hand speaker listened for three days, found to have a poor contact, decisive replacement, Amazon customer service attitude is good, unconditionally for a new speaker to me. First with all kinds "&amp;"of lossless music box burn more than 30 hours, and then burn more than 60 hours of non-destructive red and white noise, speaker sound quality by leaps improved. Good monitors, high cost, recommended to buy. The next would like to start E8.")</f>
        <v>999 yuan seconds of speakers, worth buying. 999 yuan seconds hand speaker listened for three days, found to have a poor contact, decisive replacement, Amazon customer service attitude is good, unconditionally for a new speaker to me. First with all kinds of lossless music box burn more than 30 hours, and then burn more than 60 hours of non-destructive red and white noise, speaker sound quality by leaps improved. Good monitors, high cost, recommended to buy. The next would like to start E8.</v>
      </c>
    </row>
    <row r="11302">
      <c r="A11302" s="1">
        <v>5.0</v>
      </c>
      <c r="B11302" s="1" t="s">
        <v>11209</v>
      </c>
      <c r="C11302" t="str">
        <f>IFERROR(__xludf.DUMMYFUNCTION("GOOGLETRANSLATE(B11302, ""zh"", ""en"")"),"Swisse Ultiboost Lecithin, liver support * * * metabolism and membrane * 3 Pack (180 / bottle) 540 did not eat, very fresh date, packaging is also very good, sent a good luck, very fast. Yes.")</f>
        <v>Swisse Ultiboost Lecithin, liver support * * * metabolism and membrane * 3 Pack (180 / bottle) 540 did not eat, very fresh date, packaging is also very good, sent a good luck, very fast. Yes.</v>
      </c>
    </row>
    <row r="11303">
      <c r="A11303" s="1">
        <v>5.0</v>
      </c>
      <c r="B11303" s="1" t="s">
        <v>11210</v>
      </c>
      <c r="C11303" t="str">
        <f>IFERROR(__xludf.DUMMYFUNCTION("GOOGLETRANSLATE(B11303, ""zh"", ""en"")"),"Yan ultra-high value of the microwave oven after receipt found this good read")</f>
        <v>Yan ultra-high value of the microwave oven after receipt found this good read</v>
      </c>
    </row>
    <row r="11304">
      <c r="A11304" s="1">
        <v>5.0</v>
      </c>
      <c r="B11304" s="1" t="s">
        <v>11211</v>
      </c>
      <c r="C11304" t="str">
        <f>IFERROR(__xludf.DUMMYFUNCTION("GOOGLETRANSLATE(B11304, ""zh"", ""en"")"),"Evaluation good 👍")</f>
        <v>Evaluation good 👍</v>
      </c>
    </row>
    <row r="11305">
      <c r="A11305" s="1">
        <v>5.0</v>
      </c>
      <c r="B11305" s="1" t="s">
        <v>11212</v>
      </c>
      <c r="C11305" t="str">
        <f>IFERROR(__xludf.DUMMYFUNCTION("GOOGLETRANSLATE(B11305, ""zh"", ""en"")"),"Comfort Comfort is good, it looks quite satisfactory, suitable for everyday wear, but that is not suitable for a lot of walking.")</f>
        <v>Comfort Comfort is good, it looks quite satisfactory, suitable for everyday wear, but that is not suitable for a lot of walking.</v>
      </c>
    </row>
    <row r="11306">
      <c r="A11306" s="1">
        <v>5.0</v>
      </c>
      <c r="B11306" s="1" t="s">
        <v>11213</v>
      </c>
      <c r="C11306" t="str">
        <f>IFERROR(__xludf.DUMMYFUNCTION("GOOGLETRANSLATE(B11306, ""zh"", ""en"")"),"Very good right size good quality good")</f>
        <v>Very good right size good quality good</v>
      </c>
    </row>
    <row r="11307">
      <c r="A11307" s="1">
        <v>2.0</v>
      </c>
      <c r="B11307" s="1" t="s">
        <v>11214</v>
      </c>
      <c r="C11307" t="str">
        <f>IFERROR(__xludf.DUMMYFUNCTION("GOOGLETRANSLATE(B11307, ""zh"", ""en"")"),"Leakage of milk used to buy rare leak milk, but recently this box leak badly, too depressed")</f>
        <v>Leakage of milk used to buy rare leak milk, but recently this box leak badly, too depressed</v>
      </c>
    </row>
    <row r="11308">
      <c r="A11308" s="1">
        <v>3.0</v>
      </c>
      <c r="B11308" s="1" t="s">
        <v>11215</v>
      </c>
      <c r="C11308" t="str">
        <f>IFERROR(__xludf.DUMMYFUNCTION("GOOGLETRANSLATE(B11308, ""zh"", ""en"")"),"Things in general size is too large, it is recommended to buy a small No. 1.")</f>
        <v>Things in general size is too large, it is recommended to buy a small No. 1.</v>
      </c>
    </row>
    <row r="11309">
      <c r="A11309" s="1">
        <v>3.0</v>
      </c>
      <c r="B11309" s="1" t="s">
        <v>11216</v>
      </c>
      <c r="C11309" t="str">
        <f>IFERROR(__xludf.DUMMYFUNCTION("GOOGLETRANSLATE(B11309, ""zh"", ""en"")"),"Shopping later two are returned Unfortunately, the problem is basically the same, a stirred rotational speed of the first gear undifferentiated 1,2; two, resulting in the locking bar is not in place when the surface due to vibrations and output rebound, n"&amp;"eed to hand leaning. The first thought was an isolated phenomenon, I did not expect this, too. And the speed can not be adjusted. Experience: a, ka chef machine workmanship rough mad, rugged and durable, classic shape, I would still choose it. Second, the"&amp;" domestic manufacturers of non-professional after-sale technical advice, leading to problems can be solved can not be resolved (for example, the speed of adjustment problems under the guidance of professionals believe that I can adjust, lever lock problem"&amp;" I can solve} that return very sorry. three, ka chef machine, the price difference (not referring to refurbished machines) Amazon the same model (such as 5qt) I do not know what the reasons are great, customer service did not give a satisfactory explanati"&amp;"on. this is recommended in Chinese Amazon Details on product pages look, for example at the differences distributors, channels, models, old and new styles, etc., so that consumers bought understand. Fourth, the basic sure that the machine is a new machine"&amp;", which I still believe that Amazon, there are those who say that the machine oil, a black powder or the like is suspected refurbished machines are wrong, (oil is normal, but proved to be a new machine, the tub was stirred with a vegetable oil wipe after "&amp;"allowing two hours and washed with the washing liquid can be a), sale Amazon also gave thumbs up. my last hope to evaluate the ka purchase the cook in the Amazon friends a little help.")</f>
        <v>Shopping later two are returned Unfortunately, the problem is basically the same, a stirred rotational speed of the first gear undifferentiated 1,2; two, resulting in the locking bar is not in place when the surface due to vibrations and output rebound, need to hand leaning. The first thought was an isolated phenomenon, I did not expect this, too. And the speed can not be adjusted. Experience: a, ka chef machine workmanship rough mad, rugged and durable, classic shape, I would still choose it. Second, the domestic manufacturers of non-professional after-sale technical advice, leading to problems can be solved can not be resolved (for example, the speed of adjustment problems under the guidance of professionals believe that I can adjust, lever lock problem I can solve} that return very sorry. three, ka chef machine, the price difference (not referring to refurbished machines) Amazon the same model (such as 5qt) I do not know what the reasons are great, customer service did not give a satisfactory explanation. this is recommended in Chinese Amazon Details on product pages look, for example at the differences distributors, channels, models, old and new styles, etc., so that consumers bought understand. Fourth, the basic sure that the machine is a new machine, which I still believe that Amazon, there are those who say that the machine oil, a black powder or the like is suspected refurbished machines are wrong, (oil is normal, but proved to be a new machine, the tub was stirred with a vegetable oil wipe after allowing two hours and washed with the washing liquid can be a), sale Amazon also gave thumbs up. my last hope to evaluate the ka purchase the cook in the Amazon friends a little help.</v>
      </c>
    </row>
    <row r="11310">
      <c r="A11310" s="1">
        <v>3.0</v>
      </c>
      <c r="B11310" s="1" t="s">
        <v>11217</v>
      </c>
      <c r="C11310" t="str">
        <f>IFERROR(__xludf.DUMMYFUNCTION("GOOGLETRANSLATE(B11310, ""zh"", ""en"")"),"600ml good high thermal insulation effect is not an ordinary version, probably because it thin, but the shape is really thin, feel better. 600ml big")</f>
        <v>600ml good high thermal insulation effect is not an ordinary version, probably because it thin, but the shape is really thin, feel better. 600ml big</v>
      </c>
    </row>
    <row r="11311">
      <c r="A11311" s="1">
        <v>1.0</v>
      </c>
      <c r="B11311" s="1" t="s">
        <v>11218</v>
      </c>
      <c r="C11311" t="str">
        <f>IFERROR(__xludf.DUMMYFUNCTION("GOOGLETRANSLATE(B11311, ""zh"", ""en"")"),"- did not feel authentic, quality fabrics and workmanship is not good")</f>
        <v>- did not feel authentic, quality fabrics and workmanship is not good</v>
      </c>
    </row>
    <row r="11312">
      <c r="A11312" s="1">
        <v>1.0</v>
      </c>
      <c r="B11312" s="1" t="s">
        <v>11219</v>
      </c>
      <c r="C11312" t="str">
        <f>IFERROR(__xludf.DUMMYFUNCTION("GOOGLETRANSLATE(B11312, ""zh"", ""en"")"),"I can not really wear too small")</f>
        <v>I can not really wear too small</v>
      </c>
    </row>
    <row r="11313">
      <c r="A11313" s="1">
        <v>4.0</v>
      </c>
      <c r="B11313" s="1" t="s">
        <v>11220</v>
      </c>
      <c r="C11313" t="str">
        <f>IFERROR(__xludf.DUMMYFUNCTION("GOOGLETRANSLATE(B11313, ""zh"", ""en"")"),"Attractive Attractive! looks good! Suitable widths, wide to wear! ! But it seems a little long? ? ? But I do not mind")</f>
        <v>Attractive Attractive! looks good! Suitable widths, wide to wear! ! But it seems a little long? ? ? But I do not mind</v>
      </c>
    </row>
    <row r="11314">
      <c r="A11314" s="1">
        <v>4.0</v>
      </c>
      <c r="B11314" s="1" t="s">
        <v>11221</v>
      </c>
      <c r="C11314" t="str">
        <f>IFERROR(__xludf.DUMMYFUNCTION("GOOGLETRANSLATE(B11314, ""zh"", ""en"")"),"Something good, packaging needs to be more carefully because I was plugged into the USB3.0 expansion card, the performance may be affected, something good, a star is because Amazon buckle packing, look at my picture, it is so open the package, which is me"&amp;"chanical hard disk yeah, not wool toys, feel the heart Amazon too much of it (like the United States and Asia hair?). On the packaging should learn the Japanese sub, bought a few things, which things will again. Bind tightly with a film, and then fixed to"&amp;" a plastic box, the box a little fluctuation not shake.")</f>
        <v>Something good, packaging needs to be more carefully because I was plugged into the USB3.0 expansion card, the performance may be affected, something good, a star is because Amazon buckle packing, look at my picture, it is so open the package, which is mechanical hard disk yeah, not wool toys, feel the heart Amazon too much of it (like the United States and Asia hair?). On the packaging should learn the Japanese sub, bought a few things, which things will again. Bind tightly with a film, and then fixed to a plastic box, the box a little fluctuation not shake.</v>
      </c>
    </row>
    <row r="11315">
      <c r="A11315" s="1">
        <v>4.0</v>
      </c>
      <c r="B11315" s="1" t="s">
        <v>11222</v>
      </c>
      <c r="C11315" t="str">
        <f>IFERROR(__xludf.DUMMYFUNCTION("GOOGLETRANSLATE(B11315, ""zh"", ""en"")"),"Good Good quality, a little thin, a little big.")</f>
        <v>Good Good quality, a little thin, a little big.</v>
      </c>
    </row>
    <row r="11316">
      <c r="A11316" s="1">
        <v>4.0</v>
      </c>
      <c r="B11316" s="1" t="s">
        <v>11223</v>
      </c>
      <c r="C11316" t="str">
        <f>IFERROR(__xludf.DUMMYFUNCTION("GOOGLETRANSLATE(B11316, ""zh"", ""en"")"),"Foot width and height smaller Everyone says that big, so I bought my standard size, the result is very tight ...... PS: forgive my ignorance, which is actually the toe shoes in the rain water seepage days. . .")</f>
        <v>Foot width and height smaller Everyone says that big, so I bought my standard size, the result is very tight ...... PS: forgive my ignorance, which is actually the toe shoes in the rain water seepage days. . .</v>
      </c>
    </row>
    <row r="11317">
      <c r="A11317" s="1">
        <v>5.0</v>
      </c>
      <c r="B11317" s="1" t="s">
        <v>11224</v>
      </c>
      <c r="C11317" t="str">
        <f>IFERROR(__xludf.DUMMYFUNCTION("GOOGLETRANSLATE(B11317, ""zh"", ""en"")"),"Warm and good, good quality and flexibility, so a little bit slightly larger, smooth surface, there is velvet inside, feeling thin, but very comfortable to wear, warm effect is also very good, very satisfied. made in jp, good quality")</f>
        <v>Warm and good, good quality and flexibility, so a little bit slightly larger, smooth surface, there is velvet inside, feeling thin, but very comfortable to wear, warm effect is also very good, very satisfied. made in jp, good quality</v>
      </c>
    </row>
    <row r="11318">
      <c r="A11318" s="1">
        <v>5.0</v>
      </c>
      <c r="B11318" s="1" t="s">
        <v>11225</v>
      </c>
      <c r="C11318" t="str">
        <f>IFERROR(__xludf.DUMMYFUNCTION("GOOGLETRANSLATE(B11318, ""zh"", ""en"")"),"Worth line is very good, affordable, good workmanship is a little heavy, but also sent a pair of white lace, the kind of broad, gray wife did not feel good-looking, and thanks to the 😄")</f>
        <v>Worth line is very good, affordable, good workmanship is a little heavy, but also sent a pair of white lace, the kind of broad, gray wife did not feel good-looking, and thanks to the 😄</v>
      </c>
    </row>
    <row r="11319">
      <c r="A11319" s="1">
        <v>5.0</v>
      </c>
      <c r="B11319" s="1" t="s">
        <v>11226</v>
      </c>
      <c r="C11319" t="str">
        <f>IFERROR(__xludf.DUMMYFUNCTION("GOOGLETRANSLATE(B11319, ""zh"", ""en"")"),"Very Good Very nice mug, color values ​​are high, the baby very much. This estimate is the best I bought a mug with, and can buy more than two hundred unbelievable.")</f>
        <v>Very Good Very nice mug, color values ​​are high, the baby very much. This estimate is the best I bought a mug with, and can buy more than two hundred unbelievable.</v>
      </c>
    </row>
    <row r="11320">
      <c r="A11320" s="1">
        <v>5.0</v>
      </c>
      <c r="B11320" s="1" t="s">
        <v>11227</v>
      </c>
      <c r="C11320" t="str">
        <f>IFERROR(__xludf.DUMMYFUNCTION("GOOGLETRANSLATE(B11320, ""zh"", ""en"")"),"The new utility is very practical, with a European standard conversion plug the subject of transit countries. No leakage phenomenon")</f>
        <v>The new utility is very practical, with a European standard conversion plug the subject of transit countries. No leakage phenomenon</v>
      </c>
    </row>
    <row r="11321">
      <c r="A11321" s="1">
        <v>5.0</v>
      </c>
      <c r="B11321" s="1" t="s">
        <v>11228</v>
      </c>
      <c r="C11321" t="str">
        <f>IFERROR(__xludf.DUMMYFUNCTION("GOOGLETRANSLATE(B11321, ""zh"", ""en"")"),"Satisfaction before Sony 200 better than me. But he did not play chicken hanging open to that feeling.")</f>
        <v>Satisfaction before Sony 200 better than me. But he did not play chicken hanging open to that feeling.</v>
      </c>
    </row>
    <row r="11322">
      <c r="A11322" s="1">
        <v>5.0</v>
      </c>
      <c r="B11322" s="1" t="s">
        <v>11229</v>
      </c>
      <c r="C11322" t="str">
        <f>IFERROR(__xludf.DUMMYFUNCTION("GOOGLETRANSLATE(B11322, ""zh"", ""en"")"),"The United States are large size is too large, even if a lot of small or large buy a yard. And relatives in the United States about the same price to buy, do not worry about the international express delivery. that's nice")</f>
        <v>The United States are large size is too large, even if a lot of small or large buy a yard. And relatives in the United States about the same price to buy, do not worry about the international express delivery. that's nice</v>
      </c>
    </row>
    <row r="11323">
      <c r="A11323" s="1">
        <v>5.0</v>
      </c>
      <c r="B11323" s="1" t="s">
        <v>11230</v>
      </c>
      <c r="C11323" t="str">
        <f>IFERROR(__xludf.DUMMYFUNCTION("GOOGLETRANSLATE(B11323, ""zh"", ""en"")"),"Vitamin sweet candy taste good prices Ye Hao")</f>
        <v>Vitamin sweet candy taste good prices Ye Hao</v>
      </c>
    </row>
    <row r="11324">
      <c r="A11324" s="1">
        <v>5.0</v>
      </c>
      <c r="B11324" s="1" t="s">
        <v>11231</v>
      </c>
      <c r="C11324" t="str">
        <f>IFERROR(__xludf.DUMMYFUNCTION("GOOGLETRANSLATE(B11324, ""zh"", ""en"")"),"Very good pants, size is very positive, 173cm, size 71kg, 32 exactly, the material is also very comfortable.")</f>
        <v>Very good pants, size is very positive, 173cm, size 71kg, 32 exactly, the material is also very comfortable.</v>
      </c>
    </row>
    <row r="11325">
      <c r="A11325" s="1">
        <v>5.0</v>
      </c>
      <c r="B11325" s="1" t="s">
        <v>11232</v>
      </c>
      <c r="C11325" t="str">
        <f>IFERROR(__xludf.DUMMYFUNCTION("GOOGLETRANSLATE(B11325, ""zh"", ""en"")"),"Good, value for money! Price too high! I waistline 86 cm, a little bit small should buy a bigger size")</f>
        <v>Good, value for money! Price too high! I waistline 86 cm, a little bit small should buy a bigger size</v>
      </c>
    </row>
    <row r="11326">
      <c r="A11326" s="1">
        <v>5.0</v>
      </c>
      <c r="B11326" s="1" t="s">
        <v>11233</v>
      </c>
      <c r="C11326" t="str">
        <f>IFERROR(__xludf.DUMMYFUNCTION("GOOGLETRANSLATE(B11326, ""zh"", ""en"")"),"Very good thick, it is recommended, especially thick cut steak, shorter, taste better, due to its powerful heat conduction.")</f>
        <v>Very good thick, it is recommended, especially thick cut steak, shorter, taste better, due to its powerful heat conduction.</v>
      </c>
    </row>
    <row r="11327">
      <c r="A11327" s="1">
        <v>5.0</v>
      </c>
      <c r="B11327" s="1" t="s">
        <v>11234</v>
      </c>
      <c r="C11327" t="str">
        <f>IFERROR(__xludf.DUMMYFUNCTION("GOOGLETRANSLATE(B11327, ""zh"", ""en"")"),"Very, very good, no odor, easy to absorb, and supporting the bottle.")</f>
        <v>Very, very good, no odor, easy to absorb, and supporting the bottle.</v>
      </c>
    </row>
    <row r="11328">
      <c r="A11328" s="1">
        <v>5.0</v>
      </c>
      <c r="B11328" s="1" t="s">
        <v>11235</v>
      </c>
      <c r="C11328" t="str">
        <f>IFERROR(__xludf.DUMMYFUNCTION("GOOGLETRANSLATE(B11328, ""zh"", ""en"")"),"Good to watch on the seventh day, a good radio signal, local time debugging smooth! In-kind is very beautiful, as to the quality and stability needs to be investigated!")</f>
        <v>Good to watch on the seventh day, a good radio signal, local time debugging smooth! In-kind is very beautiful, as to the quality and stability needs to be investigated!</v>
      </c>
    </row>
    <row r="11329">
      <c r="A11329" s="1">
        <v>5.0</v>
      </c>
      <c r="B11329" s="1" t="s">
        <v>11236</v>
      </c>
      <c r="C11329" t="str">
        <f>IFERROR(__xludf.DUMMYFUNCTION("GOOGLETRANSLATE(B11329, ""zh"", ""en"")"),"Very flexible, the right size. Flexibility is very good, the Mexican production, not too thick, you can wear spring and autumn. On the whole satisfactory.")</f>
        <v>Very flexible, the right size. Flexibility is very good, the Mexican production, not too thick, you can wear spring and autumn. On the whole satisfactory.</v>
      </c>
    </row>
    <row r="11330">
      <c r="A11330" s="1">
        <v>5.0</v>
      </c>
      <c r="B11330" s="1" t="s">
        <v>11237</v>
      </c>
      <c r="C11330" t="str">
        <f>IFERROR(__xludf.DUMMYFUNCTION("GOOGLETRANSLATE(B11330, ""zh"", ""en"")"),"Good quality, size is too large height 174, weight 70 kg. Buy m of a large, positive S should fit. Great quality")</f>
        <v>Good quality, size is too large height 174, weight 70 kg. Buy m of a large, positive S should fit. Great quality</v>
      </c>
    </row>
    <row r="11331">
      <c r="A11331" s="1">
        <v>5.0</v>
      </c>
      <c r="B11331" s="1" t="s">
        <v>11238</v>
      </c>
      <c r="C11331" t="str">
        <f>IFERROR(__xludf.DUMMYFUNCTION("GOOGLETRANSLATE(B11331, ""zh"", ""en"")"),"Good quality is very beautiful, also very good details of the process. It looks very strong. The baby is still small, has not yet started, you can not use will be described.")</f>
        <v>Good quality is very beautiful, also very good details of the process. It looks very strong. The baby is still small, has not yet started, you can not use will be described.</v>
      </c>
    </row>
    <row r="11332">
      <c r="A11332" s="1">
        <v>5.0</v>
      </c>
      <c r="B11332" s="1" t="s">
        <v>11239</v>
      </c>
      <c r="C11332" t="str">
        <f>IFERROR(__xludf.DUMMYFUNCTION("GOOGLETRANSLATE(B11332, ""zh"", ""en"")"),"Price is very good things are good, anti-scald zuodehaoq")</f>
        <v>Price is very good things are good, anti-scald zuodehaoq</v>
      </c>
    </row>
    <row r="11333">
      <c r="A11333" s="1">
        <v>5.0</v>
      </c>
      <c r="B11333" s="1" t="s">
        <v>11240</v>
      </c>
      <c r="C11333" t="str">
        <f>IFERROR(__xludf.DUMMYFUNCTION("GOOGLETRANSLATE(B11333, ""zh"", ""en"")"),"Like health")</f>
        <v>Like health</v>
      </c>
    </row>
    <row r="11334">
      <c r="A11334" s="1">
        <v>5.0</v>
      </c>
      <c r="B11334" s="1" t="s">
        <v>11241</v>
      </c>
      <c r="C11334" t="str">
        <f>IFERROR(__xludf.DUMMYFUNCTION("GOOGLETRANSLATE(B11334, ""zh"", ""en"")"),"Very good use out necessary, useful pot of hot water capacity is not, boil water, tea enough to use")</f>
        <v>Very good use out necessary, useful pot of hot water capacity is not, boil water, tea enough to use</v>
      </c>
    </row>
    <row r="11335">
      <c r="A11335" s="1">
        <v>5.0</v>
      </c>
      <c r="B11335" s="1" t="s">
        <v>11242</v>
      </c>
      <c r="C11335" t="str">
        <f>IFERROR(__xludf.DUMMYFUNCTION("GOOGLETRANSLATE(B11335, ""zh"", ""en"")"),"Like a very cute small bowl for color control value of my favorite incredible. Girls just eat")</f>
        <v>Like a very cute small bowl for color control value of my favorite incredible. Girls just eat</v>
      </c>
    </row>
    <row r="11336">
      <c r="A11336" s="1">
        <v>5.0</v>
      </c>
      <c r="B11336" s="1" t="s">
        <v>11243</v>
      </c>
      <c r="C11336" t="str">
        <f>IFERROR(__xludf.DUMMYFUNCTION("GOOGLETRANSLATE(B11336, ""zh"", ""en"")"),"Cost-effective than I expected delivery time a little faster belt slim pretty good I selected codons 32, but still need to play three eyes (Waist two feet two) you can learn about the whole good")</f>
        <v>Cost-effective than I expected delivery time a little faster belt slim pretty good I selected codons 32, but still need to play three eyes (Waist two feet two) you can learn about the whole good</v>
      </c>
    </row>
    <row r="11337">
      <c r="A11337" s="1">
        <v>5.0</v>
      </c>
      <c r="B11337" s="1" t="s">
        <v>11244</v>
      </c>
      <c r="C11337" t="str">
        <f>IFERROR(__xludf.DUMMYFUNCTION("GOOGLETRANSLATE(B11337, ""zh"", ""en"")"),"Good looks lovely, with the convenience. Good quality, will buy.")</f>
        <v>Good looks lovely, with the convenience. Good quality, will buy.</v>
      </c>
    </row>
    <row r="11338">
      <c r="A11338" s="1">
        <v>5.0</v>
      </c>
      <c r="B11338" s="1" t="s">
        <v>11245</v>
      </c>
      <c r="C11338" t="str">
        <f>IFERROR(__xludf.DUMMYFUNCTION("GOOGLETRANSLATE(B11338, ""zh"", ""en"")"),"The material can also be a high waist high waist do not like to mother")</f>
        <v>The material can also be a high waist high waist do not like to mother</v>
      </c>
    </row>
    <row r="11339">
      <c r="A11339" s="1">
        <v>2.0</v>
      </c>
      <c r="B11339" s="1" t="s">
        <v>11246</v>
      </c>
      <c r="C11339" t="str">
        <f>IFERROR(__xludf.DUMMYFUNCTION("GOOGLETRANSLATE(B11339, ""zh"", ""en"")"),"After a miserable poor quality wash, is not fake")</f>
        <v>After a miserable poor quality wash, is not fake</v>
      </c>
    </row>
    <row r="11340">
      <c r="A11340" s="1">
        <v>3.0</v>
      </c>
      <c r="B11340" s="1" t="s">
        <v>11247</v>
      </c>
      <c r="C11340" t="str">
        <f>IFERROR(__xludf.DUMMYFUNCTION("GOOGLETRANSLATE(B11340, ""zh"", ""en"")"),"US version of the quality in general very thin, feel not very good. I think the US version champion quality and workmanship are too general, domestic sports brand better than similar products it is poor, 40 yuan to buy, is to buy a championship mark it, c"&amp;"omfort is also a general. Wear a few times, from the serious ball, spread the goods quality!")</f>
        <v>US version of the quality in general very thin, feel not very good. I think the US version champion quality and workmanship are too general, domestic sports brand better than similar products it is poor, 40 yuan to buy, is to buy a championship mark it, comfort is also a general. Wear a few times, from the serious ball, spread the goods quality!</v>
      </c>
    </row>
    <row r="11341">
      <c r="A11341" s="1">
        <v>3.0</v>
      </c>
      <c r="B11341" s="1" t="s">
        <v>11248</v>
      </c>
      <c r="C11341" t="str">
        <f>IFERROR(__xludf.DUMMYFUNCTION("GOOGLETRANSLATE(B11341, ""zh"", ""en"")"),"Why not the same tongue material it? Shoes compared to other series said that it was comfortable, I hardly tie his shoe, anyway, do not wear the foot, but the most depressing is that the tongue of the shoe material that is different, every day a drooping,"&amp;" the hard to put up a , especially the latter, the foot is very comfortable, the size of the lacks the problem, I usually 37, we chose a long 23.5cm, the right size")</f>
        <v>Why not the same tongue material it? Shoes compared to other series said that it was comfortable, I hardly tie his shoe, anyway, do not wear the foot, but the most depressing is that the tongue of the shoe material that is different, every day a drooping, the hard to put up a , especially the latter, the foot is very comfortable, the size of the lacks the problem, I usually 37, we chose a long 23.5cm, the right size</v>
      </c>
    </row>
    <row r="11342">
      <c r="A11342" s="1">
        <v>1.0</v>
      </c>
      <c r="B11342" s="1" t="s">
        <v>11249</v>
      </c>
      <c r="C11342" t="str">
        <f>IFERROR(__xludf.DUMMYFUNCTION("GOOGLETRANSLATE(B11342, ""zh"", ""en"")"),"Appraised Bad please tell me how to do is open the lid scratches, no problem that both covers all the baby how to use it? How to deal with")</f>
        <v>Appraised Bad please tell me how to do is open the lid scratches, no problem that both covers all the baby how to use it? How to deal with</v>
      </c>
    </row>
    <row r="11343">
      <c r="A11343" s="1">
        <v>1.0</v>
      </c>
      <c r="B11343" s="1" t="s">
        <v>11250</v>
      </c>
      <c r="C11343" t="str">
        <f>IFERROR(__xludf.DUMMYFUNCTION("GOOGLETRANSLATE(B11343, ""zh"", ""en"")"),"The package I can Oh the thin cardboard, with two air bags will not do it with two weeks have bad sectors, the 2000 threw water")</f>
        <v>The package I can Oh the thin cardboard, with two air bags will not do it with two weeks have bad sectors, the 2000 threw water</v>
      </c>
    </row>
    <row r="11344">
      <c r="A11344" s="1">
        <v>1.0</v>
      </c>
      <c r="B11344" s="1" t="s">
        <v>11251</v>
      </c>
      <c r="C11344" t="str">
        <f>IFERROR(__xludf.DUMMYFUNCTION("GOOGLETRANSLATE(B11344, ""zh"", ""en"")"),"Fake fake, blue bristles less than a month the whole faded. The store can sell three or four months.")</f>
        <v>Fake fake, blue bristles less than a month the whole faded. The store can sell three or four months.</v>
      </c>
    </row>
    <row r="11345">
      <c r="A11345" s="1">
        <v>4.0</v>
      </c>
      <c r="B11345" s="1" t="s">
        <v>11252</v>
      </c>
      <c r="C11345" t="str">
        <f>IFERROR(__xludf.DUMMYFUNCTION("GOOGLETRANSLATE(B11345, ""zh"", ""en"")"),"Bottle bottle pretty good, but in the box dirty, sticky not look comfortable")</f>
        <v>Bottle bottle pretty good, but in the box dirty, sticky not look comfortable</v>
      </c>
    </row>
    <row r="11346">
      <c r="A11346" s="1">
        <v>4.0</v>
      </c>
      <c r="B11346" s="1" t="s">
        <v>11253</v>
      </c>
      <c r="C11346" t="str">
        <f>IFERROR(__xludf.DUMMYFUNCTION("GOOGLETRANSLATE(B11346, ""zh"", ""en"")"),"Made in China Manufacturing is the cow China")</f>
        <v>Made in China Manufacturing is the cow China</v>
      </c>
    </row>
    <row r="11347">
      <c r="A11347" s="1">
        <v>4.0</v>
      </c>
      <c r="B11347" s="1" t="s">
        <v>11254</v>
      </c>
      <c r="C11347" t="str">
        <f>IFERROR(__xludf.DUMMYFUNCTION("GOOGLETRANSLATE(B11347, ""zh"", ""en"")"),"For reference only fabric is very comfortable, very satisfied with the style, 163cm, 50kg, slightly larger.")</f>
        <v>For reference only fabric is very comfortable, very satisfied with the style, 163cm, 50kg, slightly larger.</v>
      </c>
    </row>
    <row r="11348">
      <c r="A11348" s="1">
        <v>4.0</v>
      </c>
      <c r="B11348" s="1" t="s">
        <v>11255</v>
      </c>
      <c r="C11348" t="str">
        <f>IFERROR(__xludf.DUMMYFUNCTION("GOOGLETRANSLATE(B11348, ""zh"", ""en"")"),"You can also right 17077 kg, buy, see the previous comment 32✘30 of said big, but I personally feel according to your own code to buy on the line, the right size, can wear in summer, and a little regret should buy bigger, afraid of winter wear is small, t"&amp;"he other says that style in general, I do not see how better than other brands!")</f>
        <v>You can also right 17077 kg, buy, see the previous comment 32✘30 of said big, but I personally feel according to your own code to buy on the line, the right size, can wear in summer, and a little regret should buy bigger, afraid of winter wear is small, the other says that style in general, I do not see how better than other brands!</v>
      </c>
    </row>
    <row r="11349">
      <c r="A11349" s="1">
        <v>4.0</v>
      </c>
      <c r="B11349" s="1" t="s">
        <v>11256</v>
      </c>
      <c r="C11349" t="str">
        <f>IFERROR(__xludf.DUMMYFUNCTION("GOOGLETRANSLATE(B11349, ""zh"", ""en"")"),"High bid was black, five letters pants size large than domestic, but winter wear Fortunately, style considered appropriate it!")</f>
        <v>High bid was black, five letters pants size large than domestic, but winter wear Fortunately, style considered appropriate it!</v>
      </c>
    </row>
    <row r="11350">
      <c r="A11350" s="1">
        <v>5.0</v>
      </c>
      <c r="B11350" s="1" t="s">
        <v>11257</v>
      </c>
      <c r="C11350" t="str">
        <f>IFERROR(__xludf.DUMMYFUNCTION("GOOGLETRANSLATE(B11350, ""zh"", ""en"")"),"Indeed effective. Purchase during the event, but also a little cheaper than Jingdong 618. Delivery speed is not bad. For the elderly at home, after taking almost a bottle, I feel good. It should be good")</f>
        <v>Indeed effective. Purchase during the event, but also a little cheaper than Jingdong 618. Delivery speed is not bad. For the elderly at home, after taking almost a bottle, I feel good. It should be good</v>
      </c>
    </row>
    <row r="11351">
      <c r="A11351" s="1">
        <v>5.0</v>
      </c>
      <c r="B11351" s="1" t="s">
        <v>11258</v>
      </c>
      <c r="C11351" t="str">
        <f>IFERROR(__xludf.DUMMYFUNCTION("GOOGLETRANSLATE(B11351, ""zh"", ""en"")"),"The new Bluetooth headset noise travel in July, when suddenly want to buy a noise-canceling headphones. So, of course, preferred Sennheiser. At that time the eyes on a Sennheiser Bluetooth stereo headset, after several inquiries, that is not the main nois"&amp;"e reduction headset. Accordingly, the positioning replaced PXC450. No comments Baidu know Sennheiser July 15 the new Bluetooth noise-canceling headphones PXC550. So, we decided to wait. Wait until this day, and Dea MATV are out. Central Asia is not. Thus,"&amp;" in scouring the sea for a long time or turn wandering among other brands. Over the past month, no intention of visiting Central Asia, discovered they can buy a home. Then immediately orders. Bedding so much, no intention is to illustrate the high expecta"&amp;"tions of the headset. After we get our hands on, can not wait to audition. To tell the truth, because not used Bluetooth headset, its use almost know nothing about. Specification is relatively simple, it introduces a few buttons. So it their own way. In t"&amp;"he beginning, the noise reduction effect is very good. This is the first impression. A few days later, I do not know how to adjust the sound headphones. Thanks to the adjustment on the phone or mp3. Sound on the big can. Otherwise, you can still hear outs"&amp;"ide sounds, even though they have cut off a lot. Thus, the musical had a question for the headset. A few days later, I had the idea of ​​return. Later, I decided to listen more, may be needed to burn? With this in mind, several exploration, and finally kn"&amp;"ow how to adjust the music, and finally realized that the sound is almost minimal. In this case, of course, songs unpleasant. After transferred to the normal level, and slowly accept the headphones. Indeed a smart, sound okay (I do not hear it), put it, t"&amp;"he world really quiet in a big circle. On the whisper mode, noise isolation, but the human voice is not how isolated, pretty convenient. Now that I've fallen in love with this headset, I decided not to return, leaving it up for their own use. Even so, it "&amp;"can not represent this headset is perfect, below is a small Tucao: the classmate with glasses, wearing the headphones for a long time, left ear a little subtle uncomfortable. Remove glasses, uncomfortable feeling is lost. Noise reduction effect is obvious"&amp;", but it is not able to isolate. If it is particularly noisy surroundings, this headset can not be achieved completely quiet effect. Test environment for the Beijing Subway Line 14 and Line 15. Sound horse of God, also asking the students to make purchase"&amp;"s later on. Because I'm not too picky ears. Because I think this is a flagship travelers used Sennheiser headphones out, surely it will not sound too bad. This is my guess? Slightly more expensive price. This is what I bought the most expensive a headset.")</f>
        <v>The new Bluetooth headset noise travel in July, when suddenly want to buy a noise-canceling headphones. So, of course, preferred Sennheiser. At that time the eyes on a Sennheiser Bluetooth stereo headset, after several inquiries, that is not the main noise reduction headset. Accordingly, the positioning replaced PXC450. No comments Baidu know Sennheiser July 15 the new Bluetooth noise-canceling headphones PXC550. So, we decided to wait. Wait until this day, and Dea MATV are out. Central Asia is not. Thus, in scouring the sea for a long time or turn wandering among other brands. Over the past month, no intention of visiting Central Asia, discovered they can buy a home. Then immediately orders. Bedding so much, no intention is to illustrate the high expectations of the headset. After we get our hands on, can not wait to audition. To tell the truth, because not used Bluetooth headset, its use almost know nothing about. Specification is relatively simple, it introduces a few buttons. So it their own way. In the beginning, the noise reduction effect is very good. This is the first impression. A few days later, I do not know how to adjust the sound headphones. Thanks to the adjustment on the phone or mp3. Sound on the big can. Otherwise, you can still hear outside sounds, even though they have cut off a lot. Thus, the musical had a question for the headset. A few days later, I had the idea of ​​return. Later, I decided to listen more, may be needed to burn? With this in mind, several exploration, and finally know how to adjust the music, and finally realized that the sound is almost minimal. In this case, of course, songs unpleasant. After transferred to the normal level, and slowly accept the headphones. Indeed a smart, sound okay (I do not hear it), put it, the world really quiet in a big circle. On the whisper mode, noise isolation, but the human voice is not how isolated, pretty convenient. Now that I've fallen in love with this headset, I decided not to return, leaving it up for their own use. Even so, it can not represent this headset is perfect, below is a small Tucao: the classmate with glasses, wearing the headphones for a long time, left ear a little subtle uncomfortable. Remove glasses, uncomfortable feeling is lost. Noise reduction effect is obvious, but it is not able to isolate. If it is particularly noisy surroundings, this headset can not be achieved completely quiet effect. Test environment for the Beijing Subway Line 14 and Line 15. Sound horse of God, also asking the students to make purchases later on. Because I'm not too picky ears. Because I think this is a flagship travelers used Sennheiser headphones out, surely it will not sound too bad. This is my guess? Slightly more expensive price. This is what I bought the most expensive a headset.</v>
      </c>
    </row>
    <row r="11352">
      <c r="A11352" s="1">
        <v>5.0</v>
      </c>
      <c r="B11352" s="1" t="s">
        <v>11259</v>
      </c>
      <c r="C11352" t="str">
        <f>IFERROR(__xludf.DUMMYFUNCTION("GOOGLETRANSLATE(B11352, ""zh"", ""en"")"),"Good quality, good quality just right, very self-cultivation. Suitable for spring wear, waterproof fabric, which wear a winter plus sweaters or cashmere sweater should be almost the same. Height 180cm, weight 85kg, L code appropriate. Very self-cultivatio"&amp;"n.")</f>
        <v>Good quality, good quality just right, very self-cultivation. Suitable for spring wear, waterproof fabric, which wear a winter plus sweaters or cashmere sweater should be almost the same. Height 180cm, weight 85kg, L code appropriate. Very self-cultivation.</v>
      </c>
    </row>
    <row r="11353">
      <c r="A11353" s="1">
        <v>5.0</v>
      </c>
      <c r="B11353" s="1" t="s">
        <v>11260</v>
      </c>
      <c r="C11353" t="str">
        <f>IFERROR(__xludf.DUMMYFUNCTION("GOOGLETRANSLATE(B11353, ""zh"", ""en"")"),"Very easy to use and very easy to use automatic time watching very convenient")</f>
        <v>Very easy to use and very easy to use automatic time watching very convenient</v>
      </c>
    </row>
    <row r="11354">
      <c r="A11354" s="1">
        <v>5.0</v>
      </c>
      <c r="B11354" s="1" t="s">
        <v>11261</v>
      </c>
      <c r="C11354" t="str">
        <f>IFERROR(__xludf.DUMMYFUNCTION("GOOGLETRANSLATE(B11354, ""zh"", ""en"")"),"This is really pretty good shoes look good but destruction instep and calf ......")</f>
        <v>This is really pretty good shoes look good but destruction instep and calf ......</v>
      </c>
    </row>
    <row r="11355">
      <c r="A11355" s="1">
        <v>5.0</v>
      </c>
      <c r="B11355" s="1" t="s">
        <v>11262</v>
      </c>
      <c r="C11355" t="str">
        <f>IFERROR(__xludf.DUMMYFUNCTION("GOOGLETRANSLATE(B11355, ""zh"", ""en"")"),"Very much like fit, very much, I did not expect a good luck, the sea buy too much to force.")</f>
        <v>Very much like fit, very much, I did not expect a good luck, the sea buy too much to force.</v>
      </c>
    </row>
    <row r="11356">
      <c r="A11356" s="1">
        <v>5.0</v>
      </c>
      <c r="B11356" s="1" t="s">
        <v>11263</v>
      </c>
      <c r="C11356" t="str">
        <f>IFERROR(__xludf.DUMMYFUNCTION("GOOGLETRANSLATE(B11356, ""zh"", ""en"")"),"Very, very comfortable too comfortable, there are not my point code, which can only be bought to wear for some time, then he'll never get to the other shoes, very value. Big Foot has been imported shoes to wear, but still comfortable double to burst. Bett"&amp;"er than the other 👍🏻")</f>
        <v>Very, very comfortable too comfortable, there are not my point code, which can only be bought to wear for some time, then he'll never get to the other shoes, very value. Big Foot has been imported shoes to wear, but still comfortable double to burst. Better than the other 👍🏻</v>
      </c>
    </row>
    <row r="11357">
      <c r="A11357" s="1">
        <v>5.0</v>
      </c>
      <c r="B11357" s="1" t="s">
        <v>11264</v>
      </c>
      <c r="C11357" t="str">
        <f>IFERROR(__xludf.DUMMYFUNCTION("GOOGLETRANSLATE(B11357, ""zh"", ""en"")"),"Fabric is very fit, soft fabric feel fine, satisfying shopping experience.")</f>
        <v>Fabric is very fit, soft fabric feel fine, satisfying shopping experience.</v>
      </c>
    </row>
    <row r="11358">
      <c r="A11358" s="1">
        <v>5.0</v>
      </c>
      <c r="B11358" s="1" t="s">
        <v>11265</v>
      </c>
      <c r="C11358" t="str">
        <f>IFERROR(__xludf.DUMMYFUNCTION("GOOGLETRANSLATE(B11358, ""zh"", ""en"")"),"Very good very satisfied! 175 height, overweight, very suitable to wear close M")</f>
        <v>Very good very satisfied! 175 height, overweight, very suitable to wear close M</v>
      </c>
    </row>
    <row r="11359">
      <c r="A11359" s="1">
        <v>5.0</v>
      </c>
      <c r="B11359" s="1" t="s">
        <v>11266</v>
      </c>
      <c r="C11359" t="str">
        <f>IFERROR(__xludf.DUMMYFUNCTION("GOOGLETRANSLATE(B11359, ""zh"", ""en"")"),"The previous reviews misleading, buy this dress code a little Yaoan should buy the normal code, the previous comment misled buy small one yard. I believe you are a ghost, you have those bad old man. Good clothes is cotton, relatively thick. Wash once, ser"&amp;"iously fade!")</f>
        <v>The previous reviews misleading, buy this dress code a little Yaoan should buy the normal code, the previous comment misled buy small one yard. I believe you are a ghost, you have those bad old man. Good clothes is cotton, relatively thick. Wash once, seriously fade!</v>
      </c>
    </row>
    <row r="11360">
      <c r="A11360" s="1">
        <v>5.0</v>
      </c>
      <c r="B11360" s="1" t="s">
        <v>11267</v>
      </c>
      <c r="C11360" t="str">
        <f>IFERROR(__xludf.DUMMYFUNCTION("GOOGLETRANSLATE(B11360, ""zh"", ""en"")"),"Nice glass bottle good, PPSU a long time easy to turn yellow, in addition to fear this glass fell Others are good")</f>
        <v>Nice glass bottle good, PPSU a long time easy to turn yellow, in addition to fear this glass fell Others are good</v>
      </c>
    </row>
    <row r="11361">
      <c r="A11361" s="1">
        <v>5.0</v>
      </c>
      <c r="B11361" s="1" t="s">
        <v>11268</v>
      </c>
      <c r="C11361" t="str">
        <f>IFERROR(__xludf.DUMMYFUNCTION("GOOGLETRANSLATE(B11361, ""zh"", ""en"")"),"Positive feeling pretty good, shipped from Japan! It should be genuine")</f>
        <v>Positive feeling pretty good, shipped from Japan! It should be genuine</v>
      </c>
    </row>
    <row r="11362">
      <c r="A11362" s="1">
        <v>5.0</v>
      </c>
      <c r="B11362" s="1" t="s">
        <v>11269</v>
      </c>
      <c r="C11362" t="str">
        <f>IFERROR(__xludf.DUMMYFUNCTION("GOOGLETRANSLATE(B11362, ""zh"", ""en"")"),"Like the shoes I liked it, not too heavy shoes, very comfortable to wear. Usually wear 35 shoes, shoe wear toe a little empty, do not worry about the original zipper convenient to wear off, wear off real well.")</f>
        <v>Like the shoes I liked it, not too heavy shoes, very comfortable to wear. Usually wear 35 shoes, shoe wear toe a little empty, do not worry about the original zipper convenient to wear off, wear off real well.</v>
      </c>
    </row>
    <row r="11363">
      <c r="A11363" s="1">
        <v>5.0</v>
      </c>
      <c r="B11363" s="1" t="s">
        <v>11270</v>
      </c>
      <c r="C11363" t="str">
        <f>IFERROR(__xludf.DUMMYFUNCTION("GOOGLETRANSLATE(B11363, ""zh"", ""en"")"),"Super Puma shoes praise praise praise praise! You can not look good!")</f>
        <v>Super Puma shoes praise praise praise praise! You can not look good!</v>
      </c>
    </row>
    <row r="11364">
      <c r="A11364" s="1">
        <v>5.0</v>
      </c>
      <c r="B11364" s="1" t="s">
        <v>11271</v>
      </c>
      <c r="C11364" t="str">
        <f>IFERROR(__xludf.DUMMYFUNCTION("GOOGLETRANSLATE(B11364, ""zh"", ""en"")"),"Very good although nearly 3,000 hand a little heartache, but overall it is still pretty good, except for the Sennheiser app not finished quite well, even more appreciation for this comparison bose qc35")</f>
        <v>Very good although nearly 3,000 hand a little heartache, but overall it is still pretty good, except for the Sennheiser app not finished quite well, even more appreciation for this comparison bose qc35</v>
      </c>
    </row>
    <row r="11365">
      <c r="A11365" s="1">
        <v>5.0</v>
      </c>
      <c r="B11365" s="1" t="s">
        <v>11272</v>
      </c>
      <c r="C11365" t="str">
        <f>IFERROR(__xludf.DUMMYFUNCTION("GOOGLETRANSLATE(B11365, ""zh"", ""en"")"),"Worth buying shoes are very thick, comfortable to wear. Sole particularly comfortable, feeling not so great legend, 44 to buy 10 yards, pad insoles are particularly suitable. Comfortable.")</f>
        <v>Worth buying shoes are very thick, comfortable to wear. Sole particularly comfortable, feeling not so great legend, 44 to buy 10 yards, pad insoles are particularly suitable. Comfortable.</v>
      </c>
    </row>
    <row r="11366">
      <c r="A11366" s="1">
        <v>5.0</v>
      </c>
      <c r="B11366" s="1" t="s">
        <v>11273</v>
      </c>
      <c r="C11366" t="str">
        <f>IFERROR(__xludf.DUMMYFUNCTION("GOOGLETRANSLATE(B11366, ""zh"", ""en"")"),"There are turbo mode, multi cutter head give it the full five-star! Really looked at a double head. Not yet started, later supplemented.")</f>
        <v>There are turbo mode, multi cutter head give it the full five-star! Really looked at a double head. Not yet started, later supplemented.</v>
      </c>
    </row>
    <row r="11367">
      <c r="A11367" s="1">
        <v>5.0</v>
      </c>
      <c r="B11367" s="1" t="s">
        <v>11274</v>
      </c>
      <c r="C11367" t="str">
        <f>IFERROR(__xludf.DUMMYFUNCTION("GOOGLETRANSLATE(B11367, ""zh"", ""en"")"),"Good to wear really good to wear, very thin personal comfort")</f>
        <v>Good to wear really good to wear, very thin personal comfort</v>
      </c>
    </row>
    <row r="11368">
      <c r="A11368" s="1">
        <v>5.0</v>
      </c>
      <c r="B11368" s="1" t="s">
        <v>11275</v>
      </c>
      <c r="C11368" t="str">
        <f>IFERROR(__xludf.DUMMYFUNCTION("GOOGLETRANSLATE(B11368, ""zh"", ""en"")"),"Just 170,75 kg. s code just")</f>
        <v>Just 170,75 kg. s code just</v>
      </c>
    </row>
    <row r="11369">
      <c r="A11369" s="1">
        <v>5.0</v>
      </c>
      <c r="B11369" s="1" t="s">
        <v>11276</v>
      </c>
      <c r="C11369" t="str">
        <f>IFERROR(__xludf.DUMMYFUNCTION("GOOGLETRANSLATE(B11369, ""zh"", ""en"")"),"Satisfied with the size! Or small cup is more convenient and practical!")</f>
        <v>Satisfied with the size! Or small cup is more convenient and practical!</v>
      </c>
    </row>
    <row r="11370">
      <c r="A11370" s="1">
        <v>5.0</v>
      </c>
      <c r="B11370" s="1" t="s">
        <v>11277</v>
      </c>
      <c r="C11370" t="str">
        <f>IFERROR(__xludf.DUMMYFUNCTION("GOOGLETRANSLATE(B11370, ""zh"", ""en"")"),"Perfect summer wear, perfect, and bought two")</f>
        <v>Perfect summer wear, perfect, and bought two</v>
      </c>
    </row>
    <row r="11371">
      <c r="A11371" s="1">
        <v>5.0</v>
      </c>
      <c r="B11371" s="1" t="s">
        <v>11278</v>
      </c>
      <c r="C11371" t="str">
        <f>IFERROR(__xludf.DUMMYFUNCTION("GOOGLETRANSLATE(B11371, ""zh"", ""en"")"),"As expected and well")</f>
        <v>As expected and well</v>
      </c>
    </row>
    <row r="11372">
      <c r="A11372" s="1">
        <v>2.0</v>
      </c>
      <c r="B11372" s="1" t="s">
        <v>11279</v>
      </c>
      <c r="C11372" t="str">
        <f>IFERROR(__xludf.DUMMYFUNCTION("GOOGLETRANSLATE(B11372, ""zh"", ""en"")"),"Specific clothing size clothes too big, there is no way to wear")</f>
        <v>Specific clothing size clothes too big, there is no way to wear</v>
      </c>
    </row>
    <row r="11373">
      <c r="A11373" s="1">
        <v>3.0</v>
      </c>
      <c r="B11373" s="1" t="s">
        <v>11280</v>
      </c>
      <c r="C11373" t="str">
        <f>IFERROR(__xludf.DUMMYFUNCTION("GOOGLETRANSLATE(B11373, ""zh"", ""en"")"),"Multi-creases the price is very cheap, the quality is really general single, easily out of this word, but particularly short")</f>
        <v>Multi-creases the price is very cheap, the quality is really general single, easily out of this word, but particularly short</v>
      </c>
    </row>
    <row r="11374">
      <c r="A11374" s="1">
        <v>3.0</v>
      </c>
      <c r="B11374" s="1" t="s">
        <v>11281</v>
      </c>
      <c r="C11374" t="str">
        <f>IFERROR(__xludf.DUMMYFUNCTION("GOOGLETRANSLATE(B11374, ""zh"", ""en"")"),"Overall good small problem a bit more, a little more than a small problem, small bubbles soles, dyeing problem!")</f>
        <v>Overall good small problem a bit more, a little more than a small problem, small bubbles soles, dyeing problem!</v>
      </c>
    </row>
    <row r="11375">
      <c r="A11375" s="1">
        <v>3.0</v>
      </c>
      <c r="B11375" s="1" t="s">
        <v>11282</v>
      </c>
      <c r="C11375" t="str">
        <f>IFERROR(__xludf.DUMMYFUNCTION("GOOGLETRANSLATE(B11375, ""zh"", ""en"")"),"Too sour taste too sweet and sour, or tablet-style convenient spot")</f>
        <v>Too sour taste too sweet and sour, or tablet-style convenient spot</v>
      </c>
    </row>
    <row r="11376">
      <c r="A11376" s="1">
        <v>1.0</v>
      </c>
      <c r="B11376" s="1" t="s">
        <v>11283</v>
      </c>
      <c r="C11376" t="str">
        <f>IFERROR(__xludf.DUMMYFUNCTION("GOOGLETRANSLATE(B11376, ""zh"", ""en"")"),"Bad review has nothing to do of the goods! Because I have not received the goods, Amazon APP modified without authorization ""have been received"" state. Over the phone to stay on APP courier, says she has lost the package, then I would like to ask the pa"&amp;"rcel will be lost without permission ""sign"" it? I can only give a bad review.")</f>
        <v>Bad review has nothing to do of the goods! Because I have not received the goods, Amazon APP modified without authorization "have been received" state. Over the phone to stay on APP courier, says she has lost the package, then I would like to ask the parcel will be lost without permission "sign" it? I can only give a bad review.</v>
      </c>
    </row>
    <row r="11377">
      <c r="A11377" s="1">
        <v>1.0</v>
      </c>
      <c r="B11377" s="1" t="s">
        <v>11284</v>
      </c>
      <c r="C11377" t="str">
        <f>IFERROR(__xludf.DUMMYFUNCTION("GOOGLETRANSLATE(B11377, ""zh"", ""en"")"),"Size does not buy this pants you can wear a size")</f>
        <v>Size does not buy this pants you can wear a size</v>
      </c>
    </row>
    <row r="11378">
      <c r="A11378" s="1">
        <v>4.0</v>
      </c>
      <c r="B11378" s="1" t="s">
        <v>11285</v>
      </c>
      <c r="C11378" t="str">
        <f>IFERROR(__xludf.DUMMYFUNCTION("GOOGLETRANSLATE(B11378, ""zh"", ""en"")"),"Wool kids do not buy too hard. Too hard, the children are not very comfortable with them.")</f>
        <v>Wool kids do not buy too hard. Too hard, the children are not very comfortable with them.</v>
      </c>
    </row>
    <row r="11379">
      <c r="A11379" s="1">
        <v>4.0</v>
      </c>
      <c r="B11379" s="1" t="s">
        <v>11286</v>
      </c>
      <c r="C11379" t="str">
        <f>IFERROR(__xludf.DUMMYFUNCTION("GOOGLETRANSLATE(B11379, ""zh"", ""en"")"),"This brand is too large and some clothes too large, and some okay.")</f>
        <v>This brand is too large and some clothes too large, and some okay.</v>
      </c>
    </row>
    <row r="11380">
      <c r="A11380" s="1">
        <v>4.0</v>
      </c>
      <c r="B11380" s="1" t="s">
        <v>11287</v>
      </c>
      <c r="C11380" t="str">
        <f>IFERROR(__xludf.DUMMYFUNCTION("GOOGLETRANSLATE(B11380, ""zh"", ""en"")"),"Larger number two should correspond to the country's 28 or 29 yards, you need to buy a small number of two relatively fit. Comfort comparatively good.")</f>
        <v>Larger number two should correspond to the country's 28 or 29 yards, you need to buy a small number of two relatively fit. Comfort comparatively good.</v>
      </c>
    </row>
    <row r="11381">
      <c r="A11381" s="1">
        <v>4.0</v>
      </c>
      <c r="B11381" s="1" t="s">
        <v>11288</v>
      </c>
      <c r="C11381" t="str">
        <f>IFERROR(__xludf.DUMMYFUNCTION("GOOGLETRANSLATE(B11381, ""zh"", ""en"")"),"Can be used with a pen consider fine, others feel perfect")</f>
        <v>Can be used with a pen consider fine, others feel perfect</v>
      </c>
    </row>
    <row r="11382">
      <c r="A11382" s="1">
        <v>4.0</v>
      </c>
      <c r="B11382" s="1" t="s">
        <v>11289</v>
      </c>
      <c r="C11382" t="str">
        <f>IFERROR(__xludf.DUMMYFUNCTION("GOOGLETRANSLATE(B11382, ""zh"", ""en"")"),"Heavy and hard Caio 41 yards widening bought this 10w, very appropriate, very handsome, is too heavy, Bang height rather awkward, just position the ankle, looked at the front of the card would be more commented tongue, so deliberately wearing stockings, t"&amp;"he results will be even flank card, too hard, want to wear a long time will be better. Then the arrival of particularly fast, is made in China, a little uncomfortable, unable to staunch the authenticity")</f>
        <v>Heavy and hard Caio 41 yards widening bought this 10w, very appropriate, very handsome, is too heavy, Bang height rather awkward, just position the ankle, looked at the front of the card would be more commented tongue, so deliberately wearing stockings, the results will be even flank card, too hard, want to wear a long time will be better. Then the arrival of particularly fast, is made in China, a little uncomfortable, unable to staunch the authenticity</v>
      </c>
    </row>
    <row r="11383">
      <c r="A11383" s="1">
        <v>5.0</v>
      </c>
      <c r="B11383" s="1" t="s">
        <v>11290</v>
      </c>
      <c r="C11383" t="str">
        <f>IFERROR(__xludf.DUMMYFUNCTION("GOOGLETRANSLATE(B11383, ""zh"", ""en"")"),"This looked a little too large there is a little big. Wash it and see hope will shrink a little. Great quality")</f>
        <v>This looked a little too large there is a little big. Wash it and see hope will shrink a little. Great quality</v>
      </c>
    </row>
    <row r="11384">
      <c r="A11384" s="1">
        <v>5.0</v>
      </c>
      <c r="B11384" s="1" t="s">
        <v>11291</v>
      </c>
      <c r="C11384" t="str">
        <f>IFERROR(__xludf.DUMMYFUNCTION("GOOGLETRANSLATE(B11384, ""zh"", ""en"")"),"Very easy to use baby very much. Currently three years old, it has been in use.")</f>
        <v>Very easy to use baby very much. Currently three years old, it has been in use.</v>
      </c>
    </row>
    <row r="11385">
      <c r="A11385" s="1">
        <v>5.0</v>
      </c>
      <c r="B11385" s="1" t="s">
        <v>11292</v>
      </c>
      <c r="C11385" t="str">
        <f>IFERROR(__xludf.DUMMYFUNCTION("GOOGLETRANSLATE(B11385, ""zh"", ""en"")"),"Many bars than the previously used music buttoned, buy cheap overseas")</f>
        <v>Many bars than the previously used music buttoned, buy cheap overseas</v>
      </c>
    </row>
    <row r="11386">
      <c r="A11386" s="1">
        <v>5.0</v>
      </c>
      <c r="B11386" s="1" t="s">
        <v>11293</v>
      </c>
      <c r="C11386" t="str">
        <f>IFERROR(__xludf.DUMMYFUNCTION("GOOGLETRANSLATE(B11386, ""zh"", ""en"")"),"As good as high cost and imagination! Sound quality is a little better feel of the songs will be able to hear sound, the pot should be better period of time, it is recommended to buy!")</f>
        <v>As good as high cost and imagination! Sound quality is a little better feel of the songs will be able to hear sound, the pot should be better period of time, it is recommended to buy!</v>
      </c>
    </row>
    <row r="11387">
      <c r="A11387" s="1">
        <v>5.0</v>
      </c>
      <c r="B11387" s="1" t="s">
        <v>11294</v>
      </c>
      <c r="C11387" t="str">
        <f>IFERROR(__xludf.DUMMYFUNCTION("GOOGLETRANSLATE(B11387, ""zh"", ""en"")"),"Waist accurate, but long pants seemed to take longer than others to buy some pants. Through most comfortable jeans, fabric is quite soft, flexible, more relaxed, is what I want. Waist accurate, but long pants seemed to take longer than others to buy some "&amp;"pants.")</f>
        <v>Waist accurate, but long pants seemed to take longer than others to buy some pants. Through most comfortable jeans, fabric is quite soft, flexible, more relaxed, is what I want. Waist accurate, but long pants seemed to take longer than others to buy some pants.</v>
      </c>
    </row>
    <row r="11388">
      <c r="A11388" s="1">
        <v>5.0</v>
      </c>
      <c r="B11388" s="1" t="s">
        <v>11295</v>
      </c>
      <c r="C11388" t="str">
        <f>IFERROR(__xludf.DUMMYFUNCTION("GOOGLETRANSLATE(B11388, ""zh"", ""en"")"),"very good")</f>
        <v>very good</v>
      </c>
    </row>
    <row r="11389">
      <c r="A11389" s="1">
        <v>5.0</v>
      </c>
      <c r="B11389" s="1" t="s">
        <v>11296</v>
      </c>
      <c r="C11389" t="str">
        <f>IFERROR(__xludf.DUMMYFUNCTION("GOOGLETRANSLATE(B11389, ""zh"", ""en"")"),"Hat looks good on a hot day is very comfortable with the point of cover fast enough. Overall not bad for the doll with adults with a point like a monkey dome light!")</f>
        <v>Hat looks good on a hot day is very comfortable with the point of cover fast enough. Overall not bad for the doll with adults with a point like a monkey dome light!</v>
      </c>
    </row>
    <row r="11390">
      <c r="A11390" s="1">
        <v>5.0</v>
      </c>
      <c r="B11390" s="1" t="s">
        <v>11297</v>
      </c>
      <c r="C11390" t="str">
        <f>IFERROR(__xludf.DUMMYFUNCTION("GOOGLETRANSLATE(B11390, ""zh"", ""en"")"),"DT880 250 in addition to work a little cottage outside Europe. Others are still possible.")</f>
        <v>DT880 250 in addition to work a little cottage outside Europe. Others are still possible.</v>
      </c>
    </row>
    <row r="11391">
      <c r="A11391" s="1">
        <v>5.0</v>
      </c>
      <c r="B11391" s="1" t="s">
        <v>11298</v>
      </c>
      <c r="C11391" t="str">
        <f>IFERROR(__xludf.DUMMYFUNCTION("GOOGLETRANSLATE(B11391, ""zh"", ""en"")"),"How to properly operate and use. Like the Citizen solar energy products, there is a ** original mechanical watches, it is necessary for a few days or less, no light of peace of mind.")</f>
        <v>How to properly operate and use. Like the Citizen solar energy products, there is a ** original mechanical watches, it is necessary for a few days or less, no light of peace of mind.</v>
      </c>
    </row>
    <row r="11392">
      <c r="A11392" s="1">
        <v>5.0</v>
      </c>
      <c r="B11392" s="1" t="s">
        <v>11299</v>
      </c>
      <c r="C11392" t="str">
        <f>IFERROR(__xludf.DUMMYFUNCTION("GOOGLETRANSLATE(B11392, ""zh"", ""en"")"),"Heel and toe are said to support soft leather boots, in fact, there is support, it will wear heels, wear has been two days, okay right foot, left foot grind the medial ankle and heel, because the shoes partial big, my feet long 25.5 to buy the size is 8.5"&amp;"W, so the toe is not the top. Width can be, do not squeeze the foot. I do not know how long the job running. The main problem lies with the heel support. Domestic work does not as good, but also it. Today, to the northeast, report back. Back, the Northeas"&amp;"t is not very cold, this shoe warm enough, and I say something, I 25.5 feet long, slightly larger than the yardage a little, just right")</f>
        <v>Heel and toe are said to support soft leather boots, in fact, there is support, it will wear heels, wear has been two days, okay right foot, left foot grind the medial ankle and heel, because the shoes partial big, my feet long 25.5 to buy the size is 8.5W, so the toe is not the top. Width can be, do not squeeze the foot. I do not know how long the job running. The main problem lies with the heel support. Domestic work does not as good, but also it. Today, to the northeast, report back. Back, the Northeast is not very cold, this shoe warm enough, and I say something, I 25.5 feet long, slightly larger than the yardage a little, just right</v>
      </c>
    </row>
    <row r="11393">
      <c r="A11393" s="1">
        <v>5.0</v>
      </c>
      <c r="B11393" s="1" t="s">
        <v>11300</v>
      </c>
      <c r="C11393" t="str">
        <f>IFERROR(__xludf.DUMMYFUNCTION("GOOGLETRANSLATE(B11393, ""zh"", ""en"")"),"The price is too appropriate to engage in activities to buy very cheap")</f>
        <v>The price is too appropriate to engage in activities to buy very cheap</v>
      </c>
    </row>
    <row r="11394">
      <c r="A11394" s="1">
        <v>5.0</v>
      </c>
      <c r="B11394" s="1" t="s">
        <v>11301</v>
      </c>
      <c r="C11394" t="str">
        <f>IFERROR(__xludf.DUMMYFUNCTION("GOOGLETRANSLATE(B11394, ""zh"", ""en"")"),"Boots size slightly smaller size is slightly smaller, beat most of the code or one yard, usually wear 38 this time because it took only 39, just a little loose stockings, socks on the right, it is matte leather, the sole is relatively lightweight, stockpi"&amp;"le the autumn and winter wear")</f>
        <v>Boots size slightly smaller size is slightly smaller, beat most of the code or one yard, usually wear 38 this time because it took only 39, just a little loose stockings, socks on the right, it is matte leather, the sole is relatively lightweight, stockpile the autumn and winter wear</v>
      </c>
    </row>
    <row r="11395">
      <c r="A11395" s="1">
        <v>5.0</v>
      </c>
      <c r="B11395" s="1" t="s">
        <v>11302</v>
      </c>
      <c r="C11395" t="str">
        <f>IFERROR(__xludf.DUMMYFUNCTION("GOOGLETRANSLATE(B11395, ""zh"", ""en"")"),"Cheap tax package 120 hand a good color quality is also good to give as gifts very good hand 120")</f>
        <v>Cheap tax package 120 hand a good color quality is also good to give as gifts very good hand 120</v>
      </c>
    </row>
    <row r="11396">
      <c r="A11396" s="1">
        <v>5.0</v>
      </c>
      <c r="B11396" s="1" t="s">
        <v>11303</v>
      </c>
      <c r="C11396" t="str">
        <f>IFERROR(__xludf.DUMMYFUNCTION("GOOGLETRANSLATE(B11396, ""zh"", ""en"")"),"Very good health care is very good, very good health care products, has been used for many years")</f>
        <v>Very good health care is very good, very good health care products, has been used for many years</v>
      </c>
    </row>
    <row r="11397">
      <c r="A11397" s="1">
        <v>5.0</v>
      </c>
      <c r="B11397" s="1" t="s">
        <v>11304</v>
      </c>
      <c r="C11397" t="str">
        <f>IFERROR(__xludf.DUMMYFUNCTION("GOOGLETRANSLATE(B11397, ""zh"", ""en"")"),"Comfortable, the right size 165cm 58kg Msize appropriate, L can be estimated comfortable cotton")</f>
        <v>Comfortable, the right size 165cm 58kg Msize appropriate, L can be estimated comfortable cotton</v>
      </c>
    </row>
    <row r="11398">
      <c r="A11398" s="1">
        <v>5.0</v>
      </c>
      <c r="B11398" s="1" t="s">
        <v>11305</v>
      </c>
      <c r="C11398" t="str">
        <f>IFERROR(__xludf.DUMMYFUNCTION("GOOGLETRANSLATE(B11398, ""zh"", ""en"")"),"Inexpensive, inexpensive imported products be assured to eat, eat at ease imported products")</f>
        <v>Inexpensive, inexpensive imported products be assured to eat, eat at ease imported products</v>
      </c>
    </row>
    <row r="11399">
      <c r="A11399" s="1">
        <v>5.0</v>
      </c>
      <c r="B11399" s="1" t="s">
        <v>11306</v>
      </c>
      <c r="C11399" t="str">
        <f>IFERROR(__xludf.DUMMYFUNCTION("GOOGLETRANSLATE(B11399, ""zh"", ""en"")"),"Worth having a good product, we have been in use")</f>
        <v>Worth having a good product, we have been in use</v>
      </c>
    </row>
    <row r="11400">
      <c r="A11400" s="1">
        <v>5.0</v>
      </c>
      <c r="B11400" s="1" t="s">
        <v>11307</v>
      </c>
      <c r="C11400" t="str">
        <f>IFERROR(__xludf.DUMMYFUNCTION("GOOGLETRANSLATE(B11400, ""zh"", ""en"")"),"Authentic, comfortable, Asia recommended that this bit biased small one yard long. European code, Asians wear slightly larger, next time to buy a smaller size. Material is very good, cost-effective, genuine.")</f>
        <v>Authentic, comfortable, Asia recommended that this bit biased small one yard long. European code, Asians wear slightly larger, next time to buy a smaller size. Material is very good, cost-effective, genuine.</v>
      </c>
    </row>
    <row r="11401">
      <c r="A11401" s="1">
        <v>5.0</v>
      </c>
      <c r="B11401" s="1" t="s">
        <v>11308</v>
      </c>
      <c r="C11401" t="str">
        <f>IFERROR(__xludf.DUMMYFUNCTION("GOOGLETRANSLATE(B11401, ""zh"", ""en"")"),"How can it super cute bottle colleagues like to buy a bottle of very cute!")</f>
        <v>How can it super cute bottle colleagues like to buy a bottle of very cute!</v>
      </c>
    </row>
    <row r="11402">
      <c r="A11402" s="1">
        <v>5.0</v>
      </c>
      <c r="B11402" s="1" t="s">
        <v>11309</v>
      </c>
      <c r="C11402" t="str">
        <f>IFERROR(__xludf.DUMMYFUNCTION("GOOGLETRANSLATE(B11402, ""zh"", ""en"")"),"not bad. Taste great taste much lighter than any other brand of. I like the taste")</f>
        <v>not bad. Taste great taste much lighter than any other brand of. I like the taste</v>
      </c>
    </row>
    <row r="11403">
      <c r="A11403" s="1">
        <v>5.0</v>
      </c>
      <c r="B11403" s="1" t="s">
        <v>11310</v>
      </c>
      <c r="C11403" t="str">
        <f>IFERROR(__xludf.DUMMYFUNCTION("GOOGLETRANSLATE(B11403, ""zh"", ""en"")"),"value! The first time my wife bought ECCO shoes, the shoes a little big points. But she liked, and he bought with the money just right")</f>
        <v>value! The first time my wife bought ECCO shoes, the shoes a little big points. But she liked, and he bought with the money just right</v>
      </c>
    </row>
    <row r="11404">
      <c r="A11404" s="1">
        <v>2.0</v>
      </c>
      <c r="B11404" s="1" t="s">
        <v>11311</v>
      </c>
      <c r="C11404" t="str">
        <f>IFERROR(__xludf.DUMMYFUNCTION("GOOGLETRANSLATE(B11404, ""zh"", ""en"")"),"Ultra-thin models, size large feel good, can be attached to wearing, the problem is not generally large size, 175cm if not fat enough M code, L code a little fat up, unfortunately, I bought the XL, baggy in the body, it is estimated to wear XL, then get a"&amp;"t least 150kg ......")</f>
        <v>Ultra-thin models, size large feel good, can be attached to wearing, the problem is not generally large size, 175cm if not fat enough M code, L code a little fat up, unfortunately, I bought the XL, baggy in the body, it is estimated to wear XL, then get at least 150kg ......</v>
      </c>
    </row>
    <row r="11405">
      <c r="A11405" s="1">
        <v>3.0</v>
      </c>
      <c r="B11405" s="1" t="s">
        <v>11312</v>
      </c>
      <c r="C11405" t="str">
        <f>IFERROR(__xludf.DUMMYFUNCTION("GOOGLETRANSLATE(B11405, ""zh"", ""en"")"),"Poor quality, the quality of street vendors. Fade, dregs, with the former to buy underwear is not a grade.")</f>
        <v>Poor quality, the quality of street vendors. Fade, dregs, with the former to buy underwear is not a grade.</v>
      </c>
    </row>
    <row r="11406">
      <c r="A11406" s="1">
        <v>1.0</v>
      </c>
      <c r="B11406" s="1" t="s">
        <v>11313</v>
      </c>
      <c r="C11406" t="str">
        <f>IFERROR(__xludf.DUMMYFUNCTION("GOOGLETRANSLATE(B11406, ""zh"", ""en"")"),"TIMEX things waited ten days finally arrived, found only watches with luminous hands and no electricity do not know why")</f>
        <v>TIMEX things waited ten days finally arrived, found only watches with luminous hands and no electricity do not know why</v>
      </c>
    </row>
    <row r="11407">
      <c r="A11407" s="1">
        <v>1.0</v>
      </c>
      <c r="B11407" s="1" t="s">
        <v>11314</v>
      </c>
      <c r="C11407" t="str">
        <f>IFERROR(__xludf.DUMMYFUNCTION("GOOGLETRANSLATE(B11407, ""zh"", ""en"")"),"Estimated suspected fake fake because there is no state line easy to use, you do not buy")</f>
        <v>Estimated suspected fake fake because there is no state line easy to use, you do not buy</v>
      </c>
    </row>
    <row r="11408">
      <c r="A11408" s="1">
        <v>1.0</v>
      </c>
      <c r="B11408" s="1" t="s">
        <v>11315</v>
      </c>
      <c r="C11408" t="str">
        <f>IFERROR(__xludf.DUMMYFUNCTION("GOOGLETRANSLATE(B11408, ""zh"", ""en"")"),"Too long, too long, given away, and clearly identifies the size or Mom")</f>
        <v>Too long, too long, given away, and clearly identifies the size or Mom</v>
      </c>
    </row>
    <row r="11409">
      <c r="A11409" s="1">
        <v>4.0</v>
      </c>
      <c r="B11409" s="1" t="s">
        <v>11316</v>
      </c>
      <c r="C11409" t="str">
        <f>IFERROR(__xludf.DUMMYFUNCTION("GOOGLETRANSLATE(B11409, ""zh"", ""en"")"),"Off-line actually has a right off-line")</f>
        <v>Off-line actually has a right off-line</v>
      </c>
    </row>
    <row r="11410">
      <c r="A11410" s="1">
        <v>4.0</v>
      </c>
      <c r="B11410" s="1" t="s">
        <v>11317</v>
      </c>
      <c r="C11410" t="str">
        <f>IFERROR(__xludf.DUMMYFUNCTION("GOOGLETRANSLATE(B11410, ""zh"", ""en"")"),"My stomach is very stimulating effect on the joints did not find it really good, but there are very strong stimulus to my stomach, after serving five hours after the start bloating, bowel. A normal stop immediately, and did not dare to eat a box")</f>
        <v>My stomach is very stimulating effect on the joints did not find it really good, but there are very strong stimulus to my stomach, after serving five hours after the start bloating, bowel. A normal stop immediately, and did not dare to eat a box</v>
      </c>
    </row>
    <row r="11411">
      <c r="A11411" s="1">
        <v>4.0</v>
      </c>
      <c r="B11411" s="1" t="s">
        <v>11318</v>
      </c>
      <c r="C11411" t="str">
        <f>IFERROR(__xludf.DUMMYFUNCTION("GOOGLETRANSLATE(B11411, ""zh"", ""en"")"),"Comfortable shoe to wear very comfortable, more comfortable running.")</f>
        <v>Comfortable shoe to wear very comfortable, more comfortable running.</v>
      </c>
    </row>
    <row r="11412">
      <c r="A11412" s="1">
        <v>4.0</v>
      </c>
      <c r="B11412" s="1" t="s">
        <v>11319</v>
      </c>
      <c r="C11412" t="str">
        <f>IFERROR(__xludf.DUMMYFUNCTION("GOOGLETRANSLATE(B11412, ""zh"", ""en"")"),"Starting a week feeling with the next one week to evaluate. First, good battery life 10 hours with no problems, weight is right, the sound quality from the first day of the week heard a significant change, listening to voices or can, feeling better than s"&amp;"ome of JBL's ua. Stethoscope drawback is very serious, very unbearable. Bass is not enough, and wired Sennheiser immeasurably. After the hope would be better to burn for a long time?")</f>
        <v>Starting a week feeling with the next one week to evaluate. First, good battery life 10 hours with no problems, weight is right, the sound quality from the first day of the week heard a significant change, listening to voices or can, feeling better than some of JBL's ua. Stethoscope drawback is very serious, very unbearable. Bass is not enough, and wired Sennheiser immeasurably. After the hope would be better to burn for a long time?</v>
      </c>
    </row>
    <row r="11413">
      <c r="A11413" s="1">
        <v>4.0</v>
      </c>
      <c r="B11413" s="1" t="s">
        <v>11320</v>
      </c>
      <c r="C11413" t="str">
        <f>IFERROR(__xludf.DUMMYFUNCTION("GOOGLETRANSLATE(B11413, ""zh"", ""en"")"),"Shoes slender feet 38, but are counter to clarks 37.5. So chose 4.5UK, the right size. Shoes lanky, loose front does not, Pei-ling do it. Update, just received the goods to drop 30 dollars, 😓")</f>
        <v>Shoes slender feet 38, but are counter to clarks 37.5. So chose 4.5UK, the right size. Shoes lanky, loose front does not, Pei-ling do it. Update, just received the goods to drop 30 dollars, 😓</v>
      </c>
    </row>
    <row r="11414">
      <c r="A11414" s="1">
        <v>5.0</v>
      </c>
      <c r="B11414" s="1" t="s">
        <v>11321</v>
      </c>
      <c r="C11414" t="str">
        <f>IFERROR(__xludf.DUMMYFUNCTION("GOOGLETRANSLATE(B11414, ""zh"", ""en"")"),"The price is right insulation effect is lighter insulation effect good the price is right lighter")</f>
        <v>The price is right insulation effect is lighter insulation effect good the price is right lighter</v>
      </c>
    </row>
    <row r="11415">
      <c r="A11415" s="1">
        <v>5.0</v>
      </c>
      <c r="B11415" s="1" t="s">
        <v>11322</v>
      </c>
      <c r="C11415" t="str">
        <f>IFERROR(__xludf.DUMMYFUNCTION("GOOGLETRANSLATE(B11415, ""zh"", ""en"")"),"Shoes of good quality, but relatively small usual small one yard, you can replace a large size or return")</f>
        <v>Shoes of good quality, but relatively small usual small one yard, you can replace a large size or return</v>
      </c>
    </row>
    <row r="11416">
      <c r="A11416" s="1">
        <v>5.0</v>
      </c>
      <c r="B11416" s="1" t="s">
        <v>11323</v>
      </c>
      <c r="C11416" t="str">
        <f>IFERROR(__xludf.DUMMYFUNCTION("GOOGLETRANSLATE(B11416, ""zh"", ""en"")"),"Quality is like, recommended to buy. very good! Very heavy, very good texture, decoration to the parents to buy, really good, very satisfied with the old couple, and the price is very favorable, very happy shopping! Strongly recommended to buy this. In th"&amp;"e Amazon shopping for many years, quality assured, there are many activities, really like! The key is still very convenient, very good! Previously also carry back from abroad, and later find purchasing, order now directly on the phone, much more convenien"&amp;"t!")</f>
        <v>Quality is like, recommended to buy. very good! Very heavy, very good texture, decoration to the parents to buy, really good, very satisfied with the old couple, and the price is very favorable, very happy shopping! Strongly recommended to buy this. In the Amazon shopping for many years, quality assured, there are many activities, really like! The key is still very convenient, very good! Previously also carry back from abroad, and later find purchasing, order now directly on the phone, much more convenient!</v>
      </c>
    </row>
    <row r="11417">
      <c r="A11417" s="1">
        <v>5.0</v>
      </c>
      <c r="B11417" s="1" t="s">
        <v>11324</v>
      </c>
      <c r="C11417" t="str">
        <f>IFERROR(__xludf.DUMMYFUNCTION("GOOGLETRANSLATE(B11417, ""zh"", ""en"")"),"Excellent quality unequivocal value baby listen to great symphonic cool burst of preparation, imaging is very clear. In particular, the double bass to make the air feel goose bumps. There is no doubt, because the chilled resolution, grainy voice too heavy"&amp;", feeling cold, affect the sense of hearing, but anyway still excellent quality, full value for money, and I think their current equipment on hand is not fully developed its potential.")</f>
        <v>Excellent quality unequivocal value baby listen to great symphonic cool burst of preparation, imaging is very clear. In particular, the double bass to make the air feel goose bumps. There is no doubt, because the chilled resolution, grainy voice too heavy, feeling cold, affect the sense of hearing, but anyway still excellent quality, full value for money, and I think their current equipment on hand is not fully developed its potential.</v>
      </c>
    </row>
    <row r="11418">
      <c r="A11418" s="1">
        <v>5.0</v>
      </c>
      <c r="B11418" s="1" t="s">
        <v>11325</v>
      </c>
      <c r="C11418" t="str">
        <f>IFERROR(__xludf.DUMMYFUNCTION("GOOGLETRANSLATE(B11418, ""zh"", ""en"")"),"Looking hat around and finally bought a hat I can take it! Workmanship and style are good, value for money")</f>
        <v>Looking hat around and finally bought a hat I can take it! Workmanship and style are good, value for money</v>
      </c>
    </row>
    <row r="11419">
      <c r="A11419" s="1">
        <v>5.0</v>
      </c>
      <c r="B11419" s="1" t="s">
        <v>11326</v>
      </c>
      <c r="C11419" t="str">
        <f>IFERROR(__xludf.DUMMYFUNCTION("GOOGLETRANSLATE(B11419, ""zh"", ""en"")"),"Worth the wait very nice, atmospheric color, very comfortable to wear")</f>
        <v>Worth the wait very nice, atmospheric color, very comfortable to wear</v>
      </c>
    </row>
    <row r="11420">
      <c r="A11420" s="1">
        <v>5.0</v>
      </c>
      <c r="B11420" s="1" t="s">
        <v>11327</v>
      </c>
      <c r="C11420" t="str">
        <f>IFERROR(__xludf.DUMMYFUNCTION("GOOGLETRANSLATE(B11420, ""zh"", ""en"")"),"Need Chinese manual liked this eggbeater, enough power, simple operation, like 👍")</f>
        <v>Need Chinese manual liked this eggbeater, enough power, simple operation, like 👍</v>
      </c>
    </row>
    <row r="11421">
      <c r="A11421" s="1">
        <v>5.0</v>
      </c>
      <c r="B11421" s="1" t="s">
        <v>11328</v>
      </c>
      <c r="C11421" t="str">
        <f>IFERROR(__xludf.DUMMYFUNCTION("GOOGLETRANSLATE(B11421, ""zh"", ""en"")"),"ck has always been good to buy a shirt ck general election no problem")</f>
        <v>ck has always been good to buy a shirt ck general election no problem</v>
      </c>
    </row>
    <row r="11422">
      <c r="A11422" s="1">
        <v>5.0</v>
      </c>
      <c r="B11422" s="1" t="s">
        <v>11329</v>
      </c>
      <c r="C11422" t="str">
        <f>IFERROR(__xludf.DUMMYFUNCTION("GOOGLETRANSLATE(B11422, ""zh"", ""en"")"),"Satisfaction is really good, is the size is too large")</f>
        <v>Satisfaction is really good, is the size is too large</v>
      </c>
    </row>
    <row r="11423">
      <c r="A11423" s="1">
        <v>5.0</v>
      </c>
      <c r="B11423" s="1" t="s">
        <v>11330</v>
      </c>
      <c r="C11423" t="str">
        <f>IFERROR(__xludf.DUMMYFUNCTION("GOOGLETRANSLATE(B11423, ""zh"", ""en"")"),"Color dazzling color is very gas show, like, buy a good deal ck underwear in the Amazon")</f>
        <v>Color dazzling color is very gas show, like, buy a good deal ck underwear in the Amazon</v>
      </c>
    </row>
    <row r="11424">
      <c r="A11424" s="1">
        <v>5.0</v>
      </c>
      <c r="B11424" s="1" t="s">
        <v>11331</v>
      </c>
      <c r="C11424" t="str">
        <f>IFERROR(__xludf.DUMMYFUNCTION("GOOGLETRANSLATE(B11424, ""zh"", ""en"")"),"Good wearing the right size, very comfortable, the price is very affordable, fun!")</f>
        <v>Good wearing the right size, very comfortable, the price is very affordable, fun!</v>
      </c>
    </row>
    <row r="11425">
      <c r="A11425" s="1">
        <v>5.0</v>
      </c>
      <c r="B11425" s="1" t="s">
        <v>11332</v>
      </c>
      <c r="C11425" t="str">
        <f>IFERROR(__xludf.DUMMYFUNCTION("GOOGLETRANSLATE(B11425, ""zh"", ""en"")"),"Darker than the picture kind of a lot of dark colors")</f>
        <v>Darker than the picture kind of a lot of dark colors</v>
      </c>
    </row>
    <row r="11426">
      <c r="A11426" s="1">
        <v>5.0</v>
      </c>
      <c r="B11426" s="1" t="s">
        <v>11333</v>
      </c>
      <c r="C11426" t="str">
        <f>IFERROR(__xludf.DUMMYFUNCTION("GOOGLETRANSLATE(B11426, ""zh"", ""en"")"),"Packaging intact so far away also shipped over the packaging intact, also lacks a good pick not, that is, good! !")</f>
        <v>Packaging intact so far away also shipped over the packaging intact, also lacks a good pick not, that is, good! !</v>
      </c>
    </row>
    <row r="11427">
      <c r="A11427" s="1">
        <v>5.0</v>
      </c>
      <c r="B11427" s="1" t="s">
        <v>11334</v>
      </c>
      <c r="C11427" t="str">
        <f>IFERROR(__xludf.DUMMYFUNCTION("GOOGLETRANSLATE(B11427, ""zh"", ""en"")"),"Overall satisfaction dial no protection, but transport packaging is good, is not affected. The metal bottom plate portion and the dirty had a flaw, it is necessary to clean. Table overall is still good, very satisfied. Expect usage can be satisfied.")</f>
        <v>Overall satisfaction dial no protection, but transport packaging is good, is not affected. The metal bottom plate portion and the dirty had a flaw, it is necessary to clean. Table overall is still good, very satisfied. Expect usage can be satisfied.</v>
      </c>
    </row>
    <row r="11428">
      <c r="A11428" s="1">
        <v>5.0</v>
      </c>
      <c r="B11428" s="1" t="s">
        <v>11335</v>
      </c>
      <c r="C11428" t="str">
        <f>IFERROR(__xludf.DUMMYFUNCTION("GOOGLETRANSLATE(B11428, ""zh"", ""en"")"),"I particularly like to receive the perfect, delicate cortex, the version is good-looking, slightly larger than 38 feet can wear thin wool socks. Chelsea may models are too large, I usually just clark is UK5. The key 300 price too good. Followed by a few m"&amp;"onths to wear crooked grind distressed, and other activities have to buy another pair.")</f>
        <v>I particularly like to receive the perfect, delicate cortex, the version is good-looking, slightly larger than 38 feet can wear thin wool socks. Chelsea may models are too large, I usually just clark is UK5. The key 300 price too good. Followed by a few months to wear crooked grind distressed, and other activities have to buy another pair.</v>
      </c>
    </row>
    <row r="11429">
      <c r="A11429" s="1">
        <v>5.0</v>
      </c>
      <c r="B11429" s="1" t="s">
        <v>11336</v>
      </c>
      <c r="C11429" t="str">
        <f>IFERROR(__xludf.DUMMYFUNCTION("GOOGLETRANSLATE(B11429, ""zh"", ""en"")"),"Satisfaction very comfortable to wear, the Japanese do really good bra")</f>
        <v>Satisfaction very comfortable to wear, the Japanese do really good bra</v>
      </c>
    </row>
    <row r="11430">
      <c r="A11430" s="1">
        <v>5.0</v>
      </c>
      <c r="B11430" s="1" t="s">
        <v>11337</v>
      </c>
      <c r="C11430" t="str">
        <f>IFERROR(__xludf.DUMMYFUNCTION("GOOGLETRANSLATE(B11430, ""zh"", ""en"")"),"Very satisfied with the shoes the best price can buy!")</f>
        <v>Very satisfied with the shoes the best price can buy!</v>
      </c>
    </row>
    <row r="11431">
      <c r="A11431" s="1">
        <v>5.0</v>
      </c>
      <c r="B11431" s="1" t="s">
        <v>11338</v>
      </c>
      <c r="C11431" t="str">
        <f>IFERROR(__xludf.DUMMYFUNCTION("GOOGLETRANSLATE(B11431, ""zh"", ""en"")"),"The right size, quality is also very good. In addition to shipping expensive, long time, the other is good. What should be a positive level, very good.")</f>
        <v>The right size, quality is also very good. In addition to shipping expensive, long time, the other is good. What should be a positive level, very good.</v>
      </c>
    </row>
    <row r="11432">
      <c r="A11432" s="1">
        <v>5.0</v>
      </c>
      <c r="B11432" s="1" t="s">
        <v>11339</v>
      </c>
      <c r="C11432" t="str">
        <f>IFERROR(__xludf.DUMMYFUNCTION("GOOGLETRANSLATE(B11432, ""zh"", ""en"")"),"Comfortable next to the skin was like, this brand has been bought five, and very different styles but comfortable")</f>
        <v>Comfortable next to the skin was like, this brand has been bought five, and very different styles but comfortable</v>
      </c>
    </row>
    <row r="11433">
      <c r="A11433" s="1">
        <v>5.0</v>
      </c>
      <c r="B11433" s="1" t="s">
        <v>11340</v>
      </c>
      <c r="C11433" t="str">
        <f>IFERROR(__xludf.DUMMYFUNCTION("GOOGLETRANSLATE(B11433, ""zh"", ""en"")"),"Surprise out of water than you can imagine, the feeling is a pleasure showers.")</f>
        <v>Surprise out of water than you can imagine, the feeling is a pleasure showers.</v>
      </c>
    </row>
    <row r="11434">
      <c r="A11434" s="1">
        <v>5.0</v>
      </c>
      <c r="B11434" s="1" t="s">
        <v>11341</v>
      </c>
      <c r="C11434" t="str">
        <f>IFERROR(__xludf.DUMMYFUNCTION("GOOGLETRANSLATE(B11434, ""zh"", ""en"")"),"Very good headphones a lot cheaper than the state line, the machine is brand new, just getting the sound I thought to buy a fake. . After listening to a week lamented Sony Dafa is good! !")</f>
        <v>Very good headphones a lot cheaper than the state line, the machine is brand new, just getting the sound I thought to buy a fake. . After listening to a week lamented Sony Dafa is good! !</v>
      </c>
    </row>
    <row r="11435">
      <c r="A11435" s="1">
        <v>5.0</v>
      </c>
      <c r="B11435" s="1" t="s">
        <v>11342</v>
      </c>
      <c r="C11435" t="str">
        <f>IFERROR(__xludf.DUMMYFUNCTION("GOOGLETRANSLATE(B11435, ""zh"", ""en"")"),"Good Good ~ ~ ~ materials may be materials ~ ~ Good")</f>
        <v>Good Good ~ ~ ~ materials may be materials ~ ~ Good</v>
      </c>
    </row>
    <row r="11436">
      <c r="A11436" s="1">
        <v>2.0</v>
      </c>
      <c r="B11436" s="1" t="s">
        <v>11343</v>
      </c>
      <c r="C11436" t="str">
        <f>IFERROR(__xludf.DUMMYFUNCTION("GOOGLETRANSLATE(B11436, ""zh"", ""en"")"),"No pen is very thick, carefully")</f>
        <v>No pen is very thick, carefully</v>
      </c>
    </row>
    <row r="11437">
      <c r="A11437" s="1">
        <v>3.0</v>
      </c>
      <c r="B11437" s="1" t="s">
        <v>11344</v>
      </c>
      <c r="C11437" t="str">
        <f>IFERROR(__xludf.DUMMYFUNCTION("GOOGLETRANSLATE(B11437, ""zh"", ""en"")"),"Where can I get Chinese to the instruction manual? No instructions in Chinese, does not know how to use")</f>
        <v>Where can I get Chinese to the instruction manual? No instructions in Chinese, does not know how to use</v>
      </c>
    </row>
    <row r="11438">
      <c r="A11438" s="1">
        <v>3.0</v>
      </c>
      <c r="B11438" s="1" t="s">
        <v>11345</v>
      </c>
      <c r="C11438" t="str">
        <f>IFERROR(__xludf.DUMMYFUNCTION("GOOGLETRANSLATE(B11438, ""zh"", ""en"")"),"Size too big size is too large, beyond my imagination at least to a smaller size for the job")</f>
        <v>Size too big size is too large, beyond my imagination at least to a smaller size for the job</v>
      </c>
    </row>
    <row r="11439">
      <c r="A11439" s="1">
        <v>3.0</v>
      </c>
      <c r="B11439" s="1" t="s">
        <v>11346</v>
      </c>
      <c r="C11439" t="str">
        <f>IFERROR(__xludf.DUMMYFUNCTION("GOOGLETRANSLATE(B11439, ""zh"", ""en"")"),"It is too short can not wear too short")</f>
        <v>It is too short can not wear too short</v>
      </c>
    </row>
    <row r="11440">
      <c r="A11440" s="1">
        <v>1.0</v>
      </c>
      <c r="B11440" s="1" t="s">
        <v>11347</v>
      </c>
      <c r="C11440" t="str">
        <f>IFERROR(__xludf.DUMMYFUNCTION("GOOGLETRANSLATE(B11440, ""zh"", ""en"")"),"Taste bought almost a year plus the hot water there is taste.")</f>
        <v>Taste bought almost a year plus the hot water there is taste.</v>
      </c>
    </row>
    <row r="11441">
      <c r="A11441" s="1">
        <v>1.0</v>
      </c>
      <c r="B11441" s="1" t="s">
        <v>11348</v>
      </c>
      <c r="C11441" t="str">
        <f>IFERROR(__xludf.DUMMYFUNCTION("GOOGLETRANSLATE(B11441, ""zh"", ""en"")"),"Although the effect is really good, but life is too short! ! ! ! Filtering effect is obvious, water TDS800 directly filtered into the vicinity of 000 but just over 10L water on to the TDS10 the photo instructions to 6 to change the words to buy purified w"&amp;"ater in the supermarket than you (pure water measured also TDS6 less) expensive, we can math")</f>
        <v>Although the effect is really good, but life is too short! ! ! ! Filtering effect is obvious, water TDS800 directly filtered into the vicinity of 000 but just over 10L water on to the TDS10 the photo instructions to 6 to change the words to buy purified water in the supermarket than you (pure water measured also TDS6 less) expensive, we can math</v>
      </c>
    </row>
    <row r="11442">
      <c r="A11442" s="1">
        <v>1.0</v>
      </c>
      <c r="B11442" s="1" t="s">
        <v>11349</v>
      </c>
      <c r="C11442" t="str">
        <f>IFERROR(__xludf.DUMMYFUNCTION("GOOGLETRANSLATE(B11442, ""zh"", ""en"")"),"A very good experience actually get our hands is bad, the packaging has been unsightly, I really do not know the way to withstand the ravages of courier or born with defects. Now in return")</f>
        <v>A very good experience actually get our hands is bad, the packaging has been unsightly, I really do not know the way to withstand the ravages of courier or born with defects. Now in return</v>
      </c>
    </row>
    <row r="11443">
      <c r="A11443" s="1">
        <v>4.0</v>
      </c>
      <c r="B11443" s="1" t="s">
        <v>11350</v>
      </c>
      <c r="C11443" t="str">
        <f>IFERROR(__xludf.DUMMYFUNCTION("GOOGLETRANSLATE(B11443, ""zh"", ""en"")"),"Lu wearing tight clothing leaking out traces of the")</f>
        <v>Lu wearing tight clothing leaking out traces of the</v>
      </c>
    </row>
    <row r="11444">
      <c r="A11444" s="1">
        <v>4.0</v>
      </c>
      <c r="B11444" s="1" t="s">
        <v>11351</v>
      </c>
      <c r="C11444" t="str">
        <f>IFERROR(__xludf.DUMMYFUNCTION("GOOGLETRANSLATE(B11444, ""zh"", ""en"")"),"The use of unarmed breaking bad na ~ ~ ~ very interesting encounter know what people can chat for a while, very good, strong stability. However, in 15 days time difference from the purchase of at least one year when I was breaking bad hand. I should have "&amp;"the effect of a recent fitness ~ ~ ~ so give 4 points")</f>
        <v>The use of unarmed breaking bad na ~ ~ ~ very interesting encounter know what people can chat for a while, very good, strong stability. However, in 15 days time difference from the purchase of at least one year when I was breaking bad hand. I should have the effect of a recent fitness ~ ~ ~ so give 4 points</v>
      </c>
    </row>
    <row r="11445">
      <c r="A11445" s="1">
        <v>4.0</v>
      </c>
      <c r="B11445" s="1" t="s">
        <v>11352</v>
      </c>
      <c r="C11445" t="str">
        <f>IFERROR(__xludf.DUMMYFUNCTION("GOOGLETRANSLATE(B11445, ""zh"", ""en"")"),"Fast delivery, the price is right, good performance, networking software can not be shipped overseas pretty fast, hard disk performance is good, can read and write to 200MB / s. That comes with the discovery of the inner disk can not install networking so"&amp;"ftware can not be too pit, or the official website under a security software used with good")</f>
        <v>Fast delivery, the price is right, good performance, networking software can not be shipped overseas pretty fast, hard disk performance is good, can read and write to 200MB / s. That comes with the discovery of the inner disk can not install networking software can not be too pit, or the official website under a security software used with good</v>
      </c>
    </row>
    <row r="11446">
      <c r="A11446" s="1">
        <v>4.0</v>
      </c>
      <c r="B11446" s="1" t="s">
        <v>10419</v>
      </c>
      <c r="C11446" t="str">
        <f>IFERROR(__xludf.DUMMYFUNCTION("GOOGLETRANSLATE(B11446, ""zh"", ""en"")"),"Clothes fabric is very soft and comfortable clothes soft and comfortable to wear, the only feeling inadequate is very tight sleeves, belonging to Slim version of model, with a waist")</f>
        <v>Clothes fabric is very soft and comfortable clothes soft and comfortable to wear, the only feeling inadequate is very tight sleeves, belonging to Slim version of model, with a waist</v>
      </c>
    </row>
    <row r="11447">
      <c r="A11447" s="1">
        <v>5.0</v>
      </c>
      <c r="B11447" s="1" t="s">
        <v>11353</v>
      </c>
      <c r="C11447" t="str">
        <f>IFERROR(__xludf.DUMMYFUNCTION("GOOGLETRANSLATE(B11447, ""zh"", ""en"")"),"Vitamin candy began to eat, like qq sugar, fruit flavor. The next will come.")</f>
        <v>Vitamin candy began to eat, like qq sugar, fruit flavor. The next will come.</v>
      </c>
    </row>
    <row r="11448">
      <c r="A11448" s="1">
        <v>5.0</v>
      </c>
      <c r="B11448" s="1" t="s">
        <v>11354</v>
      </c>
      <c r="C11448" t="str">
        <f>IFERROR(__xludf.DUMMYFUNCTION("GOOGLETRANSLATE(B11448, ""zh"", ""en"")"),"underware pregnancy buy, but just too large. Catch up once, very good impression of the Amazon, also bought a lot of single, after a lot of attention, but now they buy a membership, hope they can bring happiness to his family through Amazon.")</f>
        <v>underware pregnancy buy, but just too large. Catch up once, very good impression of the Amazon, also bought a lot of single, after a lot of attention, but now they buy a membership, hope they can bring happiness to his family through Amazon.</v>
      </c>
    </row>
    <row r="11449">
      <c r="A11449" s="1">
        <v>5.0</v>
      </c>
      <c r="B11449" s="1" t="s">
        <v>11355</v>
      </c>
      <c r="C11449" t="str">
        <f>IFERROR(__xludf.DUMMYFUNCTION("GOOGLETRANSLATE(B11449, ""zh"", ""en"")"),"This mug is really good satisfaction, lightweight for words, though it is made in China but the quality of Leverage. The most important, very warm. With it, I can be like the elderly as health. Ha ha ha")</f>
        <v>This mug is really good satisfaction, lightweight for words, though it is made in China but the quality of Leverage. The most important, very warm. With it, I can be like the elderly as health. Ha ha ha</v>
      </c>
    </row>
    <row r="11450">
      <c r="A11450" s="1">
        <v>5.0</v>
      </c>
      <c r="B11450" s="1" t="s">
        <v>11356</v>
      </c>
      <c r="C11450" t="str">
        <f>IFERROR(__xludf.DUMMYFUNCTION("GOOGLETRANSLATE(B11450, ""zh"", ""en"")"),"Good good shoes.")</f>
        <v>Good good shoes.</v>
      </c>
    </row>
    <row r="11451">
      <c r="A11451" s="1">
        <v>5.0</v>
      </c>
      <c r="B11451" s="1" t="s">
        <v>11357</v>
      </c>
      <c r="C11451" t="str">
        <f>IFERROR(__xludf.DUMMYFUNCTION("GOOGLETRANSLATE(B11451, ""zh"", ""en"")"),"Three version comparison, value for money, this is the woman I am Amway long nano ion, before and after the buy three versions, a simple comparison below. A, 15 years in Japan purchased, made in Japan, model forget, because too close follow-up with the cl"&amp;"othes given away, the price is about the names of currency 1000 B, 16 years of production in Jingdong, Guangzhou, na30, half of the more than 2 million purchase special C, where the current version of the British buying, from Thailand, na65, about 1 more "&amp;"than 4, the order of sounds: A, C, B. Special mention is super-quiet A's, B's and Yasuo sound no different 2, softening effect: has played a role, but there is the length of time required. B section need only to feel a long time to sum up this function, i"&amp;"t is quite suitable for long hair goddess or head to comb back the boys, shiny hair will achieve results. But it takes a long fluffy hair still have to be carefully considered, a very docile. But my mother's mood is so repeatedly, you want do not want, wh"&amp;"y they bought the c version. C version to achieve the basic functions, but there is no perfect silence in Japan, so the price points slightly.")</f>
        <v>Three version comparison, value for money, this is the woman I am Amway long nano ion, before and after the buy three versions, a simple comparison below. A, 15 years in Japan purchased, made in Japan, model forget, because too close follow-up with the clothes given away, the price is about the names of currency 1000 B, 16 years of production in Jingdong, Guangzhou, na30, half of the more than 2 million purchase special C, where the current version of the British buying, from Thailand, na65, about 1 more than 4, the order of sounds: A, C, B. Special mention is super-quiet A's, B's and Yasuo sound no different 2, softening effect: has played a role, but there is the length of time required. B section need only to feel a long time to sum up this function, it is quite suitable for long hair goddess or head to comb back the boys, shiny hair will achieve results. But it takes a long fluffy hair still have to be carefully considered, a very docile. But my mother's mood is so repeatedly, you want do not want, why they bought the c version. C version to achieve the basic functions, but there is no perfect silence in Japan, so the price points slightly.</v>
      </c>
    </row>
    <row r="11452">
      <c r="A11452" s="1">
        <v>5.0</v>
      </c>
      <c r="B11452" s="1" t="s">
        <v>11358</v>
      </c>
      <c r="C11452" t="str">
        <f>IFERROR(__xludf.DUMMYFUNCTION("GOOGLETRANSLATE(B11452, ""zh"", ""en"")"),"Shoe quality, style are good, satisfactory. But ECCO shoe shoe larger than the domestic number one. Good quality shoes, style, colors are very satisfied checked the sole trademark written in natural rubber, the smell of new shoes that are not, this is ind"&amp;"eed worthy of praise points. But ECCO shoe insufficiency, small fancy shoe choice, and, before you buy the same brand of casual shoes, leather shoes, size comparison and buying, but larger than the domestic number one shoe, this shoe is the same, the same"&amp;" shoe size too large. So, buy this brand of shoes need to pay attention shoe size.")</f>
        <v>Shoe quality, style are good, satisfactory. But ECCO shoe shoe larger than the domestic number one. Good quality shoes, style, colors are very satisfied checked the sole trademark written in natural rubber, the smell of new shoes that are not, this is indeed worthy of praise points. But ECCO shoe insufficiency, small fancy shoe choice, and, before you buy the same brand of casual shoes, leather shoes, size comparison and buying, but larger than the domestic number one shoe, this shoe is the same, the same shoe size too large. So, buy this brand of shoes need to pay attention shoe size.</v>
      </c>
    </row>
    <row r="11453">
      <c r="A11453" s="1">
        <v>5.0</v>
      </c>
      <c r="B11453" s="1" t="s">
        <v>11359</v>
      </c>
      <c r="C11453" t="str">
        <f>IFERROR(__xludf.DUMMYFUNCTION("GOOGLETRANSLATE(B11453, ""zh"", ""en"")"),"Goods true and I bought in the US, it will come back later.")</f>
        <v>Goods true and I bought in the US, it will come back later.</v>
      </c>
    </row>
    <row r="11454">
      <c r="A11454" s="1">
        <v>5.0</v>
      </c>
      <c r="B11454" s="1" t="s">
        <v>11360</v>
      </c>
      <c r="C11454" t="str">
        <f>IFERROR(__xludf.DUMMYFUNCTION("GOOGLETRANSLATE(B11454, ""zh"", ""en"")"),"Fabric is thin, soft, normal size, put on feeling good")</f>
        <v>Fabric is thin, soft, normal size, put on feeling good</v>
      </c>
    </row>
    <row r="11455">
      <c r="A11455" s="1">
        <v>5.0</v>
      </c>
      <c r="B11455" s="1" t="s">
        <v>11361</v>
      </c>
      <c r="C11455" t="str">
        <f>IFERROR(__xludf.DUMMYFUNCTION("GOOGLETRANSLATE(B11455, ""zh"", ""en"")"),"Quality, good packaging materials are slightly soiled, the product itself is no problem, quality, materials are very good.")</f>
        <v>Quality, good packaging materials are slightly soiled, the product itself is no problem, quality, materials are very good.</v>
      </c>
    </row>
    <row r="11456">
      <c r="A11456" s="1">
        <v>5.0</v>
      </c>
      <c r="B11456" s="1" t="s">
        <v>11362</v>
      </c>
      <c r="C11456" t="str">
        <f>IFERROR(__xludf.DUMMYFUNCTION("GOOGLETRANSLATE(B11456, ""zh"", ""en"")"),"The price of shoes a little heavy, but very nice!")</f>
        <v>The price of shoes a little heavy, but very nice!</v>
      </c>
    </row>
    <row r="11457">
      <c r="A11457" s="1">
        <v>5.0</v>
      </c>
      <c r="B11457" s="1" t="s">
        <v>11363</v>
      </c>
      <c r="C11457" t="str">
        <f>IFERROR(__xludf.DUMMYFUNCTION("GOOGLETRANSLATE(B11457, ""zh"", ""en"")"),"Fabric is good, the price is right cotton, soft and very comfortable, direct mail ten days of arrival, or good, the price is more expensive than purchasing a little bit of it, but a little more at ease Direct overseas.")</f>
        <v>Fabric is good, the price is right cotton, soft and very comfortable, direct mail ten days of arrival, or good, the price is more expensive than purchasing a little bit of it, but a little more at ease Direct overseas.</v>
      </c>
    </row>
    <row r="11458">
      <c r="A11458" s="1">
        <v>5.0</v>
      </c>
      <c r="B11458" s="1" t="s">
        <v>11364</v>
      </c>
      <c r="C11458" t="str">
        <f>IFERROR(__xludf.DUMMYFUNCTION("GOOGLETRANSLATE(B11458, ""zh"", ""en"")"),"Good quality shoes good quality! Physical looks can be! Size is appropriate to buy a small one yards than sports shoes, my feet or so long 257mm, the final choice to buy this shoe 6 UK, just good, small, slightly loose, pad insole just one.")</f>
        <v>Good quality shoes good quality! Physical looks can be! Size is appropriate to buy a small one yards than sports shoes, my feet or so long 257mm, the final choice to buy this shoe 6 UK, just good, small, slightly loose, pad insole just one.</v>
      </c>
    </row>
    <row r="11459">
      <c r="A11459" s="1">
        <v>5.0</v>
      </c>
      <c r="B11459" s="1" t="s">
        <v>11365</v>
      </c>
      <c r="C11459" t="str">
        <f>IFERROR(__xludf.DUMMYFUNCTION("GOOGLETRANSLATE(B11459, ""zh"", ""en"")"),"Very good to buy Dad, Dad super satisfied! Likewise are pure cotton, made out of Japan really comfortable, and the workmanship is very fine, cheaper; people are often encountered manufacture our own goods they use why not do it more safe and comfortable!")</f>
        <v>Very good to buy Dad, Dad super satisfied! Likewise are pure cotton, made out of Japan really comfortable, and the workmanship is very fine, cheaper; people are often encountered manufacture our own goods they use why not do it more safe and comfortable!</v>
      </c>
    </row>
    <row r="11460">
      <c r="A11460" s="1">
        <v>5.0</v>
      </c>
      <c r="B11460" s="1" t="s">
        <v>11366</v>
      </c>
      <c r="C11460" t="str">
        <f>IFERROR(__xludf.DUMMYFUNCTION("GOOGLETRANSLATE(B11460, ""zh"", ""en"")"),"Quality line, thickness and thin. This code can! 183/70, wear this completely different okay.")</f>
        <v>Quality line, thickness and thin. This code can! 183/70, wear this completely different okay.</v>
      </c>
    </row>
    <row r="11461">
      <c r="A11461" s="1">
        <v>5.0</v>
      </c>
      <c r="B11461" s="1" t="s">
        <v>11367</v>
      </c>
      <c r="C11461" t="str">
        <f>IFERROR(__xludf.DUMMYFUNCTION("GOOGLETRANSLATE(B11461, ""zh"", ""en"")"),"Genuine very pretty, indeed genuine, I prefer this brand.")</f>
        <v>Genuine very pretty, indeed genuine, I prefer this brand.</v>
      </c>
    </row>
    <row r="11462">
      <c r="A11462" s="1">
        <v>5.0</v>
      </c>
      <c r="B11462" s="1" t="s">
        <v>11368</v>
      </c>
      <c r="C11462" t="str">
        <f>IFERROR(__xludf.DUMMYFUNCTION("GOOGLETRANSLATE(B11462, ""zh"", ""en"")"),"Good good quality and cheap price, it is like")</f>
        <v>Good good quality and cheap price, it is like</v>
      </c>
    </row>
    <row r="11463">
      <c r="A11463" s="1">
        <v>5.0</v>
      </c>
      <c r="B11463" s="1" t="s">
        <v>11369</v>
      </c>
      <c r="C11463" t="str">
        <f>IFERROR(__xludf.DUMMYFUNCTION("GOOGLETRANSLATE(B11463, ""zh"", ""en"")"),"After good receipt of goods, to the inspection is authentic, cheap.")</f>
        <v>After good receipt of goods, to the inspection is authentic, cheap.</v>
      </c>
    </row>
    <row r="11464">
      <c r="A11464" s="1">
        <v>5.0</v>
      </c>
      <c r="B11464" s="1" t="s">
        <v>11370</v>
      </c>
      <c r="C11464" t="str">
        <f>IFERROR(__xludf.DUMMYFUNCTION("GOOGLETRANSLATE(B11464, ""zh"", ""en"")"),"Work in general do not work well before buying clark")</f>
        <v>Work in general do not work well before buying clark</v>
      </c>
    </row>
    <row r="11465">
      <c r="A11465" s="1">
        <v>5.0</v>
      </c>
      <c r="B11465" s="1" t="s">
        <v>11371</v>
      </c>
      <c r="C11465" t="str">
        <f>IFERROR(__xludf.DUMMYFUNCTION("GOOGLETRANSLATE(B11465, ""zh"", ""en"")"),"Value for money to help the father to buy 175cm 78kg very thick fabric is also suitable for autumn and winter south of the quality of domestic prices relative to the same price much higher like")</f>
        <v>Value for money to help the father to buy 175cm 78kg very thick fabric is also suitable for autumn and winter south of the quality of domestic prices relative to the same price much higher like</v>
      </c>
    </row>
    <row r="11466">
      <c r="A11466" s="1">
        <v>5.0</v>
      </c>
      <c r="B11466" s="1" t="s">
        <v>11372</v>
      </c>
      <c r="C11466" t="str">
        <f>IFERROR(__xludf.DUMMYFUNCTION("GOOGLETRANSLATE(B11466, ""zh"", ""en"")"),"Well have an effect on the pubic symphysis separation does not affect ease the pain of childbirth")</f>
        <v>Well have an effect on the pubic symphysis separation does not affect ease the pain of childbirth</v>
      </c>
    </row>
    <row r="11467">
      <c r="A11467" s="1">
        <v>5.0</v>
      </c>
      <c r="B11467" s="1" t="s">
        <v>11373</v>
      </c>
      <c r="C11467" t="str">
        <f>IFERROR(__xludf.DUMMYFUNCTION("GOOGLETRANSLATE(B11467, ""zh"", ""en"")"),"Puma shoes are quite right to feel but logistics information display is not sent to the United States, and no bar code scan shoe heel tongue, and feeling not clear imprint of the surrounding tainted prevent fakes on the back!")</f>
        <v>Puma shoes are quite right to feel but logistics information display is not sent to the United States, and no bar code scan shoe heel tongue, and feeling not clear imprint of the surrounding tainted prevent fakes on the back!</v>
      </c>
    </row>
    <row r="11468">
      <c r="A11468" s="1">
        <v>5.0</v>
      </c>
      <c r="B11468" s="1" t="s">
        <v>11374</v>
      </c>
      <c r="C11468" t="str">
        <f>IFERROR(__xludf.DUMMYFUNCTION("GOOGLETRANSLATE(B11468, ""zh"", ""en"")"),"Look just started taking effect, do not know how")</f>
        <v>Look just started taking effect, do not know how</v>
      </c>
    </row>
    <row r="11469">
      <c r="A11469" s="1">
        <v>2.0</v>
      </c>
      <c r="B11469" s="1" t="s">
        <v>11375</v>
      </c>
      <c r="C11469" t="str">
        <f>IFERROR(__xludf.DUMMYFUNCTION("GOOGLETRANSLATE(B11469, ""zh"", ""en"")"),"Comfortable underwear is very good, very comfortable, very close")</f>
        <v>Comfortable underwear is very good, very comfortable, very close</v>
      </c>
    </row>
    <row r="11470">
      <c r="A11470" s="1">
        <v>3.0</v>
      </c>
      <c r="B11470" s="1" t="s">
        <v>11376</v>
      </c>
      <c r="C11470" t="str">
        <f>IFERROR(__xludf.DUMMYFUNCTION("GOOGLETRANSLATE(B11470, ""zh"", ""en"")"),"Logistics too good toothbrush slag slag slag overseas Think toothbrush toothbrush purchase quality did not have to say has been used entirely to make you conscious of a toothbrush to brush your teeth to fall in love but unfortunately the logistics Nichia "&amp;"so rugged packaging can give you a toothbrush are flattened down Fortunately, a good quality hair bubble water can pour back ......... first overseas purchase toothbrush should also be the last time overseas to buy a toothbrush, please think twice!")</f>
        <v>Logistics too good toothbrush slag slag slag overseas Think toothbrush toothbrush purchase quality did not have to say has been used entirely to make you conscious of a toothbrush to brush your teeth to fall in love but unfortunately the logistics Nichia so rugged packaging can give you a toothbrush are flattened down Fortunately, a good quality hair bubble water can pour back ......... first overseas purchase toothbrush should also be the last time overseas to buy a toothbrush, please think twice!</v>
      </c>
    </row>
    <row r="11471">
      <c r="A11471" s="1">
        <v>3.0</v>
      </c>
      <c r="B11471" s="1" t="s">
        <v>11377</v>
      </c>
      <c r="C11471" t="str">
        <f>IFERROR(__xludf.DUMMYFUNCTION("GOOGLETRANSLATE(B11471, ""zh"", ""en"")"),"Sound boring than boring, not open, nor treble, bass amount, but there is poor quality. Aging for some time, the overall quality was arrayed, it can only be said to be will.")</f>
        <v>Sound boring than boring, not open, nor treble, bass amount, but there is poor quality. Aging for some time, the overall quality was arrayed, it can only be said to be will.</v>
      </c>
    </row>
    <row r="11472">
      <c r="A11472" s="1">
        <v>3.0</v>
      </c>
      <c r="B11472" s="1" t="s">
        <v>11378</v>
      </c>
      <c r="C11472" t="str">
        <f>IFERROR(__xludf.DUMMYFUNCTION("GOOGLETRANSLATE(B11472, ""zh"", ""en"")"),"Quality general feeling is not cotton, not soft cotton")</f>
        <v>Quality general feeling is not cotton, not soft cotton</v>
      </c>
    </row>
    <row r="11473">
      <c r="A11473" s="1">
        <v>1.0</v>
      </c>
      <c r="B11473" s="1" t="s">
        <v>11379</v>
      </c>
      <c r="C11473" t="str">
        <f>IFERROR(__xludf.DUMMYFUNCTION("GOOGLETRANSLATE(B11473, ""zh"", ""en"")"),"Designed not humane either side bayonet tight, work is not humane. To open the tab, fingers were injured.")</f>
        <v>Designed not humane either side bayonet tight, work is not humane. To open the tab, fingers were injured.</v>
      </c>
    </row>
    <row r="11474">
      <c r="A11474" s="1">
        <v>1.0</v>
      </c>
      <c r="B11474" s="1" t="s">
        <v>11380</v>
      </c>
      <c r="C11474" t="str">
        <f>IFERROR(__xludf.DUMMYFUNCTION("GOOGLETRANSLATE(B11474, ""zh"", ""en"")"),"I wondered if something was replaced after the box was cut open again another broken tape affixed to the baby's going well but Amazon's how the box opened after layer of tape is sealed, it is clear inside the shoe boxes are also rotten. Express how so? Ve"&amp;"ry satisfied with the package's got a suspect something is not being swapped")</f>
        <v>I wondered if something was replaced after the box was cut open again another broken tape affixed to the baby's going well but Amazon's how the box opened after layer of tape is sealed, it is clear inside the shoe boxes are also rotten. Express how so? Very satisfied with the package's got a suspect something is not being swapped</v>
      </c>
    </row>
    <row r="11475">
      <c r="A11475" s="1">
        <v>4.0</v>
      </c>
      <c r="B11475" s="1" t="s">
        <v>11381</v>
      </c>
      <c r="C11475" t="str">
        <f>IFERROR(__xludf.DUMMYFUNCTION("GOOGLETRANSLATE(B11475, ""zh"", ""en"")"),"Headphone good, even the best spectacle better. The general feeling is quite light, but also not sense, in short, better than my original one hundred dollars of goods.")</f>
        <v>Headphone good, even the best spectacle better. The general feeling is quite light, but also not sense, in short, better than my original one hundred dollars of goods.</v>
      </c>
    </row>
    <row r="11476">
      <c r="A11476" s="1">
        <v>4.0</v>
      </c>
      <c r="B11476" s="1" t="s">
        <v>11382</v>
      </c>
      <c r="C11476" t="str">
        <f>IFERROR(__xludf.DUMMYFUNCTION("GOOGLETRANSLATE(B11476, ""zh"", ""en"")"),"Very, very good, with very smoothly, also rebate a surprise")</f>
        <v>Very, very good, with very smoothly, also rebate a surprise</v>
      </c>
    </row>
    <row r="11477">
      <c r="A11477" s="1">
        <v>4.0</v>
      </c>
      <c r="B11477" s="1" t="s">
        <v>11383</v>
      </c>
      <c r="C11477" t="str">
        <f>IFERROR(__xludf.DUMMYFUNCTION("GOOGLETRANSLATE(B11477, ""zh"", ""en"")"),"Good good, just numbers")</f>
        <v>Good good, just numbers</v>
      </c>
    </row>
    <row r="11478">
      <c r="A11478" s="1">
        <v>4.0</v>
      </c>
      <c r="B11478" s="1" t="s">
        <v>11384</v>
      </c>
      <c r="C11478" t="str">
        <f>IFERROR(__xludf.DUMMYFUNCTION("GOOGLETRANSLATE(B11478, ""zh"", ""en"")"),"No, come with additional comments and other students with a baby")</f>
        <v>No, come with additional comments and other students with a baby</v>
      </c>
    </row>
    <row r="11479">
      <c r="A11479" s="1">
        <v>4.0</v>
      </c>
      <c r="B11479" s="1" t="s">
        <v>11385</v>
      </c>
      <c r="C11479" t="str">
        <f>IFERROR(__xludf.DUMMYFUNCTION("GOOGLETRANSLATE(B11479, ""zh"", ""en"")"),"Good pretty good, a lot of hair smooth")</f>
        <v>Good pretty good, a lot of hair smooth</v>
      </c>
    </row>
    <row r="11480">
      <c r="A11480" s="1">
        <v>5.0</v>
      </c>
      <c r="B11480" s="1" t="s">
        <v>11386</v>
      </c>
      <c r="C11480" t="str">
        <f>IFERROR(__xludf.DUMMYFUNCTION("GOOGLETRANSLATE(B11480, ""zh"", ""en"")"),"Very easy to use like")</f>
        <v>Very easy to use like</v>
      </c>
    </row>
    <row r="11481">
      <c r="A11481" s="1">
        <v>5.0</v>
      </c>
      <c r="B11481" s="1" t="s">
        <v>11387</v>
      </c>
      <c r="C11481" t="str">
        <f>IFERROR(__xludf.DUMMYFUNCTION("GOOGLETRANSLATE(B11481, ""zh"", ""en"")"),"Very comfortable and very good, very like it, buy back!")</f>
        <v>Very comfortable and very good, very like it, buy back!</v>
      </c>
    </row>
    <row r="11482">
      <c r="A11482" s="1">
        <v>5.0</v>
      </c>
      <c r="B11482" s="1" t="s">
        <v>9285</v>
      </c>
      <c r="C11482" t="str">
        <f>IFERROR(__xludf.DUMMYFUNCTION("GOOGLETRANSLATE(B11482, ""zh"", ""en"")"),"Good, relatively high cost. Very thin material, relatively high cost. Relatively thin material")</f>
        <v>Good, relatively high cost. Very thin material, relatively high cost. Relatively thin material</v>
      </c>
    </row>
    <row r="11483">
      <c r="A11483" s="1">
        <v>5.0</v>
      </c>
      <c r="B11483" s="1" t="s">
        <v>11388</v>
      </c>
      <c r="C11483" t="str">
        <f>IFERROR(__xludf.DUMMYFUNCTION("GOOGLETRANSLATE(B11483, ""zh"", ""en"")"),"Comfort, joy good price quality shoes, very comfortable to wear in the feet, usually wear No. 37, this pair slightly larger, cloth mat one pair of insoles just right. Very attractive price, fast delivery.")</f>
        <v>Comfort, joy good price quality shoes, very comfortable to wear in the feet, usually wear No. 37, this pair slightly larger, cloth mat one pair of insoles just right. Very attractive price, fast delivery.</v>
      </c>
    </row>
    <row r="11484">
      <c r="A11484" s="1">
        <v>5.0</v>
      </c>
      <c r="B11484" s="1" t="s">
        <v>11389</v>
      </c>
      <c r="C11484" t="str">
        <f>IFERROR(__xludf.DUMMYFUNCTION("GOOGLETRANSLATE(B11484, ""zh"", ""en"")"),"scorpio linen clothes are the same material, worn alone will feel uncomfortable, style may not suit people who wear shoulder wide")</f>
        <v>scorpio linen clothes are the same material, worn alone will feel uncomfortable, style may not suit people who wear shoulder wide</v>
      </c>
    </row>
    <row r="11485">
      <c r="A11485" s="1">
        <v>5.0</v>
      </c>
      <c r="B11485" s="1" t="s">
        <v>11390</v>
      </c>
      <c r="C11485" t="str">
        <f>IFERROR(__xludf.DUMMYFUNCTION("GOOGLETRANSLATE(B11485, ""zh"", ""en"")"),"Good on good quality products, but I still do not love the baby milk.")</f>
        <v>Good on good quality products, but I still do not love the baby milk.</v>
      </c>
    </row>
    <row r="11486">
      <c r="A11486" s="1">
        <v>5.0</v>
      </c>
      <c r="B11486" s="1" t="s">
        <v>11391</v>
      </c>
      <c r="C11486" t="str">
        <f>IFERROR(__xludf.DUMMYFUNCTION("GOOGLETRANSLATE(B11486, ""zh"", ""en"")"),"The right size, cargo size being tried in the store, no problem, entirely appropriate, cheap nearly half, there is really too convenient Amazon")</f>
        <v>The right size, cargo size being tried in the store, no problem, entirely appropriate, cheap nearly half, there is really too convenient Amazon</v>
      </c>
    </row>
    <row r="11487">
      <c r="A11487" s="1">
        <v>5.0</v>
      </c>
      <c r="B11487" s="1" t="s">
        <v>11392</v>
      </c>
      <c r="C11487" t="str">
        <f>IFERROR(__xludf.DUMMYFUNCTION("GOOGLETRANSLATE(B11487, ""zh"", ""en"")"),"Inexpensive good enough speed, better prices")</f>
        <v>Inexpensive good enough speed, better prices</v>
      </c>
    </row>
    <row r="11488">
      <c r="A11488" s="1">
        <v>5.0</v>
      </c>
      <c r="B11488" s="1" t="s">
        <v>11393</v>
      </c>
      <c r="C11488" t="str">
        <f>IFERROR(__xludf.DUMMYFUNCTION("GOOGLETRANSLATE(B11488, ""zh"", ""en"")"),"Very good expensive pen, bought for my father, who are professionals, so use it, I would not waste ----")</f>
        <v>Very good expensive pen, bought for my father, who are professionals, so use it, I would not waste ----</v>
      </c>
    </row>
    <row r="11489">
      <c r="A11489" s="1">
        <v>5.0</v>
      </c>
      <c r="B11489" s="1" t="s">
        <v>11394</v>
      </c>
      <c r="C11489" t="str">
        <f>IFERROR(__xludf.DUMMYFUNCTION("GOOGLETRANSLATE(B11489, ""zh"", ""en"")"),"r super comfortable. And he bought two")</f>
        <v>r super comfortable. And he bought two</v>
      </c>
    </row>
    <row r="11490">
      <c r="A11490" s="1">
        <v>5.0</v>
      </c>
      <c r="B11490" s="1" t="s">
        <v>11395</v>
      </c>
      <c r="C11490" t="str">
        <f>IFERROR(__xludf.DUMMYFUNCTION("GOOGLETRANSLATE(B11490, ""zh"", ""en"")"),"Value for money price is still pricey, what can listen")</f>
        <v>Value for money price is still pricey, what can listen</v>
      </c>
    </row>
    <row r="11491">
      <c r="A11491" s="1">
        <v>5.0</v>
      </c>
      <c r="B11491" s="1" t="s">
        <v>11396</v>
      </c>
      <c r="C11491" t="str">
        <f>IFERROR(__xludf.DUMMYFUNCTION("GOOGLETRANSLATE(B11491, ""zh"", ""en"")"),"Thick, warm bought the wrong ... want to buy the barrel, socks quality did not have to say the Japanese version is really great, next time buy-back in the tube")</f>
        <v>Thick, warm bought the wrong ... want to buy the barrel, socks quality did not have to say the Japanese version is really great, next time buy-back in the tube</v>
      </c>
    </row>
    <row r="11492">
      <c r="A11492" s="1">
        <v>5.0</v>
      </c>
      <c r="B11492" s="1" t="s">
        <v>11397</v>
      </c>
      <c r="C11492" t="str">
        <f>IFERROR(__xludf.DUMMYFUNCTION("GOOGLETRANSLATE(B11492, ""zh"", ""en"")"),"Comfortable fabric, elastic good comfortable fabrics, good elasticity, thickness can also feel, leggings good.")</f>
        <v>Comfortable fabric, elastic good comfortable fabrics, good elasticity, thickness can also feel, leggings good.</v>
      </c>
    </row>
    <row r="11493">
      <c r="A11493" s="1">
        <v>5.0</v>
      </c>
      <c r="B11493" s="1" t="s">
        <v>11398</v>
      </c>
      <c r="C11493" t="str">
        <f>IFERROR(__xludf.DUMMYFUNCTION("GOOGLETRANSLATE(B11493, ""zh"", ""en"")"),"Worth buying absolutely necessary, wipe clean, spike all domestic rubber, the price is very cheap")</f>
        <v>Worth buying absolutely necessary, wipe clean, spike all domestic rubber, the price is very cheap</v>
      </c>
    </row>
    <row r="11494">
      <c r="A11494" s="1">
        <v>5.0</v>
      </c>
      <c r="B11494" s="1" t="s">
        <v>11399</v>
      </c>
      <c r="C11494" t="str">
        <f>IFERROR(__xludf.DUMMYFUNCTION("GOOGLETRANSLATE(B11494, ""zh"", ""en"")"),"Sound good, mailed at an alarming rate is still very good equipment, sound good, mailed very fast, very fast, from the US to China, five days is up, simply surprise")</f>
        <v>Sound good, mailed at an alarming rate is still very good equipment, sound good, mailed very fast, very fast, from the US to China, five days is up, simply surprise</v>
      </c>
    </row>
    <row r="11495">
      <c r="A11495" s="1">
        <v>5.0</v>
      </c>
      <c r="B11495" s="1" t="s">
        <v>11400</v>
      </c>
      <c r="C11495" t="str">
        <f>IFERROR(__xludf.DUMMYFUNCTION("GOOGLETRANSLATE(B11495, ""zh"", ""en"")"),"A good cup of cup, color is also very nice")</f>
        <v>A good cup of cup, color is also very nice</v>
      </c>
    </row>
    <row r="11496">
      <c r="A11496" s="1">
        <v>5.0</v>
      </c>
      <c r="B11496" s="1" t="s">
        <v>11401</v>
      </c>
      <c r="C11496" t="str">
        <f>IFERROR(__xludf.DUMMYFUNCTION("GOOGLETRANSLATE(B11496, ""zh"", ""en"")"),"Yes! The general oralB toothbrush brush head can be used, prime avoid the purchase of overseas shipping is very cost-effective.")</f>
        <v>Yes! The general oralB toothbrush brush head can be used, prime avoid the purchase of overseas shipping is very cost-effective.</v>
      </c>
    </row>
    <row r="11497">
      <c r="A11497" s="1">
        <v>5.0</v>
      </c>
      <c r="B11497" s="1" t="s">
        <v>11402</v>
      </c>
      <c r="C11497" t="str">
        <f>IFERROR(__xludf.DUMMYFUNCTION("GOOGLETRANSLATE(B11497, ""zh"", ""en"")"),"Pigeon bottle 🍼 basic moms now use this a lot -")</f>
        <v>Pigeon bottle 🍼 basic moms now use this a lot -</v>
      </c>
    </row>
    <row r="11498">
      <c r="A11498" s="1">
        <v>5.0</v>
      </c>
      <c r="B11498" s="1" t="s">
        <v>11403</v>
      </c>
      <c r="C11498" t="str">
        <f>IFERROR(__xludf.DUMMYFUNCTION("GOOGLETRANSLATE(B11498, ""zh"", ""en"")"),"Size must be optimistic! Buy foreign goods must pay attention to size, us10.5w equal to the country code 47, a big one centimeter or can wear, afraid to buy small!")</f>
        <v>Size must be optimistic! Buy foreign goods must pay attention to size, us10.5w equal to the country code 47, a big one centimeter or can wear, afraid to buy small!</v>
      </c>
    </row>
    <row r="11499">
      <c r="A11499" s="1">
        <v>5.0</v>
      </c>
      <c r="B11499" s="1" t="s">
        <v>11404</v>
      </c>
      <c r="C11499" t="str">
        <f>IFERROR(__xludf.DUMMYFUNCTION("GOOGLETRANSLATE(B11499, ""zh"", ""en"")"),"Super satisfied with the size of just the logistics super fast with the size just right, like less than a week before at the mall to buy on Amazon have been so panned in force prior to the first pair of shoes TOMMY Jumeirah size just right but the second "&amp;"is still that size the day was just a big PRIME members have too much that after a long time not panned shoes decided to double tiger if it is almost cheaper than the last three hundred to short, very satisfied with the shopping")</f>
        <v>Super satisfied with the size of just the logistics super fast with the size just right, like less than a week before at the mall to buy on Amazon have been so panned in force prior to the first pair of shoes TOMMY Jumeirah size just right but the second is still that size the day was just a big PRIME members have too much that after a long time not panned shoes decided to double tiger if it is almost cheaper than the last three hundred to short, very satisfied with the shopping</v>
      </c>
    </row>
    <row r="11500">
      <c r="A11500" s="1">
        <v>5.0</v>
      </c>
      <c r="B11500" s="1" t="s">
        <v>11405</v>
      </c>
      <c r="C11500" t="str">
        <f>IFERROR(__xludf.DUMMYFUNCTION("GOOGLETRANSLATE(B11500, ""zh"", ""en"")"),"Good good-looking than the picture, which with reflective gray color, not a little astringent, very bright, enough thickness")</f>
        <v>Good good-looking than the picture, which with reflective gray color, not a little astringent, very bright, enough thickness</v>
      </c>
    </row>
    <row r="11501">
      <c r="A11501" s="1">
        <v>5.0</v>
      </c>
      <c r="B11501" s="1" t="s">
        <v>11406</v>
      </c>
      <c r="C11501" t="str">
        <f>IFERROR(__xludf.DUMMYFUNCTION("GOOGLETRANSLATE(B11501, ""zh"", ""en"")"),"It seems to be very rugged outdoor use, waterproof, shockproof.")</f>
        <v>It seems to be very rugged outdoor use, waterproof, shockproof.</v>
      </c>
    </row>
    <row r="11502">
      <c r="A11502" s="1">
        <v>2.0</v>
      </c>
      <c r="B11502" s="1" t="s">
        <v>11407</v>
      </c>
      <c r="C11502" t="str">
        <f>IFERROR(__xludf.DUMMYFUNCTION("GOOGLETRANSLATE(B11502, ""zh"", ""en"")"),"Hard soles, which is very slippery, be careful to buy. The sole is very hard, very slippery and there is also a large yard with Clark than other shoes, walking uncomfortable, uncomfortable, and the surface is quite soft and did not type. Always felt less "&amp;"to the insole.")</f>
        <v>Hard soles, which is very slippery, be careful to buy. The sole is very hard, very slippery and there is also a large yard with Clark than other shoes, walking uncomfortable, uncomfortable, and the surface is quite soft and did not type. Always felt less to the insole.</v>
      </c>
    </row>
    <row r="11503">
      <c r="A11503" s="1">
        <v>3.0</v>
      </c>
      <c r="B11503" s="1" t="s">
        <v>11408</v>
      </c>
      <c r="C11503" t="str">
        <f>IFERROR(__xludf.DUMMYFUNCTION("GOOGLETRANSLATE(B11503, ""zh"", ""en"")"),"Okay overall still can! Fabric feels weird")</f>
        <v>Okay overall still can! Fabric feels weird</v>
      </c>
    </row>
    <row r="11504">
      <c r="A11504" s="1">
        <v>3.0</v>
      </c>
      <c r="B11504" s="1" t="s">
        <v>11409</v>
      </c>
      <c r="C11504" t="str">
        <f>IFERROR(__xludf.DUMMYFUNCTION("GOOGLETRANSLATE(B11504, ""zh"", ""en"")"),"Ear itself is too small, could not cover the other ear length, size and so more appropriate, earmuffs is too small, the other the price is expensive, expensive compared to low double North American history is also tax")</f>
        <v>Ear itself is too small, could not cover the other ear length, size and so more appropriate, earmuffs is too small, the other the price is expensive, expensive compared to low double North American history is also tax</v>
      </c>
    </row>
    <row r="11505">
      <c r="A11505" s="1">
        <v>1.0</v>
      </c>
      <c r="B11505" s="1" t="s">
        <v>11410</v>
      </c>
      <c r="C11505" t="str">
        <f>IFERROR(__xludf.DUMMYFUNCTION("GOOGLETRANSLATE(B11505, ""zh"", ""en"")"),"Fit is very good, the right size is also very warm, wearing a period of time, drain the clothes down very badly is not recommended")</f>
        <v>Fit is very good, the right size is also very warm, wearing a period of time, drain the clothes down very badly is not recommended</v>
      </c>
    </row>
    <row r="11506">
      <c r="A11506" s="1">
        <v>1.0</v>
      </c>
      <c r="B11506" s="1" t="s">
        <v>11411</v>
      </c>
      <c r="C11506" t="str">
        <f>IFERROR(__xludf.DUMMYFUNCTION("GOOGLETRANSLATE(B11506, ""zh"", ""en"")"),"Rough work, much like the fake! At first glance the point of rough work, outside of thread did not deal with some gaps brand, as Goldlion fine! Wear two back, there are several jumpers. Thread very much. Poor quality, fake is not a hit brand. Amazon sell "&amp;"this product too Kengren!")</f>
        <v>Rough work, much like the fake! At first glance the point of rough work, outside of thread did not deal with some gaps brand, as Goldlion fine! Wear two back, there are several jumpers. Thread very much. Poor quality, fake is not a hit brand. Amazon sell this product too Kengren!</v>
      </c>
    </row>
    <row r="11507">
      <c r="A11507" s="1">
        <v>4.0</v>
      </c>
      <c r="B11507" s="1" t="s">
        <v>11412</v>
      </c>
      <c r="C11507" t="str">
        <f>IFERROR(__xludf.DUMMYFUNCTION("GOOGLETRANSLATE(B11507, ""zh"", ""en"")"),"Very comfortable to wear under a single bunch of friends, very appropriate.")</f>
        <v>Very comfortable to wear under a single bunch of friends, very appropriate.</v>
      </c>
    </row>
    <row r="11508">
      <c r="A11508" s="1">
        <v>4.0</v>
      </c>
      <c r="B11508" s="1" t="s">
        <v>11413</v>
      </c>
      <c r="C11508" t="str">
        <f>IFERROR(__xludf.DUMMYFUNCTION("GOOGLETRANSLATE(B11508, ""zh"", ""en"")"),"Minato live red brand to buy! Quality is really to be commended!")</f>
        <v>Minato live red brand to buy! Quality is really to be commended!</v>
      </c>
    </row>
    <row r="11509">
      <c r="A11509" s="1">
        <v>4.0</v>
      </c>
      <c r="B11509" s="1" t="s">
        <v>11414</v>
      </c>
      <c r="C11509" t="str">
        <f>IFERROR(__xludf.DUMMYFUNCTION("GOOGLETRANSLATE(B11509, ""zh"", ""en"")"),"To the elderly to buy, very old people like 75-year-old, wearing jeans, only to buy foreign straight, loose than the domestic version of the type.")</f>
        <v>To the elderly to buy, very old people like 75-year-old, wearing jeans, only to buy foreign straight, loose than the domestic version of the type.</v>
      </c>
    </row>
    <row r="11510">
      <c r="A11510" s="1">
        <v>4.0</v>
      </c>
      <c r="B11510" s="1" t="s">
        <v>11415</v>
      </c>
      <c r="C11510" t="str">
        <f>IFERROR(__xludf.DUMMYFUNCTION("GOOGLETRANSLATE(B11510, ""zh"", ""en"")"),"Very good very good use of intestinal digestion to eat dragged Smelly day 9 (1òωó1) 6")</f>
        <v>Very good very good use of intestinal digestion to eat dragged Smelly day 9 (1òωó1) 6</v>
      </c>
    </row>
    <row r="11511">
      <c r="A11511" s="1">
        <v>4.0</v>
      </c>
      <c r="B11511" s="1" t="s">
        <v>6502</v>
      </c>
      <c r="C11511" t="str">
        <f>IFERROR(__xludf.DUMMYFUNCTION("GOOGLETRANSLATE(B11511, ""zh"", ""en"")"),"Yardage normal 164,53KG, see comment buy S, just, a little personal, do not brush up sleeves, should adhere to buy M's, would be more comfortable to wear what you personally feel that domestic code on what to buy")</f>
        <v>Yardage normal 164,53KG, see comment buy S, just, a little personal, do not brush up sleeves, should adhere to buy M's, would be more comfortable to wear what you personally feel that domestic code on what to buy</v>
      </c>
    </row>
    <row r="11512">
      <c r="A11512" s="1">
        <v>5.0</v>
      </c>
      <c r="B11512" s="1" t="s">
        <v>11416</v>
      </c>
      <c r="C11512" t="str">
        <f>IFERROR(__xludf.DUMMYFUNCTION("GOOGLETRANSLATE(B11512, ""zh"", ""en"")"),"haha I'm very pleased. And my boyfriend just loves this shoe. It's made in Dominica. It's a good shopping experience this time")</f>
        <v>haha I'm very pleased. And my boyfriend just loves this shoe. It's made in Dominica. It's a good shopping experience this time</v>
      </c>
    </row>
    <row r="11513">
      <c r="A11513" s="1">
        <v>5.0</v>
      </c>
      <c r="B11513" s="1" t="s">
        <v>11417</v>
      </c>
      <c r="C11513" t="str">
        <f>IFERROR(__xludf.DUMMYFUNCTION("GOOGLETRANSLATE(B11513, ""zh"", ""en"")"),"Rate slightly larger size is too large, you can buy one yards to the normal size small. Order to receipt, two weeks, can also speed.")</f>
        <v>Rate slightly larger size is too large, you can buy one yards to the normal size small. Order to receipt, two weeks, can also speed.</v>
      </c>
    </row>
    <row r="11514">
      <c r="A11514" s="1">
        <v>5.0</v>
      </c>
      <c r="B11514" s="1" t="s">
        <v>11418</v>
      </c>
      <c r="C11514" t="str">
        <f>IFERROR(__xludf.DUMMYFUNCTION("GOOGLETRANSLATE(B11514, ""zh"", ""en"")"),"In the early morning transfer time not feeling good")</f>
        <v>In the early morning transfer time not feeling good</v>
      </c>
    </row>
    <row r="11515">
      <c r="A11515" s="1">
        <v>5.0</v>
      </c>
      <c r="B11515" s="1" t="s">
        <v>11419</v>
      </c>
      <c r="C11515" t="str">
        <f>IFERROR(__xludf.DUMMYFUNCTION("GOOGLETRANSLATE(B11515, ""zh"", ""en"")"),"lee jeans often under very thick ... good quality ...... buy the four")</f>
        <v>lee jeans often under very thick ... good quality ...... buy the four</v>
      </c>
    </row>
    <row r="11516">
      <c r="A11516" s="1">
        <v>5.0</v>
      </c>
      <c r="B11516" s="1" t="s">
        <v>11420</v>
      </c>
      <c r="C11516" t="str">
        <f>IFERROR(__xludf.DUMMYFUNCTION("GOOGLETRANSLATE(B11516, ""zh"", ""en"")"),"Good comfort right size, the right size, the price like some more space, but already much cheaper than a broad-brimmed money")</f>
        <v>Good comfort right size, the right size, the price like some more space, but already much cheaper than a broad-brimmed money</v>
      </c>
    </row>
    <row r="11517">
      <c r="A11517" s="1">
        <v>5.0</v>
      </c>
      <c r="B11517" s="1" t="s">
        <v>11421</v>
      </c>
      <c r="C11517" t="str">
        <f>IFERROR(__xludf.DUMMYFUNCTION("GOOGLETRANSLATE(B11517, ""zh"", ""en"")"),"Thin shoes shoes a little hard, relatively thin, fat legs do not consider wearing shoes No. 5, this time bought a No. 5.5, length enough, still a little thin, wear off more demanding. Express pretty fast, to 10 days")</f>
        <v>Thin shoes shoes a little hard, relatively thin, fat legs do not consider wearing shoes No. 5, this time bought a No. 5.5, length enough, still a little thin, wear off more demanding. Express pretty fast, to 10 days</v>
      </c>
    </row>
    <row r="11518">
      <c r="A11518" s="1">
        <v>5.0</v>
      </c>
      <c r="B11518" s="1" t="s">
        <v>11422</v>
      </c>
      <c r="C11518" t="str">
        <f>IFERROR(__xludf.DUMMYFUNCTION("GOOGLETRANSLATE(B11518, ""zh"", ""en"")"),"Baking choice very good, very good quality, ultra-like color")</f>
        <v>Baking choice very good, very good quality, ultra-like color</v>
      </c>
    </row>
    <row r="11519">
      <c r="A11519" s="1">
        <v>5.0</v>
      </c>
      <c r="B11519" s="1" t="s">
        <v>11423</v>
      </c>
      <c r="C11519" t="str">
        <f>IFERROR(__xludf.DUMMYFUNCTION("GOOGLETRANSLATE(B11519, ""zh"", ""en"")"),"Children electric toothbrush brushing your baby prefer, and good, like!")</f>
        <v>Children electric toothbrush brushing your baby prefer, and good, like!</v>
      </c>
    </row>
    <row r="11520">
      <c r="A11520" s="1">
        <v>5.0</v>
      </c>
      <c r="B11520" s="1" t="s">
        <v>11424</v>
      </c>
      <c r="C11520" t="str">
        <f>IFERROR(__xludf.DUMMYFUNCTION("GOOGLETRANSLATE(B11520, ""zh"", ""en"")"),"👟 look beautiful, comfortable, reasonably priced.")</f>
        <v>👟 look beautiful, comfortable, reasonably priced.</v>
      </c>
    </row>
    <row r="11521">
      <c r="A11521" s="1">
        <v>5.0</v>
      </c>
      <c r="B11521" s="1" t="s">
        <v>11425</v>
      </c>
      <c r="C11521" t="str">
        <f>IFERROR(__xludf.DUMMYFUNCTION("GOOGLETRANSLATE(B11521, ""zh"", ""en"")"),"Worth having vocal recording microphone logistics faster than expected, things are good, rich accessories, but also with BOP cover, say C414 is a classic microphone, and U87Ai contrast a bit, sensitivity is almost, almost high-frequency, intermediate freq"&amp;"uency less, low frequency a little more, it recorded the sound overall softer than some U87.")</f>
        <v>Worth having vocal recording microphone logistics faster than expected, things are good, rich accessories, but also with BOP cover, say C414 is a classic microphone, and U87Ai contrast a bit, sensitivity is almost, almost high-frequency, intermediate frequency less, low frequency a little more, it recorded the sound overall softer than some U87.</v>
      </c>
    </row>
    <row r="11522">
      <c r="A11522" s="1">
        <v>5.0</v>
      </c>
      <c r="B11522" s="1" t="s">
        <v>11426</v>
      </c>
      <c r="C11522" t="str">
        <f>IFERROR(__xludf.DUMMYFUNCTION("GOOGLETRANSLATE(B11522, ""zh"", ""en"")"),"The shoe itself is great shoe itself is great, perhaps my feet relatively thin, just the length, but the vamp seemed a bit high, after parts of the shoe tongue shoes hand marked off-line status, good customer service to help me deal with this problem, ver"&amp;"y satisfied with the shopping experience")</f>
        <v>The shoe itself is great shoe itself is great, perhaps my feet relatively thin, just the length, but the vamp seemed a bit high, after parts of the shoe tongue shoes hand marked off-line status, good customer service to help me deal with this problem, very satisfied with the shopping experience</v>
      </c>
    </row>
    <row r="11523">
      <c r="A11523" s="1">
        <v>5.0</v>
      </c>
      <c r="B11523" s="1" t="s">
        <v>11427</v>
      </c>
      <c r="C11523" t="str">
        <f>IFERROR(__xludf.DUMMYFUNCTION("GOOGLETRANSLATE(B11523, ""zh"", ""en"")"),"Confirmed buy the baby likes to eat, should be genuine")</f>
        <v>Confirmed buy the baby likes to eat, should be genuine</v>
      </c>
    </row>
    <row r="11524">
      <c r="A11524" s="1">
        <v>5.0</v>
      </c>
      <c r="B11524" s="1" t="s">
        <v>11428</v>
      </c>
      <c r="C11524" t="str">
        <f>IFERROR(__xludf.DUMMYFUNCTION("GOOGLETRANSLATE(B11524, ""zh"", ""en"")"),"Pretty standard size, very nice, light is not good, looks good, but is a two great temperament and comfortable shoes, praise 10086")</f>
        <v>Pretty standard size, very nice, light is not good, looks good, but is a two great temperament and comfortable shoes, praise 10086</v>
      </c>
    </row>
    <row r="11525">
      <c r="A11525" s="1">
        <v>5.0</v>
      </c>
      <c r="B11525" s="1" t="s">
        <v>11429</v>
      </c>
      <c r="C11525" t="str">
        <f>IFERROR(__xludf.DUMMYFUNCTION("GOOGLETRANSLATE(B11525, ""zh"", ""en"")"),"Today did not bring good quality because it did not send the picture, the dial is very atmospheric, work is also very fine, very good")</f>
        <v>Today did not bring good quality because it did not send the picture, the dial is very atmospheric, work is also very fine, very good</v>
      </c>
    </row>
    <row r="11526">
      <c r="A11526" s="1">
        <v>5.0</v>
      </c>
      <c r="B11526" s="1" t="s">
        <v>11430</v>
      </c>
      <c r="C11526" t="str">
        <f>IFERROR(__xludf.DUMMYFUNCTION("GOOGLETRANSLATE(B11526, ""zh"", ""en"")"),"Like not use, store goods in, but feel very comfortable, I hope will be useful")</f>
        <v>Like not use, store goods in, but feel very comfortable, I hope will be useful</v>
      </c>
    </row>
    <row r="11527">
      <c r="A11527" s="1">
        <v>5.0</v>
      </c>
      <c r="B11527" s="1" t="s">
        <v>11431</v>
      </c>
      <c r="C11527" t="str">
        <f>IFERROR(__xludf.DUMMYFUNCTION("GOOGLETRANSLATE(B11527, ""zh"", ""en"")"),"Very satisfied very satisfied with my shoe size just right foot did not find this small country the size of shoes, try on Amazon bought his first single, very satisfied, than expected. The future will support.")</f>
        <v>Very satisfied very satisfied with my shoe size just right foot did not find this small country the size of shoes, try on Amazon bought his first single, very satisfied, than expected. The future will support.</v>
      </c>
    </row>
    <row r="11528">
      <c r="A11528" s="1">
        <v>5.0</v>
      </c>
      <c r="B11528" s="1" t="s">
        <v>11432</v>
      </c>
      <c r="C11528" t="str">
        <f>IFERROR(__xludf.DUMMYFUNCTION("GOOGLETRANSLATE(B11528, ""zh"", ""en"")"),"Very good and comfortable, the price is right, I feel very good.")</f>
        <v>Very good and comfortable, the price is right, I feel very good.</v>
      </c>
    </row>
    <row r="11529">
      <c r="A11529" s="1">
        <v>5.0</v>
      </c>
      <c r="B11529" s="1" t="s">
        <v>11433</v>
      </c>
      <c r="C11529" t="str">
        <f>IFERROR(__xludf.DUMMYFUNCTION("GOOGLETRANSLATE(B11529, ""zh"", ""en"")"),"Good quality good quality, praise")</f>
        <v>Good quality good quality, praise</v>
      </c>
    </row>
    <row r="11530">
      <c r="A11530" s="1">
        <v>5.0</v>
      </c>
      <c r="B11530" s="1" t="s">
        <v>11434</v>
      </c>
      <c r="C11530" t="str">
        <f>IFERROR(__xludf.DUMMYFUNCTION("GOOGLETRANSLATE(B11530, ""zh"", ""en"")"),"Spent half a year, with a good half a year, in the office, without the line is very convenient, battery life ability, only a few months on one charge. Scaling itself Ye Hao.")</f>
        <v>Spent half a year, with a good half a year, in the office, without the line is very convenient, battery life ability, only a few months on one charge. Scaling itself Ye Hao.</v>
      </c>
    </row>
    <row r="11531">
      <c r="A11531" s="1">
        <v>5.0</v>
      </c>
      <c r="B11531" s="1" t="s">
        <v>11435</v>
      </c>
      <c r="C11531" t="str">
        <f>IFERROR(__xludf.DUMMYFUNCTION("GOOGLETRANSLATE(B11531, ""zh"", ""en"")"),"Convenience food, nutrition comprehensive, suitable for very old and frail patients comprehensive nutrition,")</f>
        <v>Convenience food, nutrition comprehensive, suitable for very old and frail patients comprehensive nutrition,</v>
      </c>
    </row>
    <row r="11532">
      <c r="A11532" s="1">
        <v>5.0</v>
      </c>
      <c r="B11532" s="1" t="s">
        <v>11436</v>
      </c>
      <c r="C11532" t="str">
        <f>IFERROR(__xludf.DUMMYFUNCTION("GOOGLETRANSLATE(B11532, ""zh"", ""en"")"),"More convenient to store a large amount of personal cloud safe, easy to operate but also the whole family can")</f>
        <v>More convenient to store a large amount of personal cloud safe, easy to operate but also the whole family can</v>
      </c>
    </row>
    <row r="11533">
      <c r="A11533" s="1">
        <v>5.0</v>
      </c>
      <c r="B11533" s="1" t="s">
        <v>11437</v>
      </c>
      <c r="C11533" t="str">
        <f>IFERROR(__xludf.DUMMYFUNCTION("GOOGLETRANSLATE(B11533, ""zh"", ""en"")"),"Very easy to use, 1200 hand, buy garnet red, shipping soon, a week to go. No flaws. Very easy to use, 1200 hand, buy garnet red, shipping soon, a week to go. No flaws. Look at the reviews had someone buy less than a thousand on hand, but because anxious t"&amp;"o use, there is no way, and still cost-effective than domestic. I do braised beef taste good 👍")</f>
        <v>Very easy to use, 1200 hand, buy garnet red, shipping soon, a week to go. No flaws. Very easy to use, 1200 hand, buy garnet red, shipping soon, a week to go. No flaws. Look at the reviews had someone buy less than a thousand on hand, but because anxious to use, there is no way, and still cost-effective than domestic. I do braised beef taste good 👍</v>
      </c>
    </row>
    <row r="11534">
      <c r="A11534" s="1">
        <v>2.0</v>
      </c>
      <c r="B11534" s="1" t="s">
        <v>11438</v>
      </c>
      <c r="C11534" t="str">
        <f>IFERROR(__xludf.DUMMYFUNCTION("GOOGLETRANSLATE(B11534, ""zh"", ""en"")"),"Slim models thin ah, Slim models, the uncle level even if the bar")</f>
        <v>Slim models thin ah, Slim models, the uncle level even if the bar</v>
      </c>
    </row>
    <row r="11535">
      <c r="A11535" s="1">
        <v>3.0</v>
      </c>
      <c r="B11535" s="1" t="s">
        <v>11439</v>
      </c>
      <c r="C11535" t="str">
        <f>IFERROR(__xludf.DUMMYFUNCTION("GOOGLETRANSLATE(B11535, ""zh"", ""en"")"),"I bought a little small, very tight, so I do not know the effect.")</f>
        <v>I bought a little small, very tight, so I do not know the effect.</v>
      </c>
    </row>
    <row r="11536">
      <c r="A11536" s="1">
        <v>3.0</v>
      </c>
      <c r="B11536" s="1" t="s">
        <v>11440</v>
      </c>
      <c r="C11536" t="str">
        <f>IFERROR(__xludf.DUMMYFUNCTION("GOOGLETRANSLATE(B11536, ""zh"", ""en"")"),"This brought up too flat does not look good. Not only suitable for general face little face")</f>
        <v>This brought up too flat does not look good. Not only suitable for general face little face</v>
      </c>
    </row>
    <row r="11537">
      <c r="A11537" s="1">
        <v>1.0</v>
      </c>
      <c r="B11537" s="1" t="s">
        <v>11441</v>
      </c>
      <c r="C11537" t="str">
        <f>IFERROR(__xludf.DUMMYFUNCTION("GOOGLETRANSLATE(B11537, ""zh"", ""en"")"),"It sent the wrong style, printing not what I ordered. But not 100% not 100% cotton, cotton, and the description does not match the merchandise. Negative Ratings")</f>
        <v>It sent the wrong style, printing not what I ordered. But not 100% not 100% cotton, cotton, and the description does not match the merchandise. Negative Ratings</v>
      </c>
    </row>
    <row r="11538">
      <c r="A11538" s="1">
        <v>1.0</v>
      </c>
      <c r="B11538" s="1" t="s">
        <v>11442</v>
      </c>
      <c r="C11538" t="str">
        <f>IFERROR(__xludf.DUMMYFUNCTION("GOOGLETRANSLATE(B11538, ""zh"", ""en"")"),"Return the problem size is too large, the return shipping costs 125 yuan, in fact, returned 0.15 yuan, like moving people!")</f>
        <v>Return the problem size is too large, the return shipping costs 125 yuan, in fact, returned 0.15 yuan, like moving people!</v>
      </c>
    </row>
    <row r="11539">
      <c r="A11539" s="1">
        <v>1.0</v>
      </c>
      <c r="B11539" s="1" t="s">
        <v>11443</v>
      </c>
      <c r="C11539" t="str">
        <f>IFERROR(__xludf.DUMMYFUNCTION("GOOGLETRANSLATE(B11539, ""zh"", ""en"")"),"Poor shoe size chart is very good, but the shopping is very happy, about the size of the problem more than a week did not solve. Now the size of the table after the change, according to the original size of the table to buy back a large two yards, simply "&amp;"can not wear, looking for customer service can not solve anything, really helpless")</f>
        <v>Poor shoe size chart is very good, but the shopping is very happy, about the size of the problem more than a week did not solve. Now the size of the table after the change, according to the original size of the table to buy back a large two yards, simply can not wear, looking for customer service can not solve anything, really helpless</v>
      </c>
    </row>
    <row r="11540">
      <c r="A11540" s="1">
        <v>4.0</v>
      </c>
      <c r="B11540" s="1" t="s">
        <v>11444</v>
      </c>
      <c r="C11540" t="str">
        <f>IFERROR(__xludf.DUMMYFUNCTION("GOOGLETRANSLATE(B11540, ""zh"", ""en"")"),"Cost-effective cost-effective pricey.")</f>
        <v>Cost-effective cost-effective pricey.</v>
      </c>
    </row>
    <row r="11541">
      <c r="A11541" s="1">
        <v>4.0</v>
      </c>
      <c r="B11541" s="1" t="s">
        <v>11445</v>
      </c>
      <c r="C11541" t="str">
        <f>IFERROR(__xludf.DUMMYFUNCTION("GOOGLETRANSLATE(B11541, ""zh"", ""en"")"),", Very good, that is smaller than the picture of the dial a little to the overall still can")</f>
        <v>, Very good, that is smaller than the picture of the dial a little to the overall still can</v>
      </c>
    </row>
    <row r="11542">
      <c r="A11542" s="1">
        <v>4.0</v>
      </c>
      <c r="B11542" s="1" t="s">
        <v>11446</v>
      </c>
      <c r="C11542" t="str">
        <f>IFERROR(__xludf.DUMMYFUNCTION("GOOGLETRANSLATE(B11542, ""zh"", ""en"")"),"Wearing stylish fabrics have a greater shrinkage, wearing stylish")</f>
        <v>Wearing stylish fabrics have a greater shrinkage, wearing stylish</v>
      </c>
    </row>
    <row r="11543">
      <c r="A11543" s="1">
        <v>4.0</v>
      </c>
      <c r="B11543" s="1" t="s">
        <v>11447</v>
      </c>
      <c r="C11543" t="str">
        <f>IFERROR(__xludf.DUMMYFUNCTION("GOOGLETRANSLATE(B11543, ""zh"", ""en"")"),"Some scientific and technological content, good price, simple and elegant, feeling slightly smaller size!")</f>
        <v>Some scientific and technological content, good price, simple and elegant, feeling slightly smaller size!</v>
      </c>
    </row>
    <row r="11544">
      <c r="A11544" s="1">
        <v>4.0</v>
      </c>
      <c r="B11544" s="1" t="s">
        <v>11448</v>
      </c>
      <c r="C11544" t="str">
        <f>IFERROR(__xludf.DUMMYFUNCTION("GOOGLETRANSLATE(B11544, ""zh"", ""en"")"),"Transportation losses broken a lot of other good, and so used to say")</f>
        <v>Transportation losses broken a lot of other good, and so used to say</v>
      </c>
    </row>
    <row r="11545">
      <c r="A11545" s="1">
        <v>5.0</v>
      </c>
      <c r="B11545" s="1" t="s">
        <v>11449</v>
      </c>
      <c r="C11545" t="str">
        <f>IFERROR(__xludf.DUMMYFUNCTION("GOOGLETRANSLATE(B11545, ""zh"", ""en"")"),"Like the children at home with all this, really like this brand")</f>
        <v>Like the children at home with all this, really like this brand</v>
      </c>
    </row>
    <row r="11546">
      <c r="A11546" s="1">
        <v>5.0</v>
      </c>
      <c r="B11546" s="1" t="s">
        <v>11450</v>
      </c>
      <c r="C11546" t="str">
        <f>IFERROR(__xludf.DUMMYFUNCTION("GOOGLETRANSLATE(B11546, ""zh"", ""en"")"),"very good. Not from the previous evaluation, I do not know how many wasted points, points can change money now know, they should look carefully evaluated, then I put these words to copy to go, both to earn points, but also save trouble, they go where copy"&amp;" , sent directly to it, recommend it to everyone!")</f>
        <v>very good. Not from the previous evaluation, I do not know how many wasted points, points can change money now know, they should look carefully evaluated, then I put these words to copy to go, both to earn points, but also save trouble, they go where copy , sent directly to it, recommend it to everyone!</v>
      </c>
    </row>
    <row r="11547">
      <c r="A11547" s="1">
        <v>5.0</v>
      </c>
      <c r="B11547" s="1" t="s">
        <v>11451</v>
      </c>
      <c r="C11547" t="str">
        <f>IFERROR(__xludf.DUMMYFUNCTION("GOOGLETRANSLATE(B11547, ""zh"", ""en"")"),"Yes 173,75 wear suitable, good 👍")</f>
        <v>Yes 173,75 wear suitable, good 👍</v>
      </c>
    </row>
    <row r="11548">
      <c r="A11548" s="1">
        <v>5.0</v>
      </c>
      <c r="B11548" s="1" t="s">
        <v>11452</v>
      </c>
      <c r="C11548" t="str">
        <f>IFERROR(__xludf.DUMMYFUNCTION("GOOGLETRANSLATE(B11548, ""zh"", ""en"")"),"Smooth flow EF nib with catfish Heart of Darkness, the thickness is appropriate for Chinese writing, flexible nib smooth, writing fluency, great!")</f>
        <v>Smooth flow EF nib with catfish Heart of Darkness, the thickness is appropriate for Chinese writing, flexible nib smooth, writing fluency, great!</v>
      </c>
    </row>
    <row r="11549">
      <c r="A11549" s="1">
        <v>5.0</v>
      </c>
      <c r="B11549" s="1" t="s">
        <v>11453</v>
      </c>
      <c r="C11549" t="str">
        <f>IFERROR(__xludf.DUMMYFUNCTION("GOOGLETRANSLATE(B11549, ""zh"", ""en"")"),"Easy to use good, very easy to use, it is a little expensive.")</f>
        <v>Easy to use good, very easy to use, it is a little expensive.</v>
      </c>
    </row>
    <row r="11550">
      <c r="A11550" s="1">
        <v>5.0</v>
      </c>
      <c r="B11550" s="1" t="s">
        <v>11454</v>
      </c>
      <c r="C11550" t="str">
        <f>IFERROR(__xludf.DUMMYFUNCTION("GOOGLETRANSLATE(B11550, ""zh"", ""en"")"),"Perfect for my wife buy, read everyone's comments selected size is very fit, the price is beautiful, my wife liked")</f>
        <v>Perfect for my wife buy, read everyone's comments selected size is very fit, the price is beautiful, my wife liked</v>
      </c>
    </row>
    <row r="11551">
      <c r="A11551" s="1">
        <v>5.0</v>
      </c>
      <c r="B11551" s="1" t="s">
        <v>11455</v>
      </c>
      <c r="C11551" t="str">
        <f>IFERROR(__xludf.DUMMYFUNCTION("GOOGLETRANSLATE(B11551, ""zh"", ""en"")"),"The right size is very like the right size")</f>
        <v>The right size is very like the right size</v>
      </c>
    </row>
    <row r="11552">
      <c r="A11552" s="1">
        <v>5.0</v>
      </c>
      <c r="B11552" s="1" t="s">
        <v>11456</v>
      </c>
      <c r="C11552" t="str">
        <f>IFERROR(__xludf.DUMMYFUNCTION("GOOGLETRANSLATE(B11552, ""zh"", ""en"")"),"Beautiful daughter to help a friend buy, like pretty appropriate expected, really like")</f>
        <v>Beautiful daughter to help a friend buy, like pretty appropriate expected, really like</v>
      </c>
    </row>
    <row r="11553">
      <c r="A11553" s="1">
        <v>5.0</v>
      </c>
      <c r="B11553" s="1" t="s">
        <v>11457</v>
      </c>
      <c r="C11553" t="str">
        <f>IFERROR(__xludf.DUMMYFUNCTION("GOOGLETRANSLATE(B11553, ""zh"", ""en"")"),"43 yards usually good shoes, sports shoes 44 are suitable")</f>
        <v>43 yards usually good shoes, sports shoes 44 are suitable</v>
      </c>
    </row>
    <row r="11554">
      <c r="A11554" s="1">
        <v>5.0</v>
      </c>
      <c r="B11554" s="1" t="s">
        <v>11458</v>
      </c>
      <c r="C11554" t="str">
        <f>IFERROR(__xludf.DUMMYFUNCTION("GOOGLETRANSLATE(B11554, ""zh"", ""en"")"),"Good color pants just the right size, no problem")</f>
        <v>Good color pants just the right size, no problem</v>
      </c>
    </row>
    <row r="11555">
      <c r="A11555" s="1">
        <v>5.0</v>
      </c>
      <c r="B11555" s="1" t="s">
        <v>11459</v>
      </c>
      <c r="C11555" t="str">
        <f>IFERROR(__xludf.DUMMYFUNCTION("GOOGLETRANSLATE(B11555, ""zh"", ""en"")"),"Like 250mm feet, 8.5 yards just right. like")</f>
        <v>Like 250mm feet, 8.5 yards just right. like</v>
      </c>
    </row>
    <row r="11556">
      <c r="A11556" s="1">
        <v>5.0</v>
      </c>
      <c r="B11556" s="1" t="s">
        <v>11460</v>
      </c>
      <c r="C11556" t="str">
        <f>IFERROR(__xludf.DUMMYFUNCTION("GOOGLETRANSLATE(B11556, ""zh"", ""en"")"),"Very practical, very convenient with the introduction of this tool, developed many dishes. Very practical, very convenient.")</f>
        <v>Very practical, very convenient with the introduction of this tool, developed many dishes. Very practical, very convenient.</v>
      </c>
    </row>
    <row r="11557">
      <c r="A11557" s="1">
        <v>5.0</v>
      </c>
      <c r="B11557" s="1" t="s">
        <v>11461</v>
      </c>
      <c r="C11557" t="str">
        <f>IFERROR(__xludf.DUMMYFUNCTION("GOOGLETRANSLATE(B11557, ""zh"", ""en"")"),"it is good! Very good with the children to feed from a bottle to a pro, and then fed from the parent to baby bottles, barrier-free transition, boiled disinfection no problem, and now every day, the children liked it, recommended to buy! Taobao than domest"&amp;"ic, maternal stores cheaper")</f>
        <v>it is good! Very good with the children to feed from a bottle to a pro, and then fed from the parent to baby bottles, barrier-free transition, boiled disinfection no problem, and now every day, the children liked it, recommended to buy! Taobao than domestic, maternal stores cheaper</v>
      </c>
    </row>
    <row r="11558">
      <c r="A11558" s="1">
        <v>5.0</v>
      </c>
      <c r="B11558" s="1" t="s">
        <v>11462</v>
      </c>
      <c r="C11558" t="str">
        <f>IFERROR(__xludf.DUMMYFUNCTION("GOOGLETRANSLATE(B11558, ""zh"", ""en"")"),"Buy the largest yards, very satisfied! With the expected almost, than the thick Uniqlo, a little white off-white, very flexible, thigh still a little tight, winter wear skirts to school, afraid bloated. Buy two for the wear!")</f>
        <v>Buy the largest yards, very satisfied! With the expected almost, than the thick Uniqlo, a little white off-white, very flexible, thigh still a little tight, winter wear skirts to school, afraid bloated. Buy two for the wear!</v>
      </c>
    </row>
    <row r="11559">
      <c r="A11559" s="1">
        <v>5.0</v>
      </c>
      <c r="B11559" s="1" t="s">
        <v>11463</v>
      </c>
      <c r="C11559" t="str">
        <f>IFERROR(__xludf.DUMMYFUNCTION("GOOGLETRANSLATE(B11559, ""zh"", ""en"")"),"Centrum men under the age of 50 years of recipes using the brand, the packaging labeled non-GMO, gluten-free! OTC formulations and domestic needs further comparison!")</f>
        <v>Centrum men under the age of 50 years of recipes using the brand, the packaging labeled non-GMO, gluten-free! OTC formulations and domestic needs further comparison!</v>
      </c>
    </row>
    <row r="11560">
      <c r="A11560" s="1">
        <v>5.0</v>
      </c>
      <c r="B11560" s="1" t="s">
        <v>11464</v>
      </c>
      <c r="C11560" t="str">
        <f>IFERROR(__xludf.DUMMYFUNCTION("GOOGLETRANSLATE(B11560, ""zh"", ""en"")"),"Good good shoes, above the matte, the whole skin following suede, good price ~")</f>
        <v>Good good shoes, above the matte, the whole skin following suede, good price ~</v>
      </c>
    </row>
    <row r="11561">
      <c r="A11561" s="1">
        <v>5.0</v>
      </c>
      <c r="B11561" s="1" t="s">
        <v>11465</v>
      </c>
      <c r="C11561" t="str">
        <f>IFERROR(__xludf.DUMMYFUNCTION("GOOGLETRANSLATE(B11561, ""zh"", ""en"")"),"Himself into a set of easy to use! Before help my colleagues to buy a good listen to him with feedback so himself into a set of cheap and easy")</f>
        <v>Himself into a set of easy to use! Before help my colleagues to buy a good listen to him with feedback so himself into a set of cheap and easy</v>
      </c>
    </row>
    <row r="11562">
      <c r="A11562" s="1">
        <v>5.0</v>
      </c>
      <c r="B11562" s="1" t="s">
        <v>11466</v>
      </c>
      <c r="C11562" t="str">
        <f>IFERROR(__xludf.DUMMYFUNCTION("GOOGLETRANSLATE(B11562, ""zh"", ""en"")"),"Cost-effective to buy time did not see is plastic, but it is still very handy to feed. Baby like, eat happy. Authentic, cheaper than the domestic half.")</f>
        <v>Cost-effective to buy time did not see is plastic, but it is still very handy to feed. Baby like, eat happy. Authentic, cheaper than the domestic half.</v>
      </c>
    </row>
    <row r="11563">
      <c r="A11563" s="1">
        <v>5.0</v>
      </c>
      <c r="B11563" s="1" t="s">
        <v>11467</v>
      </c>
      <c r="C11563" t="str">
        <f>IFERROR(__xludf.DUMMYFUNCTION("GOOGLETRANSLATE(B11563, ""zh"", ""en"")"),"Yen value of more than 200 first-class black five, the actual commodity color than the picture to look good color, color value class, like two people. Made in China, a little regret.")</f>
        <v>Yen value of more than 200 first-class black five, the actual commodity color than the picture to look good color, color value class, like two people. Made in China, a little regret.</v>
      </c>
    </row>
    <row r="11564">
      <c r="A11564" s="1">
        <v>5.0</v>
      </c>
      <c r="B11564" s="1" t="s">
        <v>11468</v>
      </c>
      <c r="C11564" t="str">
        <f>IFERROR(__xludf.DUMMYFUNCTION("GOOGLETRANSLATE(B11564, ""zh"", ""en"")"),"Fit may be a bit shorter, right size, the length is a little short, then an inch or two inches long enough.")</f>
        <v>Fit may be a bit shorter, right size, the length is a little short, then an inch or two inches long enough.</v>
      </c>
    </row>
    <row r="11565">
      <c r="A11565" s="1">
        <v>5.0</v>
      </c>
      <c r="B11565" s="1" t="s">
        <v>11469</v>
      </c>
      <c r="C11565" t="str">
        <f>IFERROR(__xludf.DUMMYFUNCTION("GOOGLETRANSLATE(B11565, ""zh"", ""en"")"),"it is good! Very good, like her husband! Pretty good")</f>
        <v>it is good! Very good, like her husband! Pretty good</v>
      </c>
    </row>
    <row r="11566">
      <c r="A11566" s="1">
        <v>2.0</v>
      </c>
      <c r="B11566" s="1" t="s">
        <v>11470</v>
      </c>
      <c r="C11566" t="str">
        <f>IFERROR(__xludf.DUMMYFUNCTION("GOOGLETRANSLATE(B11566, ""zh"", ""en"")"),"No no I received insoles insoles estimate they not")</f>
        <v>No no I received insoles insoles estimate they not</v>
      </c>
    </row>
    <row r="11567">
      <c r="A11567" s="1">
        <v>3.0</v>
      </c>
      <c r="B11567" s="1" t="s">
        <v>11471</v>
      </c>
      <c r="C11567" t="str">
        <f>IFERROR(__xludf.DUMMYFUNCTION("GOOGLETRANSLATE(B11567, ""zh"", ""en"")"),"Work feeling very rough work, wondering if the real thing")</f>
        <v>Work feeling very rough work, wondering if the real thing</v>
      </c>
    </row>
    <row r="11568">
      <c r="A11568" s="1">
        <v>3.0</v>
      </c>
      <c r="B11568" s="1" t="s">
        <v>11472</v>
      </c>
      <c r="C11568" t="str">
        <f>IFERROR(__xludf.DUMMYFUNCTION("GOOGLETRANSLATE(B11568, ""zh"", ""en"")"),"Okay made in China, centered color, the right size!")</f>
        <v>Okay made in China, centered color, the right size!</v>
      </c>
    </row>
    <row r="11569">
      <c r="A11569" s="1">
        <v>3.0</v>
      </c>
      <c r="B11569" s="1" t="s">
        <v>11473</v>
      </c>
      <c r="C11569" t="str">
        <f>IFERROR(__xludf.DUMMYFUNCTION("GOOGLETRANSLATE(B11569, ""zh"", ""en"")"),"Slightly tasteless usually in the refrigerator, use after cleansing in the morning, cool and very comfortable, but good moisture absorption force general")</f>
        <v>Slightly tasteless usually in the refrigerator, use after cleansing in the morning, cool and very comfortable, but good moisture absorption force general</v>
      </c>
    </row>
    <row r="11570">
      <c r="A11570" s="1">
        <v>1.0</v>
      </c>
      <c r="B11570" s="1" t="s">
        <v>11474</v>
      </c>
      <c r="C11570" t="str">
        <f>IFERROR(__xludf.DUMMYFUNCTION("GOOGLETRANSLATE(B11570, ""zh"", ""en"")"),"Maoku suck, suck hair black models easily, be careful to buy Maoku suck, suck hair black models easily, be careful to buy")</f>
        <v>Maoku suck, suck hair black models easily, be careful to buy Maoku suck, suck hair black models easily, be careful to buy</v>
      </c>
    </row>
    <row r="11571">
      <c r="A11571" s="1">
        <v>1.0</v>
      </c>
      <c r="B11571" s="1" t="s">
        <v>11475</v>
      </c>
      <c r="C11571" t="str">
        <f>IFERROR(__xludf.DUMMYFUNCTION("GOOGLETRANSLATE(B11571, ""zh"", ""en"")"),"Poor quality only wear a few days to crack the vamp, the poor quality")</f>
        <v>Poor quality only wear a few days to crack the vamp, the poor quality</v>
      </c>
    </row>
    <row r="11572">
      <c r="A11572" s="1">
        <v>1.0</v>
      </c>
      <c r="B11572" s="1" t="s">
        <v>11476</v>
      </c>
      <c r="C11572" t="str">
        <f>IFERROR(__xludf.DUMMYFUNCTION("GOOGLETRANSLATE(B11572, ""zh"", ""en"")"),"Packing sucks even a packing box is not installed, you receive the boxes are dilapidated")</f>
        <v>Packing sucks even a packing box is not installed, you receive the boxes are dilapidated</v>
      </c>
    </row>
    <row r="11573">
      <c r="A11573" s="1">
        <v>4.0</v>
      </c>
      <c r="B11573" s="1" t="s">
        <v>11477</v>
      </c>
      <c r="C11573" t="str">
        <f>IFERROR(__xludf.DUMMYFUNCTION("GOOGLETRANSLATE(B11573, ""zh"", ""en"")"),"Shoes, big shoes a little bit big point of 44, is currently not pad insole, make a comment, I do not know how the figure, to wear day, the upper sub there, they just opened, to wear for a long time,")</f>
        <v>Shoes, big shoes a little bit big point of 44, is currently not pad insole, make a comment, I do not know how the figure, to wear day, the upper sub there, they just opened, to wear for a long time,</v>
      </c>
    </row>
    <row r="11574">
      <c r="A11574" s="1">
        <v>4.0</v>
      </c>
      <c r="B11574" s="1" t="s">
        <v>11478</v>
      </c>
      <c r="C11574" t="str">
        <f>IFERROR(__xludf.DUMMYFUNCTION("GOOGLETRANSLATE(B11574, ""zh"", ""en"")"),"Generally does not take long to suck live, big kids strength, then suck also ripped off, and plastic products, it did not take long bowl scratched")</f>
        <v>Generally does not take long to suck live, big kids strength, then suck also ripped off, and plastic products, it did not take long bowl scratched</v>
      </c>
    </row>
    <row r="11575">
      <c r="A11575" s="1">
        <v>4.0</v>
      </c>
      <c r="B11575" s="1" t="s">
        <v>11479</v>
      </c>
      <c r="C11575" t="str">
        <f>IFERROR(__xludf.DUMMYFUNCTION("GOOGLETRANSLATE(B11575, ""zh"", ""en"")"),"Very light, the material is a little transparent mesh belt, through a little bit, which need to wear long underwear models")</f>
        <v>Very light, the material is a little transparent mesh belt, through a little bit, which need to wear long underwear models</v>
      </c>
    </row>
    <row r="11576">
      <c r="A11576" s="1">
        <v>4.0</v>
      </c>
      <c r="B11576" s="1" t="s">
        <v>11480</v>
      </c>
      <c r="C11576" t="str">
        <f>IFERROR(__xludf.DUMMYFUNCTION("GOOGLETRANSLATE(B11576, ""zh"", ""en"")"),"Good quality! Very comfortable, very sexy beautiful, it is designed to have a front crease rather special, but does not affect")</f>
        <v>Good quality! Very comfortable, very sexy beautiful, it is designed to have a front crease rather special, but does not affect</v>
      </c>
    </row>
    <row r="11577">
      <c r="A11577" s="1">
        <v>4.0</v>
      </c>
      <c r="B11577" s="1" t="s">
        <v>11481</v>
      </c>
      <c r="C11577" t="str">
        <f>IFERROR(__xludf.DUMMYFUNCTION("GOOGLETRANSLATE(B11577, ""zh"", ""en"")"),"Light and comfortable breathable insulation effect is very good.")</f>
        <v>Light and comfortable breathable insulation effect is very good.</v>
      </c>
    </row>
    <row r="11578">
      <c r="A11578" s="1">
        <v>5.0</v>
      </c>
      <c r="B11578" s="1" t="s">
        <v>11482</v>
      </c>
      <c r="C11578" t="str">
        <f>IFERROR(__xludf.DUMMYFUNCTION("GOOGLETRANSLATE(B11578, ""zh"", ""en"")"),"Good good quality, cotton, and also fit.")</f>
        <v>Good good quality, cotton, and also fit.</v>
      </c>
    </row>
    <row r="11579">
      <c r="A11579" s="1">
        <v>5.0</v>
      </c>
      <c r="B11579" s="1" t="s">
        <v>11483</v>
      </c>
      <c r="C11579" t="str">
        <f>IFERROR(__xludf.DUMMYFUNCTION("GOOGLETRANSLATE(B11579, ""zh"", ""en"")"),"Cost-effective first hand feel very solid, though not thick, but spring and autumn travel enough, coupled with thin fleece or down, to believe in crossing are sufficient to cope. European and American version will feel long sleeves, can accept. Colors loo"&amp;"k good, do not worry filled. The key is the price (300 RMB), certainly can not buy online! However, Amazon's price up or Change, just like stocks stimulated!")</f>
        <v>Cost-effective first hand feel very solid, though not thick, but spring and autumn travel enough, coupled with thin fleece or down, to believe in crossing are sufficient to cope. European and American version will feel long sleeves, can accept. Colors look good, do not worry filled. The key is the price (300 RMB), certainly can not buy online! However, Amazon's price up or Change, just like stocks stimulated!</v>
      </c>
    </row>
    <row r="11580">
      <c r="A11580" s="1">
        <v>5.0</v>
      </c>
      <c r="B11580" s="1" t="s">
        <v>11484</v>
      </c>
      <c r="C11580" t="str">
        <f>IFERROR(__xludf.DUMMYFUNCTION("GOOGLETRANSLATE(B11580, ""zh"", ""en"")"),"Good quality clothes, 178cm, 70KG, M code Slim")</f>
        <v>Good quality clothes, 178cm, 70KG, M code Slim</v>
      </c>
    </row>
    <row r="11581">
      <c r="A11581" s="1">
        <v>5.0</v>
      </c>
      <c r="B11581" s="1" t="s">
        <v>11485</v>
      </c>
      <c r="C11581" t="str">
        <f>IFERROR(__xludf.DUMMYFUNCTION("GOOGLETRANSLATE(B11581, ""zh"", ""en"")"),"Genuine better than expected, is the logistics slower, but the cost is worth starting, authentic")</f>
        <v>Genuine better than expected, is the logistics slower, but the cost is worth starting, authentic</v>
      </c>
    </row>
    <row r="11582">
      <c r="A11582" s="1">
        <v>5.0</v>
      </c>
      <c r="B11582" s="1" t="s">
        <v>11486</v>
      </c>
      <c r="C11582" t="str">
        <f>IFERROR(__xludf.DUMMYFUNCTION("GOOGLETRANSLATE(B11582, ""zh"", ""en"")"),"Easy to use no taste, it is not with the baby, still in practice.")</f>
        <v>Easy to use no taste, it is not with the baby, still in practice.</v>
      </c>
    </row>
    <row r="11583">
      <c r="A11583" s="1">
        <v>5.0</v>
      </c>
      <c r="B11583" s="1" t="s">
        <v>11487</v>
      </c>
      <c r="C11583" t="str">
        <f>IFERROR(__xludf.DUMMYFUNCTION("GOOGLETRANSLATE(B11583, ""zh"", ""en"")"),"Chinese Coffee improved! When used to drink coffee and tea good, fast out of hot water, the water can be adjusted, tea and coffee with more than")</f>
        <v>Chinese Coffee improved! When used to drink coffee and tea good, fast out of hot water, the water can be adjusted, tea and coffee with more than</v>
      </c>
    </row>
    <row r="11584">
      <c r="A11584" s="1">
        <v>5.0</v>
      </c>
      <c r="B11584" s="1" t="s">
        <v>11488</v>
      </c>
      <c r="C11584" t="str">
        <f>IFERROR(__xludf.DUMMYFUNCTION("GOOGLETRANSLATE(B11584, ""zh"", ""en"")"),"Beyerdynamic headphones very good, Baia headset for the first time to buy big-ear than the sound field")</f>
        <v>Beyerdynamic headphones very good, Baia headset for the first time to buy big-ear than the sound field</v>
      </c>
    </row>
    <row r="11585">
      <c r="A11585" s="1">
        <v>5.0</v>
      </c>
      <c r="B11585" s="1" t="s">
        <v>11489</v>
      </c>
      <c r="C11585" t="str">
        <f>IFERROR(__xludf.DUMMYFUNCTION("GOOGLETRANSLATE(B11585, ""zh"", ""en"")"),"The price is pretty good, as well as what to say, the general price hand, running and occasionally listening to music, watching videos usually lying down with, very satisfied")</f>
        <v>The price is pretty good, as well as what to say, the general price hand, running and occasionally listening to music, watching videos usually lying down with, very satisfied</v>
      </c>
    </row>
    <row r="11586">
      <c r="A11586" s="1">
        <v>5.0</v>
      </c>
      <c r="B11586" s="1" t="s">
        <v>11490</v>
      </c>
      <c r="C11586" t="str">
        <f>IFERROR(__xludf.DUMMYFUNCTION("GOOGLETRANSLATE(B11586, ""zh"", ""en"")"),"Version good right size, very fit, good quality and at the same time buy T than other brands.")</f>
        <v>Version good right size, very fit, good quality and at the same time buy T than other brands.</v>
      </c>
    </row>
    <row r="11587">
      <c r="A11587" s="1">
        <v>5.0</v>
      </c>
      <c r="B11587" s="1" t="s">
        <v>11491</v>
      </c>
      <c r="C11587" t="str">
        <f>IFERROR(__xludf.DUMMYFUNCTION("GOOGLETRANSLATE(B11587, ""zh"", ""en"")"),"Black five special praise to buy, buy this price is very satisfied with the kinetic energy of the light, table than expected thick, belt is very hard, others are good")</f>
        <v>Black five special praise to buy, buy this price is very satisfied with the kinetic energy of the light, table than expected thick, belt is very hard, others are good</v>
      </c>
    </row>
    <row r="11588">
      <c r="A11588" s="1">
        <v>5.0</v>
      </c>
      <c r="B11588" s="1" t="s">
        <v>11492</v>
      </c>
      <c r="C11588" t="str">
        <f>IFERROR(__xludf.DUMMYFUNCTION("GOOGLETRANSLATE(B11588, ""zh"", ""en"")"),"It seems a lot more than made handy little feature, but only the basic functions.")</f>
        <v>It seems a lot more than made handy little feature, but only the basic functions.</v>
      </c>
    </row>
    <row r="11589">
      <c r="A11589" s="1">
        <v>5.0</v>
      </c>
      <c r="B11589" s="1" t="s">
        <v>11493</v>
      </c>
      <c r="C11589" t="str">
        <f>IFERROR(__xludf.DUMMYFUNCTION("GOOGLETRANSLATE(B11589, ""zh"", ""en"")"),"Use good sense arrived faster than I expected, 10 days arrival, very pleasant surprise, this is a 2.4L capacity, arrival immediately trial, said on a treasure there will be no black toner into the water")</f>
        <v>Use good sense arrived faster than I expected, 10 days arrival, very pleasant surprise, this is a 2.4L capacity, arrival immediately trial, said on a treasure there will be no black toner into the water</v>
      </c>
    </row>
    <row r="11590">
      <c r="A11590" s="1">
        <v>5.0</v>
      </c>
      <c r="B11590" s="1" t="s">
        <v>11494</v>
      </c>
      <c r="C11590" t="str">
        <f>IFERROR(__xludf.DUMMYFUNCTION("GOOGLETRANSLATE(B11590, ""zh"", ""en"")"),"Very good right size, can be loaded ipad mini, and some debris or umbrellas, enough to put a small pocket like loose change and bus cards, convenient commute. Leather, work is also very good, satisfactory, now go to work on with this, to messenger bags th"&amp;"rown aside")</f>
        <v>Very good right size, can be loaded ipad mini, and some debris or umbrellas, enough to put a small pocket like loose change and bus cards, convenient commute. Leather, work is also very good, satisfactory, now go to work on with this, to messenger bags thrown aside</v>
      </c>
    </row>
    <row r="11591">
      <c r="A11591" s="1">
        <v>5.0</v>
      </c>
      <c r="B11591" s="1" t="s">
        <v>11495</v>
      </c>
      <c r="C11591" t="str">
        <f>IFERROR(__xludf.DUMMYFUNCTION("GOOGLETRANSLATE(B11591, ""zh"", ""en"")"),"Like genuine is genuine, the price is suitable, it'll be OK")</f>
        <v>Like genuine is genuine, the price is suitable, it'll be OK</v>
      </c>
    </row>
    <row r="11592">
      <c r="A11592" s="1">
        <v>5.0</v>
      </c>
      <c r="B11592" s="1" t="s">
        <v>11496</v>
      </c>
      <c r="C11592" t="str">
        <f>IFERROR(__xludf.DUMMYFUNCTION("GOOGLETRANSLATE(B11592, ""zh"", ""en"")"),"Good value for money really good stuff, running some noise, but very small, just do not understand how to do this stuff warranty problem?")</f>
        <v>Good value for money really good stuff, running some noise, but very small, just do not understand how to do this stuff warranty problem?</v>
      </c>
    </row>
    <row r="11593">
      <c r="A11593" s="1">
        <v>5.0</v>
      </c>
      <c r="B11593" s="1" t="s">
        <v>11497</v>
      </c>
      <c r="C11593" t="str">
        <f>IFERROR(__xludf.DUMMYFUNCTION("GOOGLETRANSLATE(B11593, ""zh"", ""en"")"),"very good. Very easy to use, just ½ turn knob closed, the design is very good. Color is very soft, very good insulation properties, very satisfied!")</f>
        <v>very good. Very easy to use, just ½ turn knob closed, the design is very good. Color is very soft, very good insulation properties, very satisfied!</v>
      </c>
    </row>
    <row r="11594">
      <c r="A11594" s="1">
        <v>5.0</v>
      </c>
      <c r="B11594" s="1" t="s">
        <v>11498</v>
      </c>
      <c r="C11594" t="str">
        <f>IFERROR(__xludf.DUMMYFUNCTION("GOOGLETRANSLATE(B11594, ""zh"", ""en"")"),"sexy man quality was okay, kinda sexy to say")</f>
        <v>sexy man quality was okay, kinda sexy to say</v>
      </c>
    </row>
    <row r="11595">
      <c r="A11595" s="1">
        <v>5.0</v>
      </c>
      <c r="B11595" s="1" t="s">
        <v>11499</v>
      </c>
      <c r="C11595" t="str">
        <f>IFERROR(__xludf.DUMMYFUNCTION("GOOGLETRANSLATE(B11595, ""zh"", ""en"")"),"Highly recommended is cheap and easy cheap and easy cost-effective than domestic")</f>
        <v>Highly recommended is cheap and easy cheap and easy cost-effective than domestic</v>
      </c>
    </row>
    <row r="11596">
      <c r="A11596" s="1">
        <v>5.0</v>
      </c>
      <c r="B11596" s="1" t="s">
        <v>11500</v>
      </c>
      <c r="C11596" t="str">
        <f>IFERROR(__xludf.DUMMYFUNCTION("GOOGLETRANSLATE(B11596, ""zh"", ""en"")"),"Than domestic saving a lot of good, the only downside is 120V with a transformer to use. Use for some time the actual power up several FIG. 0.6a is Konghao current transformer. Time doing use of power is 1275w. 1140 is the subject of the machine. Since th"&amp;"e frequency is not the same. Therefore, the power difference. I do not know a great impact on the life of not.")</f>
        <v>Than domestic saving a lot of good, the only downside is 120V with a transformer to use. Use for some time the actual power up several FIG. 0.6a is Konghao current transformer. Time doing use of power is 1275w. 1140 is the subject of the machine. Since the frequency is not the same. Therefore, the power difference. I do not know a great impact on the life of not.</v>
      </c>
    </row>
    <row r="11597">
      <c r="A11597" s="1">
        <v>5.0</v>
      </c>
      <c r="B11597" s="1" t="s">
        <v>11501</v>
      </c>
      <c r="C11597" t="str">
        <f>IFERROR(__xludf.DUMMYFUNCTION("GOOGLETRANSLATE(B11597, ""zh"", ""en"")"),"Well, as always, good! The pen is made in China, the ink is made in France.")</f>
        <v>Well, as always, good! The pen is made in China, the ink is made in France.</v>
      </c>
    </row>
    <row r="11598">
      <c r="A11598" s="1">
        <v>5.0</v>
      </c>
      <c r="B11598" s="1" t="s">
        <v>11502</v>
      </c>
      <c r="C11598" t="str">
        <f>IFERROR(__xludf.DUMMYFUNCTION("GOOGLETRANSLATE(B11598, ""zh"", ""en"")"),"Comfortable to wear once, I do not want to buy the other's underwear")</f>
        <v>Comfortable to wear once, I do not want to buy the other's underwear</v>
      </c>
    </row>
    <row r="11599">
      <c r="A11599" s="1">
        <v>5.0</v>
      </c>
      <c r="B11599" s="1" t="s">
        <v>11503</v>
      </c>
      <c r="C11599" t="str">
        <f>IFERROR(__xludf.DUMMYFUNCTION("GOOGLETRANSLATE(B11599, ""zh"", ""en"")"),"Packaging should be safe again I had a few sets of cardboard boxes to send back across the sea, and even shockproof bags are not stuffed, but fortunately no problem.")</f>
        <v>Packaging should be safe again I had a few sets of cardboard boxes to send back across the sea, and even shockproof bags are not stuffed, but fortunately no problem.</v>
      </c>
    </row>
    <row r="11600">
      <c r="A11600" s="1">
        <v>2.0</v>
      </c>
      <c r="B11600" s="1" t="s">
        <v>11504</v>
      </c>
      <c r="C11600" t="str">
        <f>IFERROR(__xludf.DUMMYFUNCTION("GOOGLETRANSLATE(B11600, ""zh"", ""en"")"),"Very mini, nor with lanyard, very easy to fall, to see work is also more general, speed is very unstable, constantly beating between several 0-20m. Very mini, nor with lanyard, very easy to fall, to see work is also more general, speed is very unstable, c"&amp;"onstantly beating between several 0-20m.")</f>
        <v>Very mini, nor with lanyard, very easy to fall, to see work is also more general, speed is very unstable, constantly beating between several 0-20m. Very mini, nor with lanyard, very easy to fall, to see work is also more general, speed is very unstable, constantly beating between several 0-20m.</v>
      </c>
    </row>
    <row r="11601">
      <c r="A11601" s="1">
        <v>3.0</v>
      </c>
      <c r="B11601" s="1" t="s">
        <v>11505</v>
      </c>
      <c r="C11601" t="str">
        <f>IFERROR(__xludf.DUMMYFUNCTION("GOOGLETRANSLATE(B11601, ""zh"", ""en"")"),"Slim a star, that's what self-cultivation, like trumpet trousers")</f>
        <v>Slim a star, that's what self-cultivation, like trumpet trousers</v>
      </c>
    </row>
    <row r="11602">
      <c r="A11602" s="1">
        <v>3.0</v>
      </c>
      <c r="B11602" s="1" t="s">
        <v>11506</v>
      </c>
      <c r="C11602" t="str">
        <f>IFERROR(__xludf.DUMMYFUNCTION("GOOGLETRANSLATE(B11602, ""zh"", ""en"")"),"Read before impractical too Tweets introduce this smiley face plate, is mad grass, Amazon has been able to find the cheapest channel. After hand the quality is actually pretty good, looks very cute, but my baby 10 months, the second meal to master the ski"&amp;"ll, every minute opened the significance of a rejection, the sucker does not exist, might as well put things straight throw desktop eat.")</f>
        <v>Read before impractical too Tweets introduce this smiley face plate, is mad grass, Amazon has been able to find the cheapest channel. After hand the quality is actually pretty good, looks very cute, but my baby 10 months, the second meal to master the skill, every minute opened the significance of a rejection, the sucker does not exist, might as well put things straight throw desktop eat.</v>
      </c>
    </row>
    <row r="11603">
      <c r="A11603" s="1">
        <v>3.0</v>
      </c>
      <c r="B11603" s="1" t="s">
        <v>11507</v>
      </c>
      <c r="C11603" t="str">
        <f>IFERROR(__xludf.DUMMYFUNCTION("GOOGLETRANSLATE(B11603, ""zh"", ""en"")"),"Pants are good by price. Jeans has bought 32; 32. The pants, waist circumference can, a little fat legs. And another than the same brand of the same size pants, long legs a lot. Cable head. Color is positive.")</f>
        <v>Pants are good by price. Jeans has bought 32; 32. The pants, waist circumference can, a little fat legs. And another than the same brand of the same size pants, long legs a lot. Cable head. Color is positive.</v>
      </c>
    </row>
    <row r="11604">
      <c r="A11604" s="1">
        <v>1.0</v>
      </c>
      <c r="B11604" s="1" t="s">
        <v>11508</v>
      </c>
      <c r="C11604" t="str">
        <f>IFERROR(__xludf.DUMMYFUNCTION("GOOGLETRANSLATE(B11604, ""zh"", ""en"")"),"Fabric taste too much after the first wash, cloth still taste great, be careful to buy")</f>
        <v>Fabric taste too much after the first wash, cloth still taste great, be careful to buy</v>
      </c>
    </row>
    <row r="11605">
      <c r="A11605" s="1">
        <v>1.0</v>
      </c>
      <c r="B11605" s="1" t="s">
        <v>11509</v>
      </c>
      <c r="C11605" t="str">
        <f>IFERROR(__xludf.DUMMYFUNCTION("GOOGLETRANSLATE(B11605, ""zh"", ""en"")"),"Smell smoke blackening the sky! to disgasing! Figure receive is really super disgusting! Full of the smell! But do not let return!")</f>
        <v>Smell smoke blackening the sky! to disgasing! Figure receive is really super disgusting! Full of the smell! But do not let return!</v>
      </c>
    </row>
    <row r="11606">
      <c r="A11606" s="1">
        <v>4.0</v>
      </c>
      <c r="B11606" s="1" t="s">
        <v>11510</v>
      </c>
      <c r="C11606" t="str">
        <f>IFERROR(__xludf.DUMMYFUNCTION("GOOGLETRANSLATE(B11606, ""zh"", ""en"")"),"Headphone cable a little bit long, the sound quality is generally right, wins in the cheap, starting 200 headset line a little longer, the sound quality is generally right, wins in the cheap, starting 200")</f>
        <v>Headphone cable a little bit long, the sound quality is generally right, wins in the cheap, starting 200 headset line a little longer, the sound quality is generally right, wins in the cheap, starting 200</v>
      </c>
    </row>
    <row r="11607">
      <c r="A11607" s="1">
        <v>4.0</v>
      </c>
      <c r="B11607" s="1" t="s">
        <v>11511</v>
      </c>
      <c r="C11607" t="str">
        <f>IFERROR(__xludf.DUMMYFUNCTION("GOOGLETRANSLATE(B11607, ""zh"", ""en"")"),"The probiotics can often buy, do not know the effect / anyway been eating / children liked the taste, but questioned, not all probiotics low temperatures put it? It does not affect normal temperature?")</f>
        <v>The probiotics can often buy, do not know the effect / anyway been eating / children liked the taste, but questioned, not all probiotics low temperatures put it? It does not affect normal temperature?</v>
      </c>
    </row>
    <row r="11608">
      <c r="A11608" s="1">
        <v>4.0</v>
      </c>
      <c r="B11608" s="1" t="s">
        <v>11512</v>
      </c>
      <c r="C11608" t="str">
        <f>IFERROR(__xludf.DUMMYFUNCTION("GOOGLETRANSLATE(B11608, ""zh"", ""en"")"),"Capsule convenient box has a box with a capsule 2 organs layer, a first layer appreciable gap, water leakage. Spent capsule there is also a lot of water, then throw away slowly flow out, get a trash can full of water")</f>
        <v>Capsule convenient box has a box with a capsule 2 organs layer, a first layer appreciable gap, water leakage. Spent capsule there is also a lot of water, then throw away slowly flow out, get a trash can full of water</v>
      </c>
    </row>
    <row r="11609">
      <c r="A11609" s="1">
        <v>4.0</v>
      </c>
      <c r="B11609" s="1" t="s">
        <v>11513</v>
      </c>
      <c r="C11609" t="str">
        <f>IFERROR(__xludf.DUMMYFUNCTION("GOOGLETRANSLATE(B11609, ""zh"", ""en"")"),"Easy to use shredded eyes, big is too big, does not meet our eating habits.")</f>
        <v>Easy to use shredded eyes, big is too big, does not meet our eating habits.</v>
      </c>
    </row>
    <row r="11610">
      <c r="A11610" s="1">
        <v>5.0</v>
      </c>
      <c r="B11610" s="1" t="s">
        <v>11514</v>
      </c>
      <c r="C11610" t="str">
        <f>IFERROR(__xludf.DUMMYFUNCTION("GOOGLETRANSLATE(B11610, ""zh"", ""en"")"),"Good product quality, satisfactory results using good quality brush. Soft bristles can remove plaque whitening effect.")</f>
        <v>Good product quality, satisfactory results using good quality brush. Soft bristles can remove plaque whitening effect.</v>
      </c>
    </row>
    <row r="11611">
      <c r="A11611" s="1">
        <v>5.0</v>
      </c>
      <c r="B11611" s="1" t="s">
        <v>11515</v>
      </c>
      <c r="C11611" t="str">
        <f>IFERROR(__xludf.DUMMYFUNCTION("GOOGLETRANSLATE(B11611, ""zh"", ""en"")"),"Thin good, thin, 167,135 pounds to buy the M code, a little big")</f>
        <v>Thin good, thin, 167,135 pounds to buy the M code, a little big</v>
      </c>
    </row>
    <row r="11612">
      <c r="A11612" s="1">
        <v>5.0</v>
      </c>
      <c r="B11612" s="1" t="s">
        <v>11516</v>
      </c>
      <c r="C11612" t="str">
        <f>IFERROR(__xludf.DUMMYFUNCTION("GOOGLETRANSLATE(B11612, ""zh"", ""en"")"),"Well good two years in the Amazon to buy a lot of things very cost-effective parents health is important")</f>
        <v>Well good two years in the Amazon to buy a lot of things very cost-effective parents health is important</v>
      </c>
    </row>
    <row r="11613">
      <c r="A11613" s="1">
        <v>5.0</v>
      </c>
      <c r="B11613" s="1" t="s">
        <v>11517</v>
      </c>
      <c r="C11613" t="str">
        <f>IFERROR(__xludf.DUMMYFUNCTION("GOOGLETRANSLATE(B11613, ""zh"", ""en"")"),"Secondary buy-back with the wave of cards to buy two, I'm a husband one, of good quality material, it is also appropriate to wear, her husband 185cm, 80kg, wearing L just, my height 162cm, weight 49kg, men's wear just xs Suitable. Purchasing prices are ba"&amp;"sically two hundred or three hundred, more than a good deal here. So I start with one person and her husband bought an extra one.")</f>
        <v>Secondary buy-back with the wave of cards to buy two, I'm a husband one, of good quality material, it is also appropriate to wear, her husband 185cm, 80kg, wearing L just, my height 162cm, weight 49kg, men's wear just xs Suitable. Purchasing prices are basically two hundred or three hundred, more than a good deal here. So I start with one person and her husband bought an extra one.</v>
      </c>
    </row>
    <row r="11614">
      <c r="A11614" s="1">
        <v>5.0</v>
      </c>
      <c r="B11614" s="1" t="s">
        <v>11518</v>
      </c>
      <c r="C11614" t="str">
        <f>IFERROR(__xludf.DUMMYFUNCTION("GOOGLETRANSLATE(B11614, ""zh"", ""en"")"),"Literary style look like much cheaper than domestic, style is like, express soon, the date display is not very accurate, is not a mirror sapphire, hoping for a long time with")</f>
        <v>Literary style look like much cheaper than domestic, style is like, express soon, the date display is not very accurate, is not a mirror sapphire, hoping for a long time with</v>
      </c>
    </row>
    <row r="11615">
      <c r="A11615" s="1">
        <v>5.0</v>
      </c>
      <c r="B11615" s="1" t="s">
        <v>11519</v>
      </c>
      <c r="C11615" t="str">
        <f>IFERROR(__xludf.DUMMYFUNCTION("GOOGLETRANSLATE(B11615, ""zh"", ""en"")"),"Noise-canceling headphones or very satisfied, although the noise reduction effect sucks, there is no faith little gold standard, but the appearance Sao ah ~ ~ more than 300 dollars cheaper than the state line is also good.")</f>
        <v>Noise-canceling headphones or very satisfied, although the noise reduction effect sucks, there is no faith little gold standard, but the appearance Sao ah ~ ~ more than 300 dollars cheaper than the state line is also good.</v>
      </c>
    </row>
    <row r="11616">
      <c r="A11616" s="1">
        <v>5.0</v>
      </c>
      <c r="B11616" s="1" t="s">
        <v>11520</v>
      </c>
      <c r="C11616" t="str">
        <f>IFERROR(__xludf.DUMMYFUNCTION("GOOGLETRANSLATE(B11616, ""zh"", ""en"")"),"Amazon's overseas purchase a good foot 41 yards to buy 7.5US very appropriate naked price excluding tax 315")</f>
        <v>Amazon's overseas purchase a good foot 41 yards to buy 7.5US very appropriate naked price excluding tax 315</v>
      </c>
    </row>
    <row r="11617">
      <c r="A11617" s="1">
        <v>5.0</v>
      </c>
      <c r="B11617" s="1" t="s">
        <v>11521</v>
      </c>
      <c r="C11617" t="str">
        <f>IFERROR(__xludf.DUMMYFUNCTION("GOOGLETRANSLATE(B11617, ""zh"", ""en"")"),"Good German leader, atmospheric design, fine workmanship")</f>
        <v>Good German leader, atmospheric design, fine workmanship</v>
      </c>
    </row>
    <row r="11618">
      <c r="A11618" s="1">
        <v>5.0</v>
      </c>
      <c r="B11618" s="1" t="s">
        <v>11522</v>
      </c>
      <c r="C11618" t="str">
        <f>IFERROR(__xludf.DUMMYFUNCTION("GOOGLETRANSLATE(B11618, ""zh"", ""en"")"),"Receiving good")</f>
        <v>Receiving good</v>
      </c>
    </row>
    <row r="11619">
      <c r="A11619" s="1">
        <v>5.0</v>
      </c>
      <c r="B11619" s="1" t="s">
        <v>11523</v>
      </c>
      <c r="C11619" t="str">
        <f>IFERROR(__xludf.DUMMYFUNCTION("GOOGLETRANSLATE(B11619, ""zh"", ""en"")"),"Good insulation properties the more simple the more difficult, the cup is very good insulation properties.")</f>
        <v>Good insulation properties the more simple the more difficult, the cup is very good insulation properties.</v>
      </c>
    </row>
    <row r="11620">
      <c r="A11620" s="1">
        <v>5.0</v>
      </c>
      <c r="B11620" s="1" t="s">
        <v>11524</v>
      </c>
      <c r="C11620" t="str">
        <f>IFERROR(__xludf.DUMMYFUNCTION("GOOGLETRANSLATE(B11620, ""zh"", ""en"")"),"Worth buying good-looking faint scent of the petals fell in love with the children wash their hands and sometimes I will secretly use it ha ha ha")</f>
        <v>Worth buying good-looking faint scent of the petals fell in love with the children wash their hands and sometimes I will secretly use it ha ha ha</v>
      </c>
    </row>
    <row r="11621">
      <c r="A11621" s="1">
        <v>5.0</v>
      </c>
      <c r="B11621" s="1" t="s">
        <v>11525</v>
      </c>
      <c r="C11621" t="str">
        <f>IFERROR(__xludf.DUMMYFUNCTION("GOOGLETRANSLATE(B11621, ""zh"", ""en"")"),"Fit, and as good as expected 255 wear shoes, choose 7.5M just right.")</f>
        <v>Fit, and as good as expected 255 wear shoes, choose 7.5M just right.</v>
      </c>
    </row>
    <row r="11622">
      <c r="A11622" s="1">
        <v>5.0</v>
      </c>
      <c r="B11622" s="1" t="s">
        <v>11526</v>
      </c>
      <c r="C11622" t="str">
        <f>IFERROR(__xludf.DUMMYFUNCTION("GOOGLETRANSLATE(B11622, ""zh"", ""en"")"),"On the foreign brand goods my feet 260, buy 8mus, like to wear a big point of the code number just right. Shoes are very beautiful, do not know the quality is not the legendary tricky, anyway, five-star appearance, quality, look at it")</f>
        <v>On the foreign brand goods my feet 260, buy 8mus, like to wear a big point of the code number just right. Shoes are very beautiful, do not know the quality is not the legendary tricky, anyway, five-star appearance, quality, look at it</v>
      </c>
    </row>
    <row r="11623">
      <c r="A11623" s="1">
        <v>5.0</v>
      </c>
      <c r="B11623" s="1" t="s">
        <v>11527</v>
      </c>
      <c r="C11623" t="str">
        <f>IFERROR(__xludf.DUMMYFUNCTION("GOOGLETRANSLATE(B11623, ""zh"", ""en"")"),"Although the packaging is not good in tiers, but sent when still very perfect. Open look is very new, there is no trace of being touched. 30 cm pot was quite small, but as good as fried rice bowls, should also be enough. Pot of good quality, but also rela"&amp;"tively light, feel more appropriate to do some little more delicate components of dish it.")</f>
        <v>Although the packaging is not good in tiers, but sent when still very perfect. Open look is very new, there is no trace of being touched. 30 cm pot was quite small, but as good as fried rice bowls, should also be enough. Pot of good quality, but also relatively light, feel more appropriate to do some little more delicate components of dish it.</v>
      </c>
    </row>
    <row r="11624">
      <c r="A11624" s="1">
        <v>5.0</v>
      </c>
      <c r="B11624" s="1" t="s">
        <v>11528</v>
      </c>
      <c r="C11624" t="str">
        <f>IFERROR(__xludf.DUMMYFUNCTION("GOOGLETRANSLATE(B11624, ""zh"", ""en"")"),"Yeah handsome is nothing wrong with this color is relatively low-key, casual or formal wear can match up")</f>
        <v>Yeah handsome is nothing wrong with this color is relatively low-key, casual or formal wear can match up</v>
      </c>
    </row>
    <row r="11625">
      <c r="A11625" s="1">
        <v>5.0</v>
      </c>
      <c r="B11625" s="1" t="s">
        <v>11529</v>
      </c>
      <c r="C11625" t="str">
        <f>IFERROR(__xludf.DUMMYFUNCTION("GOOGLETRANSLATE(B11625, ""zh"", ""en"")"),"Well very flexible, elastic foot, comfortable, sporty, thank you Amazon brings inexpensive goods, the next single. Logistics quickly.")</f>
        <v>Well very flexible, elastic foot, comfortable, sporty, thank you Amazon brings inexpensive goods, the next single. Logistics quickly.</v>
      </c>
    </row>
    <row r="11626">
      <c r="A11626" s="1">
        <v>5.0</v>
      </c>
      <c r="B11626" s="1" t="s">
        <v>11530</v>
      </c>
      <c r="C11626" t="str">
        <f>IFERROR(__xludf.DUMMYFUNCTION("GOOGLETRANSLATE(B11626, ""zh"", ""en"")"),"Something good good scissors, specifically to investigate the case, this stainless steel will rust")</f>
        <v>Something good good scissors, specifically to investigate the case, this stainless steel will rust</v>
      </c>
    </row>
    <row r="11627">
      <c r="A11627" s="1">
        <v>5.0</v>
      </c>
      <c r="B11627" s="1" t="s">
        <v>11531</v>
      </c>
      <c r="C11627" t="str">
        <f>IFERROR(__xludf.DUMMYFUNCTION("GOOGLETRANSLATE(B11627, ""zh"", ""en"")"),"Like a very nice dinner plate spoon baby likes")</f>
        <v>Like a very nice dinner plate spoon baby likes</v>
      </c>
    </row>
    <row r="11628">
      <c r="A11628" s="1">
        <v>5.0</v>
      </c>
      <c r="B11628" s="1" t="s">
        <v>11532</v>
      </c>
      <c r="C11628" t="str">
        <f>IFERROR(__xludf.DUMMYFUNCTION("GOOGLETRANSLATE(B11628, ""zh"", ""en"")"),"Nice jeans looks very strong, very particular about the use of materials, great quality, inexpensive, picked up a bargain h")</f>
        <v>Nice jeans looks very strong, very particular about the use of materials, great quality, inexpensive, picked up a bargain h</v>
      </c>
    </row>
    <row r="11629">
      <c r="A11629" s="1">
        <v>5.0</v>
      </c>
      <c r="B11629" s="1" t="s">
        <v>11533</v>
      </c>
      <c r="C11629" t="str">
        <f>IFERROR(__xludf.DUMMYFUNCTION("GOOGLETRANSLATE(B11629, ""zh"", ""en"")"),"This product is better quality product I trust this brand, bought for a friend taking better product quality!")</f>
        <v>This product is better quality product I trust this brand, bought for a friend taking better product quality!</v>
      </c>
    </row>
    <row r="11630">
      <c r="A11630" s="1">
        <v>5.0</v>
      </c>
      <c r="B11630" s="1" t="s">
        <v>11534</v>
      </c>
      <c r="C11630" t="str">
        <f>IFERROR(__xludf.DUMMYFUNCTION("GOOGLETRANSLATE(B11630, ""zh"", ""en"")"),"Sound a bit big just do not know whether it was domestic version of the sound so much louder everything perfect except what is worth mounting experience to see my husband on the well buy soon")</f>
        <v>Sound a bit big just do not know whether it was domestic version of the sound so much louder everything perfect except what is worth mounting experience to see my husband on the well buy soon</v>
      </c>
    </row>
    <row r="11631">
      <c r="A11631" s="1">
        <v>5.0</v>
      </c>
      <c r="B11631" s="1" t="s">
        <v>11535</v>
      </c>
      <c r="C11631" t="str">
        <f>IFERROR(__xludf.DUMMYFUNCTION("GOOGLETRANSLATE(B11631, ""zh"", ""en"")"),"Very standard sizes 175 cm tall, weighing 120 pounds, 29W x30L very suitable")</f>
        <v>Very standard sizes 175 cm tall, weighing 120 pounds, 29W x30L very suitable</v>
      </c>
    </row>
    <row r="11632">
      <c r="A11632" s="1">
        <v>2.0</v>
      </c>
      <c r="B11632" s="1" t="s">
        <v>11536</v>
      </c>
      <c r="C11632" t="str">
        <f>IFERROR(__xludf.DUMMYFUNCTION("GOOGLETRANSLATE(B11632, ""zh"", ""en"")"),"There is actually a half a half stars can not find the other half with half a slice there is still doubt feel good seal is not jia ah. . .")</f>
        <v>There is actually a half a half stars can not find the other half with half a slice there is still doubt feel good seal is not jia ah. . .</v>
      </c>
    </row>
    <row r="11633">
      <c r="A11633" s="1">
        <v>3.0</v>
      </c>
      <c r="B11633" s="1" t="s">
        <v>11537</v>
      </c>
      <c r="C11633" t="str">
        <f>IFERROR(__xludf.DUMMYFUNCTION("GOOGLETRANSLATE(B11633, ""zh"", ""en"")"),"Too bad there is no Chinese explanation after-sales service, but also in domestic bad, then I do not know where to look to repair")</f>
        <v>Too bad there is no Chinese explanation after-sales service, but also in domestic bad, then I do not know where to look to repair</v>
      </c>
    </row>
    <row r="11634">
      <c r="A11634" s="1">
        <v>3.0</v>
      </c>
      <c r="B11634" s="1" t="s">
        <v>11538</v>
      </c>
      <c r="C11634" t="str">
        <f>IFERROR(__xludf.DUMMYFUNCTION("GOOGLETRANSLATE(B11634, ""zh"", ""en"")"),"Trousers fabric is not good, some hard, like overalls.")</f>
        <v>Trousers fabric is not good, some hard, like overalls.</v>
      </c>
    </row>
    <row r="11635">
      <c r="A11635" s="1">
        <v>1.0</v>
      </c>
      <c r="B11635" s="1" t="s">
        <v>11539</v>
      </c>
      <c r="C11635" t="str">
        <f>IFERROR(__xludf.DUMMYFUNCTION("GOOGLETRANSLATE(B11635, ""zh"", ""en"")"),"Writings to be finished ah no details of the size, ah, ah do not understand, and then press the usual size to buy, no one can deliver large, but not a replacement, in vain spent 124 freight, ah, the intestines are regret Green")</f>
        <v>Writings to be finished ah no details of the size, ah, ah do not understand, and then press the usual size to buy, no one can deliver large, but not a replacement, in vain spent 124 freight, ah, the intestines are regret Green</v>
      </c>
    </row>
    <row r="11636">
      <c r="A11636" s="1">
        <v>1.0</v>
      </c>
      <c r="B11636" s="1" t="s">
        <v>11540</v>
      </c>
      <c r="C11636" t="str">
        <f>IFERROR(__xludf.DUMMYFUNCTION("GOOGLETRANSLATE(B11636, ""zh"", ""en"")"),"Do not buy the time to buy did not see the comments, back hair loss inside skin allergies, as there is no elastic band, like, might as well spread the goods quality!")</f>
        <v>Do not buy the time to buy did not see the comments, back hair loss inside skin allergies, as there is no elastic band, like, might as well spread the goods quality!</v>
      </c>
    </row>
    <row r="11637">
      <c r="A11637" s="1">
        <v>4.0</v>
      </c>
      <c r="B11637" s="1" t="s">
        <v>11541</v>
      </c>
      <c r="C11637" t="str">
        <f>IFERROR(__xludf.DUMMYFUNCTION("GOOGLETRANSLATE(B11637, ""zh"", ""en"")"),"Good quality clothes, height 178, weight 78, L number is too large")</f>
        <v>Good quality clothes, height 178, weight 78, L number is too large</v>
      </c>
    </row>
    <row r="11638">
      <c r="A11638" s="1">
        <v>4.0</v>
      </c>
      <c r="B11638" s="1" t="s">
        <v>11542</v>
      </c>
      <c r="C11638" t="str">
        <f>IFERROR(__xludf.DUMMYFUNCTION("GOOGLETRANSLATE(B11638, ""zh"", ""en"")"),"Affordable good quality at an affordable price, brand quality guaranteed")</f>
        <v>Affordable good quality at an affordable price, brand quality guaranteed</v>
      </c>
    </row>
    <row r="11639">
      <c r="A11639" s="1">
        <v>4.0</v>
      </c>
      <c r="B11639" s="1" t="s">
        <v>11543</v>
      </c>
      <c r="C11639" t="str">
        <f>IFERROR(__xludf.DUMMYFUNCTION("GOOGLETRANSLATE(B11639, ""zh"", ""en"")"),"Large price fluctuations, the product itself can be found in the price received a price cut prices up! Contact customer service does not refund the difference, the price is no longer protected, what advantage? Talk about the product, postpartum month, wai"&amp;"st finest place about 73, where the stomach 86, Hip 92, a conservative elected 64, the first time I felt that I wear quite hard to pull up, in fact, do not feel put on after the Le really still have to go a little election! Then, place insufficient, there"&amp;" will be scrolling down the abdomen. The advantage is good flexibility, as the effect is not apparent, the key is to pipe shut stride leg.")</f>
        <v>Large price fluctuations, the product itself can be found in the price received a price cut prices up! Contact customer service does not refund the difference, the price is no longer protected, what advantage? Talk about the product, postpartum month, waist finest place about 73, where the stomach 86, Hip 92, a conservative elected 64, the first time I felt that I wear quite hard to pull up, in fact, do not feel put on after the Le really still have to go a little election! Then, place insufficient, there will be scrolling down the abdomen. The advantage is good flexibility, as the effect is not apparent, the key is to pipe shut stride leg.</v>
      </c>
    </row>
    <row r="11640">
      <c r="A11640" s="1">
        <v>4.0</v>
      </c>
      <c r="B11640" s="1" t="s">
        <v>11544</v>
      </c>
      <c r="C11640" t="str">
        <f>IFERROR(__xludf.DUMMYFUNCTION("GOOGLETRANSLATE(B11640, ""zh"", ""en"")"),"Quality is also worthy of the price of the final order, the first to arrive. Three pairs of shoes shipped from different places, with different transmission. At present quality feel okay.")</f>
        <v>Quality is also worthy of the price of the final order, the first to arrive. Three pairs of shoes shipped from different places, with different transmission. At present quality feel okay.</v>
      </c>
    </row>
    <row r="11641">
      <c r="A11641" s="1">
        <v>4.0</v>
      </c>
      <c r="B11641" s="1" t="s">
        <v>11545</v>
      </c>
      <c r="C11641" t="str">
        <f>IFERROR(__xludf.DUMMYFUNCTION("GOOGLETRANSLATE(B11641, ""zh"", ""en"")"),"This is a full cup always buy ck underwear in the Amazon, like lightweight breathable ck underwear, cut close. Amazon worst is relatively simple explanation, I do not like full cup, this is the result, so subtract a star. However, ck fabrics are very comf"&amp;"ortable. If you like full cup, recommended this paragraph. Size with the domestic like other people were reference.")</f>
        <v>This is a full cup always buy ck underwear in the Amazon, like lightweight breathable ck underwear, cut close. Amazon worst is relatively simple explanation, I do not like full cup, this is the result, so subtract a star. However, ck fabrics are very comfortable. If you like full cup, recommended this paragraph. Size with the domestic like other people were reference.</v>
      </c>
    </row>
    <row r="11642">
      <c r="A11642" s="1">
        <v>5.0</v>
      </c>
      <c r="B11642" s="1" t="s">
        <v>11546</v>
      </c>
      <c r="C11642" t="str">
        <f>IFERROR(__xludf.DUMMYFUNCTION("GOOGLETRANSLATE(B11642, ""zh"", ""en"")"),"thinkbaby bowl did not feel particularly outstanding place just because she was too angry when you buy the super cost-effective home 150+, will occasionally have a special need to see live!")</f>
        <v>thinkbaby bowl did not feel particularly outstanding place just because she was too angry when you buy the super cost-effective home 150+, will occasionally have a special need to see live!</v>
      </c>
    </row>
    <row r="11643">
      <c r="A11643" s="1">
        <v>5.0</v>
      </c>
      <c r="B11643" s="1" t="s">
        <v>11547</v>
      </c>
      <c r="C11643" t="str">
        <f>IFERROR(__xludf.DUMMYFUNCTION("GOOGLETRANSLATE(B11643, ""zh"", ""en"")"),"Very high cost is genuine is genuine, cost is very high.")</f>
        <v>Very high cost is genuine is genuine, cost is very high.</v>
      </c>
    </row>
    <row r="11644">
      <c r="A11644" s="1">
        <v>5.0</v>
      </c>
      <c r="B11644" s="1" t="s">
        <v>11548</v>
      </c>
      <c r="C11644" t="str">
        <f>IFERROR(__xludf.DUMMYFUNCTION("GOOGLETRANSLATE(B11644, ""zh"", ""en"")"),"Overseas pretty tricky to buy good quality, watertight, thermal insulation effect can be, very satisfied with the shopping experience")</f>
        <v>Overseas pretty tricky to buy good quality, watertight, thermal insulation effect can be, very satisfied with the shopping experience</v>
      </c>
    </row>
    <row r="11645">
      <c r="A11645" s="1">
        <v>5.0</v>
      </c>
      <c r="B11645" s="1" t="s">
        <v>11549</v>
      </c>
      <c r="C11645" t="str">
        <f>IFERROR(__xludf.DUMMYFUNCTION("GOOGLETRANSLATE(B11645, ""zh"", ""en"")"),"Genuine, very good, five-star praise. The price is the value of genuine, very good, five-star praise. The price is very worth it")</f>
        <v>Genuine, very good, five-star praise. The price is the value of genuine, very good, five-star praise. The price is very worth it</v>
      </c>
    </row>
    <row r="11646">
      <c r="A11646" s="1">
        <v>5.0</v>
      </c>
      <c r="B11646" s="1" t="s">
        <v>11550</v>
      </c>
      <c r="C11646" t="str">
        <f>IFERROR(__xludf.DUMMYFUNCTION("GOOGLETRANSLATE(B11646, ""zh"", ""en"")"),"Quality choice affordable, smooth writing, like this one")</f>
        <v>Quality choice affordable, smooth writing, like this one</v>
      </c>
    </row>
    <row r="11647">
      <c r="A11647" s="1">
        <v>5.0</v>
      </c>
      <c r="B11647" s="1" t="s">
        <v>11551</v>
      </c>
      <c r="C11647" t="str">
        <f>IFERROR(__xludf.DUMMYFUNCTION("GOOGLETRANSLATE(B11647, ""zh"", ""en"")"),"Good good, good quality, flexibility is also very good")</f>
        <v>Good good, good quality, flexibility is also very good</v>
      </c>
    </row>
    <row r="11648">
      <c r="A11648" s="1">
        <v>5.0</v>
      </c>
      <c r="B11648" s="1" t="s">
        <v>11552</v>
      </c>
      <c r="C11648" t="str">
        <f>IFERROR(__xludf.DUMMYFUNCTION("GOOGLETRANSLATE(B11648, ""zh"", ""en"")"),"Good luminous function is very practical, is the sound a bit big, do not pay attention can not hear.")</f>
        <v>Good luminous function is very practical, is the sound a bit big, do not pay attention can not hear.</v>
      </c>
    </row>
    <row r="11649">
      <c r="A11649" s="1">
        <v>5.0</v>
      </c>
      <c r="B11649" s="1" t="s">
        <v>11553</v>
      </c>
      <c r="C11649" t="str">
        <f>IFERROR(__xludf.DUMMYFUNCTION("GOOGLETRANSLATE(B11649, ""zh"", ""en"")"),"Good transfer material slightly hard, not wrinkle, durable")</f>
        <v>Good transfer material slightly hard, not wrinkle, durable</v>
      </c>
    </row>
    <row r="11650">
      <c r="A11650" s="1">
        <v>5.0</v>
      </c>
      <c r="B11650" s="1" t="s">
        <v>11554</v>
      </c>
      <c r="C11650" t="str">
        <f>IFERROR(__xludf.DUMMYFUNCTION("GOOGLETRANSLATE(B11650, ""zh"", ""en"")"),"I really like a good, very appropriate.")</f>
        <v>I really like a good, very appropriate.</v>
      </c>
    </row>
    <row r="11651">
      <c r="A11651" s="1">
        <v>5.0</v>
      </c>
      <c r="B11651" s="1" t="s">
        <v>11555</v>
      </c>
      <c r="C11651" t="str">
        <f>IFERROR(__xludf.DUMMYFUNCTION("GOOGLETRANSLATE(B11651, ""zh"", ""en"")"),"Good wearing feel very comfortable, very soft soles material")</f>
        <v>Good wearing feel very comfortable, very soft soles material</v>
      </c>
    </row>
    <row r="11652">
      <c r="A11652" s="1">
        <v>5.0</v>
      </c>
      <c r="B11652" s="1" t="s">
        <v>11556</v>
      </c>
      <c r="C11652" t="str">
        <f>IFERROR(__xludf.DUMMYFUNCTION("GOOGLETRANSLATE(B11652, ""zh"", ""en"")"),"The real thing, too big, cheap and relatives in the United States about the same price to buy, do not worry about the international express delivery. that's nice")</f>
        <v>The real thing, too big, cheap and relatives in the United States about the same price to buy, do not worry about the international express delivery. that's nice</v>
      </c>
    </row>
    <row r="11653">
      <c r="A11653" s="1">
        <v>5.0</v>
      </c>
      <c r="B11653" s="1" t="s">
        <v>11557</v>
      </c>
      <c r="C11653" t="str">
        <f>IFERROR(__xludf.DUMMYFUNCTION("GOOGLETRANSLATE(B11653, ""zh"", ""en"")"),"Simple operation, small size good choice for a long time, and ultimately chose this, mainly small size, do not take place, has been opened to use, making coffee is great, the operation is very simple, coupled with good beans even more perfect . However, t"&amp;"he Amazon price fluctuations are frequent ah, just start to cut prices, and yet protect the price, a friend in need to remember more attention to price.")</f>
        <v>Simple operation, small size good choice for a long time, and ultimately chose this, mainly small size, do not take place, has been opened to use, making coffee is great, the operation is very simple, coupled with good beans even more perfect . However, the Amazon price fluctuations are frequent ah, just start to cut prices, and yet protect the price, a friend in need to remember more attention to price.</v>
      </c>
    </row>
    <row r="11654">
      <c r="A11654" s="1">
        <v>5.0</v>
      </c>
      <c r="B11654" s="1" t="s">
        <v>11558</v>
      </c>
      <c r="C11654" t="str">
        <f>IFERROR(__xludf.DUMMYFUNCTION("GOOGLETRANSLATE(B11654, ""zh"", ""en"")"),"I believe Amazon has been five years in the Amazon shopping, and I can say that the Amazon has been a very reliable electronic business platform, every time shopping are very satisfied, so I hope more people can trust and support. Talk about the shoe, see"&amp;"n more than once in the store in Beijing, the price of it has been to maintain the original price, and finally found the Amazon, the price is very close to the people, do not hesitate to buy. Delivery time is not long, packaging is very good shoes, the sh"&amp;"oes are very comfortable, upper body very satisfied, thank Amazon, life becomes convenient and affordable")</f>
        <v>I believe Amazon has been five years in the Amazon shopping, and I can say that the Amazon has been a very reliable electronic business platform, every time shopping are very satisfied, so I hope more people can trust and support. Talk about the shoe, seen more than once in the store in Beijing, the price of it has been to maintain the original price, and finally found the Amazon, the price is very close to the people, do not hesitate to buy. Delivery time is not long, packaging is very good shoes, the shoes are very comfortable, upper body very satisfied, thank Amazon, life becomes convenient and affordable</v>
      </c>
    </row>
    <row r="11655">
      <c r="A11655" s="1">
        <v>5.0</v>
      </c>
      <c r="B11655" s="1" t="s">
        <v>11559</v>
      </c>
      <c r="C11655" t="str">
        <f>IFERROR(__xludf.DUMMYFUNCTION("GOOGLETRANSLATE(B11655, ""zh"", ""en"")"),"Satisfactory quality is like, soft bottom! Yardage quasi-normal! Comfortable and breathable")</f>
        <v>Satisfactory quality is like, soft bottom! Yardage quasi-normal! Comfortable and breathable</v>
      </c>
    </row>
    <row r="11656">
      <c r="A11656" s="1">
        <v>5.0</v>
      </c>
      <c r="B11656" s="1" t="s">
        <v>11560</v>
      </c>
      <c r="C11656" t="str">
        <f>IFERROR(__xludf.DUMMYFUNCTION("GOOGLETRANSLATE(B11656, ""zh"", ""en"")"),"happy. Warm all day. Really waterproof. Like described.")</f>
        <v>happy. Warm all day. Really waterproof. Like described.</v>
      </c>
    </row>
    <row r="11657">
      <c r="A11657" s="1">
        <v>5.0</v>
      </c>
      <c r="B11657" s="1" t="s">
        <v>11561</v>
      </c>
      <c r="C11657" t="str">
        <f>IFERROR(__xludf.DUMMYFUNCTION("GOOGLETRANSLATE(B11657, ""zh"", ""en"")"),"Good quality and easy to use, good quality, a lot can be used to")</f>
        <v>Good quality and easy to use, good quality, a lot can be used to</v>
      </c>
    </row>
    <row r="11658">
      <c r="A11658" s="1">
        <v>5.0</v>
      </c>
      <c r="B11658" s="1" t="s">
        <v>11562</v>
      </c>
      <c r="C11658" t="str">
        <f>IFERROR(__xludf.DUMMYFUNCTION("GOOGLETRANSLATE(B11658, ""zh"", ""en"")"),"I believe BNM WD 12 years of 3T need to buy 900, now canceled due to the security of the network disk and gradually enough. So in the Amazon to buy 6T version, overseas, coupled with cloud My BOOK LIVEDUO, it should be no problem. With so many years. The "&amp;"key is lossless music to inventory.")</f>
        <v>I believe BNM WD 12 years of 3T need to buy 900, now canceled due to the security of the network disk and gradually enough. So in the Amazon to buy 6T version, overseas, coupled with cloud My BOOK LIVEDUO, it should be no problem. With so many years. The key is lossless music to inventory.</v>
      </c>
    </row>
    <row r="11659">
      <c r="A11659" s="1">
        <v>5.0</v>
      </c>
      <c r="B11659" s="1" t="s">
        <v>11563</v>
      </c>
      <c r="C11659" t="str">
        <f>IFERROR(__xludf.DUMMYFUNCTION("GOOGLETRANSLATE(B11659, ""zh"", ""en"")"),"Cost-effective use of open installed in the NAS. Helium disk. Noise is small, read and write speeds are good. worth buying.")</f>
        <v>Cost-effective use of open installed in the NAS. Helium disk. Noise is small, read and write speeds are good. worth buying.</v>
      </c>
    </row>
    <row r="11660">
      <c r="A11660" s="1">
        <v>5.0</v>
      </c>
      <c r="B11660" s="1" t="s">
        <v>8996</v>
      </c>
      <c r="C11660" t="str">
        <f>IFERROR(__xludf.DUMMYFUNCTION("GOOGLETRANSLATE(B11660, ""zh"", ""en"")"),"Very good, cheaper than their own sea Amoy, genuine easy to use, very good, cheaper than their own sea Amoy, genuine easy to use,")</f>
        <v>Very good, cheaper than their own sea Amoy, genuine easy to use, very good, cheaper than their own sea Amoy, genuine easy to use,</v>
      </c>
    </row>
    <row r="11661">
      <c r="A11661" s="1">
        <v>5.0</v>
      </c>
      <c r="B11661" s="1" t="s">
        <v>11564</v>
      </c>
      <c r="C11661" t="str">
        <f>IFERROR(__xludf.DUMMYFUNCTION("GOOGLETRANSLATE(B11661, ""zh"", ""en"")"),"😊 good things and my water supporting the use of dental floss")</f>
        <v>😊 good things and my water supporting the use of dental floss</v>
      </c>
    </row>
    <row r="11662">
      <c r="A11662" s="1">
        <v>5.0</v>
      </c>
      <c r="B11662" s="1" t="s">
        <v>11565</v>
      </c>
      <c r="C11662" t="str">
        <f>IFERROR(__xludf.DUMMYFUNCTION("GOOGLETRANSLATE(B11662, ""zh"", ""en"")"),"good second time to buy, really good! I feel fit!")</f>
        <v>good second time to buy, really good! I feel fit!</v>
      </c>
    </row>
    <row r="11663">
      <c r="A11663" s="1">
        <v>5.0</v>
      </c>
      <c r="B11663" s="1" t="s">
        <v>11566</v>
      </c>
      <c r="C11663" t="str">
        <f>IFERROR(__xludf.DUMMYFUNCTION("GOOGLETRANSLATE(B11663, ""zh"", ""en"")"),"Pants good, color is very positive! The jeans than 29 points slightly wider waist code")</f>
        <v>Pants good, color is very positive! The jeans than 29 points slightly wider waist code</v>
      </c>
    </row>
    <row r="11664">
      <c r="A11664" s="1">
        <v>2.0</v>
      </c>
      <c r="B11664" s="1" t="s">
        <v>11567</v>
      </c>
      <c r="C11664" t="str">
        <f>IFERROR(__xludf.DUMMYFUNCTION("GOOGLETRANSLATE(B11664, ""zh"", ""en"")"),"Size positive, feeling not as good as the quality of the country. To two stars, first because of the price advantage compared to the mainstream, and second, because the Amazon shopping overseas flow quickly. Samsung buckle because of quality problems, I m"&amp;"ade the pictures look, two shoes heel reverse mold has a great bubble, big bubble than the national mainstream. If you do not mind the details, it is in accordance with national mall to try on size can be bought.")</f>
        <v>Size positive, feeling not as good as the quality of the country. To two stars, first because of the price advantage compared to the mainstream, and second, because the Amazon shopping overseas flow quickly. Samsung buckle because of quality problems, I made the pictures look, two shoes heel reverse mold has a great bubble, big bubble than the national mainstream. If you do not mind the details, it is in accordance with national mall to try on size can be bought.</v>
      </c>
    </row>
    <row r="11665">
      <c r="A11665" s="1">
        <v>3.0</v>
      </c>
      <c r="B11665" s="1" t="s">
        <v>11568</v>
      </c>
      <c r="C11665" t="str">
        <f>IFERROR(__xludf.DUMMYFUNCTION("GOOGLETRANSLATE(B11665, ""zh"", ""en"")"),"Not very good fabric a little rough, sensitive skin worn uncomfortable.")</f>
        <v>Not very good fabric a little rough, sensitive skin worn uncomfortable.</v>
      </c>
    </row>
    <row r="11666">
      <c r="A11666" s="1">
        <v>1.0</v>
      </c>
      <c r="B11666" s="1" t="s">
        <v>11569</v>
      </c>
      <c r="C11666" t="str">
        <f>IFERROR(__xludf.DUMMYFUNCTION("GOOGLETRANSLATE(B11666, ""zh"", ""en"")"),"Do not buy! Bought used a few times a month on the bad, beyond repair can not retreat, do not buy! ! ! Remember")</f>
        <v>Do not buy! Bought used a few times a month on the bad, beyond repair can not retreat, do not buy! ! ! Remember</v>
      </c>
    </row>
    <row r="11667">
      <c r="A11667" s="1">
        <v>1.0</v>
      </c>
      <c r="B11667" s="1" t="s">
        <v>11570</v>
      </c>
      <c r="C11667" t="str">
        <f>IFERROR(__xludf.DUMMYFUNCTION("GOOGLETRANSLATE(B11667, ""zh"", ""en"")"),"Only spent a few days on the bad, the data could not be read, not pit the dead known overseas purchase warranty, bad quality of death, with several times on the bad, pit father goods, data does not have to take out")</f>
        <v>Only spent a few days on the bad, the data could not be read, not pit the dead known overseas purchase warranty, bad quality of death, with several times on the bad, pit father goods, data does not have to take out</v>
      </c>
    </row>
    <row r="11668">
      <c r="A11668" s="1">
        <v>1.0</v>
      </c>
      <c r="B11668" s="1" t="s">
        <v>11571</v>
      </c>
      <c r="C11668" t="str">
        <f>IFERROR(__xludf.DUMMYFUNCTION("GOOGLETRANSLATE(B11668, ""zh"", ""en"")"),"Garbage obviously other people through, and too out of")</f>
        <v>Garbage obviously other people through, and too out of</v>
      </c>
    </row>
    <row r="11669">
      <c r="A11669" s="1">
        <v>4.0</v>
      </c>
      <c r="B11669" s="1" t="s">
        <v>11572</v>
      </c>
      <c r="C11669" t="str">
        <f>IFERROR(__xludf.DUMMYFUNCTION("GOOGLETRANSLATE(B11669, ""zh"", ""en"")"),"Said first insulation effect good insulation effect, is really good, about 12 hours after boiling water into the tank (ambient temperature of 20 degrees Celsius), still very hot. Good sealing effect, impermeable to water. After the opening prime the price"&amp;" is right. Let me now look packaging, packaging Nichia really different from China's, large items neatly inside the box, and a plastic, things will not rock back and forth, very carefully. This place is insufficient jar fairly thick, no additional hand st"&amp;"rap, small hand people take up may not be easy.")</f>
        <v>Said first insulation effect good insulation effect, is really good, about 12 hours after boiling water into the tank (ambient temperature of 20 degrees Celsius), still very hot. Good sealing effect, impermeable to water. After the opening prime the price is right. Let me now look packaging, packaging Nichia really different from China's, large items neatly inside the box, and a plastic, things will not rock back and forth, very carefully. This place is insufficient jar fairly thick, no additional hand strap, small hand people take up may not be easy.</v>
      </c>
    </row>
    <row r="11670">
      <c r="A11670" s="1">
        <v>4.0</v>
      </c>
      <c r="B11670" s="1" t="s">
        <v>11573</v>
      </c>
      <c r="C11670" t="str">
        <f>IFERROR(__xludf.DUMMYFUNCTION("GOOGLETRANSLATE(B11670, ""zh"", ""en"")"),"Good results like the bottom connected computer or noise, ready to start a brand with a sound card, sound good, the only thing touching fever")</f>
        <v>Good results like the bottom connected computer or noise, ready to start a brand with a sound card, sound good, the only thing touching fever</v>
      </c>
    </row>
    <row r="11671">
      <c r="A11671" s="1">
        <v>4.0</v>
      </c>
      <c r="B11671" s="1" t="s">
        <v>11574</v>
      </c>
      <c r="C11671" t="str">
        <f>IFERROR(__xludf.DUMMYFUNCTION("GOOGLETRANSLATE(B11671, ""zh"", ""en"")"),"Yes Belt Belt feeling pretty good shot 40 or a little bit shorter")</f>
        <v>Yes Belt Belt feeling pretty good shot 40 or a little bit shorter</v>
      </c>
    </row>
    <row r="11672">
      <c r="A11672" s="1">
        <v>4.0</v>
      </c>
      <c r="B11672" s="1" t="s">
        <v>11575</v>
      </c>
      <c r="C11672" t="str">
        <f>IFERROR(__xludf.DUMMYFUNCTION("GOOGLETRANSLATE(B11672, ""zh"", ""en"")"),"A little expensive (drill down serious) slightly larger, for the South winter")</f>
        <v>A little expensive (drill down serious) slightly larger, for the South winter</v>
      </c>
    </row>
    <row r="11673">
      <c r="A11673" s="1">
        <v>4.0</v>
      </c>
      <c r="B11673" s="1" t="s">
        <v>11576</v>
      </c>
      <c r="C11673" t="str">
        <f>IFERROR(__xludf.DUMMYFUNCTION("GOOGLETRANSLATE(B11673, ""zh"", ""en"")"),"Less fat something more suitable for underwear, with almost home size, can according to their usual orders. But I received only two, less a white. Ask customer service, he said to have been out of stock, and my show is three orders of white, it is silent."&amp;" Finally done a refund, not very pleasant shopping overseas.")</f>
        <v>Less fat something more suitable for underwear, with almost home size, can according to their usual orders. But I received only two, less a white. Ask customer service, he said to have been out of stock, and my show is three orders of white, it is silent. Finally done a refund, not very pleasant shopping overseas.</v>
      </c>
    </row>
    <row r="11674">
      <c r="A11674" s="1">
        <v>5.0</v>
      </c>
      <c r="B11674" s="1" t="s">
        <v>11577</v>
      </c>
      <c r="C11674" t="str">
        <f>IFERROR(__xludf.DUMMYFUNCTION("GOOGLETRANSLATE(B11674, ""zh"", ""en"")"),"Yes well, not from the previous evaluation, I do not know how many wasted points, points can change money now know, they should look carefully evaluated,")</f>
        <v>Yes well, not from the previous evaluation, I do not know how many wasted points, points can change money now know, they should look carefully evaluated,</v>
      </c>
    </row>
    <row r="11675">
      <c r="A11675" s="1">
        <v>5.0</v>
      </c>
      <c r="B11675" s="1" t="s">
        <v>11578</v>
      </c>
      <c r="C11675" t="str">
        <f>IFERROR(__xludf.DUMMYFUNCTION("GOOGLETRANSLATE(B11675, ""zh"", ""en"")"),"Super-fast test environment: win7, solid-state hard drive with mechanical hard drive, USB3.0 interfaces ATTODiskBenchmark test, 310MB per second read, write, write 290MB 155MB per second per picture, video written to 166MB per second read photo 133MB per "&amp;"second, Unfortunately, there is no USB3.1 interface to read 192MB per second video")</f>
        <v>Super-fast test environment: win7, solid-state hard drive with mechanical hard drive, USB3.0 interfaces ATTODiskBenchmark test, 310MB per second read, write, write 290MB 155MB per second per picture, video written to 166MB per second read photo 133MB per second, Unfortunately, there is no USB3.1 interface to read 192MB per second video</v>
      </c>
    </row>
    <row r="11676">
      <c r="A11676" s="1">
        <v>5.0</v>
      </c>
      <c r="B11676" s="1" t="s">
        <v>11579</v>
      </c>
      <c r="C11676" t="str">
        <f>IFERROR(__xludf.DUMMYFUNCTION("GOOGLETRANSLATE(B11676, ""zh"", ""en"")"),"Very easy to use, a little scratch paper, ef feel just right.")</f>
        <v>Very easy to use, a little scratch paper, ef feel just right.</v>
      </c>
    </row>
    <row r="11677">
      <c r="A11677" s="1">
        <v>5.0</v>
      </c>
      <c r="B11677" s="1" t="s">
        <v>11580</v>
      </c>
      <c r="C11677" t="str">
        <f>IFERROR(__xludf.DUMMYFUNCTION("GOOGLETRANSLATE(B11677, ""zh"", ""en"")"),"Easy to use good use, the sofa, feeling very smooth after straightened can magically reserved two days")</f>
        <v>Easy to use good use, the sofa, feeling very smooth after straightened can magically reserved two days</v>
      </c>
    </row>
    <row r="11678">
      <c r="A11678" s="1">
        <v>5.0</v>
      </c>
      <c r="B11678" s="1" t="s">
        <v>11581</v>
      </c>
      <c r="C11678" t="str">
        <f>IFERROR(__xludf.DUMMYFUNCTION("GOOGLETRANSLATE(B11678, ""zh"", ""en"")"),"Yes slightly big, foot wear, ecco shoes have just started it wrong")</f>
        <v>Yes slightly big, foot wear, ecco shoes have just started it wrong</v>
      </c>
    </row>
    <row r="11679">
      <c r="A11679" s="1">
        <v>5.0</v>
      </c>
      <c r="B11679" s="1" t="s">
        <v>11582</v>
      </c>
      <c r="C11679" t="str">
        <f>IFERROR(__xludf.DUMMYFUNCTION("GOOGLETRANSLATE(B11679, ""zh"", ""en"")"),"Beautiful dish directed at Yan value seconds! Price spike can also, in-kind is also very beautiful! Quality is also good!")</f>
        <v>Beautiful dish directed at Yan value seconds! Price spike can also, in-kind is also very beautiful! Quality is also good!</v>
      </c>
    </row>
    <row r="11680">
      <c r="A11680" s="1">
        <v>5.0</v>
      </c>
      <c r="B11680" s="1" t="s">
        <v>11583</v>
      </c>
      <c r="C11680" t="str">
        <f>IFERROR(__xludf.DUMMYFUNCTION("GOOGLETRANSLATE(B11680, ""zh"", ""en"")"),"Just in number is just right, the quality is also very good, prices are cheap.")</f>
        <v>Just in number is just right, the quality is also very good, prices are cheap.</v>
      </c>
    </row>
    <row r="11681">
      <c r="A11681" s="1">
        <v>5.0</v>
      </c>
      <c r="B11681" s="1" t="s">
        <v>11584</v>
      </c>
      <c r="C11681" t="str">
        <f>IFERROR(__xludf.DUMMYFUNCTION("GOOGLETRANSLATE(B11681, ""zh"", ""en"")"),"Easy easy easy to use, more convenient baby out to dinner")</f>
        <v>Easy easy easy to use, more convenient baby out to dinner</v>
      </c>
    </row>
    <row r="11682">
      <c r="A11682" s="1">
        <v>5.0</v>
      </c>
      <c r="B11682" s="1" t="s">
        <v>9514</v>
      </c>
      <c r="C11682" t="str">
        <f>IFERROR(__xludf.DUMMYFUNCTION("GOOGLETRANSLATE(B11682, ""zh"", ""en"")"),"Japanese version is ideal for feeling good")</f>
        <v>Japanese version is ideal for feeling good</v>
      </c>
    </row>
    <row r="11683">
      <c r="A11683" s="1">
        <v>5.0</v>
      </c>
      <c r="B11683" s="1" t="s">
        <v>11585</v>
      </c>
      <c r="C11683" t="str">
        <f>IFERROR(__xludf.DUMMYFUNCTION("GOOGLETRANSLATE(B11683, ""zh"", ""en"")"),"Very good use, but also a lot cheaper than domestic see other comments dishwasher to wash the smell and can not dissolve the outer membrane was really surprised. I bought before is bright dish domestic dishwashing powder, salt, agent, three-piece, because"&amp;" the amount is not good grasp issues and pots and pans placed there will not wash clean and very strange taste, it later changed this not anymore, wash it clean, put pots and pans still groping. Can not dissolve the outer membrane may be the water tempera"&amp;"ture did not go up, it is best to check the dishwasher.")</f>
        <v>Very good use, but also a lot cheaper than domestic see other comments dishwasher to wash the smell and can not dissolve the outer membrane was really surprised. I bought before is bright dish domestic dishwashing powder, salt, agent, three-piece, because the amount is not good grasp issues and pots and pans placed there will not wash clean and very strange taste, it later changed this not anymore, wash it clean, put pots and pans still groping. Can not dissolve the outer membrane may be the water temperature did not go up, it is best to check the dishwasher.</v>
      </c>
    </row>
    <row r="11684">
      <c r="A11684" s="1">
        <v>5.0</v>
      </c>
      <c r="B11684" s="1" t="s">
        <v>11586</v>
      </c>
      <c r="C11684" t="str">
        <f>IFERROR(__xludf.DUMMYFUNCTION("GOOGLETRANSLATE(B11684, ""zh"", ""en"")"),"Very comfortable shoes liked")</f>
        <v>Very comfortable shoes liked</v>
      </c>
    </row>
    <row r="11685">
      <c r="A11685" s="1">
        <v>5.0</v>
      </c>
      <c r="B11685" s="1" t="s">
        <v>11587</v>
      </c>
      <c r="C11685" t="str">
        <f>IFERROR(__xludf.DUMMYFUNCTION("GOOGLETRANSLATE(B11685, ""zh"", ""en"")"),"Perak Ma Cai lead is very good very satisfied with the packaging is too simple")</f>
        <v>Perak Ma Cai lead is very good very satisfied with the packaging is too simple</v>
      </c>
    </row>
    <row r="11686">
      <c r="A11686" s="1">
        <v>5.0</v>
      </c>
      <c r="B11686" s="1" t="s">
        <v>11588</v>
      </c>
      <c r="C11686" t="str">
        <f>IFERROR(__xludf.DUMMYFUNCTION("GOOGLETRANSLATE(B11686, ""zh"", ""en"")"),"Returns no reason to buy when looking forward, then to the clothes, pants not to disappointment")</f>
        <v>Returns no reason to buy when looking forward, then to the clothes, pants not to disappointment</v>
      </c>
    </row>
    <row r="11687">
      <c r="A11687" s="1">
        <v>5.0</v>
      </c>
      <c r="B11687" s="1" t="s">
        <v>11589</v>
      </c>
      <c r="C11687" t="str">
        <f>IFERROR(__xludf.DUMMYFUNCTION("GOOGLETRANSLATE(B11687, ""zh"", ""en"")"),"Crayons good! ! ! ! Crayons good! ! ! ! I hope the school can use to")</f>
        <v>Crayons good! ! ! ! Crayons good! ! ! ! I hope the school can use to</v>
      </c>
    </row>
    <row r="11688">
      <c r="A11688" s="1">
        <v>5.0</v>
      </c>
      <c r="B11688" s="1" t="s">
        <v>11590</v>
      </c>
      <c r="C11688" t="str">
        <f>IFERROR(__xludf.DUMMYFUNCTION("GOOGLETRANSLATE(B11688, ""zh"", ""en"")"),"Good good shoes, leather soft.")</f>
        <v>Good good shoes, leather soft.</v>
      </c>
    </row>
    <row r="11689">
      <c r="A11689" s="1">
        <v>5.0</v>
      </c>
      <c r="B11689" s="1" t="s">
        <v>11591</v>
      </c>
      <c r="C11689" t="str">
        <f>IFERROR(__xludf.DUMMYFUNCTION("GOOGLETRANSLATE(B11689, ""zh"", ""en"")"),"Not bad, next time will buy")</f>
        <v>Not bad, next time will buy</v>
      </c>
    </row>
    <row r="11690">
      <c r="A11690" s="1">
        <v>5.0</v>
      </c>
      <c r="B11690" s="1" t="s">
        <v>11592</v>
      </c>
      <c r="C11690" t="str">
        <f>IFERROR(__xludf.DUMMYFUNCTION("GOOGLETRANSLATE(B11690, ""zh"", ""en"")"),"Something good. Something good, 168cm, 58kg, trumpet fit.")</f>
        <v>Something good. Something good, 168cm, 58kg, trumpet fit.</v>
      </c>
    </row>
    <row r="11691">
      <c r="A11691" s="1">
        <v>5.0</v>
      </c>
      <c r="B11691" s="1" t="s">
        <v>11593</v>
      </c>
      <c r="C11691" t="str">
        <f>IFERROR(__xludf.DUMMYFUNCTION("GOOGLETRANSLATE(B11691, ""zh"", ""en"")"),"Very satisfied, very comfortable to wear, has recommended a friend is very satisfied, very comfortable to wear, has recommended a friend")</f>
        <v>Very satisfied, very comfortable to wear, has recommended a friend is very satisfied, very comfortable to wear, has recommended a friend</v>
      </c>
    </row>
    <row r="11692">
      <c r="A11692" s="1">
        <v>5.0</v>
      </c>
      <c r="B11692" s="1" t="s">
        <v>11594</v>
      </c>
      <c r="C11692" t="str">
        <f>IFERROR(__xludf.DUMMYFUNCTION("GOOGLETRANSLATE(B11692, ""zh"", ""en"")"),"Product satisfaction to the direct use, did not test anything, to do a hard turn internal security.")</f>
        <v>Product satisfaction to the direct use, did not test anything, to do a hard turn internal security.</v>
      </c>
    </row>
    <row r="11693">
      <c r="A11693" s="1">
        <v>5.0</v>
      </c>
      <c r="B11693" s="1" t="s">
        <v>11595</v>
      </c>
      <c r="C11693" t="str">
        <f>IFERROR(__xludf.DUMMYFUNCTION("GOOGLETRANSLATE(B11693, ""zh"", ""en"")"),"on whey protein powder is expensive, hope can be transferred to 280 shipping. on whey protein powder is expensive, hope can be transferred to 280 shipping.")</f>
        <v>on whey protein powder is expensive, hope can be transferred to 280 shipping. on whey protein powder is expensive, hope can be transferred to 280 shipping.</v>
      </c>
    </row>
    <row r="11694">
      <c r="A11694" s="1">
        <v>5.0</v>
      </c>
      <c r="B11694" s="1" t="s">
        <v>11596</v>
      </c>
      <c r="C11694" t="str">
        <f>IFERROR(__xludf.DUMMYFUNCTION("GOOGLETRANSLATE(B11694, ""zh"", ""en"")"),"Cheap and good, the key is the price is very affordable. The brush head is a consumable ah")</f>
        <v>Cheap and good, the key is the price is very affordable. The brush head is a consumable ah</v>
      </c>
    </row>
    <row r="11695">
      <c r="A11695" s="1">
        <v>5.0</v>
      </c>
      <c r="B11695" s="1" t="s">
        <v>11597</v>
      </c>
      <c r="C11695" t="str">
        <f>IFERROR(__xludf.DUMMYFUNCTION("GOOGLETRANSLATE(B11695, ""zh"", ""en"")"),"Conventional pants regular pants, slightly larger than the SLIM, not so slim.")</f>
        <v>Conventional pants regular pants, slightly larger than the SLIM, not so slim.</v>
      </c>
    </row>
    <row r="11696">
      <c r="A11696" s="1">
        <v>2.0</v>
      </c>
      <c r="B11696" s="1" t="s">
        <v>11598</v>
      </c>
      <c r="C11696" t="str">
        <f>IFERROR(__xludf.DUMMYFUNCTION("GOOGLETRANSLATE(B11696, ""zh"", ""en"")"),"oversize 176cm, 75kg, still looking relatively strong build, buy two yards L (L usually are) empty upper body, feeling more than one big yard, a friend gave higher. Fabrics feel good, the price is actually not expensive. Recommended to buy a small 1-2 yar"&amp;"ds.")</f>
        <v>oversize 176cm, 75kg, still looking relatively strong build, buy two yards L (L usually are) empty upper body, feeling more than one big yard, a friend gave higher. Fabrics feel good, the price is actually not expensive. Recommended to buy a small 1-2 yards.</v>
      </c>
    </row>
    <row r="11697">
      <c r="A11697" s="1">
        <v>3.0</v>
      </c>
      <c r="B11697" s="1" t="s">
        <v>11599</v>
      </c>
      <c r="C11697" t="str">
        <f>IFERROR(__xludf.DUMMYFUNCTION("GOOGLETRANSLATE(B11697, ""zh"", ""en"")"),"Size is too large actually the same size pants of different colors length and too fat, I was actually a difference of more than 3cm drunk. Fabric is good")</f>
        <v>Size is too large actually the same size pants of different colors length and too fat, I was actually a difference of more than 3cm drunk. Fabric is good</v>
      </c>
    </row>
    <row r="11698">
      <c r="A11698" s="1">
        <v>3.0</v>
      </c>
      <c r="B11698" s="1" t="s">
        <v>11600</v>
      </c>
      <c r="C11698" t="str">
        <f>IFERROR(__xludf.DUMMYFUNCTION("GOOGLETRANSLATE(B11698, ""zh"", ""en"")"),"I do not like the design very nice, very narrow shoes, baby do not wear")</f>
        <v>I do not like the design very nice, very narrow shoes, baby do not wear</v>
      </c>
    </row>
    <row r="11699">
      <c r="A11699" s="1">
        <v>3.0</v>
      </c>
      <c r="B11699" s="1" t="s">
        <v>11601</v>
      </c>
      <c r="C11699" t="str">
        <f>IFERROR(__xludf.DUMMYFUNCTION("GOOGLETRANSLATE(B11699, ""zh"", ""en"")"),"Imagine too a lot better than the dark color pictures! I thought it was a denim shirt, just kind of ordinary shirt")</f>
        <v>Imagine too a lot better than the dark color pictures! I thought it was a denim shirt, just kind of ordinary shirt</v>
      </c>
    </row>
    <row r="11700">
      <c r="A11700" s="1">
        <v>1.0</v>
      </c>
      <c r="B11700" s="1" t="s">
        <v>11602</v>
      </c>
      <c r="C11700" t="str">
        <f>IFERROR(__xludf.DUMMYFUNCTION("GOOGLETRANSLATE(B11700, ""zh"", ""en"")"),"Obviously fake fake, cutting nozzle @ 💔")</f>
        <v>Obviously fake fake, cutting nozzle @ 💔</v>
      </c>
    </row>
    <row r="11701">
      <c r="A11701" s="1">
        <v>1.0</v>
      </c>
      <c r="B11701" s="1" t="s">
        <v>11603</v>
      </c>
      <c r="C11701" t="str">
        <f>IFERROR(__xludf.DUMMYFUNCTION("GOOGLETRANSLATE(B11701, ""zh"", ""en"")"),"The wrong goods, the wrong code to buy shorts even made into trousers, and s number made into xl, I was silent 😓, you can not be serious shipped it?")</f>
        <v>The wrong goods, the wrong code to buy shorts even made into trousers, and s number made into xl, I was silent 😓, you can not be serious shipped it?</v>
      </c>
    </row>
    <row r="11702">
      <c r="A11702" s="1">
        <v>1.0</v>
      </c>
      <c r="B11702" s="1" t="s">
        <v>11604</v>
      </c>
      <c r="C11702" t="str">
        <f>IFERROR(__xludf.DUMMYFUNCTION("GOOGLETRANSLATE(B11702, ""zh"", ""en"")"),"Human services have? Clothes too big, much thinner than the domestic selling texture, plus tax, shipping is not cheap, but also not suitable replacement can not, really inappropriate.")</f>
        <v>Human services have? Clothes too big, much thinner than the domestic selling texture, plus tax, shipping is not cheap, but also not suitable replacement can not, really inappropriate.</v>
      </c>
    </row>
    <row r="11703">
      <c r="A11703" s="1">
        <v>4.0</v>
      </c>
      <c r="B11703" s="1" t="s">
        <v>11605</v>
      </c>
      <c r="C11703" t="str">
        <f>IFERROR(__xludf.DUMMYFUNCTION("GOOGLETRANSLATE(B11703, ""zh"", ""en"")"),"Work well 182cm72kg, just wear L, a little loose, not tight. Good workmanship.")</f>
        <v>Work well 182cm72kg, just wear L, a little loose, not tight. Good workmanship.</v>
      </c>
    </row>
    <row r="11704">
      <c r="A11704" s="1">
        <v>4.0</v>
      </c>
      <c r="B11704" s="1" t="s">
        <v>11606</v>
      </c>
      <c r="C11704" t="str">
        <f>IFERROR(__xludf.DUMMYFUNCTION("GOOGLETRANSLATE(B11704, ""zh"", ""en"")"),"Clothes can also buy two 158cm 46kg s sale timely processing code symbols s m thicker fabrics code and thin yellow and green girls get hands yellow hair after axillary line opened after the reaction is too large")</f>
        <v>Clothes can also buy two 158cm 46kg s sale timely processing code symbols s m thicker fabrics code and thin yellow and green girls get hands yellow hair after axillary line opened after the reaction is too large</v>
      </c>
    </row>
    <row r="11705">
      <c r="A11705" s="1">
        <v>4.0</v>
      </c>
      <c r="B11705" s="1" t="s">
        <v>11607</v>
      </c>
      <c r="C11705" t="str">
        <f>IFERROR(__xludf.DUMMYFUNCTION("GOOGLETRANSLATE(B11705, ""zh"", ""en"")"),"OK rubber cup base sleeve portion slightly defective, trouble reclaim the returned overseas available.")</f>
        <v>OK rubber cup base sleeve portion slightly defective, trouble reclaim the returned overseas available.</v>
      </c>
    </row>
    <row r="11706">
      <c r="A11706" s="1">
        <v>4.0</v>
      </c>
      <c r="B11706" s="1" t="s">
        <v>11608</v>
      </c>
      <c r="C11706" t="str">
        <f>IFERROR(__xludf.DUMMYFUNCTION("GOOGLETRANSLATE(B11706, ""zh"", ""en"")"),"Very good compared to a sports pants Adidas sweat pants, different fabrics, fine workmanship, suitable for spring and autumn wear, personal feeling pretty good.")</f>
        <v>Very good compared to a sports pants Adidas sweat pants, different fabrics, fine workmanship, suitable for spring and autumn wear, personal feeling pretty good.</v>
      </c>
    </row>
    <row r="11707">
      <c r="A11707" s="1">
        <v>4.0</v>
      </c>
      <c r="B11707" s="1" t="s">
        <v>11609</v>
      </c>
      <c r="C11707" t="str">
        <f>IFERROR(__xludf.DUMMYFUNCTION("GOOGLETRANSLATE(B11707, ""zh"", ""en"")"),"Five days five days to hand to hand to see so many think that this is the second hand checkmark results still unsatisfactory ah generally satisfied with it")</f>
        <v>Five days five days to hand to hand to see so many think that this is the second hand checkmark results still unsatisfactory ah generally satisfied with it</v>
      </c>
    </row>
    <row r="11708">
      <c r="A11708" s="1">
        <v>5.0</v>
      </c>
      <c r="B11708" s="1" t="s">
        <v>11610</v>
      </c>
      <c r="C11708" t="str">
        <f>IFERROR(__xludf.DUMMYFUNCTION("GOOGLETRANSLATE(B11708, ""zh"", ""en"")"),"Wearing comfort is not good. From the picture these shoes will be more rigid, more rigid Sure cortex. Wearing comfort is not good.")</f>
        <v>Wearing comfort is not good. From the picture these shoes will be more rigid, more rigid Sure cortex. Wearing comfort is not good.</v>
      </c>
    </row>
    <row r="11709">
      <c r="A11709" s="1">
        <v>5.0</v>
      </c>
      <c r="B11709" s="1" t="s">
        <v>11611</v>
      </c>
      <c r="C11709" t="str">
        <f>IFERROR(__xludf.DUMMYFUNCTION("GOOGLETRANSLATE(B11709, ""zh"", ""en"")"),"Classic cost-effective choice classic cost-effective choice, prepare a considerable amplifier, it will live up to expectations classic big ears!")</f>
        <v>Classic cost-effective choice classic cost-effective choice, prepare a considerable amplifier, it will live up to expectations classic big ears!</v>
      </c>
    </row>
    <row r="11710">
      <c r="A11710" s="1">
        <v>5.0</v>
      </c>
      <c r="B11710" s="1" t="s">
        <v>11612</v>
      </c>
      <c r="C11710" t="str">
        <f>IFERROR(__xludf.DUMMYFUNCTION("GOOGLETRANSLATE(B11710, ""zh"", ""en"")"),"Cute shoes cute baby shoes belonging to choose their own shoes spring and autumn it is very light today, children go to kindergarten directly through the afternoon to pick up their kids dancing to touch his shoes socks a little wave, summer wear if it cou"&amp;"ld cover their feet, baby feet long 16.8 17.5 now buy a large finger. Japanese shoe, relatively accurate yardage, yardage Europe is really unpredictable.")</f>
        <v>Cute shoes cute baby shoes belonging to choose their own shoes spring and autumn it is very light today, children go to kindergarten directly through the afternoon to pick up their kids dancing to touch his shoes socks a little wave, summer wear if it could cover their feet, baby feet long 16.8 17.5 now buy a large finger. Japanese shoe, relatively accurate yardage, yardage Europe is really unpredictable.</v>
      </c>
    </row>
    <row r="11711">
      <c r="A11711" s="1">
        <v>5.0</v>
      </c>
      <c r="B11711" s="1" t="s">
        <v>11613</v>
      </c>
      <c r="C11711" t="str">
        <f>IFERROR(__xludf.DUMMYFUNCTION("GOOGLETRANSLATE(B11711, ""zh"", ""en"")"),"Fear is not true, quality is good, the whole family eat okay? Cost-effective")</f>
        <v>Fear is not true, quality is good, the whole family eat okay? Cost-effective</v>
      </c>
    </row>
    <row r="11712">
      <c r="A11712" s="1">
        <v>5.0</v>
      </c>
      <c r="B11712" s="1" t="s">
        <v>11614</v>
      </c>
      <c r="C11712" t="str">
        <f>IFERROR(__xludf.DUMMYFUNCTION("GOOGLETRANSLATE(B11712, ""zh"", ""en"")"),"Sound good sound quality is good, the joint work also slightly rough.")</f>
        <v>Sound good sound quality is good, the joint work also slightly rough.</v>
      </c>
    </row>
    <row r="11713">
      <c r="A11713" s="1">
        <v>5.0</v>
      </c>
      <c r="B11713" s="1" t="s">
        <v>11615</v>
      </c>
      <c r="C11713" t="str">
        <f>IFERROR(__xludf.DUMMYFUNCTION("GOOGLETRANSLATE(B11713, ""zh"", ""en"")"),"Software can also be sent accidentally deleted it? I did not see where")</f>
        <v>Software can also be sent accidentally deleted it? I did not see where</v>
      </c>
    </row>
    <row r="11714">
      <c r="A11714" s="1">
        <v>5.0</v>
      </c>
      <c r="B11714" s="1" t="s">
        <v>11616</v>
      </c>
      <c r="C11714" t="str">
        <f>IFERROR(__xludf.DUMMYFUNCTION("GOOGLETRANSLATE(B11714, ""zh"", ""en"")"),"Well, I bought one. Wearing just right, the price is right.")</f>
        <v>Well, I bought one. Wearing just right, the price is right.</v>
      </c>
    </row>
    <row r="11715">
      <c r="A11715" s="1">
        <v>5.0</v>
      </c>
      <c r="B11715" s="1" t="s">
        <v>11617</v>
      </c>
      <c r="C11715" t="str">
        <f>IFERROR(__xludf.DUMMYFUNCTION("GOOGLETRANSLATE(B11715, ""zh"", ""en"")"),"Good-looking, soft and partners a person a pair, feel very type. Very soft leather. Insole is easy to slip. You may need to pad its own. It was a good-looking people boast")</f>
        <v>Good-looking, soft and partners a person a pair, feel very type. Very soft leather. Insole is easy to slip. You may need to pad its own. It was a good-looking people boast</v>
      </c>
    </row>
    <row r="11716">
      <c r="A11716" s="1">
        <v>5.0</v>
      </c>
      <c r="B11716" s="1" t="s">
        <v>11618</v>
      </c>
      <c r="C11716" t="str">
        <f>IFERROR(__xludf.DUMMYFUNCTION("GOOGLETRANSLATE(B11716, ""zh"", ""en"")"),"Practical, shoulder strap with non-slip strips. Practical, shoulder strap with non-slip strips.")</f>
        <v>Practical, shoulder strap with non-slip strips. Practical, shoulder strap with non-slip strips.</v>
      </c>
    </row>
    <row r="11717">
      <c r="A11717" s="1">
        <v>5.0</v>
      </c>
      <c r="B11717" s="1" t="s">
        <v>11619</v>
      </c>
      <c r="C11717" t="str">
        <f>IFERROR(__xludf.DUMMYFUNCTION("GOOGLETRANSLATE(B11717, ""zh"", ""en"")"),"500 buy, cheap, the next will recommend to friends more than 500 buy, cheap, the next will recommend to a friend")</f>
        <v>500 buy, cheap, the next will recommend to friends more than 500 buy, cheap, the next will recommend to a friend</v>
      </c>
    </row>
    <row r="11718">
      <c r="A11718" s="1">
        <v>5.0</v>
      </c>
      <c r="B11718" s="1" t="s">
        <v>11620</v>
      </c>
      <c r="C11718" t="str">
        <f>IFERROR(__xludf.DUMMYFUNCTION("GOOGLETRANSLATE(B11718, ""zh"", ""en"")"),"Very good shoes under order number 27 in the evening, to No. 2 in the morning, five days is up, too faster. Shoes of good quality, no smell, usually wear 3940, this pair tried in the domestic counter, just 8 yards")</f>
        <v>Very good shoes under order number 27 in the evening, to No. 2 in the morning, five days is up, too faster. Shoes of good quality, no smell, usually wear 3940, this pair tried in the domestic counter, just 8 yards</v>
      </c>
    </row>
    <row r="11719">
      <c r="A11719" s="1">
        <v>5.0</v>
      </c>
      <c r="B11719" s="1" t="s">
        <v>11621</v>
      </c>
      <c r="C11719" t="str">
        <f>IFERROR(__xludf.DUMMYFUNCTION("GOOGLETRANSLATE(B11719, ""zh"", ""en"")"),"Yes 170cm / 69kg. Positive fit. Thin clothes. But the fabrics feel comfortable.")</f>
        <v>Yes 170cm / 69kg. Positive fit. Thin clothes. But the fabrics feel comfortable.</v>
      </c>
    </row>
    <row r="11720">
      <c r="A11720" s="1">
        <v>5.0</v>
      </c>
      <c r="B11720" s="1" t="s">
        <v>11622</v>
      </c>
      <c r="C11720" t="str">
        <f>IFERROR(__xludf.DUMMYFUNCTION("GOOGLETRANSLATE(B11720, ""zh"", ""en"")"),"Just fine really good, the price is much cheaper than a cat a dog, I do not know how to use, like this one")</f>
        <v>Just fine really good, the price is much cheaper than a cat a dog, I do not know how to use, like this one</v>
      </c>
    </row>
    <row r="11721">
      <c r="A11721" s="1">
        <v>5.0</v>
      </c>
      <c r="B11721" s="1" t="s">
        <v>11623</v>
      </c>
      <c r="C11721" t="str">
        <f>IFERROR(__xludf.DUMMYFUNCTION("GOOGLETRANSLATE(B11721, ""zh"", ""en"")"),"Very good shopping experience genuine, authentic, mailing fast.")</f>
        <v>Very good shopping experience genuine, authentic, mailing fast.</v>
      </c>
    </row>
    <row r="11722">
      <c r="A11722" s="1">
        <v>5.0</v>
      </c>
      <c r="B11722" s="1" t="s">
        <v>11624</v>
      </c>
      <c r="C11722" t="str">
        <f>IFERROR(__xludf.DUMMYFUNCTION("GOOGLETRANSLATE(B11722, ""zh"", ""en"")"),"Pregnant women must have the late pelvis pain, prenatal and postnatal can use this, very good")</f>
        <v>Pregnant women must have the late pelvis pain, prenatal and postnatal can use this, very good</v>
      </c>
    </row>
    <row r="11723">
      <c r="A11723" s="1">
        <v>5.0</v>
      </c>
      <c r="B11723" s="1" t="s">
        <v>11625</v>
      </c>
      <c r="C11723" t="str">
        <f>IFERROR(__xludf.DUMMYFUNCTION("GOOGLETRANSLATE(B11723, ""zh"", ""en"")"),"Can also be something pretty good, but compared to than that one I bought before, with no elastic on the fabric, which is produced in Vietnam, just Chuan Chuan also")</f>
        <v>Can also be something pretty good, but compared to than that one I bought before, with no elastic on the fabric, which is produced in Vietnam, just Chuan Chuan also</v>
      </c>
    </row>
    <row r="11724">
      <c r="A11724" s="1">
        <v>5.0</v>
      </c>
      <c r="B11724" s="1" t="s">
        <v>11626</v>
      </c>
      <c r="C11724" t="str">
        <f>IFERROR(__xludf.DUMMYFUNCTION("GOOGLETRANSLATE(B11724, ""zh"", ""en"")"),"Amazon has never let me down too fit, and a good quality fabric is very comfortable, I hope Amazon is getting better")</f>
        <v>Amazon has never let me down too fit, and a good quality fabric is very comfortable, I hope Amazon is getting better</v>
      </c>
    </row>
    <row r="11725">
      <c r="A11725" s="1">
        <v>5.0</v>
      </c>
      <c r="B11725" s="1" t="s">
        <v>11627</v>
      </c>
      <c r="C11725" t="str">
        <f>IFERROR(__xludf.DUMMYFUNCTION("GOOGLETRANSLATE(B11725, ""zh"", ""en"")"),"Good arrival is very fast, and the packaging too carefully, goods are fixed inside the box and want to have ripped out by doing something. Amazon's service has been particularly satisfied. Inside Atsugi 240 are thin cashmere, and 400d of the county is jus"&amp;"t slightly thicker knit socks, before a more visual sense of warmth. But not the upper body, the actual situation is not clear.")</f>
        <v>Good arrival is very fast, and the packaging too carefully, goods are fixed inside the box and want to have ripped out by doing something. Amazon's service has been particularly satisfied. Inside Atsugi 240 are thin cashmere, and 400d of the county is just slightly thicker knit socks, before a more visual sense of warmth. But not the upper body, the actual situation is not clear.</v>
      </c>
    </row>
    <row r="11726">
      <c r="A11726" s="1">
        <v>5.0</v>
      </c>
      <c r="B11726" s="1" t="s">
        <v>11628</v>
      </c>
      <c r="C11726" t="str">
        <f>IFERROR(__xludf.DUMMYFUNCTION("GOOGLETRANSLATE(B11726, ""zh"", ""en"")"),"A good mobile hard disk mobile hard disk size larger than the average, law-abiding shape, computer hard drives and copy speeds of around 150, somewhat cumbersome external power supply, two convenient excuse to add another 3.0 mobile storage, mobile phones"&amp;" can recognize links, overall the money is good mobile hard disk device.")</f>
        <v>A good mobile hard disk mobile hard disk size larger than the average, law-abiding shape, computer hard drives and copy speeds of around 150, somewhat cumbersome external power supply, two convenient excuse to add another 3.0 mobile storage, mobile phones can recognize links, overall the money is good mobile hard disk device.</v>
      </c>
    </row>
    <row r="11727">
      <c r="A11727" s="1">
        <v>5.0</v>
      </c>
      <c r="B11727" s="1" t="s">
        <v>11629</v>
      </c>
      <c r="C11727" t="str">
        <f>IFERROR(__xludf.DUMMYFUNCTION("GOOGLETRANSLATE(B11727, ""zh"", ""en"")"),"Satisfactory fit satisfied with the fit")</f>
        <v>Satisfactory fit satisfied with the fit</v>
      </c>
    </row>
    <row r="11728">
      <c r="A11728" s="1">
        <v>5.0</v>
      </c>
      <c r="B11728" s="1" t="s">
        <v>11630</v>
      </c>
      <c r="C11728" t="str">
        <f>IFERROR(__xludf.DUMMYFUNCTION("GOOGLETRANSLATE(B11728, ""zh"", ""en"")"),"Great Seiko quartz watch watch worn for three days, well-functioning, timing accuracy, very satisfied so come to write reviews. Like its style dial, luminous good, red second hand is not usually timed to go with, it is very special, of course, used to lik"&amp;"e. Nichia speed and quality to the force, logistics and part of the international search easily fully booked, domestic search open sesame, can be traced.")</f>
        <v>Great Seiko quartz watch watch worn for three days, well-functioning, timing accuracy, very satisfied so come to write reviews. Like its style dial, luminous good, red second hand is not usually timed to go with, it is very special, of course, used to like. Nichia speed and quality to the force, logistics and part of the international search easily fully booked, domestic search open sesame, can be traced.</v>
      </c>
    </row>
    <row r="11729">
      <c r="A11729" s="1">
        <v>2.0</v>
      </c>
      <c r="B11729" s="1" t="s">
        <v>11631</v>
      </c>
      <c r="C11729" t="str">
        <f>IFERROR(__xludf.DUMMYFUNCTION("GOOGLETRANSLATE(B11729, ""zh"", ""en"")"),"Did not see the reviews before buying too much, usually to buy pants L, look at the size chart to buy a M, the results have to catch big sacks")</f>
        <v>Did not see the reviews before buying too much, usually to buy pants L, look at the size chart to buy a M, the results have to catch big sacks</v>
      </c>
    </row>
    <row r="11730">
      <c r="A11730" s="1">
        <v>3.0</v>
      </c>
      <c r="B11730" s="1" t="s">
        <v>11632</v>
      </c>
      <c r="C11730" t="str">
        <f>IFERROR(__xludf.DUMMYFUNCTION("GOOGLETRANSLATE(B11730, ""zh"", ""en"")"),"A little disappointed I quite love Amazon, but this wallet makes me very disappointed, I feel is incomplete Nachulaimai 😞😞😞 scratches addition to this, there are many thread 😤😤😤")</f>
        <v>A little disappointed I quite love Amazon, but this wallet makes me very disappointed, I feel is incomplete Nachulaimai 😞😞😞 scratches addition to this, there are many thread 😤😤😤</v>
      </c>
    </row>
    <row r="11731">
      <c r="A11731" s="1">
        <v>3.0</v>
      </c>
      <c r="B11731" s="1" t="s">
        <v>11633</v>
      </c>
      <c r="C11731" t="str">
        <f>IFERROR(__xludf.DUMMYFUNCTION("GOOGLETRANSLATE(B11731, ""zh"", ""en"")"),"Bluetooth Bluetooth not take not take")</f>
        <v>Bluetooth Bluetooth not take not take</v>
      </c>
    </row>
    <row r="11732">
      <c r="A11732" s="1">
        <v>3.0</v>
      </c>
      <c r="B11732" s="1" t="s">
        <v>11634</v>
      </c>
      <c r="C11732" t="str">
        <f>IFERROR(__xludf.DUMMYFUNCTION("GOOGLETRANSLATE(B11732, ""zh"", ""en"")"),"You pay for this shirt cheaper brand, the right size, but also comfortable to wear, the collar is soft, you pay for.")</f>
        <v>You pay for this shirt cheaper brand, the right size, but also comfortable to wear, the collar is soft, you pay for.</v>
      </c>
    </row>
    <row r="11733">
      <c r="A11733" s="1">
        <v>1.0</v>
      </c>
      <c r="B11733" s="1" t="s">
        <v>11635</v>
      </c>
      <c r="C11733" t="str">
        <f>IFERROR(__xludf.DUMMYFUNCTION("GOOGLETRANSLATE(B11733, ""zh"", ""en"")"),"Quality to be improved wearing comfort feeling bad times have not high")</f>
        <v>Quality to be improved wearing comfort feeling bad times have not high</v>
      </c>
    </row>
    <row r="11734">
      <c r="A11734" s="1">
        <v>1.0</v>
      </c>
      <c r="B11734" s="1" t="s">
        <v>11636</v>
      </c>
      <c r="C11734" t="str">
        <f>IFERROR(__xludf.DUMMYFUNCTION("GOOGLETRANSLATE(B11734, ""zh"", ""en"")"),"Poor Poor Poor Poor quality, just wear a day on the open plastic, foot wear too much, it is estimated to be fake or is transferred packet, do not buy")</f>
        <v>Poor Poor Poor Poor quality, just wear a day on the open plastic, foot wear too much, it is estimated to be fake or is transferred packet, do not buy</v>
      </c>
    </row>
    <row r="11735">
      <c r="A11735" s="1">
        <v>4.0</v>
      </c>
      <c r="B11735" s="1" t="s">
        <v>11637</v>
      </c>
      <c r="C11735" t="str">
        <f>IFERROR(__xludf.DUMMYFUNCTION("GOOGLETRANSLATE(B11735, ""zh"", ""en"")"),"Feel good. It looks okay, I have not had to use.")</f>
        <v>Feel good. It looks okay, I have not had to use.</v>
      </c>
    </row>
    <row r="11736">
      <c r="A11736" s="1">
        <v>4.0</v>
      </c>
      <c r="B11736" s="1" t="s">
        <v>11638</v>
      </c>
      <c r="C11736" t="str">
        <f>IFERROR(__xludf.DUMMYFUNCTION("GOOGLETRANSLATE(B11736, ""zh"", ""en"")"),"Yes there are two holes, very practical, although it is made in China, the quality can be")</f>
        <v>Yes there are two holes, very practical, although it is made in China, the quality can be</v>
      </c>
    </row>
    <row r="11737">
      <c r="A11737" s="1">
        <v>4.0</v>
      </c>
      <c r="B11737" s="1" t="s">
        <v>11639</v>
      </c>
      <c r="C11737" t="str">
        <f>IFERROR(__xludf.DUMMYFUNCTION("GOOGLETRANSLATE(B11737, ""zh"", ""en"")"),"Fortunately, my father has been eating, the effect remains to be seen")</f>
        <v>Fortunately, my father has been eating, the effect remains to be seen</v>
      </c>
    </row>
    <row r="11738">
      <c r="A11738" s="1">
        <v>4.0</v>
      </c>
      <c r="B11738" s="1" t="s">
        <v>11640</v>
      </c>
      <c r="C11738" t="str">
        <f>IFERROR(__xludf.DUMMYFUNCTION("GOOGLETRANSLATE(B11738, ""zh"", ""en"")"),"Belt hope that this play is not bad review can help newcomers. 36 yards very standard, five openings, with the pants 34 yards, which snap into a hole, or a tight snap point to be fourth holes. AIU also worried about packaging just see the belt would not b"&amp;"e a bad break, you can also see temporary. The magic is used to buy are produced in India, and this turned out to be produced in the United States? !")</f>
        <v>Belt hope that this play is not bad review can help newcomers. 36 yards very standard, five openings, with the pants 34 yards, which snap into a hole, or a tight snap point to be fourth holes. AIU also worried about packaging just see the belt would not be a bad break, you can also see temporary. The magic is used to buy are produced in India, and this turned out to be produced in the United States? !</v>
      </c>
    </row>
    <row r="11739">
      <c r="A11739" s="1">
        <v>5.0</v>
      </c>
      <c r="B11739" s="1" t="s">
        <v>11641</v>
      </c>
      <c r="C11739" t="str">
        <f>IFERROR(__xludf.DUMMYFUNCTION("GOOGLETRANSLATE(B11739, ""zh"", ""en"")"),"Small good quality but it is recommended to buy the usual freshman code")</f>
        <v>Small good quality but it is recommended to buy the usual freshman code</v>
      </c>
    </row>
    <row r="11740">
      <c r="A11740" s="1">
        <v>5.0</v>
      </c>
      <c r="B11740" s="1" t="s">
        <v>11642</v>
      </c>
      <c r="C11740" t="str">
        <f>IFERROR(__xludf.DUMMYFUNCTION("GOOGLETRANSLATE(B11740, ""zh"", ""en"")"),"Like the hat very good, the right size.")</f>
        <v>Like the hat very good, the right size.</v>
      </c>
    </row>
    <row r="11741">
      <c r="A11741" s="1">
        <v>5.0</v>
      </c>
      <c r="B11741" s="1" t="s">
        <v>11643</v>
      </c>
      <c r="C11741" t="str">
        <f>IFERROR(__xludf.DUMMYFUNCTION("GOOGLETRANSLATE(B11741, ""zh"", ""en"")"),"Favorite long red ribbon ma1 read many reviews, finally decided to start with the classic version army green s number, trepidation waiting for the arrival of clothes. Pretty fast, a week to go. Try it right away, I did not expect quite fit. For everyone t"&amp;"o refer to it: my height 171cm, weight 64kg. Wear clothes just right, just right shoulder and sleeves, long clothing feeling slightly shorter, probably this style of it! In short, very satisfied with the clothes, good workmanship, very type.")</f>
        <v>Favorite long red ribbon ma1 read many reviews, finally decided to start with the classic version army green s number, trepidation waiting for the arrival of clothes. Pretty fast, a week to go. Try it right away, I did not expect quite fit. For everyone to refer to it: my height 171cm, weight 64kg. Wear clothes just right, just right shoulder and sleeves, long clothing feeling slightly shorter, probably this style of it! In short, very satisfied with the clothes, good workmanship, very type.</v>
      </c>
    </row>
    <row r="11742">
      <c r="A11742" s="1">
        <v>5.0</v>
      </c>
      <c r="B11742" s="1" t="s">
        <v>11644</v>
      </c>
      <c r="C11742" t="str">
        <f>IFERROR(__xludf.DUMMYFUNCTION("GOOGLETRANSLATE(B11742, ""zh"", ""en"")"),"Size is the right size as expected, more appropriate, like the first time you can also wash a little feeling not so smooth, and not likely to be dehydrated dry off, overall pretty good bar. I highly 174cm weight 67kg, L just right.")</f>
        <v>Size is the right size as expected, more appropriate, like the first time you can also wash a little feeling not so smooth, and not likely to be dehydrated dry off, overall pretty good bar. I highly 174cm weight 67kg, L just right.</v>
      </c>
    </row>
    <row r="11743">
      <c r="A11743" s="1">
        <v>5.0</v>
      </c>
      <c r="B11743" s="1" t="s">
        <v>11645</v>
      </c>
      <c r="C11743" t="str">
        <f>IFERROR(__xludf.DUMMYFUNCTION("GOOGLETRANSLATE(B11743, ""zh"", ""en"")"),"Older children than the adult version of this paragraph to be some light, but also more comfortable to wear, foot wear no-show, may buy a code word for it, I 240, buy 240 feet 5.5M ,. recommendation to buy or 6 5.5")</f>
        <v>Older children than the adult version of this paragraph to be some light, but also more comfortable to wear, foot wear no-show, may buy a code word for it, I 240, buy 240 feet 5.5M ,. recommendation to buy or 6 5.5</v>
      </c>
    </row>
    <row r="11744">
      <c r="A11744" s="1">
        <v>5.0</v>
      </c>
      <c r="B11744" s="1" t="s">
        <v>11646</v>
      </c>
      <c r="C11744" t="str">
        <f>IFERROR(__xludf.DUMMYFUNCTION("GOOGLETRANSLATE(B11744, ""zh"", ""en"")"),"Very fit very fit, waistband, placket, long pants are highly composite number, the benefits of the hip can be wrapped. Work is also very good, soft fabrics. As a reminder, be sure to buy a small one yard, my standard 34 to 35, this would just as long as 3"&amp;"3.")</f>
        <v>Very fit very fit, waistband, placket, long pants are highly composite number, the benefits of the hip can be wrapped. Work is also very good, soft fabrics. As a reminder, be sure to buy a small one yard, my standard 34 to 35, this would just as long as 33.</v>
      </c>
    </row>
    <row r="11745">
      <c r="A11745" s="1">
        <v>5.0</v>
      </c>
      <c r="B11745" s="1" t="s">
        <v>11647</v>
      </c>
      <c r="C11745" t="str">
        <f>IFERROR(__xludf.DUMMYFUNCTION("GOOGLETRANSLATE(B11745, ""zh"", ""en"")"),"Faith arrived faster than expected, tuning great, quality is also good, praise! Marshall became the faith")</f>
        <v>Faith arrived faster than expected, tuning great, quality is also good, praise! Marshall became the faith</v>
      </c>
    </row>
    <row r="11746">
      <c r="A11746" s="1">
        <v>5.0</v>
      </c>
      <c r="B11746" s="1" t="s">
        <v>11648</v>
      </c>
      <c r="C11746" t="str">
        <f>IFERROR(__xludf.DUMMYFUNCTION("GOOGLETRANSLATE(B11746, ""zh"", ""en"")"),"Affordable choice soft cloth cut crisp, well-crafted. Give you a reference, Height: 172 Weight: 75. 31/30 wear, the waist slightly smaller code length is just right.")</f>
        <v>Affordable choice soft cloth cut crisp, well-crafted. Give you a reference, Height: 172 Weight: 75. 31/30 wear, the waist slightly smaller code length is just right.</v>
      </c>
    </row>
    <row r="11747">
      <c r="A11747" s="1">
        <v>5.0</v>
      </c>
      <c r="B11747" s="1" t="s">
        <v>11649</v>
      </c>
      <c r="C11747" t="str">
        <f>IFERROR(__xludf.DUMMYFUNCTION("GOOGLETRANSLATE(B11747, ""zh"", ""en"")"),"62,000 revolutions / minute a charging cradle, two handles, two toothbrush head, two travel case.")</f>
        <v>62,000 revolutions / minute a charging cradle, two handles, two toothbrush head, two travel case.</v>
      </c>
    </row>
    <row r="11748">
      <c r="A11748" s="1">
        <v>5.0</v>
      </c>
      <c r="B11748" s="1" t="s">
        <v>11650</v>
      </c>
      <c r="C11748" t="str">
        <f>IFERROR(__xludf.DUMMYFUNCTION("GOOGLETRANSLATE(B11748, ""zh"", ""en"")"),"Clothes really big enough, 185,120 kilograms. There are wealthy enough size 3XL. China never buy so much clothes.")</f>
        <v>Clothes really big enough, 185,120 kilograms. There are wealthy enough size 3XL. China never buy so much clothes.</v>
      </c>
    </row>
    <row r="11749">
      <c r="A11749" s="1">
        <v>5.0</v>
      </c>
      <c r="B11749" s="1" t="s">
        <v>11651</v>
      </c>
      <c r="C11749" t="str">
        <f>IFERROR(__xludf.DUMMYFUNCTION("GOOGLETRANSLATE(B11749, ""zh"", ""en"")"),"Good good quality, great texture, it is estimated can be used for many years")</f>
        <v>Good good quality, great texture, it is estimated can be used for many years</v>
      </c>
    </row>
    <row r="11750">
      <c r="A11750" s="1">
        <v>5.0</v>
      </c>
      <c r="B11750" s="1" t="s">
        <v>10749</v>
      </c>
      <c r="C11750" t="str">
        <f>IFERROR(__xludf.DUMMYFUNCTION("GOOGLETRANSLATE(B11750, ""zh"", ""en"")"),"When using insert it to USB3.1 interfaces, or can not fully experience this special place special edition! ! ! Well worth buying an external 3.5-inch mobile hard disk, volume point of view of personal preference, I felt not so big. In fact, the sides can "&amp;"be placed upright, so basically the space problem is not so great. Remind friends, this data line interface device must be used with a USB3.1 interface, or with USB3.0 interfaces that rate probably only about 20M, if it 3.1USB rate will remain at 100M, hi"&amp;"gh time can to 170M. So 3.0 is really tasteless.")</f>
        <v>When using insert it to USB3.1 interfaces, or can not fully experience this special place special edition! ! ! Well worth buying an external 3.5-inch mobile hard disk, volume point of view of personal preference, I felt not so big. In fact, the sides can be placed upright, so basically the space problem is not so great. Remind friends, this data line interface device must be used with a USB3.1 interface, or with USB3.0 interfaces that rate probably only about 20M, if it 3.1USB rate will remain at 100M, high time can to 170M. So 3.0 is really tasteless.</v>
      </c>
    </row>
    <row r="11751">
      <c r="A11751" s="1">
        <v>5.0</v>
      </c>
      <c r="B11751" s="1" t="s">
        <v>11652</v>
      </c>
      <c r="C11751" t="str">
        <f>IFERROR(__xludf.DUMMYFUNCTION("GOOGLETRANSLATE(B11751, ""zh"", ""en"")"),"Very easy to advance to the week including tax 1k less, is simply the price of cabbage! Very easy to use, the first milk box put a water machine does not work that bad, go to Taobao had asked the customer service must be put milk, there is a detection por"&amp;"t detects the position of milk, for milk really like to use!")</f>
        <v>Very easy to advance to the week including tax 1k less, is simply the price of cabbage! Very easy to use, the first milk box put a water machine does not work that bad, go to Taobao had asked the customer service must be put milk, there is a detection port detects the position of milk, for milk really like to use!</v>
      </c>
    </row>
    <row r="11752">
      <c r="A11752" s="1">
        <v>5.0</v>
      </c>
      <c r="B11752" s="1" t="s">
        <v>11653</v>
      </c>
      <c r="C11752" t="str">
        <f>IFERROR(__xludf.DUMMYFUNCTION("GOOGLETRANSLATE(B11752, ""zh"", ""en"")"),"Style version workmanship texture gosh I blowout these shoes texture and workmanship did not have to say! And on foot too temperament windbreaker coat pantyhose with skirts are very small ride! ! ! ! ! ! I love it! ! !")</f>
        <v>Style version workmanship texture gosh I blowout these shoes texture and workmanship did not have to say! And on foot too temperament windbreaker coat pantyhose with skirts are very small ride! ! ! ! ! ! I love it! ! !</v>
      </c>
    </row>
    <row r="11753">
      <c r="A11753" s="1">
        <v>5.0</v>
      </c>
      <c r="B11753" s="1" t="s">
        <v>11654</v>
      </c>
      <c r="C11753" t="str">
        <f>IFERROR(__xludf.DUMMYFUNCTION("GOOGLETRANSLATE(B11753, ""zh"", ""en"")"),"Logistics and quality did not say, logistics speed can also accept ~")</f>
        <v>Logistics and quality did not say, logistics speed can also accept ~</v>
      </c>
    </row>
    <row r="11754">
      <c r="A11754" s="1">
        <v>5.0</v>
      </c>
      <c r="B11754" s="1" t="s">
        <v>11655</v>
      </c>
      <c r="C11754" t="str">
        <f>IFERROR(__xludf.DUMMYFUNCTION("GOOGLETRANSLATE(B11754, ""zh"", ""en"")"),"Good 2-line without the need to be round plug adapter; hot water can also speed 2400W of power will not be too fast; blue hints and tips very useful amount of water is also very nice. Stainless steel body leads to the outer wall of water to a boil very ho"&amp;"t though normal in terms of not using hot to handle grip is also very good but I am afraid that in case of accidentally going to be hot, but all of a sudden with the WMF design style is so estimates design bar")</f>
        <v>Good 2-line without the need to be round plug adapter; hot water can also speed 2400W of power will not be too fast; blue hints and tips very useful amount of water is also very nice. Stainless steel body leads to the outer wall of water to a boil very hot though normal in terms of not using hot to handle grip is also very good but I am afraid that in case of accidentally going to be hot, but all of a sudden with the WMF design style is so estimates design bar</v>
      </c>
    </row>
    <row r="11755">
      <c r="A11755" s="1">
        <v>5.0</v>
      </c>
      <c r="B11755" s="1" t="s">
        <v>11656</v>
      </c>
      <c r="C11755" t="str">
        <f>IFERROR(__xludf.DUMMYFUNCTION("GOOGLETRANSLATE(B11755, ""zh"", ""en"")"),"Comfort inexpensive particularly comfortable purchasing a lot cheaper than Japan")</f>
        <v>Comfort inexpensive particularly comfortable purchasing a lot cheaper than Japan</v>
      </c>
    </row>
    <row r="11756">
      <c r="A11756" s="1">
        <v>5.0</v>
      </c>
      <c r="B11756" s="1" t="s">
        <v>11657</v>
      </c>
      <c r="C11756" t="str">
        <f>IFERROR(__xludf.DUMMYFUNCTION("GOOGLETRANSLATE(B11756, ""zh"", ""en"")"),"Well great, soft, comfortable to wear, made in Japan")</f>
        <v>Well great, soft, comfortable to wear, made in Japan</v>
      </c>
    </row>
    <row r="11757">
      <c r="A11757" s="1">
        <v>5.0</v>
      </c>
      <c r="B11757" s="1" t="s">
        <v>11658</v>
      </c>
      <c r="C11757" t="str">
        <f>IFERROR(__xludf.DUMMYFUNCTION("GOOGLETRANSLATE(B11757, ""zh"", ""en"")"),"Satisfaction very good, do not regret it!")</f>
        <v>Satisfaction very good, do not regret it!</v>
      </c>
    </row>
    <row r="11758">
      <c r="A11758" s="1">
        <v>5.0</v>
      </c>
      <c r="B11758" s="1" t="s">
        <v>11659</v>
      </c>
      <c r="C11758" t="str">
        <f>IFERROR(__xludf.DUMMYFUNCTION("GOOGLETRANSLATE(B11758, ""zh"", ""en"")"),"170 high weight 140 pounds, slightly large high weight 170 140 pounds, slightly large")</f>
        <v>170 high weight 140 pounds, slightly large high weight 170 140 pounds, slightly large</v>
      </c>
    </row>
    <row r="11759">
      <c r="A11759" s="1">
        <v>5.0</v>
      </c>
      <c r="B11759" s="1" t="s">
        <v>11660</v>
      </c>
      <c r="C11759" t="str">
        <f>IFERROR(__xludf.DUMMYFUNCTION("GOOGLETRANSLATE(B11759, ""zh"", ""en"")"),"Very good product very good clean and odorless very happy if we can send a more perfect grip")</f>
        <v>Very good product very good clean and odorless very happy if we can send a more perfect grip</v>
      </c>
    </row>
    <row r="11760">
      <c r="A11760" s="1">
        <v>5.0</v>
      </c>
      <c r="B11760" s="1" t="s">
        <v>11661</v>
      </c>
      <c r="C11760" t="str">
        <f>IFERROR(__xludf.DUMMYFUNCTION("GOOGLETRANSLATE(B11760, ""zh"", ""en"")"),"Prior to good quality direct mail in the United States and Asia with a machine KA chef, would like to re-entry one, simply could not find the direct mail! Transport was too much trouble, but fortunately there are overseas buyers, the price is right, direc"&amp;"t orders. Tariff package, Bangbang Bang! Like the cook with my own direct mail buy that Taiwan quality, KA produced trustworthy!")</f>
        <v>Prior to good quality direct mail in the United States and Asia with a machine KA chef, would like to re-entry one, simply could not find the direct mail! Transport was too much trouble, but fortunately there are overseas buyers, the price is right, direct orders. Tariff package, Bangbang Bang! Like the cook with my own direct mail buy that Taiwan quality, KA produced trustworthy!</v>
      </c>
    </row>
    <row r="11761">
      <c r="A11761" s="1">
        <v>2.0</v>
      </c>
      <c r="B11761" s="1" t="s">
        <v>11662</v>
      </c>
      <c r="C11761" t="str">
        <f>IFERROR(__xludf.DUMMYFUNCTION("GOOGLETRANSLATE(B11761, ""zh"", ""en"")"),"Code number and the country code number is not the same. He does not like to wear for years of Clarks, has always been to wear 42 yards, but this time bought 42 yards, obviously the big one yards. Do yardage home and abroad as the sole length is not the s"&amp;"ame? Return and cumbersome, shoes can only be given away.")</f>
        <v>Code number and the country code number is not the same. He does not like to wear for years of Clarks, has always been to wear 42 yards, but this time bought 42 yards, obviously the big one yards. Do yardage home and abroad as the sole length is not the same? Return and cumbersome, shoes can only be given away.</v>
      </c>
    </row>
    <row r="11762">
      <c r="A11762" s="1">
        <v>3.0</v>
      </c>
      <c r="B11762" s="1" t="s">
        <v>11663</v>
      </c>
      <c r="C11762" t="str">
        <f>IFERROR(__xludf.DUMMYFUNCTION("GOOGLETRANSLATE(B11762, ""zh"", ""en"")"),"The pattern pocket seam died very silent ah, to buy a pattern of pants, two back pockets sewn patterns and strength are together, also followed a pattern stitches out")</f>
        <v>The pattern pocket seam died very silent ah, to buy a pattern of pants, two back pockets sewn patterns and strength are together, also followed a pattern stitches out</v>
      </c>
    </row>
    <row r="11763">
      <c r="A11763" s="1">
        <v>3.0</v>
      </c>
      <c r="B11763" s="1" t="s">
        <v>11664</v>
      </c>
      <c r="C11763" t="str">
        <f>IFERROR(__xludf.DUMMYFUNCTION("GOOGLETRANSLATE(B11763, ""zh"", ""en"")"),"Wear for two weeks to experience wear for two weeks, very comfortable, but it feels a little glue to open the foreboding ah, say not playing bad, I feel to open laugh ah, maybe I unfounded, and other wear for some time to look again evaluation")</f>
        <v>Wear for two weeks to experience wear for two weeks, very comfortable, but it feels a little glue to open the foreboding ah, say not playing bad, I feel to open laugh ah, maybe I unfounded, and other wear for some time to look again evaluation</v>
      </c>
    </row>
    <row r="11764">
      <c r="A11764" s="1">
        <v>1.0</v>
      </c>
      <c r="B11764" s="1" t="s">
        <v>11665</v>
      </c>
      <c r="C11764" t="str">
        <f>IFERROR(__xludf.DUMMYFUNCTION("GOOGLETRANSLATE(B11764, ""zh"", ""en"")"),"Taste great taste, Shuitang there, not with")</f>
        <v>Taste great taste, Shuitang there, not with</v>
      </c>
    </row>
    <row r="11765">
      <c r="A11765" s="1">
        <v>1.0</v>
      </c>
      <c r="B11765" s="1" t="s">
        <v>11666</v>
      </c>
      <c r="C11765" t="str">
        <f>IFERROR(__xludf.DUMMYFUNCTION("GOOGLETRANSLATE(B11765, ""zh"", ""en"")"),"The delay in the refund after return. Online clothing sizes than the control code is at least two yards. Returns have been more than three months have not received a refund.")</f>
        <v>The delay in the refund after return. Online clothing sizes than the control code is at least two yards. Returns have been more than three months have not received a refund.</v>
      </c>
    </row>
    <row r="11766">
      <c r="A11766" s="1">
        <v>4.0</v>
      </c>
      <c r="B11766" s="1" t="s">
        <v>11667</v>
      </c>
      <c r="C11766" t="str">
        <f>IFERROR(__xludf.DUMMYFUNCTION("GOOGLETRANSLATE(B11766, ""zh"", ""en"")"),"Also okay, not used to buy back a few times. Feel good, light.")</f>
        <v>Also okay, not used to buy back a few times. Feel good, light.</v>
      </c>
    </row>
    <row r="11767">
      <c r="A11767" s="1">
        <v>4.0</v>
      </c>
      <c r="B11767" s="1" t="s">
        <v>11668</v>
      </c>
      <c r="C11767" t="str">
        <f>IFERROR(__xludf.DUMMYFUNCTION("GOOGLETRANSLATE(B11767, ""zh"", ""en"")"),"The sleeves a little longer good clothes, the sleeves are too long")</f>
        <v>The sleeves a little longer good clothes, the sleeves are too long</v>
      </c>
    </row>
    <row r="11768">
      <c r="A11768" s="1">
        <v>4.0</v>
      </c>
      <c r="B11768" s="1" t="s">
        <v>11669</v>
      </c>
      <c r="C11768" t="str">
        <f>IFERROR(__xludf.DUMMYFUNCTION("GOOGLETRANSLATE(B11768, ""zh"", ""en"")"),"Thermal insulation had thought not, in fact, no insulation")</f>
        <v>Thermal insulation had thought not, in fact, no insulation</v>
      </c>
    </row>
    <row r="11769">
      <c r="A11769" s="1">
        <v>4.0</v>
      </c>
      <c r="B11769" s="1" t="s">
        <v>11670</v>
      </c>
      <c r="C11769" t="str">
        <f>IFERROR(__xludf.DUMMYFUNCTION("GOOGLETRANSLATE(B11769, ""zh"", ""en"")"),"Do not handsome not think so fat, this style is, of course, skinny man wearing might not work well, I 176,75, partial strong, around bust 105, M I just think, if you do not have this effect of S and if there thick winter clothes, appropriate or M")</f>
        <v>Do not handsome not think so fat, this style is, of course, skinny man wearing might not work well, I 176,75, partial strong, around bust 105, M I just think, if you do not have this effect of S and if there thick winter clothes, appropriate or M</v>
      </c>
    </row>
    <row r="11770">
      <c r="A11770" s="1">
        <v>4.0</v>
      </c>
      <c r="B11770" s="1" t="s">
        <v>11671</v>
      </c>
      <c r="C11770" t="str">
        <f>IFERROR(__xludf.DUMMYFUNCTION("GOOGLETRANSLATE(B11770, ""zh"", ""en"")"),"Thin legs careful to buy the original price 70 knife, not a tax of RMB 219. Normal waist size, leg circumference is considerable. Suitable for spring wear, not thick. Origin Mauritius")</f>
        <v>Thin legs careful to buy the original price 70 knife, not a tax of RMB 219. Normal waist size, leg circumference is considerable. Suitable for spring wear, not thick. Origin Mauritius</v>
      </c>
    </row>
    <row r="11771">
      <c r="A11771" s="1">
        <v>5.0</v>
      </c>
      <c r="B11771" s="1" t="s">
        <v>11672</v>
      </c>
      <c r="C11771" t="str">
        <f>IFERROR(__xludf.DUMMYFUNCTION("GOOGLETRANSLATE(B11771, ""zh"", ""en"")"),"worth buying. Amazon did not say sale. Very good, logistics quickly, shoes than the picture look good, just in front of the rubber a little reverie,")</f>
        <v>worth buying. Amazon did not say sale. Very good, logistics quickly, shoes than the picture look good, just in front of the rubber a little reverie,</v>
      </c>
    </row>
    <row r="11772">
      <c r="A11772" s="1">
        <v>5.0</v>
      </c>
      <c r="B11772" s="1" t="s">
        <v>11673</v>
      </c>
      <c r="C11772" t="str">
        <f>IFERROR(__xludf.DUMMYFUNCTION("GOOGLETRANSLATE(B11772, ""zh"", ""en"")"),"Particularly good at folding straw afraid! The second printed image cup. Straw, quite good at design, the new design should be better than this straw, the straw with the new Zojirushi diffusion hole, spray with hot water to save when opened. But generally"&amp;" do not put so hot water. The straw is not afraid to bite off the child, but also very good work, details are good, anyway, after using abandoned the sms and tiger.")</f>
        <v>Particularly good at folding straw afraid! The second printed image cup. Straw, quite good at design, the new design should be better than this straw, the straw with the new Zojirushi diffusion hole, spray with hot water to save when opened. But generally do not put so hot water. The straw is not afraid to bite off the child, but also very good work, details are good, anyway, after using abandoned the sms and tiger.</v>
      </c>
    </row>
    <row r="11773">
      <c r="A11773" s="1">
        <v>5.0</v>
      </c>
      <c r="B11773" s="1" t="s">
        <v>11674</v>
      </c>
      <c r="C11773" t="str">
        <f>IFERROR(__xludf.DUMMYFUNCTION("GOOGLETRANSLATE(B11773, ""zh"", ""en"")"),"It is more comfortable to wear fat, difficult to buy brand pants, did not think LEE actually buy.")</f>
        <v>It is more comfortable to wear fat, difficult to buy brand pants, did not think LEE actually buy.</v>
      </c>
    </row>
    <row r="11774">
      <c r="A11774" s="1">
        <v>5.0</v>
      </c>
      <c r="B11774" s="1" t="s">
        <v>11675</v>
      </c>
      <c r="C11774" t="str">
        <f>IFERROR(__xludf.DUMMYFUNCTION("GOOGLETRANSLATE(B11774, ""zh"", ""en"")"),"Comfortable and warm. Comfortable and not tight, very soft, warm and good.")</f>
        <v>Comfortable and warm. Comfortable and not tight, very soft, warm and good.</v>
      </c>
    </row>
    <row r="11775">
      <c r="A11775" s="1">
        <v>5.0</v>
      </c>
      <c r="B11775" s="1" t="s">
        <v>11676</v>
      </c>
      <c r="C11775" t="str">
        <f>IFERROR(__xludf.DUMMYFUNCTION("GOOGLETRANSLATE(B11775, ""zh"", ""en"")"),"Pigeon nipple is appropriate, baby like to use.")</f>
        <v>Pigeon nipple is appropriate, baby like to use.</v>
      </c>
    </row>
    <row r="11776">
      <c r="A11776" s="1">
        <v>5.0</v>
      </c>
      <c r="B11776" s="1" t="s">
        <v>11677</v>
      </c>
      <c r="C11776" t="str">
        <f>IFERROR(__xludf.DUMMYFUNCTION("GOOGLETRANSLATE(B11776, ""zh"", ""en"")"),"Nice colorful baby like it, suck it up a little bit some difficulty")</f>
        <v>Nice colorful baby like it, suck it up a little bit some difficulty</v>
      </c>
    </row>
    <row r="11777">
      <c r="A11777" s="1">
        <v>5.0</v>
      </c>
      <c r="B11777" s="1" t="s">
        <v>11678</v>
      </c>
      <c r="C11777" t="str">
        <f>IFERROR(__xludf.DUMMYFUNCTION("GOOGLETRANSLATE(B11777, ""zh"", ""en"")"),"Good shoes really good shoes, the foot is very comfortable, the right size, rain wear waterproof indeed, satisfied.")</f>
        <v>Good shoes really good shoes, the foot is very comfortable, the right size, rain wear waterproof indeed, satisfied.</v>
      </c>
    </row>
    <row r="11778">
      <c r="A11778" s="1">
        <v>5.0</v>
      </c>
      <c r="B11778" s="1" t="s">
        <v>11679</v>
      </c>
      <c r="C11778" t="str">
        <f>IFERROR(__xludf.DUMMYFUNCTION("GOOGLETRANSLATE(B11778, ""zh"", ""en"")"),"Well okay")</f>
        <v>Well okay</v>
      </c>
    </row>
    <row r="11779">
      <c r="A11779" s="1">
        <v>5.0</v>
      </c>
      <c r="B11779" s="1" t="s">
        <v>11680</v>
      </c>
      <c r="C11779" t="str">
        <f>IFERROR(__xludf.DUMMYFUNCTION("GOOGLETRANSLATE(B11779, ""zh"", ""en"")"),"158 47kg s recommended code perfect. Very comfortable. I hope a lot of concessions")</f>
        <v>158 47kg s recommended code perfect. Very comfortable. I hope a lot of concessions</v>
      </c>
    </row>
    <row r="11780">
      <c r="A11780" s="1">
        <v>5.0</v>
      </c>
      <c r="B11780" s="1" t="s">
        <v>11681</v>
      </c>
      <c r="C11780" t="str">
        <f>IFERROR(__xludf.DUMMYFUNCTION("GOOGLETRANSLATE(B11780, ""zh"", ""en"")"),"Speed ​​and stability, sea Amoy back is not the same! No detection program, the video copy out time, the speed of 70M or more firmly, small fluctuations. Using the complimentary transformed card inserted in the slot in a laptop. Engraved on the card china"&amp;" manufacturing")</f>
        <v>Speed ​​and stability, sea Amoy back is not the same! No detection program, the video copy out time, the speed of 70M or more firmly, small fluctuations. Using the complimentary transformed card inserted in the slot in a laptop. Engraved on the card china manufacturing</v>
      </c>
    </row>
    <row r="11781">
      <c r="A11781" s="1">
        <v>5.0</v>
      </c>
      <c r="B11781" s="1" t="s">
        <v>11682</v>
      </c>
      <c r="C11781" t="str">
        <f>IFERROR(__xludf.DUMMYFUNCTION("GOOGLETRANSLATE(B11781, ""zh"", ""en"")"),"Meet the expectations of comfort and well")</f>
        <v>Meet the expectations of comfort and well</v>
      </c>
    </row>
    <row r="11782">
      <c r="A11782" s="1">
        <v>5.0</v>
      </c>
      <c r="B11782" s="1" t="s">
        <v>11683</v>
      </c>
      <c r="C11782" t="str">
        <f>IFERROR(__xludf.DUMMYFUNCTION("GOOGLETRANSLATE(B11782, ""zh"", ""en"")"),"Not bad style thin section summer wear well. Note that Slim design.")</f>
        <v>Not bad style thin section summer wear well. Note that Slim design.</v>
      </c>
    </row>
    <row r="11783">
      <c r="A11783" s="1">
        <v>5.0</v>
      </c>
      <c r="B11783" s="1" t="s">
        <v>11684</v>
      </c>
      <c r="C11783" t="str">
        <f>IFERROR(__xludf.DUMMYFUNCTION("GOOGLETRANSLATE(B11783, ""zh"", ""en"")"),"Believe that modern industry, we believe that supply chain! 729 East did not catch the dog a good price at 618 annoyed ah, see Aunt push Amazon to buy abroad and initially hesitant, after all, the country can not guarantee (and later heard bad can turn Pa"&amp;"ul), but could not stand it big concessions to win. Malay goods, made in Germany, shipped a week hand, the country is good luck, really ran a big circle. Very lightweight, black minimalist atmosphere, the overall appearance makes sense, but inside there i"&amp;"s something in the rock, was a little empty. Connected to the computer, power seven times 0 hours, everything what normal capacity, support trim imbricated plate no doubt, otherwise it is impossible to do so 4T compact disc when the warehouse does not mat"&amp;"ter, I believe that manufacturers of technology. Read 200MB / s or so, forgot to write specifically not bad. Less noise, quieter than a long time ago to buy a passport ultra 2t. In short cherish point no problem with the current very satisfied!")</f>
        <v>Believe that modern industry, we believe that supply chain! 729 East did not catch the dog a good price at 618 annoyed ah, see Aunt push Amazon to buy abroad and initially hesitant, after all, the country can not guarantee (and later heard bad can turn Paul), but could not stand it big concessions to win. Malay goods, made in Germany, shipped a week hand, the country is good luck, really ran a big circle. Very lightweight, black minimalist atmosphere, the overall appearance makes sense, but inside there is something in the rock, was a little empty. Connected to the computer, power seven times 0 hours, everything what normal capacity, support trim imbricated plate no doubt, otherwise it is impossible to do so 4T compact disc when the warehouse does not matter, I believe that manufacturers of technology. Read 200MB / s or so, forgot to write specifically not bad. Less noise, quieter than a long time ago to buy a passport ultra 2t. In short cherish point no problem with the current very satisfied!</v>
      </c>
    </row>
    <row r="11784">
      <c r="A11784" s="1">
        <v>5.0</v>
      </c>
      <c r="B11784" s="1" t="s">
        <v>11685</v>
      </c>
      <c r="C11784" t="str">
        <f>IFERROR(__xludf.DUMMYFUNCTION("GOOGLETRANSLATE(B11784, ""zh"", ""en"")"),"Very good piece of wave form is good, and my father liked. worth buying.")</f>
        <v>Very good piece of wave form is good, and my father liked. worth buying.</v>
      </c>
    </row>
    <row r="11785">
      <c r="A11785" s="1">
        <v>5.0</v>
      </c>
      <c r="B11785" s="1" t="s">
        <v>11686</v>
      </c>
      <c r="C11785" t="str">
        <f>IFERROR(__xludf.DUMMYFUNCTION("GOOGLETRANSLATE(B11785, ""zh"", ""en"")"),"More cost-effective ink affordable, very affordable")</f>
        <v>More cost-effective ink affordable, very affordable</v>
      </c>
    </row>
    <row r="11786">
      <c r="A11786" s="1">
        <v>5.0</v>
      </c>
      <c r="B11786" s="1" t="s">
        <v>11687</v>
      </c>
      <c r="C11786" t="str">
        <f>IFERROR(__xludf.DUMMYFUNCTION("GOOGLETRANSLATE(B11786, ""zh"", ""en"")"),"Good give praise, did not say how open burning catching comment")</f>
        <v>Good give praise, did not say how open burning catching comment</v>
      </c>
    </row>
    <row r="11787">
      <c r="A11787" s="1">
        <v>5.0</v>
      </c>
      <c r="B11787" s="1" t="s">
        <v>11688</v>
      </c>
      <c r="C11787" t="str">
        <f>IFERROR(__xludf.DUMMYFUNCTION("GOOGLETRANSLATE(B11787, ""zh"", ""en"")"),"Cheap and easy to use! Very satisfied! Refill soft, smooth, very easy to color, overlapping color is very good, work is also okay! Logistics soon ah, about 10 days to!")</f>
        <v>Cheap and easy to use! Very satisfied! Refill soft, smooth, very easy to color, overlapping color is very good, work is also okay! Logistics soon ah, about 10 days to!</v>
      </c>
    </row>
    <row r="11788">
      <c r="A11788" s="1">
        <v>5.0</v>
      </c>
      <c r="B11788" s="1" t="s">
        <v>11689</v>
      </c>
      <c r="C11788" t="str">
        <f>IFERROR(__xludf.DUMMYFUNCTION("GOOGLETRANSLATE(B11788, ""zh"", ""en"")"),"Really good, good things ah! Super-resolving power, midrange, treble, balance and full bass sound quality than the $ 500 headset is a difference between the ears, Amazon delivery soon, really good, very satisfied!")</f>
        <v>Really good, good things ah! Super-resolving power, midrange, treble, balance and full bass sound quality than the $ 500 headset is a difference between the ears, Amazon delivery soon, really good, very satisfied!</v>
      </c>
    </row>
    <row r="11789">
      <c r="A11789" s="1">
        <v>5.0</v>
      </c>
      <c r="B11789" s="1" t="s">
        <v>11690</v>
      </c>
      <c r="C11789" t="str">
        <f>IFERROR(__xludf.DUMMYFUNCTION("GOOGLETRANSLATE(B11789, ""zh"", ""en"")"),"Yes Yes Yes ah, plug wire headset better results than the price of Bluetooth headsets even better.")</f>
        <v>Yes Yes Yes ah, plug wire headset better results than the price of Bluetooth headsets even better.</v>
      </c>
    </row>
    <row r="11790">
      <c r="A11790" s="1">
        <v>5.0</v>
      </c>
      <c r="B11790" s="1" t="s">
        <v>11691</v>
      </c>
      <c r="C11790" t="str">
        <f>IFERROR(__xludf.DUMMYFUNCTION("GOOGLETRANSLATE(B11790, ""zh"", ""en"")"),"Very good color are very good size and very fit very good color are very good size and very fit")</f>
        <v>Very good color are very good size and very fit very good color are very good size and very fit</v>
      </c>
    </row>
    <row r="11791">
      <c r="A11791" s="1">
        <v>5.0</v>
      </c>
      <c r="B11791" s="1" t="s">
        <v>11692</v>
      </c>
      <c r="C11791" t="str">
        <f>IFERROR(__xludf.DUMMYFUNCTION("GOOGLETRANSLATE(B11791, ""zh"", ""en"")"),"Cost-effective recommendation to buy good fit to buy my height and weight 220 173 40 × 30 noon in the Amazon to buy fitting pants up! Seven days of delivery particularly fast about the high cost recommend!")</f>
        <v>Cost-effective recommendation to buy good fit to buy my height and weight 220 173 40 × 30 noon in the Amazon to buy fitting pants up! Seven days of delivery particularly fast about the high cost recommend!</v>
      </c>
    </row>
    <row r="11792">
      <c r="A11792" s="1">
        <v>5.0</v>
      </c>
      <c r="B11792" s="1" t="s">
        <v>11693</v>
      </c>
      <c r="C11792" t="str">
        <f>IFERROR(__xludf.DUMMYFUNCTION("GOOGLETRANSLATE(B11792, ""zh"", ""en"")"),"https://www.amazon.cn/gp/product/B00B2HVJHS/ref=cm_cr_ryp_prd_ttl_sol_0 I 1 m 77.85 kg. 33 * 32 wearing just!")</f>
        <v>https://www.amazon.cn/gp/product/B00B2HVJHS/ref=cm_cr_ryp_prd_ttl_sol_0 I 1 m 77.85 kg. 33 * 32 wearing just!</v>
      </c>
    </row>
    <row r="11793">
      <c r="A11793" s="1">
        <v>2.0</v>
      </c>
      <c r="B11793" s="1" t="s">
        <v>11694</v>
      </c>
      <c r="C11793" t="str">
        <f>IFERROR(__xludf.DUMMYFUNCTION("GOOGLETRANSLATE(B11793, ""zh"", ""en"")"),"Great speed very quickly! Eight days I received, shoes good! Comfortable to wear! Ye Hao with clothes! good!")</f>
        <v>Great speed very quickly! Eight days I received, shoes good! Comfortable to wear! Ye Hao with clothes! good!</v>
      </c>
    </row>
    <row r="11794">
      <c r="A11794" s="1">
        <v>3.0</v>
      </c>
      <c r="B11794" s="1" t="s">
        <v>11695</v>
      </c>
      <c r="C11794" t="str">
        <f>IFERROR(__xludf.DUMMYFUNCTION("GOOGLETRANSLATE(B11794, ""zh"", ""en"")"),"General 31w30,175,75kg, about the same length, loose straight type, not thin legs, zipper yellow, trouser material non-cotton, chemical fiber little sense of the overall fabric elastic, slightly thicker, the only advantage is cheap.")</f>
        <v>General 31w30,175,75kg, about the same length, loose straight type, not thin legs, zipper yellow, trouser material non-cotton, chemical fiber little sense of the overall fabric elastic, slightly thicker, the only advantage is cheap.</v>
      </c>
    </row>
    <row r="11795">
      <c r="A11795" s="1">
        <v>3.0</v>
      </c>
      <c r="B11795" s="1" t="s">
        <v>11696</v>
      </c>
      <c r="C11795" t="str">
        <f>IFERROR(__xludf.DUMMYFUNCTION("GOOGLETRANSLATE(B11795, ""zh"", ""en"")"),"Generally not as good as last year's models hotmagic vest, chest here nothing type, direct sag")</f>
        <v>Generally not as good as last year's models hotmagic vest, chest here nothing type, direct sag</v>
      </c>
    </row>
    <row r="11796">
      <c r="A11796" s="1">
        <v>1.0</v>
      </c>
      <c r="B11796" s="1" t="s">
        <v>11697</v>
      </c>
      <c r="C11796" t="str">
        <f>IFERROR(__xludf.DUMMYFUNCTION("GOOGLETRANSLATE(B11796, ""zh"", ""en"")"),"Rough work, we simply do not buy, and look in vain for two weeks, and spread the goods no difference between the results, the fabric is too thin, and slowly cheap, we still want to buy authentic brand now go to the mall, really cheap out of stock")</f>
        <v>Rough work, we simply do not buy, and look in vain for two weeks, and spread the goods no difference between the results, the fabric is too thin, and slowly cheap, we still want to buy authentic brand now go to the mall, really cheap out of stock</v>
      </c>
    </row>
    <row r="11797">
      <c r="A11797" s="1">
        <v>1.0</v>
      </c>
      <c r="B11797" s="1" t="s">
        <v>11698</v>
      </c>
      <c r="C11797" t="str">
        <f>IFERROR(__xludf.DUMMYFUNCTION("GOOGLETRANSLATE(B11797, ""zh"", ""en"")"),"? Fake, very satisfied with the shopping experience")</f>
        <v>? Fake, very satisfied with the shopping experience</v>
      </c>
    </row>
    <row r="11798">
      <c r="A11798" s="1">
        <v>1.0</v>
      </c>
      <c r="B11798" s="1" t="s">
        <v>11699</v>
      </c>
      <c r="C11798" t="str">
        <f>IFERROR(__xludf.DUMMYFUNCTION("GOOGLETRANSLATE(B11798, ""zh"", ""en"")"),"Buy buy buy good breath bought two, someone else bought one!")</f>
        <v>Buy buy buy good breath bought two, someone else bought one!</v>
      </c>
    </row>
    <row r="11799">
      <c r="A11799" s="1">
        <v>4.0</v>
      </c>
      <c r="B11799" s="1" t="s">
        <v>11700</v>
      </c>
      <c r="C11799" t="str">
        <f>IFERROR(__xludf.DUMMYFUNCTION("GOOGLETRANSLATE(B11799, ""zh"", ""en"")"),"No Chinese manual is not Chinese manual 😔, other pretty good")</f>
        <v>No Chinese manual is not Chinese manual 😔, other pretty good</v>
      </c>
    </row>
    <row r="11800">
      <c r="A11800" s="1">
        <v>4.0</v>
      </c>
      <c r="B11800" s="1" t="s">
        <v>11701</v>
      </c>
      <c r="C11800" t="str">
        <f>IFERROR(__xludf.DUMMYFUNCTION("GOOGLETRANSLATE(B11800, ""zh"", ""en"")"),"Law-abiding bit hard, the other better, do not know do not wear. Look good or look good")</f>
        <v>Law-abiding bit hard, the other better, do not know do not wear. Look good or look good</v>
      </c>
    </row>
    <row r="11801">
      <c r="A11801" s="1">
        <v>4.0</v>
      </c>
      <c r="B11801" s="1" t="s">
        <v>11702</v>
      </c>
      <c r="C11801" t="str">
        <f>IFERROR(__xludf.DUMMYFUNCTION("GOOGLETRANSLATE(B11801, ""zh"", ""en"")"),"Can height 176, weight 138, waist circumference 84, bought the 32 * 30, more appropriate, because of the lack of a star just bought on price cuts, price protection is gone, pit")</f>
        <v>Can height 176, weight 138, waist circumference 84, bought the 32 * 30, more appropriate, because of the lack of a star just bought on price cuts, price protection is gone, pit</v>
      </c>
    </row>
    <row r="11802">
      <c r="A11802" s="1">
        <v>4.0</v>
      </c>
      <c r="B11802" s="1" t="s">
        <v>11703</v>
      </c>
      <c r="C11802" t="str">
        <f>IFERROR(__xludf.DUMMYFUNCTION("GOOGLETRANSLATE(B11802, ""zh"", ""en"")"),"Yes, the price is no advantage Slim, absorbent, quick-drying, very good, the price is no advantage.")</f>
        <v>Yes, the price is no advantage Slim, absorbent, quick-drying, very good, the price is no advantage.</v>
      </c>
    </row>
    <row r="11803">
      <c r="A11803" s="1">
        <v>4.0</v>
      </c>
      <c r="B11803" s="1" t="s">
        <v>11704</v>
      </c>
      <c r="C11803" t="str">
        <f>IFERROR(__xludf.DUMMYFUNCTION("GOOGLETRANSLATE(B11803, ""zh"", ""en"")"),"Hard boots to buy 4.5 235 feet long can wear a pair of relatively thick socks, forefoot not crowded, narrow rear hard boots, even if the shoelaces mill releasably will feel when walking boots ankle ah this further find a solution. Customs clearance only f"&amp;"orty minutes did not think, ah, sent to Beijing did not delay! Overall faster than the previous! Delivery will play Beijing and then to the province ten days EMS province saw me turn silently Oh, and invincible slow! Usually the province of pieces of ink "&amp;"can be two days really is")</f>
        <v>Hard boots to buy 4.5 235 feet long can wear a pair of relatively thick socks, forefoot not crowded, narrow rear hard boots, even if the shoelaces mill releasably will feel when walking boots ankle ah this further find a solution. Customs clearance only forty minutes did not think, ah, sent to Beijing did not delay! Overall faster than the previous! Delivery will play Beijing and then to the province ten days EMS province saw me turn silently Oh, and invincible slow! Usually the province of pieces of ink can be two days really is</v>
      </c>
    </row>
    <row r="11804">
      <c r="A11804" s="1">
        <v>5.0</v>
      </c>
      <c r="B11804" s="1" t="s">
        <v>11705</v>
      </c>
      <c r="C11804" t="str">
        <f>IFERROR(__xludf.DUMMYFUNCTION("GOOGLETRANSLATE(B11804, ""zh"", ""en"")"),"Size feeling good, that is a little big.")</f>
        <v>Size feeling good, that is a little big.</v>
      </c>
    </row>
    <row r="11805">
      <c r="A11805" s="1">
        <v>5.0</v>
      </c>
      <c r="B11805" s="1" t="s">
        <v>11706</v>
      </c>
      <c r="C11805" t="str">
        <f>IFERROR(__xludf.DUMMYFUNCTION("GOOGLETRANSLATE(B11805, ""zh"", ""en"")"),"Tingting good clothes to wear, the price is cheap.")</f>
        <v>Tingting good clothes to wear, the price is cheap.</v>
      </c>
    </row>
    <row r="11806">
      <c r="A11806" s="1">
        <v>5.0</v>
      </c>
      <c r="B11806" s="1" t="s">
        <v>11707</v>
      </c>
      <c r="C11806" t="str">
        <f>IFERROR(__xludf.DUMMYFUNCTION("GOOGLETRANSLATE(B11806, ""zh"", ""en"")"),"Dial something good not great, everything is normal wave current income, black is still relatively low-key, do not go to verify genuine or not, overseas shopping is certainly no problem")</f>
        <v>Dial something good not great, everything is normal wave current income, black is still relatively low-key, do not go to verify genuine or not, overseas shopping is certainly no problem</v>
      </c>
    </row>
    <row r="11807">
      <c r="A11807" s="1">
        <v>5.0</v>
      </c>
      <c r="B11807" s="1" t="s">
        <v>11708</v>
      </c>
      <c r="C11807" t="str">
        <f>IFERROR(__xludf.DUMMYFUNCTION("GOOGLETRANSLATE(B11807, ""zh"", ""en"")"),"Good is often chewed tube baby, consider buy-back")</f>
        <v>Good is often chewed tube baby, consider buy-back</v>
      </c>
    </row>
    <row r="11808">
      <c r="A11808" s="1">
        <v>5.0</v>
      </c>
      <c r="B11808" s="1" t="s">
        <v>11709</v>
      </c>
      <c r="C11808" t="str">
        <f>IFERROR(__xludf.DUMMYFUNCTION("GOOGLETRANSLATE(B11808, ""zh"", ""en"")"),"Wind and waterproof fine workmanship, waterproof fabric, a more old-fashioned style, it is recommended to buy more than forty")</f>
        <v>Wind and waterproof fine workmanship, waterproof fabric, a more old-fashioned style, it is recommended to buy more than forty</v>
      </c>
    </row>
    <row r="11809">
      <c r="A11809" s="1">
        <v>5.0</v>
      </c>
      <c r="B11809" s="1" t="s">
        <v>11710</v>
      </c>
      <c r="C11809" t="str">
        <f>IFERROR(__xludf.DUMMYFUNCTION("GOOGLETRANSLATE(B11809, ""zh"", ""en"")"),"A little long point a little long, but very warm, made in China, there are new socks taste, after the wash several times will be better")</f>
        <v>A little long point a little long, but very warm, made in China, there are new socks taste, after the wash several times will be better</v>
      </c>
    </row>
    <row r="11810">
      <c r="A11810" s="1">
        <v>5.0</v>
      </c>
      <c r="B11810" s="1" t="s">
        <v>11711</v>
      </c>
      <c r="C11810" t="str">
        <f>IFERROR(__xludf.DUMMYFUNCTION("GOOGLETRANSLATE(B11810, ""zh"", ""en"")"),"China to buy things really tired because the domestic buy site can not buy too many problems, self-selected Amazon US shipments, using the results no problem, this time to buy because the blue bottle to see the Amazon China import, bought from Hong Kong F"&amp;"ree Trade Zone delivery, did not expect the final to become the shipment from Ningbo, also explained that the first free trade zone after Hong Kong, do not know the genuine and fake goods")</f>
        <v>China to buy things really tired because the domestic buy site can not buy too many problems, self-selected Amazon US shipments, using the results no problem, this time to buy because the blue bottle to see the Amazon China import, bought from Hong Kong Free Trade Zone delivery, did not expect the final to become the shipment from Ningbo, also explained that the first free trade zone after Hong Kong, do not know the genuine and fake goods</v>
      </c>
    </row>
    <row r="11811">
      <c r="A11811" s="1">
        <v>5.0</v>
      </c>
      <c r="B11811" s="1" t="s">
        <v>11712</v>
      </c>
      <c r="C11811" t="str">
        <f>IFERROR(__xludf.DUMMYFUNCTION("GOOGLETRANSLATE(B11811, ""zh"", ""en"")"),"Real automatic automatic automatic pen for the first time this lead out of the pen, the magic ah, appropriate weight, feel good. Very moved ah")</f>
        <v>Real automatic automatic automatic pen for the first time this lead out of the pen, the magic ah, appropriate weight, feel good. Very moved ah</v>
      </c>
    </row>
    <row r="11812">
      <c r="A11812" s="1">
        <v>5.0</v>
      </c>
      <c r="B11812" s="1" t="s">
        <v>11713</v>
      </c>
      <c r="C11812" t="str">
        <f>IFERROR(__xludf.DUMMYFUNCTION("GOOGLETRANSLATE(B11812, ""zh"", ""en"")"),"Right shoes. Color is also very good-looking like the style. Lightweight, with the feet, walking is not tired. Thick soles.")</f>
        <v>Right shoes. Color is also very good-looking like the style. Lightweight, with the feet, walking is not tired. Thick soles.</v>
      </c>
    </row>
    <row r="11813">
      <c r="A11813" s="1">
        <v>5.0</v>
      </c>
      <c r="B11813" s="1" t="s">
        <v>11714</v>
      </c>
      <c r="C11813" t="str">
        <f>IFERROR(__xludf.DUMMYFUNCTION("GOOGLETRANSLATE(B11813, ""zh"", ""en"")"),"Clothes can be more flexible, not thick, standard size")</f>
        <v>Clothes can be more flexible, not thick, standard size</v>
      </c>
    </row>
    <row r="11814">
      <c r="A11814" s="1">
        <v>5.0</v>
      </c>
      <c r="B11814" s="1" t="s">
        <v>10783</v>
      </c>
      <c r="C11814" t="str">
        <f>IFERROR(__xludf.DUMMYFUNCTION("GOOGLETRANSLATE(B11814, ""zh"", ""en"")"),"Good quality clothes, quality feel good, soft, speed of delivery is also very fast, nice")</f>
        <v>Good quality clothes, quality feel good, soft, speed of delivery is also very fast, nice</v>
      </c>
    </row>
    <row r="11815">
      <c r="A11815" s="1">
        <v>5.0</v>
      </c>
      <c r="B11815" s="1" t="s">
        <v>11715</v>
      </c>
      <c r="C11815" t="str">
        <f>IFERROR(__xludf.DUMMYFUNCTION("GOOGLETRANSLATE(B11815, ""zh"", ""en"")"),"Very comfortable very comfortable shoes")</f>
        <v>Very comfortable very comfortable shoes</v>
      </c>
    </row>
    <row r="11816">
      <c r="A11816" s="1">
        <v>5.0</v>
      </c>
      <c r="B11816" s="1" t="s">
        <v>11716</v>
      </c>
      <c r="C11816" t="str">
        <f>IFERROR(__xludf.DUMMYFUNCTION("GOOGLETRANSLATE(B11816, ""zh"", ""en"")"),"Buy favorite products, with the assured comfortable I like color pencils, all kinds of pens, painting effects with easy to use and good-looking, high quality products is the best power to spend money, motivation to learn.")</f>
        <v>Buy favorite products, with the assured comfortable I like color pencils, all kinds of pens, painting effects with easy to use and good-looking, high quality products is the best power to spend money, motivation to learn.</v>
      </c>
    </row>
    <row r="11817">
      <c r="A11817" s="1">
        <v>5.0</v>
      </c>
      <c r="B11817" s="1" t="s">
        <v>11717</v>
      </c>
      <c r="C11817" t="str">
        <f>IFERROR(__xludf.DUMMYFUNCTION("GOOGLETRANSLATE(B11817, ""zh"", ""en"")"),"Use comments about OXO OXO sealed crisper food supplement food supplement this sealed crisper texture design quality is very good, is used to store high-head soup, you can also take a little jam, chili sauce or something when they go out, it is convenient"&amp;". Could be considered again when re-encountered a group of promotions.")</f>
        <v>Use comments about OXO OXO sealed crisper food supplement food supplement this sealed crisper texture design quality is very good, is used to store high-head soup, you can also take a little jam, chili sauce or something when they go out, it is convenient. Could be considered again when re-encountered a group of promotions.</v>
      </c>
    </row>
    <row r="11818">
      <c r="A11818" s="1">
        <v>5.0</v>
      </c>
      <c r="B11818" s="1" t="s">
        <v>11338</v>
      </c>
      <c r="C11818" t="str">
        <f>IFERROR(__xludf.DUMMYFUNCTION("GOOGLETRANSLATE(B11818, ""zh"", ""en"")"),"The right size, quality is also very good. In addition to shipping expensive, long time, the other is good. What should be a positive level, very good.")</f>
        <v>The right size, quality is also very good. In addition to shipping expensive, long time, the other is good. What should be a positive level, very good.</v>
      </c>
    </row>
    <row r="11819">
      <c r="A11819" s="1">
        <v>5.0</v>
      </c>
      <c r="B11819" s="1" t="s">
        <v>11718</v>
      </c>
      <c r="C11819" t="str">
        <f>IFERROR(__xludf.DUMMYFUNCTION("GOOGLETRANSLATE(B11819, ""zh"", ""en"")"),"Scaling artifacts bought a lot of times, for personal use, send friends and family, definitely a good thing")</f>
        <v>Scaling artifacts bought a lot of times, for personal use, send friends and family, definitely a good thing</v>
      </c>
    </row>
    <row r="11820">
      <c r="A11820" s="1">
        <v>5.0</v>
      </c>
      <c r="B11820" s="1" t="s">
        <v>11719</v>
      </c>
      <c r="C11820" t="str">
        <f>IFERROR(__xludf.DUMMYFUNCTION("GOOGLETRANSLATE(B11820, ""zh"", ""en"")"),"pretty good! pretty good! ACE foundry, Japanese version of the feeling a lot of packages are ACE foundry, last bought a CHAMPION ACE also OEM. Compartment is a little less.")</f>
        <v>pretty good! pretty good! ACE foundry, Japanese version of the feeling a lot of packages are ACE foundry, last bought a CHAMPION ACE also OEM. Compartment is a little less.</v>
      </c>
    </row>
    <row r="11821">
      <c r="A11821" s="1">
        <v>5.0</v>
      </c>
      <c r="B11821" s="1" t="s">
        <v>11720</v>
      </c>
      <c r="C11821" t="str">
        <f>IFERROR(__xludf.DUMMYFUNCTION("GOOGLETRANSLATE(B11821, ""zh"", ""en"")"),"Very good very good, baby likes, Amazon trustworthy.")</f>
        <v>Very good very good, baby likes, Amazon trustworthy.</v>
      </c>
    </row>
    <row r="11822">
      <c r="A11822" s="1">
        <v>5.0</v>
      </c>
      <c r="B11822" s="1" t="s">
        <v>11721</v>
      </c>
      <c r="C11822" t="str">
        <f>IFERROR(__xludf.DUMMYFUNCTION("GOOGLETRANSLATE(B11822, ""zh"", ""en"")"),"Good thermal insulation effect, watertight. Carrying a half years old baby can drink yourself")</f>
        <v>Good thermal insulation effect, watertight. Carrying a half years old baby can drink yourself</v>
      </c>
    </row>
    <row r="11823">
      <c r="A11823" s="1">
        <v>5.0</v>
      </c>
      <c r="B11823" s="1" t="s">
        <v>11722</v>
      </c>
      <c r="C11823" t="str">
        <f>IFERROR(__xludf.DUMMYFUNCTION("GOOGLETRANSLATE(B11823, ""zh"", ""en"")"),"Suitable 183cm 176 pounds to wear L code just right material quality was okay inside downy be so cheap after all, value for money")</f>
        <v>Suitable 183cm 176 pounds to wear L code just right material quality was okay inside downy be so cheap after all, value for money</v>
      </c>
    </row>
    <row r="11824">
      <c r="A11824" s="1">
        <v>5.0</v>
      </c>
      <c r="B11824" s="1" t="s">
        <v>11723</v>
      </c>
      <c r="C11824" t="str">
        <f>IFERROR(__xludf.DUMMYFUNCTION("GOOGLETRANSLATE(B11824, ""zh"", ""en"")"),"Original is perfect! Perfect wife, two pads on the one, the only one initially thought.")</f>
        <v>Original is perfect! Perfect wife, two pads on the one, the only one initially thought.</v>
      </c>
    </row>
    <row r="11825">
      <c r="A11825" s="1">
        <v>5.0</v>
      </c>
      <c r="B11825" s="1" t="s">
        <v>11724</v>
      </c>
      <c r="C11825" t="str">
        <f>IFERROR(__xludf.DUMMYFUNCTION("GOOGLETRANSLATE(B11825, ""zh"", ""en"")"),"Very good use of that time before several times with carbon black stone, now there will be no")</f>
        <v>Very good use of that time before several times with carbon black stone, now there will be no</v>
      </c>
    </row>
    <row r="11826">
      <c r="A11826" s="1">
        <v>2.0</v>
      </c>
      <c r="B11826" s="1" t="s">
        <v>11725</v>
      </c>
      <c r="C11826" t="str">
        <f>IFERROR(__xludf.DUMMYFUNCTION("GOOGLETRANSLATE(B11826, ""zh"", ""en"")"),"Loose money, size is too large main fabric is very hard, and domestic LEE work not the same thing. Some the size will be too large.")</f>
        <v>Loose money, size is too large main fabric is very hard, and domestic LEE work not the same thing. Some the size will be too large.</v>
      </c>
    </row>
    <row r="11827">
      <c r="A11827" s="1">
        <v>3.0</v>
      </c>
      <c r="B11827" s="1" t="s">
        <v>11726</v>
      </c>
      <c r="C11827" t="str">
        <f>IFERROR(__xludf.DUMMYFUNCTION("GOOGLETRANSLATE(B11827, ""zh"", ""en"")"),"Real to the enemy should not import goods sent me from Beijing, the real to the enemy ah")</f>
        <v>Real to the enemy should not import goods sent me from Beijing, the real to the enemy ah</v>
      </c>
    </row>
    <row r="11828">
      <c r="A11828" s="1">
        <v>3.0</v>
      </c>
      <c r="B11828" s="1" t="s">
        <v>11727</v>
      </c>
      <c r="C11828" t="str">
        <f>IFERROR(__xludf.DUMMYFUNCTION("GOOGLETRANSLATE(B11828, ""zh"", ""en"")"),"Things can also, packaging bad made in China, the price is cheap. But the United States across the oceans to the cups on streaker came, no carton packaging, even plastic bags are not, on the falling body on the Amazon box. . . . And feeling a little cups "&amp;"seemed dirty. Logistics has not been updated to show in the US, in fact, I have a receipt. .")</f>
        <v>Things can also, packaging bad made in China, the price is cheap. But the United States across the oceans to the cups on streaker came, no carton packaging, even plastic bags are not, on the falling body on the Amazon box. . . . And feeling a little cups seemed dirty. Logistics has not been updated to show in the US, in fact, I have a receipt. .</v>
      </c>
    </row>
    <row r="11829">
      <c r="A11829" s="1">
        <v>3.0</v>
      </c>
      <c r="B11829" s="1" t="s">
        <v>11728</v>
      </c>
      <c r="C11829" t="str">
        <f>IFERROR(__xludf.DUMMYFUNCTION("GOOGLETRANSLATE(B11829, ""zh"", ""en"")"),"Okay table for ten days to hand over time allowed the other to know the")</f>
        <v>Okay table for ten days to hand over time allowed the other to know the</v>
      </c>
    </row>
    <row r="11830">
      <c r="A11830" s="1">
        <v>1.0</v>
      </c>
      <c r="B11830" s="1" t="s">
        <v>11729</v>
      </c>
      <c r="C11830" t="str">
        <f>IFERROR(__xludf.DUMMYFUNCTION("GOOGLETRANSLATE(B11830, ""zh"", ""en"")"),"Long pants worst thing is how Americans do not got the idea yet? Two pair of jeans tag size, a two leg 112CM, a more exaggerated, two long legs 107 a, 108 a. But this should not pants size is 108 long it? Finally, avoid trouble is to change to change wear"&amp;"!")</f>
        <v>Long pants worst thing is how Americans do not got the idea yet? Two pair of jeans tag size, a two leg 112CM, a more exaggerated, two long legs 107 a, 108 a. But this should not pants size is 108 long it? Finally, avoid trouble is to change to change wear!</v>
      </c>
    </row>
    <row r="11831">
      <c r="A11831" s="1">
        <v>1.0</v>
      </c>
      <c r="B11831" s="1" t="s">
        <v>11730</v>
      </c>
      <c r="C11831" t="str">
        <f>IFERROR(__xludf.DUMMYFUNCTION("GOOGLETRANSLATE(B11831, ""zh"", ""en"")"),"Bad date can not adjust the date adjustment")</f>
        <v>Bad date can not adjust the date adjustment</v>
      </c>
    </row>
    <row r="11832">
      <c r="A11832" s="1">
        <v>1.0</v>
      </c>
      <c r="B11832" s="1" t="s">
        <v>11731</v>
      </c>
      <c r="C11832" t="str">
        <f>IFERROR(__xludf.DUMMYFUNCTION("GOOGLETRANSLATE(B11832, ""zh"", ""en"")"),"Goods are defective, very disappointed insole shoes than the small, left shoe insoles have a problem, smaller than a shoe insole")</f>
        <v>Goods are defective, very disappointed insole shoes than the small, left shoe insoles have a problem, smaller than a shoe insole</v>
      </c>
    </row>
    <row r="11833">
      <c r="A11833" s="1">
        <v>4.0</v>
      </c>
      <c r="B11833" s="1" t="s">
        <v>11732</v>
      </c>
      <c r="C11833" t="str">
        <f>IFERROR(__xludf.DUMMYFUNCTION("GOOGLETRANSLATE(B11833, ""zh"", ""en"")"),"Long sleeves 170,146 pounds, s No. wearing comfortable, the sleeves are too long.")</f>
        <v>Long sleeves 170,146 pounds, s No. wearing comfortable, the sleeves are too long.</v>
      </c>
    </row>
    <row r="11834">
      <c r="A11834" s="1">
        <v>4.0</v>
      </c>
      <c r="B11834" s="1" t="s">
        <v>11733</v>
      </c>
      <c r="C11834" t="str">
        <f>IFERROR(__xludf.DUMMYFUNCTION("GOOGLETRANSLATE(B11834, ""zh"", ""en"")"),"Well just started, hope for health.")</f>
        <v>Well just started, hope for health.</v>
      </c>
    </row>
    <row r="11835">
      <c r="A11835" s="1">
        <v>4.0</v>
      </c>
      <c r="B11835" s="1" t="s">
        <v>11734</v>
      </c>
      <c r="C11835" t="str">
        <f>IFERROR(__xludf.DUMMYFUNCTION("GOOGLETRANSLATE(B11835, ""zh"", ""en"")"),"Pretty good pen ink bladder Schneider 1. I use, so do not absorb ink ink everywhere, and where you can bring back in the pen gall ink, ink bottle afraid there are not, and will not leak ink. 2. no black ink gel pen to write deep, but will not fade. 3. Wri"&amp;"te feel superior, pen a little rough, the boys hold a pen relatively modest. And then pick up the original gel ink pen feel too thin is too light There is no feeling, and abandoned the gel pen. 4. The amount of ink gall ink reservoir about two weeks three"&amp;", I sophomore.")</f>
        <v>Pretty good pen ink bladder Schneider 1. I use, so do not absorb ink ink everywhere, and where you can bring back in the pen gall ink, ink bottle afraid there are not, and will not leak ink. 2. no black ink gel pen to write deep, but will not fade. 3. Write feel superior, pen a little rough, the boys hold a pen relatively modest. And then pick up the original gel ink pen feel too thin is too light There is no feeling, and abandoned the gel pen. 4. The amount of ink gall ink reservoir about two weeks three, I sophomore.</v>
      </c>
    </row>
    <row r="11836">
      <c r="A11836" s="1">
        <v>4.0</v>
      </c>
      <c r="B11836" s="1" t="s">
        <v>11735</v>
      </c>
      <c r="C11836" t="str">
        <f>IFERROR(__xludf.DUMMYFUNCTION("GOOGLETRANSLATE(B11836, ""zh"", ""en"")"),"Some really good card foot")</f>
        <v>Some really good card foot</v>
      </c>
    </row>
    <row r="11837">
      <c r="A11837" s="1">
        <v>4.0</v>
      </c>
      <c r="B11837" s="1" t="s">
        <v>11736</v>
      </c>
      <c r="C11837" t="str">
        <f>IFERROR(__xludf.DUMMYFUNCTION("GOOGLETRANSLATE(B11837, ""zh"", ""en"")"),"Okay not as perfect, but feeling very comfortable leather")</f>
        <v>Okay not as perfect, but feeling very comfortable leather</v>
      </c>
    </row>
    <row r="11838">
      <c r="A11838" s="1">
        <v>5.0</v>
      </c>
      <c r="B11838" s="1" t="s">
        <v>11737</v>
      </c>
      <c r="C11838" t="str">
        <f>IFERROR(__xludf.DUMMYFUNCTION("GOOGLETRANSLATE(B11838, ""zh"", ""en"")"),"Good much cheaper than domestic, it is value")</f>
        <v>Good much cheaper than domestic, it is value</v>
      </c>
    </row>
    <row r="11839">
      <c r="A11839" s="1">
        <v>5.0</v>
      </c>
      <c r="B11839" s="1" t="s">
        <v>11738</v>
      </c>
      <c r="C11839" t="str">
        <f>IFERROR(__xludf.DUMMYFUNCTION("GOOGLETRANSLATE(B11839, ""zh"", ""en"")"),"Can also seemingly not original")</f>
        <v>Can also seemingly not original</v>
      </c>
    </row>
    <row r="11840">
      <c r="A11840" s="1">
        <v>5.0</v>
      </c>
      <c r="B11840" s="1" t="s">
        <v>11739</v>
      </c>
      <c r="C11840" t="str">
        <f>IFERROR(__xludf.DUMMYFUNCTION("GOOGLETRANSLATE(B11840, ""zh"", ""en"")"),"When fine precision watches watches go, the second hand can dial scale alignment, the wave-sometimes received, was placed on the table by the window, find direction, Table specular easy to leave fingerprints, a little bit big, overall good, no fancy featu"&amp;"res, Recommended.")</f>
        <v>When fine precision watches watches go, the second hand can dial scale alignment, the wave-sometimes received, was placed on the table by the window, find direction, Table specular easy to leave fingerprints, a little bit big, overall good, no fancy features, Recommended.</v>
      </c>
    </row>
    <row r="11841">
      <c r="A11841" s="1">
        <v>5.0</v>
      </c>
      <c r="B11841" s="1" t="s">
        <v>11740</v>
      </c>
      <c r="C11841" t="str">
        <f>IFERROR(__xludf.DUMMYFUNCTION("GOOGLETRANSLATE(B11841, ""zh"", ""en"")"),"The first thing a good, full cost,")</f>
        <v>The first thing a good, full cost,</v>
      </c>
    </row>
    <row r="11842">
      <c r="A11842" s="1">
        <v>5.0</v>
      </c>
      <c r="B11842" s="1" t="s">
        <v>11741</v>
      </c>
      <c r="C11842" t="str">
        <f>IFERROR(__xludf.DUMMYFUNCTION("GOOGLETRANSLATE(B11842, ""zh"", ""en"")"),"No hey I am not very satisfied with the shopping")</f>
        <v>No hey I am not very satisfied with the shopping</v>
      </c>
    </row>
    <row r="11843">
      <c r="A11843" s="1">
        <v>5.0</v>
      </c>
      <c r="B11843" s="1" t="s">
        <v>11742</v>
      </c>
      <c r="C11843" t="str">
        <f>IFERROR(__xludf.DUMMYFUNCTION("GOOGLETRANSLATE(B11843, ""zh"", ""en"")"),"Easy to use like a general, but the price of your quilt liner with warm milk hot food supplement is actually very easy to use and very low")</f>
        <v>Easy to use like a general, but the price of your quilt liner with warm milk hot food supplement is actually very easy to use and very low</v>
      </c>
    </row>
    <row r="11844">
      <c r="A11844" s="1">
        <v>5.0</v>
      </c>
      <c r="B11844" s="1" t="s">
        <v>11743</v>
      </c>
      <c r="C11844" t="str">
        <f>IFERROR(__xludf.DUMMYFUNCTION("GOOGLETRANSLATE(B11844, ""zh"", ""en"")"),"Liaoning coordinate value for money, in the evening on the windowsill received wave is successful, take note of the placement table 12 o'clock, 12 o'clock to the outside, and a lot ga110 delicate than up, wearing winter is not so out of the way.")</f>
        <v>Liaoning coordinate value for money, in the evening on the windowsill received wave is successful, take note of the placement table 12 o'clock, 12 o'clock to the outside, and a lot ga110 delicate than up, wearing winter is not so out of the way.</v>
      </c>
    </row>
    <row r="11845">
      <c r="A11845" s="1">
        <v>5.0</v>
      </c>
      <c r="B11845" s="1" t="s">
        <v>11744</v>
      </c>
      <c r="C11845" t="str">
        <f>IFERROR(__xludf.DUMMYFUNCTION("GOOGLETRANSLATE(B11845, ""zh"", ""en"")"),"Classic headphones worth starting sound great, value, and classic headphone monitoring")</f>
        <v>Classic headphones worth starting sound great, value, and classic headphone monitoring</v>
      </c>
    </row>
    <row r="11846">
      <c r="A11846" s="1">
        <v>5.0</v>
      </c>
      <c r="B11846" s="1" t="s">
        <v>11745</v>
      </c>
      <c r="C11846" t="str">
        <f>IFERROR(__xludf.DUMMYFUNCTION("GOOGLETRANSLATE(B11846, ""zh"", ""en"")"),"Chelsea nice shoes nice shoes, ever go out of style. Chelsea same brand of shoes than the slightly smaller, suitable for thin legs, if the foot fat, high instep, more than half than normal code code to one yard. Good quality, tendon at the end, should be "&amp;"slip resistant. Reference to like a friend.")</f>
        <v>Chelsea nice shoes nice shoes, ever go out of style. Chelsea same brand of shoes than the slightly smaller, suitable for thin legs, if the foot fat, high instep, more than half than normal code code to one yard. Good quality, tendon at the end, should be slip resistant. Reference to like a friend.</v>
      </c>
    </row>
    <row r="11847">
      <c r="A11847" s="1">
        <v>5.0</v>
      </c>
      <c r="B11847" s="1" t="s">
        <v>11746</v>
      </c>
      <c r="C11847" t="str">
        <f>IFERROR(__xludf.DUMMYFUNCTION("GOOGLETRANSLATE(B11847, ""zh"", ""en"")"),"Good clothes very good, inexpensive.")</f>
        <v>Good clothes very good, inexpensive.</v>
      </c>
    </row>
    <row r="11848">
      <c r="A11848" s="1">
        <v>5.0</v>
      </c>
      <c r="B11848" s="1" t="s">
        <v>11747</v>
      </c>
      <c r="C11848" t="str">
        <f>IFERROR(__xludf.DUMMYFUNCTION("GOOGLETRANSLATE(B11848, ""zh"", ""en"")"),"Nice color pretty color")</f>
        <v>Nice color pretty color</v>
      </c>
    </row>
    <row r="11849">
      <c r="A11849" s="1">
        <v>5.0</v>
      </c>
      <c r="B11849" s="1" t="s">
        <v>11748</v>
      </c>
      <c r="C11849" t="str">
        <f>IFERROR(__xludf.DUMMYFUNCTION("GOOGLETRANSLATE(B11849, ""zh"", ""en"")"),"JBL bookshelf box good bass good, the room is very comfortable to listen to, it seems almost treble, overseas purchase much cheaper than domestic, but if there are problems do not know how to handle, and good speaker protection very tight, get our hands i"&amp;"ntact.")</f>
        <v>JBL bookshelf box good bass good, the room is very comfortable to listen to, it seems almost treble, overseas purchase much cheaper than domestic, but if there are problems do not know how to handle, and good speaker protection very tight, get our hands intact.</v>
      </c>
    </row>
    <row r="11850">
      <c r="A11850" s="1">
        <v>5.0</v>
      </c>
      <c r="B11850" s="1" t="s">
        <v>11749</v>
      </c>
      <c r="C11850" t="str">
        <f>IFERROR(__xludf.DUMMYFUNCTION("GOOGLETRANSLATE(B11850, ""zh"", ""en"")"),"Easily coffee &lt;div id = ""video-block-R2QFKRBV2XPM51"" class = ""a-section a-spacing-small a-spacing-top-mini video-block""&gt; &lt;/ div&gt; &lt;input type = ""hidden"" name = """" value = ""https://images-cn.ssl-images-amazon.com/images/I/A1ZLZSSRgAS.mp4"" class = "&amp;"""video-url""&gt; &lt;input type = ""hidden"" name = """" value = ""https://images-cn.ssl-images-amazon.com/images/I/8182LFVDGjS.png"" class = ""video-slate-img-url""&gt; &amp; nbsp; loved, loved purchased abroad Amazon")</f>
        <v>Easily coffee &lt;div id = "video-block-R2QFKRBV2XPM51" class = "a-section a-spacing-small a-spacing-top-mini video-block"&gt; &lt;/ div&gt; &lt;input type = "hidden" name = "" value = "https://images-cn.ssl-images-amazon.com/images/I/A1ZLZSSRgAS.mp4" class = "video-url"&gt; &lt;input type = "hidden" name = "" value = "https://images-cn.ssl-images-amazon.com/images/I/8182LFVDGjS.png" class = "video-slate-img-url"&gt; &amp; nbsp; loved, loved purchased abroad Amazon</v>
      </c>
    </row>
    <row r="11851">
      <c r="A11851" s="1">
        <v>5.0</v>
      </c>
      <c r="B11851" s="1" t="s">
        <v>11750</v>
      </c>
      <c r="C11851" t="str">
        <f>IFERROR(__xludf.DUMMYFUNCTION("GOOGLETRANSLATE(B11851, ""zh"", ""en"")"),"Good quality received in advance, standard size, pants good. Spring and Autumn wear very appropriate")</f>
        <v>Good quality received in advance, standard size, pants good. Spring and Autumn wear very appropriate</v>
      </c>
    </row>
    <row r="11852">
      <c r="A11852" s="1">
        <v>5.0</v>
      </c>
      <c r="B11852" s="1" t="s">
        <v>1753</v>
      </c>
      <c r="C11852" t="str">
        <f>IFERROR(__xludf.DUMMYFUNCTION("GOOGLETRANSLATE(B11852, ""zh"", ""en"")"),"Good very comfortable, good! The future will buy.")</f>
        <v>Good very comfortable, good! The future will buy.</v>
      </c>
    </row>
    <row r="11853">
      <c r="A11853" s="1">
        <v>5.0</v>
      </c>
      <c r="B11853" s="1" t="s">
        <v>11751</v>
      </c>
      <c r="C11853" t="str">
        <f>IFERROR(__xludf.DUMMYFUNCTION("GOOGLETRANSLATE(B11853, ""zh"", ""en"")"),"Suitable not the kind of very thin kind. Yes.")</f>
        <v>Suitable not the kind of very thin kind. Yes.</v>
      </c>
    </row>
    <row r="11854">
      <c r="A11854" s="1">
        <v>5.0</v>
      </c>
      <c r="B11854" s="1" t="s">
        <v>11752</v>
      </c>
      <c r="C11854" t="str">
        <f>IFERROR(__xludf.DUMMYFUNCTION("GOOGLETRANSLATE(B11854, ""zh"", ""en"")"),"Cf buy the normal code will be slightly larger pants yardage freshman code, wear was fat, so just give it away, the better, look better friend than I wear, buy yourself a small one yard yardage than usual on the very All right")</f>
        <v>Cf buy the normal code will be slightly larger pants yardage freshman code, wear was fat, so just give it away, the better, look better friend than I wear, buy yourself a small one yard yardage than usual on the very All right</v>
      </c>
    </row>
    <row r="11855">
      <c r="A11855" s="1">
        <v>5.0</v>
      </c>
      <c r="B11855" s="1" t="s">
        <v>11753</v>
      </c>
      <c r="C11855" t="str">
        <f>IFERROR(__xludf.DUMMYFUNCTION("GOOGLETRANSLATE(B11855, ""zh"", ""en"")"),"Very fond of this product is the strongest protein powder surface, the effect of exercise to lose weight class")</f>
        <v>Very fond of this product is the strongest protein powder surface, the effect of exercise to lose weight class</v>
      </c>
    </row>
    <row r="11856">
      <c r="A11856" s="1">
        <v>5.0</v>
      </c>
      <c r="B11856" s="1" t="s">
        <v>11754</v>
      </c>
      <c r="C11856" t="str">
        <f>IFERROR(__xludf.DUMMYFUNCTION("GOOGLETRANSLATE(B11856, ""zh"", ""en"")"),"It really is skin-friendly and comfortable models, does not belong compression stockings. Today, the first day of wear, can not help but to give praise, cashmere thin section, inside the velvet is very skin-friendly, very comfortable, and the price is als"&amp;"o very beautiful, wait until the activities required stocking")</f>
        <v>It really is skin-friendly and comfortable models, does not belong compression stockings. Today, the first day of wear, can not help but to give praise, cashmere thin section, inside the velvet is very skin-friendly, very comfortable, and the price is also very beautiful, wait until the activities required stocking</v>
      </c>
    </row>
    <row r="11857">
      <c r="A11857" s="1">
        <v>5.0</v>
      </c>
      <c r="B11857" s="1" t="s">
        <v>11755</v>
      </c>
      <c r="C11857" t="str">
        <f>IFERROR(__xludf.DUMMYFUNCTION("GOOGLETRANSLATE(B11857, ""zh"", ""en"")"),"Hip-hop feel like super like oh brother 186145-155 cartridge body floating bought the L shoulder is very satisfied so do not worry off the shoulders of a small number shoulders do not wear short-sleeved t-shirt XL adidas home than this bust L is small so "&amp;"it is easing a long length can be covered with half pi gu whole hip-hop style is actually like!")</f>
        <v>Hip-hop feel like super like oh brother 186145-155 cartridge body floating bought the L shoulder is very satisfied so do not worry off the shoulders of a small number shoulders do not wear short-sleeved t-shirt XL adidas home than this bust L is small so it is easing a long length can be covered with half pi gu whole hip-hop style is actually like!</v>
      </c>
    </row>
    <row r="11858">
      <c r="A11858" s="1">
        <v>5.0</v>
      </c>
      <c r="B11858" s="1" t="s">
        <v>11756</v>
      </c>
      <c r="C11858" t="str">
        <f>IFERROR(__xludf.DUMMYFUNCTION("GOOGLETRANSLATE(B11858, ""zh"", ""en"")"),"Quality Assurance pants good quality, workmanship, choice for workers and service personnel!")</f>
        <v>Quality Assurance pants good quality, workmanship, choice for workers and service personnel!</v>
      </c>
    </row>
    <row r="11859">
      <c r="A11859" s="1">
        <v>5.0</v>
      </c>
      <c r="B11859" s="1" t="s">
        <v>11757</v>
      </c>
      <c r="C11859" t="str">
        <f>IFERROR(__xludf.DUMMYFUNCTION("GOOGLETRANSLATE(B11859, ""zh"", ""en"")"),"The high cost without tax and shipping, 704 when bought, good price. 4T very luxurious, but with quite troublesome in xp, I did not consider this a good start, however, we must use the local xp, with server3003, just barely, not some experts say, windows "&amp;"of server and workstation in fact do very little difference ? For safety reasons, divided into three zones.")</f>
        <v>The high cost without tax and shipping, 704 when bought, good price. 4T very luxurious, but with quite troublesome in xp, I did not consider this a good start, however, we must use the local xp, with server3003, just barely, not some experts say, windows of server and workstation in fact do very little difference ? For safety reasons, divided into three zones.</v>
      </c>
    </row>
    <row r="11860">
      <c r="A11860" s="1">
        <v>2.0</v>
      </c>
      <c r="B11860" s="1" t="s">
        <v>11758</v>
      </c>
      <c r="C11860" t="str">
        <f>IFERROR(__xludf.DUMMYFUNCTION("GOOGLETRANSLATE(B11860, ""zh"", ""en"")"),"Particularly disappointed, feeling wear m code 185 is also similar, and very easy to fold, really like the material of the old man's vest, very disappointed, be it to buy a lesson")</f>
        <v>Particularly disappointed, feeling wear m code 185 is also similar, and very easy to fold, really like the material of the old man's vest, very disappointed, be it to buy a lesson</v>
      </c>
    </row>
    <row r="11861">
      <c r="A11861" s="1">
        <v>3.0</v>
      </c>
      <c r="B11861" s="1" t="s">
        <v>11759</v>
      </c>
      <c r="C11861" t="str">
        <f>IFERROR(__xludf.DUMMYFUNCTION("GOOGLETRANSLATE(B11861, ""zh"", ""en"")"),"Tasteless tasteless, look lovely, the children do not like, easily inhaled air, or use Pigeon glass")</f>
        <v>Tasteless tasteless, look lovely, the children do not like, easily inhaled air, or use Pigeon glass</v>
      </c>
    </row>
    <row r="11862">
      <c r="A11862" s="1">
        <v>3.0</v>
      </c>
      <c r="B11862" s="1" t="s">
        <v>11760</v>
      </c>
      <c r="C11862" t="str">
        <f>IFERROR(__xludf.DUMMYFUNCTION("GOOGLETRANSLATE(B11862, ""zh"", ""en"")"),"Tell simple packaging, the boxes are flat")</f>
        <v>Tell simple packaging, the boxes are flat</v>
      </c>
    </row>
    <row r="11863">
      <c r="A11863" s="1">
        <v>3.0</v>
      </c>
      <c r="B11863" s="1" t="s">
        <v>11761</v>
      </c>
      <c r="C11863" t="str">
        <f>IFERROR(__xludf.DUMMYFUNCTION("GOOGLETRANSLATE(B11863, ""zh"", ""en"")"),"Champion of Champions size of size is really strange, as a 181cm88kg muscular, m number is certainly large, usually only wear it home s number, but this piece has some tight")</f>
        <v>Champion of Champions size of size is really strange, as a 181cm88kg muscular, m number is certainly large, usually only wear it home s number, but this piece has some tight</v>
      </c>
    </row>
    <row r="11864">
      <c r="A11864" s="1">
        <v>1.0</v>
      </c>
      <c r="B11864" s="1" t="s">
        <v>11762</v>
      </c>
      <c r="C11864" t="str">
        <f>IFERROR(__xludf.DUMMYFUNCTION("GOOGLETRANSLATE(B11864, ""zh"", ""en"")"),"Recommended to buy other models of garbage do not recommend buying ... there is a soft bristle Kaifeng is bad")</f>
        <v>Recommended to buy other models of garbage do not recommend buying ... there is a soft bristle Kaifeng is bad</v>
      </c>
    </row>
    <row r="11865">
      <c r="A11865" s="1">
        <v>1.0</v>
      </c>
      <c r="B11865" s="1" t="s">
        <v>11763</v>
      </c>
      <c r="C11865" t="str">
        <f>IFERROR(__xludf.DUMMYFUNCTION("GOOGLETRANSLATE(B11865, ""zh"", ""en"")"),"Very poor packaging extreme poor! Belt is very hard not to consider the truth of the Poor")</f>
        <v>Very poor packaging extreme poor! Belt is very hard not to consider the truth of the Poor</v>
      </c>
    </row>
    <row r="11866">
      <c r="A11866" s="1">
        <v>4.0</v>
      </c>
      <c r="B11866" s="1" t="s">
        <v>11764</v>
      </c>
      <c r="C11866" t="str">
        <f>IFERROR(__xludf.DUMMYFUNCTION("GOOGLETRANSLATE(B11866, ""zh"", ""en"")"),"Version relatively thin, especially in the shoulders is not reasonable for tall very thin people, this shirt is very slim.")</f>
        <v>Version relatively thin, especially in the shoulders is not reasonable for tall very thin people, this shirt is very slim.</v>
      </c>
    </row>
    <row r="11867">
      <c r="A11867" s="1">
        <v>4.0</v>
      </c>
      <c r="B11867" s="1" t="s">
        <v>11765</v>
      </c>
      <c r="C11867" t="str">
        <f>IFERROR(__xludf.DUMMYFUNCTION("GOOGLETRANSLATE(B11867, ""zh"", ""en"")"),"Well bought the original bees, this time to buy is also good")</f>
        <v>Well bought the original bees, this time to buy is also good</v>
      </c>
    </row>
    <row r="11868">
      <c r="A11868" s="1">
        <v>4.0</v>
      </c>
      <c r="B11868" s="1" t="s">
        <v>11766</v>
      </c>
      <c r="C11868" t="str">
        <f>IFERROR(__xludf.DUMMYFUNCTION("GOOGLETRANSLATE(B11868, ""zh"", ""en"")"),"Too large, try to buy a smaller size usually buy clothes championship or try to buy a smaller size suitable clothes was quite comfortable")</f>
        <v>Too large, try to buy a smaller size usually buy clothes championship or try to buy a smaller size suitable clothes was quite comfortable</v>
      </c>
    </row>
    <row r="11869">
      <c r="A11869" s="1">
        <v>4.0</v>
      </c>
      <c r="B11869" s="1" t="s">
        <v>11767</v>
      </c>
      <c r="C11869" t="str">
        <f>IFERROR(__xludf.DUMMYFUNCTION("GOOGLETRANSLATE(B11869, ""zh"", ""en"")"),"Okay, at least do not feel loss just listen to the sound no more than stunning, but still can, after all, did not sound boring pot - normal, human voice really good, then there is no headband security code, do not know for the thing? ! The reason why is b"&amp;"ecause the star not to work, even if the plastic, mainly earmuffs, very loose, you can manually breaking down, it really is domestic products, poor backward in the work, and looks like a toy more than like a headset, to not a sound can be, I thought it wa"&amp;"s a fake -")</f>
        <v>Okay, at least do not feel loss just listen to the sound no more than stunning, but still can, after all, did not sound boring pot - normal, human voice really good, then there is no headband security code, do not know for the thing? ! The reason why is because the star not to work, even if the plastic, mainly earmuffs, very loose, you can manually breaking down, it really is domestic products, poor backward in the work, and looks like a toy more than like a headset, to not a sound can be, I thought it was a fake -</v>
      </c>
    </row>
    <row r="11870">
      <c r="A11870" s="1">
        <v>4.0</v>
      </c>
      <c r="B11870" s="1" t="s">
        <v>11768</v>
      </c>
      <c r="C11870" t="str">
        <f>IFERROR(__xludf.DUMMYFUNCTION("GOOGLETRANSLATE(B11870, ""zh"", ""en"")"),"No invoices and other recipes are good, that is why it is not a recipe")</f>
        <v>No invoices and other recipes are good, that is why it is not a recipe</v>
      </c>
    </row>
    <row r="11871">
      <c r="A11871" s="1">
        <v>5.0</v>
      </c>
      <c r="B11871" s="1" t="s">
        <v>11769</v>
      </c>
      <c r="C11871" t="str">
        <f>IFERROR(__xludf.DUMMYFUNCTION("GOOGLETRANSLATE(B11871, ""zh"", ""en"")"),"Middle grade of choice for high-end atmosphere, low-key luxury connotation")</f>
        <v>Middle grade of choice for high-end atmosphere, low-key luxury connotation</v>
      </c>
    </row>
    <row r="11872">
      <c r="A11872" s="1">
        <v>5.0</v>
      </c>
      <c r="B11872" s="1" t="s">
        <v>11770</v>
      </c>
      <c r="C11872" t="str">
        <f>IFERROR(__xludf.DUMMYFUNCTION("GOOGLETRANSLATE(B11872, ""zh"", ""en"")"),"Pure voice sound positive, at this price, to compete basically no, the key is to own amplifier, it has been a very, very good!")</f>
        <v>Pure voice sound positive, at this price, to compete basically no, the key is to own amplifier, it has been a very, very good!</v>
      </c>
    </row>
    <row r="11873">
      <c r="A11873" s="1">
        <v>5.0</v>
      </c>
      <c r="B11873" s="1" t="s">
        <v>11771</v>
      </c>
      <c r="C11873" t="str">
        <f>IFERROR(__xludf.DUMMYFUNCTION("GOOGLETRANSLATE(B11873, ""zh"", ""en"")"),"Affordable, quality big good-looking, quality is also very good. The key is cheap, much cheaper than the store. Developed countries really dire straits ah!")</f>
        <v>Affordable, quality big good-looking, quality is also very good. The key is cheap, much cheaper than the store. Developed countries really dire straits ah!</v>
      </c>
    </row>
    <row r="11874">
      <c r="A11874" s="1">
        <v>5.0</v>
      </c>
      <c r="B11874" s="1" t="s">
        <v>11772</v>
      </c>
      <c r="C11874" t="str">
        <f>IFERROR(__xludf.DUMMYFUNCTION("GOOGLETRANSLATE(B11874, ""zh"", ""en"")"),"Value for money has already started, and compare it amazing, much better than the original supporting, especially the children amused.")</f>
        <v>Value for money has already started, and compare it amazing, much better than the original supporting, especially the children amused.</v>
      </c>
    </row>
    <row r="11875">
      <c r="A11875" s="1">
        <v>5.0</v>
      </c>
      <c r="B11875" s="1" t="s">
        <v>11773</v>
      </c>
      <c r="C11875" t="str">
        <f>IFERROR(__xludf.DUMMYFUNCTION("GOOGLETRANSLATE(B11875, ""zh"", ""en"")"),"Yes, small and exquisite. High Contrast domestic price. Contrast high domestic price, try the prime is good.")</f>
        <v>Yes, small and exquisite. High Contrast domestic price. Contrast high domestic price, try the prime is good.</v>
      </c>
    </row>
    <row r="11876">
      <c r="A11876" s="1">
        <v>5.0</v>
      </c>
      <c r="B11876" s="1" t="s">
        <v>11774</v>
      </c>
      <c r="C11876" t="str">
        <f>IFERROR(__xludf.DUMMYFUNCTION("GOOGLETRANSLATE(B11876, ""zh"", ""en"")"),"Very much I like to think of it with a long comment. Color and picture a little color, size, with a special easy. Insulation is almost Thermos ratio, but also with the daytime in winter out enough. Lock Thermos better than, there are times I forgot to tur"&amp;"n off the lock, Thermos cup of water sprinkled a bag, put my cell phone bubble. So I buy this. Now hospitalized in with.")</f>
        <v>Very much I like to think of it with a long comment. Color and picture a little color, size, with a special easy. Insulation is almost Thermos ratio, but also with the daytime in winter out enough. Lock Thermos better than, there are times I forgot to turn off the lock, Thermos cup of water sprinkled a bag, put my cell phone bubble. So I buy this. Now hospitalized in with.</v>
      </c>
    </row>
    <row r="11877">
      <c r="A11877" s="1">
        <v>5.0</v>
      </c>
      <c r="B11877" s="1" t="s">
        <v>11775</v>
      </c>
      <c r="C11877" t="str">
        <f>IFERROR(__xludf.DUMMYFUNCTION("GOOGLETRANSLATE(B11877, ""zh"", ""en"")"),"Simple packaging, shoes to buy big. This packaging too shabby, right, outside the set of a shoebox courier bags, trek actually not bad. Timberland bought a few pairs of shoes in the Amazon, this is a big election code, put the shoelace tightening it did n"&amp;"ot want to feel out the other, laces a bit short ah.")</f>
        <v>Simple packaging, shoes to buy big. This packaging too shabby, right, outside the set of a shoebox courier bags, trek actually not bad. Timberland bought a few pairs of shoes in the Amazon, this is a big election code, put the shoelace tightening it did not want to feel out the other, laces a bit short ah.</v>
      </c>
    </row>
    <row r="11878">
      <c r="A11878" s="1">
        <v>5.0</v>
      </c>
      <c r="B11878" s="1" t="s">
        <v>11776</v>
      </c>
      <c r="C11878" t="str">
        <f>IFERROR(__xludf.DUMMYFUNCTION("GOOGLETRANSLATE(B11878, ""zh"", ""en"")"),"Sojirushi cup very satisfied, especially for opening the lid locking anti inadvertently set a lot of reasonable, than the thermos, you can rest assured that boldly into the bag it! In addition cup design is very simple and tough, Nichia prices are also ve"&amp;"ry reasonable, five-star!")</f>
        <v>Sojirushi cup very satisfied, especially for opening the lid locking anti inadvertently set a lot of reasonable, than the thermos, you can rest assured that boldly into the bag it! In addition cup design is very simple and tough, Nichia prices are also very reasonable, five-star!</v>
      </c>
    </row>
    <row r="11879">
      <c r="A11879" s="1">
        <v>5.0</v>
      </c>
      <c r="B11879" s="1" t="s">
        <v>11777</v>
      </c>
      <c r="C11879" t="str">
        <f>IFERROR(__xludf.DUMMYFUNCTION("GOOGLETRANSLATE(B11879, ""zh"", ""en"")"),"Perfect great")</f>
        <v>Perfect great</v>
      </c>
    </row>
    <row r="11880">
      <c r="A11880" s="1">
        <v>5.0</v>
      </c>
      <c r="B11880" s="1" t="s">
        <v>11778</v>
      </c>
      <c r="C11880" t="str">
        <f>IFERROR(__xludf.DUMMYFUNCTION("GOOGLETRANSLATE(B11880, ""zh"", ""en"")"),"Suitable. I 175,88, wearing appropriate 38 * 30, want to help.")</f>
        <v>Suitable. I 175,88, wearing appropriate 38 * 30, want to help.</v>
      </c>
    </row>
    <row r="11881">
      <c r="A11881" s="1">
        <v>5.0</v>
      </c>
      <c r="B11881" s="1" t="s">
        <v>11779</v>
      </c>
      <c r="C11881" t="str">
        <f>IFERROR(__xludf.DUMMYFUNCTION("GOOGLETRANSLATE(B11881, ""zh"", ""en"")"),"Good quality portable")</f>
        <v>Good quality portable</v>
      </c>
    </row>
    <row r="11882">
      <c r="A11882" s="1">
        <v>5.0</v>
      </c>
      <c r="B11882" s="1" t="s">
        <v>11780</v>
      </c>
      <c r="C11882" t="str">
        <f>IFERROR(__xludf.DUMMYFUNCTION("GOOGLETRANSLATE(B11882, ""zh"", ""en"")"),"Feeling a little flaw sneakers 36.5 feet, just right to wear 3")</f>
        <v>Feeling a little flaw sneakers 36.5 feet, just right to wear 3</v>
      </c>
    </row>
    <row r="11883">
      <c r="A11883" s="1">
        <v>5.0</v>
      </c>
      <c r="B11883" s="1" t="s">
        <v>11781</v>
      </c>
      <c r="C11883" t="str">
        <f>IFERROR(__xludf.DUMMYFUNCTION("GOOGLETRANSLATE(B11883, ""zh"", ""en"")"),"Quite satisfactory shopping Origin: India traces can, a little thread, does not affect the color is not quite in line with expectations, a bit dark, the version good, quality can I height 170, weight 60")</f>
        <v>Quite satisfactory shopping Origin: India traces can, a little thread, does not affect the color is not quite in line with expectations, a bit dark, the version good, quality can I height 170, weight 60</v>
      </c>
    </row>
    <row r="11884">
      <c r="A11884" s="1">
        <v>5.0</v>
      </c>
      <c r="B11884" s="1" t="s">
        <v>11782</v>
      </c>
      <c r="C11884" t="str">
        <f>IFERROR(__xludf.DUMMYFUNCTION("GOOGLETRANSLATE(B11884, ""zh"", ""en"")"),"Very good very comfortable according to the usual size to buy on it")</f>
        <v>Very good very comfortable according to the usual size to buy on it</v>
      </c>
    </row>
    <row r="11885">
      <c r="A11885" s="1">
        <v>5.0</v>
      </c>
      <c r="B11885" s="1" t="s">
        <v>11783</v>
      </c>
      <c r="C11885" t="str">
        <f>IFERROR(__xludf.DUMMYFUNCTION("GOOGLETRANSLATE(B11885, ""zh"", ""en"")"),"Easy to use children does not exclude his wife bought this brand of child drinking cups. To find a winter insulation. See bought. To talk about feelings with this cup: 1) In addition to other mug can be removed and the dishwasher, like this one; 2) it is "&amp;"easy to absorb, not even suck their own will come out, just starting to learn to drink cup children helpful. The child is still relatively Love bottle, is slowly transition. This has begun to slowly come to accept the cup")</f>
        <v>Easy to use children does not exclude his wife bought this brand of child drinking cups. To find a winter insulation. See bought. To talk about feelings with this cup: 1) In addition to other mug can be removed and the dishwasher, like this one; 2) it is easy to absorb, not even suck their own will come out, just starting to learn to drink cup children helpful. The child is still relatively Love bottle, is slowly transition. This has begun to slowly come to accept the cup</v>
      </c>
    </row>
    <row r="11886">
      <c r="A11886" s="1">
        <v>5.0</v>
      </c>
      <c r="B11886" s="1" t="s">
        <v>11784</v>
      </c>
      <c r="C11886" t="str">
        <f>IFERROR(__xludf.DUMMYFUNCTION("GOOGLETRANSLATE(B11886, ""zh"", ""en"")"),"Little freshman inside thick plush 175 75kg M I think I prefer some loose")</f>
        <v>Little freshman inside thick plush 175 75kg M I think I prefer some loose</v>
      </c>
    </row>
    <row r="11887">
      <c r="A11887" s="1">
        <v>5.0</v>
      </c>
      <c r="B11887" s="1" t="s">
        <v>11785</v>
      </c>
      <c r="C11887" t="str">
        <f>IFERROR(__xludf.DUMMYFUNCTION("GOOGLETRANSLATE(B11887, ""zh"", ""en"")"),"Very comfortable affordable big yards specials, good")</f>
        <v>Very comfortable affordable big yards specials, good</v>
      </c>
    </row>
    <row r="11888">
      <c r="A11888" s="1">
        <v>5.0</v>
      </c>
      <c r="B11888" s="1" t="s">
        <v>11786</v>
      </c>
      <c r="C11888" t="str">
        <f>IFERROR(__xludf.DUMMYFUNCTION("GOOGLETRANSLATE(B11888, ""zh"", ""en"")"),"Very satisfied! Height 178 cm, weight 70 kg, m number of very fit.")</f>
        <v>Very satisfied! Height 178 cm, weight 70 kg, m number of very fit.</v>
      </c>
    </row>
    <row r="11889">
      <c r="A11889" s="1">
        <v>5.0</v>
      </c>
      <c r="B11889" s="1" t="s">
        <v>11787</v>
      </c>
      <c r="C11889" t="str">
        <f>IFERROR(__xludf.DUMMYFUNCTION("GOOGLETRANSLATE(B11889, ""zh"", ""en"")"),"It is said that the high cost easy to use Oh")</f>
        <v>It is said that the high cost easy to use Oh</v>
      </c>
    </row>
    <row r="11890">
      <c r="A11890" s="1">
        <v>5.0</v>
      </c>
      <c r="B11890" s="1" t="s">
        <v>11788</v>
      </c>
      <c r="C11890" t="str">
        <f>IFERROR(__xludf.DUMMYFUNCTION("GOOGLETRANSLATE(B11890, ""zh"", ""en"")"),"Generally low waist fabric comfortable, low-waist, slim; 173,78,36w not feel fat")</f>
        <v>Generally low waist fabric comfortable, low-waist, slim; 173,78,36w not feel fat</v>
      </c>
    </row>
    <row r="11891">
      <c r="A11891" s="1">
        <v>5.0</v>
      </c>
      <c r="B11891" s="1" t="s">
        <v>11789</v>
      </c>
      <c r="C11891" t="str">
        <f>IFERROR(__xludf.DUMMYFUNCTION("GOOGLETRANSLATE(B11891, ""zh"", ""en"")"),"Good-looking Japanese thermostatic shower, relatively cost-effective, color value is also high.")</f>
        <v>Good-looking Japanese thermostatic shower, relatively cost-effective, color value is also high.</v>
      </c>
    </row>
    <row r="11892">
      <c r="A11892" s="1">
        <v>2.0</v>
      </c>
      <c r="B11892" s="1" t="s">
        <v>11790</v>
      </c>
      <c r="C11892" t="str">
        <f>IFERROR(__xludf.DUMMYFUNCTION("GOOGLETRANSLATE(B11892, ""zh"", ""en"")"),"Add fertilizer to increase domestic foreign election xl m xl big number, ah, the same with the domestic fertilizer to increase")</f>
        <v>Add fertilizer to increase domestic foreign election xl m xl big number, ah, the same with the domestic fertilizer to increase</v>
      </c>
    </row>
    <row r="11893">
      <c r="A11893" s="1">
        <v>3.0</v>
      </c>
      <c r="B11893" s="1" t="s">
        <v>11791</v>
      </c>
      <c r="C11893" t="str">
        <f>IFERROR(__xludf.DUMMYFUNCTION("GOOGLETRANSLATE(B11893, ""zh"", ""en"")"),"Denim clothing whole can also line the whole fabric workmanship are very good but the number is too big to buy s number s number corresponding to the size of the write is 155 165 but there are actually so big is beautiful yard and China may differ bar cod"&amp;"e")</f>
        <v>Denim clothing whole can also line the whole fabric workmanship are very good but the number is too big to buy s number s number corresponding to the size of the write is 155 165 but there are actually so big is beautiful yard and China may differ bar code</v>
      </c>
    </row>
    <row r="11894">
      <c r="A11894" s="1">
        <v>1.0</v>
      </c>
      <c r="B11894" s="1" t="s">
        <v>11792</v>
      </c>
      <c r="C11894" t="str">
        <f>IFERROR(__xludf.DUMMYFUNCTION("GOOGLETRANSLATE(B11894, ""zh"", ""en"")"),"Poor quality with three times the disk will not be able to recognize the quality of worrying! China can not guarantee")</f>
        <v>Poor quality with three times the disk will not be able to recognize the quality of worrying! China can not guarantee</v>
      </c>
    </row>
    <row r="11895">
      <c r="A11895" s="1">
        <v>1.0</v>
      </c>
      <c r="B11895" s="1" t="s">
        <v>11793</v>
      </c>
      <c r="C11895" t="str">
        <f>IFERROR(__xludf.DUMMYFUNCTION("GOOGLETRANSLATE(B11895, ""zh"", ""en"")"),"Products too much garbage too much garbage, which have been melted into a ball")</f>
        <v>Products too much garbage too much garbage, which have been melted into a ball</v>
      </c>
    </row>
    <row r="11896">
      <c r="A11896" s="1">
        <v>1.0</v>
      </c>
      <c r="B11896" s="1" t="s">
        <v>11794</v>
      </c>
      <c r="C11896" t="str">
        <f>IFERROR(__xludf.DUMMYFUNCTION("GOOGLETRANSLATE(B11896, ""zh"", ""en"")"),"By Size Chart buy small one yard, ah still too large height 176CM, by Size Table small one yard to buy M, still serious too large ah")</f>
        <v>By Size Chart buy small one yard, ah still too large height 176CM, by Size Table small one yard to buy M, still serious too large ah</v>
      </c>
    </row>
    <row r="11897">
      <c r="A11897" s="1">
        <v>4.0</v>
      </c>
      <c r="B11897" s="1" t="s">
        <v>11795</v>
      </c>
      <c r="C11897" t="str">
        <f>IFERROR(__xludf.DUMMYFUNCTION("GOOGLETRANSLATE(B11897, ""zh"", ""en"")"),"Chinese manual more beautiful, big power, not Chinese manual, produced in Ningbo.")</f>
        <v>Chinese manual more beautiful, big power, not Chinese manual, produced in Ningbo.</v>
      </c>
    </row>
    <row r="11898">
      <c r="A11898" s="1">
        <v>4.0</v>
      </c>
      <c r="B11898" s="1" t="s">
        <v>11796</v>
      </c>
      <c r="C11898" t="str">
        <f>IFERROR(__xludf.DUMMYFUNCTION("GOOGLETRANSLATE(B11898, ""zh"", ""en"")"),"Very easy to use, lightweight careful to put a small convenient bag, 200ml can only put a bowl of water, cold insulation 6 hours, 120 including tax buy, this design will not leak easy to use, half a month, the effect is good. Recently bought too much, wan"&amp;"ted to buy a water bottle to see, what rational control.")</f>
        <v>Very easy to use, lightweight careful to put a small convenient bag, 200ml can only put a bowl of water, cold insulation 6 hours, 120 including tax buy, this design will not leak easy to use, half a month, the effect is good. Recently bought too much, wanted to buy a water bottle to see, what rational control.</v>
      </c>
    </row>
    <row r="11899">
      <c r="A11899" s="1">
        <v>4.0</v>
      </c>
      <c r="B11899" s="1" t="s">
        <v>11797</v>
      </c>
      <c r="C11899" t="str">
        <f>IFERROR(__xludf.DUMMYFUNCTION("GOOGLETRANSLATE(B11899, ""zh"", ""en"")"),"Size and wearing feeling I usually wear sneakers 42 do, just for this US8M, the width of a large surplus finger. But this shoe is really quite narrow, wide feet people buy recommendation widened. In addition to wear the next day feeling really good hard, "&amp;"tough, pressure feet, wear heels there, do not know the back will not wear open up a good point, if I opened the back to wear again added.")</f>
        <v>Size and wearing feeling I usually wear sneakers 42 do, just for this US8M, the width of a large surplus finger. But this shoe is really quite narrow, wide feet people buy recommendation widened. In addition to wear the next day feeling really good hard, tough, pressure feet, wear heels there, do not know the back will not wear open up a good point, if I opened the back to wear again added.</v>
      </c>
    </row>
    <row r="11900">
      <c r="A11900" s="1">
        <v>4.0</v>
      </c>
      <c r="B11900" s="1" t="s">
        <v>11798</v>
      </c>
      <c r="C11900" t="str">
        <f>IFERROR(__xludf.DUMMYFUNCTION("GOOGLETRANSLATE(B11900, ""zh"", ""en"")"),"Good clothes I usually wear No. S, the next day to buy the S number of sub-point short clothes, the right sleeve, this time to buy M number, very appropriate. Japanese packaging is really very cautious, very solid, two bind tightly, the box also stuffed a"&amp;" plastic bubble. Although Indonesia is produced, but the export turn-hand, quality is different.")</f>
        <v>Good clothes I usually wear No. S, the next day to buy the S number of sub-point short clothes, the right sleeve, this time to buy M number, very appropriate. Japanese packaging is really very cautious, very solid, two bind tightly, the box also stuffed a plastic bubble. Although Indonesia is produced, but the export turn-hand, quality is different.</v>
      </c>
    </row>
    <row r="11901">
      <c r="A11901" s="1">
        <v>5.0</v>
      </c>
      <c r="B11901" s="1" t="s">
        <v>11799</v>
      </c>
      <c r="C11901" t="str">
        <f>IFERROR(__xludf.DUMMYFUNCTION("GOOGLETRANSLATE(B11901, ""zh"", ""en"")"),"Easy to use, not afraid to fall metal + plastic, cleaning and are more convenient to use, is not afraid bump.")</f>
        <v>Easy to use, not afraid to fall metal + plastic, cleaning and are more convenient to use, is not afraid bump.</v>
      </c>
    </row>
    <row r="11902">
      <c r="A11902" s="1">
        <v>5.0</v>
      </c>
      <c r="B11902" s="1" t="s">
        <v>11800</v>
      </c>
      <c r="C11902" t="str">
        <f>IFERROR(__xludf.DUMMYFUNCTION("GOOGLETRANSLATE(B11902, ""zh"", ""en"")"),"A high cost of the machine after the machine immediately receive put to use, the use of small tanks found that, when the pipe plug may be selected if the beans finest grind profile, bubbles espresso coffee situation occurs that can not")</f>
        <v>A high cost of the machine after the machine immediately receive put to use, the use of small tanks found that, when the pipe plug may be selected if the beans finest grind profile, bubbles espresso coffee situation occurs that can not</v>
      </c>
    </row>
    <row r="11903">
      <c r="A11903" s="1">
        <v>5.0</v>
      </c>
      <c r="B11903" s="1" t="s">
        <v>11801</v>
      </c>
      <c r="C11903" t="str">
        <f>IFERROR(__xludf.DUMMYFUNCTION("GOOGLETRANSLATE(B11903, ""zh"", ""en"")"),"Good quality good quality, is the husband does not like the color of clothes (Army Green)")</f>
        <v>Good quality good quality, is the husband does not like the color of clothes (Army Green)</v>
      </c>
    </row>
    <row r="11904">
      <c r="A11904" s="1">
        <v>5.0</v>
      </c>
      <c r="B11904" s="1" t="s">
        <v>11802</v>
      </c>
      <c r="C11904" t="str">
        <f>IFERROR(__xludf.DUMMYFUNCTION("GOOGLETRANSLATE(B11904, ""zh"", ""en"")"),"The right size, very comfortable, abdomen effect. The right size, very comfortable, abdomen effect.")</f>
        <v>The right size, very comfortable, abdomen effect. The right size, very comfortable, abdomen effect.</v>
      </c>
    </row>
    <row r="11905">
      <c r="A11905" s="1">
        <v>5.0</v>
      </c>
      <c r="B11905" s="1" t="s">
        <v>11803</v>
      </c>
      <c r="C11905" t="str">
        <f>IFERROR(__xludf.DUMMYFUNCTION("GOOGLETRANSLATE(B11905, ""zh"", ""en"")"),"Price beautiful, looks good, trust jbl sound Compare prices down Amazon is really good, genuine, really like headphones before buying large are not on the tape, compact and fit shape, materials and design very well frosted")</f>
        <v>Price beautiful, looks good, trust jbl sound Compare prices down Amazon is really good, genuine, really like headphones before buying large are not on the tape, compact and fit shape, materials and design very well frosted</v>
      </c>
    </row>
    <row r="11906">
      <c r="A11906" s="1">
        <v>5.0</v>
      </c>
      <c r="B11906" s="1" t="s">
        <v>11804</v>
      </c>
      <c r="C11906" t="str">
        <f>IFERROR(__xludf.DUMMYFUNCTION("GOOGLETRANSLATE(B11906, ""zh"", ""en"")"),"Good Very good, packaging shipped already riddled with problems, the machine is no problem")</f>
        <v>Good Very good, packaging shipped already riddled with problems, the machine is no problem</v>
      </c>
    </row>
    <row r="11907">
      <c r="A11907" s="1">
        <v>5.0</v>
      </c>
      <c r="B11907" s="1" t="s">
        <v>11805</v>
      </c>
      <c r="C11907" t="str">
        <f>IFERROR(__xludf.DUMMYFUNCTION("GOOGLETRANSLATE(B11907, ""zh"", ""en"")"),"Thatcher famously very beautiful, too fond of it! Start feeling a little Sese, but without prejudice to the sense of writing, after seeing my colleagues, is also amazing, I would like to start, but unfortunately out of stock, will come again, for the firs"&amp;"t time shopping at Amazon, really do not like surprises, thank you Amazon")</f>
        <v>Thatcher famously very beautiful, too fond of it! Start feeling a little Sese, but without prejudice to the sense of writing, after seeing my colleagues, is also amazing, I would like to start, but unfortunately out of stock, will come again, for the first time shopping at Amazon, really do not like surprises, thank you Amazon</v>
      </c>
    </row>
    <row r="11908">
      <c r="A11908" s="1">
        <v>5.0</v>
      </c>
      <c r="B11908" s="1" t="s">
        <v>11806</v>
      </c>
      <c r="C11908" t="str">
        <f>IFERROR(__xludf.DUMMYFUNCTION("GOOGLETRANSLATE(B11908, ""zh"", ""en"")"),"Listen very pretty yellow Day veper")</f>
        <v>Listen very pretty yellow Day veper</v>
      </c>
    </row>
    <row r="11909">
      <c r="A11909" s="1">
        <v>5.0</v>
      </c>
      <c r="B11909" s="1" t="s">
        <v>11807</v>
      </c>
      <c r="C11909" t="str">
        <f>IFERROR(__xludf.DUMMYFUNCTION("GOOGLETRANSLATE(B11909, ""zh"", ""en"")"),"Insulation effect is good, although a little hair, but soon to help me deal with. I do not have evidence that this nice feeling to be trusted. Indeed the Amazon.")</f>
        <v>Insulation effect is good, although a little hair, but soon to help me deal with. I do not have evidence that this nice feeling to be trusted. Indeed the Amazon.</v>
      </c>
    </row>
    <row r="11910">
      <c r="A11910" s="1">
        <v>5.0</v>
      </c>
      <c r="B11910" s="1" t="s">
        <v>8985</v>
      </c>
      <c r="C11910" t="str">
        <f>IFERROR(__xludf.DUMMYFUNCTION("GOOGLETRANSLATE(B11910, ""zh"", ""en"")"),"Appropriate, cost-effective, appropriate dress ran a good step, cost-effective, wearing ran a good step")</f>
        <v>Appropriate, cost-effective, appropriate dress ran a good step, cost-effective, wearing ran a good step</v>
      </c>
    </row>
    <row r="11911">
      <c r="A11911" s="1">
        <v>5.0</v>
      </c>
      <c r="B11911" s="1" t="s">
        <v>11808</v>
      </c>
      <c r="C11911" t="str">
        <f>IFERROR(__xludf.DUMMYFUNCTION("GOOGLETRANSLATE(B11911, ""zh"", ""en"")"),"Corsair Taiwan, the quality okay. high speed")</f>
        <v>Corsair Taiwan, the quality okay. high speed</v>
      </c>
    </row>
    <row r="11912">
      <c r="A11912" s="1">
        <v>5.0</v>
      </c>
      <c r="B11912" s="1" t="s">
        <v>11809</v>
      </c>
      <c r="C11912" t="str">
        <f>IFERROR(__xludf.DUMMYFUNCTION("GOOGLETRANSLATE(B11912, ""zh"", ""en"")"),"Comments not with store goods, packaging received something good, shipping soon")</f>
        <v>Comments not with store goods, packaging received something good, shipping soon</v>
      </c>
    </row>
    <row r="11913">
      <c r="A11913" s="1">
        <v>5.0</v>
      </c>
      <c r="B11913" s="1" t="s">
        <v>11810</v>
      </c>
      <c r="C11913" t="str">
        <f>IFERROR(__xludf.DUMMYFUNCTION("GOOGLETRANSLATE(B11913, ""zh"", ""en"")"),"Size is too large sweater good very appropriate size is too large")</f>
        <v>Size is too large sweater good very appropriate size is too large</v>
      </c>
    </row>
    <row r="11914">
      <c r="A11914" s="1">
        <v>5.0</v>
      </c>
      <c r="B11914" s="1" t="s">
        <v>11811</v>
      </c>
      <c r="C11914" t="str">
        <f>IFERROR(__xludf.DUMMYFUNCTION("GOOGLETRANSLATE(B11914, ""zh"", ""en"")"),"Fine girlfriend to buy a birthday gift, pretty good, like.")</f>
        <v>Fine girlfriend to buy a birthday gift, pretty good, like.</v>
      </c>
    </row>
    <row r="11915">
      <c r="A11915" s="1">
        <v>5.0</v>
      </c>
      <c r="B11915" s="1" t="s">
        <v>11812</v>
      </c>
      <c r="C11915" t="str">
        <f>IFERROR(__xludf.DUMMYFUNCTION("GOOGLETRANSLATE(B11915, ""zh"", ""en"")"),"Okay I 86CM waist, M has a little big, but I wore a positive and comfortable. This is an Egyptian production, significantly smaller than that of Vietnam in a circle. Crotch very comfortable, U-shaped design but do not just close tight.")</f>
        <v>Okay I 86CM waist, M has a little big, but I wore a positive and comfortable. This is an Egyptian production, significantly smaller than that of Vietnam in a circle. Crotch very comfortable, U-shaped design but do not just close tight.</v>
      </c>
    </row>
    <row r="11916">
      <c r="A11916" s="1">
        <v>5.0</v>
      </c>
      <c r="B11916" s="1" t="s">
        <v>11813</v>
      </c>
      <c r="C11916" t="str">
        <f>IFERROR(__xludf.DUMMYFUNCTION("GOOGLETRANSLATE(B11916, ""zh"", ""en"")"),"The clothes are very satisfied to buy Dad, Dad 78 kg, big belly, read the reviews we buy L exactly.")</f>
        <v>The clothes are very satisfied to buy Dad, Dad 78 kg, big belly, read the reviews we buy L exactly.</v>
      </c>
    </row>
    <row r="11917">
      <c r="A11917" s="1">
        <v>5.0</v>
      </c>
      <c r="B11917" s="1" t="s">
        <v>11814</v>
      </c>
      <c r="C11917" t="str">
        <f>IFERROR(__xludf.DUMMYFUNCTION("GOOGLETRANSLATE(B11917, ""zh"", ""en"")"),"32 Like craft work, easy to use, not hot")</f>
        <v>32 Like craft work, easy to use, not hot</v>
      </c>
    </row>
    <row r="11918">
      <c r="A11918" s="1">
        <v>5.0</v>
      </c>
      <c r="B11918" s="1" t="s">
        <v>11815</v>
      </c>
      <c r="C11918" t="str">
        <f>IFERROR(__xludf.DUMMYFUNCTION("GOOGLETRANSLATE(B11918, ""zh"", ""en"")"),"Good good, good quality, is too small nipple opening, bought a six-month traffic put something still feel the baby suck more strenuous")</f>
        <v>Good good, good quality, is too small nipple opening, bought a six-month traffic put something still feel the baby suck more strenuous</v>
      </c>
    </row>
    <row r="11919">
      <c r="A11919" s="1">
        <v>5.0</v>
      </c>
      <c r="B11919" s="1" t="s">
        <v>11816</v>
      </c>
      <c r="C11919" t="str">
        <f>IFERROR(__xludf.DUMMYFUNCTION("GOOGLETRANSLATE(B11919, ""zh"", ""en"")"),"Good shoes and good leather, comfortable to wear, style is just needed.")</f>
        <v>Good shoes and good leather, comfortable to wear, style is just needed.</v>
      </c>
    </row>
    <row r="11920">
      <c r="A11920" s="1">
        <v>5.0</v>
      </c>
      <c r="B11920" s="1" t="s">
        <v>11817</v>
      </c>
      <c r="C11920" t="str">
        <f>IFERROR(__xludf.DUMMYFUNCTION("GOOGLETRANSLATE(B11920, ""zh"", ""en"")"),"Price is very good right size, soft material")</f>
        <v>Price is very good right size, soft material</v>
      </c>
    </row>
    <row r="11921">
      <c r="A11921" s="1">
        <v>5.0</v>
      </c>
      <c r="B11921" s="1" t="s">
        <v>11818</v>
      </c>
      <c r="C11921" t="str">
        <f>IFERROR(__xludf.DUMMYFUNCTION("GOOGLETRANSLATE(B11921, ""zh"", ""en"")"),"High cost two sea Amoy need more than 400, plus customs duties or something, is to wait for relatively long time, like a week. 399 is a domestic online, buy discount can, otherwise there is no cost-effective, pit")</f>
        <v>High cost two sea Amoy need more than 400, plus customs duties or something, is to wait for relatively long time, like a week. 399 is a domestic online, buy discount can, otherwise there is no cost-effective, pit</v>
      </c>
    </row>
    <row r="11922">
      <c r="A11922" s="1">
        <v>5.0</v>
      </c>
      <c r="B11922" s="1" t="s">
        <v>11819</v>
      </c>
      <c r="C11922" t="str">
        <f>IFERROR(__xludf.DUMMYFUNCTION("GOOGLETRANSLATE(B11922, ""zh"", ""en"")"),"ECCO shoe size shoe size than the standard code is just a small one yard.")</f>
        <v>ECCO shoe size shoe size than the standard code is just a small one yard.</v>
      </c>
    </row>
    <row r="11923">
      <c r="A11923" s="1">
        <v>2.0</v>
      </c>
      <c r="B11923" s="1" t="s">
        <v>11820</v>
      </c>
      <c r="C11923" t="str">
        <f>IFERROR(__xludf.DUMMYFUNCTION("GOOGLETRANSLATE(B11923, ""zh"", ""en"")"),"Carefully considering the purchase of quality as we have said poor poor, 50 dollars a stuff, a lot of thread, fade, there are crooks telephone harassment.")</f>
        <v>Carefully considering the purchase of quality as we have said poor poor, 50 dollars a stuff, a lot of thread, fade, there are crooks telephone harassment.</v>
      </c>
    </row>
    <row r="11924">
      <c r="A11924" s="1">
        <v>3.0</v>
      </c>
      <c r="B11924" s="1" t="s">
        <v>11821</v>
      </c>
      <c r="C11924" t="str">
        <f>IFERROR(__xludf.DUMMYFUNCTION("GOOGLETRANSLATE(B11924, ""zh"", ""en"")"),"Fare increase too much too much 680 yen together sell more than 100 yuan more than 40 .........")</f>
        <v>Fare increase too much too much 680 yen together sell more than 100 yuan more than 40 .........</v>
      </c>
    </row>
    <row r="11925">
      <c r="A11925" s="1">
        <v>3.0</v>
      </c>
      <c r="B11925" s="1" t="s">
        <v>11822</v>
      </c>
      <c r="C11925" t="str">
        <f>IFERROR(__xludf.DUMMYFUNCTION("GOOGLETRANSLATE(B11925, ""zh"", ""en"")"),"Long sleeves with the same brand is s code, in addition to an appropriate, but this piece is too large and too long sleeves, very strange!")</f>
        <v>Long sleeves with the same brand is s code, in addition to an appropriate, but this piece is too large and too long sleeves, very strange!</v>
      </c>
    </row>
    <row r="11926">
      <c r="A11926" s="1">
        <v>3.0</v>
      </c>
      <c r="B11926" s="1" t="s">
        <v>11823</v>
      </c>
      <c r="C11926" t="str">
        <f>IFERROR(__xludf.DUMMYFUNCTION("GOOGLETRANSLATE(B11926, ""zh"", ""en"")"),"There are problems left leg cropped pants cropped problems, pants inside seam is biased, but unfortunately the return shipping is too expensive, will wear, pants very long, tall girls do not worry")</f>
        <v>There are problems left leg cropped pants cropped problems, pants inside seam is biased, but unfortunately the return shipping is too expensive, will wear, pants very long, tall girls do not worry</v>
      </c>
    </row>
    <row r="11927">
      <c r="A11927" s="1">
        <v>1.0</v>
      </c>
      <c r="B11927" s="1" t="s">
        <v>11824</v>
      </c>
      <c r="C11927" t="str">
        <f>IFERROR(__xludf.DUMMYFUNCTION("GOOGLETRANSLATE(B11927, ""zh"", ""en"")"),"Or honest it turned eat calcium liquid calcium is like this, which is also called liquid ah ... I could not eat the capsule, open the capsule could not eat more ...")</f>
        <v>Or honest it turned eat calcium liquid calcium is like this, which is also called liquid ah ... I could not eat the capsule, open the capsule could not eat more ...</v>
      </c>
    </row>
    <row r="11928">
      <c r="A11928" s="1">
        <v>1.0</v>
      </c>
      <c r="B11928" s="1" t="s">
        <v>11825</v>
      </c>
      <c r="C11928" t="str">
        <f>IFERROR(__xludf.DUMMYFUNCTION("GOOGLETRANSLATE(B11928, ""zh"", ""en"")"),"Poor, very poor trash a product, assembling the Philippines, China strap, poor")</f>
        <v>Poor, very poor trash a product, assembling the Philippines, China strap, poor</v>
      </c>
    </row>
    <row r="11929">
      <c r="A11929" s="1">
        <v>4.0</v>
      </c>
      <c r="B11929" s="1" t="s">
        <v>11826</v>
      </c>
      <c r="C11929" t="str">
        <f>IFERROR(__xludf.DUMMYFUNCTION("GOOGLETRANSLATE(B11929, ""zh"", ""en"")"),"Specifically to buy smaller on the 1st to buy M number, wait for two weeks, arrival or too large, want to change my number S, would like to exchange messages Ha")</f>
        <v>Specifically to buy smaller on the 1st to buy M number, wait for two weeks, arrival or too large, want to change my number S, would like to exchange messages Ha</v>
      </c>
    </row>
    <row r="11930">
      <c r="A11930" s="1">
        <v>4.0</v>
      </c>
      <c r="B11930" s="1" t="s">
        <v>11827</v>
      </c>
      <c r="C11930" t="str">
        <f>IFERROR(__xludf.DUMMYFUNCTION("GOOGLETRANSLATE(B11930, ""zh"", ""en"")"),"Like a general sound quality in general, low-head headset is easy to fall down.")</f>
        <v>Like a general sound quality in general, low-head headset is easy to fall down.</v>
      </c>
    </row>
    <row r="11931">
      <c r="A11931" s="1">
        <v>4.0</v>
      </c>
      <c r="B11931" s="1" t="s">
        <v>11828</v>
      </c>
      <c r="C11931" t="str">
        <f>IFERROR(__xludf.DUMMYFUNCTION("GOOGLETRANSLATE(B11931, ""zh"", ""en"")"),"Open water boxes are broken broken, looks very old, the most important open plastic bags containing water normally do not second-hand, right?")</f>
        <v>Open water boxes are broken broken, looks very old, the most important open plastic bags containing water normally do not second-hand, right?</v>
      </c>
    </row>
    <row r="11932">
      <c r="A11932" s="1">
        <v>4.0</v>
      </c>
      <c r="B11932" s="1" t="s">
        <v>11829</v>
      </c>
      <c r="C11932" t="str">
        <f>IFERROR(__xludf.DUMMYFUNCTION("GOOGLETRANSLATE(B11932, ""zh"", ""en"")"),"B cup Gospel! The other two through a single product, have a good chance of cups, bought this piece. There is characterized by a small cup chest pad to elevate Asia I wear 80B, 36B occasional case European and American version of the cup is too large, the"&amp;" design is conducive to resolving this problem. Materials belonging to the ordinary silk fabric, perhaps slightly lower than a single half of the horizontal CK sold. Color invisible well, wearing tight white vest a little white through. Participated in th"&amp;"e prime probationary period, sent from the United States it took seven days. Additional: wear white underwear thickness of an ordinary light-colored clothes are through, you need two or three layers of thin section cotton shirt thickness to one hundred in"&amp;"visible, personal elastic T-shirt will show signs of the cup mouth. After 12 hours there will be a little wearing an empty cup phenomenon. Strenuous exercise, more active arm side straps relatively easy to slide, still true after adjustment.")</f>
        <v>B cup Gospel! The other two through a single product, have a good chance of cups, bought this piece. There is characterized by a small cup chest pad to elevate Asia I wear 80B, 36B occasional case European and American version of the cup is too large, the design is conducive to resolving this problem. Materials belonging to the ordinary silk fabric, perhaps slightly lower than a single half of the horizontal CK sold. Color invisible well, wearing tight white vest a little white through. Participated in the prime probationary period, sent from the United States it took seven days. Additional: wear white underwear thickness of an ordinary light-colored clothes are through, you need two or three layers of thin section cotton shirt thickness to one hundred invisible, personal elastic T-shirt will show signs of the cup mouth. After 12 hours there will be a little wearing an empty cup phenomenon. Strenuous exercise, more active arm side straps relatively easy to slide, still true after adjustment.</v>
      </c>
    </row>
    <row r="11933">
      <c r="A11933" s="1">
        <v>4.0</v>
      </c>
      <c r="B11933" s="1" t="s">
        <v>11830</v>
      </c>
      <c r="C11933" t="str">
        <f>IFERROR(__xludf.DUMMYFUNCTION("GOOGLETRANSLATE(B11933, ""zh"", ""en"")"),"One week of arrival, speed can also arrive a week can also speed, the clothes too large one yards, 176,70KG, M or slightly large, the proposed election of a smaller size")</f>
        <v>One week of arrival, speed can also arrive a week can also speed, the clothes too large one yards, 176,70KG, M or slightly large, the proposed election of a smaller size</v>
      </c>
    </row>
    <row r="11934">
      <c r="A11934" s="1">
        <v>5.0</v>
      </c>
      <c r="B11934" s="1" t="s">
        <v>11831</v>
      </c>
      <c r="C11934" t="str">
        <f>IFERROR(__xludf.DUMMYFUNCTION("GOOGLETRANSLATE(B11934, ""zh"", ""en"")"),"This large amount of inexpensive inclusive, no smell, very good quality.")</f>
        <v>This large amount of inexpensive inclusive, no smell, very good quality.</v>
      </c>
    </row>
    <row r="11935">
      <c r="A11935" s="1">
        <v>5.0</v>
      </c>
      <c r="B11935" s="1" t="s">
        <v>11832</v>
      </c>
      <c r="C11935" t="str">
        <f>IFERROR(__xludf.DUMMYFUNCTION("GOOGLETRANSLATE(B11935, ""zh"", ""en"")"),"Good very suitable wear M 172,70")</f>
        <v>Good very suitable wear M 172,70</v>
      </c>
    </row>
    <row r="11936">
      <c r="A11936" s="1">
        <v>5.0</v>
      </c>
      <c r="B11936" s="1" t="s">
        <v>11833</v>
      </c>
      <c r="C11936" t="str">
        <f>IFERROR(__xludf.DUMMYFUNCTION("GOOGLETRANSLATE(B11936, ""zh"", ""en"")"),"Meters have been heading overseas in the Amazon to buy their music never satisfied with the two pairs of men's shoes a year too")</f>
        <v>Meters have been heading overseas in the Amazon to buy their music never satisfied with the two pairs of men's shoes a year too</v>
      </c>
    </row>
    <row r="11937">
      <c r="A11937" s="1">
        <v>5.0</v>
      </c>
      <c r="B11937" s="1" t="s">
        <v>11834</v>
      </c>
      <c r="C11937" t="str">
        <f>IFERROR(__xludf.DUMMYFUNCTION("GOOGLETRANSLATE(B11937, ""zh"", ""en"")"),"Good shape, texture assured feel good, no smell, very clean pacifiers, baby bottles look cute, do not look very stable when placed in the bottom of a small, not fall, the baby will look like")</f>
        <v>Good shape, texture assured feel good, no smell, very clean pacifiers, baby bottles look cute, do not look very stable when placed in the bottom of a small, not fall, the baby will look like</v>
      </c>
    </row>
    <row r="11938">
      <c r="A11938" s="1">
        <v>5.0</v>
      </c>
      <c r="B11938" s="1" t="s">
        <v>11835</v>
      </c>
      <c r="C11938" t="str">
        <f>IFERROR(__xludf.DUMMYFUNCTION("GOOGLETRANSLATE(B11938, ""zh"", ""en"")"),"Made in China &lt;div id = ""video-block-R2WOV37WVTXJXX"" class = ""a-section a-spacing-small a-spacing-top-mini video-block""&gt; &lt;/ div&gt; &lt;input type = ""hidden"" name = "" ""value ="" https://images-cn.ssl-images-amazon.com/images/I/71Z4d+0xjmS.mp4 ""class ="&amp;""" video-url ""&gt; &lt;input type ="" hidden ""name ="" ""value = ""https://images-cn.ssl-images-amazon.com/images/I/91YW8+EPCRS.png"" class = ""video-slate-img-url""&gt; &amp; nbsp; to wear very comfortable shoes, but made in China, just I do not know whether it was"&amp;" sent back overseas, after all, pay the tax, see delivery details")</f>
        <v>Made in China &lt;div id = "video-block-R2WOV37WVTXJXX" class = "a-section a-spacing-small a-spacing-top-mini video-block"&gt; &lt;/ div&gt; &lt;input type = "hidden" name = " "value =" https://images-cn.ssl-images-amazon.com/images/I/71Z4d+0xjmS.mp4 "class =" video-url "&gt; &lt;input type =" hidden "name =" "value = "https://images-cn.ssl-images-amazon.com/images/I/91YW8+EPCRS.png" class = "video-slate-img-url"&gt; &amp; nbsp; to wear very comfortable shoes, but made in China, just I do not know whether it was sent back overseas, after all, pay the tax, see delivery details</v>
      </c>
    </row>
    <row r="11939">
      <c r="A11939" s="1">
        <v>5.0</v>
      </c>
      <c r="B11939" s="1" t="s">
        <v>11836</v>
      </c>
      <c r="C11939" t="str">
        <f>IFERROR(__xludf.DUMMYFUNCTION("GOOGLETRANSLATE(B11939, ""zh"", ""en"")"),"Five-star praise very much! Clothes inside a thin layer of domesticated hen, rice is white, the printing quality is also very good - chest wear very Western style ~")</f>
        <v>Five-star praise very much! Clothes inside a thin layer of domesticated hen, rice is white, the printing quality is also very good - chest wear very Western style ~</v>
      </c>
    </row>
    <row r="11940">
      <c r="A11940" s="1">
        <v>5.0</v>
      </c>
      <c r="B11940" s="1" t="s">
        <v>11837</v>
      </c>
      <c r="C11940" t="str">
        <f>IFERROR(__xludf.DUMMYFUNCTION("GOOGLETRANSLATE(B11940, ""zh"", ""en"")"),"Cheap, good service plus tax 108 yuan, cost-effective, upon receipt of the bottle pushed into the recess, contact customer service immediately after treatment, and after-sales service of Amazon's satisfaction.")</f>
        <v>Cheap, good service plus tax 108 yuan, cost-effective, upon receipt of the bottle pushed into the recess, contact customer service immediately after treatment, and after-sales service of Amazon's satisfaction.</v>
      </c>
    </row>
    <row r="11941">
      <c r="A11941" s="1">
        <v>5.0</v>
      </c>
      <c r="B11941" s="1" t="s">
        <v>11838</v>
      </c>
      <c r="C11941" t="str">
        <f>IFERROR(__xludf.DUMMYFUNCTION("GOOGLETRANSLATE(B11941, ""zh"", ""en"")"),"Help a friend buy a good stock, for girls 36 feet, very good yo!")</f>
        <v>Help a friend buy a good stock, for girls 36 feet, very good yo!</v>
      </c>
    </row>
    <row r="11942">
      <c r="A11942" s="1">
        <v>5.0</v>
      </c>
      <c r="B11942" s="1" t="s">
        <v>11839</v>
      </c>
      <c r="C11942" t="str">
        <f>IFERROR(__xludf.DUMMYFUNCTION("GOOGLETRANSLATE(B11942, ""zh"", ""en"")"),"Very nice shoes is really like and want to look good is to buy the usual code size is not particularly thin socks will not fall off a little too large or very right is the tongue of the tongue too long will feel design poked ankle A little uncomfortable.")</f>
        <v>Very nice shoes is really like and want to look good is to buy the usual code size is not particularly thin socks will not fall off a little too large or very right is the tongue of the tongue too long will feel design poked ankle A little uncomfortable.</v>
      </c>
    </row>
    <row r="11943">
      <c r="A11943" s="1">
        <v>5.0</v>
      </c>
      <c r="B11943" s="1" t="s">
        <v>11840</v>
      </c>
      <c r="C11943" t="str">
        <f>IFERROR(__xludf.DUMMYFUNCTION("GOOGLETRANSLATE(B11943, ""zh"", ""en"")"),"Very good right size, very good. Suitable L 1.78 m 136 kg")</f>
        <v>Very good right size, very good. Suitable L 1.78 m 136 kg</v>
      </c>
    </row>
    <row r="11944">
      <c r="A11944" s="1">
        <v>5.0</v>
      </c>
      <c r="B11944" s="1" t="s">
        <v>11841</v>
      </c>
      <c r="C11944" t="str">
        <f>IFERROR(__xludf.DUMMYFUNCTION("GOOGLETRANSLATE(B11944, ""zh"", ""en"")"),"Cool costume, like the first, good quality, second, good quality, third, good quality, important words three times. You know. I ordered it. I received it. I opened it. I tried it. Finally, I like it.")</f>
        <v>Cool costume, like the first, good quality, second, good quality, third, good quality, important words three times. You know. I ordered it. I received it. I opened it. I tried it. Finally, I like it.</v>
      </c>
    </row>
    <row r="11945">
      <c r="A11945" s="1">
        <v>5.0</v>
      </c>
      <c r="B11945" s="1" t="s">
        <v>11842</v>
      </c>
      <c r="C11945" t="str">
        <f>IFERROR(__xludf.DUMMYFUNCTION("GOOGLETRANSLATE(B11945, ""zh"", ""en"")"),"Bang Bang da usual 43, this 43 slightly loose, 42.5 estimated to be narrow, very comfortable.")</f>
        <v>Bang Bang da usual 43, this 43 slightly loose, 42.5 estimated to be narrow, very comfortable.</v>
      </c>
    </row>
    <row r="11946">
      <c r="A11946" s="1">
        <v>5.0</v>
      </c>
      <c r="B11946" s="1" t="s">
        <v>11843</v>
      </c>
      <c r="C11946" t="str">
        <f>IFERROR(__xludf.DUMMYFUNCTION("GOOGLETRANSLATE(B11946, ""zh"", ""en"")"),"Good quality of this kettle used for some time, better quality, with the Shuxin")</f>
        <v>Good quality of this kettle used for some time, better quality, with the Shuxin</v>
      </c>
    </row>
    <row r="11947">
      <c r="A11947" s="1">
        <v>5.0</v>
      </c>
      <c r="B11947" s="1" t="s">
        <v>11844</v>
      </c>
      <c r="C11947" t="str">
        <f>IFERROR(__xludf.DUMMYFUNCTION("GOOGLETRANSLATE(B11947, ""zh"", ""en"")"),"Like cotton very comfortable, 180 / 85kg, very appropriate!")</f>
        <v>Like cotton very comfortable, 180 / 85kg, very appropriate!</v>
      </c>
    </row>
    <row r="11948">
      <c r="A11948" s="1">
        <v>5.0</v>
      </c>
      <c r="B11948" s="1" t="s">
        <v>10681</v>
      </c>
      <c r="C11948" t="str">
        <f>IFERROR(__xludf.DUMMYFUNCTION("GOOGLETRANSLATE(B11948, ""zh"", ""en"")"),"Very good to wear sweater inside rendering clothing do very well!")</f>
        <v>Very good to wear sweater inside rendering clothing do very well!</v>
      </c>
    </row>
    <row r="11949">
      <c r="A11949" s="1">
        <v>5.0</v>
      </c>
      <c r="B11949" s="1" t="s">
        <v>11845</v>
      </c>
      <c r="C11949" t="str">
        <f>IFERROR(__xludf.DUMMYFUNCTION("GOOGLETRANSLATE(B11949, ""zh"", ""en"")"),"Yan pretty high value, there is no use!")</f>
        <v>Yan pretty high value, there is no use!</v>
      </c>
    </row>
    <row r="11950">
      <c r="A11950" s="1">
        <v>5.0</v>
      </c>
      <c r="B11950" s="1" t="s">
        <v>11846</v>
      </c>
      <c r="C11950" t="str">
        <f>IFERROR(__xludf.DUMMYFUNCTION("GOOGLETRANSLATE(B11950, ""zh"", ""en"")"),"A good product to buy for a few years, a good product")</f>
        <v>A good product to buy for a few years, a good product</v>
      </c>
    </row>
    <row r="11951">
      <c r="A11951" s="1">
        <v>5.0</v>
      </c>
      <c r="B11951" s="1" t="s">
        <v>11847</v>
      </c>
      <c r="C11951" t="str">
        <f>IFERROR(__xludf.DUMMYFUNCTION("GOOGLETRANSLATE(B11951, ""zh"", ""en"")"),"Satisfied with the texture of thick, consistent color and picture")</f>
        <v>Satisfied with the texture of thick, consistent color and picture</v>
      </c>
    </row>
    <row r="11952">
      <c r="A11952" s="1">
        <v>5.0</v>
      </c>
      <c r="B11952" s="1" t="s">
        <v>11848</v>
      </c>
      <c r="C11952" t="str">
        <f>IFERROR(__xludf.DUMMYFUNCTION("GOOGLETRANSLATE(B11952, ""zh"", ""en"")"),"Satisfied with the relatively thick impervious, not stuffy, air-conditioned rooms wear will not be cold.")</f>
        <v>Satisfied with the relatively thick impervious, not stuffy, air-conditioned rooms wear will not be cold.</v>
      </c>
    </row>
    <row r="11953">
      <c r="A11953" s="1">
        <v>5.0</v>
      </c>
      <c r="B11953" s="1" t="s">
        <v>11849</v>
      </c>
      <c r="C11953" t="str">
        <f>IFERROR(__xludf.DUMMYFUNCTION("GOOGLETRANSLATE(B11953, ""zh"", ""en"")"),"Casual, leather Liang, Italian production Italy production, material pretty for casual wear. Domestic business purses too, want to buy a leisure section, this just Hexin water.")</f>
        <v>Casual, leather Liang, Italian production Italy production, material pretty for casual wear. Domestic business purses too, want to buy a leisure section, this just Hexin water.</v>
      </c>
    </row>
    <row r="11954">
      <c r="A11954" s="1">
        <v>5.0</v>
      </c>
      <c r="B11954" s="1" t="s">
        <v>11850</v>
      </c>
      <c r="C11954" t="str">
        <f>IFERROR(__xludf.DUMMYFUNCTION("GOOGLETRANSLATE(B11954, ""zh"", ""en"")"),"Very good, very good, thick fabrics, too large one yard.")</f>
        <v>Very good, very good, thick fabrics, too large one yard.</v>
      </c>
    </row>
    <row r="11955">
      <c r="A11955" s="1">
        <v>5.0</v>
      </c>
      <c r="B11955" s="1" t="s">
        <v>11851</v>
      </c>
      <c r="C11955" t="str">
        <f>IFERROR(__xludf.DUMMYFUNCTION("GOOGLETRANSLATE(B11955, ""zh"", ""en"")"),"Well so as to be comfortable, thick business style, too much salted fish sold shoes out now think of it a little loss. This pair is really a high degree of comfort, it is recommended.")</f>
        <v>Well so as to be comfortable, thick business style, too much salted fish sold shoes out now think of it a little loss. This pair is really a high degree of comfort, it is recommended.</v>
      </c>
    </row>
    <row r="11956">
      <c r="A11956" s="1">
        <v>2.0</v>
      </c>
      <c r="B11956" s="1" t="s">
        <v>11852</v>
      </c>
      <c r="C11956" t="str">
        <f>IFERROR(__xludf.DUMMYFUNCTION("GOOGLETRANSLATE(B11956, ""zh"", ""en"")"),"Quality is not, but it took less than a month, even surface that layer of glue start stripping can also just start to feel like, but it took less than a month, even surface that layer of glue to start stripping, the quality is really not, but also to sell"&amp;" so expensive, too Kengren it")</f>
        <v>Quality is not, but it took less than a month, even surface that layer of glue start stripping can also just start to feel like, but it took less than a month, even surface that layer of glue to start stripping, the quality is really not, but also to sell so expensive, too Kengren it</v>
      </c>
    </row>
    <row r="11957">
      <c r="A11957" s="1">
        <v>3.0</v>
      </c>
      <c r="B11957" s="1" t="s">
        <v>11853</v>
      </c>
      <c r="C11957" t="str">
        <f>IFERROR(__xludf.DUMMYFUNCTION("GOOGLETRANSLATE(B11957, ""zh"", ""en"")"),"Fabric is a canvas, please note! Fabric certainly not the leather! ! ! ! Canvas! I'm disappointed this point, leather label is written, I do not know the translation problem or deliberately confusing. Shoes also good to see in this were barely received.")</f>
        <v>Fabric is a canvas, please note! Fabric certainly not the leather! ! ! ! Canvas! I'm disappointed this point, leather label is written, I do not know the translation problem or deliberately confusing. Shoes also good to see in this were barely received.</v>
      </c>
    </row>
    <row r="11958">
      <c r="A11958" s="1">
        <v>3.0</v>
      </c>
      <c r="B11958" s="1" t="s">
        <v>11854</v>
      </c>
      <c r="C11958" t="str">
        <f>IFERROR(__xludf.DUMMYFUNCTION("GOOGLETRANSLATE(B11958, ""zh"", ""en"")"),"No good strap dial, strap too hard, and soon the bad, hard to find matching strap")</f>
        <v>No good strap dial, strap too hard, and soon the bad, hard to find matching strap</v>
      </c>
    </row>
    <row r="11959">
      <c r="A11959" s="1">
        <v>1.0</v>
      </c>
      <c r="B11959" s="1" t="s">
        <v>11855</v>
      </c>
      <c r="C11959" t="str">
        <f>IFERROR(__xludf.DUMMYFUNCTION("GOOGLETRANSLATE(B11959, ""zh"", ""en"")"),"The title does not match the real goods is 785, with pictures and objects are 745. Too pit")</f>
        <v>The title does not match the real goods is 785, with pictures and objects are 745. Too pit</v>
      </c>
    </row>
    <row r="11960">
      <c r="A11960" s="1">
        <v>1.0</v>
      </c>
      <c r="B11960" s="1" t="s">
        <v>11856</v>
      </c>
      <c r="C11960" t="str">
        <f>IFERROR(__xludf.DUMMYFUNCTION("GOOGLETRANSLATE(B11960, ""zh"", ""en"")"),"Not leather, not give CK a star is more right? Ck counter this stuff and are not comparable, as It feels like leather, spread the goods ... I bought not cheap, pit father ...")</f>
        <v>Not leather, not give CK a star is more right? Ck counter this stuff and are not comparable, as It feels like leather, spread the goods ... I bought not cheap, pit father ...</v>
      </c>
    </row>
    <row r="11961">
      <c r="A11961" s="1">
        <v>1.0</v>
      </c>
      <c r="B11961" s="1" t="s">
        <v>11857</v>
      </c>
      <c r="C11961" t="str">
        <f>IFERROR(__xludf.DUMMYFUNCTION("GOOGLETRANSLATE(B11961, ""zh"", ""en"")"),"First try to break a hole, hey too thin! A hole on the first try, really do not know how to get. Atsugi thick section are good, this is not recommended")</f>
        <v>First try to break a hole, hey too thin! A hole on the first try, really do not know how to get. Atsugi thick section are good, this is not recommended</v>
      </c>
    </row>
    <row r="11962">
      <c r="A11962" s="1">
        <v>4.0</v>
      </c>
      <c r="B11962" s="1" t="s">
        <v>11858</v>
      </c>
      <c r="C11962" t="str">
        <f>IFERROR(__xludf.DUMMYFUNCTION("GOOGLETRANSLATE(B11962, ""zh"", ""en"")"),"Price good thing to accept was okay but did not imagine the texture of the price, after all, was there hugo boss in other countries just like our domestic Barney almost haha")</f>
        <v>Price good thing to accept was okay but did not imagine the texture of the price, after all, was there hugo boss in other countries just like our domestic Barney almost haha</v>
      </c>
    </row>
    <row r="11963">
      <c r="A11963" s="1">
        <v>4.0</v>
      </c>
      <c r="B11963" s="1" t="s">
        <v>11859</v>
      </c>
      <c r="C11963" t="str">
        <f>IFERROR(__xludf.DUMMYFUNCTION("GOOGLETRANSLATE(B11963, ""zh"", ""en"")"),"Cost-effective to buy a big point. Nike usually like to wear No. 10 United States Code, has said that the next check timberland shoe size too small, the results bought a number of 10.5, almost 1 big, a little tragedy. Oxford bottom very comfortable, upper"&amp;" layer inside feel spongy, soft and do not wear the foot. Nor imagined so heavy. After just one week to buy, very quickly.")</f>
        <v>Cost-effective to buy a big point. Nike usually like to wear No. 10 United States Code, has said that the next check timberland shoe size too small, the results bought a number of 10.5, almost 1 big, a little tragedy. Oxford bottom very comfortable, upper layer inside feel spongy, soft and do not wear the foot. Nor imagined so heavy. After just one week to buy, very quickly.</v>
      </c>
    </row>
    <row r="11964">
      <c r="A11964" s="1">
        <v>4.0</v>
      </c>
      <c r="B11964" s="1" t="s">
        <v>11860</v>
      </c>
      <c r="C11964" t="str">
        <f>IFERROR(__xludf.DUMMYFUNCTION("GOOGLETRANSLATE(B11964, ""zh"", ""en"")"),"One can start with a table with a component, the naked eye can easily see it; and second, I do not know why the list of goods only printed half.")</f>
        <v>One can start with a table with a component, the naked eye can easily see it; and second, I do not know why the list of goods only printed half.</v>
      </c>
    </row>
    <row r="11965">
      <c r="A11965" s="1">
        <v>4.0</v>
      </c>
      <c r="B11965" s="1" t="s">
        <v>11861</v>
      </c>
      <c r="C11965" t="str">
        <f>IFERROR(__xludf.DUMMYFUNCTION("GOOGLETRANSLATE(B11965, ""zh"", ""en"")"),"Size size is too big, usually wear M is recommended to buy S No.")</f>
        <v>Size size is too big, usually wear M is recommended to buy S No.</v>
      </c>
    </row>
    <row r="11966">
      <c r="A11966" s="1">
        <v>4.0</v>
      </c>
      <c r="B11966" s="1" t="s">
        <v>11862</v>
      </c>
      <c r="C11966" t="str">
        <f>IFERROR(__xludf.DUMMYFUNCTION("GOOGLETRANSLATE(B11966, ""zh"", ""en"")"),"Satisfaction exquisite pencil than domestic activities, great texture. Delivery speed quickly. satisfaction")</f>
        <v>Satisfaction exquisite pencil than domestic activities, great texture. Delivery speed quickly. satisfaction</v>
      </c>
    </row>
    <row r="11967">
      <c r="A11967" s="1">
        <v>5.0</v>
      </c>
      <c r="B11967" s="1" t="s">
        <v>11863</v>
      </c>
      <c r="C11967" t="str">
        <f>IFERROR(__xludf.DUMMYFUNCTION("GOOGLETRANSLATE(B11967, ""zh"", ""en"")"),"satisfaction! Logistics quickly, very satisfied with the shoes really good and cheap, but just wear soft leather foot wear is also easy, but fortunately did not buy hardcover")</f>
        <v>satisfaction! Logistics quickly, very satisfied with the shoes really good and cheap, but just wear soft leather foot wear is also easy, but fortunately did not buy hardcover</v>
      </c>
    </row>
    <row r="11968">
      <c r="A11968" s="1">
        <v>5.0</v>
      </c>
      <c r="B11968" s="1" t="s">
        <v>11864</v>
      </c>
      <c r="C11968" t="str">
        <f>IFERROR(__xludf.DUMMYFUNCTION("GOOGLETRANSLATE(B11968, ""zh"", ""en"")"),"Praise to the customer service staff one hundred years this is the best experience of shopping in the Amazon once. Customer service is really very good, very dedicated, very professional, always are for the sake of customers, to customer service out! Good"&amp;"s have been used for nearly a month, travel time is very accurate, error is not more than 15 seconds a month. A watch very good, very practical!")</f>
        <v>Praise to the customer service staff one hundred years this is the best experience of shopping in the Amazon once. Customer service is really very good, very dedicated, very professional, always are for the sake of customers, to customer service out! Goods have been used for nearly a month, travel time is very accurate, error is not more than 15 seconds a month. A watch very good, very practical!</v>
      </c>
    </row>
    <row r="11969">
      <c r="A11969" s="1">
        <v>5.0</v>
      </c>
      <c r="B11969" s="1" t="s">
        <v>11865</v>
      </c>
      <c r="C11969" t="str">
        <f>IFERROR(__xludf.DUMMYFUNCTION("GOOGLETRANSLATE(B11969, ""zh"", ""en"")"),"Nice, clean, excellent quality. Nice, clean, excellent quality.")</f>
        <v>Nice, clean, excellent quality. Nice, clean, excellent quality.</v>
      </c>
    </row>
    <row r="11970">
      <c r="A11970" s="1">
        <v>5.0</v>
      </c>
      <c r="B11970" s="1" t="s">
        <v>11866</v>
      </c>
      <c r="C11970" t="str">
        <f>IFERROR(__xludf.DUMMYFUNCTION("GOOGLETRANSLATE(B11970, ""zh"", ""en"")"),"It is convenient to use up the old section, the new logo is different, but does not affect the use, quality decent, mainly to facilitate, and cooking machine each have their own advantages, in short, value for money")</f>
        <v>It is convenient to use up the old section, the new logo is different, but does not affect the use, quality decent, mainly to facilitate, and cooking machine each have their own advantages, in short, value for money</v>
      </c>
    </row>
    <row r="11971">
      <c r="A11971" s="1">
        <v>5.0</v>
      </c>
      <c r="B11971" s="1" t="s">
        <v>11867</v>
      </c>
      <c r="C11971" t="str">
        <f>IFERROR(__xludf.DUMMYFUNCTION("GOOGLETRANSLATE(B11971, ""zh"", ""en"")"),"Good to see the baby now will not use")</f>
        <v>Good to see the baby now will not use</v>
      </c>
    </row>
    <row r="11972">
      <c r="A11972" s="1">
        <v>5.0</v>
      </c>
      <c r="B11972" s="1" t="s">
        <v>11868</v>
      </c>
      <c r="C11972" t="str">
        <f>IFERROR(__xludf.DUMMYFUNCTION("GOOGLETRANSLATE(B11972, ""zh"", ""en"")"),"Five-star praise unexpected surprises, positive goods, logistics fast, very good.")</f>
        <v>Five-star praise unexpected surprises, positive goods, logistics fast, very good.</v>
      </c>
    </row>
    <row r="11973">
      <c r="A11973" s="1">
        <v>5.0</v>
      </c>
      <c r="B11973" s="1" t="s">
        <v>11869</v>
      </c>
      <c r="C11973" t="str">
        <f>IFERROR(__xludf.DUMMYFUNCTION("GOOGLETRANSLATE(B11973, ""zh"", ""en"")"),"Buy normal shoe size Ann normal shoe size to buy big on the line, I was looking to buy the above comments, the actual or big.")</f>
        <v>Buy normal shoe size Ann normal shoe size to buy big on the line, I was looking to buy the above comments, the actual or big.</v>
      </c>
    </row>
    <row r="11974">
      <c r="A11974" s="1">
        <v>5.0</v>
      </c>
      <c r="B11974" s="1" t="s">
        <v>11870</v>
      </c>
      <c r="C11974" t="str">
        <f>IFERROR(__xludf.DUMMYFUNCTION("GOOGLETRANSLATE(B11974, ""zh"", ""en"")"),"Well baby I liked it, there is no smell")</f>
        <v>Well baby I liked it, there is no smell</v>
      </c>
    </row>
    <row r="11975">
      <c r="A11975" s="1">
        <v>5.0</v>
      </c>
      <c r="B11975" s="1" t="s">
        <v>11871</v>
      </c>
      <c r="C11975" t="str">
        <f>IFERROR(__xludf.DUMMYFUNCTION("GOOGLETRANSLATE(B11975, ""zh"", ""en"")"),"Good Awesome = ¯ω¯ = very comfortable 10 days look like it, buy a couple of days")</f>
        <v>Good Awesome = ¯ω¯ = very comfortable 10 days look like it, buy a couple of days</v>
      </c>
    </row>
    <row r="11976">
      <c r="A11976" s="1">
        <v>5.0</v>
      </c>
      <c r="B11976" s="1" t="s">
        <v>11872</v>
      </c>
      <c r="C11976" t="str">
        <f>IFERROR(__xludf.DUMMYFUNCTION("GOOGLETRANSLATE(B11976, ""zh"", ""en"")"),"Satisfaction is imported returned trouble, difficult to grasp the size of the purchase sweater good style, fabric, workmanship are very good, it is slightly larger point, almost cylindrical body, because belly protruding, xl just, should be selected accor"&amp;"ding to height L code, a little water shrink a little, little big. Imports returned to much trouble.")</f>
        <v>Satisfaction is imported returned trouble, difficult to grasp the size of the purchase sweater good style, fabric, workmanship are very good, it is slightly larger point, almost cylindrical body, because belly protruding, xl just, should be selected according to height L code, a little water shrink a little, little big. Imports returned to much trouble.</v>
      </c>
    </row>
    <row r="11977">
      <c r="A11977" s="1">
        <v>5.0</v>
      </c>
      <c r="B11977" s="1" t="s">
        <v>11873</v>
      </c>
      <c r="C11977" t="str">
        <f>IFERROR(__xludf.DUMMYFUNCTION("GOOGLETRANSLATE(B11977, ""zh"", ""en"")"),"It took a while is not bad. The price is acceptable.")</f>
        <v>It took a while is not bad. The price is acceptable.</v>
      </c>
    </row>
    <row r="11978">
      <c r="A11978" s="1">
        <v>5.0</v>
      </c>
      <c r="B11978" s="1" t="s">
        <v>11874</v>
      </c>
      <c r="C11978" t="str">
        <f>IFERROR(__xludf.DUMMYFUNCTION("GOOGLETRANSLATE(B11978, ""zh"", ""en"")"),"The quality of my day sweep one day drag, mopping machine is really working quietly, but more slowly, the master bedroom to rub an hour, dragged wet electrical charging times can probably work two and a half hour, 140-square-meter house halfway need to ch"&amp;"arge twice full power to drag finish.")</f>
        <v>The quality of my day sweep one day drag, mopping machine is really working quietly, but more slowly, the master bedroom to rub an hour, dragged wet electrical charging times can probably work two and a half hour, 140-square-meter house halfway need to charge twice full power to drag finish.</v>
      </c>
    </row>
    <row r="11979">
      <c r="A11979" s="1">
        <v>5.0</v>
      </c>
      <c r="B11979" s="1" t="s">
        <v>11875</v>
      </c>
      <c r="C11979" t="str">
        <f>IFERROR(__xludf.DUMMYFUNCTION("GOOGLETRANSLATE(B11979, ""zh"", ""en"")"),"Beyerdynamic headphones have liked dt990, with straight liked to see the pro version at an attractive price, could not help but cut hand, as a very good pro version of 250Ω.")</f>
        <v>Beyerdynamic headphones have liked dt990, with straight liked to see the pro version at an attractive price, could not help but cut hand, as a very good pro version of 250Ω.</v>
      </c>
    </row>
    <row r="11980">
      <c r="A11980" s="1">
        <v>5.0</v>
      </c>
      <c r="B11980" s="1" t="s">
        <v>11876</v>
      </c>
      <c r="C11980" t="str">
        <f>IFERROR(__xludf.DUMMYFUNCTION("GOOGLETRANSLATE(B11980, ""zh"", ""en"")"),"Good 175,75, m suitable for your reference. Quality is very good")</f>
        <v>Good 175,75, m suitable for your reference. Quality is very good</v>
      </c>
    </row>
    <row r="11981">
      <c r="A11981" s="1">
        <v>5.0</v>
      </c>
      <c r="B11981" s="1" t="s">
        <v>11877</v>
      </c>
      <c r="C11981" t="str">
        <f>IFERROR(__xludf.DUMMYFUNCTION("GOOGLETRANSLATE(B11981, ""zh"", ""en"")"),"Yes 162,53 kg, m can wear, s should be more personal")</f>
        <v>Yes 162,53 kg, m can wear, s should be more personal</v>
      </c>
    </row>
    <row r="11982">
      <c r="A11982" s="1">
        <v>5.0</v>
      </c>
      <c r="B11982" s="1" t="s">
        <v>11878</v>
      </c>
      <c r="C11982" t="str">
        <f>IFERROR(__xludf.DUMMYFUNCTION("GOOGLETRANSLATE(B11982, ""zh"", ""en"")"),"Lovely and other good hard, a good fly through customs quickly arrived, no taste, tried not leaking, very good")</f>
        <v>Lovely and other good hard, a good fly through customs quickly arrived, no taste, tried not leaking, very good</v>
      </c>
    </row>
    <row r="11983">
      <c r="A11983" s="1">
        <v>5.0</v>
      </c>
      <c r="B11983" s="1" t="s">
        <v>11879</v>
      </c>
      <c r="C11983" t="str">
        <f>IFERROR(__xludf.DUMMYFUNCTION("GOOGLETRANSLATE(B11983, ""zh"", ""en"")"),"Satisfied with the shoes light, comfortable, child's feet are slim type, wearing a very appropriate, like")</f>
        <v>Satisfied with the shoes light, comfortable, child's feet are slim type, wearing a very appropriate, like</v>
      </c>
    </row>
    <row r="11984">
      <c r="A11984" s="1">
        <v>5.0</v>
      </c>
      <c r="B11984" s="1" t="s">
        <v>11880</v>
      </c>
      <c r="C11984" t="str">
        <f>IFERROR(__xludf.DUMMYFUNCTION("GOOGLETRANSLATE(B11984, ""zh"", ""en"")"),"My first pirate ship u disk introduced by Zhang aunt to buy, read and write speed in general, but very anti-fall, anti-not waterproof not tried, in short, the price is still pretty value.")</f>
        <v>My first pirate ship u disk introduced by Zhang aunt to buy, read and write speed in general, but very anti-fall, anti-not waterproof not tried, in short, the price is still pretty value.</v>
      </c>
    </row>
    <row r="11985">
      <c r="A11985" s="1">
        <v>5.0</v>
      </c>
      <c r="B11985" s="1" t="s">
        <v>11881</v>
      </c>
      <c r="C11985" t="str">
        <f>IFERROR(__xludf.DUMMYFUNCTION("GOOGLETRANSLATE(B11985, ""zh"", ""en"")"),"After it is worth buying the pipe installation and testing work very well make a comment")</f>
        <v>After it is worth buying the pipe installation and testing work very well make a comment</v>
      </c>
    </row>
    <row r="11986">
      <c r="A11986" s="1">
        <v>5.0</v>
      </c>
      <c r="B11986" s="1" t="s">
        <v>6087</v>
      </c>
      <c r="C11986" t="str">
        <f>IFERROR(__xludf.DUMMYFUNCTION("GOOGLETRANSLATE(B11986, ""zh"", ""en"")"),"Number 160,98 pounds, wearing some big S, xs should buy good")</f>
        <v>Number 160,98 pounds, wearing some big S, xs should buy good</v>
      </c>
    </row>
    <row r="11987">
      <c r="A11987" s="1">
        <v>5.0</v>
      </c>
      <c r="B11987" s="1" t="s">
        <v>11882</v>
      </c>
      <c r="C11987" t="str">
        <f>IFERROR(__xludf.DUMMYFUNCTION("GOOGLETRANSLATE(B11987, ""zh"", ""en"")"),"Appropriate and practical. 177,65Kg, 30/32 in the right size, may be recommended buy larger waist 31/32.")</f>
        <v>Appropriate and practical. 177,65Kg, 30/32 in the right size, may be recommended buy larger waist 31/32.</v>
      </c>
    </row>
    <row r="11988">
      <c r="A11988" s="1">
        <v>5.0</v>
      </c>
      <c r="B11988" s="1" t="s">
        <v>11883</v>
      </c>
      <c r="C11988" t="str">
        <f>IFERROR(__xludf.DUMMYFUNCTION("GOOGLETRANSLATE(B11988, ""zh"", ""en"")"),"Very worthwhile to start, wished he could buy a few say this headset is 20 sound workmanship 3000, after the arrival, the sound quality is there the feeling of 3000, 20 work fear is a bit exaggerated, what materials are still very kind of, but subject to "&amp;"that era (1980s), the headset design is relatively old, but in fact very durable, how can toss. Comfortable enough to wear on, but because the weight is not so heavy, short-term Dai Dai does not matter, if there BOSE headphones that work and wear it I wil"&amp;"l sell 3000 under orders.")</f>
        <v>Very worthwhile to start, wished he could buy a few say this headset is 20 sound workmanship 3000, after the arrival, the sound quality is there the feeling of 3000, 20 work fear is a bit exaggerated, what materials are still very kind of, but subject to that era (1980s), the headset design is relatively old, but in fact very durable, how can toss. Comfortable enough to wear on, but because the weight is not so heavy, short-term Dai Dai does not matter, if there BOSE headphones that work and wear it I will sell 3000 under orders.</v>
      </c>
    </row>
    <row r="11989">
      <c r="A11989" s="1">
        <v>2.0</v>
      </c>
      <c r="B11989" s="1" t="s">
        <v>11884</v>
      </c>
      <c r="C11989" t="str">
        <f>IFERROR(__xludf.DUMMYFUNCTION("GOOGLETRANSLATE(B11989, ""zh"", ""en"")"),"Pay just received the goods. Identification is not cotton, to wear itching, it is recommended to wash before wearing. Long thin plate, I 170CM / 68KG, S No. wear sleeve length suitable size, the clothes wrapped around very tight, slightly longer.")</f>
        <v>Pay just received the goods. Identification is not cotton, to wear itching, it is recommended to wash before wearing. Long thin plate, I 170CM / 68KG, S No. wear sleeve length suitable size, the clothes wrapped around very tight, slightly longer.</v>
      </c>
    </row>
    <row r="11990">
      <c r="A11990" s="1">
        <v>3.0</v>
      </c>
      <c r="B11990" s="1" t="s">
        <v>11885</v>
      </c>
      <c r="C11990" t="str">
        <f>IFERROR(__xludf.DUMMYFUNCTION("GOOGLETRANSLATE(B11990, ""zh"", ""en"")"),"There still taste the taste of rubber after steam sterilization, the baby is not interested")</f>
        <v>There still taste the taste of rubber after steam sterilization, the baby is not interested</v>
      </c>
    </row>
    <row r="11991">
      <c r="A11991" s="1">
        <v>3.0</v>
      </c>
      <c r="B11991" s="1" t="s">
        <v>11886</v>
      </c>
      <c r="C11991" t="str">
        <f>IFERROR(__xludf.DUMMYFUNCTION("GOOGLETRANSLATE(B11991, ""zh"", ""en"")"),"Sound quality is not as good as K52 400 block, but with a very comfortable. Sound quality is not as good as K52 400 block, but with a very comfortable.")</f>
        <v>Sound quality is not as good as K52 400 block, but with a very comfortable. Sound quality is not as good as K52 400 block, but with a very comfortable.</v>
      </c>
    </row>
    <row r="11992">
      <c r="A11992" s="1">
        <v>3.0</v>
      </c>
      <c r="B11992" s="1" t="s">
        <v>11887</v>
      </c>
      <c r="C11992" t="str">
        <f>IFERROR(__xludf.DUMMYFUNCTION("GOOGLETRANSLATE(B11992, ""zh"", ""en"")"),"Color color, not black, blue black, does not look good. Color color, buy black, but partial blue-black, slightly thicker fabric, suitable for winter wear, 170cm, 70kg, squat little tight.")</f>
        <v>Color color, not black, blue black, does not look good. Color color, buy black, but partial blue-black, slightly thicker fabric, suitable for winter wear, 170cm, 70kg, squat little tight.</v>
      </c>
    </row>
    <row r="11993">
      <c r="A11993" s="1">
        <v>1.0</v>
      </c>
      <c r="B11993" s="1" t="s">
        <v>11888</v>
      </c>
      <c r="C11993" t="str">
        <f>IFERROR(__xludf.DUMMYFUNCTION("GOOGLETRANSLATE(B11993, ""zh"", ""en"")"),"Half a month, two weeks there is a black powder, as well as a black powder")</f>
        <v>Half a month, two weeks there is a black powder, as well as a black powder</v>
      </c>
    </row>
    <row r="11994">
      <c r="A11994" s="1">
        <v>1.0</v>
      </c>
      <c r="B11994" s="1" t="s">
        <v>11889</v>
      </c>
      <c r="C11994" t="str">
        <f>IFERROR(__xludf.DUMMYFUNCTION("GOOGLETRANSLATE(B11994, ""zh"", ""en"")"),"Size is not the cortex, not long rotten.")</f>
        <v>Size is not the cortex, not long rotten.</v>
      </c>
    </row>
    <row r="11995">
      <c r="A11995" s="1">
        <v>1.0</v>
      </c>
      <c r="B11995" s="1" t="s">
        <v>11890</v>
      </c>
      <c r="C11995" t="str">
        <f>IFERROR(__xludf.DUMMYFUNCTION("GOOGLETRANSLATE(B11995, ""zh"", ""en"")"),"Too expensive, too expensive, not worth, children do not like")</f>
        <v>Too expensive, too expensive, not worth, children do not like</v>
      </c>
    </row>
    <row r="11996">
      <c r="A11996" s="1">
        <v>4.0</v>
      </c>
      <c r="B11996" s="1" t="s">
        <v>11891</v>
      </c>
      <c r="C11996" t="str">
        <f>IFERROR(__xludf.DUMMYFUNCTION("GOOGLETRANSLATE(B11996, ""zh"", ""en"")"),"The product is good, it is to install a barrel a bit strenuous! The product is good, it is to install a barrel a bit strenuous!")</f>
        <v>The product is good, it is to install a barrel a bit strenuous! The product is good, it is to install a barrel a bit strenuous!</v>
      </c>
    </row>
    <row r="11997">
      <c r="A11997" s="1">
        <v>4.0</v>
      </c>
      <c r="B11997" s="1" t="s">
        <v>11892</v>
      </c>
      <c r="C11997" t="str">
        <f>IFERROR(__xludf.DUMMYFUNCTION("GOOGLETRANSLATE(B11997, ""zh"", ""en"")"),"Easy to use calligraphy is currently the main players, stout pole for girls or little, smoothness OK, comes with the ink bladder than Tupper Ling US and a lot of small, but the price is a lot cheaper.")</f>
        <v>Easy to use calligraphy is currently the main players, stout pole for girls or little, smoothness OK, comes with the ink bladder than Tupper Ling US and a lot of small, but the price is a lot cheaper.</v>
      </c>
    </row>
    <row r="11998">
      <c r="A11998" s="1">
        <v>4.0</v>
      </c>
      <c r="B11998" s="1" t="s">
        <v>11893</v>
      </c>
      <c r="C11998" t="str">
        <f>IFERROR(__xludf.DUMMYFUNCTION("GOOGLETRANSLATE(B11998, ""zh"", ""en"")"),"Good quality is also good")</f>
        <v>Good quality is also good</v>
      </c>
    </row>
    <row r="11999">
      <c r="A11999" s="1">
        <v>4.0</v>
      </c>
      <c r="B11999" s="1" t="s">
        <v>11894</v>
      </c>
      <c r="C11999" t="str">
        <f>IFERROR(__xludf.DUMMYFUNCTION("GOOGLETRANSLATE(B11999, ""zh"", ""en"")"),"Not suitable for children poorly designed, not very good bite children")</f>
        <v>Not suitable for children poorly designed, not very good bite children</v>
      </c>
    </row>
    <row r="12000">
      <c r="A12000" s="1">
        <v>4.0</v>
      </c>
      <c r="B12000" s="1" t="s">
        <v>5179</v>
      </c>
      <c r="C12000" t="str">
        <f>IFERROR(__xludf.DUMMYFUNCTION("GOOGLETRANSLATE(B12000, ""zh"", ""en"")"),"The material is not the same as before the previously bought, bought two sets of the members of the date, you receive the material found is not the same as before, thinner! But it is still very comfortable to wear")</f>
        <v>The material is not the same as before the previously bought, bought two sets of the members of the date, you receive the material found is not the same as before, thinner! But it is still very comfortable to wear</v>
      </c>
    </row>
    <row r="12001">
      <c r="A12001" s="1">
        <v>5.0</v>
      </c>
      <c r="B12001" s="1" t="s">
        <v>11895</v>
      </c>
      <c r="C12001" t="str">
        <f>IFERROR(__xludf.DUMMYFUNCTION("GOOGLETRANSLATE(B12001, ""zh"", ""en"")"),"Very good, super cost-effective to buy when prices are low to quickly buy back clean trial. Super-insulation effect is good, 100-degree water, 18 hours are still hot to drink can not be directly and let cool. 40 hours when water Wen Ganggang a good fit. C"&amp;"hinese production, but it is the Japanese version of Tiger mug like the vast majority are Chinese-made, fine quality. Work on the Thai-made feel inferior to India as detailed, but also very good, but the insulation effect is really first class. The key is"&amp;" price too appropriate, after tax increases are just over two hundred and sixty, a good deal. Prime Membership")</f>
        <v>Very good, super cost-effective to buy when prices are low to quickly buy back clean trial. Super-insulation effect is good, 100-degree water, 18 hours are still hot to drink can not be directly and let cool. 40 hours when water Wen Ganggang a good fit. Chinese production, but it is the Japanese version of Tiger mug like the vast majority are Chinese-made, fine quality. Work on the Thai-made feel inferior to India as detailed, but also very good, but the insulation effect is really first class. The key is price too appropriate, after tax increases are just over two hundred and sixty, a good deal. Prime Membership</v>
      </c>
    </row>
    <row r="12002">
      <c r="A12002" s="1">
        <v>5.0</v>
      </c>
      <c r="B12002" s="1" t="s">
        <v>11896</v>
      </c>
      <c r="C12002" t="str">
        <f>IFERROR(__xludf.DUMMYFUNCTION("GOOGLETRANSLATE(B12002, ""zh"", ""en"")"),"HUGO belt is quite good, work well, leather and belt buckles are very beautiful!")</f>
        <v>HUGO belt is quite good, work well, leather and belt buckles are very beautiful!</v>
      </c>
    </row>
    <row r="12003">
      <c r="A12003" s="1">
        <v>5.0</v>
      </c>
      <c r="B12003" s="1" t="s">
        <v>11897</v>
      </c>
      <c r="C12003" t="str">
        <f>IFERROR(__xludf.DUMMYFUNCTION("GOOGLETRANSLATE(B12003, ""zh"", ""en"")"),"Leather wallet can, consistent with the picture. Send male votes")</f>
        <v>Leather wallet can, consistent with the picture. Send male votes</v>
      </c>
    </row>
    <row r="12004">
      <c r="A12004" s="1">
        <v>5.0</v>
      </c>
      <c r="B12004" s="1" t="s">
        <v>11898</v>
      </c>
      <c r="C12004" t="str">
        <f>IFERROR(__xludf.DUMMYFUNCTION("GOOGLETRANSLATE(B12004, ""zh"", ""en"")"),"Good-looking children like, foot feeling are good colors")</f>
        <v>Good-looking children like, foot feeling are good colors</v>
      </c>
    </row>
    <row r="12005">
      <c r="A12005" s="1">
        <v>5.0</v>
      </c>
      <c r="B12005" s="1" t="s">
        <v>11899</v>
      </c>
      <c r="C12005" t="str">
        <f>IFERROR(__xludf.DUMMYFUNCTION("GOOGLETRANSLATE(B12005, ""zh"", ""en"")"),"Good comfortable, soft and comfortable to wear leather, as he expected")</f>
        <v>Good comfortable, soft and comfortable to wear leather, as he expected</v>
      </c>
    </row>
    <row r="12006">
      <c r="A12006" s="1">
        <v>5.0</v>
      </c>
      <c r="B12006" s="1" t="s">
        <v>11900</v>
      </c>
      <c r="C12006" t="str">
        <f>IFERROR(__xludf.DUMMYFUNCTION("GOOGLETRANSLATE(B12006, ""zh"", ""en"")"),"Stick lasted about two weeks, 37 yards wearing thin 4.5 yards slightly larger, but very comfortable on the whole, a good sense of the parcel.")</f>
        <v>Stick lasted about two weeks, 37 yards wearing thin 4.5 yards slightly larger, but very comfortable on the whole, a good sense of the parcel.</v>
      </c>
    </row>
    <row r="12007">
      <c r="A12007" s="1">
        <v>5.0</v>
      </c>
      <c r="B12007" s="1" t="s">
        <v>11901</v>
      </c>
      <c r="C12007" t="str">
        <f>IFERROR(__xludf.DUMMYFUNCTION("GOOGLETRANSLATE(B12007, ""zh"", ""en"")"),"Generally speaking the truth, their home belts in general, good shoes")</f>
        <v>Generally speaking the truth, their home belts in general, good shoes</v>
      </c>
    </row>
    <row r="12008">
      <c r="A12008" s="1">
        <v>5.0</v>
      </c>
      <c r="B12008" s="1" t="s">
        <v>11902</v>
      </c>
      <c r="C12008" t="str">
        <f>IFERROR(__xludf.DUMMYFUNCTION("GOOGLETRANSLATE(B12008, ""zh"", ""en"")"),"Good, very comfortable to wear, some slight tight, you can wear nice, very comfortable to wear, some slight tight, you can wear")</f>
        <v>Good, very comfortable to wear, some slight tight, you can wear nice, very comfortable to wear, some slight tight, you can wear</v>
      </c>
    </row>
    <row r="12009">
      <c r="A12009" s="1">
        <v>5.0</v>
      </c>
      <c r="B12009" s="1" t="s">
        <v>11903</v>
      </c>
      <c r="C12009" t="str">
        <f>IFERROR(__xludf.DUMMYFUNCTION("GOOGLETRANSLATE(B12009, ""zh"", ""en"")"),"J nice discount Sony Bluetooth headset Amazon is good, but have to wait a long time to buy overseas. Headset to the country is issued SF, super fast. Very good texture headset, Bluetooth is also great.")</f>
        <v>J nice discount Sony Bluetooth headset Amazon is good, but have to wait a long time to buy overseas. Headset to the country is issued SF, super fast. Very good texture headset, Bluetooth is also great.</v>
      </c>
    </row>
    <row r="12010">
      <c r="A12010" s="1">
        <v>5.0</v>
      </c>
      <c r="B12010" s="1" t="s">
        <v>11904</v>
      </c>
      <c r="C12010" t="str">
        <f>IFERROR(__xludf.DUMMYFUNCTION("GOOGLETRANSLATE(B12010, ""zh"", ""en"")"),"Like 174 cm, 75 kg, a little bit short, if you buy a freshman yards estimated to be more fat, the overall workmanship and color are good. I thought it was a cardigan, pullover is received.")</f>
        <v>Like 174 cm, 75 kg, a little bit short, if you buy a freshman yards estimated to be more fat, the overall workmanship and color are good. I thought it was a cardigan, pullover is received.</v>
      </c>
    </row>
    <row r="12011">
      <c r="A12011" s="1">
        <v>5.0</v>
      </c>
      <c r="B12011" s="1" t="s">
        <v>11905</v>
      </c>
      <c r="C12011" t="str">
        <f>IFERROR(__xludf.DUMMYFUNCTION("GOOGLETRANSLATE(B12011, ""zh"", ""en"")"),"Very good like really good to wear very comfortable shoes, 36 sports shoes 35 feet thinner size is: 3.5 M in older children is still a little big, like wearing a dress and shoes became big friends, but anyway, you can tie his shoes heavy case of child wat"&amp;"er will not slip ready to buy everyone to be a reference")</f>
        <v>Very good like really good to wear very comfortable shoes, 36 sports shoes 35 feet thinner size is: 3.5 M in older children is still a little big, like wearing a dress and shoes became big friends, but anyway, you can tie his shoes heavy case of child water will not slip ready to buy everyone to be a reference</v>
      </c>
    </row>
    <row r="12012">
      <c r="A12012" s="1">
        <v>5.0</v>
      </c>
      <c r="B12012" s="1" t="s">
        <v>11906</v>
      </c>
      <c r="C12012" t="str">
        <f>IFERROR(__xludf.DUMMYFUNCTION("GOOGLETRANSLATE(B12012, ""zh"", ""en"")"),"Appropriate code number, it is worth starting my usual sneakers 40, bought the appropriate code number, although the sole is relatively heavy, but the walk is quite comfortable, reasonably priced, it feels a week to, or faster")</f>
        <v>Appropriate code number, it is worth starting my usual sneakers 40, bought the appropriate code number, although the sole is relatively heavy, but the walk is quite comfortable, reasonably priced, it feels a week to, or faster</v>
      </c>
    </row>
    <row r="12013">
      <c r="A12013" s="1">
        <v>5.0</v>
      </c>
      <c r="B12013" s="1" t="s">
        <v>11907</v>
      </c>
      <c r="C12013" t="str">
        <f>IFERROR(__xludf.DUMMYFUNCTION("GOOGLETRANSLATE(B12013, ""zh"", ""en"")"),"After this part of the popular and dependable like a general, after receiving me get a little water directly on the edge of hair, and the quality really flattered, there is the side underpants leg too thick, very comfortable to wear If wearing a little th"&amp;"in pants will be very embarrassing, a large profile")</f>
        <v>After this part of the popular and dependable like a general, after receiving me get a little water directly on the edge of hair, and the quality really flattered, there is the side underpants leg too thick, very comfortable to wear If wearing a little thin pants will be very embarrassing, a large profile</v>
      </c>
    </row>
    <row r="12014">
      <c r="A12014" s="1">
        <v>5.0</v>
      </c>
      <c r="B12014" s="1" t="s">
        <v>11908</v>
      </c>
      <c r="C12014" t="str">
        <f>IFERROR(__xludf.DUMMYFUNCTION("GOOGLETRANSLATE(B12014, ""zh"", ""en"")"),"Note that the size of the corresponding tab 32c 70c, 32c corresponding to the commodity size table 70d, 70d should be selected 32d. Bra is a natural type, does not gather or collect Furu effect, suitable for summer wear light clothing.")</f>
        <v>Note that the size of the corresponding tab 32c 70c, 32c corresponding to the commodity size table 70d, 70d should be selected 32d. Bra is a natural type, does not gather or collect Furu effect, suitable for summer wear light clothing.</v>
      </c>
    </row>
    <row r="12015">
      <c r="A12015" s="1">
        <v>5.0</v>
      </c>
      <c r="B12015" s="1" t="s">
        <v>11909</v>
      </c>
      <c r="C12015" t="str">
        <f>IFERROR(__xludf.DUMMYFUNCTION("GOOGLETRANSLATE(B12015, ""zh"", ""en"")"),"Beyerdynamic Beyerdynamic DT770 PRO headset professional monitoring headphone (250 ohms .. 899 special catch, to live up to a day trip! It sounds great satisfaction tri-band, direct push are good!")</f>
        <v>Beyerdynamic Beyerdynamic DT770 PRO headset professional monitoring headphone (250 ohms .. 899 special catch, to live up to a day trip! It sounds great satisfaction tri-band, direct push are good!</v>
      </c>
    </row>
    <row r="12016">
      <c r="A12016" s="1">
        <v>5.0</v>
      </c>
      <c r="B12016" s="1" t="s">
        <v>11910</v>
      </c>
      <c r="C12016" t="str">
        <f>IFERROR(__xludf.DUMMYFUNCTION("GOOGLETRANSLATE(B12016, ""zh"", ""en"")"),"Young and old toothbrush soft fuzz comfortable using applicable")</f>
        <v>Young and old toothbrush soft fuzz comfortable using applicable</v>
      </c>
    </row>
    <row r="12017">
      <c r="A12017" s="1">
        <v>5.0</v>
      </c>
      <c r="B12017" s="1" t="s">
        <v>11911</v>
      </c>
      <c r="C12017" t="str">
        <f>IFERROR(__xludf.DUMMYFUNCTION("GOOGLETRANSLATE(B12017, ""zh"", ""en"")"),"Sucker bowl things can be, the packaging is not damaged.")</f>
        <v>Sucker bowl things can be, the packaging is not damaged.</v>
      </c>
    </row>
    <row r="12018">
      <c r="A12018" s="1">
        <v>5.0</v>
      </c>
      <c r="B12018" s="1" t="s">
        <v>11912</v>
      </c>
      <c r="C12018" t="str">
        <f>IFERROR(__xludf.DUMMYFUNCTION("GOOGLETRANSLATE(B12018, ""zh"", ""en"")"),"Very good! Use for a long time, and modern and simple style, although the material is hard plastic, but it did not feel cheap, and therefore the weight is very light pen, Parker did not like the heavy, hand feel very comfortable each pen cap part, the scr"&amp;"ew barrel, the suction tube design ink showed very fine design work, the nib writing feeling very well. Ink suction tube directly abandoned, accompanied by a disposable ink bag, barrel where one can put two ink bag, with a a preparation, ease of use. Like"&amp;" writing friends feel good. The high cost.")</f>
        <v>Very good! Use for a long time, and modern and simple style, although the material is hard plastic, but it did not feel cheap, and therefore the weight is very light pen, Parker did not like the heavy, hand feel very comfortable each pen cap part, the screw barrel, the suction tube design ink showed very fine design work, the nib writing feeling very well. Ink suction tube directly abandoned, accompanied by a disposable ink bag, barrel where one can put two ink bag, with a a preparation, ease of use. Like writing friends feel good. The high cost.</v>
      </c>
    </row>
    <row r="12019">
      <c r="A12019" s="1">
        <v>5.0</v>
      </c>
      <c r="B12019" s="1" t="s">
        <v>11913</v>
      </c>
      <c r="C12019" t="str">
        <f>IFERROR(__xludf.DUMMYFUNCTION("GOOGLETRANSLATE(B12019, ""zh"", ""en"")"),"Suitable! 175cm.68kg, like slightly loose points L, M should be tight some suitable")</f>
        <v>Suitable! 175cm.68kg, like slightly loose points L, M should be tight some suitable</v>
      </c>
    </row>
    <row r="12020">
      <c r="A12020" s="1">
        <v>5.0</v>
      </c>
      <c r="B12020" s="1" t="s">
        <v>11914</v>
      </c>
      <c r="C12020" t="str">
        <f>IFERROR(__xludf.DUMMYFUNCTION("GOOGLETRANSLATE(B12020, ""zh"", ""en"")"),"Fresh date, due to the large amount of my July 2018, the date is still pretty good. It is a big box, very, very cost-effective")</f>
        <v>Fresh date, due to the large amount of my July 2018, the date is still pretty good. It is a big box, very, very cost-effective</v>
      </c>
    </row>
    <row r="12021">
      <c r="A12021" s="1">
        <v>5.0</v>
      </c>
      <c r="B12021" s="1" t="s">
        <v>11915</v>
      </c>
      <c r="C12021" t="str">
        <f>IFERROR(__xludf.DUMMYFUNCTION("GOOGLETRANSLATE(B12021, ""zh"", ""en"")"),"Fortunately, good, very good. Cheaper, intends to buy the family")</f>
        <v>Fortunately, good, very good. Cheaper, intends to buy the family</v>
      </c>
    </row>
    <row r="12022">
      <c r="A12022" s="1">
        <v>5.0</v>
      </c>
      <c r="B12022" s="1" t="s">
        <v>11916</v>
      </c>
      <c r="C12022" t="str">
        <f>IFERROR(__xludf.DUMMYFUNCTION("GOOGLETRANSLATE(B12022, ""zh"", ""en"")"),"Easy to use very good shower. To feel a lot better looking than the state line.")</f>
        <v>Easy to use very good shower. To feel a lot better looking than the state line.</v>
      </c>
    </row>
    <row r="12023">
      <c r="A12023" s="1">
        <v>2.0</v>
      </c>
      <c r="B12023" s="1" t="s">
        <v>11917</v>
      </c>
      <c r="C12023" t="str">
        <f>IFERROR(__xludf.DUMMYFUNCTION("GOOGLETRANSLATE(B12023, ""zh"", ""en"")"),"Many thread a lot of lint, poor workmanship point")</f>
        <v>Many thread a lot of lint, poor workmanship point</v>
      </c>
    </row>
    <row r="12024">
      <c r="A12024" s="1">
        <v>3.0</v>
      </c>
      <c r="B12024" s="1" t="s">
        <v>11918</v>
      </c>
      <c r="C12024" t="str">
        <f>IFERROR(__xludf.DUMMYFUNCTION("GOOGLETRANSLATE(B12024, ""zh"", ""en"")"),"Not worth it easy to stick pan")</f>
        <v>Not worth it easy to stick pan</v>
      </c>
    </row>
    <row r="12025">
      <c r="A12025" s="1">
        <v>3.0</v>
      </c>
      <c r="B12025" s="1" t="s">
        <v>11919</v>
      </c>
      <c r="C12025" t="str">
        <f>IFERROR(__xludf.DUMMYFUNCTION("GOOGLETRANSLATE(B12025, ""zh"", ""en"")"),"Law-abiding ordinary material you did not need a little bit too long to go to sea Amoy law-abiding ordinary material it did not need a little bit too long to go to sea Amoy")</f>
        <v>Law-abiding ordinary material you did not need a little bit too long to go to sea Amoy law-abiding ordinary material it did not need a little bit too long to go to sea Amoy</v>
      </c>
    </row>
    <row r="12026">
      <c r="A12026" s="1">
        <v>3.0</v>
      </c>
      <c r="B12026" s="1" t="s">
        <v>11920</v>
      </c>
      <c r="C12026" t="str">
        <f>IFERROR(__xludf.DUMMYFUNCTION("GOOGLETRANSLATE(B12026, ""zh"", ""en"")"),"Carefully choose ah! You can only make do wear! First two heel shoes are not the same! Doubt is not the same shoe! Second, look at this thread I was drunk! Really can not buy things in the Amazon!")</f>
        <v>Carefully choose ah! You can only make do wear! First two heel shoes are not the same! Doubt is not the same shoe! Second, look at this thread I was drunk! Really can not buy things in the Amazon!</v>
      </c>
    </row>
    <row r="12027">
      <c r="A12027" s="1">
        <v>1.0</v>
      </c>
      <c r="B12027" s="1" t="s">
        <v>11921</v>
      </c>
      <c r="C12027" t="str">
        <f>IFERROR(__xludf.DUMMYFUNCTION("GOOGLETRANSLATE(B12027, ""zh"", ""en"")"),"BENY produced in India, cotton is thick. Underwear suture bad. Cost is not high. CK Armani brand is not good quality.")</f>
        <v>BENY produced in India, cotton is thick. Underwear suture bad. Cost is not high. CK Armani brand is not good quality.</v>
      </c>
    </row>
    <row r="12028">
      <c r="A12028" s="1">
        <v>1.0</v>
      </c>
      <c r="B12028" s="1" t="s">
        <v>11922</v>
      </c>
      <c r="C12028" t="str">
        <f>IFERROR(__xludf.DUMMYFUNCTION("GOOGLETRANSLATE(B12028, ""zh"", ""en"")"),"Serious doubts whether genuine serious doubts about the authenticity of this product! Bought two bottles of children from birth to three and a half months now eat every day, even physical examination seriously low bone density, sleep always wake up! After"&amp;" the change of the domestic ad drops for three days, sleeping problems woke significant improvement. Please do not drop from the Amazon sign up!")</f>
        <v>Serious doubts whether genuine serious doubts about the authenticity of this product! Bought two bottles of children from birth to three and a half months now eat every day, even physical examination seriously low bone density, sleep always wake up! After the change of the domestic ad drops for three days, sleeping problems woke significant improvement. Please do not drop from the Amazon sign up!</v>
      </c>
    </row>
    <row r="12029">
      <c r="A12029" s="1">
        <v>4.0</v>
      </c>
      <c r="B12029" s="1" t="s">
        <v>11923</v>
      </c>
      <c r="C12029" t="str">
        <f>IFERROR(__xludf.DUMMYFUNCTION("GOOGLETRANSLATE(B12029, ""zh"", ""en"")"),"Very comfortable to wear very comfortable, no deformation after washing")</f>
        <v>Very comfortable to wear very comfortable, no deformation after washing</v>
      </c>
    </row>
    <row r="12030">
      <c r="A12030" s="1">
        <v>4.0</v>
      </c>
      <c r="B12030" s="1" t="s">
        <v>11924</v>
      </c>
      <c r="C12030" t="str">
        <f>IFERROR(__xludf.DUMMYFUNCTION("GOOGLETRANSLATE(B12030, ""zh"", ""en"")"),"Very comfortable and comfort is very good, but easy to run the chest Oh")</f>
        <v>Very comfortable and comfort is very good, but easy to run the chest Oh</v>
      </c>
    </row>
    <row r="12031">
      <c r="A12031" s="1">
        <v>4.0</v>
      </c>
      <c r="B12031" s="1" t="s">
        <v>11925</v>
      </c>
      <c r="C12031" t="str">
        <f>IFERROR(__xludf.DUMMYFUNCTION("GOOGLETRANSLATE(B12031, ""zh"", ""en"")"),"The materials used and do not mind. Can also work, material very carefully, if not this makes sense on the value of 50 yuan.")</f>
        <v>The materials used and do not mind. Can also work, material very carefully, if not this makes sense on the value of 50 yuan.</v>
      </c>
    </row>
    <row r="12032">
      <c r="A12032" s="1">
        <v>4.0</v>
      </c>
      <c r="B12032" s="1" t="s">
        <v>11926</v>
      </c>
      <c r="C12032" t="str">
        <f>IFERROR(__xludf.DUMMYFUNCTION("GOOGLETRANSLATE(B12032, ""zh"", ""en"")"),"Protein tastes sweet taste good thick.")</f>
        <v>Protein tastes sweet taste good thick.</v>
      </c>
    </row>
    <row r="12033">
      <c r="A12033" s="1">
        <v>4.0</v>
      </c>
      <c r="B12033" s="1" t="s">
        <v>11927</v>
      </c>
      <c r="C12033" t="str">
        <f>IFERROR(__xludf.DUMMYFUNCTION("GOOGLETRANSLATE(B12033, ""zh"", ""en"")"),"Size wearing feel accurate, after wearing foot feeling adequate, but did not reach the kind of soft feel imagined.")</f>
        <v>Size wearing feel accurate, after wearing foot feeling adequate, but did not reach the kind of soft feel imagined.</v>
      </c>
    </row>
    <row r="12034">
      <c r="A12034" s="1">
        <v>5.0</v>
      </c>
      <c r="B12034" s="1" t="s">
        <v>11928</v>
      </c>
      <c r="C12034" t="str">
        <f>IFERROR(__xludf.DUMMYFUNCTION("GOOGLETRANSLATE(B12034, ""zh"", ""en"")"),"Do not forget a pair of shoes width. Originally inexpensive good thing, but too narrow, crowded feet. Only back. Which lasted several months, there is no refund, I ask the customer service immediately solved.")</f>
        <v>Do not forget a pair of shoes width. Originally inexpensive good thing, but too narrow, crowded feet. Only back. Which lasted several months, there is no refund, I ask the customer service immediately solved.</v>
      </c>
    </row>
    <row r="12035">
      <c r="A12035" s="1">
        <v>5.0</v>
      </c>
      <c r="B12035" s="1" t="s">
        <v>11929</v>
      </c>
      <c r="C12035" t="str">
        <f>IFERROR(__xludf.DUMMYFUNCTION("GOOGLETRANSLATE(B12035, ""zh"", ""en"")"),"Who is who knows everything scissors kitchen, no doubt, no rust, hands together")</f>
        <v>Who is who knows everything scissors kitchen, no doubt, no rust, hands together</v>
      </c>
    </row>
    <row r="12036">
      <c r="A12036" s="1">
        <v>5.0</v>
      </c>
      <c r="B12036" s="1" t="s">
        <v>11930</v>
      </c>
      <c r="C12036" t="str">
        <f>IFERROR(__xludf.DUMMYFUNCTION("GOOGLETRANSLATE(B12036, ""zh"", ""en"")"),"Used to buy a woman a woman, they said no problem.")</f>
        <v>Used to buy a woman a woman, they said no problem.</v>
      </c>
    </row>
    <row r="12037">
      <c r="A12037" s="1">
        <v>5.0</v>
      </c>
      <c r="B12037" s="1" t="s">
        <v>11931</v>
      </c>
      <c r="C12037" t="str">
        <f>IFERROR(__xludf.DUMMYFUNCTION("GOOGLETRANSLATE(B12037, ""zh"", ""en"")"),"Date relatively new, I want to help the knee. Before see a comment that there will soon expire, and buy, they also have to worry about this problem, after all, so far, is also back trouble, I bought this date also OK, hope to help my knee.")</f>
        <v>Date relatively new, I want to help the knee. Before see a comment that there will soon expire, and buy, they also have to worry about this problem, after all, so far, is also back trouble, I bought this date also OK, hope to help my knee.</v>
      </c>
    </row>
    <row r="12038">
      <c r="A12038" s="1">
        <v>5.0</v>
      </c>
      <c r="B12038" s="1" t="s">
        <v>11932</v>
      </c>
      <c r="C12038" t="str">
        <f>IFERROR(__xludf.DUMMYFUNCTION("GOOGLETRANSLATE(B12038, ""zh"", ""en"")"),"Very nice I spent almost two months, the timing precision. Waterproof performance. Fully meet the daily use.")</f>
        <v>Very nice I spent almost two months, the timing precision. Waterproof performance. Fully meet the daily use.</v>
      </c>
    </row>
    <row r="12039">
      <c r="A12039" s="1">
        <v>5.0</v>
      </c>
      <c r="B12039" s="1" t="s">
        <v>11933</v>
      </c>
      <c r="C12039" t="str">
        <f>IFERROR(__xludf.DUMMYFUNCTION("GOOGLETRANSLATE(B12039, ""zh"", ""en"")"),"Authentic 175cm, 85kg, wear section is appropriate.")</f>
        <v>Authentic 175cm, 85kg, wear section is appropriate.</v>
      </c>
    </row>
    <row r="12040">
      <c r="A12040" s="1">
        <v>5.0</v>
      </c>
      <c r="B12040" s="1" t="s">
        <v>11934</v>
      </c>
      <c r="C12040" t="str">
        <f>IFERROR(__xludf.DUMMYFUNCTION("GOOGLETRANSLATE(B12040, ""zh"", ""en"")"),"Love love is what I want, in particular, satisfaction")</f>
        <v>Love love is what I want, in particular, satisfaction</v>
      </c>
    </row>
    <row r="12041">
      <c r="A12041" s="1">
        <v>5.0</v>
      </c>
      <c r="B12041" s="1" t="s">
        <v>11935</v>
      </c>
      <c r="C12041" t="str">
        <f>IFERROR(__xludf.DUMMYFUNCTION("GOOGLETRANSLATE(B12041, ""zh"", ""en"")"),"Hard good, logistics violence. Bought two a not identify them, return to buy before a black no problem, bought a red. A comparison can be seen violent logistics. Hard disk bulge, not identify them. Hard disk drives are good, pity.")</f>
        <v>Hard good, logistics violence. Bought two a not identify them, return to buy before a black no problem, bought a red. A comparison can be seen violent logistics. Hard disk bulge, not identify them. Hard disk drives are good, pity.</v>
      </c>
    </row>
    <row r="12042">
      <c r="A12042" s="1">
        <v>5.0</v>
      </c>
      <c r="B12042" s="1" t="s">
        <v>11936</v>
      </c>
      <c r="C12042" t="str">
        <f>IFERROR(__xludf.DUMMYFUNCTION("GOOGLETRANSLATE(B12042, ""zh"", ""en"")"),"Praise compared the prices of domestic maternal stores, and indeed a lot cheaper, most of the key domestic sales are made in Korea, is not, this American original I am very satisfied, open the lid, there is no taste, as I see comments yet thought there wo"&amp;"uld be more obvious medical silicone taste, after receipt found no, I liked it, style is also very cute, put it down ah, my husband is also in love")</f>
        <v>Praise compared the prices of domestic maternal stores, and indeed a lot cheaper, most of the key domestic sales are made in Korea, is not, this American original I am very satisfied, open the lid, there is no taste, as I see comments yet thought there would be more obvious medical silicone taste, after receipt found no, I liked it, style is also very cute, put it down ah, my husband is also in love</v>
      </c>
    </row>
    <row r="12043">
      <c r="A12043" s="1">
        <v>5.0</v>
      </c>
      <c r="B12043" s="1" t="s">
        <v>11937</v>
      </c>
      <c r="C12043" t="str">
        <f>IFERROR(__xludf.DUMMYFUNCTION("GOOGLETRANSLATE(B12043, ""zh"", ""en"")"),"Want to practice running on a good foot, I did not know he was running posture varus or valgus, usually grinding lateral heel.")</f>
        <v>Want to practice running on a good foot, I did not know he was running posture varus or valgus, usually grinding lateral heel.</v>
      </c>
    </row>
    <row r="12044">
      <c r="A12044" s="1">
        <v>5.0</v>
      </c>
      <c r="B12044" s="1" t="s">
        <v>11938</v>
      </c>
      <c r="C12044" t="str">
        <f>IFERROR(__xludf.DUMMYFUNCTION("GOOGLETRANSLATE(B12044, ""zh"", ""en"")"),"Good good good good suitable to wear very casual ah")</f>
        <v>Good good good good suitable to wear very casual ah</v>
      </c>
    </row>
    <row r="12045">
      <c r="A12045" s="1">
        <v>5.0</v>
      </c>
      <c r="B12045" s="1" t="s">
        <v>11939</v>
      </c>
      <c r="C12045" t="str">
        <f>IFERROR(__xludf.DUMMYFUNCTION("GOOGLETRANSLATE(B12045, ""zh"", ""en"")"),"Good raincoats raincoats thin, breathable but generally, only at the point of light used.")</f>
        <v>Good raincoats raincoats thin, breathable but generally, only at the point of light used.</v>
      </c>
    </row>
    <row r="12046">
      <c r="A12046" s="1">
        <v>5.0</v>
      </c>
      <c r="B12046" s="1" t="s">
        <v>11940</v>
      </c>
      <c r="C12046" t="str">
        <f>IFERROR(__xludf.DUMMYFUNCTION("GOOGLETRANSLATE(B12046, ""zh"", ""en"")"),"Suitable size suitable size for height 160, weight 100 to wear. Fast delivery, price, material and comfortable to wear.")</f>
        <v>Suitable size suitable size for height 160, weight 100 to wear. Fast delivery, price, material and comfortable to wear.</v>
      </c>
    </row>
    <row r="12047">
      <c r="A12047" s="1">
        <v>5.0</v>
      </c>
      <c r="B12047" s="1" t="s">
        <v>11941</v>
      </c>
      <c r="C12047" t="str">
        <f>IFERROR(__xludf.DUMMYFUNCTION("GOOGLETRANSLATE(B12047, ""zh"", ""en"")"),"Very cost-effective price a good deal of good quality is genuine")</f>
        <v>Very cost-effective price a good deal of good quality is genuine</v>
      </c>
    </row>
    <row r="12048">
      <c r="A12048" s="1">
        <v>5.0</v>
      </c>
      <c r="B12048" s="1" t="s">
        <v>11942</v>
      </c>
      <c r="C12048" t="str">
        <f>IFERROR(__xludf.DUMMYFUNCTION("GOOGLETRANSLATE(B12048, ""zh"", ""en"")"),"Size Size freshman to two code quality can be")</f>
        <v>Size Size freshman to two code quality can be</v>
      </c>
    </row>
    <row r="12049">
      <c r="A12049" s="1">
        <v>5.0</v>
      </c>
      <c r="B12049" s="1" t="s">
        <v>11943</v>
      </c>
      <c r="C12049" t="str">
        <f>IFERROR(__xludf.DUMMYFUNCTION("GOOGLETRANSLATE(B12049, ""zh"", ""en"")"),"Good use, like ~ previously used, the results were good, the bottle design is very interesting, painted very comfortable, like ~")</f>
        <v>Good use, like ~ previously used, the results were good, the bottle design is very interesting, painted very comfortable, like ~</v>
      </c>
    </row>
    <row r="12050">
      <c r="A12050" s="1">
        <v>5.0</v>
      </c>
      <c r="B12050" s="1" t="s">
        <v>11944</v>
      </c>
      <c r="C12050" t="str">
        <f>IFERROR(__xludf.DUMMYFUNCTION("GOOGLETRANSLATE(B12050, ""zh"", ""en"")"),"E3000 is very resistant to listen, very comfortable to set e e sets to buy, did not expect the e3000 actually good to hear, very resistant to listen to the sound of low frequency atmosphere is very good, but it needs to have some front-end thrust, pushing"&amp;" a good sound will be transparent, do not push good would be boring, in general, very value, e sets very comfortable, the IF has been raised!")</f>
        <v>E3000 is very resistant to listen, very comfortable to set e e sets to buy, did not expect the e3000 actually good to hear, very resistant to listen to the sound of low frequency atmosphere is very good, but it needs to have some front-end thrust, pushing a good sound will be transparent, do not push good would be boring, in general, very value, e sets very comfortable, the IF has been raised!</v>
      </c>
    </row>
    <row r="12051">
      <c r="A12051" s="1">
        <v>5.0</v>
      </c>
      <c r="B12051" s="1" t="s">
        <v>11945</v>
      </c>
      <c r="C12051" t="str">
        <f>IFERROR(__xludf.DUMMYFUNCTION("GOOGLETRANSLATE(B12051, ""zh"", ""en"")"),"M sound good, quite like the little guy")</f>
        <v>M sound good, quite like the little guy</v>
      </c>
    </row>
    <row r="12052">
      <c r="A12052" s="1">
        <v>5.0</v>
      </c>
      <c r="B12052" s="1" t="s">
        <v>11946</v>
      </c>
      <c r="C12052" t="str">
        <f>IFERROR(__xludf.DUMMYFUNCTION("GOOGLETRANSLATE(B12052, ""zh"", ""en"")"),"Very comfortable, inexpensive three colors, there are three not the same texture, but overall very comfortable")</f>
        <v>Very comfortable, inexpensive three colors, there are three not the same texture, but overall very comfortable</v>
      </c>
    </row>
    <row r="12053">
      <c r="A12053" s="1">
        <v>5.0</v>
      </c>
      <c r="B12053" s="1" t="s">
        <v>11947</v>
      </c>
      <c r="C12053" t="str">
        <f>IFERROR(__xludf.DUMMYFUNCTION("GOOGLETRANSLATE(B12053, ""zh"", ""en"")"),"Stockpile little soft for three months or less, only one hole, with a stockpile")</f>
        <v>Stockpile little soft for three months or less, only one hole, with a stockpile</v>
      </c>
    </row>
    <row r="12054">
      <c r="A12054" s="1">
        <v>5.0</v>
      </c>
      <c r="B12054" s="1" t="s">
        <v>11948</v>
      </c>
      <c r="C12054" t="str">
        <f>IFERROR(__xludf.DUMMYFUNCTION("GOOGLETRANSLATE(B12054, ""zh"", ""en"")"),"Genuine, cost-effective production in Malaysia. Logistics can also accept, the United States came about ten days. Noise small volume than I expected little, read and write speed is normal.")</f>
        <v>Genuine, cost-effective production in Malaysia. Logistics can also accept, the United States came about ten days. Noise small volume than I expected little, read and write speed is normal.</v>
      </c>
    </row>
    <row r="12055">
      <c r="A12055" s="1">
        <v>2.0</v>
      </c>
      <c r="B12055" s="1" t="s">
        <v>11949</v>
      </c>
      <c r="C12055" t="str">
        <f>IFERROR(__xludf.DUMMYFUNCTION("GOOGLETRANSLATE(B12055, ""zh"", ""en"")"),"We recommend quality good point, do more suitable for Chinese people wear clothes. 175,75 kg wear M code exactly, but this dress quality in general, very rough, not suitable for Chinese people to wear.")</f>
        <v>We recommend quality good point, do more suitable for Chinese people wear clothes. 175,75 kg wear M code exactly, but this dress quality in general, very rough, not suitable for Chinese people to wear.</v>
      </c>
    </row>
    <row r="12056">
      <c r="A12056" s="1">
        <v>3.0</v>
      </c>
      <c r="B12056" s="1" t="s">
        <v>11950</v>
      </c>
      <c r="C12056" t="str">
        <f>IFERROR(__xludf.DUMMYFUNCTION("GOOGLETRANSLATE(B12056, ""zh"", ""en"")"),"Only for reference: 170/70 M equal to domestic XL. Only for reference: 170/70 M equal to domestic XL.")</f>
        <v>Only for reference: 170/70 M equal to domestic XL. Only for reference: 170/70 M equal to domestic XL.</v>
      </c>
    </row>
    <row r="12057">
      <c r="A12057" s="1">
        <v>3.0</v>
      </c>
      <c r="B12057" s="1" t="s">
        <v>11951</v>
      </c>
      <c r="C12057" t="str">
        <f>IFERROR(__xludf.DUMMYFUNCTION("GOOGLETRANSLATE(B12057, ""zh"", ""en"")"),"According to the size of the table is too big to buy, after receiving simply amazing, too, I think accordance with the usual wear code and then a small two yards should be about.")</f>
        <v>According to the size of the table is too big to buy, after receiving simply amazing, too, I think accordance with the usual wear code and then a small two yards should be about.</v>
      </c>
    </row>
    <row r="12058">
      <c r="A12058" s="1">
        <v>1.0</v>
      </c>
      <c r="B12058" s="1" t="s">
        <v>11952</v>
      </c>
      <c r="C12058" t="str">
        <f>IFERROR(__xludf.DUMMYFUNCTION("GOOGLETRANSLATE(B12058, ""zh"", ""en"")"),"too small! Boots on both sides of head asymmetry is obviously substandard! There are also so-so work! Good quality Reebok bought last time ah!")</f>
        <v>too small! Boots on both sides of head asymmetry is obviously substandard! There are also so-so work! Good quality Reebok bought last time ah!</v>
      </c>
    </row>
    <row r="12059">
      <c r="A12059" s="1">
        <v>1.0</v>
      </c>
      <c r="B12059" s="1" t="s">
        <v>11953</v>
      </c>
      <c r="C12059" t="str">
        <f>IFERROR(__xludf.DUMMYFUNCTION("GOOGLETRANSLATE(B12059, ""zh"", ""en"")"),"Goodbye, Amazon! This pantaloons who did not, just buy than to buy the good, the size serious discrepancies, said Slim, almost into the bell-bottoms, jeans worst online shopping once, only to give it away.")</f>
        <v>Goodbye, Amazon! This pantaloons who did not, just buy than to buy the good, the size serious discrepancies, said Slim, almost into the bell-bottoms, jeans worst online shopping once, only to give it away.</v>
      </c>
    </row>
    <row r="12060">
      <c r="A12060" s="1">
        <v>1.0</v>
      </c>
      <c r="B12060" s="1" t="s">
        <v>11954</v>
      </c>
      <c r="C12060" t="str">
        <f>IFERROR(__xludf.DUMMYFUNCTION("GOOGLETRANSLATE(B12060, ""zh"", ""en"")"),"very bad! very bad time shopping. Actually junk, no tag. Actually pass through, from the ball neck portion. A look that is worn. very bad!")</f>
        <v>very bad! very bad time shopping. Actually junk, no tag. Actually pass through, from the ball neck portion. A look that is worn. very bad!</v>
      </c>
    </row>
    <row r="12061">
      <c r="A12061" s="1">
        <v>4.0</v>
      </c>
      <c r="B12061" s="1" t="s">
        <v>11955</v>
      </c>
      <c r="C12061" t="str">
        <f>IFERROR(__xludf.DUMMYFUNCTION("GOOGLETRANSLATE(B12061, ""zh"", ""en"")"),"Cost-effective genuine, eight days of arrival, 175,72kg m just numbers")</f>
        <v>Cost-effective genuine, eight days of arrival, 175,72kg m just numbers</v>
      </c>
    </row>
    <row r="12062">
      <c r="A12062" s="1">
        <v>4.0</v>
      </c>
      <c r="B12062" s="1" t="s">
        <v>1392</v>
      </c>
      <c r="C12062" t="str">
        <f>IFERROR(__xludf.DUMMYFUNCTION("GOOGLETRANSLATE(B12062, ""zh"", ""en"")"),"The results were good height 170, weight 106, L code just wear")</f>
        <v>The results were good height 170, weight 106, L code just wear</v>
      </c>
    </row>
    <row r="12063">
      <c r="A12063" s="1">
        <v>4.0</v>
      </c>
      <c r="B12063" s="1" t="s">
        <v>11956</v>
      </c>
      <c r="C12063" t="str">
        <f>IFERROR(__xludf.DUMMYFUNCTION("GOOGLETRANSLATE(B12063, ""zh"", ""en"")"),"Shoes nice color, size is a little small shoes to wear 35, sports shoes to wear 36, bought the shoes my little toes squeeze in a little pain, a little feeling to buy a small")</f>
        <v>Shoes nice color, size is a little small shoes to wear 35, sports shoes to wear 36, bought the shoes my little toes squeeze in a little pain, a little feeling to buy a small</v>
      </c>
    </row>
    <row r="12064">
      <c r="A12064" s="1">
        <v>4.0</v>
      </c>
      <c r="B12064" s="1" t="s">
        <v>11957</v>
      </c>
      <c r="C12064" t="str">
        <f>IFERROR(__xludf.DUMMYFUNCTION("GOOGLETRANSLATE(B12064, ""zh"", ""en"")"),"Flavor is not vanilla taste ah no strawberry taste")</f>
        <v>Flavor is not vanilla taste ah no strawberry taste</v>
      </c>
    </row>
    <row r="12065">
      <c r="A12065" s="1">
        <v>5.0</v>
      </c>
      <c r="B12065" s="1" t="s">
        <v>11958</v>
      </c>
      <c r="C12065" t="str">
        <f>IFERROR(__xludf.DUMMYFUNCTION("GOOGLETRANSLATE(B12065, ""zh"", ""en"")"),"Good things, recommended to buy underwear ck within the leadership of the evaluation is very good, very affordable")</f>
        <v>Good things, recommended to buy underwear ck within the leadership of the evaluation is very good, very affordable</v>
      </c>
    </row>
    <row r="12066">
      <c r="A12066" s="1">
        <v>5.0</v>
      </c>
      <c r="B12066" s="1" t="s">
        <v>11959</v>
      </c>
      <c r="C12066" t="str">
        <f>IFERROR(__xludf.DUMMYFUNCTION("GOOGLETRANSLATE(B12066, ""zh"", ""en"")"),"Overseas can buy really good quality, really good buy overseas")</f>
        <v>Overseas can buy really good quality, really good buy overseas</v>
      </c>
    </row>
    <row r="12067">
      <c r="A12067" s="1">
        <v>5.0</v>
      </c>
      <c r="B12067" s="1" t="s">
        <v>11960</v>
      </c>
      <c r="C12067" t="str">
        <f>IFERROR(__xludf.DUMMYFUNCTION("GOOGLETRANSLATE(B12067, ""zh"", ""en"")"),"Very good straight version can also be suitable to wear to work. A bit like a very hard material jeans? I want to wear")</f>
        <v>Very good straight version can also be suitable to wear to work. A bit like a very hard material jeans? I want to wear</v>
      </c>
    </row>
    <row r="12068">
      <c r="A12068" s="1">
        <v>5.0</v>
      </c>
      <c r="B12068" s="1" t="s">
        <v>11961</v>
      </c>
      <c r="C12068" t="str">
        <f>IFERROR(__xludf.DUMMYFUNCTION("GOOGLETRANSLATE(B12068, ""zh"", ""en"")"),"The famous Sharaku 21K large torpedo, fine thread, gold-plated layer is very bright 21K famous Sharaku large torpedo (the word), the Japanese original goods. Pen body delicate thread, the clip tip and the gold plating layer is very light, delicate pattern"&amp;" on the pen tip. Confirmation display with pay to buy this pen money which will pay maintenance fees 3M2 trees a year, of course, to say that the tree is a small species of Japan, to the big tree is planted in the earth, we have enjoyed . We want to enhan"&amp;"ce environmental awareness.")</f>
        <v>The famous Sharaku 21K large torpedo, fine thread, gold-plated layer is very bright 21K famous Sharaku large torpedo (the word), the Japanese original goods. Pen body delicate thread, the clip tip and the gold plating layer is very light, delicate pattern on the pen tip. Confirmation display with pay to buy this pen money which will pay maintenance fees 3M2 trees a year, of course, to say that the tree is a small species of Japan, to the big tree is planted in the earth, we have enjoyed . We want to enhance environmental awareness.</v>
      </c>
    </row>
    <row r="12069">
      <c r="A12069" s="1">
        <v>5.0</v>
      </c>
      <c r="B12069" s="1" t="s">
        <v>11962</v>
      </c>
      <c r="C12069" t="str">
        <f>IFERROR(__xludf.DUMMYFUNCTION("GOOGLETRANSLATE(B12069, ""zh"", ""en"")"),"Beyond my accident is amazing it's black, turned out to be the kind of black light, the sun was a little more clever than ever before dark! I like it very much")</f>
        <v>Beyond my accident is amazing it's black, turned out to be the kind of black light, the sun was a little more clever than ever before dark! I like it very much</v>
      </c>
    </row>
    <row r="12070">
      <c r="A12070" s="1">
        <v>5.0</v>
      </c>
      <c r="B12070" s="1" t="s">
        <v>11963</v>
      </c>
      <c r="C12070" t="str">
        <f>IFERROR(__xludf.DUMMYFUNCTION("GOOGLETRANSLATE(B12070, ""zh"", ""en"")"),"Cost-effective good shoes.")</f>
        <v>Cost-effective good shoes.</v>
      </c>
    </row>
    <row r="12071">
      <c r="A12071" s="1">
        <v>5.0</v>
      </c>
      <c r="B12071" s="1" t="s">
        <v>11964</v>
      </c>
      <c r="C12071" t="str">
        <f>IFERROR(__xludf.DUMMYFUNCTION("GOOGLETRANSLATE(B12071, ""zh"", ""en"")"),"Especially good-looking cup, the insulation effect is also good! Especially good-looking cup, the insulation effect is also good!")</f>
        <v>Especially good-looking cup, the insulation effect is also good! Especially good-looking cup, the insulation effect is also good!</v>
      </c>
    </row>
    <row r="12072">
      <c r="A12072" s="1">
        <v>5.0</v>
      </c>
      <c r="B12072" s="1" t="s">
        <v>11965</v>
      </c>
      <c r="C12072" t="str">
        <f>IFERROR(__xludf.DUMMYFUNCTION("GOOGLETRANSLATE(B12072, ""zh"", ""en"")"),"Yes! Very good, cheaper than domestic")</f>
        <v>Yes! Very good, cheaper than domestic</v>
      </c>
    </row>
    <row r="12073">
      <c r="A12073" s="1">
        <v>5.0</v>
      </c>
      <c r="B12073" s="1" t="s">
        <v>11966</v>
      </c>
      <c r="C12073" t="str">
        <f>IFERROR(__xludf.DUMMYFUNCTION("GOOGLETRANSLATE(B12073, ""zh"", ""en"")"),"Inexpensive wear for a month, I was wearing jogging, swimming, mountains, affordable watches. Also back my $ 49 tax.")</f>
        <v>Inexpensive wear for a month, I was wearing jogging, swimming, mountains, affordable watches. Also back my $ 49 tax.</v>
      </c>
    </row>
    <row r="12074">
      <c r="A12074" s="1">
        <v>5.0</v>
      </c>
      <c r="B12074" s="1" t="s">
        <v>11967</v>
      </c>
      <c r="C12074" t="str">
        <f>IFERROR(__xludf.DUMMYFUNCTION("GOOGLETRANSLATE(B12074, ""zh"", ""en"")"),"Size size is just right, the version is also good")</f>
        <v>Size size is just right, the version is also good</v>
      </c>
    </row>
    <row r="12075">
      <c r="A12075" s="1">
        <v>5.0</v>
      </c>
      <c r="B12075" s="1" t="s">
        <v>11968</v>
      </c>
      <c r="C12075" t="str">
        <f>IFERROR(__xludf.DUMMYFUNCTION("GOOGLETRANSLATE(B12075, ""zh"", ""en"")"),"Very comfortable to wear very comfortable feeling. Ecco shoes I wear 40 yards, 41 yards, this is also quite appropriate.")</f>
        <v>Very comfortable to wear very comfortable feeling. Ecco shoes I wear 40 yards, 41 yards, this is also quite appropriate.</v>
      </c>
    </row>
    <row r="12076">
      <c r="A12076" s="1">
        <v>5.0</v>
      </c>
      <c r="B12076" s="1" t="s">
        <v>11969</v>
      </c>
      <c r="C12076" t="str">
        <f>IFERROR(__xludf.DUMMYFUNCTION("GOOGLETRANSLATE(B12076, ""zh"", ""en"")"),"Buy the wrong size according to the size of the domestic big ...... ...... result if there is a clearer size table just fine")</f>
        <v>Buy the wrong size according to the size of the domestic big ...... ...... result if there is a clearer size table just fine</v>
      </c>
    </row>
    <row r="12077">
      <c r="A12077" s="1">
        <v>5.0</v>
      </c>
      <c r="B12077" s="1" t="s">
        <v>11970</v>
      </c>
      <c r="C12077" t="str">
        <f>IFERROR(__xludf.DUMMYFUNCTION("GOOGLETRANSLATE(B12077, ""zh"", ""en"")"),"Simple good good feature is the simple red hands were black like me function")</f>
        <v>Simple good good feature is the simple red hands were black like me function</v>
      </c>
    </row>
    <row r="12078">
      <c r="A12078" s="1">
        <v>5.0</v>
      </c>
      <c r="B12078" s="1" t="s">
        <v>11971</v>
      </c>
      <c r="C12078" t="str">
        <f>IFERROR(__xludf.DUMMYFUNCTION("GOOGLETRANSLATE(B12078, ""zh"", ""en"")"),"Microphone microphone did not sound ah, the top method also tried to plug what he ask for help to solve the multi-tight ...")</f>
        <v>Microphone microphone did not sound ah, the top method also tried to plug what he ask for help to solve the multi-tight ...</v>
      </c>
    </row>
    <row r="12079">
      <c r="A12079" s="1">
        <v>5.0</v>
      </c>
      <c r="B12079" s="1" t="s">
        <v>11972</v>
      </c>
      <c r="C12079" t="str">
        <f>IFERROR(__xludf.DUMMYFUNCTION("GOOGLETRANSLATE(B12079, ""zh"", ""en"")"),"it is good! Freight is too expensive! Thin wool. Usually XL, the number M is selected from exactly.")</f>
        <v>it is good! Freight is too expensive! Thin wool. Usually XL, the number M is selected from exactly.</v>
      </c>
    </row>
    <row r="12080">
      <c r="A12080" s="1">
        <v>5.0</v>
      </c>
      <c r="B12080" s="1" t="s">
        <v>11973</v>
      </c>
      <c r="C12080" t="str">
        <f>IFERROR(__xludf.DUMMYFUNCTION("GOOGLETRANSLATE(B12080, ""zh"", ""en"")"),"Good love, good quality, l just numbers")</f>
        <v>Good love, good quality, l just numbers</v>
      </c>
    </row>
    <row r="12081">
      <c r="A12081" s="1">
        <v>5.0</v>
      </c>
      <c r="B12081" s="1" t="s">
        <v>11974</v>
      </c>
      <c r="C12081" t="str">
        <f>IFERROR(__xludf.DUMMYFUNCTION("GOOGLETRANSLATE(B12081, ""zh"", ""en"")"),"Genuine champions like fabric and elastic is not very thick, very satisfied")</f>
        <v>Genuine champions like fabric and elastic is not very thick, very satisfied</v>
      </c>
    </row>
    <row r="12082">
      <c r="A12082" s="1">
        <v>5.0</v>
      </c>
      <c r="B12082" s="1" t="s">
        <v>11975</v>
      </c>
      <c r="C12082" t="str">
        <f>IFERROR(__xludf.DUMMYFUNCTION("GOOGLETRANSLATE(B12082, ""zh"", ""en"")"),"Well satisfied, when the sweets, but also vitamin supplements")</f>
        <v>Well satisfied, when the sweets, but also vitamin supplements</v>
      </c>
    </row>
    <row r="12083">
      <c r="A12083" s="1">
        <v>5.0</v>
      </c>
      <c r="B12083" s="1" t="s">
        <v>11976</v>
      </c>
      <c r="C12083" t="str">
        <f>IFERROR(__xludf.DUMMYFUNCTION("GOOGLETRANSLATE(B12083, ""zh"", ""en"")"),"Province than domestic prices, good quality looks good ha ha overseas Chinese manufacturing blue slip of the lap back, still cheaper than domestic")</f>
        <v>Province than domestic prices, good quality looks good ha ha overseas Chinese manufacturing blue slip of the lap back, still cheaper than domestic</v>
      </c>
    </row>
    <row r="12084">
      <c r="A12084" s="1">
        <v>5.0</v>
      </c>
      <c r="B12084" s="1" t="s">
        <v>11977</v>
      </c>
      <c r="C12084" t="str">
        <f>IFERROR(__xludf.DUMMYFUNCTION("GOOGLETRANSLATE(B12084, ""zh"", ""en"")"),"Very soft and very comfortable! Very, very comfortable pair of jeans! ! Cheap! ! Very soft and comfortable, it is worth buying again! ! !")</f>
        <v>Very soft and very comfortable! Very, very comfortable pair of jeans! ! Cheap! ! Very soft and comfortable, it is worth buying again! ! !</v>
      </c>
    </row>
    <row r="12085">
      <c r="A12085" s="1">
        <v>5.0</v>
      </c>
      <c r="B12085" s="1" t="s">
        <v>11978</v>
      </c>
      <c r="C12085" t="str">
        <f>IFERROR(__xludf.DUMMYFUNCTION("GOOGLETRANSLATE(B12085, ""zh"", ""en"")"),"Absolutely easy to use Amazon to buy the real thing, with a few months to evaluate, very good. And ink together to buy, very cost-effective, with the ink cartridges in a long time, and very smooth. Value.")</f>
        <v>Absolutely easy to use Amazon to buy the real thing, with a few months to evaluate, very good. And ink together to buy, very cost-effective, with the ink cartridges in a long time, and very smooth. Value.</v>
      </c>
    </row>
    <row r="12086">
      <c r="A12086" s="1">
        <v>5.0</v>
      </c>
      <c r="B12086" s="1" t="s">
        <v>11979</v>
      </c>
      <c r="C12086" t="str">
        <f>IFERROR(__xludf.DUMMYFUNCTION("GOOGLETRANSLATE(B12086, ""zh"", ""en"")"),"Good stuff is very good, is a little loose type pants, good quality, summer wear little thick, I like")</f>
        <v>Good stuff is very good, is a little loose type pants, good quality, summer wear little thick, I like</v>
      </c>
    </row>
    <row r="12087">
      <c r="A12087" s="1">
        <v>2.0</v>
      </c>
      <c r="B12087" s="1" t="s">
        <v>11980</v>
      </c>
      <c r="C12087" t="str">
        <f>IFERROR(__xludf.DUMMYFUNCTION("GOOGLETRANSLATE(B12087, ""zh"", ""en"")"),"Bit rubbish too, I feel. Then more garbage, do not dare to wear, the kind of thin.")</f>
        <v>Bit rubbish too, I feel. Then more garbage, do not dare to wear, the kind of thin.</v>
      </c>
    </row>
    <row r="12088">
      <c r="A12088" s="1">
        <v>3.0</v>
      </c>
      <c r="B12088" s="1" t="s">
        <v>11981</v>
      </c>
      <c r="C12088" t="str">
        <f>IFERROR(__xludf.DUMMYFUNCTION("GOOGLETRANSLATE(B12088, ""zh"", ""en"")"),"Really too small is too small, I think that all children with small, when the cup is also small. We have a return")</f>
        <v>Really too small is too small, I think that all children with small, when the cup is also small. We have a return</v>
      </c>
    </row>
    <row r="12089">
      <c r="A12089" s="1">
        <v>3.0</v>
      </c>
      <c r="B12089" s="1" t="s">
        <v>11982</v>
      </c>
      <c r="C12089" t="str">
        <f>IFERROR(__xludf.DUMMYFUNCTION("GOOGLETRANSLATE(B12089, ""zh"", ""en"")"),"Quality in general, there is a difference with the domestic counter India's production, packaging is really simple, just out feeling pretty good fabric, to wear two fabrics to pilling, and the Indians do not know because technology can not, or do not buy "&amp;"genuine.")</f>
        <v>Quality in general, there is a difference with the domestic counter India's production, packaging is really simple, just out feeling pretty good fabric, to wear two fabrics to pilling, and the Indians do not know because technology can not, or do not buy genuine.</v>
      </c>
    </row>
    <row r="12090">
      <c r="A12090" s="1">
        <v>3.0</v>
      </c>
      <c r="B12090" s="1" t="s">
        <v>11983</v>
      </c>
      <c r="C12090" t="str">
        <f>IFERROR(__xludf.DUMMYFUNCTION("GOOGLETRANSLATE(B12090, ""zh"", ""en"")"),"Table belt material bad table belt material bad, too hard, poor experience, dial the general")</f>
        <v>Table belt material bad table belt material bad, too hard, poor experience, dial the general</v>
      </c>
    </row>
    <row r="12091">
      <c r="A12091" s="1">
        <v>1.0</v>
      </c>
      <c r="B12091" s="1" t="s">
        <v>11984</v>
      </c>
      <c r="C12091" t="str">
        <f>IFERROR(__xludf.DUMMYFUNCTION("GOOGLETRANSLATE(B12091, ""zh"", ""en"")"),"Amazon rubbish! Chinese people challenge the bottom line! Get out of China! forever and always! Amazon has been selected from high school, but now you challenge my bottom line, shouting his mouth every day to democracy, not to politicize the matter. But w"&amp;"hat do you own? Roll it, garbage Amazon. China then how you fail to get a US electricity supplier to find fault! Hong Kong belongs to China! You drive the mob boss of the United States is a democratic police is not it! Garbage, roll!")</f>
        <v>Amazon rubbish! Chinese people challenge the bottom line! Get out of China! forever and always! Amazon has been selected from high school, but now you challenge my bottom line, shouting his mouth every day to democracy, not to politicize the matter. But what do you own? Roll it, garbage Amazon. China then how you fail to get a US electricity supplier to find fault! Hong Kong belongs to China! You drive the mob boss of the United States is a democratic police is not it! Garbage, roll!</v>
      </c>
    </row>
    <row r="12092">
      <c r="A12092" s="1">
        <v>1.0</v>
      </c>
      <c r="B12092" s="1" t="s">
        <v>11985</v>
      </c>
      <c r="C12092" t="str">
        <f>IFERROR(__xludf.DUMMYFUNCTION("GOOGLETRANSLATE(B12092, ""zh"", ""en"")"),"Not good, not good")</f>
        <v>Not good, not good</v>
      </c>
    </row>
    <row r="12093">
      <c r="A12093" s="1">
        <v>4.0</v>
      </c>
      <c r="B12093" s="1" t="s">
        <v>11986</v>
      </c>
      <c r="C12093" t="str">
        <f>IFERROR(__xludf.DUMMYFUNCTION("GOOGLETRANSLATE(B12093, ""zh"", ""en"")"),"Top does not heat the mug has received, is outside the top quarter of the local warm feeling, is not holding it at the top")</f>
        <v>Top does not heat the mug has received, is outside the top quarter of the local warm feeling, is not holding it at the top</v>
      </c>
    </row>
    <row r="12094">
      <c r="A12094" s="1">
        <v>4.0</v>
      </c>
      <c r="B12094" s="1" t="s">
        <v>11987</v>
      </c>
      <c r="C12094" t="str">
        <f>IFERROR(__xludf.DUMMYFUNCTION("GOOGLETRANSLATE(B12094, ""zh"", ""en"")"),"Code number usually wear L code, this bought a M code, the result was a lot of big, too lazy to back, waste")</f>
        <v>Code number usually wear L code, this bought a M code, the result was a lot of big, too lazy to back, waste</v>
      </c>
    </row>
    <row r="12095">
      <c r="A12095" s="1">
        <v>4.0</v>
      </c>
      <c r="B12095" s="1" t="s">
        <v>11988</v>
      </c>
      <c r="C12095" t="str">
        <f>IFERROR(__xludf.DUMMYFUNCTION("GOOGLETRANSLATE(B12095, ""zh"", ""en"")"),"Just a good quality face a somewhat wide a too fine, not accustomed to eating.")</f>
        <v>Just a good quality face a somewhat wide a too fine, not accustomed to eating.</v>
      </c>
    </row>
    <row r="12096">
      <c r="A12096" s="1">
        <v>4.0</v>
      </c>
      <c r="B12096" s="1" t="s">
        <v>11989</v>
      </c>
      <c r="C12096" t="str">
        <f>IFERROR(__xludf.DUMMYFUNCTION("GOOGLETRANSLATE(B12096, ""zh"", ""en"")"),"After buying on price! ! ! Fat foot freshman election code remember!")</f>
        <v>After buying on price! ! ! Fat foot freshman election code remember!</v>
      </c>
    </row>
    <row r="12097">
      <c r="A12097" s="1">
        <v>4.0</v>
      </c>
      <c r="B12097" s="1" t="s">
        <v>11990</v>
      </c>
      <c r="C12097" t="str">
        <f>IFERROR(__xludf.DUMMYFUNCTION("GOOGLETRANSLATE(B12097, ""zh"", ""en"")"),"This dress clothes to 80 bar a little taste, logo is printed, my height 172cm, weight 74kg, Bust 102cm, buy m code, just the length of clothes, a little a little bit tight, wearing also can be, may Slim version of it is.")</f>
        <v>This dress clothes to 80 bar a little taste, logo is printed, my height 172cm, weight 74kg, Bust 102cm, buy m code, just the length of clothes, a little a little bit tight, wearing also can be, may Slim version of it is.</v>
      </c>
    </row>
    <row r="12098">
      <c r="A12098" s="1">
        <v>5.0</v>
      </c>
      <c r="B12098" s="1" t="s">
        <v>11991</v>
      </c>
      <c r="C12098" t="str">
        <f>IFERROR(__xludf.DUMMYFUNCTION("GOOGLETRANSLATE(B12098, ""zh"", ""en"")"),"Quality generally good style, good quality, affordable")</f>
        <v>Quality generally good style, good quality, affordable</v>
      </c>
    </row>
    <row r="12099">
      <c r="A12099" s="1">
        <v>5.0</v>
      </c>
      <c r="B12099" s="1" t="s">
        <v>11992</v>
      </c>
      <c r="C12099" t="str">
        <f>IFERROR(__xludf.DUMMYFUNCTION("GOOGLETRANSLATE(B12099, ""zh"", ""en"")"),"Oh, Casey also be wearing very comfortable looks very nice")</f>
        <v>Oh, Casey also be wearing very comfortable looks very nice</v>
      </c>
    </row>
    <row r="12100">
      <c r="A12100" s="1">
        <v>5.0</v>
      </c>
      <c r="B12100" s="1" t="s">
        <v>11993</v>
      </c>
      <c r="C12100" t="str">
        <f>IFERROR(__xludf.DUMMYFUNCTION("GOOGLETRANSLATE(B12100, ""zh"", ""en"")"),"Value for money dressed in fit, fabric is a little hard, cotton estimate is not all like this")</f>
        <v>Value for money dressed in fit, fabric is a little hard, cotton estimate is not all like this</v>
      </c>
    </row>
    <row r="12101">
      <c r="A12101" s="1">
        <v>5.0</v>
      </c>
      <c r="B12101" s="1" t="s">
        <v>11994</v>
      </c>
      <c r="C12101" t="str">
        <f>IFERROR(__xludf.DUMMYFUNCTION("GOOGLETRANSLATE(B12101, ""zh"", ""en"")"),"Ms. eat vitamin b family will make good only urine color become fluorescent yellow outset surprised, but that's okay as long as drink plenty of water hydrolysis out on ok")</f>
        <v>Ms. eat vitamin b family will make good only urine color become fluorescent yellow outset surprised, but that's okay as long as drink plenty of water hydrolysis out on ok</v>
      </c>
    </row>
    <row r="12102">
      <c r="A12102" s="1">
        <v>5.0</v>
      </c>
      <c r="B12102" s="1" t="s">
        <v>11995</v>
      </c>
      <c r="C12102" t="str">
        <f>IFERROR(__xludf.DUMMYFUNCTION("GOOGLETRANSLATE(B12102, ""zh"", ""en"")"),"However, cost-effective lightweight cushioning general")</f>
        <v>However, cost-effective lightweight cushioning general</v>
      </c>
    </row>
    <row r="12103">
      <c r="A12103" s="1">
        <v>5.0</v>
      </c>
      <c r="B12103" s="1" t="s">
        <v>11996</v>
      </c>
      <c r="C12103" t="str">
        <f>IFERROR(__xludf.DUMMYFUNCTION("GOOGLETRANSLATE(B12103, ""zh"", ""en"")"),"Entry-level products recommended to buy than similar domestic products, really beyond many. Made in China but also to refuel, in fact, the gap is potential. Reliable product quality, excellent workmanship, installation is also very simple. I bought a very"&amp;" cheap stuff, so some elements plastic feel strong, I hope not a problem. A few days with the down satisfied.")</f>
        <v>Entry-level products recommended to buy than similar domestic products, really beyond many. Made in China but also to refuel, in fact, the gap is potential. Reliable product quality, excellent workmanship, installation is also very simple. I bought a very cheap stuff, so some elements plastic feel strong, I hope not a problem. A few days with the down satisfied.</v>
      </c>
    </row>
    <row r="12104">
      <c r="A12104" s="1">
        <v>5.0</v>
      </c>
      <c r="B12104" s="1" t="s">
        <v>11997</v>
      </c>
      <c r="C12104" t="str">
        <f>IFERROR(__xludf.DUMMYFUNCTION("GOOGLETRANSLATE(B12104, ""zh"", ""en"")"),"Good product, it should be used for all the family to spend some money pocket, stomach to eat less of the metal. Conscience works")</f>
        <v>Good product, it should be used for all the family to spend some money pocket, stomach to eat less of the metal. Conscience works</v>
      </c>
    </row>
    <row r="12105">
      <c r="A12105" s="1">
        <v>5.0</v>
      </c>
      <c r="B12105" s="1" t="s">
        <v>11998</v>
      </c>
      <c r="C12105" t="str">
        <f>IFERROR(__xludf.DUMMYFUNCTION("GOOGLETRANSLATE(B12105, ""zh"", ""en"")"),"Just co-wear 1.8 m, 84 kg, bed m code just right")</f>
        <v>Just co-wear 1.8 m, 84 kg, bed m code just right</v>
      </c>
    </row>
    <row r="12106">
      <c r="A12106" s="1">
        <v>5.0</v>
      </c>
      <c r="B12106" s="1" t="s">
        <v>11999</v>
      </c>
      <c r="C12106" t="str">
        <f>IFERROR(__xludf.DUMMYFUNCTION("GOOGLETRANSLATE(B12106, ""zh"", ""en"")"),"Too short, good quality, very beautiful, but too short, and I boos belt than 5.5 centimeters shorter, too outrageous, ready to give as gifts")</f>
        <v>Too short, good quality, very beautiful, but too short, and I boos belt than 5.5 centimeters shorter, too outrageous, ready to give as gifts</v>
      </c>
    </row>
    <row r="12107">
      <c r="A12107" s="1">
        <v>5.0</v>
      </c>
      <c r="B12107" s="1" t="s">
        <v>12000</v>
      </c>
      <c r="C12107" t="str">
        <f>IFERROR(__xludf.DUMMYFUNCTION("GOOGLETRANSLATE(B12107, ""zh"", ""en"")"),"Casio is also possible, but no instructions in Chinese, and what's going on?")</f>
        <v>Casio is also possible, but no instructions in Chinese, and what's going on?</v>
      </c>
    </row>
    <row r="12108">
      <c r="A12108" s="1">
        <v>5.0</v>
      </c>
      <c r="B12108" s="1" t="s">
        <v>12001</v>
      </c>
      <c r="C12108" t="str">
        <f>IFERROR(__xludf.DUMMYFUNCTION("GOOGLETRANSLATE(B12108, ""zh"", ""en"")"),"Looks great but the size is too large clothes great, super comfortable fabric, then the domestic price is difficult to buy, high cost, but the size is too large, buy a big, busy place tomorrow on fish, like to sell convertible the price is good to discuss")</f>
        <v>Looks great but the size is too large clothes great, super comfortable fabric, then the domestic price is difficult to buy, high cost, but the size is too large, buy a big, busy place tomorrow on fish, like to sell convertible the price is good to discuss</v>
      </c>
    </row>
    <row r="12109">
      <c r="A12109" s="1">
        <v>5.0</v>
      </c>
      <c r="B12109" s="1" t="s">
        <v>12002</v>
      </c>
      <c r="C12109" t="str">
        <f>IFERROR(__xludf.DUMMYFUNCTION("GOOGLETRANSLATE(B12109, ""zh"", ""en"")"),"Yes, value for money, can be a genuine, value for money, it is authentic")</f>
        <v>Yes, value for money, can be a genuine, value for money, it is authentic</v>
      </c>
    </row>
    <row r="12110">
      <c r="A12110" s="1">
        <v>5.0</v>
      </c>
      <c r="B12110" s="1" t="s">
        <v>12003</v>
      </c>
      <c r="C12110" t="str">
        <f>IFERROR(__xludf.DUMMYFUNCTION("GOOGLETRANSLATE(B12110, ""zh"", ""en"")"),"It can also be good, and consistent with the expected, had to buy black, but expensive")</f>
        <v>It can also be good, and consistent with the expected, had to buy black, but expensive</v>
      </c>
    </row>
    <row r="12111">
      <c r="A12111" s="1">
        <v>5.0</v>
      </c>
      <c r="B12111" s="1" t="s">
        <v>12004</v>
      </c>
      <c r="C12111" t="str">
        <f>IFERROR(__xludf.DUMMYFUNCTION("GOOGLETRANSLATE(B12111, ""zh"", ""en"")"),"Style is like yesterday I received, spent a total of nine days, a little faster than I expected. Shoes I liked it, style is also nice. Usually wear 43 yards shoes, this time I bought the United States Code 9.5, fit for the US point of reference.")</f>
        <v>Style is like yesterday I received, spent a total of nine days, a little faster than I expected. Shoes I liked it, style is also nice. Usually wear 43 yards shoes, this time I bought the United States Code 9.5, fit for the US point of reference.</v>
      </c>
    </row>
    <row r="12112">
      <c r="A12112" s="1">
        <v>5.0</v>
      </c>
      <c r="B12112" s="1" t="s">
        <v>12005</v>
      </c>
      <c r="C12112" t="str">
        <f>IFERROR(__xludf.DUMMYFUNCTION("GOOGLETRANSLATE(B12112, ""zh"", ""en"")"),"Like super like, it is easy to dirty, stained soil on a white, wear every day to rub in Beijing")</f>
        <v>Like super like, it is easy to dirty, stained soil on a white, wear every day to rub in Beijing</v>
      </c>
    </row>
    <row r="12113">
      <c r="A12113" s="1">
        <v>5.0</v>
      </c>
      <c r="B12113" s="1" t="s">
        <v>12006</v>
      </c>
      <c r="C12113" t="str">
        <f>IFERROR(__xludf.DUMMYFUNCTION("GOOGLETRANSLATE(B12113, ""zh"", ""en"")"),"With a good set of bowls for a long time, just start with the smallest, change slowly in large, behind the three together have a soup dish with fruit, go out with very convenient")</f>
        <v>With a good set of bowls for a long time, just start with the smallest, change slowly in large, behind the three together have a soup dish with fruit, go out with very convenient</v>
      </c>
    </row>
    <row r="12114">
      <c r="A12114" s="1">
        <v>5.0</v>
      </c>
      <c r="B12114" s="1" t="s">
        <v>12007</v>
      </c>
      <c r="C12114" t="str">
        <f>IFERROR(__xludf.DUMMYFUNCTION("GOOGLETRANSLATE(B12114, ""zh"", ""en"")"),"Genuine, very good 👍 cheap genuine, buy a small one yards of total general right! Comfortable to wear")</f>
        <v>Genuine, very good 👍 cheap genuine, buy a small one yards of total general right! Comfortable to wear</v>
      </c>
    </row>
    <row r="12115">
      <c r="A12115" s="1">
        <v>5.0</v>
      </c>
      <c r="B12115" s="1" t="s">
        <v>12008</v>
      </c>
      <c r="C12115" t="str">
        <f>IFERROR(__xludf.DUMMYFUNCTION("GOOGLETRANSLATE(B12115, ""zh"", ""en"")"),"173CM height, 76KG, wearing L just right. Good quality, the key is cheaper 173CM tall, 76KG, wearing L, just right. Good quality, the key is cheap")</f>
        <v>173CM height, 76KG, wearing L just right. Good quality, the key is cheaper 173CM tall, 76KG, wearing L, just right. Good quality, the key is cheap</v>
      </c>
    </row>
    <row r="12116">
      <c r="A12116" s="1">
        <v>5.0</v>
      </c>
      <c r="B12116" s="1" t="s">
        <v>12009</v>
      </c>
      <c r="C12116" t="str">
        <f>IFERROR(__xludf.DUMMYFUNCTION("GOOGLETRANSLATE(B12116, ""zh"", ""en"")"),"Baton! It is like, the fabric version are good!")</f>
        <v>Baton! It is like, the fabric version are good!</v>
      </c>
    </row>
    <row r="12117">
      <c r="A12117" s="1">
        <v>5.0</v>
      </c>
      <c r="B12117" s="1" t="s">
        <v>12010</v>
      </c>
      <c r="C12117" t="str">
        <f>IFERROR(__xludf.DUMMYFUNCTION("GOOGLETRANSLATE(B12117, ""zh"", ""en"")"),"This is particularly useful thing most frequently used in the baby food supplement depends on it. Is accidentally placed in the pot steaming elders, did not turn on the water, the bottom of the melt a bit, but does not affect use.")</f>
        <v>This is particularly useful thing most frequently used in the baby food supplement depends on it. Is accidentally placed in the pot steaming elders, did not turn on the water, the bottom of the melt a bit, but does not affect use.</v>
      </c>
    </row>
    <row r="12118">
      <c r="A12118" s="1">
        <v>5.0</v>
      </c>
      <c r="B12118" s="1" t="s">
        <v>12011</v>
      </c>
      <c r="C12118" t="str">
        <f>IFERROR(__xludf.DUMMYFUNCTION("GOOGLETRANSLATE(B12118, ""zh"", ""en"")"),"Recommended logistics group from the mother soon, Mrs. purchased, there is no use, but it looks like packaging intact")</f>
        <v>Recommended logistics group from the mother soon, Mrs. purchased, there is no use, but it looks like packaging intact</v>
      </c>
    </row>
    <row r="12119">
      <c r="A12119" s="1">
        <v>5.0</v>
      </c>
      <c r="B12119" s="1" t="s">
        <v>12012</v>
      </c>
      <c r="C12119" t="str">
        <f>IFERROR(__xludf.DUMMYFUNCTION("GOOGLETRANSLATE(B12119, ""zh"", ""en"")"),"Thin under warm Oh God alone on the fourth day they received, the Japanese high efficiency good! Orders shipped the same day! Britain is compared with another single shipment every two days now. Buy S ~ M code, looking a bit small, but good elasticity, we"&amp;"ar just fit, quality workmanship very good, very cost-effective price, compared to the same selling it - is very expensive domestic shipping logistics activities is also to force, really Yes! Before buying domestic Atsugi, code number is M ~ L, wearing no"&amp;" wrong, can I height 155CM, weight 45KG, give you a reference. Hope that more foreign selling product shelves, compared to many of the country's really cheap!")</f>
        <v>Thin under warm Oh God alone on the fourth day they received, the Japanese high efficiency good! Orders shipped the same day! Britain is compared with another single shipment every two days now. Buy S ~ M code, looking a bit small, but good elasticity, wear just fit, quality workmanship very good, very cost-effective price, compared to the same selling it - is very expensive domestic shipping logistics activities is also to force, really Yes! Before buying domestic Atsugi, code number is M ~ L, wearing no wrong, can I height 155CM, weight 45KG, give you a reference. Hope that more foreign selling product shelves, compared to many of the country's really cheap!</v>
      </c>
    </row>
    <row r="12120">
      <c r="A12120" s="1">
        <v>2.0</v>
      </c>
      <c r="B12120" s="1" t="s">
        <v>12013</v>
      </c>
      <c r="C12120" t="str">
        <f>IFERROR(__xludf.DUMMYFUNCTION("GOOGLETRANSLATE(B12120, ""zh"", ""en"")"),"What caused the damage, why put the pieces into the tank to get the goods when the tank has a plastic debris is falling below the tank, I do not know why, seeking answers")</f>
        <v>What caused the damage, why put the pieces into the tank to get the goods when the tank has a plastic debris is falling below the tank, I do not know why, seeking answers</v>
      </c>
    </row>
    <row r="12121">
      <c r="A12121" s="1">
        <v>3.0</v>
      </c>
      <c r="B12121" s="1" t="s">
        <v>12014</v>
      </c>
      <c r="C12121" t="str">
        <f>IFERROR(__xludf.DUMMYFUNCTION("GOOGLETRANSLATE(B12121, ""zh"", ""en"")"),"Lot size is too large sweater quality impress, fabric work are good, ridiculously large size than conventional United States Code, big bust Sleeve at least two yards, 125 return shipping, forget it.")</f>
        <v>Lot size is too large sweater quality impress, fabric work are good, ridiculously large size than conventional United States Code, big bust Sleeve at least two yards, 125 return shipping, forget it.</v>
      </c>
    </row>
    <row r="12122">
      <c r="A12122" s="1">
        <v>1.0</v>
      </c>
      <c r="B12122" s="1" t="s">
        <v>12015</v>
      </c>
      <c r="C12122" t="str">
        <f>IFERROR(__xludf.DUMMYFUNCTION("GOOGLETRANSLATE(B12122, ""zh"", ""en"")"),"With a little better next time packaging it! Watch mess packaging, brochures did not see, the watch is good, but unfortunately not for personal use, but to give as gifts. . . Nabuchushou completely. Ugh")</f>
        <v>With a little better next time packaging it! Watch mess packaging, brochures did not see, the watch is good, but unfortunately not for personal use, but to give as gifts. . . Nabuchushou completely. Ugh</v>
      </c>
    </row>
    <row r="12123">
      <c r="A12123" s="1">
        <v>1.0</v>
      </c>
      <c r="B12123" s="1" t="s">
        <v>12016</v>
      </c>
      <c r="C12123" t="str">
        <f>IFERROR(__xludf.DUMMYFUNCTION("GOOGLETRANSLATE(B12123, ""zh"", ""en"")"),"Rough country to do, work very rough interface with a month to start off the line, hardware is also very poor, this kind of thing in the country also several hundred, going about it once the Amazon, the price went up, but also pay taxes and freight, pit, "&amp;"advised not to buy")</f>
        <v>Rough country to do, work very rough interface with a month to start off the line, hardware is also very poor, this kind of thing in the country also several hundred, going about it once the Amazon, the price went up, but also pay taxes and freight, pit, advised not to buy</v>
      </c>
    </row>
    <row r="12124">
      <c r="A12124" s="1">
        <v>1.0</v>
      </c>
      <c r="B12124" s="1" t="s">
        <v>5241</v>
      </c>
      <c r="C12124" t="str">
        <f>IFERROR(__xludf.DUMMYFUNCTION("GOOGLETRANSLATE(B12124, ""zh"", ""en"")"),"Version right size too large. Can not wear")</f>
        <v>Version right size too large. Can not wear</v>
      </c>
    </row>
    <row r="12125">
      <c r="A12125" s="1">
        <v>4.0</v>
      </c>
      <c r="B12125" s="1" t="s">
        <v>12017</v>
      </c>
      <c r="C12125" t="str">
        <f>IFERROR(__xludf.DUMMYFUNCTION("GOOGLETRANSLATE(B12125, ""zh"", ""en"")"),"The insulation effect! Pretty good friends! Consistent with imagination, the insulation effect is also okay.")</f>
        <v>The insulation effect! Pretty good friends! Consistent with imagination, the insulation effect is also okay.</v>
      </c>
    </row>
    <row r="12126">
      <c r="A12126" s="1">
        <v>4.0</v>
      </c>
      <c r="B12126" s="1" t="s">
        <v>12018</v>
      </c>
      <c r="C12126" t="str">
        <f>IFERROR(__xludf.DUMMYFUNCTION("GOOGLETRANSLATE(B12126, ""zh"", ""en"")"),"Good good packaging, things intact, has bought dual-use, looked pretty good, is not cup sets, and later bought a cup set on Taobao.")</f>
        <v>Good good packaging, things intact, has bought dual-use, looked pretty good, is not cup sets, and later bought a cup set on Taobao.</v>
      </c>
    </row>
    <row r="12127">
      <c r="A12127" s="1">
        <v>4.0</v>
      </c>
      <c r="B12127" s="1" t="s">
        <v>12019</v>
      </c>
      <c r="C12127" t="str">
        <f>IFERROR(__xludf.DUMMYFUNCTION("GOOGLETRANSLATE(B12127, ""zh"", ""en"")"),"Satisfaction style very much like to get in line with expectations in kind, size is too large, it is recommended halving the number of purchase")</f>
        <v>Satisfaction style very much like to get in line with expectations in kind, size is too large, it is recommended halving the number of purchase</v>
      </c>
    </row>
    <row r="12128">
      <c r="A12128" s="1">
        <v>4.0</v>
      </c>
      <c r="B12128" s="1" t="s">
        <v>12020</v>
      </c>
      <c r="C12128" t="str">
        <f>IFERROR(__xludf.DUMMYFUNCTION("GOOGLETRANSLATE(B12128, ""zh"", ""en"")"),"Large size large size good quality given away like the")</f>
        <v>Large size large size good quality given away like the</v>
      </c>
    </row>
    <row r="12129">
      <c r="A12129" s="1">
        <v>4.0</v>
      </c>
      <c r="B12129" s="1" t="s">
        <v>12021</v>
      </c>
      <c r="C12129" t="str">
        <f>IFERROR(__xludf.DUMMYFUNCTION("GOOGLETRANSLATE(B12129, ""zh"", ""en"")"),"Comments below, you can reference. I 180, weight 140, m number, lacks quality problems, some waist and legs and coarse, long pants because I like the point, so long pants, no problem for me.")</f>
        <v>Comments below, you can reference. I 180, weight 140, m number, lacks quality problems, some waist and legs and coarse, long pants because I like the point, so long pants, no problem for me.</v>
      </c>
    </row>
    <row r="12130">
      <c r="A12130" s="1">
        <v>5.0</v>
      </c>
      <c r="B12130" s="1" t="s">
        <v>12022</v>
      </c>
      <c r="C12130" t="str">
        <f>IFERROR(__xludf.DUMMYFUNCTION("GOOGLETRANSLATE(B12130, ""zh"", ""en"")"),"Cost-effective black starting five, less than 700, it is recommended")</f>
        <v>Cost-effective black starting five, less than 700, it is recommended</v>
      </c>
    </row>
    <row r="12131">
      <c r="A12131" s="1">
        <v>5.0</v>
      </c>
      <c r="B12131" s="1" t="s">
        <v>12023</v>
      </c>
      <c r="C12131" t="str">
        <f>IFERROR(__xludf.DUMMYFUNCTION("GOOGLETRANSLATE(B12131, ""zh"", ""en"")"),"Size 175CM, 72KGS, this code just to wear tight-fitting, estimated M will be a little bit too large.")</f>
        <v>Size 175CM, 72KGS, this code just to wear tight-fitting, estimated M will be a little bit too large.</v>
      </c>
    </row>
    <row r="12132">
      <c r="A12132" s="1">
        <v>5.0</v>
      </c>
      <c r="B12132" s="1" t="s">
        <v>12024</v>
      </c>
      <c r="C12132" t="str">
        <f>IFERROR(__xludf.DUMMYFUNCTION("GOOGLETRANSLATE(B12132, ""zh"", ""en"")"),"Champion men's knit shorts with pockets of good logistics for several days earlier than expected time, code number slightly larger point, but also very suitable.")</f>
        <v>Champion men's knit shorts with pockets of good logistics for several days earlier than expected time, code number slightly larger point, but also very suitable.</v>
      </c>
    </row>
    <row r="12133">
      <c r="A12133" s="1">
        <v>5.0</v>
      </c>
      <c r="B12133" s="1" t="s">
        <v>12025</v>
      </c>
      <c r="C12133" t="str">
        <f>IFERROR(__xludf.DUMMYFUNCTION("GOOGLETRANSLATE(B12133, ""zh"", ""en"")"),"The first overseas purchase! not bad! Four stars! Men usually wear shoes to wear Asik 41 yards, 41 yards Adi, just bought 9.5M, is a little bit narrow, just really good, insole does not fit the 😢, but the cargo is good")</f>
        <v>The first overseas purchase! not bad! Four stars! Men usually wear shoes to wear Asik 41 yards, 41 yards Adi, just bought 9.5M, is a little bit narrow, just really good, insole does not fit the 😢, but the cargo is good</v>
      </c>
    </row>
    <row r="12134">
      <c r="A12134" s="1">
        <v>5.0</v>
      </c>
      <c r="B12134" s="1" t="s">
        <v>12026</v>
      </c>
      <c r="C12134" t="str">
        <f>IFERROR(__xludf.DUMMYFUNCTION("GOOGLETRANSLATE(B12134, ""zh"", ""en"")"),"Pants too old US size too big, take this into account their own particular selected small a yard, try just after the arrival of the results of fertilizer outrageous, my body is not in the United States is also standard figure friends ~ ha ha ha")</f>
        <v>Pants too old US size too big, take this into account their own particular selected small a yard, try just after the arrival of the results of fertilizer outrageous, my body is not in the United States is also standard figure friends ~ ha ha ha</v>
      </c>
    </row>
    <row r="12135">
      <c r="A12135" s="1">
        <v>5.0</v>
      </c>
      <c r="B12135" s="1" t="s">
        <v>12027</v>
      </c>
      <c r="C12135" t="str">
        <f>IFERROR(__xludf.DUMMYFUNCTION("GOOGLETRANSLATE(B12135, ""zh"", ""en"")"),"Value liked")</f>
        <v>Value liked</v>
      </c>
    </row>
    <row r="12136">
      <c r="A12136" s="1">
        <v>5.0</v>
      </c>
      <c r="B12136" s="1" t="s">
        <v>12028</v>
      </c>
      <c r="C12136" t="str">
        <f>IFERROR(__xludf.DUMMYFUNCTION("GOOGLETRANSLATE(B12136, ""zh"", ""en"")"),"good looking. Green is also very pretty, but fortunately arrived safely.")</f>
        <v>good looking. Green is also very pretty, but fortunately arrived safely.</v>
      </c>
    </row>
    <row r="12137">
      <c r="A12137" s="1">
        <v>5.0</v>
      </c>
      <c r="B12137" s="1" t="s">
        <v>12029</v>
      </c>
      <c r="C12137" t="str">
        <f>IFERROR(__xludf.DUMMYFUNCTION("GOOGLETRANSLATE(B12137, ""zh"", ""en"")"),"Star Good &lt;div id = ""video-block-RBUYEEHPPI16G"" class = ""a-section a-spacing-small a-spacing-top-mini video-block""&gt; &lt;/ div&gt; &lt;input type = ""hidden"" name = "" ""value ="" https://images-cn.ssl-images-amazon.com/images/I/A1EKbR8jTkS.mp4 ""class ="" vid"&amp;"eo-url ""&gt; &lt;input type ="" hidden ""name ="" ""value ="" https://images-cn.ssl-images-amazon.com/images/I/912bFjIk1mS.png ""class ="" video-slate-img-url ""&gt; &amp; nbsp; boiled rice is really good to eat, satisfaction")</f>
        <v>Star Good &lt;div id = "video-block-RBUYEEHPPI16G" class = "a-section a-spacing-small a-spacing-top-mini video-block"&gt; &lt;/ div&gt; &lt;input type = "hidden" name = " "value =" https://images-cn.ssl-images-amazon.com/images/I/A1EKbR8jTkS.mp4 "class =" video-url "&gt; &lt;input type =" hidden "name =" "value =" https://images-cn.ssl-images-amazon.com/images/I/912bFjIk1mS.png "class =" video-slate-img-url "&gt; &amp; nbsp; boiled rice is really good to eat, satisfaction</v>
      </c>
    </row>
    <row r="12138">
      <c r="A12138" s="1">
        <v>5.0</v>
      </c>
      <c r="B12138" s="1" t="s">
        <v>12030</v>
      </c>
      <c r="C12138" t="str">
        <f>IFERROR(__xludf.DUMMYFUNCTION("GOOGLETRANSLATE(B12138, ""zh"", ""en"")"),"Quality is good for the baby store goods, the quality looked very good, very good use is said to be scraped applesauce or something, hope it can be practical, cost-effective members to buy very cheap")</f>
        <v>Quality is good for the baby store goods, the quality looked very good, very good use is said to be scraped applesauce or something, hope it can be practical, cost-effective members to buy very cheap</v>
      </c>
    </row>
    <row r="12139">
      <c r="A12139" s="1">
        <v>5.0</v>
      </c>
      <c r="B12139" s="1" t="s">
        <v>12031</v>
      </c>
      <c r="C12139" t="str">
        <f>IFERROR(__xludf.DUMMYFUNCTION("GOOGLETRANSLATE(B12139, ""zh"", ""en"")"),"Good buy three, it will not be considered reselling?")</f>
        <v>Good buy three, it will not be considered reselling?</v>
      </c>
    </row>
    <row r="12140">
      <c r="A12140" s="1">
        <v>5.0</v>
      </c>
      <c r="B12140" s="1" t="s">
        <v>12032</v>
      </c>
      <c r="C12140" t="str">
        <f>IFERROR(__xludf.DUMMYFUNCTION("GOOGLETRANSLATE(B12140, ""zh"", ""en"")"),"Do not buy a little on the line, a big wad of size can tangle for a long time ah, but fortunately very appropriate, do not buy a little on the line, can be a big wad.")</f>
        <v>Do not buy a little on the line, a big wad of size can tangle for a long time ah, but fortunately very appropriate, do not buy a little on the line, can be a big wad.</v>
      </c>
    </row>
    <row r="12141">
      <c r="A12141" s="1">
        <v>5.0</v>
      </c>
      <c r="B12141" s="1" t="s">
        <v>12033</v>
      </c>
      <c r="C12141" t="str">
        <f>IFERROR(__xludf.DUMMYFUNCTION("GOOGLETRANSLATE(B12141, ""zh"", ""en"")"),"Good tableware nice color, good material, easy to clean")</f>
        <v>Good tableware nice color, good material, easy to clean</v>
      </c>
    </row>
    <row r="12142">
      <c r="A12142" s="1">
        <v>5.0</v>
      </c>
      <c r="B12142" s="1" t="s">
        <v>12034</v>
      </c>
      <c r="C12142" t="str">
        <f>IFERROR(__xludf.DUMMYFUNCTION("GOOGLETRANSLATE(B12142, ""zh"", ""en"")"),"Very good packet is very good, summer is appropriate to bring some belongings, ah what phone, keys, wallet, all put down, do not take a place, a relatively small canvas bag personality a little difficult to see similar.")</f>
        <v>Very good packet is very good, summer is appropriate to bring some belongings, ah what phone, keys, wallet, all put down, do not take a place, a relatively small canvas bag personality a little difficult to see similar.</v>
      </c>
    </row>
    <row r="12143">
      <c r="A12143" s="1">
        <v>5.0</v>
      </c>
      <c r="B12143" s="1" t="s">
        <v>12035</v>
      </c>
      <c r="C12143" t="str">
        <f>IFERROR(__xludf.DUMMYFUNCTION("GOOGLETRANSLATE(B12143, ""zh"", ""en"")"),"Parents liberation artifact! With a timer, the high degree of acceptance in Germany three years old, the liberation of brushing the problem! a great invention. General brush handle and adults, with a timer, German production.")</f>
        <v>Parents liberation artifact! With a timer, the high degree of acceptance in Germany three years old, the liberation of brushing the problem! a great invention. General brush handle and adults, with a timer, German production.</v>
      </c>
    </row>
    <row r="12144">
      <c r="A12144" s="1">
        <v>5.0</v>
      </c>
      <c r="B12144" s="1" t="s">
        <v>12036</v>
      </c>
      <c r="C12144" t="str">
        <f>IFERROR(__xludf.DUMMYFUNCTION("GOOGLETRANSLATE(B12144, ""zh"", ""en"")"),"The high cost of the high cost of mobile hard disk, large capacity, sound light, very stable 100+ write speed, turn tomorrow to look at the warranty.")</f>
        <v>The high cost of the high cost of mobile hard disk, large capacity, sound light, very stable 100+ write speed, turn tomorrow to look at the warranty.</v>
      </c>
    </row>
    <row r="12145">
      <c r="A12145" s="1">
        <v>5.0</v>
      </c>
      <c r="B12145" s="1" t="s">
        <v>12037</v>
      </c>
      <c r="C12145" t="str">
        <f>IFERROR(__xludf.DUMMYFUNCTION("GOOGLETRANSLATE(B12145, ""zh"", ""en"")"),"Real materials affordable good-looking first of all, not the kind of a thin layer of very thick. Second, the material is very solid. Third, black five really affordable price. 😂 had started to wear a little pressure feet, wearing a morning just fine. Sin"&amp;"ce real materials whole cortex, it is natural stretchability of animal leather. This is also another reason not to buy domestic brands. Foot wear was small.")</f>
        <v>Real materials affordable good-looking first of all, not the kind of a thin layer of very thick. Second, the material is very solid. Third, black five really affordable price. 😂 had started to wear a little pressure feet, wearing a morning just fine. Since real materials whole cortex, it is natural stretchability of animal leather. This is also another reason not to buy domestic brands. Foot wear was small.</v>
      </c>
    </row>
    <row r="12146">
      <c r="A12146" s="1">
        <v>5.0</v>
      </c>
      <c r="B12146" s="1" t="s">
        <v>12038</v>
      </c>
      <c r="C12146" t="str">
        <f>IFERROR(__xludf.DUMMYFUNCTION("GOOGLETRANSLATE(B12146, ""zh"", ""en"")"),"Second time to buy give the children to buy something, especially soft, I give myself to buy a minimum number, very satisfied")</f>
        <v>Second time to buy give the children to buy something, especially soft, I give myself to buy a minimum number, very satisfied</v>
      </c>
    </row>
    <row r="12147">
      <c r="A12147" s="1">
        <v>5.0</v>
      </c>
      <c r="B12147" s="1" t="s">
        <v>12039</v>
      </c>
      <c r="C12147" t="str">
        <f>IFERROR(__xludf.DUMMYFUNCTION("GOOGLETRANSLATE(B12147, ""zh"", ""en"")"),"Value for money is wearing is a good choice for logistics services when traveling or on business fabric is quick-drying and thoughtful clearance is too long delayed eight days for the first time this happens")</f>
        <v>Value for money is wearing is a good choice for logistics services when traveling or on business fabric is quick-drying and thoughtful clearance is too long delayed eight days for the first time this happens</v>
      </c>
    </row>
    <row r="12148">
      <c r="A12148" s="1">
        <v>5.0</v>
      </c>
      <c r="B12148" s="1" t="s">
        <v>12040</v>
      </c>
      <c r="C12148" t="str">
        <f>IFERROR(__xludf.DUMMYFUNCTION("GOOGLETRANSLATE(B12148, ""zh"", ""en"")"),"Satisfaction shoes thinner, feet long 23cm, bought No. 4, there is a margin. There are a layer of velvet, winter wear feel good enough. 5 days sent to the super-fast.")</f>
        <v>Satisfaction shoes thinner, feet long 23cm, bought No. 4, there is a margin. There are a layer of velvet, winter wear feel good enough. 5 days sent to the super-fast.</v>
      </c>
    </row>
    <row r="12149">
      <c r="A12149" s="1">
        <v>5.0</v>
      </c>
      <c r="B12149" s="1" t="s">
        <v>12041</v>
      </c>
      <c r="C12149" t="str">
        <f>IFERROR(__xludf.DUMMYFUNCTION("GOOGLETRANSLATE(B12149, ""zh"", ""en"")"),"I feel very comfortable, the length is right! For the first time to buy clothes in the United States and Asia, with as good as expected! Number list is very accurate! It is cotton.")</f>
        <v>I feel very comfortable, the length is right! For the first time to buy clothes in the United States and Asia, with as good as expected! Number list is very accurate! It is cotton.</v>
      </c>
    </row>
    <row r="12150">
      <c r="A12150" s="1">
        <v>5.0</v>
      </c>
      <c r="B12150" s="1" t="s">
        <v>12042</v>
      </c>
      <c r="C12150" t="str">
        <f>IFERROR(__xludf.DUMMYFUNCTION("GOOGLETRANSLATE(B12150, ""zh"", ""en"")"),"Very satisfied with the shopping experience very good quality, good-looking shoes, upper height is also very good with pants or a skirt. Compared to domestic prices, Amazon is indeed a good deal. Recommend purchase.")</f>
        <v>Very satisfied with the shopping experience very good quality, good-looking shoes, upper height is also very good with pants or a skirt. Compared to domestic prices, Amazon is indeed a good deal. Recommend purchase.</v>
      </c>
    </row>
    <row r="12151">
      <c r="A12151" s="1">
        <v>5.0</v>
      </c>
      <c r="B12151" s="1" t="s">
        <v>4414</v>
      </c>
      <c r="C12151" t="str">
        <f>IFERROR(__xludf.DUMMYFUNCTION("GOOGLETRANSLATE(B12151, ""zh"", ""en"")"),"Buy freshman yards just satisfaction, thick and comfortable")</f>
        <v>Buy freshman yards just satisfaction, thick and comfortable</v>
      </c>
    </row>
    <row r="12152">
      <c r="A12152" s="1">
        <v>2.0</v>
      </c>
      <c r="B12152" s="1" t="s">
        <v>12043</v>
      </c>
      <c r="C12152" t="str">
        <f>IFERROR(__xludf.DUMMYFUNCTION("GOOGLETRANSLATE(B12152, ""zh"", ""en"")"),"Fabric style looking good elasticity, good elastic fabric, not to wear a few times on the loose wear")</f>
        <v>Fabric style looking good elasticity, good elastic fabric, not to wear a few times on the loose wear</v>
      </c>
    </row>
    <row r="12153">
      <c r="A12153" s="1">
        <v>3.0</v>
      </c>
      <c r="B12153" s="1" t="s">
        <v>12044</v>
      </c>
      <c r="C12153" t="str">
        <f>IFERROR(__xludf.DUMMYFUNCTION("GOOGLETRANSLATE(B12153, ""zh"", ""en"")"),"Packaging damaged ~ ~ packaging is damaged do not know why sometimes the old Post over the old stuff - but not expired! Had a strange taste ~ valuable than Amoy lot!")</f>
        <v>Packaging damaged ~ ~ packaging is damaged do not know why sometimes the old Post over the old stuff - but not expired! Had a strange taste ~ valuable than Amoy lot!</v>
      </c>
    </row>
    <row r="12154">
      <c r="A12154" s="1">
        <v>3.0</v>
      </c>
      <c r="B12154" s="1" t="s">
        <v>12045</v>
      </c>
      <c r="C12154" t="str">
        <f>IFERROR(__xludf.DUMMYFUNCTION("GOOGLETRANSLATE(B12154, ""zh"", ""en"")"),"Trademarks and does not match the pants inside the label does not match. Buy 32 32 *, 32 * 30 is the result of short pants point, returns to fill orders, there is no retreat, pants when wearing 9")</f>
        <v>Trademarks and does not match the pants inside the label does not match. Buy 32 32 *, 32 * 30 is the result of short pants point, returns to fill orders, there is no retreat, pants when wearing 9</v>
      </c>
    </row>
    <row r="12155">
      <c r="A12155" s="1">
        <v>3.0</v>
      </c>
      <c r="B12155" s="1" t="s">
        <v>12046</v>
      </c>
      <c r="C12155" t="str">
        <f>IFERROR(__xludf.DUMMYFUNCTION("GOOGLETRANSLATE(B12155, ""zh"", ""en"")"),"Vietnam worrying manufacturing work boots, which cable head and unidentified white powder")</f>
        <v>Vietnam worrying manufacturing work boots, which cable head and unidentified white powder</v>
      </c>
    </row>
    <row r="12156">
      <c r="A12156" s="1">
        <v>1.0</v>
      </c>
      <c r="B12156" s="1" t="s">
        <v>12047</v>
      </c>
      <c r="C12156" t="str">
        <f>IFERROR(__xludf.DUMMYFUNCTION("GOOGLETRANSLATE(B12156, ""zh"", ""en"")"),"Note, this headset can not guarantee the quality is not reliable in the country and bought less than two months this headset on the ear unglued rubber rather than due to the state line so I can not guarantee my side whatever the outcome of the sale is glu"&amp;"ed to me (later to die, because he found the headset is not the national Bank to buy) it is generally too sticky, but unfortunately can only scrape together utilize a photo shoot before I can not find it, or else you will be able to look at the first time"&amp;" to buy JBL after the encounter have this product is estimated will not buy")</f>
        <v>Note, this headset can not guarantee the quality is not reliable in the country and bought less than two months this headset on the ear unglued rubber rather than due to the state line so I can not guarantee my side whatever the outcome of the sale is glued to me (later to die, because he found the headset is not the national Bank to buy) it is generally too sticky, but unfortunately can only scrape together utilize a photo shoot before I can not find it, or else you will be able to look at the first time to buy JBL after the encounter have this product is estimated will not buy</v>
      </c>
    </row>
    <row r="12157">
      <c r="A12157" s="1">
        <v>1.0</v>
      </c>
      <c r="B12157" s="1" t="s">
        <v>12048</v>
      </c>
      <c r="C12157" t="str">
        <f>IFERROR(__xludf.DUMMYFUNCTION("GOOGLETRANSLATE(B12157, ""zh"", ""en"")"),"Real shopping experience although this product is purchased abroad, but still made in China, which is the second editorial,")</f>
        <v>Real shopping experience although this product is purchased abroad, but still made in China, which is the second editorial,</v>
      </c>
    </row>
    <row r="12158">
      <c r="A12158" s="1">
        <v>4.0</v>
      </c>
      <c r="B12158" s="1" t="s">
        <v>12049</v>
      </c>
      <c r="C12158" t="str">
        <f>IFERROR(__xludf.DUMMYFUNCTION("GOOGLETRANSLATE(B12158, ""zh"", ""en"")"),"Relatively large size")</f>
        <v>Relatively large size</v>
      </c>
    </row>
    <row r="12159">
      <c r="A12159" s="1">
        <v>4.0</v>
      </c>
      <c r="B12159" s="1" t="s">
        <v>12050</v>
      </c>
      <c r="C12159" t="str">
        <f>IFERROR(__xludf.DUMMYFUNCTION("GOOGLETRANSLATE(B12159, ""zh"", ""en"")"),"It can also right, very smooth, but the pen is very hard. Pen received today, I feel okay, the price can only be this kind. Plastic pen with a pen for the first time, I feel very light, a bit of texture. Write for a long time still feel tired, but previou"&amp;"sly bought Parker will feel very comfortable (of course, you pay for, whatever the outcome, you can buy this 10). Nib is very hard, but very smooth, nothing to write damping sense, but really a little bit uncomfortable, strange feeling. Schneider was very"&amp;" attentive considered the problem of storage of pen, pencil design is very intimate. But a large pencil taste, is estimated to be dry for a long time. The first time I saw the pen guts, feel good workmanship rough, to no avail ...... Elsewhere Schneider i"&amp;"nking rotation relatively loose, ink sucked in as if only two-thirds of the way. Overall okay, we did not feel good reviews, you pay for it.")</f>
        <v>It can also right, very smooth, but the pen is very hard. Pen received today, I feel okay, the price can only be this kind. Plastic pen with a pen for the first time, I feel very light, a bit of texture. Write for a long time still feel tired, but previously bought Parker will feel very comfortable (of course, you pay for, whatever the outcome, you can buy this 10). Nib is very hard, but very smooth, nothing to write damping sense, but really a little bit uncomfortable, strange feeling. Schneider was very attentive considered the problem of storage of pen, pencil design is very intimate. But a large pencil taste, is estimated to be dry for a long time. The first time I saw the pen guts, feel good workmanship rough, to no avail ...... Elsewhere Schneider inking rotation relatively loose, ink sucked in as if only two-thirds of the way. Overall okay, we did not feel good reviews, you pay for it.</v>
      </c>
    </row>
    <row r="12160">
      <c r="A12160" s="1">
        <v>4.0</v>
      </c>
      <c r="B12160" s="1" t="s">
        <v>12051</v>
      </c>
      <c r="C12160" t="str">
        <f>IFERROR(__xludf.DUMMYFUNCTION("GOOGLETRANSLATE(B12160, ""zh"", ""en"")"),"General type (compare with iphone 6s) loose a little distraction does not look good enough to keep warm in winter in northern monolayer")</f>
        <v>General type (compare with iphone 6s) loose a little distraction does not look good enough to keep warm in winter in northern monolayer</v>
      </c>
    </row>
    <row r="12161">
      <c r="A12161" s="1">
        <v>4.0</v>
      </c>
      <c r="B12161" s="1" t="s">
        <v>12052</v>
      </c>
      <c r="C12161" t="str">
        <f>IFERROR(__xludf.DUMMYFUNCTION("GOOGLETRANSLATE(B12161, ""zh"", ""en"")"),"Smaller than I think bought this 5 Oz milk bottle for my bro's baby, still have not use it but looks smaller than I think.a little bit of smelly, hope the baby will like it.")</f>
        <v>Smaller than I think bought this 5 Oz milk bottle for my bro's baby, still have not use it but looks smaller than I think.a little bit of smelly, hope the baby will like it.</v>
      </c>
    </row>
    <row r="12162">
      <c r="A12162" s="1">
        <v>4.0</v>
      </c>
      <c r="B12162" s="1" t="s">
        <v>12053</v>
      </c>
      <c r="C12162" t="str">
        <f>IFERROR(__xludf.DUMMYFUNCTION("GOOGLETRANSLATE(B12162, ""zh"", ""en"")"),"General appearance is too large, it is not so fashionable, a little soil, worn feeling a little hypertrophy, exercise caution to start focusing on style")</f>
        <v>General appearance is too large, it is not so fashionable, a little soil, worn feeling a little hypertrophy, exercise caution to start focusing on style</v>
      </c>
    </row>
    <row r="12163">
      <c r="A12163" s="1">
        <v>5.0</v>
      </c>
      <c r="B12163" s="1" t="s">
        <v>12054</v>
      </c>
      <c r="C12163" t="str">
        <f>IFERROR(__xludf.DUMMYFUNCTION("GOOGLETRANSLATE(B12163, ""zh"", ""en"")"),"Satisfied with the price is right, the country has not seen this")</f>
        <v>Satisfied with the price is right, the country has not seen this</v>
      </c>
    </row>
    <row r="12164">
      <c r="A12164" s="1">
        <v>5.0</v>
      </c>
      <c r="B12164" s="1" t="s">
        <v>12055</v>
      </c>
      <c r="C12164" t="str">
        <f>IFERROR(__xludf.DUMMYFUNCTION("GOOGLETRANSLATE(B12164, ""zh"", ""en"")"),"DT880 the first time flagship feels good to better to burn some time to believe! !")</f>
        <v>DT880 the first time flagship feels good to better to burn some time to believe! !</v>
      </c>
    </row>
    <row r="12165">
      <c r="A12165" s="1">
        <v>5.0</v>
      </c>
      <c r="B12165" s="1" t="s">
        <v>12056</v>
      </c>
      <c r="C12165" t="str">
        <f>IFERROR(__xludf.DUMMYFUNCTION("GOOGLETRANSLATE(B12165, ""zh"", ""en"")"),"I tried very, very good, very suitable for summer wear, thin, not so out of the sweating. Since then, I believe this and bought the underwear bad pictures, I bought the 182, 38.9 home taxes, look at how many other buyers to buy into.")</f>
        <v>I tried very, very good, very suitable for summer wear, thin, not so out of the sweating. Since then, I believe this and bought the underwear bad pictures, I bought the 182, 38.9 home taxes, look at how many other buyers to buy into.</v>
      </c>
    </row>
    <row r="12166">
      <c r="A12166" s="1">
        <v>5.0</v>
      </c>
      <c r="B12166" s="1" t="s">
        <v>12057</v>
      </c>
      <c r="C12166" t="str">
        <f>IFERROR(__xludf.DUMMYFUNCTION("GOOGLETRANSLATE(B12166, ""zh"", ""en"")"),"Oh well can, cost-effective, for 6730, the five-star")</f>
        <v>Oh well can, cost-effective, for 6730, the five-star</v>
      </c>
    </row>
    <row r="12167">
      <c r="A12167" s="1">
        <v>5.0</v>
      </c>
      <c r="B12167" s="1" t="s">
        <v>12058</v>
      </c>
      <c r="C12167" t="str">
        <f>IFERROR(__xludf.DUMMYFUNCTION("GOOGLETRANSLATE(B12167, ""zh"", ""en"")"),"Good size at first to the usual anti-Kee Di 42.5 No. 9 entirely appropriate. Wearing a very comfortable position above the ankle is not handled properly wear the ankle line")</f>
        <v>Good size at first to the usual anti-Kee Di 42.5 No. 9 entirely appropriate. Wearing a very comfortable position above the ankle is not handled properly wear the ankle line</v>
      </c>
    </row>
    <row r="12168">
      <c r="A12168" s="1">
        <v>5.0</v>
      </c>
      <c r="B12168" s="1" t="s">
        <v>12059</v>
      </c>
      <c r="C12168" t="str">
        <f>IFERROR(__xludf.DUMMYFUNCTION("GOOGLETRANSLATE(B12168, ""zh"", ""en"")"),"good 40.5 feet to buy male 9.5 female models wearing a little bit tight feet careful to buy fat")</f>
        <v>good 40.5 feet to buy male 9.5 female models wearing a little bit tight feet careful to buy fat</v>
      </c>
    </row>
    <row r="12169">
      <c r="A12169" s="1">
        <v>5.0</v>
      </c>
      <c r="B12169" s="1" t="s">
        <v>12060</v>
      </c>
      <c r="C12169" t="str">
        <f>IFERROR(__xludf.DUMMYFUNCTION("GOOGLETRANSLATE(B12169, ""zh"", ""en"")"),"Comfort, fit, so comfortable wool material, Atsugi exquisite workmanship, the right size")</f>
        <v>Comfort, fit, so comfortable wool material, Atsugi exquisite workmanship, the right size</v>
      </c>
    </row>
    <row r="12170">
      <c r="A12170" s="1">
        <v>5.0</v>
      </c>
      <c r="B12170" s="1" t="s">
        <v>12061</v>
      </c>
      <c r="C12170" t="str">
        <f>IFERROR(__xludf.DUMMYFUNCTION("GOOGLETRANSLATE(B12170, ""zh"", ""en"")"),"Good good product quality is really super super good, oh! This is a very good choice! ! ! ! ! ! ! ! ! ! ! ! ! !")</f>
        <v>Good good product quality is really super super good, oh! This is a very good choice! ! ! ! ! ! ! ! ! ! ! ! ! !</v>
      </c>
    </row>
    <row r="12171">
      <c r="A12171" s="1">
        <v>5.0</v>
      </c>
      <c r="B12171" s="1" t="s">
        <v>12062</v>
      </c>
      <c r="C12171" t="str">
        <f>IFERROR(__xludf.DUMMYFUNCTION("GOOGLETRANSLATE(B12171, ""zh"", ""en"")"),"Very light, good texture is very light, texture is also very good insulation effect did not say")</f>
        <v>Very light, good texture is very light, texture is also very good insulation effect did not say</v>
      </c>
    </row>
    <row r="12172">
      <c r="A12172" s="1">
        <v>5.0</v>
      </c>
      <c r="B12172" s="1" t="s">
        <v>12063</v>
      </c>
      <c r="C12172" t="str">
        <f>IFERROR(__xludf.DUMMYFUNCTION("GOOGLETRANSLATE(B12172, ""zh"", ""en"")"),"Good clothes is not hard elastic, is what you wanted, wearing just a bit longer than expected")</f>
        <v>Good clothes is not hard elastic, is what you wanted, wearing just a bit longer than expected</v>
      </c>
    </row>
    <row r="12173">
      <c r="A12173" s="1">
        <v>5.0</v>
      </c>
      <c r="B12173" s="1" t="s">
        <v>12064</v>
      </c>
      <c r="C12173" t="str">
        <f>IFERROR(__xludf.DUMMYFUNCTION("GOOGLETRANSLATE(B12173, ""zh"", ""en"")"),"Okay okay hat style, material a little thin, a little hat too long, on the whole can.")</f>
        <v>Okay okay hat style, material a little thin, a little hat too long, on the whole can.</v>
      </c>
    </row>
    <row r="12174">
      <c r="A12174" s="1">
        <v>5.0</v>
      </c>
      <c r="B12174" s="1" t="s">
        <v>12065</v>
      </c>
      <c r="C12174" t="str">
        <f>IFERROR(__xludf.DUMMYFUNCTION("GOOGLETRANSLATE(B12174, ""zh"", ""en"")"),"US Amazon or something trustworthy things did not have to say exactly when genuine original US goods go")</f>
        <v>US Amazon or something trustworthy things did not have to say exactly when genuine original US goods go</v>
      </c>
    </row>
    <row r="12175">
      <c r="A12175" s="1">
        <v>5.0</v>
      </c>
      <c r="B12175" s="1" t="s">
        <v>12066</v>
      </c>
      <c r="C12175" t="str">
        <f>IFERROR(__xludf.DUMMYFUNCTION("GOOGLETRANSLATE(B12175, ""zh"", ""en"")"),"Good daughter liked, prefer to drink again!")</f>
        <v>Good daughter liked, prefer to drink again!</v>
      </c>
    </row>
    <row r="12176">
      <c r="A12176" s="1">
        <v>5.0</v>
      </c>
      <c r="B12176" s="1" t="s">
        <v>12067</v>
      </c>
      <c r="C12176" t="str">
        <f>IFERROR(__xludf.DUMMYFUNCTION("GOOGLETRANSLATE(B12176, ""zh"", ""en"")"),"Brita Bi Zander Maxtra + cartridge 12 when the package sent, received, although white box has a little bad, and still there's something still alive, has begun to use, very good")</f>
        <v>Brita Bi Zander Maxtra + cartridge 12 when the package sent, received, although white box has a little bad, and still there's something still alive, has begun to use, very good</v>
      </c>
    </row>
    <row r="12177">
      <c r="A12177" s="1">
        <v>5.0</v>
      </c>
      <c r="B12177" s="1" t="s">
        <v>12068</v>
      </c>
      <c r="C12177" t="str">
        <f>IFERROR(__xludf.DUMMYFUNCTION("GOOGLETRANSLATE(B12177, ""zh"", ""en"")"),"Very comfortable to wear this price is worth it, but it feels a little fat than expected, compared to the W33 levis be a little more fat, it is estimated W32 is more appropriate. But overall very comfortable to wear")</f>
        <v>Very comfortable to wear this price is worth it, but it feels a little fat than expected, compared to the W33 levis be a little more fat, it is estimated W32 is more appropriate. But overall very comfortable to wear</v>
      </c>
    </row>
    <row r="12178">
      <c r="A12178" s="1">
        <v>5.0</v>
      </c>
      <c r="B12178" s="1" t="s">
        <v>12069</v>
      </c>
      <c r="C12178" t="str">
        <f>IFERROR(__xludf.DUMMYFUNCTION("GOOGLETRANSLATE(B12178, ""zh"", ""en"")"),"Thermostat very good 10 years ago a friend sent me a Sanei faucet is still used today in normal use, the thermostat leading overseas purchase saw immediately bought a set, really good.")</f>
        <v>Thermostat very good 10 years ago a friend sent me a Sanei faucet is still used today in normal use, the thermostat leading overseas purchase saw immediately bought a set, really good.</v>
      </c>
    </row>
    <row r="12179">
      <c r="A12179" s="1">
        <v>5.0</v>
      </c>
      <c r="B12179" s="1" t="s">
        <v>12070</v>
      </c>
      <c r="C12179" t="str">
        <f>IFERROR(__xludf.DUMMYFUNCTION("GOOGLETRANSLATE(B12179, ""zh"", ""en"")"),"Love the watch very much, perfect detail precisely when to go")</f>
        <v>Love the watch very much, perfect detail precisely when to go</v>
      </c>
    </row>
    <row r="12180">
      <c r="A12180" s="1">
        <v>5.0</v>
      </c>
      <c r="B12180" s="1" t="s">
        <v>12071</v>
      </c>
      <c r="C12180" t="str">
        <f>IFERROR(__xludf.DUMMYFUNCTION("GOOGLETRANSLATE(B12180, ""zh"", ""en"")"),"Great height 183, weight 80, shoulder width 51cm, which will normally sets a hooded sweater, wearing L code just right. As many people say Sleeve, I really did not feel the sleeves for me, just being good, if a little short will reach arm (see photo effec"&amp;"ts) may I long arms, buy a shirt in Taobao shop are generally too short sleeves.")</f>
        <v>Great height 183, weight 80, shoulder width 51cm, which will normally sets a hooded sweater, wearing L code just right. As many people say Sleeve, I really did not feel the sleeves for me, just being good, if a little short will reach arm (see photo effects) may I long arms, buy a shirt in Taobao shop are generally too short sleeves.</v>
      </c>
    </row>
    <row r="12181">
      <c r="A12181" s="1">
        <v>5.0</v>
      </c>
      <c r="B12181" s="1" t="s">
        <v>12072</v>
      </c>
      <c r="C12181" t="str">
        <f>IFERROR(__xludf.DUMMYFUNCTION("GOOGLETRANSLATE(B12181, ""zh"", ""en"")"),"Good quality is 8 a box set, really outside the direct mail, and then to China and set up a package and then home by the Amazon Express, a separate protective plastic cover on each brush, with time in the country to buy a toothbrush send brush is the same"&amp;", the hair is very soft and have already used it, feel good, the true value discount ~")</f>
        <v>Good quality is 8 a box set, really outside the direct mail, and then to China and set up a package and then home by the Amazon Express, a separate protective plastic cover on each brush, with time in the country to buy a toothbrush send brush is the same, the hair is very soft and have already used it, feel good, the true value discount ~</v>
      </c>
    </row>
    <row r="12182">
      <c r="A12182" s="1">
        <v>5.0</v>
      </c>
      <c r="B12182" s="1" t="s">
        <v>12073</v>
      </c>
      <c r="C12182" t="str">
        <f>IFERROR(__xludf.DUMMYFUNCTION("GOOGLETRANSLATE(B12182, ""zh"", ""en"")"),"Good good, comfortable to wear. And imagine the same")</f>
        <v>Good good, comfortable to wear. And imagine the same</v>
      </c>
    </row>
    <row r="12183">
      <c r="A12183" s="1">
        <v>5.0</v>
      </c>
      <c r="B12183" s="1" t="s">
        <v>12074</v>
      </c>
      <c r="C12183" t="str">
        <f>IFERROR(__xludf.DUMMYFUNCTION("GOOGLETRANSLATE(B12183, ""zh"", ""en"")"),"Quality good quality eastpak a packet package is not too say, very good, very appropriate size of the parcel, the color looks good, very much.")</f>
        <v>Quality good quality eastpak a packet package is not too say, very good, very appropriate size of the parcel, the color looks good, very much.</v>
      </c>
    </row>
    <row r="12184">
      <c r="A12184" s="1">
        <v>5.0</v>
      </c>
      <c r="B12184" s="1" t="s">
        <v>12075</v>
      </c>
      <c r="C12184" t="str">
        <f>IFERROR(__xludf.DUMMYFUNCTION("GOOGLETRANSLATE(B12184, ""zh"", ""en"")"),"Food supplement still is relatively thick plastic box, watching the quality is better. Store baby food supplement, it is hoped to buy foreign brands do not contain toxic ingredients.")</f>
        <v>Food supplement still is relatively thick plastic box, watching the quality is better. Store baby food supplement, it is hoped to buy foreign brands do not contain toxic ingredients.</v>
      </c>
    </row>
    <row r="12185">
      <c r="A12185" s="1">
        <v>2.0</v>
      </c>
      <c r="B12185" s="1" t="s">
        <v>12076</v>
      </c>
      <c r="C12185" t="str">
        <f>IFERROR(__xludf.DUMMYFUNCTION("GOOGLETRANSLATE(B12185, ""zh"", ""en"")"),"Loose pen pen loose. While not affecting the daily writing, but for patients with obsessive-compulsive disorder who simply can not tolerate. It has applied for a replacement. If in exchange for a new pen or so, it would be too disappointed. Writing experi"&amp;"ence to talk about it. f Ling US with tip of sharp thickness ef almost even finer. The water is not too smooth, even in the fast write-off. Fluency and stars can not compare, but still very affordable, low price thing.")</f>
        <v>Loose pen pen loose. While not affecting the daily writing, but for patients with obsessive-compulsive disorder who simply can not tolerate. It has applied for a replacement. If in exchange for a new pen or so, it would be too disappointed. Writing experience to talk about it. f Ling US with tip of sharp thickness ef almost even finer. The water is not too smooth, even in the fast write-off. Fluency and stars can not compare, but still very affordable, low price thing.</v>
      </c>
    </row>
    <row r="12186">
      <c r="A12186" s="1">
        <v>3.0</v>
      </c>
      <c r="B12186" s="1" t="s">
        <v>12077</v>
      </c>
      <c r="C12186" t="str">
        <f>IFERROR(__xludf.DUMMYFUNCTION("GOOGLETRANSLATE(B12186, ""zh"", ""en"")"),"Cuff is too large overall okay, if the cuff in a small two centimeters is more perfect")</f>
        <v>Cuff is too large overall okay, if the cuff in a small two centimeters is more perfect</v>
      </c>
    </row>
    <row r="12187">
      <c r="A12187" s="1">
        <v>3.0</v>
      </c>
      <c r="B12187" s="1" t="s">
        <v>12078</v>
      </c>
      <c r="C12187" t="str">
        <f>IFERROR(__xludf.DUMMYFUNCTION("GOOGLETRANSLATE(B12187, ""zh"", ""en"")"),"There is no comfort at all there is no comfort at all, hard, foot wear, these shoes will sell it looks nice")</f>
        <v>There is no comfort at all there is no comfort at all, hard, foot wear, these shoes will sell it looks nice</v>
      </c>
    </row>
    <row r="12188">
      <c r="A12188" s="1">
        <v>1.0</v>
      </c>
      <c r="B12188" s="1" t="s">
        <v>12079</v>
      </c>
      <c r="C12188" t="str">
        <f>IFERROR(__xludf.DUMMYFUNCTION("GOOGLETRANSLATE(B12188, ""zh"", ""en"")"),"Non-Seamless underwear Do not be misled by this rotten translated, put on display with effect on the same picture, there are obvious signs below, non trace underwear.")</f>
        <v>Non-Seamless underwear Do not be misled by this rotten translated, put on display with effect on the same picture, there are obvious signs below, non trace underwear.</v>
      </c>
    </row>
    <row r="12189">
      <c r="A12189" s="1">
        <v>1.0</v>
      </c>
      <c r="B12189" s="1" t="s">
        <v>12080</v>
      </c>
      <c r="C12189" t="str">
        <f>IFERROR(__xludf.DUMMYFUNCTION("GOOGLETRANSLATE(B12189, ""zh"", ""en"")"),"Pro Poor sell futures Amazon now increasingly unkind to sell futures Pro does not specify what the end of September due to expire in December bought a fundamental eat Poor")</f>
        <v>Pro Poor sell futures Amazon now increasingly unkind to sell futures Pro does not specify what the end of September due to expire in December bought a fundamental eat Poor</v>
      </c>
    </row>
    <row r="12190">
      <c r="A12190" s="1">
        <v>1.0</v>
      </c>
      <c r="B12190" s="1" t="s">
        <v>12081</v>
      </c>
      <c r="C12190" t="str">
        <f>IFERROR(__xludf.DUMMYFUNCTION("GOOGLETRANSLATE(B12190, ""zh"", ""en"")"),"Good screw-down crown just get on the bad")</f>
        <v>Good screw-down crown just get on the bad</v>
      </c>
    </row>
    <row r="12191">
      <c r="A12191" s="1">
        <v>4.0</v>
      </c>
      <c r="B12191" s="1" t="s">
        <v>12082</v>
      </c>
      <c r="C12191" t="str">
        <f>IFERROR(__xludf.DUMMYFUNCTION("GOOGLETRANSLATE(B12191, ""zh"", ""en"")"),"According to the normal size should buy on the line from the fabric feels good, but comparing her husband to buy their own back from Germany, embroidery always feel like quite the thing, a close look at the picture inside a green collar, did not get the g"&amp;"oods but I still want to believe this is genuine, wear the version no problem")</f>
        <v>According to the normal size should buy on the line from the fabric feels good, but comparing her husband to buy their own back from Germany, embroidery always feel like quite the thing, a close look at the picture inside a green collar, did not get the goods but I still want to believe this is genuine, wear the version no problem</v>
      </c>
    </row>
    <row r="12192">
      <c r="A12192" s="1">
        <v>4.0</v>
      </c>
      <c r="B12192" s="1" t="s">
        <v>12083</v>
      </c>
      <c r="C12192" t="str">
        <f>IFERROR(__xludf.DUMMYFUNCTION("GOOGLETRANSLATE(B12192, ""zh"", ""en"")"),"Cost-effective cost-effective, good experience with them, fried steak, pancakes, salmon can be a")</f>
        <v>Cost-effective cost-effective, good experience with them, fried steak, pancakes, salmon can be a</v>
      </c>
    </row>
    <row r="12193">
      <c r="A12193" s="1">
        <v>4.0</v>
      </c>
      <c r="B12193" s="1" t="s">
        <v>12084</v>
      </c>
      <c r="C12193" t="str">
        <f>IFERROR(__xludf.DUMMYFUNCTION("GOOGLETRANSLATE(B12193, ""zh"", ""en"")"),"Health care products taste good taste good, adults and children are very favorite.")</f>
        <v>Health care products taste good taste good, adults and children are very favorite.</v>
      </c>
    </row>
    <row r="12194">
      <c r="A12194" s="1">
        <v>4.0</v>
      </c>
      <c r="B12194" s="1" t="s">
        <v>12085</v>
      </c>
      <c r="C12194" t="str">
        <f>IFERROR(__xludf.DUMMYFUNCTION("GOOGLETRANSLATE(B12194, ""zh"", ""en"")"),"Okay bra with the movement inside the sponge will stop changing positions. Other good")</f>
        <v>Okay bra with the movement inside the sponge will stop changing positions. Other good</v>
      </c>
    </row>
    <row r="12195">
      <c r="A12195" s="1">
        <v>5.0</v>
      </c>
      <c r="B12195" s="1" t="s">
        <v>12086</v>
      </c>
      <c r="C12195" t="str">
        <f>IFERROR(__xludf.DUMMYFUNCTION("GOOGLETRANSLATE(B12195, ""zh"", ""en"")"),"Satisfied with my 172cm, 62kg, buy the US version of Shakespeare is s code version to freshman size, choose the size of a large time to pay attention to this issue, what is definitely the most authentic impress origin of Honduras, signs are complete, a li"&amp;"ttle higher tariffs others are good, next time buy time to buy a membership.")</f>
        <v>Satisfied with my 172cm, 62kg, buy the US version of Shakespeare is s code version to freshman size, choose the size of a large time to pay attention to this issue, what is definitely the most authentic impress origin of Honduras, signs are complete, a little higher tariffs others are good, next time buy time to buy a membership.</v>
      </c>
    </row>
    <row r="12196">
      <c r="A12196" s="1">
        <v>5.0</v>
      </c>
      <c r="B12196" s="1" t="s">
        <v>12087</v>
      </c>
      <c r="C12196" t="str">
        <f>IFERROR(__xludf.DUMMYFUNCTION("GOOGLETRANSLATE(B12196, ""zh"", ""en"")"),"Soft and easy to use, relatively large toothbrush, brush your teeth soon! like very much!")</f>
        <v>Soft and easy to use, relatively large toothbrush, brush your teeth soon! like very much!</v>
      </c>
    </row>
    <row r="12197">
      <c r="A12197" s="1">
        <v>5.0</v>
      </c>
      <c r="B12197" s="1" t="s">
        <v>12088</v>
      </c>
      <c r="C12197" t="str">
        <f>IFERROR(__xludf.DUMMYFUNCTION("GOOGLETRANSLATE(B12197, ""zh"", ""en"")"),"Online shopping is often just the right size, about the size, the size of your waist plus 7, absolutely fit. I 177,70kg, 2 feet 5 waist, w32l32 perfect. If the number of short height or higher long pants plus or minus own discretion.")</f>
        <v>Online shopping is often just the right size, about the size, the size of your waist plus 7, absolutely fit. I 177,70kg, 2 feet 5 waist, w32l32 perfect. If the number of short height or higher long pants plus or minus own discretion.</v>
      </c>
    </row>
    <row r="12198">
      <c r="A12198" s="1">
        <v>5.0</v>
      </c>
      <c r="B12198" s="1" t="s">
        <v>12089</v>
      </c>
      <c r="C12198" t="str">
        <f>IFERROR(__xludf.DUMMYFUNCTION("GOOGLETRANSLATE(B12198, ""zh"", ""en"")"),"Good quality is very good quality, but a little big, the equivalent of No. 36 36.5")</f>
        <v>Good quality is very good quality, but a little big, the equivalent of No. 36 36.5</v>
      </c>
    </row>
    <row r="12199">
      <c r="A12199" s="1">
        <v>5.0</v>
      </c>
      <c r="B12199" s="1" t="s">
        <v>12090</v>
      </c>
      <c r="C12199" t="str">
        <f>IFERROR(__xludf.DUMMYFUNCTION("GOOGLETRANSLATE(B12199, ""zh"", ""en"")"),"Easy to use very bright colors, very good use, like India bought almost a full set of")</f>
        <v>Easy to use very bright colors, very good use, like India bought almost a full set of</v>
      </c>
    </row>
    <row r="12200">
      <c r="A12200" s="1">
        <v>5.0</v>
      </c>
      <c r="B12200" s="1" t="s">
        <v>12091</v>
      </c>
      <c r="C12200" t="str">
        <f>IFERROR(__xludf.DUMMYFUNCTION("GOOGLETRANSLATE(B12200, ""zh"", ""en"")"),"Yesterday I received a single 10 under, 12 received, logistics companies can say ZY covered up what chapter in the goods, said he needed money to look at the goods, a little depressed. I single out a note to look at the goods. . Watch the whole pretty goo"&amp;"d, looks good, is to work as the waters of the strap point, from 5:00 yesterday afternoon to now there is no speed, very accurate, then take two days to see! Good luminous effect, I love it (personal opinion), but said that does not seem so strong waterpr"&amp;"oof it, it may not be 30 meters, only proof of daily life, but can not take a bath on the instructions! In addition, I share with you how very down to see the experience of the goods, ha ha, 1, when orders require credit card 2, the goods to back, the car"&amp;"d to him, let him brush, so you can look for it! 3. Quality OK payment not OK, hey, just lost a few figures on OK, then 4. Logistics, said not credit card, you also say that they do not have cash, how to do it? Only slightly back")</f>
        <v>Yesterday I received a single 10 under, 12 received, logistics companies can say ZY covered up what chapter in the goods, said he needed money to look at the goods, a little depressed. I single out a note to look at the goods. . Watch the whole pretty good, looks good, is to work as the waters of the strap point, from 5:00 yesterday afternoon to now there is no speed, very accurate, then take two days to see! Good luminous effect, I love it (personal opinion), but said that does not seem so strong waterproof it, it may not be 30 meters, only proof of daily life, but can not take a bath on the instructions! In addition, I share with you how very down to see the experience of the goods, ha ha, 1, when orders require credit card 2, the goods to back, the card to him, let him brush, so you can look for it! 3. Quality OK payment not OK, hey, just lost a few figures on OK, then 4. Logistics, said not credit card, you also say that they do not have cash, how to do it? Only slightly back</v>
      </c>
    </row>
    <row r="12201">
      <c r="A12201" s="1">
        <v>5.0</v>
      </c>
      <c r="B12201" s="1" t="s">
        <v>12092</v>
      </c>
      <c r="C12201" t="str">
        <f>IFERROR(__xludf.DUMMYFUNCTION("GOOGLETRANSLATE(B12201, ""zh"", ""en"")"),"Height 185 weight 85KG waist 92 waist I wear this size is slightly a little fat, is acceptable. First resilient jeans wear very comfortable ~")</f>
        <v>Height 185 weight 85KG waist 92 waist I wear this size is slightly a little fat, is acceptable. First resilient jeans wear very comfortable ~</v>
      </c>
    </row>
    <row r="12202">
      <c r="A12202" s="1">
        <v>5.0</v>
      </c>
      <c r="B12202" s="1" t="s">
        <v>12093</v>
      </c>
      <c r="C12202" t="str">
        <f>IFERROR(__xludf.DUMMYFUNCTION("GOOGLETRANSLATE(B12202, ""zh"", ""en"")"),"As a whole can also accept the overall good, but somewhat simple work, if recommended index is 10, it can recommend 7 stars")</f>
        <v>As a whole can also accept the overall good, but somewhat simple work, if recommended index is 10, it can recommend 7 stars</v>
      </c>
    </row>
    <row r="12203">
      <c r="A12203" s="1">
        <v>5.0</v>
      </c>
      <c r="B12203" s="1" t="s">
        <v>12094</v>
      </c>
      <c r="C12203" t="str">
        <f>IFERROR(__xludf.DUMMYFUNCTION("GOOGLETRANSLATE(B12203, ""zh"", ""en"")"),"Postpartum good thing my wife used after caesarean section, you can also feel the effect of the use, value.")</f>
        <v>Postpartum good thing my wife used after caesarean section, you can also feel the effect of the use, value.</v>
      </c>
    </row>
    <row r="12204">
      <c r="A12204" s="1">
        <v>5.0</v>
      </c>
      <c r="B12204" s="1" t="s">
        <v>12095</v>
      </c>
      <c r="C12204" t="str">
        <f>IFERROR(__xludf.DUMMYFUNCTION("GOOGLETRANSLATE(B12204, ""zh"", ""en"")"),"😄 noise can also be a little big, plug a little big, the whole is good")</f>
        <v>😄 noise can also be a little big, plug a little big, the whole is good</v>
      </c>
    </row>
    <row r="12205">
      <c r="A12205" s="1">
        <v>5.0</v>
      </c>
      <c r="B12205" s="1" t="s">
        <v>12096</v>
      </c>
      <c r="C12205" t="str">
        <f>IFERROR(__xludf.DUMMYFUNCTION("GOOGLETRANSLATE(B12205, ""zh"", ""en"")"),"NB US-produced very good comfort, good-looking, truly the sole technical content. Pigskin, rain wear to be careful")</f>
        <v>NB US-produced very good comfort, good-looking, truly the sole technical content. Pigskin, rain wear to be careful</v>
      </c>
    </row>
    <row r="12206">
      <c r="A12206" s="1">
        <v>5.0</v>
      </c>
      <c r="B12206" s="1" t="s">
        <v>12097</v>
      </c>
      <c r="C12206" t="str">
        <f>IFERROR(__xludf.DUMMYFUNCTION("GOOGLETRANSLATE(B12206, ""zh"", ""en"")"),"Dea good merchandise, goods sent from England, I do not know why. But the quality of goods did not say, less than an hour charge on the full, my father used to buy. The box is not very new, but there's something new. Plugged in charging wire can not be us"&amp;"ed, you must pull the line can be used. A little intelligence. Origin is not China.")</f>
        <v>Dea good merchandise, goods sent from England, I do not know why. But the quality of goods did not say, less than an hour charge on the full, my father used to buy. The box is not very new, but there's something new. Plugged in charging wire can not be used, you must pull the line can be used. A little intelligence. Origin is not China.</v>
      </c>
    </row>
    <row r="12207">
      <c r="A12207" s="1">
        <v>5.0</v>
      </c>
      <c r="B12207" s="1" t="s">
        <v>12098</v>
      </c>
      <c r="C12207" t="str">
        <f>IFERROR(__xludf.DUMMYFUNCTION("GOOGLETRANSLATE(B12207, ""zh"", ""en"")"),"Good shopping experience wear fit, good courier service. The high cost. 170/85 kg. Election 38/30. Good shopping experience.")</f>
        <v>Good shopping experience wear fit, good courier service. The high cost. 170/85 kg. Election 38/30. Good shopping experience.</v>
      </c>
    </row>
    <row r="12208">
      <c r="A12208" s="1">
        <v>5.0</v>
      </c>
      <c r="B12208" s="1" t="s">
        <v>12099</v>
      </c>
      <c r="C12208" t="str">
        <f>IFERROR(__xludf.DUMMYFUNCTION("GOOGLETRANSLATE(B12208, ""zh"", ""en"")"),"Good things good, high color value, after it intends to double Fanmao")</f>
        <v>Good things good, high color value, after it intends to double Fanmao</v>
      </c>
    </row>
    <row r="12209">
      <c r="A12209" s="1">
        <v>5.0</v>
      </c>
      <c r="B12209" s="1" t="s">
        <v>12100</v>
      </c>
      <c r="C12209" t="str">
        <f>IFERROR(__xludf.DUMMYFUNCTION("GOOGLETRANSLATE(B12209, ""zh"", ""en"")"),"Great! Very standard size, color is very positive, anti-wrinkle effect is the best I have seen a really can iron-free!")</f>
        <v>Great! Very standard size, color is very positive, anti-wrinkle effect is the best I have seen a really can iron-free!</v>
      </c>
    </row>
    <row r="12210">
      <c r="A12210" s="1">
        <v>5.0</v>
      </c>
      <c r="B12210" s="1" t="s">
        <v>12101</v>
      </c>
      <c r="C12210" t="str">
        <f>IFERROR(__xludf.DUMMYFUNCTION("GOOGLETRANSLATE(B12210, ""zh"", ""en"")"),"Something good, something good looking, good-looking very handsome, you can adjust the size of the")</f>
        <v>Something good, something good looking, good-looking very handsome, you can adjust the size of the</v>
      </c>
    </row>
    <row r="12211">
      <c r="A12211" s="1">
        <v>5.0</v>
      </c>
      <c r="B12211" s="1" t="s">
        <v>12102</v>
      </c>
      <c r="C12211" t="str">
        <f>IFERROR(__xludf.DUMMYFUNCTION("GOOGLETRANSLATE(B12211, ""zh"", ""en"")"),"Swelling good to wear, leg edema hope to solve my problem, after getting smaller.")</f>
        <v>Swelling good to wear, leg edema hope to solve my problem, after getting smaller.</v>
      </c>
    </row>
    <row r="12212">
      <c r="A12212" s="1">
        <v>5.0</v>
      </c>
      <c r="B12212" s="1" t="s">
        <v>12103</v>
      </c>
      <c r="C12212" t="str">
        <f>IFERROR(__xludf.DUMMYFUNCTION("GOOGLETRANSLATE(B12212, ""zh"", ""en"")"),"Back, I bought a small good quality, but buy small!")</f>
        <v>Back, I bought a small good quality, but buy small!</v>
      </c>
    </row>
    <row r="12213">
      <c r="A12213" s="1">
        <v>5.0</v>
      </c>
      <c r="B12213" s="1" t="s">
        <v>12104</v>
      </c>
      <c r="C12213" t="str">
        <f>IFERROR(__xludf.DUMMYFUNCTION("GOOGLETRANSLATE(B12213, ""zh"", ""en"")"),"Like the hat also can work very well, I love it.")</f>
        <v>Like the hat also can work very well, I love it.</v>
      </c>
    </row>
    <row r="12214">
      <c r="A12214" s="1">
        <v>5.0</v>
      </c>
      <c r="B12214" s="1" t="s">
        <v>12105</v>
      </c>
      <c r="C12214" t="str">
        <f>IFERROR(__xludf.DUMMYFUNCTION("GOOGLETRANSLATE(B12214, ""zh"", ""en"")"),"Convenient and practical value of the high Yen Yen first open feeling great value, because the double, so when the two with a convenient also lot! Material feel good, go out with a meal do not worry about cold today.")</f>
        <v>Convenient and practical value of the high Yen Yen first open feeling great value, because the double, so when the two with a convenient also lot! Material feel good, go out with a meal do not worry about cold today.</v>
      </c>
    </row>
    <row r="12215">
      <c r="A12215" s="1">
        <v>5.0</v>
      </c>
      <c r="B12215" s="1" t="s">
        <v>12106</v>
      </c>
      <c r="C12215" t="str">
        <f>IFERROR(__xludf.DUMMYFUNCTION("GOOGLETRANSLATE(B12215, ""zh"", ""en"")"),"About M yardage Uniqlo I usually wear M code to buy my own M, about 116 pounds, not too tight, wash more than a few times, wear more than a few times, it will loose a little I have a friend who bought a L, about 120 pounds , about the same height, but L w"&amp;"ill not be great, very appropriate, may he was a relatively strong L code suitable for single-wear, but also cool.")</f>
        <v>About M yardage Uniqlo I usually wear M code to buy my own M, about 116 pounds, not too tight, wash more than a few times, wear more than a few times, it will loose a little I have a friend who bought a L, about 120 pounds , about the same height, but L will not be great, very appropriate, may he was a relatively strong L code suitable for single-wear, but also cool.</v>
      </c>
    </row>
    <row r="12216">
      <c r="A12216" s="1">
        <v>5.0</v>
      </c>
      <c r="B12216" s="1" t="s">
        <v>12107</v>
      </c>
      <c r="C12216" t="str">
        <f>IFERROR(__xludf.DUMMYFUNCTION("GOOGLETRANSLATE(B12216, ""zh"", ""en"")"),"Suitable to wear in spring and autumn spring and autumn more appropriate, Length short paragraph.")</f>
        <v>Suitable to wear in spring and autumn spring and autumn more appropriate, Length short paragraph.</v>
      </c>
    </row>
    <row r="12217">
      <c r="A12217" s="1">
        <v>2.0</v>
      </c>
      <c r="B12217" s="1" t="s">
        <v>12108</v>
      </c>
      <c r="C12217" t="str">
        <f>IFERROR(__xludf.DUMMYFUNCTION("GOOGLETRANSLATE(B12217, ""zh"", ""en"")"),"Good color and high-top at the mall to buy a little different, the same quality, foot wear very comfortable.")</f>
        <v>Good color and high-top at the mall to buy a little different, the same quality, foot wear very comfortable.</v>
      </c>
    </row>
    <row r="12218">
      <c r="A12218" s="1">
        <v>3.0</v>
      </c>
      <c r="B12218" s="1" t="s">
        <v>12109</v>
      </c>
      <c r="C12218" t="str">
        <f>IFERROR(__xludf.DUMMYFUNCTION("GOOGLETRANSLATE(B12218, ""zh"", ""en"")"),"Ah can also use the first, the second to die, do not know Editor's Note it?")</f>
        <v>Ah can also use the first, the second to die, do not know Editor's Note it?</v>
      </c>
    </row>
    <row r="12219">
      <c r="A12219" s="1">
        <v>3.0</v>
      </c>
      <c r="B12219" s="1" t="s">
        <v>12110</v>
      </c>
      <c r="C12219" t="str">
        <f>IFERROR(__xludf.DUMMYFUNCTION("GOOGLETRANSLATE(B12219, ""zh"", ""en"")"),"This oversized pants loose pants version is the type of big, long pants recommended size when buying a smaller size than usual to be.")</f>
        <v>This oversized pants loose pants version is the type of big, long pants recommended size when buying a smaller size than usual to be.</v>
      </c>
    </row>
    <row r="12220">
      <c r="A12220" s="1">
        <v>3.0</v>
      </c>
      <c r="B12220" s="1" t="s">
        <v>12111</v>
      </c>
      <c r="C12220" t="str">
        <f>IFERROR(__xludf.DUMMYFUNCTION("GOOGLETRANSLATE(B12220, ""zh"", ""en"")"),"Advertising should again more carefully. Color is inconsistent with the sales picture.")</f>
        <v>Advertising should again more carefully. Color is inconsistent with the sales picture.</v>
      </c>
    </row>
    <row r="12221">
      <c r="A12221" s="1">
        <v>1.0</v>
      </c>
      <c r="B12221" s="1" t="s">
        <v>12112</v>
      </c>
      <c r="C12221" t="str">
        <f>IFERROR(__xludf.DUMMYFUNCTION("GOOGLETRANSLATE(B12221, ""zh"", ""en"")"),"Oh no clatter add a layer of cardboard packaging, direct mail me to give up, and the country issued the pass, sending the capsule was lost")</f>
        <v>Oh no clatter add a layer of cardboard packaging, direct mail me to give up, and the country issued the pass, sending the capsule was lost</v>
      </c>
    </row>
    <row r="12222">
      <c r="A12222" s="1">
        <v>1.0</v>
      </c>
      <c r="B12222" s="1" t="s">
        <v>12113</v>
      </c>
      <c r="C12222" t="str">
        <f>IFERROR(__xludf.DUMMYFUNCTION("GOOGLETRANSLATE(B12222, ""zh"", ""en"")"),"Genuine things are sent from the United States, genuine.")</f>
        <v>Genuine things are sent from the United States, genuine.</v>
      </c>
    </row>
    <row r="12223">
      <c r="A12223" s="1">
        <v>4.0</v>
      </c>
      <c r="B12223" s="1" t="s">
        <v>12114</v>
      </c>
      <c r="C12223" t="str">
        <f>IFERROR(__xludf.DUMMYFUNCTION("GOOGLETRANSLATE(B12223, ""zh"", ""en"")"),"Well water quality is generally just super good, the result is the re-emergence of scale three or four days, but did not prompt replacement")</f>
        <v>Well water quality is generally just super good, the result is the re-emergence of scale three or four days, but did not prompt replacement</v>
      </c>
    </row>
    <row r="12224">
      <c r="A12224" s="1">
        <v>4.0</v>
      </c>
      <c r="B12224" s="1" t="s">
        <v>1552</v>
      </c>
      <c r="C12224" t="str">
        <f>IFERROR(__xludf.DUMMYFUNCTION("GOOGLETRANSLATE(B12224, ""zh"", ""en"")"),"Good good, never went before the evaluation, I do not know how many wasted points, points can change money now know, they should look carefully evaluated, then I put these words to copy to go, both to earn points, but also the easy way to go where copy wh"&amp;"ere, most importantly, do not seriously review, do not think how much worse word, sent directly to it, recommend it to everyone! !")</f>
        <v>Good good, never went before the evaluation, I do not know how many wasted points, points can change money now know, they should look carefully evaluated, then I put these words to copy to go, both to earn points, but also the easy way to go where copy where, most importantly, do not seriously review, do not think how much worse word, sent directly to it, recommend it to everyone! !</v>
      </c>
    </row>
    <row r="12225">
      <c r="A12225" s="1">
        <v>4.0</v>
      </c>
      <c r="B12225" s="1" t="s">
        <v>12115</v>
      </c>
      <c r="C12225" t="str">
        <f>IFERROR(__xludf.DUMMYFUNCTION("GOOGLETRANSLATE(B12225, ""zh"", ""en"")"),"Strange version of low-waist, wide trousers, strange version, fitted waist 86")</f>
        <v>Strange version of low-waist, wide trousers, strange version, fitted waist 86</v>
      </c>
    </row>
    <row r="12226">
      <c r="A12226" s="1">
        <v>4.0</v>
      </c>
      <c r="B12226" s="1" t="s">
        <v>12116</v>
      </c>
      <c r="C12226" t="str">
        <f>IFERROR(__xludf.DUMMYFUNCTION("GOOGLETRANSLATE(B12226, ""zh"", ""en"")"),"Worth having insulation effect is good, small and exquisite cup, packed in the bag just right.")</f>
        <v>Worth having insulation effect is good, small and exquisite cup, packed in the bag just right.</v>
      </c>
    </row>
    <row r="12227">
      <c r="A12227" s="1">
        <v>4.0</v>
      </c>
      <c r="B12227" s="1" t="s">
        <v>12117</v>
      </c>
      <c r="C12227" t="str">
        <f>IFERROR(__xludf.DUMMYFUNCTION("GOOGLETRANSLATE(B12227, ""zh"", ""en"")"),"Kind darker color exhibits and photos larger, lighter-kind color darker picture. The right size, the domestic buy much code to buy much code.")</f>
        <v>Kind darker color exhibits and photos larger, lighter-kind color darker picture. The right size, the domestic buy much code to buy much code.</v>
      </c>
    </row>
    <row r="12228">
      <c r="A12228" s="1">
        <v>5.0</v>
      </c>
      <c r="B12228" s="1" t="s">
        <v>12118</v>
      </c>
      <c r="C12228" t="str">
        <f>IFERROR(__xludf.DUMMYFUNCTION("GOOGLETRANSLATE(B12228, ""zh"", ""en"")"),"Children like to choose this time to children in kindergarten, while the unselected children's section, first, to train the child to drink plenty of water and maintain normal self mouth, and second, this is a good clean, easy to filth, the third is if the"&amp;" child do not like it, adults can also be used. Have begun to use, very good insulation effect, color and shape is very pretty, and I am very fond of children. More pleasant time scouring the sea.")</f>
        <v>Children like to choose this time to children in kindergarten, while the unselected children's section, first, to train the child to drink plenty of water and maintain normal self mouth, and second, this is a good clean, easy to filth, the third is if the child do not like it, adults can also be used. Have begun to use, very good insulation effect, color and shape is very pretty, and I am very fond of children. More pleasant time scouring the sea.</v>
      </c>
    </row>
    <row r="12229">
      <c r="A12229" s="1">
        <v>5.0</v>
      </c>
      <c r="B12229" s="1" t="s">
        <v>12119</v>
      </c>
      <c r="C12229" t="str">
        <f>IFERROR(__xludf.DUMMYFUNCTION("GOOGLETRANSLATE(B12229, ""zh"", ""en"")"),"Production date is the latest of 17 February production, very fresh, that is sent when the packaging is not very careful, it is that there is a layer of plastic sheet on the cover, even at the mouth of the barrel are no paper seal. But the taste is very g"&amp;"ood, but also relatively easy to dissolve.")</f>
        <v>Production date is the latest of 17 February production, very fresh, that is sent when the packaging is not very careful, it is that there is a layer of plastic sheet on the cover, even at the mouth of the barrel are no paper seal. But the taste is very good, but also relatively easy to dissolve.</v>
      </c>
    </row>
    <row r="12230">
      <c r="A12230" s="1">
        <v>5.0</v>
      </c>
      <c r="B12230" s="1" t="s">
        <v>12120</v>
      </c>
      <c r="C12230" t="str">
        <f>IFERROR(__xludf.DUMMYFUNCTION("GOOGLETRANSLATE(B12230, ""zh"", ""en"")"),"Look good wearing very appropriate, very nice.")</f>
        <v>Look good wearing very appropriate, very nice.</v>
      </c>
    </row>
    <row r="12231">
      <c r="A12231" s="1">
        <v>5.0</v>
      </c>
      <c r="B12231" s="1" t="s">
        <v>12121</v>
      </c>
      <c r="C12231" t="str">
        <f>IFERROR(__xludf.DUMMYFUNCTION("GOOGLETRANSLATE(B12231, ""zh"", ""en"")"),"Especially good cost-effective, very comfortable to wear")</f>
        <v>Especially good cost-effective, very comfortable to wear</v>
      </c>
    </row>
    <row r="12232">
      <c r="A12232" s="1">
        <v>5.0</v>
      </c>
      <c r="B12232" s="1" t="s">
        <v>12122</v>
      </c>
      <c r="C12232" t="str">
        <f>IFERROR(__xludf.DUMMYFUNCTION("GOOGLETRANSLATE(B12232, ""zh"", ""en"")"),"Legs too long quality can also be right, that is too long, for about 178 height.")</f>
        <v>Legs too long quality can also be right, that is too long, for about 178 height.</v>
      </c>
    </row>
    <row r="12233">
      <c r="A12233" s="1">
        <v>5.0</v>
      </c>
      <c r="B12233" s="1" t="s">
        <v>12123</v>
      </c>
      <c r="C12233" t="str">
        <f>IFERROR(__xludf.DUMMYFUNCTION("GOOGLETRANSLATE(B12233, ""zh"", ""en"")"),"My family is really great with Zojirushi, super good cup. Quality is good")</f>
        <v>My family is really great with Zojirushi, super good cup. Quality is good</v>
      </c>
    </row>
    <row r="12234">
      <c r="A12234" s="1">
        <v>5.0</v>
      </c>
      <c r="B12234" s="1" t="s">
        <v>12124</v>
      </c>
      <c r="C12234" t="str">
        <f>IFERROR(__xludf.DUMMYFUNCTION("GOOGLETRANSLATE(B12234, ""zh"", ""en"")"),"With desktop sea Amoy buy very affordable with a portable noon to orthodontic and need a good attention to oral hygiene. Sea Amoy so affordable, but also a global voltage, arrived faster than expected, very smooth a shopping, just do not go wrong when usi"&amp;"ng the after want, sale and heard a lot of trouble.")</f>
        <v>With desktop sea Amoy buy very affordable with a portable noon to orthodontic and need a good attention to oral hygiene. Sea Amoy so affordable, but also a global voltage, arrived faster than expected, very smooth a shopping, just do not go wrong when using the after want, sale and heard a lot of trouble.</v>
      </c>
    </row>
    <row r="12235">
      <c r="A12235" s="1">
        <v>5.0</v>
      </c>
      <c r="B12235" s="1" t="s">
        <v>12125</v>
      </c>
      <c r="C12235" t="str">
        <f>IFERROR(__xludf.DUMMYFUNCTION("GOOGLETRANSLATE(B12235, ""zh"", ""en"")"),"Very nice watch with a metal strap themselves, some of the cool summer.")</f>
        <v>Very nice watch with a metal strap themselves, some of the cool summer.</v>
      </c>
    </row>
    <row r="12236">
      <c r="A12236" s="1">
        <v>5.0</v>
      </c>
      <c r="B12236" s="1" t="s">
        <v>12126</v>
      </c>
      <c r="C12236" t="str">
        <f>IFERROR(__xludf.DUMMYFUNCTION("GOOGLETRANSLATE(B12236, ""zh"", ""en"")"),"Comfort autumn models made in China, Japanese version of the waist is smaller than 511 international version or the National Bank, access will be shorter, if the original version of the 511 ordinary wear tight think you should choose the freshman code. US"&amp;"29 essence W29 * L32 (73 / 81cm). Texture is very comfortable, not tight Le, I feel good. The calf is not very repair, slightly elastic.")</f>
        <v>Comfort autumn models made in China, Japanese version of the waist is smaller than 511 international version or the National Bank, access will be shorter, if the original version of the 511 ordinary wear tight think you should choose the freshman code. US29 essence W29 * L32 (73 / 81cm). Texture is very comfortable, not tight Le, I feel good. The calf is not very repair, slightly elastic.</v>
      </c>
    </row>
    <row r="12237">
      <c r="A12237" s="1">
        <v>5.0</v>
      </c>
      <c r="B12237" s="1" t="s">
        <v>12127</v>
      </c>
      <c r="C12237" t="str">
        <f>IFERROR(__xludf.DUMMYFUNCTION("GOOGLETRANSLATE(B12237, ""zh"", ""en"")"),"Yes. If it is a medical grade stainless steel, it is very good.")</f>
        <v>Yes. If it is a medical grade stainless steel, it is very good.</v>
      </c>
    </row>
    <row r="12238">
      <c r="A12238" s="1">
        <v>5.0</v>
      </c>
      <c r="B12238" s="1" t="s">
        <v>12128</v>
      </c>
      <c r="C12238" t="str">
        <f>IFERROR(__xludf.DUMMYFUNCTION("GOOGLETRANSLATE(B12238, ""zh"", ""en"")"),"Good looking, it is a little rough, not right to take the children")</f>
        <v>Good looking, it is a little rough, not right to take the children</v>
      </c>
    </row>
    <row r="12239">
      <c r="A12239" s="1">
        <v>5.0</v>
      </c>
      <c r="B12239" s="1" t="s">
        <v>12129</v>
      </c>
      <c r="C12239" t="str">
        <f>IFERROR(__xludf.DUMMYFUNCTION("GOOGLETRANSLATE(B12239, ""zh"", ""en"")"),"Pretty pink shoes specifically bought a bigger size, add a layer of timberland own special insoles, outdoor winter and warm and non-slip, pink beautiful")</f>
        <v>Pretty pink shoes specifically bought a bigger size, add a layer of timberland own special insoles, outdoor winter and warm and non-slip, pink beautiful</v>
      </c>
    </row>
    <row r="12240">
      <c r="A12240" s="1">
        <v>5.0</v>
      </c>
      <c r="B12240" s="1" t="s">
        <v>12130</v>
      </c>
      <c r="C12240" t="str">
        <f>IFERROR(__xludf.DUMMYFUNCTION("GOOGLETRANSLATE(B12240, ""zh"", ""en"")"),"Good good clothes, is genuine, rest assured purchase")</f>
        <v>Good good clothes, is genuine, rest assured purchase</v>
      </c>
    </row>
    <row r="12241">
      <c r="A12241" s="1">
        <v>5.0</v>
      </c>
      <c r="B12241" s="1" t="s">
        <v>12131</v>
      </c>
      <c r="C12241" t="str">
        <f>IFERROR(__xludf.DUMMYFUNCTION("GOOGLETRANSLATE(B12241, ""zh"", ""en"")"),"OK did not write the origin, quality can be. It is expensive. .")</f>
        <v>OK did not write the origin, quality can be. It is expensive. .</v>
      </c>
    </row>
    <row r="12242">
      <c r="A12242" s="1">
        <v>5.0</v>
      </c>
      <c r="B12242" s="1" t="s">
        <v>12132</v>
      </c>
      <c r="C12242" t="str">
        <f>IFERROR(__xludf.DUMMYFUNCTION("GOOGLETRANSLATE(B12242, ""zh"", ""en"")"),"Genuine, logistics and fast seven days on hand on Saturday to buy this Saturday. Genuine, very nice, kind, and presentations are basically the same, no color. The naked eye partial gray, blue and gray partial look at the photo.")</f>
        <v>Genuine, logistics and fast seven days on hand on Saturday to buy this Saturday. Genuine, very nice, kind, and presentations are basically the same, no color. The naked eye partial gray, blue and gray partial look at the photo.</v>
      </c>
    </row>
    <row r="12243">
      <c r="A12243" s="1">
        <v>5.0</v>
      </c>
      <c r="B12243" s="1" t="s">
        <v>12133</v>
      </c>
      <c r="C12243" t="str">
        <f>IFERROR(__xludf.DUMMYFUNCTION("GOOGLETRANSLATE(B12243, ""zh"", ""en"")"),"Braided belt elastic, perforated at any location, round the waist else has to find a comfortable length, very good!")</f>
        <v>Braided belt elastic, perforated at any location, round the waist else has to find a comfortable length, very good!</v>
      </c>
    </row>
    <row r="12244">
      <c r="A12244" s="1">
        <v>5.0</v>
      </c>
      <c r="B12244" s="1" t="s">
        <v>12134</v>
      </c>
      <c r="C12244" t="str">
        <f>IFERROR(__xludf.DUMMYFUNCTION("GOOGLETRANSLATE(B12244, ""zh"", ""en"")"),"In addition to the strap, very satisfied. Overall like, I feel very good. However strap I am not very fond of, I bought online and from a leather strap.")</f>
        <v>In addition to the strap, very satisfied. Overall like, I feel very good. However strap I am not very fond of, I bought online and from a leather strap.</v>
      </c>
    </row>
    <row r="12245">
      <c r="A12245" s="1">
        <v>5.0</v>
      </c>
      <c r="B12245" s="1" t="s">
        <v>12135</v>
      </c>
      <c r="C12245" t="str">
        <f>IFERROR(__xludf.DUMMYFUNCTION("GOOGLETRANSLATE(B12245, ""zh"", ""en"")"),"WD Elements 8TB did not open directly when the mobile hard disk installed 4kuhd, very good")</f>
        <v>WD Elements 8TB did not open directly when the mobile hard disk installed 4kuhd, very good</v>
      </c>
    </row>
    <row r="12246">
      <c r="A12246" s="1">
        <v>5.0</v>
      </c>
      <c r="B12246" s="1" t="s">
        <v>12136</v>
      </c>
      <c r="C12246" t="str">
        <f>IFERROR(__xludf.DUMMYFUNCTION("GOOGLETRANSLATE(B12246, ""zh"", ""en"")"),"Lodge cast iron pan grilled steak with specially bought, pot full of components, single-handed women are Nabuqilai, the heat evenly, especially fried steak stick, but not for fried fish, sprinkle with oil after a certain thinking brush clean, or else get "&amp;"rusty")</f>
        <v>Lodge cast iron pan grilled steak with specially bought, pot full of components, single-handed women are Nabuqilai, the heat evenly, especially fried steak stick, but not for fried fish, sprinkle with oil after a certain thinking brush clean, or else get rusty</v>
      </c>
    </row>
    <row r="12247">
      <c r="A12247" s="1">
        <v>5.0</v>
      </c>
      <c r="B12247" s="1" t="s">
        <v>12137</v>
      </c>
      <c r="C12247" t="str">
        <f>IFERROR(__xludf.DUMMYFUNCTION("GOOGLETRANSLATE(B12247, ""zh"", ""en"")"),"ecco leather is waterproof good looks, easy is not easy to take care of the latter do not know the internal seams and work in general should be more step on softer")</f>
        <v>ecco leather is waterproof good looks, easy is not easy to take care of the latter do not know the internal seams and work in general should be more step on softer</v>
      </c>
    </row>
    <row r="12248">
      <c r="A12248" s="1">
        <v>5.0</v>
      </c>
      <c r="B12248" s="1" t="s">
        <v>12138</v>
      </c>
      <c r="C12248" t="str">
        <f>IFERROR(__xludf.DUMMYFUNCTION("GOOGLETRANSLATE(B12248, ""zh"", ""en"")"),"Relatively thin, there is no fleece, not suitable for winter wear relatively thin, there is no fleece, not suitable for winter wear")</f>
        <v>Relatively thin, there is no fleece, not suitable for winter wear relatively thin, there is no fleece, not suitable for winter wear</v>
      </c>
    </row>
    <row r="12249">
      <c r="A12249" s="1">
        <v>2.0</v>
      </c>
      <c r="B12249" s="1" t="s">
        <v>12139</v>
      </c>
      <c r="C12249" t="str">
        <f>IFERROR(__xludf.DUMMYFUNCTION("GOOGLETRANSLATE(B12249, ""zh"", ""en"")"),"Commodities hit 59 points but did not have the thickness of the heel of the points! very long! Small balls from the outside, inside the hair loss!")</f>
        <v>Commodities hit 59 points but did not have the thickness of the heel of the points! very long! Small balls from the outside, inside the hair loss!</v>
      </c>
    </row>
    <row r="12250">
      <c r="A12250" s="1">
        <v>3.0</v>
      </c>
      <c r="B12250" s="1" t="s">
        <v>12140</v>
      </c>
      <c r="C12250" t="str">
        <f>IFERROR(__xludf.DUMMYFUNCTION("GOOGLETRANSLATE(B12250, ""zh"", ""en"")"),"Is the old look of origin is Switzerland, shipment is sent from France, but also older, there is no packaging, when the box's own hand were torn, but fortunately did not fall out of the filter, something fell from abroad may be issued , to domestic users "&amp;"out of the old, a little disappointed.")</f>
        <v>Is the old look of origin is Switzerland, shipment is sent from France, but also older, there is no packaging, when the box's own hand were torn, but fortunately did not fall out of the filter, something fell from abroad may be issued , to domestic users out of the old, a little disappointed.</v>
      </c>
    </row>
    <row r="12251">
      <c r="A12251" s="1">
        <v>3.0</v>
      </c>
      <c r="B12251" s="1" t="s">
        <v>12141</v>
      </c>
      <c r="C12251" t="str">
        <f>IFERROR(__xludf.DUMMYFUNCTION("GOOGLETRANSLATE(B12251, ""zh"", ""en"")"),"No Chinese explanation that book. Hey! This is what the instructions are not even Chinese, comply with the standards of our country and shoddy products!")</f>
        <v>No Chinese explanation that book. Hey! This is what the instructions are not even Chinese, comply with the standards of our country and shoddy products!</v>
      </c>
    </row>
    <row r="12252">
      <c r="A12252" s="1">
        <v>1.0</v>
      </c>
      <c r="B12252" s="1" t="s">
        <v>12142</v>
      </c>
      <c r="C12252" t="str">
        <f>IFERROR(__xludf.DUMMYFUNCTION("GOOGLETRANSLATE(B12252, ""zh"", ""en"")"),"On a lot of second-hand goods earmuffs fingerprints, put the headset plastic bag is opened, sealing plastic tape attached to the side of the bag, the plastic bag is rotten, the main headphone cable just plug in the bag, banding ligation headphone cable al"&amp;"so gone! Listen for a moment, the headset is good, returns in a foreign country, find it troublesome reclaim the. Recommendations like at home or buy it!")</f>
        <v>On a lot of second-hand goods earmuffs fingerprints, put the headset plastic bag is opened, sealing plastic tape attached to the side of the bag, the plastic bag is rotten, the main headphone cable just plug in the bag, banding ligation headphone cable also gone! Listen for a moment, the headset is good, returns in a foreign country, find it troublesome reclaim the. Recommendations like at home or buy it!</v>
      </c>
    </row>
    <row r="12253">
      <c r="A12253" s="1">
        <v>1.0</v>
      </c>
      <c r="B12253" s="1" t="s">
        <v>12143</v>
      </c>
      <c r="C12253" t="str">
        <f>IFERROR(__xludf.DUMMYFUNCTION("GOOGLETRANSLATE(B12253, ""zh"", ""en"")"),"Defective hand two days is not enough, bracelets buckle and lost rivets, a star can not be more, because the first day is too long bracelet can be worn in order to dismantle the bracelet, and now do not know if I can return")</f>
        <v>Defective hand two days is not enough, bracelets buckle and lost rivets, a star can not be more, because the first day is too long bracelet can be worn in order to dismantle the bracelet, and now do not know if I can return</v>
      </c>
    </row>
    <row r="12254">
      <c r="A12254" s="1">
        <v>1.0</v>
      </c>
      <c r="B12254" s="1" t="s">
        <v>12144</v>
      </c>
      <c r="C12254" t="str">
        <f>IFERROR(__xludf.DUMMYFUNCTION("GOOGLETRANSLATE(B12254, ""zh"", ""en"")"),"Poor extremely disappointed ...... all issues Poor, extremely disappointed, substandard products up for sale, but also how to allow customers to trust again. I do not believe, and bought a few pairs of shoes have problems. There is not a pair of no proble"&amp;"m. There are printed on the upper ball-point pen, there is a lot of marks on the uppers. Next to a pit, is like fingernails feel bad buckle.")</f>
        <v>Poor extremely disappointed ...... all issues Poor, extremely disappointed, substandard products up for sale, but also how to allow customers to trust again. I do not believe, and bought a few pairs of shoes have problems. There is not a pair of no problem. There are printed on the upper ball-point pen, there is a lot of marks on the uppers. Next to a pit, is like fingernails feel bad buckle.</v>
      </c>
    </row>
    <row r="12255">
      <c r="A12255" s="1">
        <v>4.0</v>
      </c>
      <c r="B12255" s="1" t="s">
        <v>12145</v>
      </c>
      <c r="C12255" t="str">
        <f>IFERROR(__xludf.DUMMYFUNCTION("GOOGLETRANSLATE(B12255, ""zh"", ""en"")"),"well! Shoes half a yard look a little small, usually 36, this six yards a little bit smaller, a bit thick socks, in fact, nothing, I belong to skinny legs, in short, is still very good shoes, put on another type increased")</f>
        <v>well! Shoes half a yard look a little small, usually 36, this six yards a little bit smaller, a bit thick socks, in fact, nothing, I belong to skinny legs, in short, is still very good shoes, put on another type increased</v>
      </c>
    </row>
    <row r="12256">
      <c r="A12256" s="1">
        <v>4.0</v>
      </c>
      <c r="B12256" s="1" t="s">
        <v>12146</v>
      </c>
      <c r="C12256" t="str">
        <f>IFERROR(__xludf.DUMMYFUNCTION("GOOGLETRANSLATE(B12256, ""zh"", ""en"")"),"Small yards a little tight, a button came off a crooked boast about 1. Quality. As shown, try a bit later, a button came off, although I pull the plug back down, but did not dare to buttoning up. Another one button is crooked. US version rough work, but t"&amp;"his hat make me feel like a defective product. 2. I am a girl, not a big head, the amount too far around 56, 57, wearing a small yard is actually a little tight, so try to buy the large size of it. 3. Shopping 300, Well my heart balance.")</f>
        <v>Small yards a little tight, a button came off a crooked boast about 1. Quality. As shown, try a bit later, a button came off, although I pull the plug back down, but did not dare to buttoning up. Another one button is crooked. US version rough work, but this hat make me feel like a defective product. 2. I am a girl, not a big head, the amount too far around 56, 57, wearing a small yard is actually a little tight, so try to buy the large size of it. 3. Shopping 300, Well my heart balance.</v>
      </c>
    </row>
    <row r="12257">
      <c r="A12257" s="1">
        <v>4.0</v>
      </c>
      <c r="B12257" s="1" t="s">
        <v>12147</v>
      </c>
      <c r="C12257" t="str">
        <f>IFERROR(__xludf.DUMMYFUNCTION("GOOGLETRANSLATE(B12257, ""zh"", ""en"")"),"The main proof glass can also be spent aspect is not very good, relatively easy to spend")</f>
        <v>The main proof glass can also be spent aspect is not very good, relatively easy to spend</v>
      </c>
    </row>
    <row r="12258">
      <c r="A12258" s="1">
        <v>4.0</v>
      </c>
      <c r="B12258" s="1" t="s">
        <v>12148</v>
      </c>
      <c r="C12258" t="str">
        <f>IFERROR(__xludf.DUMMYFUNCTION("GOOGLETRANSLATE(B12258, ""zh"", ""en"")"),"made in china across the ocean back and see me.")</f>
        <v>made in china across the ocean back and see me.</v>
      </c>
    </row>
    <row r="12259">
      <c r="A12259" s="1">
        <v>4.0</v>
      </c>
      <c r="B12259" s="1" t="s">
        <v>12149</v>
      </c>
      <c r="C12259" t="str">
        <f>IFERROR(__xludf.DUMMYFUNCTION("GOOGLETRANSLATE(B12259, ""zh"", ""en"")"),"Also you can not imagine okay good ,,,,")</f>
        <v>Also you can not imagine okay good ,,,,</v>
      </c>
    </row>
    <row r="12260">
      <c r="A12260" s="1">
        <v>5.0</v>
      </c>
      <c r="B12260" s="1" t="s">
        <v>12150</v>
      </c>
      <c r="C12260" t="str">
        <f>IFERROR(__xludf.DUMMYFUNCTION("GOOGLETRANSLATE(B12260, ""zh"", ""en"")"),"Good quality and reliable, because a cold, warm the body sets yield")</f>
        <v>Good quality and reliable, because a cold, warm the body sets yield</v>
      </c>
    </row>
    <row r="12261">
      <c r="A12261" s="1">
        <v>5.0</v>
      </c>
      <c r="B12261" s="1" t="s">
        <v>12151</v>
      </c>
      <c r="C12261" t="str">
        <f>IFERROR(__xludf.DUMMYFUNCTION("GOOGLETRANSLATE(B12261, ""zh"", ""en"")"),"High color value faucet good appearance can pull, and may be automatically retracted. No water, do not know how water effects.")</f>
        <v>High color value faucet good appearance can pull, and may be automatically retracted. No water, do not know how water effects.</v>
      </c>
    </row>
    <row r="12262">
      <c r="A12262" s="1">
        <v>5.0</v>
      </c>
      <c r="B12262" s="1" t="s">
        <v>12152</v>
      </c>
      <c r="C12262" t="str">
        <f>IFERROR(__xludf.DUMMYFUNCTION("GOOGLETRANSLATE(B12262, ""zh"", ""en"")"),"This cup is significantly better than WildSide this cup than WildSide much better, at least it has the stability, the classic cup is your classic, many people chase to WildSide actually wrong choice, used people will think I'm talking about right .")</f>
        <v>This cup is significantly better than WildSide this cup than WildSide much better, at least it has the stability, the classic cup is your classic, many people chase to WildSide actually wrong choice, used people will think I'm talking about right .</v>
      </c>
    </row>
    <row r="12263">
      <c r="A12263" s="1">
        <v>5.0</v>
      </c>
      <c r="B12263" s="1" t="s">
        <v>12153</v>
      </c>
      <c r="C12263" t="str">
        <f>IFERROR(__xludf.DUMMYFUNCTION("GOOGLETRANSLATE(B12263, ""zh"", ""en"")"),"Good quality equivalent to the Japanese version of the US version of L s, but a good quality version Bimei")</f>
        <v>Good quality equivalent to the Japanese version of the US version of L s, but a good quality version Bimei</v>
      </c>
    </row>
    <row r="12264">
      <c r="A12264" s="1">
        <v>5.0</v>
      </c>
      <c r="B12264" s="1" t="s">
        <v>12154</v>
      </c>
      <c r="C12264" t="str">
        <f>IFERROR(__xludf.DUMMYFUNCTION("GOOGLETRANSLATE(B12264, ""zh"", ""en"")"),"This is a little more relaxed loose style, for some of Tuicu, waist circumference of 81 cm 31, very fit, place of origin in Mexico, working good, affordable")</f>
        <v>This is a little more relaxed loose style, for some of Tuicu, waist circumference of 81 cm 31, very fit, place of origin in Mexico, working good, affordable</v>
      </c>
    </row>
    <row r="12265">
      <c r="A12265" s="1">
        <v>5.0</v>
      </c>
      <c r="B12265" s="1" t="s">
        <v>12155</v>
      </c>
      <c r="C12265" t="str">
        <f>IFERROR(__xludf.DUMMYFUNCTION("GOOGLETRANSLATE(B12265, ""zh"", ""en"")"),"Comfortable fit with paragraph 15 of the opening line of a newly purchased pair. Personal size is 42, because feet wide, usually buy, or the same fit 43. Shoelace lock changed, really easy to pull all loose, tighten a button a spin, just do not know wheth"&amp;"er durable.")</f>
        <v>Comfortable fit with paragraph 15 of the opening line of a newly purchased pair. Personal size is 42, because feet wide, usually buy, or the same fit 43. Shoelace lock changed, really easy to pull all loose, tighten a button a spin, just do not know whether durable.</v>
      </c>
    </row>
    <row r="12266">
      <c r="A12266" s="1">
        <v>5.0</v>
      </c>
      <c r="B12266" s="1" t="s">
        <v>10400</v>
      </c>
      <c r="C12266" t="str">
        <f>IFERROR(__xludf.DUMMYFUNCTION("GOOGLETRANSLATE(B12266, ""zh"", ""en"")"),"Beautiful soft fabric, very comfortable.")</f>
        <v>Beautiful soft fabric, very comfortable.</v>
      </c>
    </row>
    <row r="12267">
      <c r="A12267" s="1">
        <v>5.0</v>
      </c>
      <c r="B12267" s="1" t="s">
        <v>12156</v>
      </c>
      <c r="C12267" t="str">
        <f>IFERROR(__xludf.DUMMYFUNCTION("GOOGLETRANSLATE(B12267, ""zh"", ""en"")"),"LC trained, trained, trained, beautiful, too beautiful, too beautiful, too beautiful, important things to say three times! ! ! 30cm large size, to do anything, anhydrous steamed fish is very convenient, do seafood is also good.")</f>
        <v>LC trained, trained, trained, beautiful, too beautiful, too beautiful, too beautiful, important things to say three times! ! ! 30cm large size, to do anything, anhydrous steamed fish is very convenient, do seafood is also good.</v>
      </c>
    </row>
    <row r="12268">
      <c r="A12268" s="1">
        <v>5.0</v>
      </c>
      <c r="B12268" s="1" t="s">
        <v>12157</v>
      </c>
      <c r="C12268" t="str">
        <f>IFERROR(__xludf.DUMMYFUNCTION("GOOGLETRANSLATE(B12268, ""zh"", ""en"")"),"Gold reasonable formula, high protein content, taste really good! Gold reasonable formula, high protein content, taste really good!")</f>
        <v>Gold reasonable formula, high protein content, taste really good! Gold reasonable formula, high protein content, taste really good!</v>
      </c>
    </row>
    <row r="12269">
      <c r="A12269" s="1">
        <v>5.0</v>
      </c>
      <c r="B12269" s="1" t="s">
        <v>12158</v>
      </c>
      <c r="C12269" t="str">
        <f>IFERROR(__xludf.DUMMYFUNCTION("GOOGLETRANSLATE(B12269, ""zh"", ""en"")"),"I used the dough function I rarely use this dough to people, because I think we should start with the cook before purchasing from this model, familiarize yourself with the simple egg, beat butter, familiarize yourself with the simple West Point production"&amp;", to see if really want to get started, read some West Point because the production process, the amount of butter and sugar can be really amazing, turbid water for all flesh of man, or some prohibitive. So, this is my first with the dough hook, certainly "&amp;"more than the amount of flour 500g, but the effect is much more dough than their meticulous hand, in the face after a good wake up, when to get started, obviously feel it. I made dumplings, noodles pressure, may be more water, the surface is very soft, ne"&amp;"xt time put eggs, less water, let face stiffer. When scrambled eggs, but also with the egg, simply hit a few. The hooks are very easy to clean. Love the little machine began to explore my pasta.")</f>
        <v>I used the dough function I rarely use this dough to people, because I think we should start with the cook before purchasing from this model, familiarize yourself with the simple egg, beat butter, familiarize yourself with the simple West Point production, to see if really want to get started, read some West Point because the production process, the amount of butter and sugar can be really amazing, turbid water for all flesh of man, or some prohibitive. So, this is my first with the dough hook, certainly more than the amount of flour 500g, but the effect is much more dough than their meticulous hand, in the face after a good wake up, when to get started, obviously feel it. I made dumplings, noodles pressure, may be more water, the surface is very soft, next time put eggs, less water, let face stiffer. When scrambled eggs, but also with the egg, simply hit a few. The hooks are very easy to clean. Love the little machine began to explore my pasta.</v>
      </c>
    </row>
    <row r="12270">
      <c r="A12270" s="1">
        <v>5.0</v>
      </c>
      <c r="B12270" s="1" t="s">
        <v>12159</v>
      </c>
      <c r="C12270" t="str">
        <f>IFERROR(__xludf.DUMMYFUNCTION("GOOGLETRANSLATE(B12270, ""zh"", ""en"")"),"Very light, more comfortable, more rigid on the upper point of this is very light, the sole is the kind of one piece, shoe leather a little bit more hard, very pretty, pretty good")</f>
        <v>Very light, more comfortable, more rigid on the upper point of this is very light, the sole is the kind of one piece, shoe leather a little bit more hard, very pretty, pretty good</v>
      </c>
    </row>
    <row r="12271">
      <c r="A12271" s="1">
        <v>5.0</v>
      </c>
      <c r="B12271" s="1" t="s">
        <v>12160</v>
      </c>
      <c r="C12271" t="str">
        <f>IFERROR(__xludf.DUMMYFUNCTION("GOOGLETRANSLATE(B12271, ""zh"", ""en"")"),"Very satisfied online for 990P black too hard, once out of my return, received a back intend to try, ear fell in love with a")</f>
        <v>Very satisfied online for 990P black too hard, once out of my return, received a back intend to try, ear fell in love with a</v>
      </c>
    </row>
    <row r="12272">
      <c r="A12272" s="1">
        <v>5.0</v>
      </c>
      <c r="B12272" s="1" t="s">
        <v>12161</v>
      </c>
      <c r="C12272" t="str">
        <f>IFERROR(__xludf.DUMMYFUNCTION("GOOGLETRANSLATE(B12272, ""zh"", ""en"")"),"Clothes very good very good clothes, is fully in line with expectations, 181.182 pounds just to wear No. L, clothing is also very thick, south in winter is completely sufficient if, in addition to a customer service point of praise, good service, also too"&amp;"k the initiative to help me contact the courier company")</f>
        <v>Clothes very good very good clothes, is fully in line with expectations, 181.182 pounds just to wear No. L, clothing is also very thick, south in winter is completely sufficient if, in addition to a customer service point of praise, good service, also took the initiative to help me contact the courier company</v>
      </c>
    </row>
    <row r="12273">
      <c r="A12273" s="1">
        <v>5.0</v>
      </c>
      <c r="B12273" s="1" t="s">
        <v>12162</v>
      </c>
      <c r="C12273" t="str">
        <f>IFERROR(__xludf.DUMMYFUNCTION("GOOGLETRANSLATE(B12273, ""zh"", ""en"")"),"Recommended to buy good workmanship, packaging is also very fine, absolutely authentic, an average of 70 a cost-effective.")</f>
        <v>Recommended to buy good workmanship, packaging is also very fine, absolutely authentic, an average of 70 a cost-effective.</v>
      </c>
    </row>
    <row r="12274">
      <c r="A12274" s="1">
        <v>5.0</v>
      </c>
      <c r="B12274" s="1" t="s">
        <v>12163</v>
      </c>
      <c r="C12274" t="str">
        <f>IFERROR(__xludf.DUMMYFUNCTION("GOOGLETRANSLATE(B12274, ""zh"", ""en"")"),"Very easy to use just the size of the spoon began complementary feeding for baby")</f>
        <v>Very easy to use just the size of the spoon began complementary feeding for baby</v>
      </c>
    </row>
    <row r="12275">
      <c r="A12275" s="1">
        <v>5.0</v>
      </c>
      <c r="B12275" s="1" t="s">
        <v>12164</v>
      </c>
      <c r="C12275" t="str">
        <f>IFERROR(__xludf.DUMMYFUNCTION("GOOGLETRANSLATE(B12275, ""zh"", ""en"")"),"Good wear very significant figure, good plate bad place, easy to stick a variety of other garments of cotton yarn, chemical fiber, wadding and the like, in short James Gray. Cloth Hard")</f>
        <v>Good wear very significant figure, good plate bad place, easy to stick a variety of other garments of cotton yarn, chemical fiber, wadding and the like, in short James Gray. Cloth Hard</v>
      </c>
    </row>
    <row r="12276">
      <c r="A12276" s="1">
        <v>5.0</v>
      </c>
      <c r="B12276" s="1" t="s">
        <v>12165</v>
      </c>
      <c r="C12276" t="str">
        <f>IFERROR(__xludf.DUMMYFUNCTION("GOOGLETRANSLATE(B12276, ""zh"", ""en"")"),"Like the baby very much like a great time shopping shopping once a year after toothbrush brand will continue to buy back the trust the quality of cost-effective!")</f>
        <v>Like the baby very much like a great time shopping shopping once a year after toothbrush brand will continue to buy back the trust the quality of cost-effective!</v>
      </c>
    </row>
    <row r="12277">
      <c r="A12277" s="1">
        <v>5.0</v>
      </c>
      <c r="B12277" s="1" t="s">
        <v>12166</v>
      </c>
      <c r="C12277" t="str">
        <f>IFERROR(__xludf.DUMMYFUNCTION("GOOGLETRANSLATE(B12277, ""zh"", ""en"")"),"Cost-effective use something that is inseparable from, the quality really good, though not the appearance of the atmosphere, the quality of domestic big absolute spike")</f>
        <v>Cost-effective use something that is inseparable from, the quality really good, though not the appearance of the atmosphere, the quality of domestic big absolute spike</v>
      </c>
    </row>
    <row r="12278">
      <c r="A12278" s="1">
        <v>5.0</v>
      </c>
      <c r="B12278" s="1" t="s">
        <v>12167</v>
      </c>
      <c r="C12278" t="str">
        <f>IFERROR(__xludf.DUMMYFUNCTION("GOOGLETRANSLATE(B12278, ""zh"", ""en"")"),"Size is too large thick warm, but the size is too large, especially the sleeves, I belong to a rather long arms, the sleeves are not control it. 175,70kg, s code, by reference.")</f>
        <v>Size is too large thick warm, but the size is too large, especially the sleeves, I belong to a rather long arms, the sleeves are not control it. 175,70kg, s code, by reference.</v>
      </c>
    </row>
    <row r="12279">
      <c r="A12279" s="1">
        <v>5.0</v>
      </c>
      <c r="B12279" s="1" t="s">
        <v>12168</v>
      </c>
      <c r="C12279" t="str">
        <f>IFERROR(__xludf.DUMMYFUNCTION("GOOGLETRANSLATE(B12279, ""zh"", ""en"")"),"Good quality good quality shoes, that is, about half a yard too large")</f>
        <v>Good quality good quality shoes, that is, about half a yard too large</v>
      </c>
    </row>
    <row r="12280">
      <c r="A12280" s="1">
        <v>5.0</v>
      </c>
      <c r="B12280" s="1" t="s">
        <v>12169</v>
      </c>
      <c r="C12280" t="str">
        <f>IFERROR(__xludf.DUMMYFUNCTION("GOOGLETRANSLATE(B12280, ""zh"", ""en"")"),"Easy to use good, not from the previous evaluation, I do not know how many wasted points, points can change money now know, they should look carefully evaluated, then I put these words to copy to go, both to earn points, but also the easy way to go where "&amp;"copy where, most importantly, do not seriously review, do not think how much worse word, sent directly to it, recommend it to everyone! !")</f>
        <v>Easy to use good, not from the previous evaluation, I do not know how many wasted points, points can change money now know, they should look carefully evaluated, then I put these words to copy to go, both to earn points, but also the easy way to go where copy where, most importantly, do not seriously review, do not think how much worse word, sent directly to it, recommend it to everyone! !</v>
      </c>
    </row>
    <row r="12281">
      <c r="A12281" s="1">
        <v>5.0</v>
      </c>
      <c r="B12281" s="1" t="s">
        <v>12170</v>
      </c>
      <c r="C12281" t="str">
        <f>IFERROR(__xludf.DUMMYFUNCTION("GOOGLETRANSLATE(B12281, ""zh"", ""en"")"),"Buy small buy small, and I used to buy the material is not the same, M just before, just a little contrast, details a little different.")</f>
        <v>Buy small buy small, and I used to buy the material is not the same, M just before, just a little contrast, details a little different.</v>
      </c>
    </row>
    <row r="12282">
      <c r="A12282" s="1">
        <v>2.0</v>
      </c>
      <c r="B12282" s="1" t="s">
        <v>12171</v>
      </c>
      <c r="C12282" t="str">
        <f>IFERROR(__xludf.DUMMYFUNCTION("GOOGLETRANSLATE(B12282, ""zh"", ""en"")"),"Fabric is poor, poor workmanship 1. YKK zippers are of fabric 2. Lee is not bad, very poor workmanship 3. rough, full thread 4. buttons looked very old, Lee markings on the buttons fuzzy, the real thing should be very 5. this fabric color and clarity, it "&amp;"is estimated will wash fade very serious how to look like a stall goods")</f>
        <v>Fabric is poor, poor workmanship 1. YKK zippers are of fabric 2. Lee is not bad, very poor workmanship 3. rough, full thread 4. buttons looked very old, Lee markings on the buttons fuzzy, the real thing should be very 5. this fabric color and clarity, it is estimated will wash fade very serious how to look like a stall goods</v>
      </c>
    </row>
    <row r="12283">
      <c r="A12283" s="1">
        <v>3.0</v>
      </c>
      <c r="B12283" s="1" t="s">
        <v>12172</v>
      </c>
      <c r="C12283" t="str">
        <f>IFERROR(__xludf.DUMMYFUNCTION("GOOGLETRANSLATE(B12283, ""zh"", ""en"")"),"Determined to be male form? ? ? Really too small for the other has not been found. . . I would like to try it")</f>
        <v>Determined to be male form? ? ? Really too small for the other has not been found. . . I would like to try it</v>
      </c>
    </row>
    <row r="12284">
      <c r="A12284" s="1">
        <v>3.0</v>
      </c>
      <c r="B12284" s="1" t="s">
        <v>12173</v>
      </c>
      <c r="C12284" t="str">
        <f>IFERROR(__xludf.DUMMYFUNCTION("GOOGLETRANSLATE(B12284, ""zh"", ""en"")"),"Like a general under the single Friday, and then on Monday received the goods, open packet inspection yesterday. It found significant damage cortex earmuffs, ear sensory cortex and not very comfortable. Hood part is actually okay. Sound will probably list"&amp;"ened for a general feeling (may be no open burning relationship between the bar). General overall assessment")</f>
        <v>Like a general under the single Friday, and then on Monday received the goods, open packet inspection yesterday. It found significant damage cortex earmuffs, ear sensory cortex and not very comfortable. Hood part is actually okay. Sound will probably listened for a general feeling (may be no open burning relationship between the bar). General overall assessment</v>
      </c>
    </row>
    <row r="12285">
      <c r="A12285" s="1">
        <v>3.0</v>
      </c>
      <c r="B12285" s="1" t="s">
        <v>12174</v>
      </c>
      <c r="C12285" t="str">
        <f>IFERROR(__xludf.DUMMYFUNCTION("GOOGLETRANSLATE(B12285, ""zh"", ""en"")"),"Looked like imports, with some time in the comments section with scissors good haircut, it is the logistics slower.")</f>
        <v>Looked like imports, with some time in the comments section with scissors good haircut, it is the logistics slower.</v>
      </c>
    </row>
    <row r="12286">
      <c r="A12286" s="1">
        <v>1.0</v>
      </c>
      <c r="B12286" s="1" t="s">
        <v>12175</v>
      </c>
      <c r="C12286" t="str">
        <f>IFERROR(__xludf.DUMMYFUNCTION("GOOGLETRANSLATE(B12286, ""zh"", ""en"")"),"Quality to buy back the volume keys have a problem, Poor")</f>
        <v>Quality to buy back the volume keys have a problem, Poor</v>
      </c>
    </row>
    <row r="12287">
      <c r="A12287" s="1">
        <v>1.0</v>
      </c>
      <c r="B12287" s="1" t="s">
        <v>12176</v>
      </c>
      <c r="C12287" t="str">
        <f>IFERROR(__xludf.DUMMYFUNCTION("GOOGLETRANSLATE(B12287, ""zh"", ""en"")"),"Packing sucks send over tattered, rotten box, carton packaging would not even have plastic, bottle cap off a courier bag on the outside, thanks to the bottle looks okay")</f>
        <v>Packing sucks send over tattered, rotten box, carton packaging would not even have plastic, bottle cap off a courier bag on the outside, thanks to the bottle looks okay</v>
      </c>
    </row>
    <row r="12288">
      <c r="A12288" s="1">
        <v>4.0</v>
      </c>
      <c r="B12288" s="1" t="s">
        <v>12177</v>
      </c>
      <c r="C12288" t="str">
        <f>IFERROR(__xludf.DUMMYFUNCTION("GOOGLETRANSLATE(B12288, ""zh"", ""en"")"),"Good pants a little fat, some low waist, the other just ok, I 170,75kg, domestic buy pants 31 for reference.")</f>
        <v>Good pants a little fat, some low waist, the other just ok, I 170,75kg, domestic buy pants 31 for reference.</v>
      </c>
    </row>
    <row r="12289">
      <c r="A12289" s="1">
        <v>4.0</v>
      </c>
      <c r="B12289" s="1" t="s">
        <v>12178</v>
      </c>
      <c r="C12289" t="str">
        <f>IFERROR(__xludf.DUMMYFUNCTION("GOOGLETRANSLATE(B12289, ""zh"", ""en"")"),"Code is small, do not wear this compare to buy products over the same period, the size is too small it, sad.")</f>
        <v>Code is small, do not wear this compare to buy products over the same period, the size is too small it, sad.</v>
      </c>
    </row>
    <row r="12290">
      <c r="A12290" s="1">
        <v>4.0</v>
      </c>
      <c r="B12290" s="1" t="s">
        <v>12179</v>
      </c>
      <c r="C12290" t="str">
        <f>IFERROR(__xludf.DUMMYFUNCTION("GOOGLETRANSLATE(B12290, ""zh"", ""en"")"),"Okay right size, but that a neck strap too uncomfortable, uneven, volume there, how do not work. Which nothing can really support it?")</f>
        <v>Okay right size, but that a neck strap too uncomfortable, uneven, volume there, how do not work. Which nothing can really support it?</v>
      </c>
    </row>
    <row r="12291">
      <c r="A12291" s="1">
        <v>4.0</v>
      </c>
      <c r="B12291" s="1" t="s">
        <v>12180</v>
      </c>
      <c r="C12291" t="str">
        <f>IFERROR(__xludf.DUMMYFUNCTION("GOOGLETRANSLATE(B12291, ""zh"", ""en"")"),"Average thickness Northern waist height 186cm weight 93kg Version 8 feet 2 feet 7-2 slim type is not too thick winter wear soft fabric summer wear estimation would be 2 feet fat waist size of 34 * 78 32 slightly larger, however, if the estimated 33 small "&amp;"just the right length to the basic price satisfaction")</f>
        <v>Average thickness Northern waist height 186cm weight 93kg Version 8 feet 2 feet 7-2 slim type is not too thick winter wear soft fabric summer wear estimation would be 2 feet fat waist size of 34 * 78 32 slightly larger, however, if the estimated 33 small just the right length to the basic price satisfaction</v>
      </c>
    </row>
    <row r="12292">
      <c r="A12292" s="1">
        <v>4.0</v>
      </c>
      <c r="B12292" s="1" t="s">
        <v>12181</v>
      </c>
      <c r="C12292" t="str">
        <f>IFERROR(__xludf.DUMMYFUNCTION("GOOGLETRANSLATE(B12292, ""zh"", ""en"")"),"Raincoats quality did not say, is slightly larger")</f>
        <v>Raincoats quality did not say, is slightly larger</v>
      </c>
    </row>
    <row r="12293">
      <c r="A12293" s="1">
        <v>5.0</v>
      </c>
      <c r="B12293" s="1" t="s">
        <v>12182</v>
      </c>
      <c r="C12293" t="str">
        <f>IFERROR(__xludf.DUMMYFUNCTION("GOOGLETRANSLATE(B12293, ""zh"", ""en"")"),"Meng freshman yards, very good satisfaction.")</f>
        <v>Meng freshman yards, very good satisfaction.</v>
      </c>
    </row>
    <row r="12294">
      <c r="A12294" s="1">
        <v>5.0</v>
      </c>
      <c r="B12294" s="1" t="s">
        <v>12183</v>
      </c>
      <c r="C12294" t="str">
        <f>IFERROR(__xludf.DUMMYFUNCTION("GOOGLETRANSLATE(B12294, ""zh"", ""en"")"),"Small is too small, others are good")</f>
        <v>Small is too small, others are good</v>
      </c>
    </row>
    <row r="12295">
      <c r="A12295" s="1">
        <v>5.0</v>
      </c>
      <c r="B12295" s="1" t="s">
        <v>12184</v>
      </c>
      <c r="C12295" t="str">
        <f>IFERROR(__xludf.DUMMYFUNCTION("GOOGLETRANSLATE(B12295, ""zh"", ""en"")"),"Convenient and affordable domestic match leading, easy to install, you can switch filtered water and tap water, and therefore does not affect the Kitchen Po use.")</f>
        <v>Convenient and affordable domestic match leading, easy to install, you can switch filtered water and tap water, and therefore does not affect the Kitchen Po use.</v>
      </c>
    </row>
    <row r="12296">
      <c r="A12296" s="1">
        <v>5.0</v>
      </c>
      <c r="B12296" s="1" t="s">
        <v>12185</v>
      </c>
      <c r="C12296" t="str">
        <f>IFERROR(__xludf.DUMMYFUNCTION("GOOGLETRANSLATE(B12296, ""zh"", ""en"")"),"Actually too large not know really sent from the US. From order to receipt of goods also about a week time, it is indeed a very fast. The actual size is too large a lot, it is recommended to buy a small number. Unlike domestic buy no liner within SHOES li"&amp;"ttle rough, but the outside does not come out. I feet thick, the shoes 42 and 43 about to buy the shoe there US9M about 1 cm gap, but the thickness is appropriate, but does not affect the wear slightly tight.")</f>
        <v>Actually too large not know really sent from the US. From order to receipt of goods also about a week time, it is indeed a very fast. The actual size is too large a lot, it is recommended to buy a small number. Unlike domestic buy no liner within SHOES little rough, but the outside does not come out. I feet thick, the shoes 42 and 43 about to buy the shoe there US9M about 1 cm gap, but the thickness is appropriate, but does not affect the wear slightly tight.</v>
      </c>
    </row>
    <row r="12297">
      <c r="A12297" s="1">
        <v>5.0</v>
      </c>
      <c r="B12297" s="1" t="s">
        <v>12186</v>
      </c>
      <c r="C12297" t="str">
        <f>IFERROR(__xludf.DUMMYFUNCTION("GOOGLETRANSLATE(B12297, ""zh"", ""en"")"),"I do not know is not genuine sender to have deliberately not tear up with no taste do not know is not genuine")</f>
        <v>I do not know is not genuine sender to have deliberately not tear up with no taste do not know is not genuine</v>
      </c>
    </row>
    <row r="12298">
      <c r="A12298" s="1">
        <v>5.0</v>
      </c>
      <c r="B12298" s="1" t="s">
        <v>12187</v>
      </c>
      <c r="C12298" t="str">
        <f>IFERROR(__xludf.DUMMYFUNCTION("GOOGLETRANSLATE(B12298, ""zh"", ""en"")"),"Be of good quality")</f>
        <v>Be of good quality</v>
      </c>
    </row>
    <row r="12299">
      <c r="A12299" s="1">
        <v>5.0</v>
      </c>
      <c r="B12299" s="1" t="s">
        <v>12188</v>
      </c>
      <c r="C12299" t="str">
        <f>IFERROR(__xludf.DUMMYFUNCTION("GOOGLETRANSLATE(B12299, ""zh"", ""en"")"),"The right foot shoe size 25 cm long 40 yards select just the right size")</f>
        <v>The right foot shoe size 25 cm long 40 yards select just the right size</v>
      </c>
    </row>
    <row r="12300">
      <c r="A12300" s="1">
        <v>5.0</v>
      </c>
      <c r="B12300" s="1" t="s">
        <v>12189</v>
      </c>
      <c r="C12300" t="str">
        <f>IFERROR(__xludf.DUMMYFUNCTION("GOOGLETRANSLATE(B12300, ""zh"", ""en"")"),"Good quality light and comfortable right size")</f>
        <v>Good quality light and comfortable right size</v>
      </c>
    </row>
    <row r="12301">
      <c r="A12301" s="1">
        <v>5.0</v>
      </c>
      <c r="B12301" s="1" t="s">
        <v>12190</v>
      </c>
      <c r="C12301" t="str">
        <f>IFERROR(__xludf.DUMMYFUNCTION("GOOGLETRANSLATE(B12301, ""zh"", ""en"")"),"Noise Noise it is really very powerful very powerful. Worse than the bose, wearing very comfortable.")</f>
        <v>Noise Noise it is really very powerful very powerful. Worse than the bose, wearing very comfortable.</v>
      </c>
    </row>
    <row r="12302">
      <c r="A12302" s="1">
        <v>5.0</v>
      </c>
      <c r="B12302" s="1" t="s">
        <v>12191</v>
      </c>
      <c r="C12302" t="str">
        <f>IFERROR(__xludf.DUMMYFUNCTION("GOOGLETRANSLATE(B12302, ""zh"", ""en"")"),"Even better is very good. The actual hard disk capacity 8t of 7.27t, price is not expensive")</f>
        <v>Even better is very good. The actual hard disk capacity 8t of 7.27t, price is not expensive</v>
      </c>
    </row>
    <row r="12303">
      <c r="A12303" s="1">
        <v>5.0</v>
      </c>
      <c r="B12303" s="1" t="s">
        <v>12192</v>
      </c>
      <c r="C12303" t="str">
        <f>IFERROR(__xludf.DUMMYFUNCTION("GOOGLETRANSLATE(B12303, ""zh"", ""en"")"),"Classic, worth having. Good watch. Round childhood dream. It is now running belt.")</f>
        <v>Classic, worth having. Good watch. Round childhood dream. It is now running belt.</v>
      </c>
    </row>
    <row r="12304">
      <c r="A12304" s="1">
        <v>5.0</v>
      </c>
      <c r="B12304" s="1" t="s">
        <v>12193</v>
      </c>
      <c r="C12304" t="str">
        <f>IFERROR(__xludf.DUMMYFUNCTION("GOOGLETRANSLATE(B12304, ""zh"", ""en"")"),"Good quality and very good quality, very comfortable, the right size")</f>
        <v>Good quality and very good quality, very comfortable, the right size</v>
      </c>
    </row>
    <row r="12305">
      <c r="A12305" s="1">
        <v>5.0</v>
      </c>
      <c r="B12305" s="1" t="s">
        <v>12194</v>
      </c>
      <c r="C12305" t="str">
        <f>IFERROR(__xludf.DUMMYFUNCTION("GOOGLETRANSLATE(B12305, ""zh"", ""en"")"),"Good, that is rock fan!")</f>
        <v>Good, that is rock fan!</v>
      </c>
    </row>
    <row r="12306">
      <c r="A12306" s="1">
        <v>5.0</v>
      </c>
      <c r="B12306" s="1" t="s">
        <v>12195</v>
      </c>
      <c r="C12306" t="str">
        <f>IFERROR(__xludf.DUMMYFUNCTION("GOOGLETRANSLATE(B12306, ""zh"", ""en"")"),"Very good taste very good, when the candy.")</f>
        <v>Very good taste very good, when the candy.</v>
      </c>
    </row>
    <row r="12307">
      <c r="A12307" s="1">
        <v>5.0</v>
      </c>
      <c r="B12307" s="1" t="s">
        <v>12196</v>
      </c>
      <c r="C12307" t="str">
        <f>IFERROR(__xludf.DUMMYFUNCTION("GOOGLETRANSLATE(B12307, ""zh"", ""en"")"),"pretty good! Things did not spread problem! Close feet a little problem!")</f>
        <v>pretty good! Things did not spread problem! Close feet a little problem!</v>
      </c>
    </row>
    <row r="12308">
      <c r="A12308" s="1">
        <v>5.0</v>
      </c>
      <c r="B12308" s="1" t="s">
        <v>12197</v>
      </c>
      <c r="C12308" t="str">
        <f>IFERROR(__xludf.DUMMYFUNCTION("GOOGLETRANSLATE(B12308, ""zh"", ""en"")"),"Well Ms. 170,120 pounds to buy the XS, shoulder a little tight, other appropriate.")</f>
        <v>Well Ms. 170,120 pounds to buy the XS, shoulder a little tight, other appropriate.</v>
      </c>
    </row>
    <row r="12309">
      <c r="A12309" s="1">
        <v>5.0</v>
      </c>
      <c r="B12309" s="1" t="s">
        <v>12198</v>
      </c>
      <c r="C12309" t="str">
        <f>IFERROR(__xludf.DUMMYFUNCTION("GOOGLETRANSLATE(B12309, ""zh"", ""en"")"),"Souvenir share has repeatedly purchased")</f>
        <v>Souvenir share has repeatedly purchased</v>
      </c>
    </row>
    <row r="12310">
      <c r="A12310" s="1">
        <v>5.0</v>
      </c>
      <c r="B12310" s="1" t="s">
        <v>12199</v>
      </c>
      <c r="C12310" t="str">
        <f>IFERROR(__xludf.DUMMYFUNCTION("GOOGLETRANSLATE(B12310, ""zh"", ""en"")"),"Logistics and hard disk speed is good, logistics quickly, the whole package is also very good, hard disk speed test, quite satisfied")</f>
        <v>Logistics and hard disk speed is good, logistics quickly, the whole package is also very good, hard disk speed test, quite satisfied</v>
      </c>
    </row>
    <row r="12311">
      <c r="A12311" s="1">
        <v>5.0</v>
      </c>
      <c r="B12311" s="1" t="s">
        <v>12200</v>
      </c>
      <c r="C12311" t="str">
        <f>IFERROR(__xludf.DUMMYFUNCTION("GOOGLETRANSLATE(B12311, ""zh"", ""en"")"),"It fit very well liked sort")</f>
        <v>It fit very well liked sort</v>
      </c>
    </row>
    <row r="12312">
      <c r="A12312" s="1">
        <v>5.0</v>
      </c>
      <c r="B12312" s="1" t="s">
        <v>12201</v>
      </c>
      <c r="C12312" t="str">
        <f>IFERROR(__xludf.DUMMYFUNCTION("GOOGLETRANSLATE(B12312, ""zh"", ""en"")"),"High Yan great value, lasting sweet coffee, a coffee capsule also began to worry about chemical products, but after repeatedly confirmed, coffee beans capsule content only. There is a little doubt, made in China machines shipped to Germany and then buy ba"&amp;"ck China, the total price is actually lower than buying directly from China.")</f>
        <v>High Yan great value, lasting sweet coffee, a coffee capsule also began to worry about chemical products, but after repeatedly confirmed, coffee beans capsule content only. There is a little doubt, made in China machines shipped to Germany and then buy back China, the total price is actually lower than buying directly from China.</v>
      </c>
    </row>
    <row r="12313">
      <c r="A12313" s="1">
        <v>5.0</v>
      </c>
      <c r="B12313" s="1" t="s">
        <v>12202</v>
      </c>
      <c r="C12313" t="str">
        <f>IFERROR(__xludf.DUMMYFUNCTION("GOOGLETRANSLATE(B12313, ""zh"", ""en"")"),"Clothes a bit small, logistics super fast. Clothes a bit small, logistics super fast.")</f>
        <v>Clothes a bit small, logistics super fast. Clothes a bit small, logistics super fast.</v>
      </c>
    </row>
    <row r="12314">
      <c r="A12314" s="1">
        <v>5.0</v>
      </c>
      <c r="B12314" s="1" t="s">
        <v>12203</v>
      </c>
      <c r="C12314" t="str">
        <f>IFERROR(__xludf.DUMMYFUNCTION("GOOGLETRANSLATE(B12314, ""zh"", ""en"")"),"Version of the Slim and waist clothes is very good, warm light, and the version of Slim waist!")</f>
        <v>Version of the Slim and waist clothes is very good, warm light, and the version of Slim waist!</v>
      </c>
    </row>
    <row r="12315">
      <c r="A12315" s="1">
        <v>2.0</v>
      </c>
      <c r="B12315" s="1" t="s">
        <v>12204</v>
      </c>
      <c r="C12315" t="str">
        <f>IFERROR(__xludf.DUMMYFUNCTION("GOOGLETRANSLATE(B12315, ""zh"", ""en"")"),"A few months have been less than six months off paint with a four or five times a week, the red circle on the bottom that has been split off paint, disappointed")</f>
        <v>A few months have been less than six months off paint with a four or five times a week, the red circle on the bottom that has been split off paint, disappointed</v>
      </c>
    </row>
    <row r="12316">
      <c r="A12316" s="1">
        <v>3.0</v>
      </c>
      <c r="B12316" s="1" t="s">
        <v>12205</v>
      </c>
      <c r="C12316" t="str">
        <f>IFERROR(__xludf.DUMMYFUNCTION("GOOGLETRANSLATE(B12316, ""zh"", ""en"")"),"Cast rough fabric, the color is not gray, blue gray, dark blue some more")</f>
        <v>Cast rough fabric, the color is not gray, blue gray, dark blue some more</v>
      </c>
    </row>
    <row r="12317">
      <c r="A12317" s="1">
        <v>3.0</v>
      </c>
      <c r="B12317" s="1" t="s">
        <v>12206</v>
      </c>
      <c r="C12317" t="str">
        <f>IFERROR(__xludf.DUMMYFUNCTION("GOOGLETRANSLATE(B12317, ""zh"", ""en"")"),"Is really overseas direct mail? I do not quite believe in, I bought two sets of code can have a sweep sweep, sweep another set simply can not, and have a production date is actually 2017, logistics tracking two days from the United States sent to the coun"&amp;"try, it may ?")</f>
        <v>Is really overseas direct mail? I do not quite believe in, I bought two sets of code can have a sweep sweep, sweep another set simply can not, and have a production date is actually 2017, logistics tracking two days from the United States sent to the country, it may ?</v>
      </c>
    </row>
    <row r="12318">
      <c r="A12318" s="1">
        <v>1.0</v>
      </c>
      <c r="B12318" s="1" t="s">
        <v>12207</v>
      </c>
      <c r="C12318" t="str">
        <f>IFERROR(__xludf.DUMMYFUNCTION("GOOGLETRANSLATE(B12318, ""zh"", ""en"")"),"A big loss by size to buy, buy after the discovery size is too small, but can only return, not a replacement. Loss of hundreds")</f>
        <v>A big loss by size to buy, buy after the discovery size is too small, but can only return, not a replacement. Loss of hundreds</v>
      </c>
    </row>
    <row r="12319">
      <c r="A12319" s="1">
        <v>1.0</v>
      </c>
      <c r="B12319" s="1" t="s">
        <v>12208</v>
      </c>
      <c r="C12319" t="str">
        <f>IFERROR(__xludf.DUMMYFUNCTION("GOOGLETRANSLATE(B12319, ""zh"", ""en"")"),"Before buying poor quality, some say the comments thread a lot of ah, I think it does not matter cut on the Well. Buy not to wear, all the holes. Listen to the comments section of the opinion is not recommended to buy.")</f>
        <v>Before buying poor quality, some say the comments thread a lot of ah, I think it does not matter cut on the Well. Buy not to wear, all the holes. Listen to the comments section of the opinion is not recommended to buy.</v>
      </c>
    </row>
    <row r="12320">
      <c r="A12320" s="1">
        <v>1.0</v>
      </c>
      <c r="B12320" s="1" t="s">
        <v>12209</v>
      </c>
      <c r="C12320" t="str">
        <f>IFERROR(__xludf.DUMMYFUNCTION("GOOGLETRANSLATE(B12320, ""zh"", ""en"")"),"General serious fade fade serious quality in general, wearing a day after receiving the washing, hand rub a hand touch color pants")</f>
        <v>General serious fade fade serious quality in general, wearing a day after receiving the washing, hand rub a hand touch color pants</v>
      </c>
    </row>
    <row r="12321">
      <c r="A12321" s="1">
        <v>4.0</v>
      </c>
      <c r="B12321" s="1" t="s">
        <v>12210</v>
      </c>
      <c r="C12321" t="str">
        <f>IFERROR(__xludf.DUMMYFUNCTION("GOOGLETRANSLATE(B12321, ""zh"", ""en"")"),"Fortunately, a little leak ah")</f>
        <v>Fortunately, a little leak ah</v>
      </c>
    </row>
    <row r="12322">
      <c r="A12322" s="1">
        <v>4.0</v>
      </c>
      <c r="B12322" s="1" t="s">
        <v>12211</v>
      </c>
      <c r="C12322" t="str">
        <f>IFERROR(__xludf.DUMMYFUNCTION("GOOGLETRANSLATE(B12322, ""zh"", ""en"")"),"Origin Indonesia, work in general is genuine, and compared to previous ECCO This shoe, this shoe slim, wearing a bit crowded, not as good as previous work, origin Indonesia.")</f>
        <v>Origin Indonesia, work in general is genuine, and compared to previous ECCO This shoe, this shoe slim, wearing a bit crowded, not as good as previous work, origin Indonesia.</v>
      </c>
    </row>
    <row r="12323">
      <c r="A12323" s="1">
        <v>4.0</v>
      </c>
      <c r="B12323" s="1" t="s">
        <v>12212</v>
      </c>
      <c r="C12323" t="str">
        <f>IFERROR(__xludf.DUMMYFUNCTION("GOOGLETRANSLATE(B12323, ""zh"", ""en"")"),"Very small, like the size, thin wall, domestic, buy more Japanese than Jingdong instructions.")</f>
        <v>Very small, like the size, thin wall, domestic, buy more Japanese than Jingdong instructions.</v>
      </c>
    </row>
    <row r="12324">
      <c r="A12324" s="1">
        <v>4.0</v>
      </c>
      <c r="B12324" s="1" t="s">
        <v>12213</v>
      </c>
      <c r="C12324" t="str">
        <f>IFERROR(__xludf.DUMMYFUNCTION("GOOGLETRANSLATE(B12324, ""zh"", ""en"")"),"Thin version of shoes, these shoes yardage being sure to write reviews for your reference. First, shoes version is very thin, so do not choose a fat foot freshman yards estimated that does not work, because the shoes plus lean version was thin, but not si"&amp;"gnificantly small feet. Secondly, there is not generally thin cylinder. I was tall and thin legs, but wear off when still very difficult (stuffed down like), and I may be projecting heel also it has a relationship. . . So feet do not lean (though not fat)"&amp;" and also highlighted the heel give up. Finally, I usually 37.5 shoes (no intermediate code words, not tight 37, 38 improvise movements and tight) shoes United States Code 4 1/2 7 yards, there is the code above! 235 ~ good. So be it, handsome or handsome."&amp;" . .")</f>
        <v>Thin version of shoes, these shoes yardage being sure to write reviews for your reference. First, shoes version is very thin, so do not choose a fat foot freshman yards estimated that does not work, because the shoes plus lean version was thin, but not significantly small feet. Secondly, there is not generally thin cylinder. I was tall and thin legs, but wear off when still very difficult (stuffed down like), and I may be projecting heel also it has a relationship. . . So feet do not lean (though not fat) and also highlighted the heel give up. Finally, I usually 37.5 shoes (no intermediate code words, not tight 37, 38 improvise movements and tight) shoes United States Code 4 1/2 7 yards, there is the code above! 235 ~ good. So be it, handsome or handsome. . .</v>
      </c>
    </row>
    <row r="12325">
      <c r="A12325" s="1">
        <v>4.0</v>
      </c>
      <c r="B12325" s="1" t="s">
        <v>12214</v>
      </c>
      <c r="C12325" t="str">
        <f>IFERROR(__xludf.DUMMYFUNCTION("GOOGLETRANSLATE(B12325, ""zh"", ""en"")"),"Thick, the right size. Super thick, the right size. Lee than buy freshman yards. Texture okay, overalls. 182cm, 72kg.")</f>
        <v>Thick, the right size. Super thick, the right size. Lee than buy freshman yards. Texture okay, overalls. 182cm, 72kg.</v>
      </c>
    </row>
    <row r="12326">
      <c r="A12326" s="1">
        <v>5.0</v>
      </c>
      <c r="B12326" s="1" t="s">
        <v>12215</v>
      </c>
      <c r="C12326" t="str">
        <f>IFERROR(__xludf.DUMMYFUNCTION("GOOGLETRANSLATE(B12326, ""zh"", ""en"")"),"Well prepared for the baby, very nice, very beautiful gift box.")</f>
        <v>Well prepared for the baby, very nice, very beautiful gift box.</v>
      </c>
    </row>
    <row r="12327">
      <c r="A12327" s="1">
        <v>5.0</v>
      </c>
      <c r="B12327" s="1" t="s">
        <v>12216</v>
      </c>
      <c r="C12327" t="str">
        <f>IFERROR(__xludf.DUMMYFUNCTION("GOOGLETRANSLATE(B12327, ""zh"", ""en"")"),"First installed good filtering twice, no black out particles. Continued use down very well, boil water no longer worry scale")</f>
        <v>First installed good filtering twice, no black out particles. Continued use down very well, boil water no longer worry scale</v>
      </c>
    </row>
    <row r="12328">
      <c r="A12328" s="1">
        <v>5.0</v>
      </c>
      <c r="B12328" s="1" t="s">
        <v>12217</v>
      </c>
      <c r="C12328" t="str">
        <f>IFERROR(__xludf.DUMMYFUNCTION("GOOGLETRANSLATE(B12328, ""zh"", ""en"")"),"Good shoes, usually 34 feet of thin leather shoes, leather shoes 34 most loose, buy bigkid3.5, slightly longer, will not fall, there are straps, estimated littlekid 3 yards can also buy other colors")</f>
        <v>Good shoes, usually 34 feet of thin leather shoes, leather shoes 34 most loose, buy bigkid3.5, slightly longer, will not fall, there are straps, estimated littlekid 3 yards can also buy other colors</v>
      </c>
    </row>
    <row r="12329">
      <c r="A12329" s="1">
        <v>5.0</v>
      </c>
      <c r="B12329" s="1" t="s">
        <v>12218</v>
      </c>
      <c r="C12329" t="str">
        <f>IFERROR(__xludf.DUMMYFUNCTION("GOOGLETRANSLATE(B12329, ""zh"", ""en"")"),"Rapid arrival, Hong Kong and Macao perfect size counters have only 5.5, 5 or buy a wide version of the Amazon, perfect, and full leather boots child ratio, and comfortable insoles, wearing more comfortable, with the natural expensive over two hundred quit"&amp;"e the value, buy a receipt only five days during the Spring Festival this speed is not against! ! !")</f>
        <v>Rapid arrival, Hong Kong and Macao perfect size counters have only 5.5, 5 or buy a wide version of the Amazon, perfect, and full leather boots child ratio, and comfortable insoles, wearing more comfortable, with the natural expensive over two hundred quite the value, buy a receipt only five days during the Spring Festival this speed is not against! ! !</v>
      </c>
    </row>
    <row r="12330">
      <c r="A12330" s="1">
        <v>5.0</v>
      </c>
      <c r="B12330" s="1" t="s">
        <v>12219</v>
      </c>
      <c r="C12330" t="str">
        <f>IFERROR(__xludf.DUMMYFUNCTION("GOOGLETRANSLATE(B12330, ""zh"", ""en"")"),"Cup very light, very satisfied. Work is also very good.")</f>
        <v>Cup very light, very satisfied. Work is also very good.</v>
      </c>
    </row>
    <row r="12331">
      <c r="A12331" s="1">
        <v>5.0</v>
      </c>
      <c r="B12331" s="1" t="s">
        <v>12220</v>
      </c>
      <c r="C12331" t="str">
        <f>IFERROR(__xludf.DUMMYFUNCTION("GOOGLETRANSLATE(B12331, ""zh"", ""en"")"),"2 feet 3-2 feet 4 to select just the right size 8 dress pants elastic very good, waist size 2 feet 3 8 just to buy, want to help you select the size of the 😊 time")</f>
        <v>2 feet 3-2 feet 4 to select just the right size 8 dress pants elastic very good, waist size 2 feet 3 8 just to buy, want to help you select the size of the 😊 time</v>
      </c>
    </row>
    <row r="12332">
      <c r="A12332" s="1">
        <v>5.0</v>
      </c>
      <c r="B12332" s="1" t="s">
        <v>12221</v>
      </c>
      <c r="C12332" t="str">
        <f>IFERROR(__xludf.DUMMYFUNCTION("GOOGLETRANSLATE(B12332, ""zh"", ""en"")"),"Amazon give accurate and efficient service despite a bad thing, but because of Amazon's service, so I feel so cool.")</f>
        <v>Amazon give accurate and efficient service despite a bad thing, but because of Amazon's service, so I feel so cool.</v>
      </c>
    </row>
    <row r="12333">
      <c r="A12333" s="1">
        <v>5.0</v>
      </c>
      <c r="B12333" s="1" t="s">
        <v>12222</v>
      </c>
      <c r="C12333" t="str">
        <f>IFERROR(__xludf.DUMMYFUNCTION("GOOGLETRANSLATE(B12333, ""zh"", ""en"")"),"Great suction cup! Good use of suction cups, with Pigeon before, there is no handle, no anti-reflux straw design, always leaking. This is really high cost, one year old baby like to use, and each part can be disassembled for easy cleaning. Highly recommen"&amp;"ded for everyone")</f>
        <v>Great suction cup! Good use of suction cups, with Pigeon before, there is no handle, no anti-reflux straw design, always leaking. This is really high cost, one year old baby like to use, and each part can be disassembled for easy cleaning. Highly recommended for everyone</v>
      </c>
    </row>
    <row r="12334">
      <c r="A12334" s="1">
        <v>5.0</v>
      </c>
      <c r="B12334" s="1" t="s">
        <v>12223</v>
      </c>
      <c r="C12334" t="str">
        <f>IFERROR(__xludf.DUMMYFUNCTION("GOOGLETRANSLATE(B12334, ""zh"", ""en"")"),"Yes cortex cortex is also good. Belt size is enclosed perimeter holes when the third clasp.")</f>
        <v>Yes cortex cortex is also good. Belt size is enclosed perimeter holes when the third clasp.</v>
      </c>
    </row>
    <row r="12335">
      <c r="A12335" s="1">
        <v>5.0</v>
      </c>
      <c r="B12335" s="1" t="s">
        <v>12224</v>
      </c>
      <c r="C12335" t="str">
        <f>IFERROR(__xludf.DUMMYFUNCTION("GOOGLETRANSLATE(B12335, ""zh"", ""en"")"),"And counters, as the size of a normal high cost ah, quickly into.")</f>
        <v>And counters, as the size of a normal high cost ah, quickly into.</v>
      </c>
    </row>
    <row r="12336">
      <c r="A12336" s="1">
        <v>5.0</v>
      </c>
      <c r="B12336" s="1" t="s">
        <v>12225</v>
      </c>
      <c r="C12336" t="str">
        <f>IFERROR(__xludf.DUMMYFUNCTION("GOOGLETRANSLATE(B12336, ""zh"", ""en"")"),"Something good, very nice color value and function coexist. The disadvantage is that the milk foam is not strong enough, to pay attention to clean after each use with hot water and detergent milk foam boxes in time, or will play no nai pao")</f>
        <v>Something good, very nice color value and function coexist. The disadvantage is that the milk foam is not strong enough, to pay attention to clean after each use with hot water and detergent milk foam boxes in time, or will play no nai pao</v>
      </c>
    </row>
    <row r="12337">
      <c r="A12337" s="1">
        <v>5.0</v>
      </c>
      <c r="B12337" s="1" t="s">
        <v>12226</v>
      </c>
      <c r="C12337" t="str">
        <f>IFERROR(__xludf.DUMMYFUNCTION("GOOGLETRANSLATE(B12337, ""zh"", ""en"")"),"Brand jeans brand jeans, very comfortable, can plate")</f>
        <v>Brand jeans brand jeans, very comfortable, can plate</v>
      </c>
    </row>
    <row r="12338">
      <c r="A12338" s="1">
        <v>5.0</v>
      </c>
      <c r="B12338" s="1" t="s">
        <v>12227</v>
      </c>
      <c r="C12338" t="str">
        <f>IFERROR(__xludf.DUMMYFUNCTION("GOOGLETRANSLATE(B12338, ""zh"", ""en"")"),"Good good good good quality brand brand quality")</f>
        <v>Good good good good quality brand brand quality</v>
      </c>
    </row>
    <row r="12339">
      <c r="A12339" s="1">
        <v>5.0</v>
      </c>
      <c r="B12339" s="1" t="s">
        <v>12228</v>
      </c>
      <c r="C12339" t="str">
        <f>IFERROR(__xludf.DUMMYFUNCTION("GOOGLETRANSLATE(B12339, ""zh"", ""en"")"),"Champion T-shirt good, style, size, prices are very good. The Order Logistics quickly, overall very satisfied.")</f>
        <v>Champion T-shirt good, style, size, prices are very good. The Order Logistics quickly, overall very satisfied.</v>
      </c>
    </row>
    <row r="12340">
      <c r="A12340" s="1">
        <v>5.0</v>
      </c>
      <c r="B12340" s="1" t="s">
        <v>12229</v>
      </c>
      <c r="C12340" t="str">
        <f>IFERROR(__xludf.DUMMYFUNCTION("GOOGLETRANSLATE(B12340, ""zh"", ""en"")"),"Suitable liked, bought a dark, light-colored supplemented.")</f>
        <v>Suitable liked, bought a dark, light-colored supplemented.</v>
      </c>
    </row>
    <row r="12341">
      <c r="A12341" s="1">
        <v>5.0</v>
      </c>
      <c r="B12341" s="1" t="s">
        <v>12230</v>
      </c>
      <c r="C12341" t="str">
        <f>IFERROR(__xludf.DUMMYFUNCTION("GOOGLETRANSLATE(B12341, ""zh"", ""en"")"),"Awesome! Taste awesome! That is very strong (very strong not like), I did not expect fresh, very tasty, very suitable for post-exercise supplement! Praise first. ps. really big chicken children, it is completely out of the hold. 😂")</f>
        <v>Awesome! Taste awesome! That is very strong (very strong not like), I did not expect fresh, very tasty, very suitable for post-exercise supplement! Praise first. ps. really big chicken children, it is completely out of the hold. 😂</v>
      </c>
    </row>
    <row r="12342">
      <c r="A12342" s="1">
        <v>5.0</v>
      </c>
      <c r="B12342" s="1" t="s">
        <v>12231</v>
      </c>
      <c r="C12342" t="str">
        <f>IFERROR(__xludf.DUMMYFUNCTION("GOOGLETRANSLATE(B12342, ""zh"", ""en"")"),"Lower (⊙ _ ⊙) around the right, a larger number of cup")</f>
        <v>Lower (⊙ _ ⊙) around the right, a larger number of cup</v>
      </c>
    </row>
    <row r="12343">
      <c r="A12343" s="1">
        <v>5.0</v>
      </c>
      <c r="B12343" s="1" t="s">
        <v>12232</v>
      </c>
      <c r="C12343" t="str">
        <f>IFERROR(__xludf.DUMMYFUNCTION("GOOGLETRANSLATE(B12343, ""zh"", ""en"")"),"Can also be, that is not what adjustments")</f>
        <v>Can also be, that is not what adjustments</v>
      </c>
    </row>
    <row r="12344">
      <c r="A12344" s="1">
        <v>5.0</v>
      </c>
      <c r="B12344" s="1" t="s">
        <v>12233</v>
      </c>
      <c r="C12344" t="str">
        <f>IFERROR(__xludf.DUMMYFUNCTION("GOOGLETRANSLATE(B12344, ""zh"", ""en"")"),"XS satisfied 163,53 wear the right size, just do not wear open thought, but the upper body is very comfortable, just want to make to the black, do not know how to receive a strip of rainbow, okay, no black was thin.")</f>
        <v>XS satisfied 163,53 wear the right size, just do not wear open thought, but the upper body is very comfortable, just want to make to the black, do not know how to receive a strip of rainbow, okay, no black was thin.</v>
      </c>
    </row>
    <row r="12345">
      <c r="A12345" s="1">
        <v>5.0</v>
      </c>
      <c r="B12345" s="1" t="s">
        <v>12234</v>
      </c>
      <c r="C12345" t="str">
        <f>IFERROR(__xludf.DUMMYFUNCTION("GOOGLETRANSLATE(B12345, ""zh"", ""en"")"),"Nichia really satisfied with the quality good")</f>
        <v>Nichia really satisfied with the quality good</v>
      </c>
    </row>
    <row r="12346">
      <c r="A12346" s="1">
        <v>5.0</v>
      </c>
      <c r="B12346" s="1" t="s">
        <v>12235</v>
      </c>
      <c r="C12346" t="str">
        <f>IFERROR(__xludf.DUMMYFUNCTION("GOOGLETRANSLATE(B12346, ""zh"", ""en"")"),"Not bad not bad pants, waist size larger than domestic, a bit thin, summer wear is appropriate, good rest")</f>
        <v>Not bad not bad pants, waist size larger than domestic, a bit thin, summer wear is appropriate, good rest</v>
      </c>
    </row>
    <row r="12347">
      <c r="A12347" s="1">
        <v>5.0</v>
      </c>
      <c r="B12347" s="1" t="s">
        <v>12236</v>
      </c>
      <c r="C12347" t="str">
        <f>IFERROR(__xludf.DUMMYFUNCTION("GOOGLETRANSLATE(B12347, ""zh"", ""en"")"),"Pretty good, thick than expected. Usually wear jeans 3839, and bought s no problem.")</f>
        <v>Pretty good, thick than expected. Usually wear jeans 3839, and bought s no problem.</v>
      </c>
    </row>
    <row r="12348">
      <c r="A12348" s="1">
        <v>2.0</v>
      </c>
      <c r="B12348" s="1" t="s">
        <v>12237</v>
      </c>
      <c r="C12348" t="str">
        <f>IFERROR(__xludf.DUMMYFUNCTION("GOOGLETRANSLATE(B12348, ""zh"", ""en"")"),"Not before the Amazon is not a foreign production, fading, Amazon seems to stop business in China, and how still running?")</f>
        <v>Not before the Amazon is not a foreign production, fading, Amazon seems to stop business in China, and how still running?</v>
      </c>
    </row>
    <row r="12349">
      <c r="A12349" s="1">
        <v>3.0</v>
      </c>
      <c r="B12349" s="1" t="s">
        <v>12238</v>
      </c>
      <c r="C12349" t="str">
        <f>IFERROR(__xludf.DUMMYFUNCTION("GOOGLETRANSLATE(B12349, ""zh"", ""en"")"),"Bottle cap in question and friends brought back from the United States a bit different, not feeling the threaded cap when tightened, screw missing.")</f>
        <v>Bottle cap in question and friends brought back from the United States a bit different, not feeling the threaded cap when tightened, screw missing.</v>
      </c>
    </row>
    <row r="12350">
      <c r="A12350" s="1">
        <v>3.0</v>
      </c>
      <c r="B12350" s="1" t="s">
        <v>12239</v>
      </c>
      <c r="C12350" t="str">
        <f>IFERROR(__xludf.DUMMYFUNCTION("GOOGLETRANSLATE(B12350, ""zh"", ""en"")"),"No bubble tasteless taste similar, basically no foam. But one thing, obviously very fine abrasive")</f>
        <v>No bubble tasteless taste similar, basically no foam. But one thing, obviously very fine abrasive</v>
      </c>
    </row>
    <row r="12351">
      <c r="A12351" s="1">
        <v>3.0</v>
      </c>
      <c r="B12351" s="1" t="s">
        <v>12240</v>
      </c>
      <c r="C12351" t="str">
        <f>IFERROR(__xludf.DUMMYFUNCTION("GOOGLETRANSLATE(B12351, ""zh"", ""en"")"),"Waist relatively low compared to the same size, a little bit small. Slightly lower back a little.")</f>
        <v>Waist relatively low compared to the same size, a little bit small. Slightly lower back a little.</v>
      </c>
    </row>
    <row r="12352">
      <c r="A12352" s="1">
        <v>1.0</v>
      </c>
      <c r="B12352" s="1" t="s">
        <v>12241</v>
      </c>
      <c r="C12352" t="str">
        <f>IFERROR(__xludf.DUMMYFUNCTION("GOOGLETRANSLATE(B12352, ""zh"", ""en"")"),"Made in China Made in China, not the US version but not the Japanese version, work is also very general, helpless")</f>
        <v>Made in China Made in China, not the US version but not the Japanese version, work is also very general, helpless</v>
      </c>
    </row>
    <row r="12353">
      <c r="A12353" s="1">
        <v>1.0</v>
      </c>
      <c r="B12353" s="1" t="s">
        <v>12242</v>
      </c>
      <c r="C12353" t="str">
        <f>IFERROR(__xludf.DUMMYFUNCTION("GOOGLETRANSLATE(B12353, ""zh"", ""en"")"),"Very general hair loss is too much foot layer of black legs warm and long loose general")</f>
        <v>Very general hair loss is too much foot layer of black legs warm and long loose general</v>
      </c>
    </row>
    <row r="12354">
      <c r="A12354" s="1">
        <v>1.0</v>
      </c>
      <c r="B12354" s="1" t="s">
        <v>12243</v>
      </c>
      <c r="C12354" t="str">
        <f>IFERROR(__xludf.DUMMYFUNCTION("GOOGLETRANSLATE(B12354, ""zh"", ""en"")"),"Did not receive the product do not receive this product ... is not leak made")</f>
        <v>Did not receive the product do not receive this product ... is not leak made</v>
      </c>
    </row>
    <row r="12355">
      <c r="A12355" s="1">
        <v>4.0</v>
      </c>
      <c r="B12355" s="1" t="s">
        <v>12244</v>
      </c>
      <c r="C12355" t="str">
        <f>IFERROR(__xludf.DUMMYFUNCTION("GOOGLETRANSLATE(B12355, ""zh"", ""en"")"),"And domestic and domestic lee slightly different compare Bangladesh made very general level a little thin, the quality of said in the past, after all, the price is not high. And almost expected, commuting to wear just right")</f>
        <v>And domestic and domestic lee slightly different compare Bangladesh made very general level a little thin, the quality of said in the past, after all, the price is not high. And almost expected, commuting to wear just right</v>
      </c>
    </row>
    <row r="12356">
      <c r="A12356" s="1">
        <v>4.0</v>
      </c>
      <c r="B12356" s="1" t="s">
        <v>12245</v>
      </c>
      <c r="C12356" t="str">
        <f>IFERROR(__xludf.DUMMYFUNCTION("GOOGLETRANSLATE(B12356, ""zh"", ""en"")"),"The price is good clothes can also be 175cm.72kg. Who bought s code a little tight, the sleeves just,")</f>
        <v>The price is good clothes can also be 175cm.72kg. Who bought s code a little tight, the sleeves just,</v>
      </c>
    </row>
    <row r="12357">
      <c r="A12357" s="1">
        <v>4.0</v>
      </c>
      <c r="B12357" s="1" t="s">
        <v>12246</v>
      </c>
      <c r="C12357" t="str">
        <f>IFERROR(__xludf.DUMMYFUNCTION("GOOGLETRANSLATE(B12357, ""zh"", ""en"")"),"Colleagues selected colleagues asked me to buy the renovation, she believes the Japanese brand")</f>
        <v>Colleagues selected colleagues asked me to buy the renovation, she believes the Japanese brand</v>
      </c>
    </row>
    <row r="12358">
      <c r="A12358" s="1">
        <v>4.0</v>
      </c>
      <c r="B12358" s="1" t="s">
        <v>12247</v>
      </c>
      <c r="C12358" t="str">
        <f>IFERROR(__xludf.DUMMYFUNCTION("GOOGLETRANSLATE(B12358, ""zh"", ""en"")"),"Good product good quality boots, temperament soft and comfortable. Logistics is also fast, the product is said that gore tex do not see this logo on shoes. In addition, the shoe is in the hair, the presentation did not see. Well, keep.")</f>
        <v>Good product good quality boots, temperament soft and comfortable. Logistics is also fast, the product is said that gore tex do not see this logo on shoes. In addition, the shoe is in the hair, the presentation did not see. Well, keep.</v>
      </c>
    </row>
    <row r="12359">
      <c r="A12359" s="1">
        <v>5.0</v>
      </c>
      <c r="B12359" s="1" t="s">
        <v>12248</v>
      </c>
      <c r="C12359" t="str">
        <f>IFERROR(__xludf.DUMMYFUNCTION("GOOGLETRANSLATE(B12359, ""zh"", ""en"")"),"Good quality thick fabric I 180cm 92kg L models fit just for newcomers reference")</f>
        <v>Good quality thick fabric I 180cm 92kg L models fit just for newcomers reference</v>
      </c>
    </row>
    <row r="12360">
      <c r="A12360" s="1">
        <v>5.0</v>
      </c>
      <c r="B12360" s="1" t="s">
        <v>12249</v>
      </c>
      <c r="C12360" t="str">
        <f>IFERROR(__xludf.DUMMYFUNCTION("GOOGLETRANSLATE(B12360, ""zh"", ""en"")"),"Like a little bit fat 38 feet, to buy time only 5.5, is too large, and should be able to buy a 5, the heart Sese. But shoes are very drift stuffed Oh, like ❤")</f>
        <v>Like a little bit fat 38 feet, to buy time only 5.5, is too large, and should be able to buy a 5, the heart Sese. But shoes are very drift stuffed Oh, like ❤</v>
      </c>
    </row>
    <row r="12361">
      <c r="A12361" s="1">
        <v>5.0</v>
      </c>
      <c r="B12361" s="1" t="s">
        <v>12250</v>
      </c>
      <c r="C12361" t="str">
        <f>IFERROR(__xludf.DUMMYFUNCTION("GOOGLETRANSLATE(B12361, ""zh"", ""en"")"),"The proposed increase in Chinese goods overseas specification packaging is poor, the faster delivery, increased Chinese instructions on page recommended!")</f>
        <v>The proposed increase in Chinese goods overseas specification packaging is poor, the faster delivery, increased Chinese instructions on page recommended!</v>
      </c>
    </row>
    <row r="12362">
      <c r="A12362" s="1">
        <v>5.0</v>
      </c>
      <c r="B12362" s="1" t="s">
        <v>12251</v>
      </c>
      <c r="C12362" t="str">
        <f>IFERROR(__xludf.DUMMYFUNCTION("GOOGLETRANSLATE(B12362, ""zh"", ""en"")"),"This is the third purchase satisfaction Zojirushi cups, quality and the same as before, are satisfied.")</f>
        <v>This is the third purchase satisfaction Zojirushi cups, quality and the same as before, are satisfied.</v>
      </c>
    </row>
    <row r="12363">
      <c r="A12363" s="1">
        <v>5.0</v>
      </c>
      <c r="B12363" s="1" t="s">
        <v>12252</v>
      </c>
      <c r="C12363" t="str">
        <f>IFERROR(__xludf.DUMMYFUNCTION("GOOGLETRANSLATE(B12363, ""zh"", ""en"")"),"gshock Yes, very much.")</f>
        <v>gshock Yes, very much.</v>
      </c>
    </row>
    <row r="12364">
      <c r="A12364" s="1">
        <v>5.0</v>
      </c>
      <c r="B12364" s="1" t="s">
        <v>12253</v>
      </c>
      <c r="C12364" t="str">
        <f>IFERROR(__xludf.DUMMYFUNCTION("GOOGLETRANSLATE(B12364, ""zh"", ""en"")"),"Great, best used with a hair dryer this particular rod hair dryer, I used the best use of the hair dryer, dry quickly, and blows, blows, hair very smooth, Amway has been given a lot of friends, but also to help a friend at a single")</f>
        <v>Great, best used with a hair dryer this particular rod hair dryer, I used the best use of the hair dryer, dry quickly, and blows, blows, hair very smooth, Amway has been given a lot of friends, but also to help a friend at a single</v>
      </c>
    </row>
    <row r="12365">
      <c r="A12365" s="1">
        <v>5.0</v>
      </c>
      <c r="B12365" s="1" t="s">
        <v>12254</v>
      </c>
      <c r="C12365" t="str">
        <f>IFERROR(__xludf.DUMMYFUNCTION("GOOGLETRANSLATE(B12365, ""zh"", ""en"")"),"Well worth buying. No. 8 orders 12 received, much faster than the transport. Faucet can lift the pullout, do not worry scale. Installation is also very convenient, quick connectors are connected.")</f>
        <v>Well worth buying. No. 8 orders 12 received, much faster than the transport. Faucet can lift the pullout, do not worry scale. Installation is also very convenient, quick connectors are connected.</v>
      </c>
    </row>
    <row r="12366">
      <c r="A12366" s="1">
        <v>5.0</v>
      </c>
      <c r="B12366" s="1" t="s">
        <v>12255</v>
      </c>
      <c r="C12366" t="str">
        <f>IFERROR(__xludf.DUMMYFUNCTION("GOOGLETRANSLATE(B12366, ""zh"", ""en"")"),"Pianzhai shoes look great, but really want to slim legs can. My feet are already slim feet or a little pressure, length no problem.")</f>
        <v>Pianzhai shoes look great, but really want to slim legs can. My feet are already slim feet or a little pressure, length no problem.</v>
      </c>
    </row>
    <row r="12367">
      <c r="A12367" s="1">
        <v>5.0</v>
      </c>
      <c r="B12367" s="1" t="s">
        <v>12256</v>
      </c>
      <c r="C12367" t="str">
        <f>IFERROR(__xludf.DUMMYFUNCTION("GOOGLETRANSLATE(B12367, ""zh"", ""en"")"),"The right size, good-looking black. Well liked")</f>
        <v>The right size, good-looking black. Well liked</v>
      </c>
    </row>
    <row r="12368">
      <c r="A12368" s="1">
        <v>5.0</v>
      </c>
      <c r="B12368" s="1" t="s">
        <v>12257</v>
      </c>
      <c r="C12368" t="str">
        <f>IFERROR(__xludf.DUMMYFUNCTION("GOOGLETRANSLATE(B12368, ""zh"", ""en"")"),"Braun made Chinese low-end products which are made in China, the Braun brand of low-end products. The biggest drawback is too much noise, but high-powered, scraping also clean. And the Netherlands more than a brand, good work!")</f>
        <v>Braun made Chinese low-end products which are made in China, the Braun brand of low-end products. The biggest drawback is too much noise, but high-powered, scraping also clean. And the Netherlands more than a brand, good work!</v>
      </c>
    </row>
    <row r="12369">
      <c r="A12369" s="1">
        <v>5.0</v>
      </c>
      <c r="B12369" s="1" t="s">
        <v>12258</v>
      </c>
      <c r="C12369" t="str">
        <f>IFERROR(__xludf.DUMMYFUNCTION("GOOGLETRANSLATE(B12369, ""zh"", ""en"")"),"Baia 990pro start the second most expensive in the history of moral beyerdynamic 990pro arrival, though no hd600 atmosphere of Chiang Kai-shek, nor akg of fresh and meaningful, but as long as there is Baia traditional taste it worth the price, as can Appl"&amp;"e MacBookpro push up")</f>
        <v>Baia 990pro start the second most expensive in the history of moral beyerdynamic 990pro arrival, though no hd600 atmosphere of Chiang Kai-shek, nor akg of fresh and meaningful, but as long as there is Baia traditional taste it worth the price, as can Apple MacBookpro push up</v>
      </c>
    </row>
    <row r="12370">
      <c r="A12370" s="1">
        <v>5.0</v>
      </c>
      <c r="B12370" s="1" t="s">
        <v>12259</v>
      </c>
      <c r="C12370" t="str">
        <f>IFERROR(__xludf.DUMMYFUNCTION("GOOGLETRANSLATE(B12370, ""zh"", ""en"")"),"Fit liked")</f>
        <v>Fit liked</v>
      </c>
    </row>
    <row r="12371">
      <c r="A12371" s="1">
        <v>5.0</v>
      </c>
      <c r="B12371" s="1" t="s">
        <v>2743</v>
      </c>
      <c r="C12371" t="str">
        <f>IFERROR(__xludf.DUMMYFUNCTION("GOOGLETRANSLATE(B12371, ""zh"", ""en"")"),"Very suitable to wear very comfortable, I hope to have effect oh")</f>
        <v>Very suitable to wear very comfortable, I hope to have effect oh</v>
      </c>
    </row>
    <row r="12372">
      <c r="A12372" s="1">
        <v>5.0</v>
      </c>
      <c r="B12372" s="1" t="s">
        <v>12260</v>
      </c>
      <c r="C12372" t="str">
        <f>IFERROR(__xludf.DUMMYFUNCTION("GOOGLETRANSLATE(B12372, ""zh"", ""en"")"),"Special start, very satisfied with the 1499 starting price very satisfied, bought a man's wife, big bread generation, or the most comfortable with (wearing glasses) at home hifi sound out the enemy, already picked ears, fever almost buy a headset Well - j"&amp;"ust listen to online evaluation I have much to say, without any rendering, this is really dull music!")</f>
        <v>Special start, very satisfied with the 1499 starting price very satisfied, bought a man's wife, big bread generation, or the most comfortable with (wearing glasses) at home hifi sound out the enemy, already picked ears, fever almost buy a headset Well - just listen to online evaluation I have much to say, without any rendering, this is really dull music!</v>
      </c>
    </row>
    <row r="12373">
      <c r="A12373" s="1">
        <v>5.0</v>
      </c>
      <c r="B12373" s="1" t="s">
        <v>12261</v>
      </c>
      <c r="C12373" t="str">
        <f>IFERROR(__xludf.DUMMYFUNCTION("GOOGLETRANSLATE(B12373, ""zh"", ""en"")"),"3 m black ghost foreign workers because the table does not support seven days no reason returned, when to take delivery site inspection to confirm the packaging and appearance of the table no problem accept. After wearing for a week, I feel very good. Tab"&amp;"le diameter 37 pairs just me, but this type of diving watch list of available big point, visually does not significantly large. This section is quartz movement, is an advantage for me, peace of mind. Find more adequate steel strap material, non-hollow bra"&amp;"celet, at this price, compare conscience when taking the bracelet. Timing bezel just damping, turn the bezel 60 grid circle, feeling an appropriate degree of workmanship, these days nothing to walk around. Either way, this table is recommended to buy a Ro"&amp;"lex watch enough money to buy the more than 100 pieces, buy this or buy labor, have to decide for yourself. Between the two, I personally think that is not high not low, very uncomfortable. Finally, it has been successfully exploited this table to lure fr"&amp;"iends ready to start labor.")</f>
        <v>3 m black ghost foreign workers because the table does not support seven days no reason returned, when to take delivery site inspection to confirm the packaging and appearance of the table no problem accept. After wearing for a week, I feel very good. Table diameter 37 pairs just me, but this type of diving watch list of available big point, visually does not significantly large. This section is quartz movement, is an advantage for me, peace of mind. Find more adequate steel strap material, non-hollow bracelet, at this price, compare conscience when taking the bracelet. Timing bezel just damping, turn the bezel 60 grid circle, feeling an appropriate degree of workmanship, these days nothing to walk around. Either way, this table is recommended to buy a Rolex watch enough money to buy the more than 100 pieces, buy this or buy labor, have to decide for yourself. Between the two, I personally think that is not high not low, very uncomfortable. Finally, it has been successfully exploited this table to lure friends ready to start labor.</v>
      </c>
    </row>
    <row r="12374">
      <c r="A12374" s="1">
        <v>5.0</v>
      </c>
      <c r="B12374" s="1" t="s">
        <v>12262</v>
      </c>
      <c r="C12374" t="str">
        <f>IFERROR(__xludf.DUMMYFUNCTION("GOOGLETRANSLATE(B12374, ""zh"", ""en"")"),"Okay things no problem, but also comfortable to wear, that is out of the barrel")</f>
        <v>Okay things no problem, but also comfortable to wear, that is out of the barrel</v>
      </c>
    </row>
    <row r="12375">
      <c r="A12375" s="1">
        <v>5.0</v>
      </c>
      <c r="B12375" s="1" t="s">
        <v>12263</v>
      </c>
      <c r="C12375" t="str">
        <f>IFERROR(__xludf.DUMMYFUNCTION("GOOGLETRANSLATE(B12375, ""zh"", ""en"")"),"Comfortable and convenient very comfortable")</f>
        <v>Comfortable and convenient very comfortable</v>
      </c>
    </row>
    <row r="12376">
      <c r="A12376" s="1">
        <v>5.0</v>
      </c>
      <c r="B12376" s="1" t="s">
        <v>12264</v>
      </c>
      <c r="C12376" t="str">
        <f>IFERROR(__xludf.DUMMYFUNCTION("GOOGLETRANSLATE(B12376, ""zh"", ""en"")"),"Perfect very sophisticated technology and elegant color, the right size family of four, with dishes such as pot must be very tasty, the price is also cheaper to buy abroad")</f>
        <v>Perfect very sophisticated technology and elegant color, the right size family of four, with dishes such as pot must be very tasty, the price is also cheaper to buy abroad</v>
      </c>
    </row>
    <row r="12377">
      <c r="A12377" s="1">
        <v>5.0</v>
      </c>
      <c r="B12377" s="1" t="s">
        <v>12265</v>
      </c>
      <c r="C12377" t="str">
        <f>IFERROR(__xludf.DUMMYFUNCTION("GOOGLETRANSLATE(B12377, ""zh"", ""en"")"),"Baby good packaging is simple but does not affect anything, mainly baby genuine. Express also like the expected fast. In short a pleasant sea Amoy")</f>
        <v>Baby good packaging is simple but does not affect anything, mainly baby genuine. Express also like the expected fast. In short a pleasant sea Amoy</v>
      </c>
    </row>
    <row r="12378">
      <c r="A12378" s="1">
        <v>5.0</v>
      </c>
      <c r="B12378" s="1" t="s">
        <v>12266</v>
      </c>
      <c r="C12378" t="str">
        <f>IFERROR(__xludf.DUMMYFUNCTION("GOOGLETRANSLATE(B12378, ""zh"", ""en"")"),"Feeling than before to buy Adidas pants almost feel than the previous buy Adidas pants almost")</f>
        <v>Feeling than before to buy Adidas pants almost feel than the previous buy Adidas pants almost</v>
      </c>
    </row>
    <row r="12379">
      <c r="A12379" s="1">
        <v>5.0</v>
      </c>
      <c r="B12379" s="1" t="s">
        <v>12267</v>
      </c>
      <c r="C12379" t="str">
        <f>IFERROR(__xludf.DUMMYFUNCTION("GOOGLETRANSLATE(B12379, ""zh"", ""en"")"),"Comfortable. Comfortable. The feeling of cotton. Dad bought his 1.70 meters, slim, japanese clothes L just right. Haha, very happy! ! !")</f>
        <v>Comfortable. Comfortable. The feeling of cotton. Dad bought his 1.70 meters, slim, japanese clothes L just right. Haha, very happy! ! !</v>
      </c>
    </row>
    <row r="12380">
      <c r="A12380" s="1">
        <v>5.0</v>
      </c>
      <c r="B12380" s="1" t="s">
        <v>12268</v>
      </c>
      <c r="C12380" t="str">
        <f>IFERROR(__xludf.DUMMYFUNCTION("GOOGLETRANSLATE(B12380, ""zh"", ""en"")"),"Satisfaction of 172 cm, 67 kg wear s code is appropriate. Clothes good in all aspects. Amazon will recommend clothing size in the page display easy to buy, this is not really clear now introduced.")</f>
        <v>Satisfaction of 172 cm, 67 kg wear s code is appropriate. Clothes good in all aspects. Amazon will recommend clothing size in the page display easy to buy, this is not really clear now introduced.</v>
      </c>
    </row>
    <row r="12381">
      <c r="A12381" s="1">
        <v>2.0</v>
      </c>
      <c r="B12381" s="1" t="s">
        <v>12269</v>
      </c>
      <c r="C12381" t="str">
        <f>IFERROR(__xludf.DUMMYFUNCTION("GOOGLETRANSLATE(B12381, ""zh"", ""en"")"),"Her husband said not to wear uncomfortable, and there are differences in Germany to buy")</f>
        <v>Her husband said not to wear uncomfortable, and there are differences in Germany to buy</v>
      </c>
    </row>
    <row r="12382">
      <c r="A12382" s="1">
        <v>3.0</v>
      </c>
      <c r="B12382" s="1" t="s">
        <v>12270</v>
      </c>
      <c r="C12382" t="str">
        <f>IFERROR(__xludf.DUMMYFUNCTION("GOOGLETRANSLATE(B12382, ""zh"", ""en"")"),"The version good, self-cultivation, the material is also comfortable, normal size, slightly elastic, sticky hair is particularly fond of the version good, self-cultivation, the material is also comfortable, normal size, slightly elastic, is particularly f"&amp;"ond of sticky hair, do not buy")</f>
        <v>The version good, self-cultivation, the material is also comfortable, normal size, slightly elastic, sticky hair is particularly fond of the version good, self-cultivation, the material is also comfortable, normal size, slightly elastic, is particularly fond of sticky hair, do not buy</v>
      </c>
    </row>
    <row r="12383">
      <c r="A12383" s="1">
        <v>3.0</v>
      </c>
      <c r="B12383" s="1" t="s">
        <v>12271</v>
      </c>
      <c r="C12383" t="str">
        <f>IFERROR(__xludf.DUMMYFUNCTION("GOOGLETRANSLATE(B12383, ""zh"", ""en"")"),"Really too fat height 188, weight 200 pounds, wearing XL code freshman, wearing almost L, not my belly, clothes look good to see it touches")</f>
        <v>Really too fat height 188, weight 200 pounds, wearing XL code freshman, wearing almost L, not my belly, clothes look good to see it touches</v>
      </c>
    </row>
    <row r="12384">
      <c r="A12384" s="1">
        <v>1.0</v>
      </c>
      <c r="B12384" s="1" t="s">
        <v>12272</v>
      </c>
      <c r="C12384" t="str">
        <f>IFERROR(__xludf.DUMMYFUNCTION("GOOGLETRANSLATE(B12384, ""zh"", ""en"")"),"Surface color does not match ah, changing table has no customer service ah? Does anyone tube ah? Reaction two weeks, did not respond, this is the Amazon? Why is the black surface to receive ah? Too pit Well, so far, the product does not meet ah, is it pos"&amp;"sible to change the blue ah?")</f>
        <v>Surface color does not match ah, changing table has no customer service ah? Does anyone tube ah? Reaction two weeks, did not respond, this is the Amazon? Why is the black surface to receive ah? Too pit Well, so far, the product does not meet ah, is it possible to change the blue ah?</v>
      </c>
    </row>
    <row r="12385">
      <c r="A12385" s="1">
        <v>1.0</v>
      </c>
      <c r="B12385" s="1" t="s">
        <v>12273</v>
      </c>
      <c r="C12385" t="str">
        <f>IFERROR(__xludf.DUMMYFUNCTION("GOOGLETRANSLATE(B12385, ""zh"", ""en"")"),"Power burst spark burned a second time it broke, burned spark explosive power, do not know where to repair, I knew this is not greed cheap")</f>
        <v>Power burst spark burned a second time it broke, burned spark explosive power, do not know where to repair, I knew this is not greed cheap</v>
      </c>
    </row>
    <row r="12386">
      <c r="A12386" s="1">
        <v>4.0</v>
      </c>
      <c r="B12386" s="1" t="s">
        <v>12274</v>
      </c>
      <c r="C12386" t="str">
        <f>IFERROR(__xludf.DUMMYFUNCTION("GOOGLETRANSLATE(B12386, ""zh"", ""en"")"),"Writing good sense of color than black. Waterproof little (and ordinary, like Kunkel, there is no ability to turn on the water). Color slightly blue (common Kunkel purple red), to write quite satisfactory black. Drawback is not waterproof (super quink and"&amp;" ordinary Kunkel waterproof capability is no different, they are not very waterproof).")</f>
        <v>Writing good sense of color than black. Waterproof little (and ordinary, like Kunkel, there is no ability to turn on the water). Color slightly blue (common Kunkel purple red), to write quite satisfactory black. Drawback is not waterproof (super quink and ordinary Kunkel waterproof capability is no different, they are not very waterproof).</v>
      </c>
    </row>
    <row r="12387">
      <c r="A12387" s="1">
        <v>4.0</v>
      </c>
      <c r="B12387" s="1" t="s">
        <v>12275</v>
      </c>
      <c r="C12387" t="str">
        <f>IFERROR(__xludf.DUMMYFUNCTION("GOOGLETRANSLATE(B12387, ""zh"", ""en"")"),"not bad. Good, not very thick, the right size.")</f>
        <v>not bad. Good, not very thick, the right size.</v>
      </c>
    </row>
    <row r="12388">
      <c r="A12388" s="1">
        <v>4.0</v>
      </c>
      <c r="B12388" s="1" t="s">
        <v>12276</v>
      </c>
      <c r="C12388" t="str">
        <f>IFERROR(__xludf.DUMMYFUNCTION("GOOGLETRANSLATE(B12388, ""zh"", ""en"")"),"You can not say something is genuine quality also can not say whether or not genuine, but wear okay, that is some small")</f>
        <v>You can not say something is genuine quality also can not say whether or not genuine, but wear okay, that is some small</v>
      </c>
    </row>
    <row r="12389">
      <c r="A12389" s="1">
        <v>4.0</v>
      </c>
      <c r="B12389" s="1" t="s">
        <v>12277</v>
      </c>
      <c r="C12389" t="str">
        <f>IFERROR(__xludf.DUMMYFUNCTION("GOOGLETRANSLATE(B12389, ""zh"", ""en"")"),"A good buy for a friend, not from the previous evaluation, I do not know how many wasted points, points can change money now know, they should look carefully evaluated, then I put these words to copy to go, both to earn points, but also save time, copy wh"&amp;"ere they go, the most important thing is, do not seriously review, do not think how much worse word, sent directly to it, recommend it to everyone! !")</f>
        <v>A good buy for a friend, not from the previous evaluation, I do not know how many wasted points, points can change money now know, they should look carefully evaluated, then I put these words to copy to go, both to earn points, but also save time, copy where they go, the most important thing is, do not seriously review, do not think how much worse word, sent directly to it, recommend it to everyone! !</v>
      </c>
    </row>
    <row r="12390">
      <c r="A12390" s="1">
        <v>4.0</v>
      </c>
      <c r="B12390" s="1" t="s">
        <v>12278</v>
      </c>
      <c r="C12390" t="str">
        <f>IFERROR(__xludf.DUMMYFUNCTION("GOOGLETRANSLATE(B12390, ""zh"", ""en"")"),"... 163,94 pounds wearing a little number M")</f>
        <v>... 163,94 pounds wearing a little number M</v>
      </c>
    </row>
    <row r="12391">
      <c r="A12391" s="1">
        <v>5.0</v>
      </c>
      <c r="B12391" s="1" t="s">
        <v>12279</v>
      </c>
      <c r="C12391" t="str">
        <f>IFERROR(__xludf.DUMMYFUNCTION("GOOGLETRANSLATE(B12391, ""zh"", ""en"")"),"Good good good good good good little top can endure goods is really good stuff, and the store should be the same as authentic")</f>
        <v>Good good good good good good little top can endure goods is really good stuff, and the store should be the same as authentic</v>
      </c>
    </row>
    <row r="12392">
      <c r="A12392" s="1">
        <v>5.0</v>
      </c>
      <c r="B12392" s="1" t="s">
        <v>12280</v>
      </c>
      <c r="C12392" t="str">
        <f>IFERROR(__xludf.DUMMYFUNCTION("GOOGLETRANSLATE(B12392, ""zh"", ""en"")"),"Look perfect description of the goods quickly, things are good, the only regret is to describe not know nib thickness, used f sharp, pointed or slightly thick with m")</f>
        <v>Look perfect description of the goods quickly, things are good, the only regret is to describe not know nib thickness, used f sharp, pointed or slightly thick with m</v>
      </c>
    </row>
    <row r="12393">
      <c r="A12393" s="1">
        <v>5.0</v>
      </c>
      <c r="B12393" s="1" t="s">
        <v>12281</v>
      </c>
      <c r="C12393" t="str">
        <f>IFERROR(__xludf.DUMMYFUNCTION("GOOGLETRANSLATE(B12393, ""zh"", ""en"")"),"Very thick, waist and long pants are appropriate black, very thick pants, straight version of type quite fit. 69kg, 172cm. for reference. Inside thread is also not a review so much.")</f>
        <v>Very thick, waist and long pants are appropriate black, very thick pants, straight version of type quite fit. 69kg, 172cm. for reference. Inside thread is also not a review so much.</v>
      </c>
    </row>
    <row r="12394">
      <c r="A12394" s="1">
        <v>5.0</v>
      </c>
      <c r="B12394" s="1" t="s">
        <v>12282</v>
      </c>
      <c r="C12394" t="str">
        <f>IFERROR(__xludf.DUMMYFUNCTION("GOOGLETRANSLATE(B12394, ""zh"", ""en"")"),"Fit very thin, 176cm, 79kg, some belly up now, fairly fit")</f>
        <v>Fit very thin, 176cm, 79kg, some belly up now, fairly fit</v>
      </c>
    </row>
    <row r="12395">
      <c r="A12395" s="1">
        <v>5.0</v>
      </c>
      <c r="B12395" s="1" t="s">
        <v>12283</v>
      </c>
      <c r="C12395" t="str">
        <f>IFERROR(__xludf.DUMMYFUNCTION("GOOGLETRANSLATE(B12395, ""zh"", ""en"")"),"Value for money very high price indeed, to see comments and 7506 to buy. The advantage is not to say, put a lot of other evaluations, the disadvantage is still there. Slightly more low-frequency, listening to pop music through the vocals cover past feelin"&amp;"g, there is a high frequency band have harsh feelings, like Qi Lu promise arithmetic classroom at the beginning of that bell a few times.")</f>
        <v>Value for money very high price indeed, to see comments and 7506 to buy. The advantage is not to say, put a lot of other evaluations, the disadvantage is still there. Slightly more low-frequency, listening to pop music through the vocals cover past feeling, there is a high frequency band have harsh feelings, like Qi Lu promise arithmetic classroom at the beginning of that bell a few times.</v>
      </c>
    </row>
    <row r="12396">
      <c r="A12396" s="1">
        <v>5.0</v>
      </c>
      <c r="B12396" s="1" t="s">
        <v>12284</v>
      </c>
      <c r="C12396" t="str">
        <f>IFERROR(__xludf.DUMMYFUNCTION("GOOGLETRANSLATE(B12396, ""zh"", ""en"")"),"German cost-effective production, good quality, will buy")</f>
        <v>German cost-effective production, good quality, will buy</v>
      </c>
    </row>
    <row r="12397">
      <c r="A12397" s="1">
        <v>5.0</v>
      </c>
      <c r="B12397" s="1" t="s">
        <v>12285</v>
      </c>
      <c r="C12397" t="str">
        <f>IFERROR(__xludf.DUMMYFUNCTION("GOOGLETRANSLATE(B12397, ""zh"", ""en"")"),"Generally, your side. 175cm, 74kg, M number, fit. Clothing material is thin, probably worn alone for spring and autumn, not winter.")</f>
        <v>Generally, your side. 175cm, 74kg, M number, fit. Clothing material is thin, probably worn alone for spring and autumn, not winter.</v>
      </c>
    </row>
    <row r="12398">
      <c r="A12398" s="1">
        <v>5.0</v>
      </c>
      <c r="B12398" s="1" t="s">
        <v>12286</v>
      </c>
      <c r="C12398" t="str">
        <f>IFERROR(__xludf.DUMMYFUNCTION("GOOGLETRANSLATE(B12398, ""zh"", ""en"")"),"Very good, recommended absolutely beautiful, part PU is also very comfortable sound quality is also good folded still a bit of space, packed the bags have to send anything like")</f>
        <v>Very good, recommended absolutely beautiful, part PU is also very comfortable sound quality is also good folded still a bit of space, packed the bags have to send anything like</v>
      </c>
    </row>
    <row r="12399">
      <c r="A12399" s="1">
        <v>5.0</v>
      </c>
      <c r="B12399" s="1" t="s">
        <v>12287</v>
      </c>
      <c r="C12399" t="str">
        <f>IFERROR(__xludf.DUMMYFUNCTION("GOOGLETRANSLATE(B12399, ""zh"", ""en"")"),"This material is good and the family had a 6m + ratio, the size is the same, so it should not only be used for six months now.")</f>
        <v>This material is good and the family had a 6m + ratio, the size is the same, so it should not only be used for six months now.</v>
      </c>
    </row>
    <row r="12400">
      <c r="A12400" s="1">
        <v>5.0</v>
      </c>
      <c r="B12400" s="1" t="s">
        <v>12288</v>
      </c>
      <c r="C12400" t="str">
        <f>IFERROR(__xludf.DUMMYFUNCTION("GOOGLETRANSLATE(B12400, ""zh"", ""en"")"),"Very comfortable bra is good, that is a little bottom roll")</f>
        <v>Very comfortable bra is good, that is a little bottom roll</v>
      </c>
    </row>
    <row r="12401">
      <c r="A12401" s="1">
        <v>5.0</v>
      </c>
      <c r="B12401" s="1" t="s">
        <v>12289</v>
      </c>
      <c r="C12401" t="str">
        <f>IFERROR(__xludf.DUMMYFUNCTION("GOOGLETRANSLATE(B12401, ""zh"", ""en"")"),"Comfortable fit and comfortable style fit well satisfied")</f>
        <v>Comfortable fit and comfortable style fit well satisfied</v>
      </c>
    </row>
    <row r="12402">
      <c r="A12402" s="1">
        <v>5.0</v>
      </c>
      <c r="B12402" s="1" t="s">
        <v>12290</v>
      </c>
      <c r="C12402" t="str">
        <f>IFERROR(__xludf.DUMMYFUNCTION("GOOGLETRANSLATE(B12402, ""zh"", ""en"")"),"Pigeon bottle than with a friend from Japan cheaper Comparison compare to when")</f>
        <v>Pigeon bottle than with a friend from Japan cheaper Comparison compare to when</v>
      </c>
    </row>
    <row r="12403">
      <c r="A12403" s="1">
        <v>5.0</v>
      </c>
      <c r="B12403" s="1" t="s">
        <v>12291</v>
      </c>
      <c r="C12403" t="str">
        <f>IFERROR(__xludf.DUMMYFUNCTION("GOOGLETRANSLATE(B12403, ""zh"", ""en"")"),"A good speaker, conscientious pricing this price performance should be very good, more than expected, before listening Cruiser r1000 North American version, upgrade it is clear that there is a clear level is not the feeling of clutter, and I think the bas"&amp;"s has been very full, and for the what Others say it poor bass, I sometimes do more than enough for the bass, but fortunately did not buy the Swans special 1199mkiii +, which monitors a different feeling compared to multimedia speakers.")</f>
        <v>A good speaker, conscientious pricing this price performance should be very good, more than expected, before listening Cruiser r1000 North American version, upgrade it is clear that there is a clear level is not the feeling of clutter, and I think the bass has been very full, and for the what Others say it poor bass, I sometimes do more than enough for the bass, but fortunately did not buy the Swans special 1199mkiii +, which monitors a different feeling compared to multimedia speakers.</v>
      </c>
    </row>
    <row r="12404">
      <c r="A12404" s="1">
        <v>5.0</v>
      </c>
      <c r="B12404" s="1" t="s">
        <v>12292</v>
      </c>
      <c r="C12404" t="str">
        <f>IFERROR(__xludf.DUMMYFUNCTION("GOOGLETRANSLATE(B12404, ""zh"", ""en"")"),"Good pen pen great, but did not accompany the ink")</f>
        <v>Good pen pen great, but did not accompany the ink</v>
      </c>
    </row>
    <row r="12405">
      <c r="A12405" s="1">
        <v>5.0</v>
      </c>
      <c r="B12405" s="1" t="s">
        <v>12293</v>
      </c>
      <c r="C12405" t="str">
        <f>IFERROR(__xludf.DUMMYFUNCTION("GOOGLETRANSLATE(B12405, ""zh"", ""en"")"),"Buy good quality child was born, now a half years old, has been in use, quality Bang Bang!")</f>
        <v>Buy good quality child was born, now a half years old, has been in use, quality Bang Bang!</v>
      </c>
    </row>
    <row r="12406">
      <c r="A12406" s="1">
        <v>5.0</v>
      </c>
      <c r="B12406" s="1" t="s">
        <v>12294</v>
      </c>
      <c r="C12406" t="str">
        <f>IFERROR(__xludf.DUMMYFUNCTION("GOOGLETRANSLATE(B12406, ""zh"", ""en"")"),"Nice to have a little small and looks good. well")</f>
        <v>Nice to have a little small and looks good. well</v>
      </c>
    </row>
    <row r="12407">
      <c r="A12407" s="1">
        <v>5.0</v>
      </c>
      <c r="B12407" s="1" t="s">
        <v>12295</v>
      </c>
      <c r="C12407" t="str">
        <f>IFERROR(__xludf.DUMMYFUNCTION("GOOGLETRANSLATE(B12407, ""zh"", ""en"")"),"Clarks shoes never let me down is recommended to wear What size to buy much code, soft leather, wearing a light summer, cool shoes.")</f>
        <v>Clarks shoes never let me down is recommended to wear What size to buy much code, soft leather, wearing a light summer, cool shoes.</v>
      </c>
    </row>
    <row r="12408">
      <c r="A12408" s="1">
        <v>5.0</v>
      </c>
      <c r="B12408" s="1" t="s">
        <v>12296</v>
      </c>
      <c r="C12408" t="str">
        <f>IFERROR(__xludf.DUMMYFUNCTION("GOOGLETRANSLATE(B12408, ""zh"", ""en"")"),"Looking good is very light, only a pacifier, misleading title, arrived quickly, are satisfied.")</f>
        <v>Looking good is very light, only a pacifier, misleading title, arrived quickly, are satisfied.</v>
      </c>
    </row>
    <row r="12409">
      <c r="A12409" s="1">
        <v>5.0</v>
      </c>
      <c r="B12409" s="1" t="s">
        <v>12297</v>
      </c>
      <c r="C12409" t="str">
        <f>IFERROR(__xludf.DUMMYFUNCTION("GOOGLETRANSLATE(B12409, ""zh"", ""en"")"),"A pleasant shopping experience from the packaging to see that the Japanese do things simply no way out, very good")</f>
        <v>A pleasant shopping experience from the packaging to see that the Japanese do things simply no way out, very good</v>
      </c>
    </row>
    <row r="12410">
      <c r="A12410" s="1">
        <v>5.0</v>
      </c>
      <c r="B12410" s="1" t="s">
        <v>12298</v>
      </c>
      <c r="C12410" t="str">
        <f>IFERROR(__xludf.DUMMYFUNCTION("GOOGLETRANSLATE(B12410, ""zh"", ""en"")"),"Perfect, good insulation effect and a wife and a man, with a period of time, really have to praise the mug is really good. Insulating effect, the cup size is impeccable, worth buying.")</f>
        <v>Perfect, good insulation effect and a wife and a man, with a period of time, really have to praise the mug is really good. Insulating effect, the cup size is impeccable, worth buying.</v>
      </c>
    </row>
    <row r="12411">
      <c r="A12411" s="1">
        <v>5.0</v>
      </c>
      <c r="B12411" s="1" t="s">
        <v>12299</v>
      </c>
      <c r="C12411" t="str">
        <f>IFERROR(__xludf.DUMMYFUNCTION("GOOGLETRANSLATE(B12411, ""zh"", ""en"")"),"Like the bottle nipple and designed to give the baby to drink with. . The child does not love to drink water, give her a little squeeze a little, a lot of fun. Baby also like")</f>
        <v>Like the bottle nipple and designed to give the baby to drink with. . The child does not love to drink water, give her a little squeeze a little, a lot of fun. Baby also like</v>
      </c>
    </row>
    <row r="12412">
      <c r="A12412" s="1">
        <v>2.0</v>
      </c>
      <c r="B12412" s="1" t="s">
        <v>12300</v>
      </c>
      <c r="C12412" t="str">
        <f>IFERROR(__xludf.DUMMYFUNCTION("GOOGLETRANSLATE(B12412, ""zh"", ""en"")"),"Too bad! Clothes quality standard is to spread the goods. Sell ​​50 yuan, are expensive! I believe Amazon's introduction, fools! Back too much trouble, well, can only work at home wear.")</f>
        <v>Too bad! Clothes quality standard is to spread the goods. Sell ​​50 yuan, are expensive! I believe Amazon's introduction, fools! Back too much trouble, well, can only work at home wear.</v>
      </c>
    </row>
    <row r="12413">
      <c r="A12413" s="1">
        <v>3.0</v>
      </c>
      <c r="B12413" s="1" t="s">
        <v>12301</v>
      </c>
      <c r="C12413" t="str">
        <f>IFERROR(__xludf.DUMMYFUNCTION("GOOGLETRANSLATE(B12413, ""zh"", ""en"")"),"Looks a little off color is a slim and wearing is good, that is, washing clothes fade, estimated long time, the color may be relatively shallow. I bought the black color.")</f>
        <v>Looks a little off color is a slim and wearing is good, that is, washing clothes fade, estimated long time, the color may be relatively shallow. I bought the black color.</v>
      </c>
    </row>
    <row r="12414">
      <c r="A12414" s="1">
        <v>3.0</v>
      </c>
      <c r="B12414" s="1" t="s">
        <v>12302</v>
      </c>
      <c r="C12414" t="str">
        <f>IFERROR(__xludf.DUMMYFUNCTION("GOOGLETRANSLATE(B12414, ""zh"", ""en"")"),"Too large too large clothes, I 178cm, 70kg, L is too large")</f>
        <v>Too large too large clothes, I 178cm, 70kg, L is too large</v>
      </c>
    </row>
    <row r="12415">
      <c r="A12415" s="1">
        <v>1.0</v>
      </c>
      <c r="B12415" s="1" t="s">
        <v>12303</v>
      </c>
      <c r="C12415" t="str">
        <f>IFERROR(__xludf.DUMMYFUNCTION("GOOGLETRANSLATE(B12415, ""zh"", ""en"")"),"Not recommend a sub-price goods, open the package cover squelch sound, there is no internal zipper, very safe, leaving it useless gesture.")</f>
        <v>Not recommend a sub-price goods, open the package cover squelch sound, there is no internal zipper, very safe, leaving it useless gesture.</v>
      </c>
    </row>
    <row r="12416">
      <c r="A12416" s="1">
        <v>1.0</v>
      </c>
      <c r="B12416" s="1" t="s">
        <v>12304</v>
      </c>
      <c r="C12416" t="str">
        <f>IFERROR(__xludf.DUMMYFUNCTION("GOOGLETRANSLATE(B12416, ""zh"", ""en"")"),"Suspected fake! There are many in the protein powder white particles of varying sizes, I do not know what it is, the taste has changed, not the United States direct mail, but shipments from Hong Kong, suspected fakes, did not have to return, buy carefully"&amp;"!")</f>
        <v>Suspected fake! There are many in the protein powder white particles of varying sizes, I do not know what it is, the taste has changed, not the United States direct mail, but shipments from Hong Kong, suspected fakes, did not have to return, buy carefully!</v>
      </c>
    </row>
    <row r="12417">
      <c r="A12417" s="1">
        <v>4.0</v>
      </c>
      <c r="B12417" s="1" t="s">
        <v>12305</v>
      </c>
      <c r="C12417" t="str">
        <f>IFERROR(__xludf.DUMMYFUNCTION("GOOGLETRANSLATE(B12417, ""zh"", ""en"")"),"Origin China Note that this section of the pan Chinese origin, although his country above all text description. In addition some shallow pan")</f>
        <v>Origin China Note that this section of the pan Chinese origin, although his country above all text description. In addition some shallow pan</v>
      </c>
    </row>
    <row r="12418">
      <c r="A12418" s="1">
        <v>4.0</v>
      </c>
      <c r="B12418" s="1" t="s">
        <v>12306</v>
      </c>
      <c r="C12418" t="str">
        <f>IFERROR(__xludf.DUMMYFUNCTION("GOOGLETRANSLATE(B12418, ""zh"", ""en"")"),"Sole uncomfortable size is appropriate, but these shoes bottom uncomfortable, not long walk, soles of the feet can be painful!")</f>
        <v>Sole uncomfortable size is appropriate, but these shoes bottom uncomfortable, not long walk, soles of the feet can be painful!</v>
      </c>
    </row>
    <row r="12419">
      <c r="A12419" s="1">
        <v>4.0</v>
      </c>
      <c r="B12419" s="1" t="s">
        <v>12307</v>
      </c>
      <c r="C12419" t="str">
        <f>IFERROR(__xludf.DUMMYFUNCTION("GOOGLETRANSLATE(B12419, ""zh"", ""en"")"),"Want to buy a brand they do not want to spend too much regarded as the supermarket price of goods, of course, quality is actually, a little rough cloth, because even the brand, but also to distinguish different product lines. Do not be the selection of go"&amp;"ods of good quality title in the words captivated, and this article just over 200 pants, rather than think that sell thousands of the same with the mall, so I feel better, after all, this is Lee, you're right Do not?")</f>
        <v>Want to buy a brand they do not want to spend too much regarded as the supermarket price of goods, of course, quality is actually, a little rough cloth, because even the brand, but also to distinguish different product lines. Do not be the selection of goods of good quality title in the words captivated, and this article just over 200 pants, rather than think that sell thousands of the same with the mall, so I feel better, after all, this is Lee, you're right Do not?</v>
      </c>
    </row>
    <row r="12420">
      <c r="A12420" s="1">
        <v>4.0</v>
      </c>
      <c r="B12420" s="1" t="s">
        <v>12308</v>
      </c>
      <c r="C12420" t="str">
        <f>IFERROR(__xludf.DUMMYFUNCTION("GOOGLETRANSLATE(B12420, ""zh"", ""en"")"),"It looks like pretty good, made in China, than before my other ecco No. 42, a little heavy compared to other Ecco also slightly heavier")</f>
        <v>It looks like pretty good, made in China, than before my other ecco No. 42, a little heavy compared to other Ecco also slightly heavier</v>
      </c>
    </row>
    <row r="12421">
      <c r="A12421" s="1">
        <v>4.0</v>
      </c>
      <c r="B12421" s="1" t="s">
        <v>12309</v>
      </c>
      <c r="C12421" t="str">
        <f>IFERROR(__xludf.DUMMYFUNCTION("GOOGLETRANSLATE(B12421, ""zh"", ""en"")"),"The watch is defective. When the luminous dial with luminous incomplete, the mood is not beautiful. Other say a period of time.")</f>
        <v>The watch is defective. When the luminous dial with luminous incomplete, the mood is not beautiful. Other say a period of time.</v>
      </c>
    </row>
    <row r="12422">
      <c r="A12422" s="1">
        <v>5.0</v>
      </c>
      <c r="B12422" s="1" t="s">
        <v>12310</v>
      </c>
      <c r="C12422" t="str">
        <f>IFERROR(__xludf.DUMMYFUNCTION("GOOGLETRANSLATE(B12422, ""zh"", ""en"")"),"As a general low-cost entry-level system, the price of your side. Supporting software is basically a decoration, not to pay a castrated version, cost is not high.")</f>
        <v>As a general low-cost entry-level system, the price of your side. Supporting software is basically a decoration, not to pay a castrated version, cost is not high.</v>
      </c>
    </row>
    <row r="12423">
      <c r="A12423" s="1">
        <v>5.0</v>
      </c>
      <c r="B12423" s="1" t="s">
        <v>12311</v>
      </c>
      <c r="C12423" t="str">
        <f>IFERROR(__xludf.DUMMYFUNCTION("GOOGLETRANSLATE(B12423, ""zh"", ""en"")"),"👍 good baby good, not with the hope that effective!")</f>
        <v>👍 good baby good, not with the hope that effective!</v>
      </c>
    </row>
    <row r="12424">
      <c r="A12424" s="1">
        <v>5.0</v>
      </c>
      <c r="B12424" s="1" t="s">
        <v>12312</v>
      </c>
      <c r="C12424" t="str">
        <f>IFERROR(__xludf.DUMMYFUNCTION("GOOGLETRANSLATE(B12424, ""zh"", ""en"")"),"Cute cute toothpaste, a press of a small lump, like brushing a child")</f>
        <v>Cute cute toothpaste, a press of a small lump, like brushing a child</v>
      </c>
    </row>
    <row r="12425">
      <c r="A12425" s="1">
        <v>5.0</v>
      </c>
      <c r="B12425" s="1" t="s">
        <v>12313</v>
      </c>
      <c r="C12425" t="str">
        <f>IFERROR(__xludf.DUMMYFUNCTION("GOOGLETRANSLATE(B12425, ""zh"", ""en"")"),"Genuine straw accessories should be genuine, softer feel than the store. Because this brand of straw it is too strong, and less than a month on the bad, so very frequent replacement, the price is lower than the entity half, very good.")</f>
        <v>Genuine straw accessories should be genuine, softer feel than the store. Because this brand of straw it is too strong, and less than a month on the bad, so very frequent replacement, the price is lower than the entity half, very good.</v>
      </c>
    </row>
    <row r="12426">
      <c r="A12426" s="1">
        <v>5.0</v>
      </c>
      <c r="B12426" s="1" t="s">
        <v>12314</v>
      </c>
      <c r="C12426" t="str">
        <f>IFERROR(__xludf.DUMMYFUNCTION("GOOGLETRANSLATE(B12426, ""zh"", ""en"")"),"Worth buying good-looking, reasonable design, smaller than imagined point")</f>
        <v>Worth buying good-looking, reasonable design, smaller than imagined point</v>
      </c>
    </row>
    <row r="12427">
      <c r="A12427" s="1">
        <v>5.0</v>
      </c>
      <c r="B12427" s="1" t="s">
        <v>12315</v>
      </c>
      <c r="C12427" t="str">
        <f>IFERROR(__xludf.DUMMYFUNCTION("GOOGLETRANSLATE(B12427, ""zh"", ""en"")"),"Good to wear ah good texture, good to wear.")</f>
        <v>Good to wear ah good texture, good to wear.</v>
      </c>
    </row>
    <row r="12428">
      <c r="A12428" s="1">
        <v>5.0</v>
      </c>
      <c r="B12428" s="1" t="s">
        <v>12316</v>
      </c>
      <c r="C12428" t="str">
        <f>IFERROR(__xludf.DUMMYFUNCTION("GOOGLETRANSLATE(B12428, ""zh"", ""en"")"),"Good buy these pants pants so worth it, cheap, very flexible feet, after experiencing the last time I Size does not sum up experience, bought a very comfortable pants. No cowboy tight.")</f>
        <v>Good buy these pants pants so worth it, cheap, very flexible feet, after experiencing the last time I Size does not sum up experience, bought a very comfortable pants. No cowboy tight.</v>
      </c>
    </row>
    <row r="12429">
      <c r="A12429" s="1">
        <v>5.0</v>
      </c>
      <c r="B12429" s="1" t="s">
        <v>12317</v>
      </c>
      <c r="C12429" t="str">
        <f>IFERROR(__xludf.DUMMYFUNCTION("GOOGLETRANSLATE(B12429, ""zh"", ""en"")"),"Very good, I believe the Amazon self! Shaopian large, good quality, affordable, self-believe Amazon!")</f>
        <v>Very good, I believe the Amazon self! Shaopian large, good quality, affordable, self-believe Amazon!</v>
      </c>
    </row>
    <row r="12430">
      <c r="A12430" s="1">
        <v>5.0</v>
      </c>
      <c r="B12430" s="1" t="s">
        <v>12318</v>
      </c>
      <c r="C12430" t="str">
        <f>IFERROR(__xludf.DUMMYFUNCTION("GOOGLETRANSLATE(B12430, ""zh"", ""en"")"),"Champion Wei pants in the country need to buy XXL, since the United States Code large so this buy L code, just right! We note the time of purchase! Pants good quality!")</f>
        <v>Champion Wei pants in the country need to buy XXL, since the United States Code large so this buy L code, just right! We note the time of purchase! Pants good quality!</v>
      </c>
    </row>
    <row r="12431">
      <c r="A12431" s="1">
        <v>5.0</v>
      </c>
      <c r="B12431" s="1" t="s">
        <v>12319</v>
      </c>
      <c r="C12431" t="str">
        <f>IFERROR(__xludf.DUMMYFUNCTION("GOOGLETRANSLATE(B12431, ""zh"", ""en"")"),"Yes, very comfortable, like this one. Very comfortable, good good, like this one put it.")</f>
        <v>Yes, very comfortable, like this one. Very comfortable, good good, like this one put it.</v>
      </c>
    </row>
    <row r="12432">
      <c r="A12432" s="1">
        <v>5.0</v>
      </c>
      <c r="B12432" s="1" t="s">
        <v>12320</v>
      </c>
      <c r="C12432" t="str">
        <f>IFERROR(__xludf.DUMMYFUNCTION("GOOGLETRANSLATE(B12432, ""zh"", ""en"")"),"Easy to use button initially not very good, study a little, then opened, the overall good.")</f>
        <v>Easy to use button initially not very good, study a little, then opened, the overall good.</v>
      </c>
    </row>
    <row r="12433">
      <c r="A12433" s="1">
        <v>5.0</v>
      </c>
      <c r="B12433" s="1" t="s">
        <v>12321</v>
      </c>
      <c r="C12433" t="str">
        <f>IFERROR(__xludf.DUMMYFUNCTION("GOOGLETRANSLATE(B12433, ""zh"", ""en"")"),"Very comfortable duvets made in England. Lightweight thin warm comfortable, worth buying! Get the goods looked old devastated, and is that the box as it sent the ad, inside the plastic bag has been done completely closed. Nichia package or intimate.")</f>
        <v>Very comfortable duvets made in England. Lightweight thin warm comfortable, worth buying! Get the goods looked old devastated, and is that the box as it sent the ad, inside the plastic bag has been done completely closed. Nichia package or intimate.</v>
      </c>
    </row>
    <row r="12434">
      <c r="A12434" s="1">
        <v>5.0</v>
      </c>
      <c r="B12434" s="1" t="s">
        <v>12322</v>
      </c>
      <c r="C12434" t="str">
        <f>IFERROR(__xludf.DUMMYFUNCTION("GOOGLETRANSLATE(B12434, ""zh"", ""en"")"),"Very good quality, the error code number table, corresponding to 9.5 to 43 is corresponding to a 42.5,10")</f>
        <v>Very good quality, the error code number table, corresponding to 9.5 to 43 is corresponding to a 42.5,10</v>
      </c>
    </row>
    <row r="12435">
      <c r="A12435" s="1">
        <v>5.0</v>
      </c>
      <c r="B12435" s="1" t="s">
        <v>12323</v>
      </c>
      <c r="C12435" t="str">
        <f>IFERROR(__xludf.DUMMYFUNCTION("GOOGLETRANSLATE(B12435, ""zh"", ""en"")"),"Not satisfied with the normal six months at home, out of the ground to go and pack up and travel a bit, and then can not be used")</f>
        <v>Not satisfied with the normal six months at home, out of the ground to go and pack up and travel a bit, and then can not be used</v>
      </c>
    </row>
    <row r="12436">
      <c r="A12436" s="1">
        <v>5.0</v>
      </c>
      <c r="B12436" s="1" t="s">
        <v>12324</v>
      </c>
      <c r="C12436" t="str">
        <f>IFERROR(__xludf.DUMMYFUNCTION("GOOGLETRANSLATE(B12436, ""zh"", ""en"")"),"Moderate hardness style a bit old, but the so-called old and new are constantly changing. Uppers and soles moderate hardness. Wear a few times, feet and shoes feeling good, than when you wear more comfortable. This shoe is my first time shopping at Amazon"&amp;", off to a good start.")</f>
        <v>Moderate hardness style a bit old, but the so-called old and new are constantly changing. Uppers and soles moderate hardness. Wear a few times, feet and shoes feeling good, than when you wear more comfortable. This shoe is my first time shopping at Amazon, off to a good start.</v>
      </c>
    </row>
    <row r="12437">
      <c r="A12437" s="1">
        <v>5.0</v>
      </c>
      <c r="B12437" s="1" t="s">
        <v>12325</v>
      </c>
      <c r="C12437" t="str">
        <f>IFERROR(__xludf.DUMMYFUNCTION("GOOGLETRANSLATE(B12437, ""zh"", ""en"")"),"After feeling good use effect is obvious, but the taste is very soft, feel good.")</f>
        <v>After feeling good use effect is obvious, but the taste is very soft, feel good.</v>
      </c>
    </row>
    <row r="12438">
      <c r="A12438" s="1">
        <v>5.0</v>
      </c>
      <c r="B12438" s="1" t="s">
        <v>12326</v>
      </c>
      <c r="C12438" t="str">
        <f>IFERROR(__xludf.DUMMYFUNCTION("GOOGLETRANSLATE(B12438, ""zh"", ""en"")"),"Very high cost external hard drive with a host pictures look like, actual size on a drive, can read and write speed USD3.0 to 140M, very good, highly recommended!")</f>
        <v>Very high cost external hard drive with a host pictures look like, actual size on a drive, can read and write speed USD3.0 to 140M, very good, highly recommended!</v>
      </c>
    </row>
    <row r="12439">
      <c r="A12439" s="1">
        <v>5.0</v>
      </c>
      <c r="B12439" s="1" t="s">
        <v>12327</v>
      </c>
      <c r="C12439" t="str">
        <f>IFERROR(__xludf.DUMMYFUNCTION("GOOGLETRANSLATE(B12439, ""zh"", ""en"")"),"Good shoes origin is China, not only the price but also the beautiful surrounding finer than other domestic work significantly")</f>
        <v>Good shoes origin is China, not only the price but also the beautiful surrounding finer than other domestic work significantly</v>
      </c>
    </row>
    <row r="12440">
      <c r="A12440" s="1">
        <v>5.0</v>
      </c>
      <c r="B12440" s="1" t="s">
        <v>12328</v>
      </c>
      <c r="C12440" t="str">
        <f>IFERROR(__xludf.DUMMYFUNCTION("GOOGLETRANSLATE(B12440, ""zh"", ""en"")"),"The texture is not very good I feel pretty good, logistics speed quickly. However, the watch strap is too hard, and very narrow, a bit stingy, the other can.")</f>
        <v>The texture is not very good I feel pretty good, logistics speed quickly. However, the watch strap is too hard, and very narrow, a bit stingy, the other can.</v>
      </c>
    </row>
    <row r="12441">
      <c r="A12441" s="1">
        <v>5.0</v>
      </c>
      <c r="B12441" s="1" t="s">
        <v>12329</v>
      </c>
      <c r="C12441" t="str">
        <f>IFERROR(__xludf.DUMMYFUNCTION("GOOGLETRANSLATE(B12441, ""zh"", ""en"")"),"KitchenAid KSM150PSGC Artisan Series 5-Qt Stand Mixer with Pouring Shield -. Gloss Cinnamon transformers to be equipped with the first time to buy overseas products in the Amazon, I began very worried, in particular, fear damage to goods en route. The res"&amp;"ults very well, much faster than expected, packaging intact. The rest is used.")</f>
        <v>KitchenAid KSM150PSGC Artisan Series 5-Qt Stand Mixer with Pouring Shield -. Gloss Cinnamon transformers to be equipped with the first time to buy overseas products in the Amazon, I began very worried, in particular, fear damage to goods en route. The results very well, much faster than expected, packaging intact. The rest is used.</v>
      </c>
    </row>
    <row r="12442">
      <c r="A12442" s="1">
        <v>5.0</v>
      </c>
      <c r="B12442" s="1" t="s">
        <v>12330</v>
      </c>
      <c r="C12442" t="str">
        <f>IFERROR(__xludf.DUMMYFUNCTION("GOOGLETRANSLATE(B12442, ""zh"", ""en"")"),"170, M code, fat, long. I bought two sets, casual wear, comfortable. 170, M code, fat, long. I bought two sets, casual wear, comfortable.")</f>
        <v>170, M code, fat, long. I bought two sets, casual wear, comfortable. 170, M code, fat, long. I bought two sets, casual wear, comfortable.</v>
      </c>
    </row>
    <row r="12443">
      <c r="A12443" s="1">
        <v>5.0</v>
      </c>
      <c r="B12443" s="1" t="s">
        <v>12331</v>
      </c>
      <c r="C12443" t="str">
        <f>IFERROR(__xludf.DUMMYFUNCTION("GOOGLETRANSLATE(B12443, ""zh"", ""en"")"),"Cup cup quality is really worth buying may now have not found any problems and flaws. Preferably with a cap to the cup, drop off paint wear.")</f>
        <v>Cup cup quality is really worth buying may now have not found any problems and flaws. Preferably with a cap to the cup, drop off paint wear.</v>
      </c>
    </row>
    <row r="12444">
      <c r="A12444" s="1">
        <v>2.0</v>
      </c>
      <c r="B12444" s="1" t="s">
        <v>12332</v>
      </c>
      <c r="C12444" t="str">
        <f>IFERROR(__xludf.DUMMYFUNCTION("GOOGLETRANSLATE(B12444, ""zh"", ""en"")"),"It is authentic? Feel to buy a fake, made in China no problem, no heat, soak in warm water clean after two days, there is a turn on a thick plastic taste, how expensive kettle so bad?")</f>
        <v>It is authentic? Feel to buy a fake, made in China no problem, no heat, soak in warm water clean after two days, there is a turn on a thick plastic taste, how expensive kettle so bad?</v>
      </c>
    </row>
    <row r="12445">
      <c r="A12445" s="1">
        <v>3.0</v>
      </c>
      <c r="B12445" s="1" t="s">
        <v>12333</v>
      </c>
      <c r="C12445" t="str">
        <f>IFERROR(__xludf.DUMMYFUNCTION("GOOGLETRANSLATE(B12445, ""zh"", ""en"")"),"Ink have leaked ink with the okay, that is shipped over a quarter of the ink were spilled out, too lazy to back")</f>
        <v>Ink have leaked ink with the okay, that is shipped over a quarter of the ink were spilled out, too lazy to back</v>
      </c>
    </row>
    <row r="12446">
      <c r="A12446" s="1">
        <v>3.0</v>
      </c>
      <c r="B12446" s="1" t="s">
        <v>12334</v>
      </c>
      <c r="C12446" t="str">
        <f>IFERROR(__xludf.DUMMYFUNCTION("GOOGLETRANSLATE(B12446, ""zh"", ""en"")"),"The pants size really is not an ordinary big! ! Obesity as I feel great ~ ~ version of the type generally, old-fashioned waist! ! In order to protect my waist and I was old enough ~ ~ elastic fabric wear quite comfortable ~")</f>
        <v>The pants size really is not an ordinary big! ! Obesity as I feel great ~ ~ version of the type generally, old-fashioned waist! ! In order to protect my waist and I was old enough ~ ~ elastic fabric wear quite comfortable ~</v>
      </c>
    </row>
    <row r="12447">
      <c r="A12447" s="1">
        <v>1.0</v>
      </c>
      <c r="B12447" s="1" t="s">
        <v>12335</v>
      </c>
      <c r="C12447" t="str">
        <f>IFERROR(__xludf.DUMMYFUNCTION("GOOGLETRANSLATE(B12447, ""zh"", ""en"")"),"First, do not cut prices 40 liar hand, the second usb port and sometimes leakage, hemp people, full customer service is a liar, say 48 hours to reply, nobody has to reply, call reminders, customer service promised to return the day before 22 o'clock, but "&amp;"has not people respond, they would not come at Amazon")</f>
        <v>First, do not cut prices 40 liar hand, the second usb port and sometimes leakage, hemp people, full customer service is a liar, say 48 hours to reply, nobody has to reply, call reminders, customer service promised to return the day before 22 o'clock, but has not people respond, they would not come at Amazon</v>
      </c>
    </row>
    <row r="12448">
      <c r="A12448" s="1">
        <v>1.0</v>
      </c>
      <c r="B12448" s="1" t="s">
        <v>12336</v>
      </c>
      <c r="C12448" t="str">
        <f>IFERROR(__xludf.DUMMYFUNCTION("GOOGLETRANSLATE(B12448, ""zh"", ""en"")"),"Serious suspected fakes serious doubts are fake, not the same as before to buy, according to the product description, the pill should be very smooth surface, easy to swallow, buy the pills meant that the rough, and not the same as the previous severe.")</f>
        <v>Serious suspected fakes serious doubts are fake, not the same as before to buy, according to the product description, the pill should be very smooth surface, easy to swallow, buy the pills meant that the rough, and not the same as the previous severe.</v>
      </c>
    </row>
    <row r="12449">
      <c r="A12449" s="1">
        <v>1.0</v>
      </c>
      <c r="B12449" s="1" t="s">
        <v>12337</v>
      </c>
      <c r="C12449" t="str">
        <f>IFERROR(__xludf.DUMMYFUNCTION("GOOGLETRANSLATE(B12449, ""zh"", ""en"")"),"Mug no insulation function, Interesting! I intended to give the children to buy winter insulation, the result of poor insulation effect, pour the water before going to bed, drink the night is cold, poor, no redress.")</f>
        <v>Mug no insulation function, Interesting! I intended to give the children to buy winter insulation, the result of poor insulation effect, pour the water before going to bed, drink the night is cold, poor, no redress.</v>
      </c>
    </row>
    <row r="12450">
      <c r="A12450" s="1">
        <v>4.0</v>
      </c>
      <c r="B12450" s="1" t="s">
        <v>12338</v>
      </c>
      <c r="C12450" t="str">
        <f>IFERROR(__xludf.DUMMYFUNCTION("GOOGLETRANSLATE(B12450, ""zh"", ""en"")"),"Yes Yes, the hat is deep point, but still cool good look at the cool, handsome, good fabric, the hat is deep point")</f>
        <v>Yes Yes, the hat is deep point, but still cool good look at the cool, handsome, good fabric, the hat is deep point</v>
      </c>
    </row>
    <row r="12451">
      <c r="A12451" s="1">
        <v>4.0</v>
      </c>
      <c r="B12451" s="1" t="s">
        <v>12339</v>
      </c>
      <c r="C12451" t="str">
        <f>IFERROR(__xludf.DUMMYFUNCTION("GOOGLETRANSLATE(B12451, ""zh"", ""en"")"),"Size length corresponding actual control of size and size can be selected are not the same, would have to buy 240, 235 to 7 yards only")</f>
        <v>Size length corresponding actual control of size and size can be selected are not the same, would have to buy 240, 235 to 7 yards only</v>
      </c>
    </row>
    <row r="12452">
      <c r="A12452" s="1">
        <v>4.0</v>
      </c>
      <c r="B12452" s="1" t="s">
        <v>12340</v>
      </c>
      <c r="C12452" t="str">
        <f>IFERROR(__xludf.DUMMYFUNCTION("GOOGLETRANSLATE(B12452, ""zh"", ""en"")"),"Curling will curl, style comfort will also be")</f>
        <v>Curling will curl, style comfort will also be</v>
      </c>
    </row>
    <row r="12453">
      <c r="A12453" s="1">
        <v>4.0</v>
      </c>
      <c r="B12453" s="1" t="s">
        <v>12341</v>
      </c>
      <c r="C12453" t="str">
        <f>IFERROR(__xludf.DUMMYFUNCTION("GOOGLETRANSLATE(B12453, ""zh"", ""en"")"),"No okay, that is a little heavy feeling, walk do not feel lightweight")</f>
        <v>No okay, that is a little heavy feeling, walk do not feel lightweight</v>
      </c>
    </row>
    <row r="12454">
      <c r="A12454" s="1">
        <v>4.0</v>
      </c>
      <c r="B12454" s="1" t="s">
        <v>12342</v>
      </c>
      <c r="C12454" t="str">
        <f>IFERROR(__xludf.DUMMYFUNCTION("GOOGLETRANSLATE(B12454, ""zh"", ""en"")"),"Loose fabric good I height 170CM, weight 148 pounds, waist circumference 90.5CM, like to wear loose some choose to wear for 34 yards I asked,")</f>
        <v>Loose fabric good I height 170CM, weight 148 pounds, waist circumference 90.5CM, like to wear loose some choose to wear for 34 yards I asked,</v>
      </c>
    </row>
    <row r="12455">
      <c r="A12455" s="1">
        <v>5.0</v>
      </c>
      <c r="B12455" s="1" t="s">
        <v>12343</v>
      </c>
      <c r="C12455" t="str">
        <f>IFERROR(__xludf.DUMMYFUNCTION("GOOGLETRANSLATE(B12455, ""zh"", ""en"")"),"Size to buy her husband liked good quality size is also kept on (179cm 72kg buy a minimum code) would like to buy their own size is very tangled")</f>
        <v>Size to buy her husband liked good quality size is also kept on (179cm 72kg buy a minimum code) would like to buy their own size is very tangled</v>
      </c>
    </row>
    <row r="12456">
      <c r="A12456" s="1">
        <v>5.0</v>
      </c>
      <c r="B12456" s="1" t="s">
        <v>12344</v>
      </c>
      <c r="C12456" t="str">
        <f>IFERROR(__xludf.DUMMYFUNCTION("GOOGLETRANSLATE(B12456, ""zh"", ""en"")"),"Like comfort, comfort")</f>
        <v>Like comfort, comfort</v>
      </c>
    </row>
    <row r="12457">
      <c r="A12457" s="1">
        <v>5.0</v>
      </c>
      <c r="B12457" s="1" t="s">
        <v>12345</v>
      </c>
      <c r="C12457" t="str">
        <f>IFERROR(__xludf.DUMMYFUNCTION("GOOGLETRANSLATE(B12457, ""zh"", ""en"")"),"Good value for money pen writing fluency, and difficult without water. Buy a new pen plug membrane vesicles can put a few seconds after the. Also in line with standard thickness, 0.5-0.6. Ink is spiral, relatively easy to use. Bring out the street day wit"&amp;"hout spill phenomenon. Pen produced in Germany, the first Seiko ~, in short, very suitable Chu Xinzhe. Domestic same price difference compared to pen much less Sheung Shui and difficult, writing is not smooth, tens of seconds to stop immediately without w"&amp;"ater.")</f>
        <v>Good value for money pen writing fluency, and difficult without water. Buy a new pen plug membrane vesicles can put a few seconds after the. Also in line with standard thickness, 0.5-0.6. Ink is spiral, relatively easy to use. Bring out the street day without spill phenomenon. Pen produced in Germany, the first Seiko ~, in short, very suitable Chu Xinzhe. Domestic same price difference compared to pen much less Sheung Shui and difficult, writing is not smooth, tens of seconds to stop immediately without water.</v>
      </c>
    </row>
    <row r="12458">
      <c r="A12458" s="1">
        <v>5.0</v>
      </c>
      <c r="B12458" s="1" t="s">
        <v>12346</v>
      </c>
      <c r="C12458" t="str">
        <f>IFERROR(__xludf.DUMMYFUNCTION("GOOGLETRANSLATE(B12458, ""zh"", ""en"")"),"Good quality a lot of weight, not installed, I do not know or need a different caliber of switching valve.")</f>
        <v>Good quality a lot of weight, not installed, I do not know or need a different caliber of switching valve.</v>
      </c>
    </row>
    <row r="12459">
      <c r="A12459" s="1">
        <v>5.0</v>
      </c>
      <c r="B12459" s="1" t="s">
        <v>12347</v>
      </c>
      <c r="C12459" t="str">
        <f>IFERROR(__xludf.DUMMYFUNCTION("GOOGLETRANSLATE(B12459, ""zh"", ""en"")"),"Easy installation, although a small amount of water big head, but it is not a small amount of water, very good!")</f>
        <v>Easy installation, although a small amount of water big head, but it is not a small amount of water, very good!</v>
      </c>
    </row>
    <row r="12460">
      <c r="A12460" s="1">
        <v>5.0</v>
      </c>
      <c r="B12460" s="1" t="s">
        <v>12348</v>
      </c>
      <c r="C12460" t="str">
        <f>IFERROR(__xludf.DUMMYFUNCTION("GOOGLETRANSLATE(B12460, ""zh"", ""en"")"),"Timberland you are like most of the code of their choice, in-kind on the big half a yard. 😅 add insoles, it is appropriate. 🤗")</f>
        <v>Timberland you are like most of the code of their choice, in-kind on the big half a yard. 😅 add insoles, it is appropriate. 🤗</v>
      </c>
    </row>
    <row r="12461">
      <c r="A12461" s="1">
        <v>5.0</v>
      </c>
      <c r="B12461" s="1" t="s">
        <v>12349</v>
      </c>
      <c r="C12461" t="str">
        <f>IFERROR(__xludf.DUMMYFUNCTION("GOOGLETRANSLATE(B12461, ""zh"", ""en"")"),"Received in time and physical match, to buy S code 160CM 50KG refer to everyone")</f>
        <v>Received in time and physical match, to buy S code 160CM 50KG refer to everyone</v>
      </c>
    </row>
    <row r="12462">
      <c r="A12462" s="1">
        <v>5.0</v>
      </c>
      <c r="B12462" s="1" t="s">
        <v>12350</v>
      </c>
      <c r="C12462" t="str">
        <f>IFERROR(__xludf.DUMMYFUNCTION("GOOGLETRANSLATE(B12462, ""zh"", ""en"")"),"Buy the right, the size is very accurate five days received the first overseas purchase pants, I began to worry that does not fit, get the very fit, the version is very appropriate that I did not fat body, crotch just right, no matter how the action is no"&amp;"t Che Dan, not loose, to force the price of treasure Zhendian buy")</f>
        <v>Buy the right, the size is very accurate five days received the first overseas purchase pants, I began to worry that does not fit, get the very fit, the version is very appropriate that I did not fat body, crotch just right, no matter how the action is not Che Dan, not loose, to force the price of treasure Zhendian buy</v>
      </c>
    </row>
    <row r="12463">
      <c r="A12463" s="1">
        <v>5.0</v>
      </c>
      <c r="B12463" s="1" t="s">
        <v>12351</v>
      </c>
      <c r="C12463" t="str">
        <f>IFERROR(__xludf.DUMMYFUNCTION("GOOGLETRANSLATE(B12463, ""zh"", ""en"")"),"With several good, and not bad")</f>
        <v>With several good, and not bad</v>
      </c>
    </row>
    <row r="12464">
      <c r="A12464" s="1">
        <v>5.0</v>
      </c>
      <c r="B12464" s="1" t="s">
        <v>12352</v>
      </c>
      <c r="C12464" t="str">
        <f>IFERROR(__xludf.DUMMYFUNCTION("GOOGLETRANSLATE(B12464, ""zh"", ""en"")"),"Number is too large, I want to buy a smaller size appropriate shoes are genuine, to wear out the first day, very comfortable, it is not any discomfort, and the same test in the mall, but the domestic number is a whole number, not a half, this conversion c"&amp;"ome, I normally all have shoes to wear 38, but the 5.5 is a little big, probably bigger 0.7 cm, wearing no problem, particularly fit, but large 0.7 cm, always want just right, so the time to buy we must pay attention to ah! ! ! !")</f>
        <v>Number is too large, I want to buy a smaller size appropriate shoes are genuine, to wear out the first day, very comfortable, it is not any discomfort, and the same test in the mall, but the domestic number is a whole number, not a half, this conversion come, I normally all have shoes to wear 38, but the 5.5 is a little big, probably bigger 0.7 cm, wearing no problem, particularly fit, but large 0.7 cm, always want just right, so the time to buy we must pay attention to ah! ! ! !</v>
      </c>
    </row>
    <row r="12465">
      <c r="A12465" s="1">
        <v>5.0</v>
      </c>
      <c r="B12465" s="1" t="s">
        <v>12353</v>
      </c>
      <c r="C12465" t="str">
        <f>IFERROR(__xludf.DUMMYFUNCTION("GOOGLETRANSLATE(B12465, ""zh"", ""en"")"),"I liked very good, and now has been in use")</f>
        <v>I liked very good, and now has been in use</v>
      </c>
    </row>
    <row r="12466">
      <c r="A12466" s="1">
        <v>5.0</v>
      </c>
      <c r="B12466" s="1" t="s">
        <v>12354</v>
      </c>
      <c r="C12466" t="str">
        <f>IFERROR(__xludf.DUMMYFUNCTION("GOOGLETRANSLATE(B12466, ""zh"", ""en"")"),"Good Good, convenient package put")</f>
        <v>Good Good, convenient package put</v>
      </c>
    </row>
    <row r="12467">
      <c r="A12467" s="1">
        <v>5.0</v>
      </c>
      <c r="B12467" s="1" t="s">
        <v>12355</v>
      </c>
      <c r="C12467" t="str">
        <f>IFERROR(__xludf.DUMMYFUNCTION("GOOGLETRANSLATE(B12467, ""zh"", ""en"")"),"Little big freshman yards, next time you buy a small one yards")</f>
        <v>Little big freshman yards, next time you buy a small one yards</v>
      </c>
    </row>
    <row r="12468">
      <c r="A12468" s="1">
        <v>5.0</v>
      </c>
      <c r="B12468" s="1" t="s">
        <v>12356</v>
      </c>
      <c r="C12468" t="str">
        <f>IFERROR(__xludf.DUMMYFUNCTION("GOOGLETRANSLATE(B12468, ""zh"", ""en"")"),"US version with the Taiwan version does not the same as the US version with the Taiwan version of the US version really is not the same - bigger, darker, thicker hair brush, unopened for US version")</f>
        <v>US version with the Taiwan version does not the same as the US version with the Taiwan version of the US version really is not the same - bigger, darker, thicker hair brush, unopened for US version</v>
      </c>
    </row>
    <row r="12469">
      <c r="A12469" s="1">
        <v>5.0</v>
      </c>
      <c r="B12469" s="1" t="s">
        <v>12357</v>
      </c>
      <c r="C12469" t="str">
        <f>IFERROR(__xludf.DUMMYFUNCTION("GOOGLETRANSLATE(B12469, ""zh"", ""en"")"),"Good for summer wear at home, air-conditioned room or go to sleep wear are good")</f>
        <v>Good for summer wear at home, air-conditioned room or go to sleep wear are good</v>
      </c>
    </row>
    <row r="12470">
      <c r="A12470" s="1">
        <v>5.0</v>
      </c>
      <c r="B12470" s="1" t="s">
        <v>12358</v>
      </c>
      <c r="C12470" t="str">
        <f>IFERROR(__xludf.DUMMYFUNCTION("GOOGLETRANSLATE(B12470, ""zh"", ""en"")"),"Nice jeans Lee has been a stovepipe pants home, this is a loose version of the legs is relatively large, the feeling is wearing a loose version of casual pants, like to wear baggy jeans friends can buy!")</f>
        <v>Nice jeans Lee has been a stovepipe pants home, this is a loose version of the legs is relatively large, the feeling is wearing a loose version of casual pants, like to wear baggy jeans friends can buy!</v>
      </c>
    </row>
    <row r="12471">
      <c r="A12471" s="1">
        <v>5.0</v>
      </c>
      <c r="B12471" s="1" t="s">
        <v>12359</v>
      </c>
      <c r="C12471" t="str">
        <f>IFERROR(__xludf.DUMMYFUNCTION("GOOGLETRANSLATE(B12471, ""zh"", ""en"")"),"Oral-B Oral B CrossAction angles clean electric brush head, mounted to ten years and this toothbrush the brush head, with a very good, very clean brush.")</f>
        <v>Oral-B Oral B CrossAction angles clean electric brush head, mounted to ten years and this toothbrush the brush head, with a very good, very clean brush.</v>
      </c>
    </row>
    <row r="12472">
      <c r="A12472" s="1">
        <v>5.0</v>
      </c>
      <c r="B12472" s="1" t="s">
        <v>12360</v>
      </c>
      <c r="C12472" t="str">
        <f>IFERROR(__xludf.DUMMYFUNCTION("GOOGLETRANSLATE(B12472, ""zh"", ""en"")"),"Nice size can be adjusted just fine bright colors like kids also like")</f>
        <v>Nice size can be adjusted just fine bright colors like kids also like</v>
      </c>
    </row>
    <row r="12473">
      <c r="A12473" s="1">
        <v>5.0</v>
      </c>
      <c r="B12473" s="1" t="s">
        <v>12361</v>
      </c>
      <c r="C12473" t="str">
        <f>IFERROR(__xludf.DUMMYFUNCTION("GOOGLETRANSLATE(B12473, ""zh"", ""en"")"),"Genuine strawberry drink strawberry taste good drink, should be genuine")</f>
        <v>Genuine strawberry drink strawberry taste good drink, should be genuine</v>
      </c>
    </row>
    <row r="12474">
      <c r="A12474" s="1">
        <v>5.0</v>
      </c>
      <c r="B12474" s="1" t="s">
        <v>5839</v>
      </c>
      <c r="C12474" t="str">
        <f>IFERROR(__xludf.DUMMYFUNCTION("GOOGLETRANSLATE(B12474, ""zh"", ""en"")"),"Value for money spent three or four days is my first time to buy things on Amazon, orders sent to the hands of a total of ten days. The cook machine grass for a long time, compared to the state line, purchasing, or where the most cost-effective assured, t"&amp;"he price is cheaper than the state line for more than half the purchase price abroad are synchronized, the Central Asian freight free trial membership so than in the United States and Asia buy cheap. Machine packaging integrity, no bad foam inside, the bo"&amp;"dy no scratches, rely on this machine, cook for the first time a film toast brushed well. Machine appearance of lines and beautiful grass and one of the reasons - very much in love. Sound can accept, kneading large resistance when a slight shaking head, e"&amp;"gg-based cream play and will not be stirred up. Lift the head adjustment screw head sinking below can reduce the maximum head case where vibrations, locked after the hook and latch fastening dough that is not the most compact, there is a certain gap, is n"&amp;"ot understand normal is so designed that when the dough hook and latch collision has bam bam sound, and other goods page written manual voltage 120v, contact customer service answer is 110v, 110v transformer I use the output. Inside the gear parts can bas"&amp;"ically buy online, open their own machine can also do basic maintenance, the feeling is good value for money.")</f>
        <v>Value for money spent three or four days is my first time to buy things on Amazon, orders sent to the hands of a total of ten days. The cook machine grass for a long time, compared to the state line, purchasing, or where the most cost-effective assured, the price is cheaper than the state line for more than half the purchase price abroad are synchronized, the Central Asian freight free trial membership so than in the United States and Asia buy cheap. Machine packaging integrity, no bad foam inside, the body no scratches, rely on this machine, cook for the first time a film toast brushed well. Machine appearance of lines and beautiful grass and one of the reasons - very much in love. Sound can accept, kneading large resistance when a slight shaking head, egg-based cream play and will not be stirred up. Lift the head adjustment screw head sinking below can reduce the maximum head case where vibrations, locked after the hook and latch fastening dough that is not the most compact, there is a certain gap, is not understand normal is so designed that when the dough hook and latch collision has bam bam sound, and other goods page written manual voltage 120v, contact customer service answer is 110v, 110v transformer I use the output. Inside the gear parts can basically buy online, open their own machine can also do basic maintenance, the feeling is good value for money.</v>
      </c>
    </row>
    <row r="12475">
      <c r="A12475" s="1">
        <v>5.0</v>
      </c>
      <c r="B12475" s="1" t="s">
        <v>12362</v>
      </c>
      <c r="C12475" t="str">
        <f>IFERROR(__xludf.DUMMYFUNCTION("GOOGLETRANSLATE(B12475, ""zh"", ""en"")"),"Affordable delivery soon, the quality is also very good, especially good-looking color")</f>
        <v>Affordable delivery soon, the quality is also very good, especially good-looking color</v>
      </c>
    </row>
    <row r="12476">
      <c r="A12476" s="1">
        <v>5.0</v>
      </c>
      <c r="B12476" s="1" t="s">
        <v>12363</v>
      </c>
      <c r="C12476" t="str">
        <f>IFERROR(__xludf.DUMMYFUNCTION("GOOGLETRANSLATE(B12476, ""zh"", ""en"")"),"88888888888")</f>
        <v>88888888888</v>
      </c>
    </row>
    <row r="12477">
      <c r="A12477" s="1">
        <v>2.0</v>
      </c>
      <c r="B12477" s="1" t="s">
        <v>12364</v>
      </c>
      <c r="C12477" t="str">
        <f>IFERROR(__xludf.DUMMYFUNCTION("GOOGLETRANSLATE(B12477, ""zh"", ""en"")"),"Hot drawing once, could not be read very fast read and write speed, usually very care not bump too, thousands of anti-anti-Wan did not have a guard attached to the computer is a movie of it, the computer suddenly crashed, then start studying does not come"&amp;" out, the hard life and death can not be detected, fear is a waste of my movies more than 400 G, trained, trained, trained, it")</f>
        <v>Hot drawing once, could not be read very fast read and write speed, usually very care not bump too, thousands of anti-anti-Wan did not have a guard attached to the computer is a movie of it, the computer suddenly crashed, then start studying does not come out, the hard life and death can not be detected, fear is a waste of my movies more than 400 G, trained, trained, trained, it</v>
      </c>
    </row>
    <row r="12478">
      <c r="A12478" s="1">
        <v>3.0</v>
      </c>
      <c r="B12478" s="1" t="s">
        <v>12365</v>
      </c>
      <c r="C12478" t="str">
        <f>IFERROR(__xludf.DUMMYFUNCTION("GOOGLETRANSLATE(B12478, ""zh"", ""en"")"),"You can also right, the color is bright. You can also right, the color is bright.")</f>
        <v>You can also right, the color is bright. You can also right, the color is bright.</v>
      </c>
    </row>
    <row r="12479">
      <c r="A12479" s="1">
        <v>3.0</v>
      </c>
      <c r="B12479" s="1" t="s">
        <v>12366</v>
      </c>
      <c r="C12479" t="str">
        <f>IFERROR(__xludf.DUMMYFUNCTION("GOOGLETRANSLATE(B12479, ""zh"", ""en"")"),"...... get the key panel where there is a rift and the instructions seem to have a brush with the parts I did not see inside ......")</f>
        <v>...... get the key panel where there is a rift and the instructions seem to have a brush with the parts I did not see inside ......</v>
      </c>
    </row>
    <row r="12480">
      <c r="A12480" s="1">
        <v>3.0</v>
      </c>
      <c r="B12480" s="1" t="s">
        <v>12367</v>
      </c>
      <c r="C12480" t="str">
        <f>IFERROR(__xludf.DUMMYFUNCTION("GOOGLETRANSLATE(B12480, ""zh"", ""en"")"),"Size Size comparison outrageous. Weekdays buy XL, is estimated to buy M number is appropriate.")</f>
        <v>Size Size comparison outrageous. Weekdays buy XL, is estimated to buy M number is appropriate.</v>
      </c>
    </row>
    <row r="12481">
      <c r="A12481" s="1">
        <v>1.0</v>
      </c>
      <c r="B12481" s="1" t="s">
        <v>12368</v>
      </c>
      <c r="C12481" t="str">
        <f>IFERROR(__xludf.DUMMYFUNCTION("GOOGLETRANSLATE(B12481, ""zh"", ""en"")"),"Overseas purchase no warranty, a star do not want to be careful, overseas purchase, no warranty, just a month does not sound right side, or buy licensed bar")</f>
        <v>Overseas purchase no warranty, a star do not want to be careful, overseas purchase, no warranty, just a month does not sound right side, or buy licensed bar</v>
      </c>
    </row>
    <row r="12482">
      <c r="A12482" s="1">
        <v>1.0</v>
      </c>
      <c r="B12482" s="1" t="s">
        <v>12369</v>
      </c>
      <c r="C12482" t="str">
        <f>IFERROR(__xludf.DUMMYFUNCTION("GOOGLETRANSLATE(B12482, ""zh"", ""en"")"),"Although the UK is very different to buy sent, however, is poor, not recommended to buy, with a month, brush the hair on the deformation powerful. Cheaper price, quality decline more")</f>
        <v>Although the UK is very different to buy sent, however, is poor, not recommended to buy, with a month, brush the hair on the deformation powerful. Cheaper price, quality decline more</v>
      </c>
    </row>
    <row r="12483">
      <c r="A12483" s="1">
        <v>1.0</v>
      </c>
      <c r="B12483" s="1" t="s">
        <v>12370</v>
      </c>
      <c r="C12483" t="str">
        <f>IFERROR(__xludf.DUMMYFUNCTION("GOOGLETRANSLATE(B12483, ""zh"", ""en"")"),"Good shoes and good, but too large and a half yards, reference Nike.")</f>
        <v>Good shoes and good, but too large and a half yards, reference Nike.</v>
      </c>
    </row>
    <row r="12484">
      <c r="A12484" s="1">
        <v>4.0</v>
      </c>
      <c r="B12484" s="1" t="s">
        <v>12371</v>
      </c>
      <c r="C12484" t="str">
        <f>IFERROR(__xludf.DUMMYFUNCTION("GOOGLETRANSLATE(B12484, ""zh"", ""en"")"),"This number is not small wow number is quite large, I 158 tall and 105 pounds waist stovepipe thick S number is still too big, looked at did not dare order, ruined before XS. And other fattening talk about it later. Quality good.")</f>
        <v>This number is not small wow number is quite large, I 158 tall and 105 pounds waist stovepipe thick S number is still too big, looked at did not dare order, ruined before XS. And other fattening talk about it later. Quality good.</v>
      </c>
    </row>
    <row r="12485">
      <c r="A12485" s="1">
        <v>4.0</v>
      </c>
      <c r="B12485" s="1" t="s">
        <v>12372</v>
      </c>
      <c r="C12485" t="str">
        <f>IFERROR(__xludf.DUMMYFUNCTION("GOOGLETRANSLATE(B12485, ""zh"", ""en"")"),"Size a bit too large. Shoe insole that is not very good.")</f>
        <v>Size a bit too large. Shoe insole that is not very good.</v>
      </c>
    </row>
    <row r="12486">
      <c r="A12486" s="1">
        <v>4.0</v>
      </c>
      <c r="B12486" s="1" t="s">
        <v>12373</v>
      </c>
      <c r="C12486" t="str">
        <f>IFERROR(__xludf.DUMMYFUNCTION("GOOGLETRANSLATE(B12486, ""zh"", ""en"")"),"Ah small if not installed 000625 teach about how to install, please")</f>
        <v>Ah small if not installed 000625 teach about how to install, please</v>
      </c>
    </row>
    <row r="12487">
      <c r="A12487" s="1">
        <v>4.0</v>
      </c>
      <c r="B12487" s="1" t="s">
        <v>12374</v>
      </c>
      <c r="C12487" t="str">
        <f>IFERROR(__xludf.DUMMYFUNCTION("GOOGLETRANSLATE(B12487, ""zh"", ""en"")"),"Bad shoes a little bit bigger, a little tight, the other better.")</f>
        <v>Bad shoes a little bit bigger, a little tight, the other better.</v>
      </c>
    </row>
    <row r="12488">
      <c r="A12488" s="1">
        <v>5.0</v>
      </c>
      <c r="B12488" s="1" t="s">
        <v>12375</v>
      </c>
      <c r="C12488" t="str">
        <f>IFERROR(__xludf.DUMMYFUNCTION("GOOGLETRANSLATE(B12488, ""zh"", ""en"")"),"Feeling good very good, very good quality, like")</f>
        <v>Feeling good very good, very good quality, like</v>
      </c>
    </row>
    <row r="12489">
      <c r="A12489" s="1">
        <v>5.0</v>
      </c>
      <c r="B12489" s="1" t="s">
        <v>12376</v>
      </c>
      <c r="C12489" t="str">
        <f>IFERROR(__xludf.DUMMYFUNCTION("GOOGLETRANSLATE(B12489, ""zh"", ""en"")"),"kenwood kitchen machine &lt;div id = ""video-block-R7DAZEGJGOJON"" class = ""a-section a-spacing-small a-spacing-top-mini video-block""&gt; &lt;/ div&gt; &lt;input type = ""hidden"" name = """" value = ""https://images-cn.ssl-images-amazon.com/images/I/91e5BTzm2+S.mp4"""&amp;" class = ""video-url""&gt; &lt;input type = ""hidden"" name = """" value = ""https://images-cn.ssl-images-amazon.com/images/I/A1eiJinu66S.png"" class = ""video-slate-img-url""&gt; &amp; nbsp; online color values, for the first time do sponge cake, egg less, no heating"&amp;", more difficult to pass, this is the fourth gear sound, very loud. Overall satisfaction")</f>
        <v>kenwood kitchen machine &lt;div id = "video-block-R7DAZEGJGOJON" class = "a-section a-spacing-small a-spacing-top-mini video-block"&gt; &lt;/ div&gt; &lt;input type = "hidden" name = "" value = "https://images-cn.ssl-images-amazon.com/images/I/91e5BTzm2+S.mp4" class = "video-url"&gt; &lt;input type = "hidden" name = "" value = "https://images-cn.ssl-images-amazon.com/images/I/A1eiJinu66S.png" class = "video-slate-img-url"&gt; &amp; nbsp; online color values, for the first time do sponge cake, egg less, no heating, more difficult to pass, this is the fourth gear sound, very loud. Overall satisfaction</v>
      </c>
    </row>
    <row r="12490">
      <c r="A12490" s="1">
        <v>5.0</v>
      </c>
      <c r="B12490" s="1" t="s">
        <v>12377</v>
      </c>
      <c r="C12490" t="str">
        <f>IFERROR(__xludf.DUMMYFUNCTION("GOOGLETRANSLATE(B12490, ""zh"", ""en"")"),"High very good value for money, cotton, wash does not fade. 185 80kgM Slim. Casually Chuan Chuan very good")</f>
        <v>High very good value for money, cotton, wash does not fade. 185 80kgM Slim. Casually Chuan Chuan very good</v>
      </c>
    </row>
    <row r="12491">
      <c r="A12491" s="1">
        <v>5.0</v>
      </c>
      <c r="B12491" s="1" t="s">
        <v>12378</v>
      </c>
      <c r="C12491" t="str">
        <f>IFERROR(__xludf.DUMMYFUNCTION("GOOGLETRANSLATE(B12491, ""zh"", ""en"")"),"Good logistics is relatively slow can understand the logistics a little bit slow but good quality stuff no problem on it")</f>
        <v>Good logistics is relatively slow can understand the logistics a little bit slow but good quality stuff no problem on it</v>
      </c>
    </row>
    <row r="12492">
      <c r="A12492" s="1">
        <v>5.0</v>
      </c>
      <c r="B12492" s="1" t="s">
        <v>12379</v>
      </c>
      <c r="C12492" t="str">
        <f>IFERROR(__xludf.DUMMYFUNCTION("GOOGLETRANSLATE(B12492, ""zh"", ""en"")"),"Awesome handy")</f>
        <v>Awesome handy</v>
      </c>
    </row>
    <row r="12493">
      <c r="A12493" s="1">
        <v>5.0</v>
      </c>
      <c r="B12493" s="1" t="s">
        <v>12380</v>
      </c>
      <c r="C12493" t="str">
        <f>IFERROR(__xludf.DUMMYFUNCTION("GOOGLETRANSLATE(B12493, ""zh"", ""en"")"),"Size Standard size models very good standard, 175/75 selected L. My husband is very fond of, even buy two.")</f>
        <v>Size Standard size models very good standard, 175/75 selected L. My husband is very fond of, even buy two.</v>
      </c>
    </row>
    <row r="12494">
      <c r="A12494" s="1">
        <v>5.0</v>
      </c>
      <c r="B12494" s="1" t="s">
        <v>12381</v>
      </c>
      <c r="C12494" t="str">
        <f>IFERROR(__xludf.DUMMYFUNCTION("GOOGLETRANSLATE(B12494, ""zh"", ""en"")"),"Very very suitable suitable cheap buy more than four ECCO more cost-effective ah, size is always suitable for low ECCO foot of man,")</f>
        <v>Very very suitable suitable cheap buy more than four ECCO more cost-effective ah, size is always suitable for low ECCO foot of man,</v>
      </c>
    </row>
    <row r="12495">
      <c r="A12495" s="1">
        <v>5.0</v>
      </c>
      <c r="B12495" s="1" t="s">
        <v>12382</v>
      </c>
      <c r="C12495" t="str">
        <f>IFERROR(__xludf.DUMMYFUNCTION("GOOGLETRANSLATE(B12495, ""zh"", ""en"")"),"Genuine is genuine very nice, Japanese movement, assembled in China. Overall is good, there is little difference between the digital time and the virtual pointer 20 seconds. It does not affect the big issue")</f>
        <v>Genuine is genuine very nice, Japanese movement, assembled in China. Overall is good, there is little difference between the digital time and the virtual pointer 20 seconds. It does not affect the big issue</v>
      </c>
    </row>
    <row r="12496">
      <c r="A12496" s="1">
        <v>5.0</v>
      </c>
      <c r="B12496" s="1" t="s">
        <v>12383</v>
      </c>
      <c r="C12496" t="str">
        <f>IFERROR(__xludf.DUMMYFUNCTION("GOOGLETRANSLATE(B12496, ""zh"", ""en"")"),"And pictures and photos exactly the same, is narrow shoes, nice, satisfaction")</f>
        <v>And pictures and photos exactly the same, is narrow shoes, nice, satisfaction</v>
      </c>
    </row>
    <row r="12497">
      <c r="A12497" s="1">
        <v>5.0</v>
      </c>
      <c r="B12497" s="1" t="s">
        <v>12384</v>
      </c>
      <c r="C12497" t="str">
        <f>IFERROR(__xludf.DUMMYFUNCTION("GOOGLETRANSLATE(B12497, ""zh"", ""en"")"),"Very appropriate to learn to eat the baby no longer slide with a bowl on the table, they will not put too much food has been spilled.")</f>
        <v>Very appropriate to learn to eat the baby no longer slide with a bowl on the table, they will not put too much food has been spilled.</v>
      </c>
    </row>
    <row r="12498">
      <c r="A12498" s="1">
        <v>5.0</v>
      </c>
      <c r="B12498" s="1" t="s">
        <v>12385</v>
      </c>
      <c r="C12498" t="str">
        <f>IFERROR(__xludf.DUMMYFUNCTION("GOOGLETRANSLATE(B12498, ""zh"", ""en"")"),"Easy to use medium and small three bowls of food open-minded, easy to use!")</f>
        <v>Easy to use medium and small three bowls of food open-minded, easy to use!</v>
      </c>
    </row>
    <row r="12499">
      <c r="A12499" s="1">
        <v>5.0</v>
      </c>
      <c r="B12499" s="1" t="s">
        <v>12386</v>
      </c>
      <c r="C12499" t="str">
        <f>IFERROR(__xludf.DUMMYFUNCTION("GOOGLETRANSLATE(B12499, ""zh"", ""en"")"),"The best shoes for ages for ages 35 or less dressed, one word: cool! Which higher domestic prices, overseas Amazon purchase is a better choice. Think this the best looking, with the expected arrival of consistent in its class.")</f>
        <v>The best shoes for ages for ages 35 or less dressed, one word: cool! Which higher domestic prices, overseas Amazon purchase is a better choice. Think this the best looking, with the expected arrival of consistent in its class.</v>
      </c>
    </row>
    <row r="12500">
      <c r="A12500" s="1">
        <v>5.0</v>
      </c>
      <c r="B12500" s="1" t="s">
        <v>12387</v>
      </c>
      <c r="C12500" t="str">
        <f>IFERROR(__xludf.DUMMYFUNCTION("GOOGLETRANSLATE(B12500, ""zh"", ""en"")"),"Very good very good, very comfortable. Value for money!")</f>
        <v>Very good very good, very comfortable. Value for money!</v>
      </c>
    </row>
    <row r="12501">
      <c r="A12501" s="1">
        <v>5.0</v>
      </c>
      <c r="B12501" s="1" t="s">
        <v>12388</v>
      </c>
      <c r="C12501" t="str">
        <f>IFERROR(__xludf.DUMMYFUNCTION("GOOGLETRANSLATE(B12501, ""zh"", ""en"")"),"Very good, the thermostat! Wind drying, smooth! Philips turn, the wise choice, very good, is the British standard plug, just need adapter, blowing out very comfortable, smooth, really different.")</f>
        <v>Very good, the thermostat! Wind drying, smooth! Philips turn, the wise choice, very good, is the British standard plug, just need adapter, blowing out very comfortable, smooth, really different.</v>
      </c>
    </row>
    <row r="12502">
      <c r="A12502" s="1">
        <v>5.0</v>
      </c>
      <c r="B12502" s="1" t="s">
        <v>12389</v>
      </c>
      <c r="C12502" t="str">
        <f>IFERROR(__xludf.DUMMYFUNCTION("GOOGLETRANSLATE(B12502, ""zh"", ""en"")"),"Suitable good package, good buffer. Suitable!")</f>
        <v>Suitable good package, good buffer. Suitable!</v>
      </c>
    </row>
    <row r="12503">
      <c r="A12503" s="1">
        <v>5.0</v>
      </c>
      <c r="B12503" s="1" t="s">
        <v>12390</v>
      </c>
      <c r="C12503" t="str">
        <f>IFERROR(__xludf.DUMMYFUNCTION("GOOGLETRANSLATE(B12503, ""zh"", ""en"")"),"Satisfying shopping experience watch waterproof 10 atm, 60 minutes time, practical. Feel good. Packaging safety, careful, detailed instructions. Logistics quickly.")</f>
        <v>Satisfying shopping experience watch waterproof 10 atm, 60 minutes time, practical. Feel good. Packaging safety, careful, detailed instructions. Logistics quickly.</v>
      </c>
    </row>
    <row r="12504">
      <c r="A12504" s="1">
        <v>5.0</v>
      </c>
      <c r="B12504" s="1" t="s">
        <v>12391</v>
      </c>
      <c r="C12504" t="str">
        <f>IFERROR(__xludf.DUMMYFUNCTION("GOOGLETRANSLATE(B12504, ""zh"", ""en"")"),"Like great")</f>
        <v>Like great</v>
      </c>
    </row>
    <row r="12505">
      <c r="A12505" s="1">
        <v>5.0</v>
      </c>
      <c r="B12505" s="1" t="s">
        <v>12392</v>
      </c>
      <c r="C12505" t="str">
        <f>IFERROR(__xludf.DUMMYFUNCTION("GOOGLETRANSLATE(B12505, ""zh"", ""en"")"),"Card receive something good, inexpensive, it is too long.")</f>
        <v>Card receive something good, inexpensive, it is too long.</v>
      </c>
    </row>
    <row r="12506">
      <c r="A12506" s="1">
        <v>5.0</v>
      </c>
      <c r="B12506" s="1" t="s">
        <v>12393</v>
      </c>
      <c r="C12506" t="str">
        <f>IFERROR(__xludf.DUMMYFUNCTION("GOOGLETRANSLATE(B12506, ""zh"", ""en"")"),"Height about 159-163 yards may choose this layer velvet, very comfortable to wear, that is slightly longer clearance time, the same two items, also looked a little early to customs clearance and delivery is very slow, than the other items Late arrivals ov"&amp;"er one week")</f>
        <v>Height about 159-163 yards may choose this layer velvet, very comfortable to wear, that is slightly longer clearance time, the same two items, also looked a little early to customs clearance and delivery is very slow, than the other items Late arrivals over one week</v>
      </c>
    </row>
    <row r="12507">
      <c r="A12507" s="1">
        <v>5.0</v>
      </c>
      <c r="B12507" s="1" t="s">
        <v>12394</v>
      </c>
      <c r="C12507" t="str">
        <f>IFERROR(__xludf.DUMMYFUNCTION("GOOGLETRANSLATE(B12507, ""zh"", ""en"")"),"nice bag is very light, ah, multi-layered, made in China, quality can be. ~ Not tax more than 196 family prefer. Together also bought a shoulder bag of this brand, really like")</f>
        <v>nice bag is very light, ah, multi-layered, made in China, quality can be. ~ Not tax more than 196 family prefer. Together also bought a shoulder bag of this brand, really like</v>
      </c>
    </row>
    <row r="12508">
      <c r="A12508" s="1">
        <v>5.0</v>
      </c>
      <c r="B12508" s="1" t="s">
        <v>12395</v>
      </c>
      <c r="C12508" t="str">
        <f>IFERROR(__xludf.DUMMYFUNCTION("GOOGLETRANSLATE(B12508, ""zh"", ""en"")"),"Great cost-effective than domestic work, the official website under the Chinese version of the manual, very easy to use, mainly because it wants to function much, huh, huh!")</f>
        <v>Great cost-effective than domestic work, the official website under the Chinese version of the manual, very easy to use, mainly because it wants to function much, huh, huh!</v>
      </c>
    </row>
    <row r="12509">
      <c r="A12509" s="1">
        <v>5.0</v>
      </c>
      <c r="B12509" s="1" t="s">
        <v>12396</v>
      </c>
      <c r="C12509" t="str">
        <f>IFERROR(__xludf.DUMMYFUNCTION("GOOGLETRANSLATE(B12509, ""zh"", ""en"")"),"Fine to help my colleagues to buy, UPS shipping, during the five lowest black history, cheaper than any domestic and international electricity business, real price of goods the United States. The only pity is to buy less.")</f>
        <v>Fine to help my colleagues to buy, UPS shipping, during the five lowest black history, cheaper than any domestic and international electricity business, real price of goods the United States. The only pity is to buy less.</v>
      </c>
    </row>
    <row r="12510">
      <c r="A12510" s="1">
        <v>2.0</v>
      </c>
      <c r="B12510" s="1" t="s">
        <v>12397</v>
      </c>
      <c r="C12510" t="str">
        <f>IFERROR(__xludf.DUMMYFUNCTION("GOOGLETRANSLATE(B12510, ""zh"", ""en"")"),"Pay special attention when choosing a size that is too small models of this brand Size small. My height 180CM, weight 100KG. When you purchase prompted to select X-Large, I actually chose 2XX-Large, but the wear on the body as if wearing a corset. This is"&amp;" an unpleasant buying experience.")</f>
        <v>Pay special attention when choosing a size that is too small models of this brand Size small. My height 180CM, weight 100KG. When you purchase prompted to select X-Large, I actually chose 2XX-Large, but the wear on the body as if wearing a corset. This is an unpleasant buying experience.</v>
      </c>
    </row>
    <row r="12511">
      <c r="A12511" s="1">
        <v>3.0</v>
      </c>
      <c r="B12511" s="1" t="s">
        <v>12398</v>
      </c>
      <c r="C12511" t="str">
        <f>IFERROR(__xludf.DUMMYFUNCTION("GOOGLETRANSLATE(B12511, ""zh"", ""en"")"),"Mast waist size is very accurate, big ass and legs, European and American people how fat ah! Direct throw there.")</f>
        <v>Mast waist size is very accurate, big ass and legs, European and American people how fat ah! Direct throw there.</v>
      </c>
    </row>
    <row r="12512">
      <c r="A12512" s="1">
        <v>3.0</v>
      </c>
      <c r="B12512" s="1" t="s">
        <v>12399</v>
      </c>
      <c r="C12512" t="str">
        <f>IFERROR(__xludf.DUMMYFUNCTION("GOOGLETRANSLATE(B12512, ""zh"", ""en"")"),"Packaging received a bad look, with a kind of spread the goods packaging, is sold in foreign supermarket hanging price 14 knife, there is no packaging; leather very well")</f>
        <v>Packaging received a bad look, with a kind of spread the goods packaging, is sold in foreign supermarket hanging price 14 knife, there is no packaging; leather very well</v>
      </c>
    </row>
    <row r="12513">
      <c r="A12513" s="1">
        <v>3.0</v>
      </c>
      <c r="B12513" s="1" t="s">
        <v>12400</v>
      </c>
      <c r="C12513" t="str">
        <f>IFERROR(__xludf.DUMMYFUNCTION("GOOGLETRANSLATE(B12513, ""zh"", ""en"")"),"Why can not change back? I bought the pants trifle generous child, actually did not want to change a selection, Hao Fan it!")</f>
        <v>Why can not change back? I bought the pants trifle generous child, actually did not want to change a selection, Hao Fan it!</v>
      </c>
    </row>
    <row r="12514">
      <c r="A12514" s="1">
        <v>1.0</v>
      </c>
      <c r="B12514" s="1" t="s">
        <v>12401</v>
      </c>
      <c r="C12514" t="str">
        <f>IFERROR(__xludf.DUMMYFUNCTION("GOOGLETRANSLATE(B12514, ""zh"", ""en"")"),"Red Thermos quality to please bypass Jiangsu production, packaging and manufacturing quality is very general, also the general quality made in China, directed at Thermos quality to please bypass. you get what you pay for.")</f>
        <v>Red Thermos quality to please bypass Jiangsu production, packaging and manufacturing quality is very general, also the general quality made in China, directed at Thermos quality to please bypass. you get what you pay for.</v>
      </c>
    </row>
    <row r="12515">
      <c r="A12515" s="1">
        <v>1.0</v>
      </c>
      <c r="B12515" s="1" t="s">
        <v>12402</v>
      </c>
      <c r="C12515" t="str">
        <f>IFERROR(__xludf.DUMMYFUNCTION("GOOGLETRANSLATE(B12515, ""zh"", ""en"")"),"Not to wear too much garbage out, you try twice, then fragmented into so ......")</f>
        <v>Not to wear too much garbage out, you try twice, then fragmented into so ......</v>
      </c>
    </row>
    <row r="12516">
      <c r="A12516" s="1">
        <v>4.0</v>
      </c>
      <c r="B12516" s="1" t="s">
        <v>12403</v>
      </c>
      <c r="C12516" t="str">
        <f>IFERROR(__xludf.DUMMYFUNCTION("GOOGLETRANSLATE(B12516, ""zh"", ""en"")"),"Winnie the sugar tastes good taste just fine, no calcium than delicious.")</f>
        <v>Winnie the sugar tastes good taste just fine, no calcium than delicious.</v>
      </c>
    </row>
    <row r="12517">
      <c r="A12517" s="1">
        <v>4.0</v>
      </c>
      <c r="B12517" s="1" t="s">
        <v>12404</v>
      </c>
      <c r="C12517" t="str">
        <f>IFERROR(__xludf.DUMMYFUNCTION("GOOGLETRANSLATE(B12517, ""zh"", ""en"")"),"Domestic logistics pit father, Chiang Kai-shek headset Naiting logistics a little pit, getting a little gas, the results of the headset gas totally disappeared. Foreign logistics gone three days more than it ...... clearance for one hour. Then the Spring "&amp;"Festival break understandable. Festival received a text message to begin domestic distribution of receipt to go more than four days ...... slower domestic than foreign ...... (I am a non-remote, urban municipalities). Big Brother 990pro heard about two or"&amp;" three years, compared to the sound field and resolve brother, younger brother of a big gap, but the vocal front, and the sound is not stabbed. Philips l2bo then compared with the same price, l2 and must be longer than 990pro, 240 as good as the beginning"&amp;" of a ear l2. l2 sound brighter, bigger sound field, possibly because of differences in semi-open and closed. 240 listen to sound more mature, more resistant to listen. Thin contrast, l2 is with the bass, the sound more vivid. 240 of CKS is indeed listeni"&amp;"ng purposes. Both resolving power comparable. Finally wear (comfort): 990&gt; l2&gt; 240 Portability: l2≈240 ""990 logistics ...... Oh, the tears would like to Samsung down, headphone extra points")</f>
        <v>Domestic logistics pit father, Chiang Kai-shek headset Naiting logistics a little pit, getting a little gas, the results of the headset gas totally disappeared. Foreign logistics gone three days more than it ...... clearance for one hour. Then the Spring Festival break understandable. Festival received a text message to begin domestic distribution of receipt to go more than four days ...... slower domestic than foreign ...... (I am a non-remote, urban municipalities). Big Brother 990pro heard about two or three years, compared to the sound field and resolve brother, younger brother of a big gap, but the vocal front, and the sound is not stabbed. Philips l2bo then compared with the same price, l2 and must be longer than 990pro, 240 as good as the beginning of a ear l2. l2 sound brighter, bigger sound field, possibly because of differences in semi-open and closed. 240 listen to sound more mature, more resistant to listen. Thin contrast, l2 is with the bass, the sound more vivid. 240 of CKS is indeed listening purposes. Both resolving power comparable. Finally wear (comfort): 990&gt; l2&gt; 240 Portability: l2≈240 "990 logistics ...... Oh, the tears would like to Samsung down, headphone extra points</v>
      </c>
    </row>
    <row r="12518">
      <c r="A12518" s="1">
        <v>4.0</v>
      </c>
      <c r="B12518" s="1" t="s">
        <v>12405</v>
      </c>
      <c r="C12518" t="str">
        <f>IFERROR(__xludf.DUMMYFUNCTION("GOOGLETRANSLATE(B12518, ""zh"", ""en"")"),"Audio and hard disk space to read and write okay, that is standing, then something a little loose, there will be knocking, it will not put sideways, which it regarded as noise, in addition to the other aspects are okay")</f>
        <v>Audio and hard disk space to read and write okay, that is standing, then something a little loose, there will be knocking, it will not put sideways, which it regarded as noise, in addition to the other aspects are okay</v>
      </c>
    </row>
    <row r="12519">
      <c r="A12519" s="1">
        <v>4.0</v>
      </c>
      <c r="B12519" s="1" t="s">
        <v>12406</v>
      </c>
      <c r="C12519" t="str">
        <f>IFERROR(__xludf.DUMMYFUNCTION("GOOGLETRANSLATE(B12519, ""zh"", ""en"")"),"Too large size a little too large, a small one yards than usual to wear it")</f>
        <v>Too large size a little too large, a small one yards than usual to wear it</v>
      </c>
    </row>
    <row r="12520">
      <c r="A12520" s="1">
        <v>4.0</v>
      </c>
      <c r="B12520" s="1" t="s">
        <v>12407</v>
      </c>
      <c r="C12520" t="str">
        <f>IFERROR(__xludf.DUMMYFUNCTION("GOOGLETRANSLATE(B12520, ""zh"", ""en"")"),"Okay too hard")</f>
        <v>Okay too hard</v>
      </c>
    </row>
    <row r="12521">
      <c r="A12521" s="1">
        <v>5.0</v>
      </c>
      <c r="B12521" s="1" t="s">
        <v>12408</v>
      </c>
      <c r="C12521" t="str">
        <f>IFERROR(__xludf.DUMMYFUNCTION("GOOGLETRANSLATE(B12521, ""zh"", ""en"")"),"Cheap, simple and applicable to very satisfied, choose this major cup 1.5 l think, some light weight, moderate speed, good comprehensive optimization")</f>
        <v>Cheap, simple and applicable to very satisfied, choose this major cup 1.5 l think, some light weight, moderate speed, good comprehensive optimization</v>
      </c>
    </row>
    <row r="12522">
      <c r="A12522" s="1">
        <v>5.0</v>
      </c>
      <c r="B12522" s="1" t="s">
        <v>12409</v>
      </c>
      <c r="C12522" t="str">
        <f>IFERROR(__xludf.DUMMYFUNCTION("GOOGLETRANSLATE(B12522, ""zh"", ""en"")"),"Good shoes very like, comfortable")</f>
        <v>Good shoes very like, comfortable</v>
      </c>
    </row>
    <row r="12523">
      <c r="A12523" s="1">
        <v>5.0</v>
      </c>
      <c r="B12523" s="1" t="s">
        <v>12410</v>
      </c>
      <c r="C12523" t="str">
        <f>IFERROR(__xludf.DUMMYFUNCTION("GOOGLETRANSLATE(B12523, ""zh"", ""en"")"),"Comfortable and cozy wild wild white shoes")</f>
        <v>Comfortable and cozy wild wild white shoes</v>
      </c>
    </row>
    <row r="12524">
      <c r="A12524" s="1">
        <v>5.0</v>
      </c>
      <c r="B12524" s="1" t="s">
        <v>12411</v>
      </c>
      <c r="C12524" t="str">
        <f>IFERROR(__xludf.DUMMYFUNCTION("GOOGLETRANSLATE(B12524, ""zh"", ""en"")"),"Very comfortable ah jeans cut very good, catch up with the high cost activity! Details of the work is good, was thin.")</f>
        <v>Very comfortable ah jeans cut very good, catch up with the high cost activity! Details of the work is good, was thin.</v>
      </c>
    </row>
    <row r="12525">
      <c r="A12525" s="1">
        <v>5.0</v>
      </c>
      <c r="B12525" s="1" t="s">
        <v>12412</v>
      </c>
      <c r="C12525" t="str">
        <f>IFERROR(__xludf.DUMMYFUNCTION("GOOGLETRANSLATE(B12525, ""zh"", ""en"")"),"Something good, cheap is genuine. Something good, cheap authentic, cheaper than domestic, foot feeling a little hard, after all, cheap.")</f>
        <v>Something good, cheap is genuine. Something good, cheap authentic, cheaper than domestic, foot feeling a little hard, after all, cheap.</v>
      </c>
    </row>
    <row r="12526">
      <c r="A12526" s="1">
        <v>5.0</v>
      </c>
      <c r="B12526" s="1" t="s">
        <v>12413</v>
      </c>
      <c r="C12526" t="str">
        <f>IFERROR(__xludf.DUMMYFUNCTION("GOOGLETRANSLATE(B12526, ""zh"", ""en"")"),"Yes! Something very fresh and taste good, hope to have the effect of increasing muscle")</f>
        <v>Yes! Something very fresh and taste good, hope to have the effect of increasing muscle</v>
      </c>
    </row>
    <row r="12527">
      <c r="A12527" s="1">
        <v>5.0</v>
      </c>
      <c r="B12527" s="1" t="s">
        <v>12414</v>
      </c>
      <c r="C12527" t="str">
        <f>IFERROR(__xludf.DUMMYFUNCTION("GOOGLETRANSLATE(B12527, ""zh"", ""en"")"),"Appearance is very good headphones look very good workmanship, ear comfort hard to find better at the same price leather earcups. Sound in general, think what aspects are okay, a little taste is not.")</f>
        <v>Appearance is very good headphones look very good workmanship, ear comfort hard to find better at the same price leather earcups. Sound in general, think what aspects are okay, a little taste is not.</v>
      </c>
    </row>
    <row r="12528">
      <c r="A12528" s="1">
        <v>5.0</v>
      </c>
      <c r="B12528" s="1" t="s">
        <v>12415</v>
      </c>
      <c r="C12528" t="str">
        <f>IFERROR(__xludf.DUMMYFUNCTION("GOOGLETRANSLATE(B12528, ""zh"", ""en"")"),"Yan direct anyone of high value. I did not see things. Yan said that the value of hen gao q")</f>
        <v>Yan direct anyone of high value. I did not see things. Yan said that the value of hen gao q</v>
      </c>
    </row>
    <row r="12529">
      <c r="A12529" s="1">
        <v>5.0</v>
      </c>
      <c r="B12529" s="1" t="s">
        <v>12416</v>
      </c>
      <c r="C12529" t="str">
        <f>IFERROR(__xludf.DUMMYFUNCTION("GOOGLETRANSLATE(B12529, ""zh"", ""en"")"),"Thermal insulation effect good, the next test, the bubble 100 of tea no problem after boiling hours.")</f>
        <v>Thermal insulation effect good, the next test, the bubble 100 of tea no problem after boiling hours.</v>
      </c>
    </row>
    <row r="12530">
      <c r="A12530" s="1">
        <v>5.0</v>
      </c>
      <c r="B12530" s="1" t="s">
        <v>12417</v>
      </c>
      <c r="C12530" t="str">
        <f>IFERROR(__xludf.DUMMYFUNCTION("GOOGLETRANSLATE(B12530, ""zh"", ""en"")"),"Good product packaging is not just a simple plastic bag wrapped in there price tag. Wear can also be produced in Egypt.")</f>
        <v>Good product packaging is not just a simple plastic bag wrapped in there price tag. Wear can also be produced in Egypt.</v>
      </c>
    </row>
    <row r="12531">
      <c r="A12531" s="1">
        <v>5.0</v>
      </c>
      <c r="B12531" s="1" t="s">
        <v>12418</v>
      </c>
      <c r="C12531" t="str">
        <f>IFERROR(__xludf.DUMMYFUNCTION("GOOGLETRANSLATE(B12531, ""zh"", ""en"")"),"High-capacity well, who needs")</f>
        <v>High-capacity well, who needs</v>
      </c>
    </row>
    <row r="12532">
      <c r="A12532" s="1">
        <v>5.0</v>
      </c>
      <c r="B12532" s="1" t="s">
        <v>12419</v>
      </c>
      <c r="C12532" t="str">
        <f>IFERROR(__xludf.DUMMYFUNCTION("GOOGLETRANSLATE(B12532, ""zh"", ""en"")"),"Most cost-effective good things like high cost. Buy once in three years.")</f>
        <v>Most cost-effective good things like high cost. Buy once in three years.</v>
      </c>
    </row>
    <row r="12533">
      <c r="A12533" s="1">
        <v>5.0</v>
      </c>
      <c r="B12533" s="1" t="s">
        <v>12420</v>
      </c>
      <c r="C12533" t="str">
        <f>IFERROR(__xludf.DUMMYFUNCTION("GOOGLETRANSLATE(B12533, ""zh"", ""en"")"),"This repurchase will be in a waist, I buy big yards just 180-81. Something good right away to my friend also bought a six")</f>
        <v>This repurchase will be in a waist, I buy big yards just 180-81. Something good right away to my friend also bought a six</v>
      </c>
    </row>
    <row r="12534">
      <c r="A12534" s="1">
        <v>5.0</v>
      </c>
      <c r="B12534" s="1" t="s">
        <v>12421</v>
      </c>
      <c r="C12534" t="str">
        <f>IFERROR(__xludf.DUMMYFUNCTION("GOOGLETRANSLATE(B12534, ""zh"", ""en"")"),"China's production of good quality! Quality is very good! Foreign selling are mostly produced in China.")</f>
        <v>China's production of good quality! Quality is very good! Foreign selling are mostly produced in China.</v>
      </c>
    </row>
    <row r="12535">
      <c r="A12535" s="1">
        <v>5.0</v>
      </c>
      <c r="B12535" s="1" t="s">
        <v>12422</v>
      </c>
      <c r="C12535" t="str">
        <f>IFERROR(__xludf.DUMMYFUNCTION("GOOGLETRANSLATE(B12535, ""zh"", ""en"")"),"A pleasant shopping shoe size and shoe size is consistent domestic, Chinese-made, good workmanship, fine workmanship than some countries **, when engaging in activities 623 yuan to buy, I feel very cost-effective, shoe soles, uppers a little hard, other w"&amp;"ell.")</f>
        <v>A pleasant shopping shoe size and shoe size is consistent domestic, Chinese-made, good workmanship, fine workmanship than some countries **, when engaging in activities 623 yuan to buy, I feel very cost-effective, shoe soles, uppers a little hard, other well.</v>
      </c>
    </row>
    <row r="12536">
      <c r="A12536" s="1">
        <v>5.0</v>
      </c>
      <c r="B12536" s="1" t="s">
        <v>12423</v>
      </c>
      <c r="C12536" t="str">
        <f>IFERROR(__xludf.DUMMYFUNCTION("GOOGLETRANSLATE(B12536, ""zh"", ""en"")"),"Like always, like Ecco shoes")</f>
        <v>Like always, like Ecco shoes</v>
      </c>
    </row>
    <row r="12537">
      <c r="A12537" s="1">
        <v>5.0</v>
      </c>
      <c r="B12537" s="1" t="s">
        <v>12424</v>
      </c>
      <c r="C12537" t="str">
        <f>IFERROR(__xludf.DUMMYFUNCTION("GOOGLETRANSLATE(B12537, ""zh"", ""en"")"),"Light and comfortable shoes are very light, soft soles, wear comfortable, made in China there's nothing wrong (o ^^ o) the code number is slightly larger than the selected point")</f>
        <v>Light and comfortable shoes are very light, soft soles, wear comfortable, made in China there's nothing wrong (o ^^ o) the code number is slightly larger than the selected point</v>
      </c>
    </row>
    <row r="12538">
      <c r="A12538" s="1">
        <v>5.0</v>
      </c>
      <c r="B12538" s="1" t="s">
        <v>12425</v>
      </c>
      <c r="C12538" t="str">
        <f>IFERROR(__xludf.DUMMYFUNCTION("GOOGLETRANSLATE(B12538, ""zh"", ""en"")"),"good very fast delivery speed, quality is also good")</f>
        <v>good very fast delivery speed, quality is also good</v>
      </c>
    </row>
    <row r="12539">
      <c r="A12539" s="1">
        <v>5.0</v>
      </c>
      <c r="B12539" s="1" t="s">
        <v>12426</v>
      </c>
      <c r="C12539" t="str">
        <f>IFERROR(__xludf.DUMMYFUNCTION("GOOGLETRANSLATE(B12539, ""zh"", ""en"")"),"Soon fast delivery, orders No. 20, No. 25 hand. Coffee capsules sent, the date can be considered fresh. Noise a bit large, is still acceptable range. Small than expected. very satisfied")</f>
        <v>Soon fast delivery, orders No. 20, No. 25 hand. Coffee capsules sent, the date can be considered fresh. Noise a bit large, is still acceptable range. Small than expected. very satisfied</v>
      </c>
    </row>
    <row r="12540">
      <c r="A12540" s="1">
        <v>5.0</v>
      </c>
      <c r="B12540" s="1" t="s">
        <v>12427</v>
      </c>
      <c r="C12540" t="str">
        <f>IFERROR(__xludf.DUMMYFUNCTION("GOOGLETRANSLATE(B12540, ""zh"", ""en"")"),"Lightweight portable commuter bag, hold strong")</f>
        <v>Lightweight portable commuter bag, hold strong</v>
      </c>
    </row>
    <row r="12541">
      <c r="A12541" s="1">
        <v>5.0</v>
      </c>
      <c r="B12541" s="1" t="s">
        <v>12428</v>
      </c>
      <c r="C12541" t="str">
        <f>IFERROR(__xludf.DUMMYFUNCTION("GOOGLETRANSLATE(B12541, ""zh"", ""en"")"),"Amazon is recommended to increase overseas purchase ""7 Mary Rose price"" value-added services purchased abroad Amazon recommended increase ""7 Mary Rose Price"" value-added services. Within one week after the price to buy. 165cm, 68kg, buy trumpet approp"&amp;"riate. The only regret: rather long sleeves.")</f>
        <v>Amazon is recommended to increase overseas purchase "7 Mary Rose price" value-added services purchased abroad Amazon recommended increase "7 Mary Rose Price" value-added services. Within one week after the price to buy. 165cm, 68kg, buy trumpet appropriate. The only regret: rather long sleeves.</v>
      </c>
    </row>
    <row r="12542">
      <c r="A12542" s="1">
        <v>5.0</v>
      </c>
      <c r="B12542" s="1" t="s">
        <v>12429</v>
      </c>
      <c r="C12542" t="str">
        <f>IFERROR(__xludf.DUMMYFUNCTION("GOOGLETRANSLATE(B12542, ""zh"", ""en"")"),"Nice! ! A bit thin! not bad! !")</f>
        <v>Nice! ! A bit thin! not bad! !</v>
      </c>
    </row>
    <row r="12543">
      <c r="A12543" s="1">
        <v>2.0</v>
      </c>
      <c r="B12543" s="1" t="s">
        <v>12430</v>
      </c>
      <c r="C12543" t="str">
        <f>IFERROR(__xludf.DUMMYFUNCTION("GOOGLETRANSLATE(B12543, ""zh"", ""en"")"),"Size exactly that size, I did not expect much, then there is a little flaw, the other was okay, 220 feet, 3.5 to buy almost the same, the results to buy four, convenient retreat, then waited for about twenty days the logistics of it ......")</f>
        <v>Size exactly that size, I did not expect much, then there is a little flaw, the other was okay, 220 feet, 3.5 to buy almost the same, the results to buy four, convenient retreat, then waited for about twenty days the logistics of it ......</v>
      </c>
    </row>
    <row r="12544">
      <c r="A12544" s="1">
        <v>3.0</v>
      </c>
      <c r="B12544" s="1" t="s">
        <v>12431</v>
      </c>
      <c r="C12544" t="str">
        <f>IFERROR(__xludf.DUMMYFUNCTION("GOOGLETRANSLATE(B12544, ""zh"", ""en"")"),"Waist is too general quality, large waist a lot. 162,97 pounds.")</f>
        <v>Waist is too general quality, large waist a lot. 162,97 pounds.</v>
      </c>
    </row>
    <row r="12545">
      <c r="A12545" s="1">
        <v>3.0</v>
      </c>
      <c r="B12545" s="1" t="s">
        <v>12432</v>
      </c>
      <c r="C12545" t="str">
        <f>IFERROR(__xludf.DUMMYFUNCTION("GOOGLETRANSLATE(B12545, ""zh"", ""en"")"),"Why do I drink at the fire throat congestion? Very strange, drinking will get angry, throat congestion, engage in more than a month, what is the reason?")</f>
        <v>Why do I drink at the fire throat congestion? Very strange, drinking will get angry, throat congestion, engage in more than a month, what is the reason?</v>
      </c>
    </row>
    <row r="12546">
      <c r="A12546" s="1">
        <v>1.0</v>
      </c>
      <c r="B12546" s="1" t="s">
        <v>12433</v>
      </c>
      <c r="C12546" t="str">
        <f>IFERROR(__xludf.DUMMYFUNCTION("GOOGLETRANSLATE(B12546, ""zh"", ""en"")"),"… First of all. Stickers are damaged in such a way. I do not know is not the product of secondary sales. Just by the naked eye can not be determined. and. Customer does not have a reasonable explanation. At last. Sale is really in trouble. He estimated th"&amp;"at he would not come")</f>
        <v>… First of all. Stickers are damaged in such a way. I do not know is not the product of secondary sales. Just by the naked eye can not be determined. and. Customer does not have a reasonable explanation. At last. Sale is really in trouble. He estimated that he would not come</v>
      </c>
    </row>
    <row r="12547">
      <c r="A12547" s="1">
        <v>1.0</v>
      </c>
      <c r="B12547" s="1" t="s">
        <v>12434</v>
      </c>
      <c r="C12547" t="str">
        <f>IFERROR(__xludf.DUMMYFUNCTION("GOOGLETRANSLATE(B12547, ""zh"", ""en"")"),"Get our hands on to see traces of milk bottle remains negative feedback, to buy another package together where there are drier, this does not. And so dirty, like a used, there are residual traces of milk powder")</f>
        <v>Get our hands on to see traces of milk bottle remains negative feedback, to buy another package together where there are drier, this does not. And so dirty, like a used, there are residual traces of milk powder</v>
      </c>
    </row>
    <row r="12548">
      <c r="A12548" s="1">
        <v>1.0</v>
      </c>
      <c r="B12548" s="1" t="s">
        <v>12435</v>
      </c>
      <c r="C12548" t="str">
        <f>IFERROR(__xludf.DUMMYFUNCTION("GOOGLETRANSLATE(B12548, ""zh"", ""en"")"),"Large color pictures and color deviation large deviation")</f>
        <v>Large color pictures and color deviation large deviation</v>
      </c>
    </row>
    <row r="12549">
      <c r="A12549" s="1">
        <v>4.0</v>
      </c>
      <c r="B12549" s="1" t="s">
        <v>12436</v>
      </c>
      <c r="C12549" t="str">
        <f>IFERROR(__xludf.DUMMYFUNCTION("GOOGLETRANSLATE(B12549, ""zh"", ""en"")"),"Okay accordance too large one yard too large election really good feeling lee eh cotton overseas than domestic locate some low quality and style are almost but the prices are cheaper")</f>
        <v>Okay accordance too large one yard too large election really good feeling lee eh cotton overseas than domestic locate some low quality and style are almost but the prices are cheaper</v>
      </c>
    </row>
    <row r="12550">
      <c r="A12550" s="1">
        <v>4.0</v>
      </c>
      <c r="B12550" s="1" t="s">
        <v>12437</v>
      </c>
      <c r="C12550" t="str">
        <f>IFERROR(__xludf.DUMMYFUNCTION("GOOGLETRANSLATE(B12550, ""zh"", ""en"")"),"Warranty Warranty how do how to do it how do how to do it ......")</f>
        <v>Warranty Warranty how do how to do it how do how to do it ......</v>
      </c>
    </row>
    <row r="12551">
      <c r="A12551" s="1">
        <v>4.0</v>
      </c>
      <c r="B12551" s="1" t="s">
        <v>12438</v>
      </c>
      <c r="C12551" t="str">
        <f>IFERROR(__xludf.DUMMYFUNCTION("GOOGLETRANSLATE(B12551, ""zh"", ""en"")"),"Value is really not wait to listen, not listen to me a little high environmental requirements, but also buy big is too big 6.5")</f>
        <v>Value is really not wait to listen, not listen to me a little high environmental requirements, but also buy big is too big 6.5</v>
      </c>
    </row>
    <row r="12552">
      <c r="A12552" s="1">
        <v>4.0</v>
      </c>
      <c r="B12552" s="1" t="s">
        <v>12439</v>
      </c>
      <c r="C12552" t="str">
        <f>IFERROR(__xludf.DUMMYFUNCTION("GOOGLETRANSLATE(B12552, ""zh"", ""en"")"),"You can buy slightly worse than in Germany")</f>
        <v>You can buy slightly worse than in Germany</v>
      </c>
    </row>
    <row r="12553">
      <c r="A12553" s="1">
        <v>4.0</v>
      </c>
      <c r="B12553" s="1" t="s">
        <v>12440</v>
      </c>
      <c r="C12553" t="str">
        <f>IFERROR(__xludf.DUMMYFUNCTION("GOOGLETRANSLATE(B12553, ""zh"", ""en"")"),"Hard insole shoes comfortable enough, not enough soft insole")</f>
        <v>Hard insole shoes comfortable enough, not enough soft insole</v>
      </c>
    </row>
    <row r="12554">
      <c r="A12554" s="1">
        <v>5.0</v>
      </c>
      <c r="B12554" s="1" t="s">
        <v>12441</v>
      </c>
      <c r="C12554" t="str">
        <f>IFERROR(__xludf.DUMMYFUNCTION("GOOGLETRANSLATE(B12554, ""zh"", ""en"")"),"Cheap, cost-effective only 10 blades, and a tool carrier: domestic packaging beautiful, heavy turret, great texture than")</f>
        <v>Cheap, cost-effective only 10 blades, and a tool carrier: domestic packaging beautiful, heavy turret, great texture than</v>
      </c>
    </row>
    <row r="12555">
      <c r="A12555" s="1">
        <v>5.0</v>
      </c>
      <c r="B12555" s="1" t="s">
        <v>12442</v>
      </c>
      <c r="C12555" t="str">
        <f>IFERROR(__xludf.DUMMYFUNCTION("GOOGLETRANSLATE(B12555, ""zh"", ""en"")"),"Relatively thick, loose stuff is genuine wrangler, belongs to loose type, stovepipe people do not buy, it will seem relatively empty for the first time there will be some fade when washing, like the back, there is a comparison thick, summer wear is estima"&amp;"ted to be hot, winter is recommended to wear more appropriate.")</f>
        <v>Relatively thick, loose stuff is genuine wrangler, belongs to loose type, stovepipe people do not buy, it will seem relatively empty for the first time there will be some fade when washing, like the back, there is a comparison thick, summer wear is estimated to be hot, winter is recommended to wear more appropriate.</v>
      </c>
    </row>
    <row r="12556">
      <c r="A12556" s="1">
        <v>5.0</v>
      </c>
      <c r="B12556" s="1" t="s">
        <v>12443</v>
      </c>
      <c r="C12556" t="str">
        <f>IFERROR(__xludf.DUMMYFUNCTION("GOOGLETRANSLATE(B12556, ""zh"", ""en"")"),"Soft and comfortable soft and comfortable, medium size, her husband is very fond of")</f>
        <v>Soft and comfortable soft and comfortable, medium size, her husband is very fond of</v>
      </c>
    </row>
    <row r="12557">
      <c r="A12557" s="1">
        <v>5.0</v>
      </c>
      <c r="B12557" s="1" t="s">
        <v>12444</v>
      </c>
      <c r="C12557" t="str">
        <f>IFERROR(__xludf.DUMMYFUNCTION("GOOGLETRANSLATE(B12557, ""zh"", ""en"")"),"Value receive the goods after the heart has looked to throw, but it feels good to wear very comfortable playing the high price a good deal less than 200")</f>
        <v>Value receive the goods after the heart has looked to throw, but it feels good to wear very comfortable playing the high price a good deal less than 200</v>
      </c>
    </row>
    <row r="12558">
      <c r="A12558" s="1">
        <v>5.0</v>
      </c>
      <c r="B12558" s="1" t="s">
        <v>12445</v>
      </c>
      <c r="C12558" t="str">
        <f>IFERROR(__xludf.DUMMYFUNCTION("GOOGLETRANSLATE(B12558, ""zh"", ""en"")"),"Quality received the goods, the quality is good.")</f>
        <v>Quality received the goods, the quality is good.</v>
      </c>
    </row>
    <row r="12559">
      <c r="A12559" s="1">
        <v>5.0</v>
      </c>
      <c r="B12559" s="1" t="s">
        <v>12446</v>
      </c>
      <c r="C12559" t="str">
        <f>IFERROR(__xludf.DUMMYFUNCTION("GOOGLETRANSLATE(B12559, ""zh"", ""en"")"),"Yes very comfortable to wear, a lot faster than expected delivery")</f>
        <v>Yes very comfortable to wear, a lot faster than expected delivery</v>
      </c>
    </row>
    <row r="12560">
      <c r="A12560" s="1">
        <v>5.0</v>
      </c>
      <c r="B12560" s="1" t="s">
        <v>12447</v>
      </c>
      <c r="C12560" t="str">
        <f>IFERROR(__xludf.DUMMYFUNCTION("GOOGLETRANSLATE(B12560, ""zh"", ""en"")"),"Whey protein is buying on the black, across the sea two weeks finally arrived, inexpensive, not broken, two agents also cheaper than domestic, praise! As for the quality, not eat, eat, etc. say")</f>
        <v>Whey protein is buying on the black, across the sea two weeks finally arrived, inexpensive, not broken, two agents also cheaper than domestic, praise! As for the quality, not eat, eat, etc. say</v>
      </c>
    </row>
    <row r="12561">
      <c r="A12561" s="1">
        <v>5.0</v>
      </c>
      <c r="B12561" s="1" t="s">
        <v>12448</v>
      </c>
      <c r="C12561" t="str">
        <f>IFERROR(__xludf.DUMMYFUNCTION("GOOGLETRANSLATE(B12561, ""zh"", ""en"")"),"Low-key minde in chaina! Know this shot on the East *, no instructions in Chinese, on the Internet to find one by one! I feel very good looking!")</f>
        <v>Low-key minde in chaina! Know this shot on the East *, no instructions in Chinese, on the Internet to find one by one! I feel very good looking!</v>
      </c>
    </row>
    <row r="12562">
      <c r="A12562" s="1">
        <v>5.0</v>
      </c>
      <c r="B12562" s="1" t="s">
        <v>12449</v>
      </c>
      <c r="C12562" t="str">
        <f>IFERROR(__xludf.DUMMYFUNCTION("GOOGLETRANSLATE(B12562, ""zh"", ""en"")"),"Good good")</f>
        <v>Good good</v>
      </c>
    </row>
    <row r="12563">
      <c r="A12563" s="1">
        <v>5.0</v>
      </c>
      <c r="B12563" s="1" t="s">
        <v>12450</v>
      </c>
      <c r="C12563" t="str">
        <f>IFERROR(__xludf.DUMMYFUNCTION("GOOGLETRANSLATE(B12563, ""zh"", ""en"")"),"Good comfortable size, too shy, better than before to buy leggings")</f>
        <v>Good comfortable size, too shy, better than before to buy leggings</v>
      </c>
    </row>
    <row r="12564">
      <c r="A12564" s="1">
        <v>5.0</v>
      </c>
      <c r="B12564" s="1" t="s">
        <v>12451</v>
      </c>
      <c r="C12564" t="str">
        <f>IFERROR(__xludf.DUMMYFUNCTION("GOOGLETRANSLATE(B12564, ""zh"", ""en"")"),"Good fluorinated moth, has been in use.")</f>
        <v>Good fluorinated moth, has been in use.</v>
      </c>
    </row>
    <row r="12565">
      <c r="A12565" s="1">
        <v>5.0</v>
      </c>
      <c r="B12565" s="1" t="s">
        <v>12452</v>
      </c>
      <c r="C12565" t="str">
        <f>IFERROR(__xludf.DUMMYFUNCTION("GOOGLETRANSLATE(B12565, ""zh"", ""en"")"),"Good quality slightly smaller, small skeleton husband height 184 weight 168, the election of xl")</f>
        <v>Good quality slightly smaller, small skeleton husband height 184 weight 168, the election of xl</v>
      </c>
    </row>
    <row r="12566">
      <c r="A12566" s="1">
        <v>5.0</v>
      </c>
      <c r="B12566" s="1" t="s">
        <v>12453</v>
      </c>
      <c r="C12566" t="str">
        <f>IFERROR(__xludf.DUMMYFUNCTION("GOOGLETRANSLATE(B12566, ""zh"", ""en"")"),"Easy to use! This brand is useful, and thin,")</f>
        <v>Easy to use! This brand is useful, and thin,</v>
      </c>
    </row>
    <row r="12567">
      <c r="A12567" s="1">
        <v>5.0</v>
      </c>
      <c r="B12567" s="1" t="s">
        <v>12454</v>
      </c>
      <c r="C12567" t="str">
        <f>IFERROR(__xludf.DUMMYFUNCTION("GOOGLETRANSLATE(B12567, ""zh"", ""en"")"),"Praise! Rock fans must have! Ladle rock fans must have! Retro shape! Somewhat less noise! Listening ear clip slightly long time! Other perfect! Delivery speed soon! Dea week or so to buy it!")</f>
        <v>Praise! Rock fans must have! Ladle rock fans must have! Retro shape! Somewhat less noise! Listening ear clip slightly long time! Other perfect! Delivery speed soon! Dea week or so to buy it!</v>
      </c>
    </row>
    <row r="12568">
      <c r="A12568" s="1">
        <v>5.0</v>
      </c>
      <c r="B12568" s="1" t="s">
        <v>2516</v>
      </c>
      <c r="C12568" t="str">
        <f>IFERROR(__xludf.DUMMYFUNCTION("GOOGLETRANSLATE(B12568, ""zh"", ""en"")"),"Cheap though a little big, but cheap ah")</f>
        <v>Cheap though a little big, but cheap ah</v>
      </c>
    </row>
    <row r="12569">
      <c r="A12569" s="1">
        <v>5.0</v>
      </c>
      <c r="B12569" s="1" t="s">
        <v>12455</v>
      </c>
      <c r="C12569" t="str">
        <f>IFERROR(__xludf.DUMMYFUNCTION("GOOGLETRANSLATE(B12569, ""zh"", ""en"")"),"General, when cheaper consumables, nothing special, not to wear")</f>
        <v>General, when cheaper consumables, nothing special, not to wear</v>
      </c>
    </row>
    <row r="12570">
      <c r="A12570" s="1">
        <v>5.0</v>
      </c>
      <c r="B12570" s="1" t="s">
        <v>12456</v>
      </c>
      <c r="C12570" t="str">
        <f>IFERROR(__xludf.DUMMYFUNCTION("GOOGLETRANSLATE(B12570, ""zh"", ""en"")"),"Good shopping experience no domestic stock, customer service called me and said to be mailed directly to Shanghai from Japan, I thought it would be a long time, the result of two or three days to, something good, the children liked, 👍")</f>
        <v>Good shopping experience no domestic stock, customer service called me and said to be mailed directly to Shanghai from Japan, I thought it would be a long time, the result of two or three days to, something good, the children liked, 👍</v>
      </c>
    </row>
    <row r="12571">
      <c r="A12571" s="1">
        <v>5.0</v>
      </c>
      <c r="B12571" s="1" t="s">
        <v>12457</v>
      </c>
      <c r="C12571" t="str">
        <f>IFERROR(__xludf.DUMMYFUNCTION("GOOGLETRANSLATE(B12571, ""zh"", ""en"")"),"wmf smoothie machine spent eight days they received, so fast, try the next, feeling good, may choose less fiber fruit is more appropriate, I squeezed orange juice, slag will feel a little more, but still quite satisfactory.")</f>
        <v>wmf smoothie machine spent eight days they received, so fast, try the next, feeling good, may choose less fiber fruit is more appropriate, I squeezed orange juice, slag will feel a little more, but still quite satisfactory.</v>
      </c>
    </row>
    <row r="12572">
      <c r="A12572" s="1">
        <v>5.0</v>
      </c>
      <c r="B12572" s="1" t="s">
        <v>12458</v>
      </c>
      <c r="C12572" t="str">
        <f>IFERROR(__xludf.DUMMYFUNCTION("GOOGLETRANSLATE(B12572, ""zh"", ""en"")"),"Yes, like a type, like")</f>
        <v>Yes, like a type, like</v>
      </c>
    </row>
    <row r="12573">
      <c r="A12573" s="1">
        <v>5.0</v>
      </c>
      <c r="B12573" s="1" t="s">
        <v>12459</v>
      </c>
      <c r="C12573" t="str">
        <f>IFERROR(__xludf.DUMMYFUNCTION("GOOGLETRANSLATE(B12573, ""zh"", ""en"")"),"Size exactly the same size and domestic clothes")</f>
        <v>Size exactly the same size and domestic clothes</v>
      </c>
    </row>
    <row r="12574">
      <c r="A12574" s="1">
        <v>5.0</v>
      </c>
      <c r="B12574" s="1" t="s">
        <v>12460</v>
      </c>
      <c r="C12574" t="str">
        <f>IFERROR(__xludf.DUMMYFUNCTION("GOOGLETRANSLATE(B12574, ""zh"", ""en"")"),"It exceeded my expectations have to buy a pair of speakers on a desk, retired and sit when you can listen to quiet music. Reality purchased E4.5, on both sides of the laptop desk, it is slightly larger, but the sound is good. BAUER bought the MM-1, small "&amp;"size, online evaluation is better. But the contrast down, or E4.5 some thick bass, treble is also good, the sound is more transparent. MM-1 bass sink down. He hesitated for a few days, and just two are put on, and then decided to listen for a while.")</f>
        <v>It exceeded my expectations have to buy a pair of speakers on a desk, retired and sit when you can listen to quiet music. Reality purchased E4.5, on both sides of the laptop desk, it is slightly larger, but the sound is good. BAUER bought the MM-1, small size, online evaluation is better. But the contrast down, or E4.5 some thick bass, treble is also good, the sound is more transparent. MM-1 bass sink down. He hesitated for a few days, and just two are put on, and then decided to listen for a while.</v>
      </c>
    </row>
    <row r="12575">
      <c r="A12575" s="1">
        <v>2.0</v>
      </c>
      <c r="B12575" s="1" t="s">
        <v>12461</v>
      </c>
      <c r="C12575" t="str">
        <f>IFERROR(__xludf.DUMMYFUNCTION("GOOGLETRANSLATE(B12575, ""zh"", ""en"")"),"Misnomer wear comfortable, more comfortable than I STUDIO PRO up. Bass sinking was not enough, the overall quality not as good as a lot of thousand dollars below the headphones.")</f>
        <v>Misnomer wear comfortable, more comfortable than I STUDIO PRO up. Bass sinking was not enough, the overall quality not as good as a lot of thousand dollars below the headphones.</v>
      </c>
    </row>
    <row r="12576">
      <c r="A12576" s="1">
        <v>3.0</v>
      </c>
      <c r="B12576" s="1" t="s">
        <v>12462</v>
      </c>
      <c r="C12576" t="str">
        <f>IFERROR(__xludf.DUMMYFUNCTION("GOOGLETRANSLATE(B12576, ""zh"", ""en"")"),"Watch case back of the watch is scratched watch children watch function well.")</f>
        <v>Watch case back of the watch is scratched watch children watch function well.</v>
      </c>
    </row>
    <row r="12577">
      <c r="A12577" s="1">
        <v>3.0</v>
      </c>
      <c r="B12577" s="1" t="s">
        <v>12463</v>
      </c>
      <c r="C12577" t="str">
        <f>IFERROR(__xludf.DUMMYFUNCTION("GOOGLETRANSLATE(B12577, ""zh"", ""en"")"),"A little flaw does not affect his left foot insole is folded, not the original complex, and then return, too much trouble.")</f>
        <v>A little flaw does not affect his left foot insole is folded, not the original complex, and then return, too much trouble.</v>
      </c>
    </row>
    <row r="12578">
      <c r="A12578" s="1">
        <v>3.0</v>
      </c>
      <c r="B12578" s="1" t="s">
        <v>12464</v>
      </c>
      <c r="C12578" t="str">
        <f>IFERROR(__xludf.DUMMYFUNCTION("GOOGLETRANSLATE(B12578, ""zh"", ""en"")"),"Suitable numbers, materials and workmanship in general. Low rise jeans waist 30,85cm intermediate hole exactly.")</f>
        <v>Suitable numbers, materials and workmanship in general. Low rise jeans waist 30,85cm intermediate hole exactly.</v>
      </c>
    </row>
    <row r="12579">
      <c r="A12579" s="1">
        <v>1.0</v>
      </c>
      <c r="B12579" s="1" t="s">
        <v>12465</v>
      </c>
      <c r="C12579" t="str">
        <f>IFERROR(__xludf.DUMMYFUNCTION("GOOGLETRANSLATE(B12579, ""zh"", ""en"")"),"Buy and drop? Bought on price cuts, now 157, the price did not compensate for it, the price changed every few days. Let me say right headphones, but spent the next decade mx360 contrast, progressive feel nothing ah.")</f>
        <v>Buy and drop? Bought on price cuts, now 157, the price did not compensate for it, the price changed every few days. Let me say right headphones, but spent the next decade mx360 contrast, progressive feel nothing ah.</v>
      </c>
    </row>
    <row r="12580">
      <c r="A12580" s="1">
        <v>1.0</v>
      </c>
      <c r="B12580" s="1" t="s">
        <v>12466</v>
      </c>
      <c r="C12580" t="str">
        <f>IFERROR(__xludf.DUMMYFUNCTION("GOOGLETRANSLATE(B12580, ""zh"", ""en"")"),"Overseas purchase - the United States, false shipments received something for everyone to see pictures. Although Amazon customer service processing speed is very fast, the same day a refund, and promised the opportunity to buy the original price; but ther"&amp;"e is no stock, original commitment to purchase non-existent, so this process is not very satisfactory results. But this event point of view, this is a very terrible thing, the US Amazon warehouse delivery within Ghosts! Here concurrent review pictures, Am"&amp;"azon is to take a thorough investigation of the matter, thorough investigation within the US warehouse ghost.")</f>
        <v>Overseas purchase - the United States, false shipments received something for everyone to see pictures. Although Amazon customer service processing speed is very fast, the same day a refund, and promised the opportunity to buy the original price; but there is no stock, original commitment to purchase non-existent, so this process is not very satisfactory results. But this event point of view, this is a very terrible thing, the US Amazon warehouse delivery within Ghosts! Here concurrent review pictures, Amazon is to take a thorough investigation of the matter, thorough investigation within the US warehouse ghost.</v>
      </c>
    </row>
    <row r="12581">
      <c r="A12581" s="1">
        <v>4.0</v>
      </c>
      <c r="B12581" s="1" t="s">
        <v>12467</v>
      </c>
      <c r="C12581" t="str">
        <f>IFERROR(__xludf.DUMMYFUNCTION("GOOGLETRANSLATE(B12581, ""zh"", ""en"")"),"Work in general, the origin of Chinese packing a little worse, shoe box has been deformed, but fortunately the shoes right, price concessions, work in general.")</f>
        <v>Work in general, the origin of Chinese packing a little worse, shoe box has been deformed, but fortunately the shoes right, price concessions, work in general.</v>
      </c>
    </row>
    <row r="12582">
      <c r="A12582" s="1">
        <v>4.0</v>
      </c>
      <c r="B12582" s="1" t="s">
        <v>2366</v>
      </c>
      <c r="C12582" t="str">
        <f>IFERROR(__xludf.DUMMYFUNCTION("GOOGLETRANSLATE(B12582, ""zh"", ""en"")"),"Champion 160,55kg, wear very appropriate. Inside the velvet is also added. Overall good.")</f>
        <v>Champion 160,55kg, wear very appropriate. Inside the velvet is also added. Overall good.</v>
      </c>
    </row>
    <row r="12583">
      <c r="A12583" s="1">
        <v>4.0</v>
      </c>
      <c r="B12583" s="1" t="s">
        <v>12468</v>
      </c>
      <c r="C12583" t="str">
        <f>IFERROR(__xludf.DUMMYFUNCTION("GOOGLETRANSLATE(B12583, ""zh"", ""en"")"),"Size is too large size is too large, this is obviously the size of the US version.")</f>
        <v>Size is too large size is too large, this is obviously the size of the US version.</v>
      </c>
    </row>
    <row r="12584">
      <c r="A12584" s="1">
        <v>4.0</v>
      </c>
      <c r="B12584" s="1" t="s">
        <v>12469</v>
      </c>
      <c r="C12584" t="str">
        <f>IFERROR(__xludf.DUMMYFUNCTION("GOOGLETRANSLATE(B12584, ""zh"", ""en"")"),"But also omission, can only refund buyers who just like before, took two bottles, a bottle of hair only, and not a replacement, only a refund. ""Overseas purchase"" for so long, for the first time this happens, but there is a lesson of the case, omission "&amp;"from happening again, is it the ""Amazon"" no sense of responsibility of staff of the US Why? As an ""Amazon"" senior customers, hoping to get time to improve!")</f>
        <v>But also omission, can only refund buyers who just like before, took two bottles, a bottle of hair only, and not a replacement, only a refund. "Overseas purchase" for so long, for the first time this happens, but there is a lesson of the case, omission from happening again, is it the "Amazon" no sense of responsibility of staff of the US Why? As an "Amazon" senior customers, hoping to get time to improve!</v>
      </c>
    </row>
    <row r="12585">
      <c r="A12585" s="1">
        <v>4.0</v>
      </c>
      <c r="B12585" s="1" t="s">
        <v>12470</v>
      </c>
      <c r="C12585" t="str">
        <f>IFERROR(__xludf.DUMMYFUNCTION("GOOGLETRANSLATE(B12585, ""zh"", ""en"")"),"Tank a little good, that is a little small water tank")</f>
        <v>Tank a little good, that is a little small water tank</v>
      </c>
    </row>
    <row r="12586">
      <c r="A12586" s="1">
        <v>5.0</v>
      </c>
      <c r="B12586" s="1" t="s">
        <v>12471</v>
      </c>
      <c r="C12586" t="str">
        <f>IFERROR(__xludf.DUMMYFUNCTION("GOOGLETRANSLATE(B12586, ""zh"", ""en"")"),"Yes, although the point of ugly shoes! Students step has been love shoes comfortable after wearing other shoes do not want to wear, look at this shoe activities, decisively bite! Hand six hundred-something points! My husband tried to get it back, said foo"&amp;"t feeling good, keep the New Year to wear!")</f>
        <v>Yes, although the point of ugly shoes! Students step has been love shoes comfortable after wearing other shoes do not want to wear, look at this shoe activities, decisively bite! Hand six hundred-something points! My husband tried to get it back, said foot feeling good, keep the New Year to wear!</v>
      </c>
    </row>
    <row r="12587">
      <c r="A12587" s="1">
        <v>5.0</v>
      </c>
      <c r="B12587" s="1" t="s">
        <v>12472</v>
      </c>
      <c r="C12587" t="str">
        <f>IFERROR(__xludf.DUMMYFUNCTION("GOOGLETRANSLATE(B12587, ""zh"", ""en"")"),"So worth it! Origin is actually German! ! Earmuffs big, hollow part diameter 7CM, was finally able to wrap my big ears! , 250 Euro push hard fact, not imagined. This price is invincible, is the appearance does not look good")</f>
        <v>So worth it! Origin is actually German! ! Earmuffs big, hollow part diameter 7CM, was finally able to wrap my big ears! , 250 Euro push hard fact, not imagined. This price is invincible, is the appearance does not look good</v>
      </c>
    </row>
    <row r="12588">
      <c r="A12588" s="1">
        <v>5.0</v>
      </c>
      <c r="B12588" s="1" t="s">
        <v>12473</v>
      </c>
      <c r="C12588" t="str">
        <f>IFERROR(__xludf.DUMMYFUNCTION("GOOGLETRANSLATE(B12588, ""zh"", ""en"")"),"When starting activity, high cost Dea activity starting price, affordable, fast, good performance.")</f>
        <v>When starting activity, high cost Dea activity starting price, affordable, fast, good performance.</v>
      </c>
    </row>
    <row r="12589">
      <c r="A12589" s="1">
        <v>5.0</v>
      </c>
      <c r="B12589" s="1" t="s">
        <v>12474</v>
      </c>
      <c r="C12589" t="str">
        <f>IFERROR(__xludf.DUMMYFUNCTION("GOOGLETRANSLATE(B12589, ""zh"", ""en"")"),"Not bad I 173.5 / 68KG, just this size is just right, but also suitable than simple customization. Color and imagination in the same thickness also happens, should ever online shopping clothes the most successful one.")</f>
        <v>Not bad I 173.5 / 68KG, just this size is just right, but also suitable than simple customization. Color and imagination in the same thickness also happens, should ever online shopping clothes the most successful one.</v>
      </c>
    </row>
    <row r="12590">
      <c r="A12590" s="1">
        <v>5.0</v>
      </c>
      <c r="B12590" s="1" t="s">
        <v>12475</v>
      </c>
      <c r="C12590" t="str">
        <f>IFERROR(__xludf.DUMMYFUNCTION("GOOGLETRANSLATE(B12590, ""zh"", ""en"")"),"It may also be extremely fine line, with a little hard in winter. Stethoscope effect is relatively heavy. Including other aspects of quality are good, especially to send a bunch of very awesome earplugs")</f>
        <v>It may also be extremely fine line, with a little hard in winter. Stethoscope effect is relatively heavy. Including other aspects of quality are good, especially to send a bunch of very awesome earplugs</v>
      </c>
    </row>
    <row r="12591">
      <c r="A12591" s="1">
        <v>5.0</v>
      </c>
      <c r="B12591" s="1" t="s">
        <v>12476</v>
      </c>
      <c r="C12591" t="str">
        <f>IFERROR(__xludf.DUMMYFUNCTION("GOOGLETRANSLATE(B12591, ""zh"", ""en"")"),"Has been idle really good and not so close Le fast enough, but affect the intestinal peristalsis, is the impact going to the toilet, have not brought, sad.")</f>
        <v>Has been idle really good and not so close Le fast enough, but affect the intestinal peristalsis, is the impact going to the toilet, have not brought, sad.</v>
      </c>
    </row>
    <row r="12592">
      <c r="A12592" s="1">
        <v>5.0</v>
      </c>
      <c r="B12592" s="1" t="s">
        <v>12477</v>
      </c>
      <c r="C12592" t="str">
        <f>IFERROR(__xludf.DUMMYFUNCTION("GOOGLETRANSLATE(B12592, ""zh"", ""en"")"),"M sharp writing, calligraphy is very comfortable, fluent and smooth Original ink M tip and wrote word very comfortable, did not feel laborious. The ink fluent and smooth. Original water-based ink, handwriting becomes flower water, of course, if you do not"&amp;" accidentally get in your hand is also very easy to clean.")</f>
        <v>M sharp writing, calligraphy is very comfortable, fluent and smooth Original ink M tip and wrote word very comfortable, did not feel laborious. The ink fluent and smooth. Original water-based ink, handwriting becomes flower water, of course, if you do not accidentally get in your hand is also very easy to clean.</v>
      </c>
    </row>
    <row r="12593">
      <c r="A12593" s="1">
        <v>5.0</v>
      </c>
      <c r="B12593" s="1" t="s">
        <v>12478</v>
      </c>
      <c r="C12593" t="str">
        <f>IFERROR(__xludf.DUMMYFUNCTION("GOOGLETRANSLATE(B12593, ""zh"", ""en"")"),"Very fit for the first time to buy this brand belt, I waistline 33 feet, select the length of 90 cm, after receiving the trial, just good bar in the middle of the third hole, very fit, of course, 95 cm should also be used . As previously been suggested ab"&amp;"ove, it refers to a 90 cm length of the free belt head, length of the belt only. I want to give newcomers reference.")</f>
        <v>Very fit for the first time to buy this brand belt, I waistline 33 feet, select the length of 90 cm, after receiving the trial, just good bar in the middle of the third hole, very fit, of course, 95 cm should also be used . As previously been suggested above, it refers to a 90 cm length of the free belt head, length of the belt only. I want to give newcomers reference.</v>
      </c>
    </row>
    <row r="12594">
      <c r="A12594" s="1">
        <v>5.0</v>
      </c>
      <c r="B12594" s="1" t="s">
        <v>12479</v>
      </c>
      <c r="C12594" t="str">
        <f>IFERROR(__xludf.DUMMYFUNCTION("GOOGLETRANSLATE(B12594, ""zh"", ""en"")"),"Elastic, thick, keep winter pants okay, thick, and can only stay in winter wear")</f>
        <v>Elastic, thick, keep winter pants okay, thick, and can only stay in winter wear</v>
      </c>
    </row>
    <row r="12595">
      <c r="A12595" s="1">
        <v>5.0</v>
      </c>
      <c r="B12595" s="1" t="s">
        <v>12480</v>
      </c>
      <c r="C12595" t="str">
        <f>IFERROR(__xludf.DUMMYFUNCTION("GOOGLETRANSLATE(B12595, ""zh"", ""en"")"),"Who embodies the best coffee of rich flavor, should be to stimulate the inherent quality of the coffee you are out.")</f>
        <v>Who embodies the best coffee of rich flavor, should be to stimulate the inherent quality of the coffee you are out.</v>
      </c>
    </row>
    <row r="12596">
      <c r="A12596" s="1">
        <v>5.0</v>
      </c>
      <c r="B12596" s="1" t="s">
        <v>12481</v>
      </c>
      <c r="C12596" t="str">
        <f>IFERROR(__xludf.DUMMYFUNCTION("GOOGLETRANSLATE(B12596, ""zh"", ""en"")"),"Yes 170,70kg, fit, fabric is very thick, it is")</f>
        <v>Yes 170,70kg, fit, fabric is very thick, it is</v>
      </c>
    </row>
    <row r="12597">
      <c r="A12597" s="1">
        <v>5.0</v>
      </c>
      <c r="B12597" s="1" t="s">
        <v>12482</v>
      </c>
      <c r="C12597" t="str">
        <f>IFERROR(__xludf.DUMMYFUNCTION("GOOGLETRANSLATE(B12597, ""zh"", ""en"")"),"Yes, very good, the right size. Yes, very good, the right size.")</f>
        <v>Yes, very good, the right size. Yes, very good, the right size.</v>
      </c>
    </row>
    <row r="12598">
      <c r="A12598" s="1">
        <v>5.0</v>
      </c>
      <c r="B12598" s="1" t="s">
        <v>12483</v>
      </c>
      <c r="C12598" t="str">
        <f>IFERROR(__xludf.DUMMYFUNCTION("GOOGLETRANSLATE(B12598, ""zh"", ""en"")"),"The slowest first overseas purchase this brush bought many times, made in Germany, the German Amazon direct mail, but created the slowest recorded.")</f>
        <v>The slowest first overseas purchase this brush bought many times, made in Germany, the German Amazon direct mail, but created the slowest recorded.</v>
      </c>
    </row>
    <row r="12599">
      <c r="A12599" s="1">
        <v>5.0</v>
      </c>
      <c r="B12599" s="1" t="s">
        <v>12484</v>
      </c>
      <c r="C12599" t="str">
        <f>IFERROR(__xludf.DUMMYFUNCTION("GOOGLETRANSLATE(B12599, ""zh"", ""en"")"),"Spider &lt;div id = ""video-block-R1CMCR1N27AVBX"" class = ""a-section a-spacing-small a-spacing-top-mini video-block""&gt; &lt;/ div&gt; &lt;input type = ""hidden"" name = "" ""value ="" https://images-cn.ssl-images-amazon.com/images/I/812P6loAY-S.mp4 ""class ="" video"&amp;"-url ""&gt; &lt;input type ="" hidden ""name ="" ""value = ""https://images-cn.ssl-images-amazon.com/images/I/71Xoq4MQAkS.png"" class = ""video-slate-img-url""&gt; &amp; nbsp; I was a Spider-Man")</f>
        <v>Spider &lt;div id = "video-block-R1CMCR1N27AVBX" class = "a-section a-spacing-small a-spacing-top-mini video-block"&gt; &lt;/ div&gt; &lt;input type = "hidden" name = " "value =" https://images-cn.ssl-images-amazon.com/images/I/812P6loAY-S.mp4 "class =" video-url "&gt; &lt;input type =" hidden "name =" "value = "https://images-cn.ssl-images-amazon.com/images/I/71Xoq4MQAkS.png" class = "video-slate-img-url"&gt; &amp; nbsp; I was a Spider-Man</v>
      </c>
    </row>
    <row r="12600">
      <c r="A12600" s="1">
        <v>5.0</v>
      </c>
      <c r="B12600" s="1" t="s">
        <v>12485</v>
      </c>
      <c r="C12600" t="str">
        <f>IFERROR(__xludf.DUMMYFUNCTION("GOOGLETRANSLATE(B12600, ""zh"", ""en"")"),"Size standard, legs slightly hypertrophy fabric comfortable, casual pants, a little fat, suitable for middle-aged men")</f>
        <v>Size standard, legs slightly hypertrophy fabric comfortable, casual pants, a little fat, suitable for middle-aged men</v>
      </c>
    </row>
    <row r="12601">
      <c r="A12601" s="1">
        <v>5.0</v>
      </c>
      <c r="B12601" s="1" t="s">
        <v>12486</v>
      </c>
      <c r="C12601" t="str">
        <f>IFERROR(__xludf.DUMMYFUNCTION("GOOGLETRANSLATE(B12601, ""zh"", ""en"")"),"Fleece sweater is not bad, is very thin, spring and wear better")</f>
        <v>Fleece sweater is not bad, is very thin, spring and wear better</v>
      </c>
    </row>
    <row r="12602">
      <c r="A12602" s="1">
        <v>5.0</v>
      </c>
      <c r="B12602" s="1" t="s">
        <v>12487</v>
      </c>
      <c r="C12602" t="str">
        <f>IFERROR(__xludf.DUMMYFUNCTION("GOOGLETRANSLATE(B12602, ""zh"", ""en"")"),"The quality of Leverage, leverage, although the quality of domestic production, although the domestic production of foreign sales")</f>
        <v>The quality of Leverage, leverage, although the quality of domestic production, although the domestic production of foreign sales</v>
      </c>
    </row>
    <row r="12603">
      <c r="A12603" s="1">
        <v>5.0</v>
      </c>
      <c r="B12603" s="1" t="s">
        <v>12488</v>
      </c>
      <c r="C12603" t="str">
        <f>IFERROR(__xludf.DUMMYFUNCTION("GOOGLETRANSLATE(B12603, ""zh"", ""en"")"),"Classical Pop 990 can be at this price when hesitated, went wrong. Fortunately, belong to one family, but a closed, open it. Get our hands on the next audition with a cell phone, you can. Home connected to the console audition symphony, violin sonatas, ce"&amp;"llo and string quartet. In addition to the string quartet, the performance can be. After listening to pop music under (enthusiast) also broadcast feeling quite well. Listen basically had no physical problems, the appearance seems to be brand new. It does "&amp;"not require a return or exchange. Just plug it on the radio to burn slowly. The benefits of closed headphones is that when burning machine, two ears and face to face, the sound leaks less obvious. Slowly burning it. The overall feeling of the music, such "&amp;"as large and complex texture of the majority said, for the symphony, because of its wide frequency response, dynamic better. Resolution is also very good. As for packaging, environmental protection or a little better, anyway box useless. . . .")</f>
        <v>Classical Pop 990 can be at this price when hesitated, went wrong. Fortunately, belong to one family, but a closed, open it. Get our hands on the next audition with a cell phone, you can. Home connected to the console audition symphony, violin sonatas, cello and string quartet. In addition to the string quartet, the performance can be. After listening to pop music under (enthusiast) also broadcast feeling quite well. Listen basically had no physical problems, the appearance seems to be brand new. It does not require a return or exchange. Just plug it on the radio to burn slowly. The benefits of closed headphones is that when burning machine, two ears and face to face, the sound leaks less obvious. Slowly burning it. The overall feeling of the music, such as large and complex texture of the majority said, for the symphony, because of its wide frequency response, dynamic better. Resolution is also very good. As for packaging, environmental protection or a little better, anyway box useless. . . .</v>
      </c>
    </row>
    <row r="12604">
      <c r="A12604" s="1">
        <v>5.0</v>
      </c>
      <c r="B12604" s="1" t="s">
        <v>12489</v>
      </c>
      <c r="C12604" t="str">
        <f>IFERROR(__xludf.DUMMYFUNCTION("GOOGLETRANSLATE(B12604, ""zh"", ""en"")"),"Material class shopping experience good workmanship, color is my favorite.")</f>
        <v>Material class shopping experience good workmanship, color is my favorite.</v>
      </c>
    </row>
    <row r="12605">
      <c r="A12605" s="1">
        <v>5.0</v>
      </c>
      <c r="B12605" s="1" t="s">
        <v>12490</v>
      </c>
      <c r="C12605" t="str">
        <f>IFERROR(__xludf.DUMMYFUNCTION("GOOGLETRANSLATE(B12605, ""zh"", ""en"")"),"Comfortable and super comfortable, not the pursuit of upright image are strongly recommended. If you wear summer clothes through the comparison would not have to worry about. After this buy underwear")</f>
        <v>Comfortable and super comfortable, not the pursuit of upright image are strongly recommended. If you wear summer clothes through the comparison would not have to worry about. After this buy underwear</v>
      </c>
    </row>
    <row r="12606">
      <c r="A12606" s="1">
        <v>5.0</v>
      </c>
      <c r="B12606" s="1" t="s">
        <v>12491</v>
      </c>
      <c r="C12606" t="str">
        <f>IFERROR(__xludf.DUMMYFUNCTION("GOOGLETRANSLATE(B12606, ""zh"", ""en"")"),"Product quality is very good very fast indeed the British version of fast quality is also very good feeling the next price cuts will buy the electric toothbrush really feel the teeth are white point")</f>
        <v>Product quality is very good very fast indeed the British version of fast quality is also very good feeling the next price cuts will buy the electric toothbrush really feel the teeth are white point</v>
      </c>
    </row>
    <row r="12607">
      <c r="A12607" s="1">
        <v>5.0</v>
      </c>
      <c r="B12607" s="1" t="s">
        <v>12492</v>
      </c>
      <c r="C12607" t="str">
        <f>IFERROR(__xludf.DUMMYFUNCTION("GOOGLETRANSLATE(B12607, ""zh"", ""en"")"),"Very, very good quality, very comfortable to wear")</f>
        <v>Very, very good quality, very comfortable to wear</v>
      </c>
    </row>
    <row r="12608">
      <c r="A12608" s="1">
        <v>2.0</v>
      </c>
      <c r="B12608" s="1" t="s">
        <v>12493</v>
      </c>
      <c r="C12608" t="str">
        <f>IFERROR(__xludf.DUMMYFUNCTION("GOOGLETRANSLATE(B12608, ""zh"", ""en"")"),"Packing too pit packaging on two wet cardboard ... all broken into the slag.")</f>
        <v>Packing too pit packaging on two wet cardboard ... all broken into the slag.</v>
      </c>
    </row>
    <row r="12609">
      <c r="A12609" s="1">
        <v>3.0</v>
      </c>
      <c r="B12609" s="1" t="s">
        <v>12494</v>
      </c>
      <c r="C12609" t="str">
        <f>IFERROR(__xludf.DUMMYFUNCTION("GOOGLETRANSLATE(B12609, ""zh"", ""en"")"),"Fabrics are generally purchased overseas join in a single purchase, feel like a general")</f>
        <v>Fabrics are generally purchased overseas join in a single purchase, feel like a general</v>
      </c>
    </row>
    <row r="12610">
      <c r="A12610" s="1">
        <v>1.0</v>
      </c>
      <c r="B12610" s="1" t="s">
        <v>12495</v>
      </c>
      <c r="C12610" t="str">
        <f>IFERROR(__xludf.DUMMYFUNCTION("GOOGLETRANSLATE(B12610, ""zh"", ""en"")"),"Amazon was disappointed work in general, the material in general, fade, looking like genuine.")</f>
        <v>Amazon was disappointed work in general, the material in general, fade, looking like genuine.</v>
      </c>
    </row>
    <row r="12611">
      <c r="A12611" s="1">
        <v>1.0</v>
      </c>
      <c r="B12611" s="1" t="s">
        <v>12496</v>
      </c>
      <c r="C12611" t="str">
        <f>IFERROR(__xludf.DUMMYFUNCTION("GOOGLETRANSLATE(B12611, ""zh"", ""en"")"),"Water compensation, will not write. Do not buy, poor water, often will not write off. I have been looking for customer service. This is the old section of small tip.")</f>
        <v>Water compensation, will not write. Do not buy, poor water, often will not write off. I have been looking for customer service. This is the old section of small tip.</v>
      </c>
    </row>
    <row r="12612">
      <c r="A12612" s="1">
        <v>1.0</v>
      </c>
      <c r="B12612" s="1" t="s">
        <v>12497</v>
      </c>
      <c r="C12612" t="str">
        <f>IFERROR(__xludf.DUMMYFUNCTION("GOOGLETRANSLATE(B12612, ""zh"", ""en"")"),"Disappointed others through the crease clear, blur wear insoles tags missing, very disappointed, not how to upload pictures of it, the inside two shoes, what to pack and bring")</f>
        <v>Disappointed others through the crease clear, blur wear insoles tags missing, very disappointed, not how to upload pictures of it, the inside two shoes, what to pack and bring</v>
      </c>
    </row>
    <row r="12613">
      <c r="A12613" s="1">
        <v>4.0</v>
      </c>
      <c r="B12613" s="1" t="s">
        <v>12498</v>
      </c>
      <c r="C12613" t="str">
        <f>IFERROR(__xludf.DUMMYFUNCTION("GOOGLETRANSLATE(B12613, ""zh"", ""en"")"),"Capacity actual capacity is only 5.45tb, less than I expected. But look can also be accepted in the price of the copies.")</f>
        <v>Capacity actual capacity is only 5.45tb, less than I expected. But look can also be accepted in the price of the copies.</v>
      </c>
    </row>
    <row r="12614">
      <c r="A12614" s="1">
        <v>4.0</v>
      </c>
      <c r="B12614" s="1" t="s">
        <v>12499</v>
      </c>
      <c r="C12614" t="str">
        <f>IFERROR(__xludf.DUMMYFUNCTION("GOOGLETRANSLATE(B12614, ""zh"", ""en"")"),"Sizes too small. Shoes look great, and very light, but the size is too small. Children can not wear. transfer!")</f>
        <v>Sizes too small. Shoes look great, and very light, but the size is too small. Children can not wear. transfer!</v>
      </c>
    </row>
    <row r="12615">
      <c r="A12615" s="1">
        <v>4.0</v>
      </c>
      <c r="B12615" s="1" t="s">
        <v>12500</v>
      </c>
      <c r="C12615" t="str">
        <f>IFERROR(__xludf.DUMMYFUNCTION("GOOGLETRANSLATE(B12615, ""zh"", ""en"")"),"Good style and comfort are good, quality in general, thread cuff appeared about two weeks. I buy is s code, I 179 slim, fit, longer length sleeves.")</f>
        <v>Good style and comfort are good, quality in general, thread cuff appeared about two weeks. I buy is s code, I 179 slim, fit, longer length sleeves.</v>
      </c>
    </row>
    <row r="12616">
      <c r="A12616" s="1">
        <v>4.0</v>
      </c>
      <c r="B12616" s="1" t="s">
        <v>12501</v>
      </c>
      <c r="C12616" t="str">
        <f>IFERROR(__xludf.DUMMYFUNCTION("GOOGLETRANSLATE(B12616, ""zh"", ""en"")"),"This is also okay no rims but no comfort wacoal this good ...")</f>
        <v>This is also okay no rims but no comfort wacoal this good ...</v>
      </c>
    </row>
    <row r="12617">
      <c r="A12617" s="1">
        <v>5.0</v>
      </c>
      <c r="B12617" s="1" t="s">
        <v>12502</v>
      </c>
      <c r="C12617" t="str">
        <f>IFERROR(__xludf.DUMMYFUNCTION("GOOGLETRANSLATE(B12617, ""zh"", ""en"")"),"Tank too, can function. Tank a little, the need for intermediate water once. Little momentum, the maximum power than the kind of portable Panasonic can shrink smaller. Comparative charging cool, magnetic above. Overall satisfactory, in line with expectati"&amp;"ons.")</f>
        <v>Tank too, can function. Tank a little, the need for intermediate water once. Little momentum, the maximum power than the kind of portable Panasonic can shrink smaller. Comparative charging cool, magnetic above. Overall satisfactory, in line with expectations.</v>
      </c>
    </row>
    <row r="12618">
      <c r="A12618" s="1">
        <v>5.0</v>
      </c>
      <c r="B12618" s="1" t="s">
        <v>12503</v>
      </c>
      <c r="C12618" t="str">
        <f>IFERROR(__xludf.DUMMYFUNCTION("GOOGLETRANSLATE(B12618, ""zh"", ""en"")"),"Red handle at just found out a large piece of porcelain")</f>
        <v>Red handle at just found out a large piece of porcelain</v>
      </c>
    </row>
    <row r="12619">
      <c r="A12619" s="1">
        <v>5.0</v>
      </c>
      <c r="B12619" s="1" t="s">
        <v>12504</v>
      </c>
      <c r="C12619" t="str">
        <f>IFERROR(__xludf.DUMMYFUNCTION("GOOGLETRANSLATE(B12619, ""zh"", ""en"")"),"Good Very Good very comfortable to wear well")</f>
        <v>Good Very Good very comfortable to wear well</v>
      </c>
    </row>
    <row r="12620">
      <c r="A12620" s="1">
        <v>5.0</v>
      </c>
      <c r="B12620" s="1" t="s">
        <v>12505</v>
      </c>
      <c r="C12620" t="str">
        <f>IFERROR(__xludf.DUMMYFUNCTION("GOOGLETRANSLATE(B12620, ""zh"", ""en"")"),"Deserve to have a good product quality, good sound quality. For the working class, a bit pricey.")</f>
        <v>Deserve to have a good product quality, good sound quality. For the working class, a bit pricey.</v>
      </c>
    </row>
    <row r="12621">
      <c r="A12621" s="1">
        <v>5.0</v>
      </c>
      <c r="B12621" s="1" t="s">
        <v>12506</v>
      </c>
      <c r="C12621" t="str">
        <f>IFERROR(__xludf.DUMMYFUNCTION("GOOGLETRANSLATE(B12621, ""zh"", ""en"")"),"Great pen not useful, first-class values ​​Yan, looking more like")</f>
        <v>Great pen not useful, first-class values ​​Yan, looking more like</v>
      </c>
    </row>
    <row r="12622">
      <c r="A12622" s="1">
        <v>5.0</v>
      </c>
      <c r="B12622" s="1" t="s">
        <v>12507</v>
      </c>
      <c r="C12622" t="str">
        <f>IFERROR(__xludf.DUMMYFUNCTION("GOOGLETRANSLATE(B12622, ""zh"", ""en"")"),"Wallet, household items shipped fast, quality needs to be considered")</f>
        <v>Wallet, household items shipped fast, quality needs to be considered</v>
      </c>
    </row>
    <row r="12623">
      <c r="A12623" s="1">
        <v>5.0</v>
      </c>
      <c r="B12623" s="1" t="s">
        <v>12508</v>
      </c>
      <c r="C12623" t="str">
        <f>IFERROR(__xludf.DUMMYFUNCTION("GOOGLETRANSLATE(B12623, ""zh"", ""en"")"),"Quality is praise! Buy big, but can wear")</f>
        <v>Quality is praise! Buy big, but can wear</v>
      </c>
    </row>
    <row r="12624">
      <c r="A12624" s="1">
        <v>5.0</v>
      </c>
      <c r="B12624" s="1" t="s">
        <v>12509</v>
      </c>
      <c r="C12624" t="str">
        <f>IFERROR(__xludf.DUMMYFUNCTION("GOOGLETRANSLATE(B12624, ""zh"", ""en"")"),"I usually have to eat at least used to have knee problems, has improved after eating, but is not sure whether this works, but still maintained that they would usually eat")</f>
        <v>I usually have to eat at least used to have knee problems, has improved after eating, but is not sure whether this works, but still maintained that they would usually eat</v>
      </c>
    </row>
    <row r="12625">
      <c r="A12625" s="1">
        <v>5.0</v>
      </c>
      <c r="B12625" s="1" t="s">
        <v>12510</v>
      </c>
      <c r="C12625" t="str">
        <f>IFERROR(__xludf.DUMMYFUNCTION("GOOGLETRANSLATE(B12625, ""zh"", ""en"")"),"A very powerful addition to the orange logo does not like, sound quality is much better than xm2, little noise difference, loud voice mall or filtering can not afford, in short, better than qc35II, great bread, Sony Dafa is good!")</f>
        <v>A very powerful addition to the orange logo does not like, sound quality is much better than xm2, little noise difference, loud voice mall or filtering can not afford, in short, better than qc35II, great bread, Sony Dafa is good!</v>
      </c>
    </row>
    <row r="12626">
      <c r="A12626" s="1">
        <v>5.0</v>
      </c>
      <c r="B12626" s="1" t="s">
        <v>12511</v>
      </c>
      <c r="C12626" t="str">
        <f>IFERROR(__xludf.DUMMYFUNCTION("GOOGLETRANSLATE(B12626, ""zh"", ""en"")"),"Satisfying shopping the price is right, things tricky, very satisfied")</f>
        <v>Satisfying shopping the price is right, things tricky, very satisfied</v>
      </c>
    </row>
    <row r="12627">
      <c r="A12627" s="1">
        <v>5.0</v>
      </c>
      <c r="B12627" s="1" t="s">
        <v>12512</v>
      </c>
      <c r="C12627" t="str">
        <f>IFERROR(__xludf.DUMMYFUNCTION("GOOGLETRANSLATE(B12627, ""zh"", ""en"")"),"Like the quality of workmanship is very good, packaging is also very good.")</f>
        <v>Like the quality of workmanship is very good, packaging is also very good.</v>
      </c>
    </row>
    <row r="12628">
      <c r="A12628" s="1">
        <v>5.0</v>
      </c>
      <c r="B12628" s="1" t="s">
        <v>12513</v>
      </c>
      <c r="C12628" t="str">
        <f>IFERROR(__xludf.DUMMYFUNCTION("GOOGLETRANSLATE(B12628, ""zh"", ""en"")"),"Selected according to their waist jeans like the right size, I usually just belt it 3132 W 32")</f>
        <v>Selected according to their waist jeans like the right size, I usually just belt it 3132 W 32</v>
      </c>
    </row>
    <row r="12629">
      <c r="A12629" s="1">
        <v>5.0</v>
      </c>
      <c r="B12629" s="1" t="s">
        <v>12514</v>
      </c>
      <c r="C12629" t="str">
        <f>IFERROR(__xludf.DUMMYFUNCTION("GOOGLETRANSLATE(B12629, ""zh"", ""en"")"),"Comfort. Wear is not a bit shy, cotton fabric, that is comfortable and Shoulong, very satisfied!")</f>
        <v>Comfort. Wear is not a bit shy, cotton fabric, that is comfortable and Shoulong, very satisfied!</v>
      </c>
    </row>
    <row r="12630">
      <c r="A12630" s="1">
        <v>5.0</v>
      </c>
      <c r="B12630" s="1" t="s">
        <v>12515</v>
      </c>
      <c r="C12630" t="str">
        <f>IFERROR(__xludf.DUMMYFUNCTION("GOOGLETRANSLATE(B12630, ""zh"", ""en"")"),"As good as expected, estimated to be genuine")</f>
        <v>As good as expected, estimated to be genuine</v>
      </c>
    </row>
    <row r="12631">
      <c r="A12631" s="1">
        <v>5.0</v>
      </c>
      <c r="B12631" s="1" t="s">
        <v>12516</v>
      </c>
      <c r="C12631" t="str">
        <f>IFERROR(__xludf.DUMMYFUNCTION("GOOGLETRANSLATE(B12631, ""zh"", ""en"")"),"Good wife is very satisfied")</f>
        <v>Good wife is very satisfied</v>
      </c>
    </row>
    <row r="12632">
      <c r="A12632" s="1">
        <v>5.0</v>
      </c>
      <c r="B12632" s="1" t="s">
        <v>12517</v>
      </c>
      <c r="C12632" t="str">
        <f>IFERROR(__xludf.DUMMYFUNCTION("GOOGLETRANSLATE(B12632, ""zh"", ""en"")"),"Recommended really good, flexible, comfortable, good quality")</f>
        <v>Recommended really good, flexible, comfortable, good quality</v>
      </c>
    </row>
    <row r="12633">
      <c r="A12633" s="1">
        <v>5.0</v>
      </c>
      <c r="B12633" s="1" t="s">
        <v>12518</v>
      </c>
      <c r="C12633" t="str">
        <f>IFERROR(__xludf.DUMMYFUNCTION("GOOGLETRANSLATE(B12633, ""zh"", ""en"")"),"It will repurchase scanned is genuine, a week earlier than expected, very satisfied")</f>
        <v>It will repurchase scanned is genuine, a week earlier than expected, very satisfied</v>
      </c>
    </row>
    <row r="12634">
      <c r="A12634" s="1">
        <v>5.0</v>
      </c>
      <c r="B12634" s="1" t="s">
        <v>12519</v>
      </c>
      <c r="C12634" t="str">
        <f>IFERROR(__xludf.DUMMYFUNCTION("GOOGLETRANSLATE(B12634, ""zh"", ""en"")"),"Loose fitting height 170 weight 72kg a little loose")</f>
        <v>Loose fitting height 170 weight 72kg a little loose</v>
      </c>
    </row>
    <row r="12635">
      <c r="A12635" s="1">
        <v>5.0</v>
      </c>
      <c r="B12635" s="1" t="s">
        <v>12520</v>
      </c>
      <c r="C12635" t="str">
        <f>IFERROR(__xludf.DUMMYFUNCTION("GOOGLETRANSLATE(B12635, ""zh"", ""en"")"),"Good rather hard, thick")</f>
        <v>Good rather hard, thick</v>
      </c>
    </row>
    <row r="12636">
      <c r="A12636" s="1">
        <v>5.0</v>
      </c>
      <c r="B12636" s="1" t="s">
        <v>12521</v>
      </c>
      <c r="C12636" t="str">
        <f>IFERROR(__xludf.DUMMYFUNCTION("GOOGLETRANSLATE(B12636, ""zh"", ""en"")"),"Pretty shoes are very nice, very comfortable to wear!")</f>
        <v>Pretty shoes are very nice, very comfortable to wear!</v>
      </c>
    </row>
    <row r="12637">
      <c r="A12637" s="1">
        <v>5.0</v>
      </c>
      <c r="B12637" s="1" t="s">
        <v>12522</v>
      </c>
      <c r="C12637" t="str">
        <f>IFERROR(__xludf.DUMMYFUNCTION("GOOGLETRANSLATE(B12637, ""zh"", ""en"")"),"Spent half a year, not bad, but I believe the quality assurance Amazon spent half a year, not bad, but I believe the quality assurance Amazon")</f>
        <v>Spent half a year, not bad, but I believe the quality assurance Amazon spent half a year, not bad, but I believe the quality assurance Amazon</v>
      </c>
    </row>
    <row r="12638">
      <c r="A12638" s="1">
        <v>5.0</v>
      </c>
      <c r="B12638" s="1" t="s">
        <v>12523</v>
      </c>
      <c r="C12638" t="str">
        <f>IFERROR(__xludf.DUMMYFUNCTION("GOOGLETRANSLATE(B12638, ""zh"", ""en"")"),"Size is too large, but comfortable to wear the pants too large, it is recommended to buy time to buy a small No. 1 or 2, but very comfortable to wear")</f>
        <v>Size is too large, but comfortable to wear the pants too large, it is recommended to buy time to buy a small No. 1 or 2, but very comfortable to wear</v>
      </c>
    </row>
    <row r="12639">
      <c r="A12639" s="1">
        <v>2.0</v>
      </c>
      <c r="B12639" s="1" t="s">
        <v>12524</v>
      </c>
      <c r="C12639" t="str">
        <f>IFERROR(__xludf.DUMMYFUNCTION("GOOGLETRANSLATE(B12639, ""zh"", ""en"")"),"Exhibits and photos the feeling is definitely not the same. Quite excited about just getting goods, because the packaging is very formal, but opened it was too let me down, to sum up my feeling is - ""Toy table""! Dial small plastic feel too strong!")</f>
        <v>Exhibits and photos the feeling is definitely not the same. Quite excited about just getting goods, because the packaging is very formal, but opened it was too let me down, to sum up my feeling is - "Toy table"! Dial small plastic feel too strong!</v>
      </c>
    </row>
    <row r="12640">
      <c r="A12640" s="1">
        <v>3.0</v>
      </c>
      <c r="B12640" s="1" t="s">
        <v>12525</v>
      </c>
      <c r="C12640" t="str">
        <f>IFERROR(__xludf.DUMMYFUNCTION("GOOGLETRANSLATE(B12640, ""zh"", ""en"")"),"Slim mast or not, a lot more than the domestic version of Slim fat. 32/32 jeans very appropriate, the fat and long on.")</f>
        <v>Slim mast or not, a lot more than the domestic version of Slim fat. 32/32 jeans very appropriate, the fat and long on.</v>
      </c>
    </row>
    <row r="12641">
      <c r="A12641" s="1">
        <v>3.0</v>
      </c>
      <c r="B12641" s="1" t="s">
        <v>12526</v>
      </c>
      <c r="C12641" t="str">
        <f>IFERROR(__xludf.DUMMYFUNCTION("GOOGLETRANSLATE(B12641, ""zh"", ""en"")"),"ECCO shoes are generally people love to hate, it is indeed very light shoes, step on the sense of comfort, but the shoe skinny ah, feet wide who do not consider, pinch me. I talk about size the size, my bare feet 27.3cm, this election uk9, length enough, "&amp;"is the card feet, narrow")</f>
        <v>ECCO shoes are generally people love to hate, it is indeed very light shoes, step on the sense of comfort, but the shoe skinny ah, feet wide who do not consider, pinch me. I talk about size the size, my bare feet 27.3cm, this election uk9, length enough, is the card feet, narrow</v>
      </c>
    </row>
    <row r="12642">
      <c r="A12642" s="1">
        <v>3.0</v>
      </c>
      <c r="B12642" s="1" t="s">
        <v>12527</v>
      </c>
      <c r="C12642" t="str">
        <f>IFERROR(__xludf.DUMMYFUNCTION("GOOGLETRANSLATE(B12642, ""zh"", ""en"")"),"Generally it is too long, the quality in general, do not feel fine")</f>
        <v>Generally it is too long, the quality in general, do not feel fine</v>
      </c>
    </row>
    <row r="12643">
      <c r="A12643" s="1">
        <v>1.0</v>
      </c>
      <c r="B12643" s="1" t="s">
        <v>12528</v>
      </c>
      <c r="C12643" t="str">
        <f>IFERROR(__xludf.DUMMYFUNCTION("GOOGLETRANSLATE(B12643, ""zh"", ""en"")"),"Wasted my milk! Could not actually frozen milk! ! ! ! For the other milk storage bags as usual ...")</f>
        <v>Wasted my milk! Could not actually frozen milk! ! ! ! For the other milk storage bags as usual ...</v>
      </c>
    </row>
    <row r="12644">
      <c r="A12644" s="1">
        <v>1.0</v>
      </c>
      <c r="B12644" s="1" t="s">
        <v>12529</v>
      </c>
      <c r="C12644" t="str">
        <f>IFERROR(__xludf.DUMMYFUNCTION("GOOGLETRANSLATE(B12644, ""zh"", ""en"")"),"It does not match either fake, or is very sub defective.")</f>
        <v>It does not match either fake, or is very sub defective.</v>
      </c>
    </row>
    <row r="12645">
      <c r="A12645" s="1">
        <v>4.0</v>
      </c>
      <c r="B12645" s="1" t="s">
        <v>12530</v>
      </c>
      <c r="C12645" t="str">
        <f>IFERROR(__xludf.DUMMYFUNCTION("GOOGLETRANSLATE(B12645, ""zh"", ""en"")"),"Taste relatively light sugar taste relatively light, not particularly sweet, fairly suitable for children to eat")</f>
        <v>Taste relatively light sugar taste relatively light, not particularly sweet, fairly suitable for children to eat</v>
      </c>
    </row>
    <row r="12646">
      <c r="A12646" s="1">
        <v>4.0</v>
      </c>
      <c r="B12646" s="1" t="s">
        <v>12531</v>
      </c>
      <c r="C12646" t="str">
        <f>IFERROR(__xludf.DUMMYFUNCTION("GOOGLETRANSLATE(B12646, ""zh"", ""en"")"),"Partial headset headset sound quality good stethoscope effect also exists as long as the clip trying to be difficult but the only regret is that partial sound headphones tested the problem is not really the ear or music devices Nichia feeling returns will"&amp;" not be convenient for you to voice your own tune about Minato live")</f>
        <v>Partial headset headset sound quality good stethoscope effect also exists as long as the clip trying to be difficult but the only regret is that partial sound headphones tested the problem is not really the ear or music devices Nichia feeling returns will not be convenient for you to voice your own tune about Minato live</v>
      </c>
    </row>
    <row r="12647">
      <c r="A12647" s="1">
        <v>4.0</v>
      </c>
      <c r="B12647" s="1" t="s">
        <v>7451</v>
      </c>
      <c r="C12647" t="str">
        <f>IFERROR(__xludf.DUMMYFUNCTION("GOOGLETRANSLATE(B12647, ""zh"", ""en"")"),"Good quality good quality")</f>
        <v>Good quality good quality</v>
      </c>
    </row>
    <row r="12648">
      <c r="A12648" s="1">
        <v>4.0</v>
      </c>
      <c r="B12648" s="1" t="s">
        <v>12532</v>
      </c>
      <c r="C12648" t="str">
        <f>IFERROR(__xludf.DUMMYFUNCTION("GOOGLETRANSLATE(B12648, ""zh"", ""en"")"),"Vietnam Vietnam produced really not, and is not a level of Bengal")</f>
        <v>Vietnam Vietnam produced really not, and is not a level of Bengal</v>
      </c>
    </row>
    <row r="12649">
      <c r="A12649" s="1">
        <v>4.0</v>
      </c>
      <c r="B12649" s="1" t="s">
        <v>12533</v>
      </c>
      <c r="C12649" t="str">
        <f>IFERROR(__xludf.DUMMYFUNCTION("GOOGLETRANSLATE(B12649, ""zh"", ""en"")"),"General shoes 396 to start, 44 yards. Shoe soles poor little comfort, breathability general.")</f>
        <v>General shoes 396 to start, 44 yards. Shoe soles poor little comfort, breathability general.</v>
      </c>
    </row>
    <row r="12650">
      <c r="A12650" s="1">
        <v>5.0</v>
      </c>
      <c r="B12650" s="1" t="s">
        <v>12534</v>
      </c>
      <c r="C12650" t="str">
        <f>IFERROR(__xludf.DUMMYFUNCTION("GOOGLETRANSLATE(B12650, ""zh"", ""en"")"),"Good pants")</f>
        <v>Good pants</v>
      </c>
    </row>
    <row r="12651">
      <c r="A12651" s="1">
        <v>5.0</v>
      </c>
      <c r="B12651" s="1" t="s">
        <v>12535</v>
      </c>
      <c r="C12651" t="str">
        <f>IFERROR(__xludf.DUMMYFUNCTION("GOOGLETRANSLATE(B12651, ""zh"", ""en"")"),"Can be given away with the rinse water, very convenient, small voice, blowing too clean, that is the feeling that last year bought a little strength")</f>
        <v>Can be given away with the rinse water, very convenient, small voice, blowing too clean, that is the feeling that last year bought a little strength</v>
      </c>
    </row>
    <row r="12652">
      <c r="A12652" s="1">
        <v>5.0</v>
      </c>
      <c r="B12652" s="1" t="s">
        <v>12536</v>
      </c>
      <c r="C12652" t="str">
        <f>IFERROR(__xludf.DUMMYFUNCTION("GOOGLETRANSLATE(B12652, ""zh"", ""en"")"),"Good very good, can be pressed two kinds of noodles, about 7 mm wide one kind, such as a finely divided noodles. Overseas buy packing tape there is always damage, why transportation is so bad and told me how to do? Loss of freight rejected")</f>
        <v>Good very good, can be pressed two kinds of noodles, about 7 mm wide one kind, such as a finely divided noodles. Overseas buy packing tape there is always damage, why transportation is so bad and told me how to do? Loss of freight rejected</v>
      </c>
    </row>
    <row r="12653">
      <c r="A12653" s="1">
        <v>5.0</v>
      </c>
      <c r="B12653" s="1" t="s">
        <v>12537</v>
      </c>
      <c r="C12653" t="str">
        <f>IFERROR(__xludf.DUMMYFUNCTION("GOOGLETRANSLATE(B12653, ""zh"", ""en"")"),"Soundproofing mat well, you can feel it")</f>
        <v>Soundproofing mat well, you can feel it</v>
      </c>
    </row>
    <row r="12654">
      <c r="A12654" s="1">
        <v>5.0</v>
      </c>
      <c r="B12654" s="1" t="s">
        <v>12538</v>
      </c>
      <c r="C12654" t="str">
        <f>IFERROR(__xludf.DUMMYFUNCTION("GOOGLETRANSLATE(B12654, ""zh"", ""en"")"),"Cheap great pants, perfect to describe! The price is super cheap, worth having")</f>
        <v>Cheap great pants, perfect to describe! The price is super cheap, worth having</v>
      </c>
    </row>
    <row r="12655">
      <c r="A12655" s="1">
        <v>5.0</v>
      </c>
      <c r="B12655" s="1" t="s">
        <v>12539</v>
      </c>
      <c r="C12655" t="str">
        <f>IFERROR(__xludf.DUMMYFUNCTION("GOOGLETRANSLATE(B12655, ""zh"", ""en"")"),"Siemens dishwasher stockpile")</f>
        <v>Siemens dishwasher stockpile</v>
      </c>
    </row>
    <row r="12656">
      <c r="A12656" s="1">
        <v>5.0</v>
      </c>
      <c r="B12656" s="1" t="s">
        <v>12540</v>
      </c>
      <c r="C12656" t="str">
        <f>IFERROR(__xludf.DUMMYFUNCTION("GOOGLETRANSLATE(B12656, ""zh"", ""en"")"),"Would have been really good is bought to play, but I had been very accurate when they feel the time is really good to go, more than a month as if the error did not exceed 10 seconds it is good water resistance, usually hand-washing soiled dishes the water"&amp;" is no problem with the price, it is indeed a good a watch")</f>
        <v>Would have been really good is bought to play, but I had been very accurate when they feel the time is really good to go, more than a month as if the error did not exceed 10 seconds it is good water resistance, usually hand-washing soiled dishes the water is no problem with the price, it is indeed a good a watch</v>
      </c>
    </row>
    <row r="12657">
      <c r="A12657" s="1">
        <v>5.0</v>
      </c>
      <c r="B12657" s="1" t="s">
        <v>12541</v>
      </c>
      <c r="C12657" t="str">
        <f>IFERROR(__xludf.DUMMYFUNCTION("GOOGLETRANSLATE(B12657, ""zh"", ""en"")"),"Very nice to know it too large to buy a small one yards, really very appropriate")</f>
        <v>Very nice to know it too large to buy a small one yards, really very appropriate</v>
      </c>
    </row>
    <row r="12658">
      <c r="A12658" s="1">
        <v>5.0</v>
      </c>
      <c r="B12658" s="1" t="s">
        <v>12542</v>
      </c>
      <c r="C12658" t="str">
        <f>IFERROR(__xludf.DUMMYFUNCTION("GOOGLETRANSLATE(B12658, ""zh"", ""en"")"),"Cool and comfortable chest is pressed, the function does not gather, but cool, very comfortable shoulder strap, will not fall, bought a few pieces of summer wear. Suitable for home wear")</f>
        <v>Cool and comfortable chest is pressed, the function does not gather, but cool, very comfortable shoulder strap, will not fall, bought a few pieces of summer wear. Suitable for home wear</v>
      </c>
    </row>
    <row r="12659">
      <c r="A12659" s="1">
        <v>5.0</v>
      </c>
      <c r="B12659" s="1" t="s">
        <v>12543</v>
      </c>
      <c r="C12659" t="str">
        <f>IFERROR(__xludf.DUMMYFUNCTION("GOOGLETRANSLATE(B12659, ""zh"", ""en"")"),"With the domestic style of choice is the same as a normal delivery, about 13 days to hand, shell a little bit deformed, not serious enough, is no feeling reinforced shoes and the country is the same, ecco the size is still very accurate, see Ouma on the l"&amp;"ine")</f>
        <v>With the domestic style of choice is the same as a normal delivery, about 13 days to hand, shell a little bit deformed, not serious enough, is no feeling reinforced shoes and the country is the same, ecco the size is still very accurate, see Ouma on the line</v>
      </c>
    </row>
    <row r="12660">
      <c r="A12660" s="1">
        <v>5.0</v>
      </c>
      <c r="B12660" s="1" t="s">
        <v>12544</v>
      </c>
      <c r="C12660" t="str">
        <f>IFERROR(__xludf.DUMMYFUNCTION("GOOGLETRANSLATE(B12660, ""zh"", ""en"")"),"La la la la clothes good texture")</f>
        <v>La la la la clothes good texture</v>
      </c>
    </row>
    <row r="12661">
      <c r="A12661" s="1">
        <v>5.0</v>
      </c>
      <c r="B12661" s="1" t="s">
        <v>12545</v>
      </c>
      <c r="C12661" t="str">
        <f>IFERROR(__xludf.DUMMYFUNCTION("GOOGLETRANSLATE(B12661, ""zh"", ""en"")"),"The size of the appropriate size just right, to wear sneakers 37.5, this just bought 6US, instep is a little tight here, overall very satisfied (≧ ▽ ≦)")</f>
        <v>The size of the appropriate size just right, to wear sneakers 37.5, this just bought 6US, instep is a little tight here, overall very satisfied (≧ ▽ ≦)</v>
      </c>
    </row>
    <row r="12662">
      <c r="A12662" s="1">
        <v>5.0</v>
      </c>
      <c r="B12662" s="1" t="s">
        <v>12546</v>
      </c>
      <c r="C12662" t="str">
        <f>IFERROR(__xludf.DUMMYFUNCTION("GOOGLETRANSLATE(B12662, ""zh"", ""en"")"),"Pants right size. Color is good. Sat relatively small. Pants right size. Color is good. Sat relatively small.")</f>
        <v>Pants right size. Color is good. Sat relatively small. Pants right size. Color is good. Sat relatively small.</v>
      </c>
    </row>
    <row r="12663">
      <c r="A12663" s="1">
        <v>5.0</v>
      </c>
      <c r="B12663" s="1" t="s">
        <v>12547</v>
      </c>
      <c r="C12663" t="str">
        <f>IFERROR(__xludf.DUMMYFUNCTION("GOOGLETRANSLATE(B12663, ""zh"", ""en"")"),"Warm clothes is very good very light very thin but very warm, this is the second bird-house atom lt, as always, good quality")</f>
        <v>Warm clothes is very good very light very thin but very warm, this is the second bird-house atom lt, as always, good quality</v>
      </c>
    </row>
    <row r="12664">
      <c r="A12664" s="1">
        <v>5.0</v>
      </c>
      <c r="B12664" s="1" t="s">
        <v>12548</v>
      </c>
      <c r="C12664" t="str">
        <f>IFERROR(__xludf.DUMMYFUNCTION("GOOGLETRANSLATE(B12664, ""zh"", ""en"")"),"Worth starting! ! ! Shoes arrived, I can not wait immediately tried out, usually sports shoes to wear 44, bought 9.5M just right. Shoes are very comfortable, very type, arrival time is slightly longer, it may take about two weeks.")</f>
        <v>Worth starting! ! ! Shoes arrived, I can not wait immediately tried out, usually sports shoes to wear 44, bought 9.5M just right. Shoes are very comfortable, very type, arrival time is slightly longer, it may take about two weeks.</v>
      </c>
    </row>
    <row r="12665">
      <c r="A12665" s="1">
        <v>5.0</v>
      </c>
      <c r="B12665" s="1" t="s">
        <v>12549</v>
      </c>
      <c r="C12665" t="str">
        <f>IFERROR(__xludf.DUMMYFUNCTION("GOOGLETRANSLATE(B12665, ""zh"", ""en"")"),"Very good. Delivery is fast. Very good. Delivery is fast.")</f>
        <v>Very good. Delivery is fast. Very good. Delivery is fast.</v>
      </c>
    </row>
    <row r="12666">
      <c r="A12666" s="1">
        <v>5.0</v>
      </c>
      <c r="B12666" s="1" t="s">
        <v>12550</v>
      </c>
      <c r="C12666" t="str">
        <f>IFERROR(__xludf.DUMMYFUNCTION("GOOGLETRANSLATE(B12666, ""zh"", ""en"")"),"Just good attention for a long time, has been entangled choose s code or m code, I 170,75 kg, S code of the last election. Only midfielder feeling a little short point, other Sleeve, just stomach (sleeve a little fat)")</f>
        <v>Just good attention for a long time, has been entangled choose s code or m code, I 170,75 kg, S code of the last election. Only midfielder feeling a little short point, other Sleeve, just stomach (sleeve a little fat)</v>
      </c>
    </row>
    <row r="12667">
      <c r="A12667" s="1">
        <v>5.0</v>
      </c>
      <c r="B12667" s="1" t="s">
        <v>12551</v>
      </c>
      <c r="C12667" t="str">
        <f>IFERROR(__xludf.DUMMYFUNCTION("GOOGLETRANSLATE(B12667, ""zh"", ""en"")"),"Shoes to wear very comfortable, very light, very standard size is very fit.")</f>
        <v>Shoes to wear very comfortable, very light, very standard size is very fit.</v>
      </c>
    </row>
    <row r="12668">
      <c r="A12668" s="1">
        <v>5.0</v>
      </c>
      <c r="B12668" s="1" t="s">
        <v>12552</v>
      </c>
      <c r="C12668" t="str">
        <f>IFERROR(__xludf.DUMMYFUNCTION("GOOGLETRANSLATE(B12668, ""zh"", ""en"")"),"From fine not to evaluate before, do not know how many wasted points, points can change money now know, they should look carefully evaluated, then I put these words to copy to go, both to earn points, but also the easy way, where are copy where, most impo"&amp;"rtantly, do not seriously review, do not think how much worse word, sent directly to it, recommend it to everyone.")</f>
        <v>From fine not to evaluate before, do not know how many wasted points, points can change money now know, they should look carefully evaluated, then I put these words to copy to go, both to earn points, but also the easy way, where are copy where, most importantly, do not seriously review, do not think how much worse word, sent directly to it, recommend it to everyone.</v>
      </c>
    </row>
    <row r="12669">
      <c r="A12669" s="1">
        <v>5.0</v>
      </c>
      <c r="B12669" s="1" t="s">
        <v>12553</v>
      </c>
      <c r="C12669" t="str">
        <f>IFERROR(__xludf.DUMMYFUNCTION("GOOGLETRANSLATE(B12669, ""zh"", ""en"")"),"A good time to buy two sets, a set of black and white. I just to dental care, help clean the ordinary toothbrush easy to clean corners, to the family to help him clean up the annual tea tartar. Three weeks, white features really helped him improve dental "&amp;"status.")</f>
        <v>A good time to buy two sets, a set of black and white. I just to dental care, help clean the ordinary toothbrush easy to clean corners, to the family to help him clean up the annual tea tartar. Three weeks, white features really helped him improve dental status.</v>
      </c>
    </row>
    <row r="12670">
      <c r="A12670" s="1">
        <v>5.0</v>
      </c>
      <c r="B12670" s="1" t="s">
        <v>12554</v>
      </c>
      <c r="C12670" t="str">
        <f>IFERROR(__xludf.DUMMYFUNCTION("GOOGLETRANSLATE(B12670, ""zh"", ""en"")"),"Take heart comments than expected time of receipt of order as early as eight days, I received a No. 12.31 in the morning, very pleasantly surprised. Packing no reinforcement, the outside is only a courier bags (probably removed the reinforcement of good l"&amp;"uck when domestic transport), no shoebox almost intact, only a little bump marks, open shoebox, separated by two shoes wrapped wrapping paper up, which is good. Laos origin, color style models, refer to my first picture. Traces the overall workmanship is "&amp;"very smooth, oil Pippi more delicate quality, feels relatively soft, there are some grainy (not matte leather). Soles, dr.martens always soft, very flexible press down, do not taste cheap glue and rubber. The only drawback is the code number is too large,"&amp;" usually 44 yards sports shoes, Red Wing, Timberland, cat code is 43, the result of this double-43 also appear larger. Insole is glued to the soles, the glue! The glue! After you let me how to change the insole! ! Touched, the insole is leather, the first"&amp;" layer of skin surge people comfortable smell, no taste inferior glue. Now they extra cushion insoles one pair of thin leather and prolong the life of what his original insole, the way to solve the problem of yardage is too large. Overall great! ! ! Incid"&amp;"entally girlfriend has not arrived navy blue, and the like followed by")</f>
        <v>Take heart comments than expected time of receipt of order as early as eight days, I received a No. 12.31 in the morning, very pleasantly surprised. Packing no reinforcement, the outside is only a courier bags (probably removed the reinforcement of good luck when domestic transport), no shoebox almost intact, only a little bump marks, open shoebox, separated by two shoes wrapped wrapping paper up, which is good. Laos origin, color style models, refer to my first picture. Traces the overall workmanship is very smooth, oil Pippi more delicate quality, feels relatively soft, there are some grainy (not matte leather). Soles, dr.martens always soft, very flexible press down, do not taste cheap glue and rubber. The only drawback is the code number is too large, usually 44 yards sports shoes, Red Wing, Timberland, cat code is 43, the result of this double-43 also appear larger. Insole is glued to the soles, the glue! The glue! After you let me how to change the insole! ! Touched, the insole is leather, the first layer of skin surge people comfortable smell, no taste inferior glue. Now they extra cushion insoles one pair of thin leather and prolong the life of what his original insole, the way to solve the problem of yardage is too large. Overall great! ! ! Incidentally girlfriend has not arrived navy blue, and the like followed by</v>
      </c>
    </row>
    <row r="12671">
      <c r="A12671" s="1">
        <v>5.0</v>
      </c>
      <c r="B12671" s="1" t="s">
        <v>12555</v>
      </c>
      <c r="C12671" t="str">
        <f>IFERROR(__xludf.DUMMYFUNCTION("GOOGLETRANSLATE(B12671, ""zh"", ""en"")"),"Good leg after warm buy a smaller size just right, hem long, I had 160 to the ankle, Slim thin waist, below the waist more relaxed, still have to wear high-heeled shoes, clothes pretty good, a little bit heavy.")</f>
        <v>Good leg after warm buy a smaller size just right, hem long, I had 160 to the ankle, Slim thin waist, below the waist more relaxed, still have to wear high-heeled shoes, clothes pretty good, a little bit heavy.</v>
      </c>
    </row>
    <row r="12672">
      <c r="A12672" s="1">
        <v>2.0</v>
      </c>
      <c r="B12672" s="1" t="s">
        <v>12556</v>
      </c>
      <c r="C12672" t="str">
        <f>IFERROR(__xludf.DUMMYFUNCTION("GOOGLETRANSLATE(B12672, ""zh"", ""en"")"),"Bad design is very reasonable, but installed hot water taste, not to the baby with. Always believed this brand, this time disappointed")</f>
        <v>Bad design is very reasonable, but installed hot water taste, not to the baby with. Always believed this brand, this time disappointed</v>
      </c>
    </row>
    <row r="12673">
      <c r="A12673" s="1">
        <v>3.0</v>
      </c>
      <c r="B12673" s="1" t="s">
        <v>12557</v>
      </c>
      <c r="C12673" t="str">
        <f>IFERROR(__xludf.DUMMYFUNCTION("GOOGLETRANSLATE(B12673, ""zh"", ""en"")"),"real or fake? Seeking doubts bought in the United States and Asia once again in Central Asia and overseas to buy a bottle, suddenly found that the shelf life of two bottles of different ways to print, the cover is also completely different, what the hell?")</f>
        <v>real or fake? Seeking doubts bought in the United States and Asia once again in Central Asia and overseas to buy a bottle, suddenly found that the shelf life of two bottles of different ways to print, the cover is also completely different, what the hell?</v>
      </c>
    </row>
    <row r="12674">
      <c r="A12674" s="1">
        <v>3.0</v>
      </c>
      <c r="B12674" s="1" t="s">
        <v>12558</v>
      </c>
      <c r="C12674" t="str">
        <f>IFERROR(__xludf.DUMMYFUNCTION("GOOGLETRANSLATE(B12674, ""zh"", ""en"")"),"Due to expire in December, depressed, and bought a total of 4, it was too late 😱")</f>
        <v>Due to expire in December, depressed, and bought a total of 4, it was too late 😱</v>
      </c>
    </row>
    <row r="12675">
      <c r="A12675" s="1">
        <v>1.0</v>
      </c>
      <c r="B12675" s="1" t="s">
        <v>12559</v>
      </c>
      <c r="C12675" t="str">
        <f>IFERROR(__xludf.DUMMYFUNCTION("GOOGLETRANSLATE(B12675, ""zh"", ""en"")"),"Has been scrapped in November 2015 19 Kusakabe single, scrapped in February 2017, speechless.")</f>
        <v>Has been scrapped in November 2015 19 Kusakabe single, scrapped in February 2017, speechless.</v>
      </c>
    </row>
    <row r="12676">
      <c r="A12676" s="1">
        <v>1.0</v>
      </c>
      <c r="B12676" s="1" t="s">
        <v>12560</v>
      </c>
      <c r="C12676" t="str">
        <f>IFERROR(__xludf.DUMMYFUNCTION("GOOGLETRANSLATE(B12676, ""zh"", ""en"")"),"Quality Quality is not, are rotten")</f>
        <v>Quality Quality is not, are rotten</v>
      </c>
    </row>
    <row r="12677">
      <c r="A12677" s="1">
        <v>1.0</v>
      </c>
      <c r="B12677" s="1" t="s">
        <v>12561</v>
      </c>
      <c r="C12677" t="str">
        <f>IFERROR(__xludf.DUMMYFUNCTION("GOOGLETRANSLATE(B12677, ""zh"", ""en"")"),"Given the size of the control code simply is not right! ! ! According to that buy large you can not wear! Given the size of the control code simply is not right! ! ! According to that buy large you can not wear! You have to return the money. consider care"&amp;"fully!")</f>
        <v>Given the size of the control code simply is not right! ! ! According to that buy large you can not wear! Given the size of the control code simply is not right! ! ! According to that buy large you can not wear! You have to return the money. consider carefully!</v>
      </c>
    </row>
    <row r="12678">
      <c r="A12678" s="1">
        <v>4.0</v>
      </c>
      <c r="B12678" s="1" t="s">
        <v>12562</v>
      </c>
      <c r="C12678" t="str">
        <f>IFERROR(__xludf.DUMMYFUNCTION("GOOGLETRANSLATE(B12678, ""zh"", ""en"")"),"We can not put some protection filler used for? Americans do not know is the lack of acting or the extent of their products particularly strong at ease, so much product on a courier box, and no foam or filler, so bam all the way from the US to China? Disk"&amp;" problems are not afraid to shake? Open on even be usable, but can not guarantee that there is no functional damage. Bought only to find mac system does not support automatic backup, anyway, still a little disappointed.")</f>
        <v>We can not put some protection filler used for? Americans do not know is the lack of acting or the extent of their products particularly strong at ease, so much product on a courier box, and no foam or filler, so bam all the way from the US to China? Disk problems are not afraid to shake? Open on even be usable, but can not guarantee that there is no functional damage. Bought only to find mac system does not support automatic backup, anyway, still a little disappointed.</v>
      </c>
    </row>
    <row r="12679">
      <c r="A12679" s="1">
        <v>4.0</v>
      </c>
      <c r="B12679" s="1" t="s">
        <v>12563</v>
      </c>
      <c r="C12679" t="str">
        <f>IFERROR(__xludf.DUMMYFUNCTION("GOOGLETRANSLATE(B12679, ""zh"", ""en"")"),"Can not tell whether it is genuine okay, send something over, only wind up the package, can not tell if sent from abroad, there is no box identification may prove whether it is genuine! I say realistic these words!")</f>
        <v>Can not tell whether it is genuine okay, send something over, only wind up the package, can not tell if sent from abroad, there is no box identification may prove whether it is genuine! I say realistic these words!</v>
      </c>
    </row>
    <row r="12680">
      <c r="A12680" s="1">
        <v>4.0</v>
      </c>
      <c r="B12680" s="1" t="s">
        <v>12564</v>
      </c>
      <c r="C12680" t="str">
        <f>IFERROR(__xludf.DUMMYFUNCTION("GOOGLETRANSLATE(B12680, ""zh"", ""en"")"),"The first overseas purchase for the first time overseas purchase, know the US version of the clothes are a little bigger. At the same time buy the same brand, S and M two numbers, just want to try. The first to the S shirt. I 174CM, 74KG, Bust 98CM. Wear "&amp;"on the body fit so well, that is not rich, I do not feel tight. As the shirt should be said. But if then a little fat the better. Clothes good texture, not the kind of particularly thin, very comfortable to wear on the body. Also bought a piece of outer w"&amp;"ear short-sleeved T-shirt, M's, have not arrived. To try next. I hope everyone has to help.")</f>
        <v>The first overseas purchase for the first time overseas purchase, know the US version of the clothes are a little bigger. At the same time buy the same brand, S and M two numbers, just want to try. The first to the S shirt. I 174CM, 74KG, Bust 98CM. Wear on the body fit so well, that is not rich, I do not feel tight. As the shirt should be said. But if then a little fat the better. Clothes good texture, not the kind of particularly thin, very comfortable to wear on the body. Also bought a piece of outer wear short-sleeved T-shirt, M's, have not arrived. To try next. I hope everyone has to help.</v>
      </c>
    </row>
    <row r="12681">
      <c r="A12681" s="1">
        <v>4.0</v>
      </c>
      <c r="B12681" s="1" t="s">
        <v>12565</v>
      </c>
      <c r="C12681" t="str">
        <f>IFERROR(__xludf.DUMMYFUNCTION("GOOGLETRANSLATE(B12681, ""zh"", ""en"")"),"The appearance of bright, hard soles, affordable stylish color Sao gas, work should be strengthened (at the front toes have excess glue), her foot wrapped good test run in front of a few kilometers hard soles, foot feeling more than ten kilometers to go s"&amp;"oft, need to continue running")</f>
        <v>The appearance of bright, hard soles, affordable stylish color Sao gas, work should be strengthened (at the front toes have excess glue), her foot wrapped good test run in front of a few kilometers hard soles, foot feeling more than ten kilometers to go soft, need to continue running</v>
      </c>
    </row>
    <row r="12682">
      <c r="A12682" s="1">
        <v>4.0</v>
      </c>
      <c r="B12682" s="1" t="s">
        <v>12566</v>
      </c>
      <c r="C12682" t="str">
        <f>IFERROR(__xludf.DUMMYFUNCTION("GOOGLETRANSLATE(B12682, ""zh"", ""en"")"),"Also legendary artifact, read a long time, or bought. Mostly I've broke several bottles Pigeon, look at this bottle is not afraid to break to buy, not a long time about a week received. As it is not genuine do not know, for the first time scouring the sea"&amp;". It receives taste a little bit, not after the boiling water, and equipped with a handle for himself otherwise it will not hold")</f>
        <v>Also legendary artifact, read a long time, or bought. Mostly I've broke several bottles Pigeon, look at this bottle is not afraid to break to buy, not a long time about a week received. As it is not genuine do not know, for the first time scouring the sea. It receives taste a little bit, not after the boiling water, and equipped with a handle for himself otherwise it will not hold</v>
      </c>
    </row>
    <row r="12683">
      <c r="A12683" s="1">
        <v>5.0</v>
      </c>
      <c r="B12683" s="1" t="s">
        <v>12567</v>
      </c>
      <c r="C12683" t="str">
        <f>IFERROR(__xludf.DUMMYFUNCTION("GOOGLETRANSLATE(B12683, ""zh"", ""en"")"),"Nice leather bag is quite soft, the price is affordable, made in Italy. Household good")</f>
        <v>Nice leather bag is quite soft, the price is affordable, made in Italy. Household good</v>
      </c>
    </row>
    <row r="12684">
      <c r="A12684" s="1">
        <v>5.0</v>
      </c>
      <c r="B12684" s="1" t="s">
        <v>12568</v>
      </c>
      <c r="C12684" t="str">
        <f>IFERROR(__xludf.DUMMYFUNCTION("GOOGLETRANSLATE(B12684, ""zh"", ""en"")"),"The first overseas purchase very good quality, cheaper than too much of a treasure, although a bit slow in the express limitation, but in terms of absolute price advantage occupation, the price on a treasure can only buy a , but more pity that the suit ca"&amp;"n only be a way of color, did not have a choice. Received a bottle open looked, the quality is definitely not have to say, also feels super comfortable, very like the future will indeed give priority to overseas shopping.")</f>
        <v>The first overseas purchase very good quality, cheaper than too much of a treasure, although a bit slow in the express limitation, but in terms of absolute price advantage occupation, the price on a treasure can only buy a , but more pity that the suit can only be a way of color, did not have a choice. Received a bottle open looked, the quality is definitely not have to say, also feels super comfortable, very like the future will indeed give priority to overseas shopping.</v>
      </c>
    </row>
    <row r="12685">
      <c r="A12685" s="1">
        <v>5.0</v>
      </c>
      <c r="B12685" s="1" t="s">
        <v>12569</v>
      </c>
      <c r="C12685" t="str">
        <f>IFERROR(__xludf.DUMMYFUNCTION("GOOGLETRANSLATE(B12685, ""zh"", ""en"")"),"Bought a lot of good baby, the baby not to spend, but it feels pretty good")</f>
        <v>Bought a lot of good baby, the baby not to spend, but it feels pretty good</v>
      </c>
    </row>
    <row r="12686">
      <c r="A12686" s="1">
        <v>5.0</v>
      </c>
      <c r="B12686" s="1" t="s">
        <v>12570</v>
      </c>
      <c r="C12686" t="str">
        <f>IFERROR(__xludf.DUMMYFUNCTION("GOOGLETRANSLATE(B12686, ""zh"", ""en"")"),"Good good good good good good good good good good good")</f>
        <v>Good good good good good good good good good good good</v>
      </c>
    </row>
    <row r="12687">
      <c r="A12687" s="1">
        <v>5.0</v>
      </c>
      <c r="B12687" s="1" t="s">
        <v>12571</v>
      </c>
      <c r="C12687" t="str">
        <f>IFERROR(__xludf.DUMMYFUNCTION("GOOGLETRANSLATE(B12687, ""zh"", ""en"")"),"Probiotics can also be cheaper than Taobao.")</f>
        <v>Probiotics can also be cheaper than Taobao.</v>
      </c>
    </row>
    <row r="12688">
      <c r="A12688" s="1">
        <v>5.0</v>
      </c>
      <c r="B12688" s="1" t="s">
        <v>12572</v>
      </c>
      <c r="C12688" t="str">
        <f>IFERROR(__xludf.DUMMYFUNCTION("GOOGLETRANSLATE(B12688, ""zh"", ""en"")"),"Soft and flexible brush really well, always use a small brush before, this very large soft brush them cool.")</f>
        <v>Soft and flexible brush really well, always use a small brush before, this very large soft brush them cool.</v>
      </c>
    </row>
    <row r="12689">
      <c r="A12689" s="1">
        <v>5.0</v>
      </c>
      <c r="B12689" s="1" t="s">
        <v>12573</v>
      </c>
      <c r="C12689" t="str">
        <f>IFERROR(__xludf.DUMMYFUNCTION("GOOGLETRANSLATE(B12689, ""zh"", ""en"")"),"Good very, very can hold, holding it like a general")</f>
        <v>Good very, very can hold, holding it like a general</v>
      </c>
    </row>
    <row r="12690">
      <c r="A12690" s="1">
        <v>5.0</v>
      </c>
      <c r="B12690" s="1" t="s">
        <v>12574</v>
      </c>
      <c r="C12690" t="str">
        <f>IFERROR(__xludf.DUMMYFUNCTION("GOOGLETRANSLATE(B12690, ""zh"", ""en"")"),"Good clothes! 157 tall, 88 pounds, L can wear, a little loose, but not hypertrophy, was strictly speaking not oversize models, like leisure section. Shoulder not collapse shoulder, Length can cover the upper half of the hip. With me nearly as high, some m"&amp;"ay want to choose self m. White color belongs to, what I want!")</f>
        <v>Good clothes! 157 tall, 88 pounds, L can wear, a little loose, but not hypertrophy, was strictly speaking not oversize models, like leisure section. Shoulder not collapse shoulder, Length can cover the upper half of the hip. With me nearly as high, some may want to choose self m. White color belongs to, what I want!</v>
      </c>
    </row>
    <row r="12691">
      <c r="A12691" s="1">
        <v>5.0</v>
      </c>
      <c r="B12691" s="1" t="s">
        <v>12575</v>
      </c>
      <c r="C12691" t="str">
        <f>IFERROR(__xludf.DUMMYFUNCTION("GOOGLETRANSLATE(B12691, ""zh"", ""en"")"),"CK slim good fabric, elastic, Slim version, a little tight")</f>
        <v>CK slim good fabric, elastic, Slim version, a little tight</v>
      </c>
    </row>
    <row r="12692">
      <c r="A12692" s="1">
        <v>5.0</v>
      </c>
      <c r="B12692" s="1" t="s">
        <v>12576</v>
      </c>
      <c r="C12692" t="str">
        <f>IFERROR(__xludf.DUMMYFUNCTION("GOOGLETRANSLATE(B12692, ""zh"", ""en"")"),"Good good, like the little narrow side of CK")</f>
        <v>Good good, like the little narrow side of CK</v>
      </c>
    </row>
    <row r="12693">
      <c r="A12693" s="1">
        <v>5.0</v>
      </c>
      <c r="B12693" s="1" t="s">
        <v>12577</v>
      </c>
      <c r="C12693" t="str">
        <f>IFERROR(__xludf.DUMMYFUNCTION("GOOGLETRANSLATE(B12693, ""zh"", ""en"")"),"Height 170cm, weight 56kg, M is very appropriate, for reference! Read the first order evaluation, reference mostly recommended to buy the M code, orders Tuesday, Saturday delivery, packaging rigorous Nichia, clothes texture work are good, upper body size "&amp;"just right, my height 170cm, weight 56kg, slim build , slightly larger skeleton, shoulders and sleeves being just, loose hoodies degree is also good for reference!")</f>
        <v>Height 170cm, weight 56kg, M is very appropriate, for reference! Read the first order evaluation, reference mostly recommended to buy the M code, orders Tuesday, Saturday delivery, packaging rigorous Nichia, clothes texture work are good, upper body size just right, my height 170cm, weight 56kg, slim build , slightly larger skeleton, shoulders and sleeves being just, loose hoodies degree is also good for reference!</v>
      </c>
    </row>
    <row r="12694">
      <c r="A12694" s="1">
        <v>5.0</v>
      </c>
      <c r="B12694" s="1" t="s">
        <v>12578</v>
      </c>
      <c r="C12694" t="str">
        <f>IFERROR(__xludf.DUMMYFUNCTION("GOOGLETRANSLATE(B12694, ""zh"", ""en"")"),"Yes, this dress is the European and American style is very relaxed, very comfortable I feel good")</f>
        <v>Yes, this dress is the European and American style is very relaxed, very comfortable I feel good</v>
      </c>
    </row>
    <row r="12695">
      <c r="A12695" s="1">
        <v>5.0</v>
      </c>
      <c r="B12695" s="1" t="s">
        <v>12579</v>
      </c>
      <c r="C12695" t="str">
        <f>IFERROR(__xludf.DUMMYFUNCTION("GOOGLETRANSLATE(B12695, ""zh"", ""en"")"),"Fit, material is also very good. Genuine, material is also very good fit. The only downside freight logistics too do not fly, delayed for several days.")</f>
        <v>Fit, material is also very good. Genuine, material is also very good fit. The only downside freight logistics too do not fly, delayed for several days.</v>
      </c>
    </row>
    <row r="12696">
      <c r="A12696" s="1">
        <v>5.0</v>
      </c>
      <c r="B12696" s="1" t="s">
        <v>12580</v>
      </c>
      <c r="C12696" t="str">
        <f>IFERROR(__xludf.DUMMYFUNCTION("GOOGLETRANSLATE(B12696, ""zh"", ""en"")"),"Colleagues recommended I finally receive the baby needs, and something good, affordable American, thank you dispensers! Indeed, this is my Taobao to make my most satisfying time shopping. Whether it is the attitude of the treasurer or on items, I'm very s"&amp;"atisfied. Treasurer attitude is very professional and friendly, answer, reply quickly, I asked a lot of questions, he does not feel tired, I will carefully answer, which I express my sincere tribute to the treasurer, the treasurer can be such a good littl"&amp;"e . Besides baby, just what I needed, when received packaging intact, after opening my surprise, the baby better than I imagined! Shall not thumbs up. Next time I need will come again, that time of trouble treasurer give preferential Oh!")</f>
        <v>Colleagues recommended I finally receive the baby needs, and something good, affordable American, thank you dispensers! Indeed, this is my Taobao to make my most satisfying time shopping. Whether it is the attitude of the treasurer or on items, I'm very satisfied. Treasurer attitude is very professional and friendly, answer, reply quickly, I asked a lot of questions, he does not feel tired, I will carefully answer, which I express my sincere tribute to the treasurer, the treasurer can be such a good little . Besides baby, just what I needed, when received packaging intact, after opening my surprise, the baby better than I imagined! Shall not thumbs up. Next time I need will come again, that time of trouble treasurer give preferential Oh!</v>
      </c>
    </row>
    <row r="12697">
      <c r="A12697" s="1">
        <v>5.0</v>
      </c>
      <c r="B12697" s="1" t="s">
        <v>12581</v>
      </c>
      <c r="C12697" t="str">
        <f>IFERROR(__xludf.DUMMYFUNCTION("GOOGLETRANSLATE(B12697, ""zh"", ""en"")"),"Size a little heavy ~")</f>
        <v>Size a little heavy ~</v>
      </c>
    </row>
    <row r="12698">
      <c r="A12698" s="1">
        <v>5.0</v>
      </c>
      <c r="B12698" s="1" t="s">
        <v>12582</v>
      </c>
      <c r="C12698" t="str">
        <f>IFERROR(__xludf.DUMMYFUNCTION("GOOGLETRANSLATE(B12698, ""zh"", ""en"")"),"Workmanship than expected, shoe size just six days served, rapidly. Some damaged box, shoes work well, leather soft and delicate, 42 yards just right, a little hard soles, foot feeling is good, in short, more than expected, while one pair still on the roa"&amp;"d, hoping to surprise.")</f>
        <v>Workmanship than expected, shoe size just six days served, rapidly. Some damaged box, shoes work well, leather soft and delicate, 42 yards just right, a little hard soles, foot feeling is good, in short, more than expected, while one pair still on the road, hoping to surprise.</v>
      </c>
    </row>
    <row r="12699">
      <c r="A12699" s="1">
        <v>5.0</v>
      </c>
      <c r="B12699" s="1" t="s">
        <v>12583</v>
      </c>
      <c r="C12699" t="str">
        <f>IFERROR(__xludf.DUMMYFUNCTION("GOOGLETRANSLATE(B12699, ""zh"", ""en"")"),"Good brand good! Affordable, many purchased.")</f>
        <v>Good brand good! Affordable, many purchased.</v>
      </c>
    </row>
    <row r="12700">
      <c r="A12700" s="1">
        <v>5.0</v>
      </c>
      <c r="B12700" s="1" t="s">
        <v>12584</v>
      </c>
      <c r="C12700" t="str">
        <f>IFERROR(__xludf.DUMMYFUNCTION("GOOGLETRANSLATE(B12700, ""zh"", ""en"")"),"Good quality, slightly nike airforce44 code, the length of a 44 bit long code, does not affect the wear. Good quality, much cheaper than domestic, fraction.")</f>
        <v>Good quality, slightly nike airforce44 code, the length of a 44 bit long code, does not affect the wear. Good quality, much cheaper than domestic, fraction.</v>
      </c>
    </row>
    <row r="12701">
      <c r="A12701" s="1">
        <v>5.0</v>
      </c>
      <c r="B12701" s="1" t="s">
        <v>12585</v>
      </c>
      <c r="C12701" t="str">
        <f>IFERROR(__xludf.DUMMYFUNCTION("GOOGLETRANSLATE(B12701, ""zh"", ""en"")"),"Yes something good courier is very good value for money.? ? ? A total of nearly 20 days, etc.")</f>
        <v>Yes something good courier is very good value for money.? ? ? A total of nearly 20 days, etc.</v>
      </c>
    </row>
    <row r="12702">
      <c r="A12702" s="1">
        <v>5.0</v>
      </c>
      <c r="B12702" s="1" t="s">
        <v>12586</v>
      </c>
      <c r="C12702" t="str">
        <f>IFERROR(__xludf.DUMMYFUNCTION("GOOGLETRANSLATE(B12702, ""zh"", ""en"")"),"Very good very good bottle, the hand 146, a country can not buy.")</f>
        <v>Very good very good bottle, the hand 146, a country can not buy.</v>
      </c>
    </row>
    <row r="12703">
      <c r="A12703" s="1">
        <v>5.0</v>
      </c>
      <c r="B12703" s="1" t="s">
        <v>12587</v>
      </c>
      <c r="C12703" t="str">
        <f>IFERROR(__xludf.DUMMYFUNCTION("GOOGLETRANSLATE(B12703, ""zh"", ""en"")"),"Of good quality, ready to buy one of good quality, ready to buy one")</f>
        <v>Of good quality, ready to buy one of good quality, ready to buy one</v>
      </c>
    </row>
    <row r="12704">
      <c r="A12704" s="1">
        <v>5.0</v>
      </c>
      <c r="B12704" s="1" t="s">
        <v>12588</v>
      </c>
      <c r="C12704" t="str">
        <f>IFERROR(__xludf.DUMMYFUNCTION("GOOGLETRANSLATE(B12704, ""zh"", ""en"")"),"Yeah I'm fit neck 170cm 63kg wear M a little tight")</f>
        <v>Yeah I'm fit neck 170cm 63kg wear M a little tight</v>
      </c>
    </row>
    <row r="12705">
      <c r="A12705" s="1">
        <v>2.0</v>
      </c>
      <c r="B12705" s="1" t="s">
        <v>12589</v>
      </c>
      <c r="C12705" t="str">
        <f>IFERROR(__xludf.DUMMYFUNCTION("GOOGLETRANSLATE(B12705, ""zh"", ""en"")"),"Depressed poor water, but can not be returned, it is depressing!")</f>
        <v>Depressed poor water, but can not be returned, it is depressing!</v>
      </c>
    </row>
    <row r="12706">
      <c r="A12706" s="1">
        <v>3.0</v>
      </c>
      <c r="B12706" s="1" t="s">
        <v>12590</v>
      </c>
      <c r="C12706" t="str">
        <f>IFERROR(__xludf.DUMMYFUNCTION("GOOGLETRANSLATE(B12706, ""zh"", ""en"")"),"Zygote does not seal it? A wonderful not sealed too, all powder out of the jar")</f>
        <v>Zygote does not seal it? A wonderful not sealed too, all powder out of the jar</v>
      </c>
    </row>
    <row r="12707">
      <c r="A12707" s="1">
        <v>3.0</v>
      </c>
      <c r="B12707" s="1" t="s">
        <v>12591</v>
      </c>
      <c r="C12707" t="str">
        <f>IFERROR(__xludf.DUMMYFUNCTION("GOOGLETRANSLATE(B12707, ""zh"", ""en"")"),"Hard fabrics too hard, it is too hard")</f>
        <v>Hard fabrics too hard, it is too hard</v>
      </c>
    </row>
    <row r="12708">
      <c r="A12708" s="1">
        <v>3.0</v>
      </c>
      <c r="B12708" s="1" t="s">
        <v>12592</v>
      </c>
      <c r="C12708" t="str">
        <f>IFERROR(__xludf.DUMMYFUNCTION("GOOGLETRANSLATE(B12708, ""zh"", ""en"")"),"Like a general because they have spent a lot of brands in Japan, so there is no feeling after the pen hand particularly stunning, but is produced in Mexico pen is rare, usually casually write can feel a long time ~")</f>
        <v>Like a general because they have spent a lot of brands in Japan, so there is no feeling after the pen hand particularly stunning, but is produced in Mexico pen is rare, usually casually write can feel a long time ~</v>
      </c>
    </row>
    <row r="12709">
      <c r="A12709" s="1">
        <v>1.0</v>
      </c>
      <c r="B12709" s="1" t="s">
        <v>12593</v>
      </c>
      <c r="C12709" t="str">
        <f>IFERROR(__xludf.DUMMYFUNCTION("GOOGLETRANSLATE(B12709, ""zh"", ""en"")"),"No, not to put on two pairs are rotten rotten ah seconds might as well spread the goods but also drawing also drunk")</f>
        <v>No, not to put on two pairs are rotten rotten ah seconds might as well spread the goods but also drawing also drunk</v>
      </c>
    </row>
    <row r="12710">
      <c r="A12710" s="1">
        <v>1.0</v>
      </c>
      <c r="B12710" s="1" t="s">
        <v>12594</v>
      </c>
      <c r="C12710" t="str">
        <f>IFERROR(__xludf.DUMMYFUNCTION("GOOGLETRANSLATE(B12710, ""zh"", ""en"")"),"After the actual product description and inconsistent store did not send milk storage bags and customer service contact did not reply and the final product took twice before shipping now only four months still in stockpile")</f>
        <v>After the actual product description and inconsistent store did not send milk storage bags and customer service contact did not reply and the final product took twice before shipping now only four months still in stockpile</v>
      </c>
    </row>
    <row r="12711">
      <c r="A12711" s="1">
        <v>4.0</v>
      </c>
      <c r="B12711" s="1" t="s">
        <v>12595</v>
      </c>
      <c r="C12711" t="str">
        <f>IFERROR(__xludf.DUMMYFUNCTION("GOOGLETRANSLATE(B12711, ""zh"", ""en"")"),"Most of the 1000 spike headset low volume foot, but a superficial, not dragging its feet, the advantage is the sense of hearing is very fresh, not muddy, the disadvantage is the lack of some momentum. IF lack some weak, want to hear the sound of warm uncl"&amp;"e or bypass it.")</f>
        <v>Most of the 1000 spike headset low volume foot, but a superficial, not dragging its feet, the advantage is the sense of hearing is very fresh, not muddy, the disadvantage is the lack of some momentum. IF lack some weak, want to hear the sound of warm uncle or bypass it.</v>
      </c>
    </row>
    <row r="12712">
      <c r="A12712" s="1">
        <v>4.0</v>
      </c>
      <c r="B12712" s="1" t="s">
        <v>12596</v>
      </c>
      <c r="C12712" t="str">
        <f>IFERROR(__xludf.DUMMYFUNCTION("GOOGLETRANSLATE(B12712, ""zh"", ""en"")"),"Shoes are good shoes are good shoes, and the colors are much better looking than the pictures, but Amazon's overseas purchase may have flaws, this pair of shoes I have not put on a few lines, although not affect the wear, but affect mood, and finally and "&amp;"customer communication about pay me a hundred dollars.")</f>
        <v>Shoes are good shoes are good shoes, and the colors are much better looking than the pictures, but Amazon's overseas purchase may have flaws, this pair of shoes I have not put on a few lines, although not affect the wear, but affect mood, and finally and customer communication about pay me a hundred dollars.</v>
      </c>
    </row>
    <row r="12713">
      <c r="A12713" s="1">
        <v>4.0</v>
      </c>
      <c r="B12713" s="1" t="s">
        <v>12597</v>
      </c>
      <c r="C12713" t="str">
        <f>IFERROR(__xludf.DUMMYFUNCTION("GOOGLETRANSLATE(B12713, ""zh"", ""en"")"),"Yardage and slightly long, usually warm and comfortable to wear S code, M-L to buy some slightly long, the ankle will be some slack, the inner tube fluff, winter daytime sixty-seven individual degrees of warmth is enough that, overall soft and comfortable")</f>
        <v>Yardage and slightly long, usually warm and comfortable to wear S code, M-L to buy some slightly long, the ankle will be some slack, the inner tube fluff, winter daytime sixty-seven individual degrees of warmth is enough that, overall soft and comfortable</v>
      </c>
    </row>
    <row r="12714">
      <c r="A12714" s="1">
        <v>4.0</v>
      </c>
      <c r="B12714" s="1" t="s">
        <v>12598</v>
      </c>
      <c r="C12714" t="str">
        <f>IFERROR(__xludf.DUMMYFUNCTION("GOOGLETRANSLATE(B12714, ""zh"", ""en"")"),"So-so for three days earlier than expected, much lower price than the United States and Asia, at the foot soles have a few holes, not very satisfied, does not affect the wear, let it go")</f>
        <v>So-so for three days earlier than expected, much lower price than the United States and Asia, at the foot soles have a few holes, not very satisfied, does not affect the wear, let it go</v>
      </c>
    </row>
    <row r="12715">
      <c r="A12715" s="1">
        <v>4.0</v>
      </c>
      <c r="B12715" s="1" t="s">
        <v>12599</v>
      </c>
      <c r="C12715" t="str">
        <f>IFERROR(__xludf.DUMMYFUNCTION("GOOGLETRANSLATE(B12715, ""zh"", ""en"")"),"Good quality good bar, good quality to give dad.")</f>
        <v>Good quality good bar, good quality to give dad.</v>
      </c>
    </row>
    <row r="12716">
      <c r="A12716" s="1">
        <v>5.0</v>
      </c>
      <c r="B12716" s="1" t="s">
        <v>12600</v>
      </c>
      <c r="C12716" t="str">
        <f>IFERROR(__xludf.DUMMYFUNCTION("GOOGLETRANSLATE(B12716, ""zh"", ""en"")"),"Quality is very good quality is very good not to worry about broken baby likes to drink milk with this wide caliber cleaning up is also particularly convenient")</f>
        <v>Quality is very good quality is very good not to worry about broken baby likes to drink milk with this wide caliber cleaning up is also particularly convenient</v>
      </c>
    </row>
    <row r="12717">
      <c r="A12717" s="1">
        <v>5.0</v>
      </c>
      <c r="B12717" s="1" t="s">
        <v>12601</v>
      </c>
      <c r="C12717" t="str">
        <f>IFERROR(__xludf.DUMMYFUNCTION("GOOGLETRANSLATE(B12717, ""zh"", ""en"")"),"It looks good store goods, do not use it, looks good")</f>
        <v>It looks good store goods, do not use it, looks good</v>
      </c>
    </row>
    <row r="12718">
      <c r="A12718" s="1">
        <v>5.0</v>
      </c>
      <c r="B12718" s="1" t="s">
        <v>7221</v>
      </c>
      <c r="C12718" t="str">
        <f>IFERROR(__xludf.DUMMYFUNCTION("GOOGLETRANSLATE(B12718, ""zh"", ""en"")"),"A little bit of color, just generally feel out, look just fine on the upper body look good with color pictures, is too large")</f>
        <v>A little bit of color, just generally feel out, look just fine on the upper body look good with color pictures, is too large</v>
      </c>
    </row>
    <row r="12719">
      <c r="A12719" s="1">
        <v>5.0</v>
      </c>
      <c r="B12719" s="1" t="s">
        <v>12602</v>
      </c>
      <c r="C12719" t="str">
        <f>IFERROR(__xludf.DUMMYFUNCTION("GOOGLETRANSLATE(B12719, ""zh"", ""en"")"),"Like, comfortable, will buy again love, comfort, will buy again")</f>
        <v>Like, comfortable, will buy again love, comfort, will buy again</v>
      </c>
    </row>
    <row r="12720">
      <c r="A12720" s="1">
        <v>5.0</v>
      </c>
      <c r="B12720" s="1" t="s">
        <v>12603</v>
      </c>
      <c r="C12720" t="str">
        <f>IFERROR(__xludf.DUMMYFUNCTION("GOOGLETRANSLATE(B12720, ""zh"", ""en"")"),"Like worth buying, lightweight, comfortable to drink water")</f>
        <v>Like worth buying, lightweight, comfortable to drink water</v>
      </c>
    </row>
    <row r="12721">
      <c r="A12721" s="1">
        <v>5.0</v>
      </c>
      <c r="B12721" s="1" t="s">
        <v>12604</v>
      </c>
      <c r="C12721" t="str">
        <f>IFERROR(__xludf.DUMMYFUNCTION("GOOGLETRANSLATE(B12721, ""zh"", ""en"")"),"Very nice, very comfortable! 28.5cm feet usually buy us10.5 shoe size. ecco shoe size is too large, this time to buy 10-10.5, just to wear, shoes are very comfortable, good-looking! Cost-effective than domestic prices too much. . .")</f>
        <v>Very nice, very comfortable! 28.5cm feet usually buy us10.5 shoe size. ecco shoe size is too large, this time to buy 10-10.5, just to wear, shoes are very comfortable, good-looking! Cost-effective than domestic prices too much. . .</v>
      </c>
    </row>
    <row r="12722">
      <c r="A12722" s="1">
        <v>5.0</v>
      </c>
      <c r="B12722" s="1" t="s">
        <v>12605</v>
      </c>
      <c r="C12722" t="str">
        <f>IFERROR(__xludf.DUMMYFUNCTION("GOOGLETRANSLATE(B12722, ""zh"", ""en"")"),"Very much like the shoes very appropriate, wearing a very light, very comfortable.")</f>
        <v>Very much like the shoes very appropriate, wearing a very light, very comfortable.</v>
      </c>
    </row>
    <row r="12723">
      <c r="A12723" s="1">
        <v>5.0</v>
      </c>
      <c r="B12723" s="1" t="s">
        <v>12606</v>
      </c>
      <c r="C12723" t="str">
        <f>IFERROR(__xludf.DUMMYFUNCTION("GOOGLETRANSLATE(B12723, ""zh"", ""en"")"),"Clothes version rather long and rather long clothes version")</f>
        <v>Clothes version rather long and rather long clothes version</v>
      </c>
    </row>
    <row r="12724">
      <c r="A12724" s="1">
        <v>5.0</v>
      </c>
      <c r="B12724" s="1" t="s">
        <v>12607</v>
      </c>
      <c r="C12724" t="str">
        <f>IFERROR(__xludf.DUMMYFUNCTION("GOOGLETRANSLATE(B12724, ""zh"", ""en"")"),"Genuine Genuine Tiger mug Tiger mug dream of gravity, the color looks good!")</f>
        <v>Genuine Genuine Tiger mug Tiger mug dream of gravity, the color looks good!</v>
      </c>
    </row>
    <row r="12725">
      <c r="A12725" s="1">
        <v>5.0</v>
      </c>
      <c r="B12725" s="1" t="s">
        <v>12608</v>
      </c>
      <c r="C12725" t="str">
        <f>IFERROR(__xludf.DUMMYFUNCTION("GOOGLETRANSLATE(B12725, ""zh"", ""en"")"),"Good logistics fast things packed very good with a good son!")</f>
        <v>Good logistics fast things packed very good with a good son!</v>
      </c>
    </row>
    <row r="12726">
      <c r="A12726" s="1">
        <v>5.0</v>
      </c>
      <c r="B12726" s="1" t="s">
        <v>12609</v>
      </c>
      <c r="C12726" t="str">
        <f>IFERROR(__xludf.DUMMYFUNCTION("GOOGLETRANSLATE(B12726, ""zh"", ""en"")"),"Applicable to play a variety of milkshake, milkshake carrot, strawberry milkshake, milkshake banana, easy to carry. well")</f>
        <v>Applicable to play a variety of milkshake, milkshake carrot, strawberry milkshake, milkshake banana, easy to carry. well</v>
      </c>
    </row>
    <row r="12727">
      <c r="A12727" s="1">
        <v>5.0</v>
      </c>
      <c r="B12727" s="1" t="s">
        <v>12610</v>
      </c>
      <c r="C12727" t="str">
        <f>IFERROR(__xludf.DUMMYFUNCTION("GOOGLETRANSLATE(B12727, ""zh"", ""en"")"),"Good advantages: cheap, affordable Disadvantages: a little ugly, big numbers")</f>
        <v>Good advantages: cheap, affordable Disadvantages: a little ugly, big numbers</v>
      </c>
    </row>
    <row r="12728">
      <c r="A12728" s="1">
        <v>5.0</v>
      </c>
      <c r="B12728" s="1" t="s">
        <v>12611</v>
      </c>
      <c r="C12728" t="str">
        <f>IFERROR(__xludf.DUMMYFUNCTION("GOOGLETRANSLATE(B12728, ""zh"", ""en"")"),"Comfortable to wear very comfortable fit")</f>
        <v>Comfortable to wear very comfortable fit</v>
      </c>
    </row>
    <row r="12729">
      <c r="A12729" s="1">
        <v>5.0</v>
      </c>
      <c r="B12729" s="1" t="s">
        <v>12612</v>
      </c>
      <c r="C12729" t="str">
        <f>IFERROR(__xludf.DUMMYFUNCTION("GOOGLETRANSLATE(B12729, ""zh"", ""en"")"),"The handle is not rubber, and a large different feel wet cup looking okay, good wet cup large random with no work, but the glass is too wet, the wet cup dots buy meat with stir ~")</f>
        <v>The handle is not rubber, and a large different feel wet cup looking okay, good wet cup large random with no work, but the glass is too wet, the wet cup dots buy meat with stir ~</v>
      </c>
    </row>
    <row r="12730">
      <c r="A12730" s="1">
        <v>5.0</v>
      </c>
      <c r="B12730" s="1" t="s">
        <v>12613</v>
      </c>
      <c r="C12730" t="str">
        <f>IFERROR(__xludf.DUMMYFUNCTION("GOOGLETRANSLATE(B12730, ""zh"", ""en"")"),"Color beautiful and everything was perfect, the price is also very good! Charlie loves horses!")</f>
        <v>Color beautiful and everything was perfect, the price is also very good! Charlie loves horses!</v>
      </c>
    </row>
    <row r="12731">
      <c r="A12731" s="1">
        <v>5.0</v>
      </c>
      <c r="B12731" s="1" t="s">
        <v>12614</v>
      </c>
      <c r="C12731" t="str">
        <f>IFERROR(__xludf.DUMMYFUNCTION("GOOGLETRANSLATE(B12731, ""zh"", ""en"")"),"Bought for his family used to store data, use good! Capacity, the family bought used!")</f>
        <v>Bought for his family used to store data, use good! Capacity, the family bought used!</v>
      </c>
    </row>
    <row r="12732">
      <c r="A12732" s="1">
        <v>5.0</v>
      </c>
      <c r="B12732" s="1" t="s">
        <v>12615</v>
      </c>
      <c r="C12732" t="str">
        <f>IFERROR(__xludf.DUMMYFUNCTION("GOOGLETRANSLATE(B12732, ""zh"", ""en"")"),"WMF quality you pay is good, we pay for, very satisfied!")</f>
        <v>WMF quality you pay is good, we pay for, very satisfied!</v>
      </c>
    </row>
    <row r="12733">
      <c r="A12733" s="1">
        <v>5.0</v>
      </c>
      <c r="B12733" s="1" t="s">
        <v>12616</v>
      </c>
      <c r="C12733" t="str">
        <f>IFERROR(__xludf.DUMMYFUNCTION("GOOGLETRANSLATE(B12733, ""zh"", ""en"")"),"Very satisfied! Very satisfied with the shopping, the quality is very good")</f>
        <v>Very satisfied! Very satisfied with the shopping, the quality is very good</v>
      </c>
    </row>
    <row r="12734">
      <c r="A12734" s="1">
        <v>5.0</v>
      </c>
      <c r="B12734" s="1" t="s">
        <v>12617</v>
      </c>
      <c r="C12734" t="str">
        <f>IFERROR(__xludf.DUMMYFUNCTION("GOOGLETRANSLATE(B12734, ""zh"", ""en"")"),"Recommend buying copy speed at about 80 pe, can also speed. Shape than the picture look good, more refined. Plug is a clear beep, do not know whether it is a case. Lastly, I hope life long point, overseas purchase warranty is a problem.")</f>
        <v>Recommend buying copy speed at about 80 pe, can also speed. Shape than the picture look good, more refined. Plug is a clear beep, do not know whether it is a case. Lastly, I hope life long point, overseas purchase warranty is a problem.</v>
      </c>
    </row>
    <row r="12735">
      <c r="A12735" s="1">
        <v>5.0</v>
      </c>
      <c r="B12735" s="1" t="s">
        <v>12618</v>
      </c>
      <c r="C12735" t="str">
        <f>IFERROR(__xludf.DUMMYFUNCTION("GOOGLETRANSLATE(B12735, ""zh"", ""en"")"),"Bought a size too large, my height 176, generally in the country to buy 180 / 96A of clothes, this time to buy the XL, size is too large, that is, 175 L of feeling should be appropriate")</f>
        <v>Bought a size too large, my height 176, generally in the country to buy 180 / 96A of clothes, this time to buy the XL, size is too large, that is, 175 L of feeling should be appropriate</v>
      </c>
    </row>
    <row r="12736">
      <c r="A12736" s="1">
        <v>5.0</v>
      </c>
      <c r="B12736" s="1" t="s">
        <v>12619</v>
      </c>
      <c r="C12736" t="str">
        <f>IFERROR(__xludf.DUMMYFUNCTION("GOOGLETRANSLATE(B12736, ""zh"", ""en"")"),"Cost-effective toothbrush head compact and convenient to brush their teeth is not easy to brush off the feet of a small angle, I believe Braun's overseas purchase quality!")</f>
        <v>Cost-effective toothbrush head compact and convenient to brush their teeth is not easy to brush off the feet of a small angle, I believe Braun's overseas purchase quality!</v>
      </c>
    </row>
    <row r="12737">
      <c r="A12737" s="1">
        <v>2.0</v>
      </c>
      <c r="B12737" s="1" t="s">
        <v>12620</v>
      </c>
      <c r="C12737" t="str">
        <f>IFERROR(__xludf.DUMMYFUNCTION("GOOGLETRANSLATE(B12737, ""zh"", ""en"")"),"Is not insulation is not insulation, not really")</f>
        <v>Is not insulation is not insulation, not really</v>
      </c>
    </row>
    <row r="12738">
      <c r="A12738" s="1">
        <v>3.0</v>
      </c>
      <c r="B12738" s="1" t="s">
        <v>12621</v>
      </c>
      <c r="C12738" t="str">
        <f>IFERROR(__xludf.DUMMYFUNCTION("GOOGLETRANSLATE(B12738, ""zh"", ""en"")"),"Fabrics are generally cheap and buy a standard design, the fabric is estimated that wearing a summer wash out of shape")</f>
        <v>Fabrics are generally cheap and buy a standard design, the fabric is estimated that wearing a summer wash out of shape</v>
      </c>
    </row>
    <row r="12739">
      <c r="A12739" s="1">
        <v>3.0</v>
      </c>
      <c r="B12739" s="1" t="s">
        <v>12622</v>
      </c>
      <c r="C12739" t="str">
        <f>IFERROR(__xludf.DUMMYFUNCTION("GOOGLETRANSLATE(B12739, ""zh"", ""en"")"),"Please do not reuse this Asics insoles it! Asics good impression comes from that section of the nimbus 2016. I was surprised to ten days of continuous wear does not stink, shoes Ye Hao, foot or whatever, does not stink! Of course, it is winter, but I wear"&amp;" sports daily, the amount of sweat foot, no less, indicating that section of the shoe is really good, especially the insole, the work is impressive. I washed many times, good toughness, abrasion is there, step on the worst part of six months to a year to "&amp;"really slowly with the gap, but still does not affect use. Either use frequency is too high, foot wear and tear on both sides of the final break, I was not willing to throw in. I later bought the contrast of these two, I was skeptical to buy a fake, after"&amp;" reading a review, indeed proposed new Asics insoles criticism - cover their feet, poor ventilation, travel wear, evening hotel off shoes, soles of the feet were white, and really do not understand why the Asics to use this insole! Because of this more th"&amp;"an 2016 models easy to wear it? I do not like! This is a shoe I really do not like, in addition to insoles poor ventilation, breathability buy itself before the shoe can not compare the two.")</f>
        <v>Please do not reuse this Asics insoles it! Asics good impression comes from that section of the nimbus 2016. I was surprised to ten days of continuous wear does not stink, shoes Ye Hao, foot or whatever, does not stink! Of course, it is winter, but I wear sports daily, the amount of sweat foot, no less, indicating that section of the shoe is really good, especially the insole, the work is impressive. I washed many times, good toughness, abrasion is there, step on the worst part of six months to a year to really slowly with the gap, but still does not affect use. Either use frequency is too high, foot wear and tear on both sides of the final break, I was not willing to throw in. I later bought the contrast of these two, I was skeptical to buy a fake, after reading a review, indeed proposed new Asics insoles criticism - cover their feet, poor ventilation, travel wear, evening hotel off shoes, soles of the feet were white, and really do not understand why the Asics to use this insole! Because of this more than 2016 models easy to wear it? I do not like! This is a shoe I really do not like, in addition to insoles poor ventilation, breathability buy itself before the shoe can not compare the two.</v>
      </c>
    </row>
    <row r="12740">
      <c r="A12740" s="1">
        <v>1.0</v>
      </c>
      <c r="B12740" s="1" t="s">
        <v>12623</v>
      </c>
      <c r="C12740" t="str">
        <f>IFERROR(__xludf.DUMMYFUNCTION("GOOGLETRANSLATE(B12740, ""zh"", ""en"")"),"Where are these crooks cartridge production date")</f>
        <v>Where are these crooks cartridge production date</v>
      </c>
    </row>
    <row r="12741">
      <c r="A12741" s="1">
        <v>1.0</v>
      </c>
      <c r="B12741" s="1" t="s">
        <v>12624</v>
      </c>
      <c r="C12741" t="str">
        <f>IFERROR(__xludf.DUMMYFUNCTION("GOOGLETRANSLATE(B12741, ""zh"", ""en"")"),"Where not practical and easy to clean, tasteless, do not buy")</f>
        <v>Where not practical and easy to clean, tasteless, do not buy</v>
      </c>
    </row>
    <row r="12742">
      <c r="A12742" s="1">
        <v>1.0</v>
      </c>
      <c r="B12742" s="1" t="s">
        <v>12625</v>
      </c>
      <c r="C12742" t="str">
        <f>IFERROR(__xludf.DUMMYFUNCTION("GOOGLETRANSLATE(B12742, ""zh"", ""en"")"),"Quality problems have a box that will be issued in frequency response even hum like a loose board when following the rapid, warranty or can you exchange")</f>
        <v>Quality problems have a box that will be issued in frequency response even hum like a loose board when following the rapid, warranty or can you exchange</v>
      </c>
    </row>
    <row r="12743">
      <c r="A12743" s="1">
        <v>4.0</v>
      </c>
      <c r="B12743" s="1" t="s">
        <v>12626</v>
      </c>
      <c r="C12743" t="str">
        <f>IFERROR(__xludf.DUMMYFUNCTION("GOOGLETRANSLATE(B12743, ""zh"", ""en"")"),"Moderate asked to buy the L model code on tb. Exactly. Weight 183, height 181. Very warm, very like, but easy to dirty, but also because the problem is not in the pocket of anti-wear.")</f>
        <v>Moderate asked to buy the L model code on tb. Exactly. Weight 183, height 181. Very warm, very like, but easy to dirty, but also because the problem is not in the pocket of anti-wear.</v>
      </c>
    </row>
    <row r="12744">
      <c r="A12744" s="1">
        <v>4.0</v>
      </c>
      <c r="B12744" s="1" t="s">
        <v>12627</v>
      </c>
      <c r="C12744" t="str">
        <f>IFERROR(__xludf.DUMMYFUNCTION("GOOGLETRANSLATE(B12744, ""zh"", ""en"")"),"170,75kg, more appropriate material is very comfortable, slightly longer sleeves. 170,75kg, more appropriate material is very comfortable, slightly longer sleeves.")</f>
        <v>170,75kg, more appropriate material is very comfortable, slightly longer sleeves. 170,75kg, more appropriate material is very comfortable, slightly longer sleeves.</v>
      </c>
    </row>
    <row r="12745">
      <c r="A12745" s="1">
        <v>4.0</v>
      </c>
      <c r="B12745" s="1" t="s">
        <v>9843</v>
      </c>
      <c r="C12745" t="str">
        <f>IFERROR(__xludf.DUMMYFUNCTION("GOOGLETRANSLATE(B12745, ""zh"", ""en"")"),". And the difference between the original head a little big, fonts are inconsistent, do not know is not genuine")</f>
        <v>. And the difference between the original head a little big, fonts are inconsistent, do not know is not genuine</v>
      </c>
    </row>
    <row r="12746">
      <c r="A12746" s="1">
        <v>4.0</v>
      </c>
      <c r="B12746" s="1" t="s">
        <v>12628</v>
      </c>
      <c r="C12746" t="str">
        <f>IFERROR(__xludf.DUMMYFUNCTION("GOOGLETRANSLATE(B12746, ""zh"", ""en"")"),"Good quality line")</f>
        <v>Good quality line</v>
      </c>
    </row>
    <row r="12747">
      <c r="A12747" s="1">
        <v>4.0</v>
      </c>
      <c r="B12747" s="1" t="s">
        <v>12629</v>
      </c>
      <c r="C12747" t="str">
        <f>IFERROR(__xludf.DUMMYFUNCTION("GOOGLETRANSLATE(B12747, ""zh"", ""en"")"),"Lack or excess fill will be a problem, and occasionally eat eat for some time, in addition to yellow urine, feeling nothing. Ready to stop time and then eat. Different physical person, so not every multivitamin own body are missing, and no shortage of vit"&amp;"amin itself and then you eat, the body is not good. Missing or supplement overdose are the problem. Occasionally eat it.")</f>
        <v>Lack or excess fill will be a problem, and occasionally eat eat for some time, in addition to yellow urine, feeling nothing. Ready to stop time and then eat. Different physical person, so not every multivitamin own body are missing, and no shortage of vitamin itself and then you eat, the body is not good. Missing or supplement overdose are the problem. Occasionally eat it.</v>
      </c>
    </row>
    <row r="12748">
      <c r="A12748" s="1">
        <v>5.0</v>
      </c>
      <c r="B12748" s="1" t="s">
        <v>12630</v>
      </c>
      <c r="C12748" t="str">
        <f>IFERROR(__xludf.DUMMYFUNCTION("GOOGLETRANSLATE(B12748, ""zh"", ""en"")"),"25cm 39-40 25cm equal to equal domestic domestic 39-40, I usually wear sneakers 38, bought a 25cm, obviously big, 24 should be the most appropriate, but when home shoes big point does not matter. Japan once again admire the packaging, although only a plas"&amp;"tic bag, but also fixed with plastic wrap, packaging beautifully!")</f>
        <v>25cm 39-40 25cm equal to equal domestic domestic 39-40, I usually wear sneakers 38, bought a 25cm, obviously big, 24 should be the most appropriate, but when home shoes big point does not matter. Japan once again admire the packaging, although only a plastic bag, but also fixed with plastic wrap, packaging beautifully!</v>
      </c>
    </row>
    <row r="12749">
      <c r="A12749" s="1">
        <v>5.0</v>
      </c>
      <c r="B12749" s="1" t="s">
        <v>12631</v>
      </c>
      <c r="C12749" t="str">
        <f>IFERROR(__xludf.DUMMYFUNCTION("GOOGLETRANSLATE(B12749, ""zh"", ""en"")"),"Good thing is a good thing, is the logistics too, too, too slow.")</f>
        <v>Good thing is a good thing, is the logistics too, too, too slow.</v>
      </c>
    </row>
    <row r="12750">
      <c r="A12750" s="1">
        <v>5.0</v>
      </c>
      <c r="B12750" s="1" t="s">
        <v>12632</v>
      </c>
      <c r="C12750" t="str">
        <f>IFERROR(__xludf.DUMMYFUNCTION("GOOGLETRANSLATE(B12750, ""zh"", ""en"")"),"No very good very texture")</f>
        <v>No very good very texture</v>
      </c>
    </row>
    <row r="12751">
      <c r="A12751" s="1">
        <v>5.0</v>
      </c>
      <c r="B12751" s="1" t="s">
        <v>12633</v>
      </c>
      <c r="C12751" t="str">
        <f>IFERROR(__xludf.DUMMYFUNCTION("GOOGLETRANSLATE(B12751, ""zh"", ""en"")"),"Her husband said good very good, so I buy two")</f>
        <v>Her husband said good very good, so I buy two</v>
      </c>
    </row>
    <row r="12752">
      <c r="A12752" s="1">
        <v>5.0</v>
      </c>
      <c r="B12752" s="1" t="s">
        <v>12634</v>
      </c>
      <c r="C12752" t="str">
        <f>IFERROR(__xludf.DUMMYFUNCTION("GOOGLETRANSLATE(B12752, ""zh"", ""en"")"),"Very, very good mug, and other large point with daughter")</f>
        <v>Very, very good mug, and other large point with daughter</v>
      </c>
    </row>
    <row r="12753">
      <c r="A12753" s="1">
        <v>5.0</v>
      </c>
      <c r="B12753" s="1" t="s">
        <v>12635</v>
      </c>
      <c r="C12753" t="str">
        <f>IFERROR(__xludf.DUMMYFUNCTION("GOOGLETRANSLATE(B12753, ""zh"", ""en"")"),"From the evaluation not easy to use, cheap before, do not know how many wasted points, points can change money now know, they should look carefully evaluated, then I put these words to copy to go, both to earn points, but also save trouble, went to which "&amp;"copy where, made directly on it, recommend it to everyone! !")</f>
        <v>From the evaluation not easy to use, cheap before, do not know how many wasted points, points can change money now know, they should look carefully evaluated, then I put these words to copy to go, both to earn points, but also save trouble, went to which copy where, made directly on it, recommend it to everyone! !</v>
      </c>
    </row>
    <row r="12754">
      <c r="A12754" s="1">
        <v>5.0</v>
      </c>
      <c r="B12754" s="1" t="s">
        <v>12636</v>
      </c>
      <c r="C12754" t="str">
        <f>IFERROR(__xludf.DUMMYFUNCTION("GOOGLETRANSLATE(B12754, ""zh"", ""en"")"),"Recommended to buy transit time arrival almost two weeks is not too slow, easy to use, cleaning is also simple. It is important stirred sophistication, great. From this home you can eat the fruit and vegetable juice affordable")</f>
        <v>Recommended to buy transit time arrival almost two weeks is not too slow, easy to use, cleaning is also simple. It is important stirred sophistication, great. From this home you can eat the fruit and vegetable juice affordable</v>
      </c>
    </row>
    <row r="12755">
      <c r="A12755" s="1">
        <v>5.0</v>
      </c>
      <c r="B12755" s="1" t="s">
        <v>12637</v>
      </c>
      <c r="C12755" t="str">
        <f>IFERROR(__xludf.DUMMYFUNCTION("GOOGLETRANSLATE(B12755, ""zh"", ""en"")"),"Very good very good very comfortable very comfortable look good liked")</f>
        <v>Very good very good very comfortable very comfortable look good liked</v>
      </c>
    </row>
    <row r="12756">
      <c r="A12756" s="1">
        <v>5.0</v>
      </c>
      <c r="B12756" s="1" t="s">
        <v>12638</v>
      </c>
      <c r="C12756" t="str">
        <f>IFERROR(__xludf.DUMMYFUNCTION("GOOGLETRANSLATE(B12756, ""zh"", ""en"")"),"Weekend when the discount was worth the price of resolving power, very good. The sound field is very broad. The sound is very clean and clear but somewhat dry side as five-inch bass speakers, it is a bit inadequate. Treble and some more. Feeling is not ve"&amp;"ry resistant to listen.")</f>
        <v>Weekend when the discount was worth the price of resolving power, very good. The sound field is very broad. The sound is very clean and clear but somewhat dry side as five-inch bass speakers, it is a bit inadequate. Treble and some more. Feeling is not very resistant to listen.</v>
      </c>
    </row>
    <row r="12757">
      <c r="A12757" s="1">
        <v>5.0</v>
      </c>
      <c r="B12757" s="1" t="s">
        <v>12639</v>
      </c>
      <c r="C12757" t="str">
        <f>IFERROR(__xludf.DUMMYFUNCTION("GOOGLETRANSLATE(B12757, ""zh"", ""en"")"),"Like the cotton is very good, very comfortable to wear, are loose money, it should belong to the normal size. I have high 160, 120 pounds, wearing L code just right, do not buy big, estimate the anti-Chuan Chuan will loose.")</f>
        <v>Like the cotton is very good, very comfortable to wear, are loose money, it should belong to the normal size. I have high 160, 120 pounds, wearing L code just right, do not buy big, estimate the anti-Chuan Chuan will loose.</v>
      </c>
    </row>
    <row r="12758">
      <c r="A12758" s="1">
        <v>5.0</v>
      </c>
      <c r="B12758" s="1" t="s">
        <v>12640</v>
      </c>
      <c r="C12758" t="str">
        <f>IFERROR(__xludf.DUMMYFUNCTION("GOOGLETRANSLATE(B12758, ""zh"", ""en"")"),"I liked Yes Yes Yes! like very much! Had a hand fried steak, oh well. The pot is too hot")</f>
        <v>I liked Yes Yes Yes! like very much! Had a hand fried steak, oh well. The pot is too hot</v>
      </c>
    </row>
    <row r="12759">
      <c r="A12759" s="1">
        <v>5.0</v>
      </c>
      <c r="B12759" s="1" t="s">
        <v>12641</v>
      </c>
      <c r="C12759" t="str">
        <f>IFERROR(__xludf.DUMMYFUNCTION("GOOGLETRANSLATE(B12759, ""zh"", ""en"")"),"Like cups, mugs emphasis is very light, portable")</f>
        <v>Like cups, mugs emphasis is very light, portable</v>
      </c>
    </row>
    <row r="12760">
      <c r="A12760" s="1">
        <v>5.0</v>
      </c>
      <c r="B12760" s="1" t="s">
        <v>12642</v>
      </c>
      <c r="C12760" t="str">
        <f>IFERROR(__xludf.DUMMYFUNCTION("GOOGLETRANSLATE(B12760, ""zh"", ""en"")"),"Good very good, logistics quickly, like children")</f>
        <v>Good very good, logistics quickly, like children</v>
      </c>
    </row>
    <row r="12761">
      <c r="A12761" s="1">
        <v>5.0</v>
      </c>
      <c r="B12761" s="1" t="s">
        <v>12643</v>
      </c>
      <c r="C12761" t="str">
        <f>IFERROR(__xludf.DUMMYFUNCTION("GOOGLETRANSLATE(B12761, ""zh"", ""en"")"),"Good size good quality, leather is also very good.")</f>
        <v>Good size good quality, leather is also very good.</v>
      </c>
    </row>
    <row r="12762">
      <c r="A12762" s="1">
        <v>5.0</v>
      </c>
      <c r="B12762" s="1" t="s">
        <v>12644</v>
      </c>
      <c r="C12762" t="str">
        <f>IFERROR(__xludf.DUMMYFUNCTION("GOOGLETRANSLATE(B12762, ""zh"", ""en"")"),"Well not use, looks Bang Bang da")</f>
        <v>Well not use, looks Bang Bang da</v>
      </c>
    </row>
    <row r="12763">
      <c r="A12763" s="1">
        <v>5.0</v>
      </c>
      <c r="B12763" s="1" t="s">
        <v>12645</v>
      </c>
      <c r="C12763" t="str">
        <f>IFERROR(__xludf.DUMMYFUNCTION("GOOGLETRANSLATE(B12763, ""zh"", ""en"")"),"Suitable suitable")</f>
        <v>Suitable suitable</v>
      </c>
    </row>
    <row r="12764">
      <c r="A12764" s="1">
        <v>5.0</v>
      </c>
      <c r="B12764" s="1" t="s">
        <v>12646</v>
      </c>
      <c r="C12764" t="str">
        <f>IFERROR(__xludf.DUMMYFUNCTION("GOOGLETRANSLATE(B12764, ""zh"", ""en"")"),"Very comfortable soles particularly comfortable, but not easy to sweat")</f>
        <v>Very comfortable soles particularly comfortable, but not easy to sweat</v>
      </c>
    </row>
    <row r="12765">
      <c r="A12765" s="1">
        <v>5.0</v>
      </c>
      <c r="B12765" s="1" t="s">
        <v>12647</v>
      </c>
      <c r="C12765" t="str">
        <f>IFERROR(__xludf.DUMMYFUNCTION("GOOGLETRANSLATE(B12765, ""zh"", ""en"")"),"Version type good, comfortable fabric super cool hat, kids liked 😘")</f>
        <v>Version type good, comfortable fabric super cool hat, kids liked 😘</v>
      </c>
    </row>
    <row r="12766">
      <c r="A12766" s="1">
        <v>5.0</v>
      </c>
      <c r="B12766" s="1" t="s">
        <v>12648</v>
      </c>
      <c r="C12766" t="str">
        <f>IFERROR(__xludf.DUMMYFUNCTION("GOOGLETRANSLATE(B12766, ""zh"", ""en"")"),"Yuesao favorite bottle with a child with a lot of sub-brands of baby bottles, baby likes to use this")</f>
        <v>Yuesao favorite bottle with a child with a lot of sub-brands of baby bottles, baby likes to use this</v>
      </c>
    </row>
    <row r="12767">
      <c r="A12767" s="1">
        <v>5.0</v>
      </c>
      <c r="B12767" s="1" t="s">
        <v>12649</v>
      </c>
      <c r="C12767" t="str">
        <f>IFERROR(__xludf.DUMMYFUNCTION("GOOGLETRANSLATE(B12767, ""zh"", ""en"")"),"This color was white super height 177cm, 70kg, wearing a small just right. Super like the color style")</f>
        <v>This color was white super height 177cm, 70kg, wearing a small just right. Super like the color style</v>
      </c>
    </row>
    <row r="12768">
      <c r="A12768" s="1">
        <v>5.0</v>
      </c>
      <c r="B12768" s="1" t="s">
        <v>12650</v>
      </c>
      <c r="C12768" t="str">
        <f>IFERROR(__xludf.DUMMYFUNCTION("GOOGLETRANSLATE(B12768, ""zh"", ""en"")"),"Good good, never went before the evaluation, I do not know how many wasted points, points can change money now know, they should look carefully evaluated")</f>
        <v>Good good, never went before the evaluation, I do not know how many wasted points, points can change money now know, they should look carefully evaluated</v>
      </c>
    </row>
    <row r="12769">
      <c r="A12769" s="1">
        <v>5.0</v>
      </c>
      <c r="B12769" s="1" t="s">
        <v>12651</v>
      </c>
      <c r="C12769" t="str">
        <f>IFERROR(__xludf.DUMMYFUNCTION("GOOGLETRANSLATE(B12769, ""zh"", ""en"")"),"Well worth buying with the evaluation of a lot of people, like my mother pants, ha ha")</f>
        <v>Well worth buying with the evaluation of a lot of people, like my mother pants, ha ha</v>
      </c>
    </row>
    <row r="12770">
      <c r="A12770" s="1">
        <v>2.0</v>
      </c>
      <c r="B12770" s="1" t="s">
        <v>12652</v>
      </c>
      <c r="C12770" t="str">
        <f>IFERROR(__xludf.DUMMYFUNCTION("GOOGLETRANSLATE(B12770, ""zh"", ""en"")"),"Is too big, 180 wearing a shoulder width is too large, and 180 through broad shoulders a large, overseas purchase you can return, but how to go back delivery is a problem, this product description is not clear, overall , the experience is not good")</f>
        <v>Is too big, 180 wearing a shoulder width is too large, and 180 through broad shoulders a large, overseas purchase you can return, but how to go back delivery is a problem, this product description is not clear, overall , the experience is not good</v>
      </c>
    </row>
    <row r="12771">
      <c r="A12771" s="1">
        <v>3.0</v>
      </c>
      <c r="B12771" s="1" t="s">
        <v>12653</v>
      </c>
      <c r="C12771" t="str">
        <f>IFERROR(__xludf.DUMMYFUNCTION("GOOGLETRANSLATE(B12771, ""zh"", ""en"")"),"The same two identical single commodity is not the same, a single bit ignorant bought two bottles, the same expiration time, why fonts bottom of the box is not the same? In the end it is not genuine? Logistics fairly quickly, December 28 Kusakabe single, "&amp;"January 5 Receipt")</f>
        <v>The same two identical single commodity is not the same, a single bit ignorant bought two bottles, the same expiration time, why fonts bottom of the box is not the same? In the end it is not genuine? Logistics fairly quickly, December 28 Kusakabe single, January 5 Receipt</v>
      </c>
    </row>
    <row r="12772">
      <c r="A12772" s="1">
        <v>3.0</v>
      </c>
      <c r="B12772" s="1" t="s">
        <v>12654</v>
      </c>
      <c r="C12772" t="str">
        <f>IFERROR(__xludf.DUMMYFUNCTION("GOOGLETRANSLATE(B12772, ""zh"", ""en"")"),"A penny stock generally like it, the request can not be too high.")</f>
        <v>A penny stock generally like it, the request can not be too high.</v>
      </c>
    </row>
    <row r="12773">
      <c r="A12773" s="1">
        <v>3.0</v>
      </c>
      <c r="B12773" s="1" t="s">
        <v>12655</v>
      </c>
      <c r="C12773" t="str">
        <f>IFERROR(__xludf.DUMMYFUNCTION("GOOGLETRANSLATE(B12773, ""zh"", ""en"")"),"Slightly larger slightly larger, but the version good, quality stuff")</f>
        <v>Slightly larger slightly larger, but the version good, quality stuff</v>
      </c>
    </row>
    <row r="12774">
      <c r="A12774" s="1">
        <v>1.0</v>
      </c>
      <c r="B12774" s="1" t="s">
        <v>12656</v>
      </c>
      <c r="C12774" t="str">
        <f>IFERROR(__xludf.DUMMYFUNCTION("GOOGLETRANSLATE(B12774, ""zh"", ""en"")"),"UPS UPS in China poor service delivery is the garbage, goods entering China, China's domestic distribution in more than 10 days, could not find the address, Apex distribution has never been the problem, actually have the nerve to record because records in"&amp;" the distribution contact not the consignee.")</f>
        <v>UPS UPS in China poor service delivery is the garbage, goods entering China, China's domestic distribution in more than 10 days, could not find the address, Apex distribution has never been the problem, actually have the nerve to record because records in the distribution contact not the consignee.</v>
      </c>
    </row>
    <row r="12775">
      <c r="A12775" s="1">
        <v>1.0</v>
      </c>
      <c r="B12775" s="1" t="s">
        <v>12657</v>
      </c>
      <c r="C12775" t="str">
        <f>IFERROR(__xludf.DUMMYFUNCTION("GOOGLETRANSLATE(B12775, ""zh"", ""en"")"),"Air switch installed there is no way to buy, do not know how air switch installed, switch on where the instructions are not")</f>
        <v>Air switch installed there is no way to buy, do not know how air switch installed, switch on where the instructions are not</v>
      </c>
    </row>
    <row r="12776">
      <c r="A12776" s="1">
        <v>1.0</v>
      </c>
      <c r="B12776" s="1" t="s">
        <v>12658</v>
      </c>
      <c r="C12776" t="str">
        <f>IFERROR(__xludf.DUMMYFUNCTION("GOOGLETRANSLATE(B12776, ""zh"", ""en"")"),"Aftermarket poor ten months adjustment button is broken, find dealers said feedback after-sales, after-sales feedback to dealers say, almost a month did not answer")</f>
        <v>Aftermarket poor ten months adjustment button is broken, find dealers said feedback after-sales, after-sales feedback to dealers say, almost a month did not answer</v>
      </c>
    </row>
    <row r="12777">
      <c r="A12777" s="1">
        <v>4.0</v>
      </c>
      <c r="B12777" s="1" t="s">
        <v>12659</v>
      </c>
      <c r="C12777" t="str">
        <f>IFERROR(__xludf.DUMMYFUNCTION("GOOGLETRANSLATE(B12777, ""zh"", ""en"")"),"I own needs. Generous style, clothing is more solid, better quality.")</f>
        <v>I own needs. Generous style, clothing is more solid, better quality.</v>
      </c>
    </row>
    <row r="12778">
      <c r="A12778" s="1">
        <v>4.0</v>
      </c>
      <c r="B12778" s="1" t="s">
        <v>12660</v>
      </c>
      <c r="C12778" t="str">
        <f>IFERROR(__xludf.DUMMYFUNCTION("GOOGLETRANSLATE(B12778, ""zh"", ""en"")"),"Still pretty good, did not imagine that Cock.")</f>
        <v>Still pretty good, did not imagine that Cock.</v>
      </c>
    </row>
    <row r="12779">
      <c r="A12779" s="1">
        <v>4.0</v>
      </c>
      <c r="B12779" s="1" t="s">
        <v>12661</v>
      </c>
      <c r="C12779" t="str">
        <f>IFERROR(__xludf.DUMMYFUNCTION("GOOGLETRANSLATE(B12779, ""zh"", ""en"")"),"Can help a friend buy, say good, fast speed, you can, want more discount")</f>
        <v>Can help a friend buy, say good, fast speed, you can, want more discount</v>
      </c>
    </row>
    <row r="12780">
      <c r="A12780" s="1">
        <v>4.0</v>
      </c>
      <c r="B12780" s="1" t="s">
        <v>12662</v>
      </c>
      <c r="C12780" t="str">
        <f>IFERROR(__xludf.DUMMYFUNCTION("GOOGLETRANSLATE(B12780, ""zh"", ""en"")"),"Big thick than imagined, Zhendian treasure the time to buy more than 80 commodity prices, relatively cheap, very fat pants.")</f>
        <v>Big thick than imagined, Zhendian treasure the time to buy more than 80 commodity prices, relatively cheap, very fat pants.</v>
      </c>
    </row>
    <row r="12781">
      <c r="A12781" s="1">
        <v>5.0</v>
      </c>
      <c r="B12781" s="1" t="s">
        <v>12663</v>
      </c>
      <c r="C12781" t="str">
        <f>IFERROR(__xludf.DUMMYFUNCTION("GOOGLETRANSLATE(B12781, ""zh"", ""en"")"),"Very good standard shoe size is slightly larger than the quality of the workmanship, is produced in Thailand, most of the code size than the originals, the Internet provides a heel pad, hoping to solve this problem.")</f>
        <v>Very good standard shoe size is slightly larger than the quality of the workmanship, is produced in Thailand, most of the code size than the originals, the Internet provides a heel pad, hoping to solve this problem.</v>
      </c>
    </row>
    <row r="12782">
      <c r="A12782" s="1">
        <v>5.0</v>
      </c>
      <c r="B12782" s="1" t="s">
        <v>12664</v>
      </c>
      <c r="C12782" t="str">
        <f>IFERROR(__xludf.DUMMYFUNCTION("GOOGLETRANSLATE(B12782, ""zh"", ""en"")"),"Comfort was thin and comfortable clothes fit, was thin! very good!")</f>
        <v>Comfort was thin and comfortable clothes fit, was thin! very good!</v>
      </c>
    </row>
    <row r="12783">
      <c r="A12783" s="1">
        <v>5.0</v>
      </c>
      <c r="B12783" s="1" t="s">
        <v>12665</v>
      </c>
      <c r="C12783" t="str">
        <f>IFERROR(__xludf.DUMMYFUNCTION("GOOGLETRANSLATE(B12783, ""zh"", ""en"")"),"Shoes worth having is I want to style, thick solid, waterproof, it will not feel stuffy feet; the sole is durable, wear a month there is little trace.")</f>
        <v>Shoes worth having is I want to style, thick solid, waterproof, it will not feel stuffy feet; the sole is durable, wear a month there is little trace.</v>
      </c>
    </row>
    <row r="12784">
      <c r="A12784" s="1">
        <v>5.0</v>
      </c>
      <c r="B12784" s="1" t="s">
        <v>12666</v>
      </c>
      <c r="C12784" t="str">
        <f>IFERROR(__xludf.DUMMYFUNCTION("GOOGLETRANSLATE(B12784, ""zh"", ""en"")"),"Genuine send parents should set a reminder, it should be genuine")</f>
        <v>Genuine send parents should set a reminder, it should be genuine</v>
      </c>
    </row>
    <row r="12785">
      <c r="A12785" s="1">
        <v>5.0</v>
      </c>
      <c r="B12785" s="1" t="s">
        <v>12667</v>
      </c>
      <c r="C12785" t="str">
        <f>IFERROR(__xludf.DUMMYFUNCTION("GOOGLETRANSLATE(B12785, ""zh"", ""en"")"),"Feet long 27.2CM, ecco shoes have to wear 44 yards, most of the insoles 29C, this insole 29.5cm, so compared to other ecco, slightly more than half yards, shoelaces tight spots also okay. Feet long 27.2CM, ecco shoes have to wear 44 yards, most of the ins"&amp;"oles 29C, this insole 29.5cm, so compared to other ecco, slightly more than half yards, shoelaces tight spots also okay.")</f>
        <v>Feet long 27.2CM, ecco shoes have to wear 44 yards, most of the insoles 29C, this insole 29.5cm, so compared to other ecco, slightly more than half yards, shoelaces tight spots also okay. Feet long 27.2CM, ecco shoes have to wear 44 yards, most of the insoles 29C, this insole 29.5cm, so compared to other ecco, slightly more than half yards, shoelaces tight spots also okay.</v>
      </c>
    </row>
    <row r="12786">
      <c r="A12786" s="1">
        <v>5.0</v>
      </c>
      <c r="B12786" s="1" t="s">
        <v>12668</v>
      </c>
      <c r="C12786" t="str">
        <f>IFERROR(__xludf.DUMMYFUNCTION("GOOGLETRANSLATE(B12786, ""zh"", ""en"")"),"180 yuan to be a reference, a good bag, found a recent comparison of fire")</f>
        <v>180 yuan to be a reference, a good bag, found a recent comparison of fire</v>
      </c>
    </row>
    <row r="12787">
      <c r="A12787" s="1">
        <v>5.0</v>
      </c>
      <c r="B12787" s="1" t="s">
        <v>12669</v>
      </c>
      <c r="C12787" t="str">
        <f>IFERROR(__xludf.DUMMYFUNCTION("GOOGLETRANSLATE(B12787, ""zh"", ""en"")"),"Very good very good, good quality positive numbers")</f>
        <v>Very good very good, good quality positive numbers</v>
      </c>
    </row>
    <row r="12788">
      <c r="A12788" s="1">
        <v>5.0</v>
      </c>
      <c r="B12788" s="1" t="s">
        <v>12670</v>
      </c>
      <c r="C12788" t="str">
        <f>IFERROR(__xludf.DUMMYFUNCTION("GOOGLETRANSLATE(B12788, ""zh"", ""en"")"),"Casio G-Shock function is very powerful, still slowly groping, worth buying")</f>
        <v>Casio G-Shock function is very powerful, still slowly groping, worth buying</v>
      </c>
    </row>
    <row r="12789">
      <c r="A12789" s="1">
        <v>5.0</v>
      </c>
      <c r="B12789" s="1" t="s">
        <v>12671</v>
      </c>
      <c r="C12789" t="str">
        <f>IFERROR(__xludf.DUMMYFUNCTION("GOOGLETRANSLATE(B12789, ""zh"", ""en"")"),"Winter indoor wear a little soft")</f>
        <v>Winter indoor wear a little soft</v>
      </c>
    </row>
    <row r="12790">
      <c r="A12790" s="1">
        <v>5.0</v>
      </c>
      <c r="B12790" s="1" t="s">
        <v>12672</v>
      </c>
      <c r="C12790" t="str">
        <f>IFERROR(__xludf.DUMMYFUNCTION("GOOGLETRANSLATE(B12790, ""zh"", ""en"")"),"Timex current overall feeling very satisfied.")</f>
        <v>Timex current overall feeling very satisfied.</v>
      </c>
    </row>
    <row r="12791">
      <c r="A12791" s="1">
        <v>5.0</v>
      </c>
      <c r="B12791" s="1" t="s">
        <v>12673</v>
      </c>
      <c r="C12791" t="str">
        <f>IFERROR(__xludf.DUMMYFUNCTION("GOOGLETRANSLATE(B12791, ""zh"", ""en"")"),"Transmission speed, fastest to reach 200MB great, the hard value should be helium disk")</f>
        <v>Transmission speed, fastest to reach 200MB great, the hard value should be helium disk</v>
      </c>
    </row>
    <row r="12792">
      <c r="A12792" s="1">
        <v>5.0</v>
      </c>
      <c r="B12792" s="1" t="s">
        <v>12674</v>
      </c>
      <c r="C12792" t="str">
        <f>IFERROR(__xludf.DUMMYFUNCTION("GOOGLETRANSLATE(B12792, ""zh"", ""en"")"),"Good results using a larger hard drive is easy, suitable for warehouse to save large files.")</f>
        <v>Good results using a larger hard drive is easy, suitable for warehouse to save large files.</v>
      </c>
    </row>
    <row r="12793">
      <c r="A12793" s="1">
        <v>5.0</v>
      </c>
      <c r="B12793" s="1" t="s">
        <v>12675</v>
      </c>
      <c r="C12793" t="str">
        <f>IFERROR(__xludf.DUMMYFUNCTION("GOOGLETRANSLATE(B12793, ""zh"", ""en"")"),"Full of personality. Clothes, good fabric version of the type suitable for large partial fat fat clothes to wear very comfortable cool. Thank refund.")</f>
        <v>Full of personality. Clothes, good fabric version of the type suitable for large partial fat fat clothes to wear very comfortable cool. Thank refund.</v>
      </c>
    </row>
    <row r="12794">
      <c r="A12794" s="1">
        <v>5.0</v>
      </c>
      <c r="B12794" s="1" t="s">
        <v>12676</v>
      </c>
      <c r="C12794" t="str">
        <f>IFERROR(__xludf.DUMMYFUNCTION("GOOGLETRANSLATE(B12794, ""zh"", ""en"")"),"This table look good right size, exact time ...")</f>
        <v>This table look good right size, exact time ...</v>
      </c>
    </row>
    <row r="12795">
      <c r="A12795" s="1">
        <v>5.0</v>
      </c>
      <c r="B12795" s="1" t="s">
        <v>12677</v>
      </c>
      <c r="C12795" t="str">
        <f>IFERROR(__xludf.DUMMYFUNCTION("GOOGLETRANSLATE(B12795, ""zh"", ""en"")"),"Taking great")</f>
        <v>Taking great</v>
      </c>
    </row>
    <row r="12796">
      <c r="A12796" s="1">
        <v>5.0</v>
      </c>
      <c r="B12796" s="1" t="s">
        <v>12678</v>
      </c>
      <c r="C12796" t="str">
        <f>IFERROR(__xludf.DUMMYFUNCTION("GOOGLETRANSLATE(B12796, ""zh"", ""en"")"),"The headset is very good, I feel great! Foldable portable design is great, but it also brings a disadvantage of wearing easily slip backwards. Sound quality is very good, really strong monitoring headphones resolving power, rich in detail, a variety of mu"&amp;"sical instruments, the human voice can be clearly reduced without exaggeration; the sound field is large enough, tri-band equalization, it is suitable for listening to a symphony, blues, pop music is also OK. Not suitable for rock, bass is not enough stre"&amp;"ngth.")</f>
        <v>The headset is very good, I feel great! Foldable portable design is great, but it also brings a disadvantage of wearing easily slip backwards. Sound quality is very good, really strong monitoring headphones resolving power, rich in detail, a variety of musical instruments, the human voice can be clearly reduced without exaggeration; the sound field is large enough, tri-band equalization, it is suitable for listening to a symphony, blues, pop music is also OK. Not suitable for rock, bass is not enough strength.</v>
      </c>
    </row>
    <row r="12797">
      <c r="A12797" s="1">
        <v>5.0</v>
      </c>
      <c r="B12797" s="1" t="s">
        <v>12679</v>
      </c>
      <c r="C12797" t="str">
        <f>IFERROR(__xludf.DUMMYFUNCTION("GOOGLETRANSLATE(B12797, ""zh"", ""en"")"),"Stylish appearance, perfect function of the fast delivery, 1 week of arrival. Very fond of this coffee machine, a very good operation, make the coffee taste good.")</f>
        <v>Stylish appearance, perfect function of the fast delivery, 1 week of arrival. Very fond of this coffee machine, a very good operation, make the coffee taste good.</v>
      </c>
    </row>
    <row r="12798">
      <c r="A12798" s="1">
        <v>5.0</v>
      </c>
      <c r="B12798" s="1" t="s">
        <v>12680</v>
      </c>
      <c r="C12798" t="str">
        <f>IFERROR(__xludf.DUMMYFUNCTION("GOOGLETRANSLATE(B12798, ""zh"", ""en"")"),"Although it is older, but very fit, affordable, although older, but very fit, affordable")</f>
        <v>Although it is older, but very fit, affordable, although older, but very fit, affordable</v>
      </c>
    </row>
    <row r="12799">
      <c r="A12799" s="1">
        <v>5.0</v>
      </c>
      <c r="B12799" s="1" t="s">
        <v>12681</v>
      </c>
      <c r="C12799" t="str">
        <f>IFERROR(__xludf.DUMMYFUNCTION("GOOGLETRANSLATE(B12799, ""zh"", ""en"")"),"Waist 78cm, 32 yards to buy a little bit too long. Waist 78cm, 32 yards to buy a little bit too long. Buttoned up to the penultimate button.")</f>
        <v>Waist 78cm, 32 yards to buy a little bit too long. Waist 78cm, 32 yards to buy a little bit too long. Buttoned up to the penultimate button.</v>
      </c>
    </row>
    <row r="12800">
      <c r="A12800" s="1">
        <v>5.0</v>
      </c>
      <c r="B12800" s="1" t="s">
        <v>12682</v>
      </c>
      <c r="C12800" t="str">
        <f>IFERROR(__xludf.DUMMYFUNCTION("GOOGLETRANSLATE(B12800, ""zh"", ""en"")"),"This return is not convenient automatic clothes too much, can not wear. We can not return")</f>
        <v>This return is not convenient automatic clothes too much, can not wear. We can not return</v>
      </c>
    </row>
    <row r="12801">
      <c r="A12801" s="1">
        <v>5.0</v>
      </c>
      <c r="B12801" s="1" t="s">
        <v>12683</v>
      </c>
      <c r="C12801" t="str">
        <f>IFERROR(__xludf.DUMMYFUNCTION("GOOGLETRANSLATE(B12801, ""zh"", ""en"")"),"Good quality, very comfortable just fine the next time you look here to buy it, buy overseas trustworthy.")</f>
        <v>Good quality, very comfortable just fine the next time you look here to buy it, buy overseas trustworthy.</v>
      </c>
    </row>
    <row r="12802">
      <c r="A12802" s="1">
        <v>5.0</v>
      </c>
      <c r="B12802" s="1" t="s">
        <v>12684</v>
      </c>
      <c r="C12802" t="str">
        <f>IFERROR(__xludf.DUMMYFUNCTION("GOOGLETRANSLATE(B12802, ""zh"", ""en"")"),"Good fit body, not Le body sculpting both good postpartum body sculpting effect, as loyal users Wacoal, very satisfied")</f>
        <v>Good fit body, not Le body sculpting both good postpartum body sculpting effect, as loyal users Wacoal, very satisfied</v>
      </c>
    </row>
    <row r="12803">
      <c r="A12803" s="1">
        <v>2.0</v>
      </c>
      <c r="B12803" s="1" t="s">
        <v>12685</v>
      </c>
      <c r="C12803" t="str">
        <f>IFERROR(__xludf.DUMMYFUNCTION("GOOGLETRANSLATE(B12803, ""zh"", ""en"")"),"Be careful to buy! ! ! Only difference is about the same surface of the shoes so much, the quality is really worrying ah! ! !")</f>
        <v>Be careful to buy! ! ! Only difference is about the same surface of the shoes so much, the quality is really worrying ah! ! !</v>
      </c>
    </row>
    <row r="12804">
      <c r="A12804" s="1">
        <v>3.0</v>
      </c>
      <c r="B12804" s="1" t="s">
        <v>12686</v>
      </c>
      <c r="C12804" t="str">
        <f>IFERROR(__xludf.DUMMYFUNCTION("GOOGLETRANSLATE(B12804, ""zh"", ""en"")"),"Not fit right can only give as gifts friends liked the style of this dress, but may be larger than the number of foreign domestic code, according to the country's security code to buy, should be able to bar the big one yards")</f>
        <v>Not fit right can only give as gifts friends liked the style of this dress, but may be larger than the number of foreign domestic code, according to the country's security code to buy, should be able to bar the big one yards</v>
      </c>
    </row>
    <row r="12805">
      <c r="A12805" s="1">
        <v>3.0</v>
      </c>
      <c r="B12805" s="1" t="s">
        <v>12687</v>
      </c>
      <c r="C12805" t="str">
        <f>IFERROR(__xludf.DUMMYFUNCTION("GOOGLETRANSLATE(B12805, ""zh"", ""en"")"),"Internal taste great cup of stainless steel, no taste, but the taste is too great a portion of the straw, put several days or taste. Fortunately, the same model is also used before the mug, with a spare. Every few years, so much quality it sent yet? Capac"&amp;"ity for 5-year-old child a little smaller")</f>
        <v>Internal taste great cup of stainless steel, no taste, but the taste is too great a portion of the straw, put several days or taste. Fortunately, the same model is also used before the mug, with a spare. Every few years, so much quality it sent yet? Capacity for 5-year-old child a little smaller</v>
      </c>
    </row>
    <row r="12806">
      <c r="A12806" s="1">
        <v>3.0</v>
      </c>
      <c r="B12806" s="1" t="s">
        <v>12688</v>
      </c>
      <c r="C12806" t="str">
        <f>IFERROR(__xludf.DUMMYFUNCTION("GOOGLETRANSLATE(B12806, ""zh"", ""en"")"),"We recommend dwellers note this strap strap quality is really bad, this stuff directly destroyed my confidence in the dual buckle strap Take care insurance. And this stuff does not work strap plating")</f>
        <v>We recommend dwellers note this strap strap quality is really bad, this stuff directly destroyed my confidence in the dual buckle strap Take care insurance. And this stuff does not work strap plating</v>
      </c>
    </row>
    <row r="12807">
      <c r="A12807" s="1">
        <v>1.0</v>
      </c>
      <c r="B12807" s="1" t="s">
        <v>12689</v>
      </c>
      <c r="C12807" t="str">
        <f>IFERROR(__xludf.DUMMYFUNCTION("GOOGLETRANSLATE(B12807, ""zh"", ""en"")"),"Not recommended to buy quality is not ye good, the price put it here. Took three days, the fourth day of the opening key not working, has been forced to use a long press be required loosen stopped, brush can not change, do not recommend buying")</f>
        <v>Not recommended to buy quality is not ye good, the price put it here. Took three days, the fourth day of the opening key not working, has been forced to use a long press be required loosen stopped, brush can not change, do not recommend buying</v>
      </c>
    </row>
    <row r="12808">
      <c r="A12808" s="1">
        <v>1.0</v>
      </c>
      <c r="B12808" s="1" t="s">
        <v>12690</v>
      </c>
      <c r="C12808" t="str">
        <f>IFERROR(__xludf.DUMMYFUNCTION("GOOGLETRANSLATE(B12808, ""zh"", ""en"")"),"May not be genuine may be fake, because the shoes particularly hard-wearing special compartment for a few days still left instep particular section, there should be a design flaw")</f>
        <v>May not be genuine may be fake, because the shoes particularly hard-wearing special compartment for a few days still left instep particular section, there should be a design flaw</v>
      </c>
    </row>
    <row r="12809">
      <c r="A12809" s="1">
        <v>4.0</v>
      </c>
      <c r="B12809" s="1" t="s">
        <v>12691</v>
      </c>
      <c r="C12809" t="str">
        <f>IFERROR(__xludf.DUMMYFUNCTION("GOOGLETRANSLATE(B12809, ""zh"", ""en"")"),"The blue light will fade very comfortable T-shirt, washed a few times, or there will be a slight fade. The rest of my clothes are dyed colors. Well, not from the previous evaluation, I do not know how many wasted points, points can change money now know, "&amp;"they should look carefully evaluated, then I put these words to copy to go, both to earn points, but also save trouble, where one copy where, most importantly, do not seriously review, do not think how much worse word, sent directly to it, recommend it to"&amp;" everyone! !")</f>
        <v>The blue light will fade very comfortable T-shirt, washed a few times, or there will be a slight fade. The rest of my clothes are dyed colors. Well, not from the previous evaluation, I do not know how many wasted points, points can change money now know, they should look carefully evaluated, then I put these words to copy to go, both to earn points, but also save trouble, where one copy where, most importantly, do not seriously review, do not think how much worse word, sent directly to it, recommend it to everyone! !</v>
      </c>
    </row>
    <row r="12810">
      <c r="A12810" s="1">
        <v>4.0</v>
      </c>
      <c r="B12810" s="1" t="s">
        <v>12692</v>
      </c>
      <c r="C12810" t="str">
        <f>IFERROR(__xludf.DUMMYFUNCTION("GOOGLETRANSLATE(B12810, ""zh"", ""en"")"),"Pants fat quality workmanship can be produced in Kenya, do not like the color, a look that is the worker who was wearing pants, fat pants for tall people wearing waist is too fat, short pants, pants with elastic. 14petetr should be 2 feet 6-2 feet seven w"&amp;"aistband.")</f>
        <v>Pants fat quality workmanship can be produced in Kenya, do not like the color, a look that is the worker who was wearing pants, fat pants for tall people wearing waist is too fat, short pants, pants with elastic. 14petetr should be 2 feet 6-2 feet seven waistband.</v>
      </c>
    </row>
    <row r="12811">
      <c r="A12811" s="1">
        <v>4.0</v>
      </c>
      <c r="B12811" s="1" t="s">
        <v>12693</v>
      </c>
      <c r="C12811" t="str">
        <f>IFERROR(__xludf.DUMMYFUNCTION("GOOGLETRANSLATE(B12811, ""zh"", ""en"")"),"Schiff Move Free Glucosamine dimension Glucosamine Chondroitin Glucosamine MSM add green bottle 120 bottles had been eating red for the first time to eat green bottle, did not feel a big difference.")</f>
        <v>Schiff Move Free Glucosamine dimension Glucosamine Chondroitin Glucosamine MSM add green bottle 120 bottles had been eating red for the first time to eat green bottle, did not feel a big difference.</v>
      </c>
    </row>
    <row r="12812">
      <c r="A12812" s="1">
        <v>4.0</v>
      </c>
      <c r="B12812" s="1" t="s">
        <v>12694</v>
      </c>
      <c r="C12812" t="str">
        <f>IFERROR(__xludf.DUMMYFUNCTION("GOOGLETRANSLATE(B12812, ""zh"", ""en"")"),"Exquisite workmanship grass a year. Long-distance transport, to the time the box bubble bags are deflated, lost a tooth plastic rod, that is broken, later found in the box, the placement. Half a month, and said the next experience: often eat noodles north"&amp;" of my home, it comes with two kinds of head is narrow, partial width; dough Flex really not at the appropriate card face, the Prospectus the proportion of the line; and a soft surface and clean for a long time, found a broken plastic gear half a tooth, I"&amp;" do not know how else? Fortunately, in most off the edge, is not affected. In addition, the manual version with them very smoothly, and can also interact with the children, very good.")</f>
        <v>Exquisite workmanship grass a year. Long-distance transport, to the time the box bubble bags are deflated, lost a tooth plastic rod, that is broken, later found in the box, the placement. Half a month, and said the next experience: often eat noodles north of my home, it comes with two kinds of head is narrow, partial width; dough Flex really not at the appropriate card face, the Prospectus the proportion of the line; and a soft surface and clean for a long time, found a broken plastic gear half a tooth, I do not know how else? Fortunately, in most off the edge, is not affected. In addition, the manual version with them very smoothly, and can also interact with the children, very good.</v>
      </c>
    </row>
    <row r="12813">
      <c r="A12813" s="1">
        <v>4.0</v>
      </c>
      <c r="B12813" s="1" t="s">
        <v>12695</v>
      </c>
      <c r="C12813" t="str">
        <f>IFERROR(__xludf.DUMMYFUNCTION("GOOGLETRANSLATE(B12813, ""zh"", ""en"")"),"Very comfortable no sense of restraint! Wearing the kind of feeling! But there is no load bearing capacity")</f>
        <v>Very comfortable no sense of restraint! Wearing the kind of feeling! But there is no load bearing capacity</v>
      </c>
    </row>
    <row r="12814">
      <c r="A12814" s="1">
        <v>5.0</v>
      </c>
      <c r="B12814" s="1" t="s">
        <v>12696</v>
      </c>
      <c r="C12814" t="str">
        <f>IFERROR(__xludf.DUMMYFUNCTION("GOOGLETRANSLATE(B12814, ""zh"", ""en"")"),"Like actual insulation effect is superb. sorry, not from the evaluation of the past, and now to evaluate the good, then I'll go to copy these words, but also the easy way, where are copying where, most importantly, do not seriously review, do not want to "&amp;"even worse how many words, made directly on it, recommend it to everyone! !")</f>
        <v>Like actual insulation effect is superb. sorry, not from the evaluation of the past, and now to evaluate the good, then I'll go to copy these words, but also the easy way, where are copying where, most importantly, do not seriously review, do not want to even worse how many words, made directly on it, recommend it to everyone! !</v>
      </c>
    </row>
    <row r="12815">
      <c r="A12815" s="1">
        <v>5.0</v>
      </c>
      <c r="B12815" s="1" t="s">
        <v>12697</v>
      </c>
      <c r="C12815" t="str">
        <f>IFERROR(__xludf.DUMMYFUNCTION("GOOGLETRANSLATE(B12815, ""zh"", ""en"")"),"The price advantage there, not really obvious thousand dollars machine, listening to play it, pink noise burn for a few days, what experience did not come out black technology, but this price it so thing. So many years had to train himself as a fungus, me"&amp;"lodic rhythm of the music itself is the most important instrument is less drag on the line.")</f>
        <v>The price advantage there, not really obvious thousand dollars machine, listening to play it, pink noise burn for a few days, what experience did not come out black technology, but this price it so thing. So many years had to train himself as a fungus, melodic rhythm of the music itself is the most important instrument is less drag on the line.</v>
      </c>
    </row>
    <row r="12816">
      <c r="A12816" s="1">
        <v>5.0</v>
      </c>
      <c r="B12816" s="1" t="s">
        <v>12698</v>
      </c>
      <c r="C12816" t="str">
        <f>IFERROR(__xludf.DUMMYFUNCTION("GOOGLETRANSLATE(B12816, ""zh"", ""en"")"),"No taste, style, good-looking nice, to buy baby food supplement made use of the fridge")</f>
        <v>No taste, style, good-looking nice, to buy baby food supplement made use of the fridge</v>
      </c>
    </row>
    <row r="12817">
      <c r="A12817" s="1">
        <v>5.0</v>
      </c>
      <c r="B12817" s="1" t="s">
        <v>12699</v>
      </c>
      <c r="C12817" t="str">
        <f>IFERROR(__xludf.DUMMYFUNCTION("GOOGLETRANSLATE(B12817, ""zh"", ""en"")"),"Code appropriate version significantly thin big feet is very good, the right size, do not wear the foot, walking very comfortable. This version is a bit obvious foot long. Last year, I bought a black, brown price cuts this year and start taking advantage "&amp;"of a pair.")</f>
        <v>Code appropriate version significantly thin big feet is very good, the right size, do not wear the foot, walking very comfortable. This version is a bit obvious foot long. Last year, I bought a black, brown price cuts this year and start taking advantage of a pair.</v>
      </c>
    </row>
    <row r="12818">
      <c r="A12818" s="1">
        <v>5.0</v>
      </c>
      <c r="B12818" s="1" t="s">
        <v>12700</v>
      </c>
      <c r="C12818" t="str">
        <f>IFERROR(__xludf.DUMMYFUNCTION("GOOGLETRANSLATE(B12818, ""zh"", ""en"")"),"Good practical, produced in Vietnam, a great")</f>
        <v>Good practical, produced in Vietnam, a great</v>
      </c>
    </row>
    <row r="12819">
      <c r="A12819" s="1">
        <v>5.0</v>
      </c>
      <c r="B12819" s="1" t="s">
        <v>12701</v>
      </c>
      <c r="C12819" t="str">
        <f>IFERROR(__xludf.DUMMYFUNCTION("GOOGLETRANSLATE(B12819, ""zh"", ""en"")"),"Delivery speed is very fast after receipt of goods very tangled 2 barrels of flour barrel was going to be opened so accept my heart is still uncomfortable contact customer service immediately to the customer service I had opened a barrel of refund")</f>
        <v>Delivery speed is very fast after receipt of goods very tangled 2 barrels of flour barrel was going to be opened so accept my heart is still uncomfortable contact customer service immediately to the customer service I had opened a barrel of refund</v>
      </c>
    </row>
    <row r="12820">
      <c r="A12820" s="1">
        <v>5.0</v>
      </c>
      <c r="B12820" s="1" t="s">
        <v>12702</v>
      </c>
      <c r="C12820" t="str">
        <f>IFERROR(__xludf.DUMMYFUNCTION("GOOGLETRANSLATE(B12820, ""zh"", ""en"")"),"Protein powder is also good, to the time the bottle is not crowded or bad, is the spoon really get it out, feel taste better than some vanilla")</f>
        <v>Protein powder is also good, to the time the bottle is not crowded or bad, is the spoon really get it out, feel taste better than some vanilla</v>
      </c>
    </row>
    <row r="12821">
      <c r="A12821" s="1">
        <v>5.0</v>
      </c>
      <c r="B12821" s="1" t="s">
        <v>12703</v>
      </c>
      <c r="C12821" t="str">
        <f>IFERROR(__xludf.DUMMYFUNCTION("GOOGLETRANSLATE(B12821, ""zh"", ""en"")"),"Very very comfortable good number 168.67s just a little bit bigger, but the pants, slightly larger okay")</f>
        <v>Very very comfortable good number 168.67s just a little bit bigger, but the pants, slightly larger okay</v>
      </c>
    </row>
    <row r="12822">
      <c r="A12822" s="1">
        <v>5.0</v>
      </c>
      <c r="B12822" s="1" t="s">
        <v>12704</v>
      </c>
      <c r="C12822" t="str">
        <f>IFERROR(__xludf.DUMMYFUNCTION("GOOGLETRANSLATE(B12822, ""zh"", ""en"")"),"Very much like the first time to buy an expensive headset, designed to listen to classical, after burning for some time feel great!")</f>
        <v>Very much like the first time to buy an expensive headset, designed to listen to classical, after burning for some time feel great!</v>
      </c>
    </row>
    <row r="12823">
      <c r="A12823" s="1">
        <v>5.0</v>
      </c>
      <c r="B12823" s="1" t="s">
        <v>12705</v>
      </c>
      <c r="C12823" t="str">
        <f>IFERROR(__xludf.DUMMYFUNCTION("GOOGLETRANSLATE(B12823, ""zh"", ""en"")"),"When a radio wave pair, quite true, day, daily water 2:00 or 4:00 the automatic reception radio wave pair worry; though full instructions are in Japanese, but the illustration clear, it can be seen about, you can search ma-q028b. the official online pdf m"&amp;"anuals, with translation tools enough to understand the content of the description.")</f>
        <v>When a radio wave pair, quite true, day, daily water 2:00 or 4:00 the automatic reception radio wave pair worry; though full instructions are in Japanese, but the illustration clear, it can be seen about, you can search ma-q028b. the official online pdf manuals, with translation tools enough to understand the content of the description.</v>
      </c>
    </row>
    <row r="12824">
      <c r="A12824" s="1">
        <v>5.0</v>
      </c>
      <c r="B12824" s="1" t="s">
        <v>12706</v>
      </c>
      <c r="C12824" t="str">
        <f>IFERROR(__xludf.DUMMYFUNCTION("GOOGLETRANSLATE(B12824, ""zh"", ""en"")"),"And imagine the size of some small gap between each one are good for kindergarten children to use.")</f>
        <v>And imagine the size of some small gap between each one are good for kindergarten children to use.</v>
      </c>
    </row>
    <row r="12825">
      <c r="A12825" s="1">
        <v>5.0</v>
      </c>
      <c r="B12825" s="1" t="s">
        <v>12707</v>
      </c>
      <c r="C12825" t="str">
        <f>IFERROR(__xludf.DUMMYFUNCTION("GOOGLETRANSLATE(B12825, ""zh"", ""en"")"),"Buy big ticket so it became a women's clothes")</f>
        <v>Buy big ticket so it became a women's clothes</v>
      </c>
    </row>
    <row r="12826">
      <c r="A12826" s="1">
        <v>5.0</v>
      </c>
      <c r="B12826" s="1" t="s">
        <v>12708</v>
      </c>
      <c r="C12826" t="str">
        <f>IFERROR(__xludf.DUMMYFUNCTION("GOOGLETRANSLATE(B12826, ""zh"", ""en"")"),"A good shopping experience very good time shopping. Coffee pot used after feeling boiled taste is not the same, but good!")</f>
        <v>A good shopping experience very good time shopping. Coffee pot used after feeling boiled taste is not the same, but good!</v>
      </c>
    </row>
    <row r="12827">
      <c r="A12827" s="1">
        <v>5.0</v>
      </c>
      <c r="B12827" s="1" t="s">
        <v>12709</v>
      </c>
      <c r="C12827" t="str">
        <f>IFERROR(__xludf.DUMMYFUNCTION("GOOGLETRANSLATE(B12827, ""zh"", ""en"")"),"Overall afraid to fall very practical, very easy to clean, it is very easy to rotten pacifier")</f>
        <v>Overall afraid to fall very practical, very easy to clean, it is very easy to rotten pacifier</v>
      </c>
    </row>
    <row r="12828">
      <c r="A12828" s="1">
        <v>5.0</v>
      </c>
      <c r="B12828" s="1" t="s">
        <v>12710</v>
      </c>
      <c r="C12828" t="str">
        <f>IFERROR(__xludf.DUMMYFUNCTION("GOOGLETRANSLATE(B12828, ""zh"", ""en"")"),"Second purchase color is, good quality, classic style, thickness moderate, fast logistics speed.")</f>
        <v>Second purchase color is, good quality, classic style, thickness moderate, fast logistics speed.</v>
      </c>
    </row>
    <row r="12829">
      <c r="A12829" s="1">
        <v>5.0</v>
      </c>
      <c r="B12829" s="1" t="s">
        <v>12711</v>
      </c>
      <c r="C12829" t="str">
        <f>IFERROR(__xludf.DUMMYFUNCTION("GOOGLETRANSLATE(B12829, ""zh"", ""en"")"),"Photos and in-kind consistent read a long time before deciding to start. Before we did not worry about brand advantage, if genuine, whether fit the wrist. Eventually fascinated by the appearance of two thousand quartz watch brand is nothing to say, all th"&amp;"e same; all checked online selling Braun watches are one family, the hope that the boss kind, is authentic (genuine outsider like me at all do not understand); there are tried before a similar steel mesh belt, strap crown for the connection is up, very ug"&amp;"ly, this would not have this problem, quite satisfactory. Overall, more Italian. Now is worried that a long time will not Diaoqi ~~~~~")</f>
        <v>Photos and in-kind consistent read a long time before deciding to start. Before we did not worry about brand advantage, if genuine, whether fit the wrist. Eventually fascinated by the appearance of two thousand quartz watch brand is nothing to say, all the same; all checked online selling Braun watches are one family, the hope that the boss kind, is authentic (genuine outsider like me at all do not understand); there are tried before a similar steel mesh belt, strap crown for the connection is up, very ugly, this would not have this problem, quite satisfactory. Overall, more Italian. Now is worried that a long time will not Diaoqi ~~~~~</v>
      </c>
    </row>
    <row r="12830">
      <c r="A12830" s="1">
        <v>5.0</v>
      </c>
      <c r="B12830" s="1" t="s">
        <v>12712</v>
      </c>
      <c r="C12830" t="str">
        <f>IFERROR(__xludf.DUMMYFUNCTION("GOOGLETRANSLATE(B12830, ""zh"", ""en"")"),"Parker always, good buy, but also comfortable to use")</f>
        <v>Parker always, good buy, but also comfortable to use</v>
      </c>
    </row>
    <row r="12831">
      <c r="A12831" s="1">
        <v>5.0</v>
      </c>
      <c r="B12831" s="1" t="s">
        <v>12713</v>
      </c>
      <c r="C12831" t="str">
        <f>IFERROR(__xludf.DUMMYFUNCTION("GOOGLETRANSLATE(B12831, ""zh"", ""en"")"),"How many yards will buy domestic shoe soles began to think how many yards hard, wearing a soft week after a lot, do not wear foot. Thin legs can press the domestic shoe size, but also a little longer, freshman codes can wear.")</f>
        <v>How many yards will buy domestic shoe soles began to think how many yards hard, wearing a soft week after a lot, do not wear foot. Thin legs can press the domestic shoe size, but also a little longer, freshman codes can wear.</v>
      </c>
    </row>
    <row r="12832">
      <c r="A12832" s="1">
        <v>5.0</v>
      </c>
      <c r="B12832" s="1" t="s">
        <v>12714</v>
      </c>
      <c r="C12832" t="str">
        <f>IFERROR(__xludf.DUMMYFUNCTION("GOOGLETRANSLATE(B12832, ""zh"", ""en"")"),"Wearing very fit, more docile comfortable, fit. Pants type is also very good to see, is made in China. Work is still a bit rough.")</f>
        <v>Wearing very fit, more docile comfortable, fit. Pants type is also very good to see, is made in China. Work is still a bit rough.</v>
      </c>
    </row>
    <row r="12833">
      <c r="A12833" s="1">
        <v>5.0</v>
      </c>
      <c r="B12833" s="1" t="s">
        <v>12715</v>
      </c>
      <c r="C12833" t="str">
        <f>IFERROR(__xludf.DUMMYFUNCTION("GOOGLETRANSLATE(B12833, ""zh"", ""en"")"),"This is good logistics too fast, shoes okay, the children liked ,,,")</f>
        <v>This is good logistics too fast, shoes okay, the children liked ,,,</v>
      </c>
    </row>
    <row r="12834">
      <c r="A12834" s="1">
        <v>5.0</v>
      </c>
      <c r="B12834" s="1" t="s">
        <v>12716</v>
      </c>
      <c r="C12834" t="str">
        <f>IFERROR(__xludf.DUMMYFUNCTION("GOOGLETRANSLATE(B12834, ""zh"", ""en"")"),"My husband wore a few months, good quality, specially to append her husband 170,77kg, 33w * 30L choose just the right, not long legs, one of the three major US brands, US origin, the fabric is very comfortable.")</f>
        <v>My husband wore a few months, good quality, specially to append her husband 170,77kg, 33w * 30L choose just the right, not long legs, one of the three major US brands, US origin, the fabric is very comfortable.</v>
      </c>
    </row>
    <row r="12835">
      <c r="A12835" s="1">
        <v>5.0</v>
      </c>
      <c r="B12835" s="1" t="s">
        <v>12717</v>
      </c>
      <c r="C12835" t="str">
        <f>IFERROR(__xludf.DUMMYFUNCTION("GOOGLETRANSLATE(B12835, ""zh"", ""en"")"),"Good affordable good use of the toothbrush head")</f>
        <v>Good affordable good use of the toothbrush head</v>
      </c>
    </row>
    <row r="12836">
      <c r="A12836" s="1">
        <v>2.0</v>
      </c>
      <c r="B12836" s="1" t="s">
        <v>12718</v>
      </c>
      <c r="C12836" t="str">
        <f>IFERROR(__xludf.DUMMYFUNCTION("GOOGLETRANSLATE(B12836, ""zh"", ""en"")"),"There are black suspension was stirred with water for a closer look with a black suspension, like fine dust like hair, has applied for return, too frustrating, not to say the new production line not the problem yet ......")</f>
        <v>There are black suspension was stirred with water for a closer look with a black suspension, like fine dust like hair, has applied for return, too frustrating, not to say the new production line not the problem yet ......</v>
      </c>
    </row>
    <row r="12837">
      <c r="A12837" s="1">
        <v>3.0</v>
      </c>
      <c r="B12837" s="1" t="s">
        <v>12719</v>
      </c>
      <c r="C12837" t="str">
        <f>IFERROR(__xludf.DUMMYFUNCTION("GOOGLETRANSLATE(B12837, ""zh"", ""en"")"),"Leather hard point a little hard leather, wide point for jeans and casual slacks and a matching dress a little wide.")</f>
        <v>Leather hard point a little hard leather, wide point for jeans and casual slacks and a matching dress a little wide.</v>
      </c>
    </row>
    <row r="12838">
      <c r="A12838" s="1">
        <v>3.0</v>
      </c>
      <c r="B12838" s="1" t="s">
        <v>12720</v>
      </c>
      <c r="C12838" t="str">
        <f>IFERROR(__xludf.DUMMYFUNCTION("GOOGLETRANSLATE(B12838, ""zh"", ""en"")"),"Thin fabric, similar nylon spinning 170cm70kg, a little too big")</f>
        <v>Thin fabric, similar nylon spinning 170cm70kg, a little too big</v>
      </c>
    </row>
    <row r="12839">
      <c r="A12839" s="1">
        <v>1.0</v>
      </c>
      <c r="B12839" s="1" t="s">
        <v>12721</v>
      </c>
      <c r="C12839" t="str">
        <f>IFERROR(__xludf.DUMMYFUNCTION("GOOGLETRANSLATE(B12839, ""zh"", ""en"")"),"Buy pants wrong shipment, received clothes, try the next okay, too lazy to change, want to change enough trouble")</f>
        <v>Buy pants wrong shipment, received clothes, try the next okay, too lazy to change, want to change enough trouble</v>
      </c>
    </row>
    <row r="12840">
      <c r="A12840" s="1">
        <v>1.0</v>
      </c>
      <c r="B12840" s="1" t="s">
        <v>12722</v>
      </c>
      <c r="C12840" t="str">
        <f>IFERROR(__xludf.DUMMYFUNCTION("GOOGLETRANSLATE(B12840, ""zh"", ""en"")"),"Pilling serious, wearing a poor quality ground into which the ball twice like it ...... poor quality, do not recommend buying")</f>
        <v>Pilling serious, wearing a poor quality ground into which the ball twice like it ...... poor quality, do not recommend buying</v>
      </c>
    </row>
    <row r="12841">
      <c r="A12841" s="1">
        <v>4.0</v>
      </c>
      <c r="B12841" s="1" t="s">
        <v>12723</v>
      </c>
      <c r="C12841" t="str">
        <f>IFERROR(__xludf.DUMMYFUNCTION("GOOGLETRANSLATE(B12841, ""zh"", ""en"")"),"Generally I did not expect to buy in the code is still a little big, big foreigners might stature. In addition quality in general, a little thorn, will it!")</f>
        <v>Generally I did not expect to buy in the code is still a little big, big foreigners might stature. In addition quality in general, a little thorn, will it!</v>
      </c>
    </row>
    <row r="12842">
      <c r="A12842" s="1">
        <v>4.0</v>
      </c>
      <c r="B12842" s="1" t="s">
        <v>12724</v>
      </c>
      <c r="C12842" t="str">
        <f>IFERROR(__xludf.DUMMYFUNCTION("GOOGLETRANSLATE(B12842, ""zh"", ""en"")"),"Black five sections are bought after the price higher plunges, black five sections, more than 40 black my great circle, right shoe tongue always skewed to the right, usually wear 38, bought 7.5 yards fat feet comfortable")</f>
        <v>Black five sections are bought after the price higher plunges, black five sections, more than 40 black my great circle, right shoe tongue always skewed to the right, usually wear 38, bought 7.5 yards fat feet comfortable</v>
      </c>
    </row>
    <row r="12843">
      <c r="A12843" s="1">
        <v>4.0</v>
      </c>
      <c r="B12843" s="1" t="s">
        <v>12725</v>
      </c>
      <c r="C12843" t="str">
        <f>IFERROR(__xludf.DUMMYFUNCTION("GOOGLETRANSLATE(B12843, ""zh"", ""en"")"),"Moments like something in the regulation of law-abiding a day were nearly 20 seconds and have time to go to the school school")</f>
        <v>Moments like something in the regulation of law-abiding a day were nearly 20 seconds and have time to go to the school school</v>
      </c>
    </row>
    <row r="12844">
      <c r="A12844" s="1">
        <v>4.0</v>
      </c>
      <c r="B12844" s="1" t="s">
        <v>12726</v>
      </c>
      <c r="C12844" t="str">
        <f>IFERROR(__xludf.DUMMYFUNCTION("GOOGLETRANSLATE(B12844, ""zh"", ""en"")"),"Rather sweet little guy's favorite sweet, the sugar more than he prefers. He's a Super Mario say delicious.")</f>
        <v>Rather sweet little guy's favorite sweet, the sugar more than he prefers. He's a Super Mario say delicious.</v>
      </c>
    </row>
    <row r="12845">
      <c r="A12845" s="1">
        <v>4.0</v>
      </c>
      <c r="B12845" s="1" t="s">
        <v>12727</v>
      </c>
      <c r="C12845" t="str">
        <f>IFERROR(__xludf.DUMMYFUNCTION("GOOGLETRANSLATE(B12845, ""zh"", ""en"")"),"Good style is self-cultivation models Prime members the date of purchase, the price is very attractive. Based on past experience online size guide CK decisive orders to buy M, the time of receipt was delayed due to customs for three days, with the arrival"&amp;" of the last ten days. But Amazon is described in the order tracking system, this is praise. After receipt, color and workmanship as CK overseas purchase of previously stable (or thread did not deal with some feeling, simple packaging), the only regret is"&amp;" smaller M-code, position some narrow shoulders, long sleeves (I 1.7 m, weight 78KG). If the buy L code, possibly longer sleeves. See if you can find yourself a tailor shop modification.")</f>
        <v>Good style is self-cultivation models Prime members the date of purchase, the price is very attractive. Based on past experience online size guide CK decisive orders to buy M, the time of receipt was delayed due to customs for three days, with the arrival of the last ten days. But Amazon is described in the order tracking system, this is praise. After receipt, color and workmanship as CK overseas purchase of previously stable (or thread did not deal with some feeling, simple packaging), the only regret is smaller M-code, position some narrow shoulders, long sleeves (I 1.7 m, weight 78KG). If the buy L code, possibly longer sleeves. See if you can find yourself a tailor shop modification.</v>
      </c>
    </row>
    <row r="12846">
      <c r="A12846" s="1">
        <v>5.0</v>
      </c>
      <c r="B12846" s="1" t="s">
        <v>12728</v>
      </c>
      <c r="C12846" t="str">
        <f>IFERROR(__xludf.DUMMYFUNCTION("GOOGLETRANSLATE(B12846, ""zh"", ""en"")"),"Comotomo bottle two big bottles, very soft, feel good, relatively satisfied with the first overseas purchase! The only pity is that black five time did not buy, then you more than 20 blocks. However, compared to some websites domestic sales is still relat"&amp;"ively cheap.")</f>
        <v>Comotomo bottle two big bottles, very soft, feel good, relatively satisfied with the first overseas purchase! The only pity is that black five time did not buy, then you more than 20 blocks. However, compared to some websites domestic sales is still relatively cheap.</v>
      </c>
    </row>
    <row r="12847">
      <c r="A12847" s="1">
        <v>5.0</v>
      </c>
      <c r="B12847" s="1" t="s">
        <v>12729</v>
      </c>
      <c r="C12847" t="str">
        <f>IFERROR(__xludf.DUMMYFUNCTION("GOOGLETRANSLATE(B12847, ""zh"", ""en"")"),"Good pen very good pen, the weight of a little hand pressure, writing is very smooth.")</f>
        <v>Good pen very good pen, the weight of a little hand pressure, writing is very smooth.</v>
      </c>
    </row>
    <row r="12848">
      <c r="A12848" s="1">
        <v>5.0</v>
      </c>
      <c r="B12848" s="1" t="s">
        <v>12730</v>
      </c>
      <c r="C12848" t="str">
        <f>IFERROR(__xludf.DUMMYFUNCTION("GOOGLETRANSLATE(B12848, ""zh"", ""en"")"),"With a good friend to travel abroad to see the band, buy used immediately after returning home, really good")</f>
        <v>With a good friend to travel abroad to see the band, buy used immediately after returning home, really good</v>
      </c>
    </row>
    <row r="12849">
      <c r="A12849" s="1">
        <v>5.0</v>
      </c>
      <c r="B12849" s="1" t="s">
        <v>12731</v>
      </c>
      <c r="C12849" t="str">
        <f>IFERROR(__xludf.DUMMYFUNCTION("GOOGLETRANSLATE(B12849, ""zh"", ""en"")"),"Very good value buy, treble clear and transparent.")</f>
        <v>Very good value buy, treble clear and transparent.</v>
      </c>
    </row>
    <row r="12850">
      <c r="A12850" s="1">
        <v>5.0</v>
      </c>
      <c r="B12850" s="1" t="s">
        <v>12732</v>
      </c>
      <c r="C12850" t="str">
        <f>IFERROR(__xludf.DUMMYFUNCTION("GOOGLETRANSLATE(B12850, ""zh"", ""en"")"),"Too large and comfortable this is indeed a foreign person's code is too large, but very comfortable to wear")</f>
        <v>Too large and comfortable this is indeed a foreign person's code is too large, but very comfortable to wear</v>
      </c>
    </row>
    <row r="12851">
      <c r="A12851" s="1">
        <v>5.0</v>
      </c>
      <c r="B12851" s="1" t="s">
        <v>12733</v>
      </c>
      <c r="C12851" t="str">
        <f>IFERROR(__xludf.DUMMYFUNCTION("GOOGLETRANSLATE(B12851, ""zh"", ""en"")"),"puma platform very well, very comfortable to wear!")</f>
        <v>puma platform very well, very comfortable to wear!</v>
      </c>
    </row>
    <row r="12852">
      <c r="A12852" s="1">
        <v>5.0</v>
      </c>
      <c r="B12852" s="1" t="s">
        <v>12734</v>
      </c>
      <c r="C12852" t="str">
        <f>IFERROR(__xludf.DUMMYFUNCTION("GOOGLETRANSLATE(B12852, ""zh"", ""en"")"),"Baby essential baby essential, the most convenient vd supplements, than fly directly to the United States and Asia, much faster")</f>
        <v>Baby essential baby essential, the most convenient vd supplements, than fly directly to the United States and Asia, much faster</v>
      </c>
    </row>
    <row r="12853">
      <c r="A12853" s="1">
        <v>5.0</v>
      </c>
      <c r="B12853" s="1" t="s">
        <v>12735</v>
      </c>
      <c r="C12853" t="str">
        <f>IFERROR(__xludf.DUMMYFUNCTION("GOOGLETRANSLATE(B12853, ""zh"", ""en"")"),"Temperature sensing convenience good, the US direct mail. Is the wait is long.")</f>
        <v>Temperature sensing convenience good, the US direct mail. Is the wait is long.</v>
      </c>
    </row>
    <row r="12854">
      <c r="A12854" s="1">
        <v>5.0</v>
      </c>
      <c r="B12854" s="1" t="s">
        <v>12736</v>
      </c>
      <c r="C12854" t="str">
        <f>IFERROR(__xludf.DUMMYFUNCTION("GOOGLETRANSLATE(B12854, ""zh"", ""en"")"),"Material comfort European code, Asians wear slightly larger, next time to buy a smaller size. Material is very good, cost-effective, genuine.")</f>
        <v>Material comfort European code, Asians wear slightly larger, next time to buy a smaller size. Material is very good, cost-effective, genuine.</v>
      </c>
    </row>
    <row r="12855">
      <c r="A12855" s="1">
        <v>5.0</v>
      </c>
      <c r="B12855" s="1" t="s">
        <v>12737</v>
      </c>
      <c r="C12855" t="str">
        <f>IFERROR(__xludf.DUMMYFUNCTION("GOOGLETRANSLATE(B12855, ""zh"", ""en"")"),"value! Just received today, the right size, big quality did not say, the logistics a little longer, the future will continue to buy. value!")</f>
        <v>value! Just received today, the right size, big quality did not say, the logistics a little longer, the future will continue to buy. value!</v>
      </c>
    </row>
    <row r="12856">
      <c r="A12856" s="1">
        <v>5.0</v>
      </c>
      <c r="B12856" s="1" t="s">
        <v>12738</v>
      </c>
      <c r="C12856" t="str">
        <f>IFERROR(__xludf.DUMMYFUNCTION("GOOGLETRANSLATE(B12856, ""zh"", ""en"")"),"Centrum adult multi-vitamin. Good quality, very good. Genuine.")</f>
        <v>Centrum adult multi-vitamin. Good quality, very good. Genuine.</v>
      </c>
    </row>
    <row r="12857">
      <c r="A12857" s="1">
        <v>5.0</v>
      </c>
      <c r="B12857" s="1" t="s">
        <v>12739</v>
      </c>
      <c r="C12857" t="str">
        <f>IFERROR(__xludf.DUMMYFUNCTION("GOOGLETRANSLATE(B12857, ""zh"", ""en"")"),"Very good, very comfortable, value for money than a hundred dollars a very good, fine quality")</f>
        <v>Very good, very comfortable, value for money than a hundred dollars a very good, fine quality</v>
      </c>
    </row>
    <row r="12858">
      <c r="A12858" s="1">
        <v>5.0</v>
      </c>
      <c r="B12858" s="1" t="s">
        <v>12740</v>
      </c>
      <c r="C12858" t="str">
        <f>IFERROR(__xludf.DUMMYFUNCTION("GOOGLETRANSLATE(B12858, ""zh"", ""en"")"),"Yes a total of six pairs ah, enough to wear for a while")</f>
        <v>Yes a total of six pairs ah, enough to wear for a while</v>
      </c>
    </row>
    <row r="12859">
      <c r="A12859" s="1">
        <v>5.0</v>
      </c>
      <c r="B12859" s="1" t="s">
        <v>12741</v>
      </c>
      <c r="C12859" t="str">
        <f>IFERROR(__xludf.DUMMYFUNCTION("GOOGLETRANSLATE(B12859, ""zh"", ""en"")"),"Good packaging, good price began to eat and look forward to results. Good quality box US Amazon.")</f>
        <v>Good packaging, good price began to eat and look forward to results. Good quality box US Amazon.</v>
      </c>
    </row>
    <row r="12860">
      <c r="A12860" s="1">
        <v>5.0</v>
      </c>
      <c r="B12860" s="1" t="s">
        <v>12742</v>
      </c>
      <c r="C12860" t="str">
        <f>IFERROR(__xludf.DUMMYFUNCTION("GOOGLETRANSLATE(B12860, ""zh"", ""en"")"),"Boyfriend favorite is authentic on the grade, value for money, simple atmospheric")</f>
        <v>Boyfriend favorite is authentic on the grade, value for money, simple atmospheric</v>
      </c>
    </row>
    <row r="12861">
      <c r="A12861" s="1">
        <v>5.0</v>
      </c>
      <c r="B12861" s="1" t="s">
        <v>12743</v>
      </c>
      <c r="C12861" t="str">
        <f>IFERROR(__xludf.DUMMYFUNCTION("GOOGLETRANSLATE(B12861, ""zh"", ""en"")"),"Cool like son")</f>
        <v>Cool like son</v>
      </c>
    </row>
    <row r="12862">
      <c r="A12862" s="1">
        <v>5.0</v>
      </c>
      <c r="B12862" s="1" t="s">
        <v>12744</v>
      </c>
      <c r="C12862" t="str">
        <f>IFERROR(__xludf.DUMMYFUNCTION("GOOGLETRANSLATE(B12862, ""zh"", ""en"")"),"Comments like this brand by buying big a yard, just right, too wide at the foot brace, which was delicate.")</f>
        <v>Comments like this brand by buying big a yard, just right, too wide at the foot brace, which was delicate.</v>
      </c>
    </row>
    <row r="12863">
      <c r="A12863" s="1">
        <v>5.0</v>
      </c>
      <c r="B12863" s="1" t="s">
        <v>12745</v>
      </c>
      <c r="C12863" t="str">
        <f>IFERROR(__xludf.DUMMYFUNCTION("GOOGLETRANSLATE(B12863, ""zh"", ""en"")"),"Niubi Niubi")</f>
        <v>Niubi Niubi</v>
      </c>
    </row>
    <row r="12864">
      <c r="A12864" s="1">
        <v>5.0</v>
      </c>
      <c r="B12864" s="1" t="s">
        <v>12746</v>
      </c>
      <c r="C12864" t="str">
        <f>IFERROR(__xludf.DUMMYFUNCTION("GOOGLETRANSLATE(B12864, ""zh"", ""en"")"),"Great product! Home decoration, two bathrooms, bought two sets, heavy weight! Dad said that is a good thing! recommend!")</f>
        <v>Great product! Home decoration, two bathrooms, bought two sets, heavy weight! Dad said that is a good thing! recommend!</v>
      </c>
    </row>
    <row r="12865">
      <c r="A12865" s="1">
        <v>5.0</v>
      </c>
      <c r="B12865" s="1" t="s">
        <v>12747</v>
      </c>
      <c r="C12865" t="str">
        <f>IFERROR(__xludf.DUMMYFUNCTION("GOOGLETRANSLATE(B12865, ""zh"", ""en"")"),"Cheap packaging good, just open the smell a bit heavy, short wallet easily put his trouser pockets")</f>
        <v>Cheap packaging good, just open the smell a bit heavy, short wallet easily put his trouser pockets</v>
      </c>
    </row>
    <row r="12866">
      <c r="A12866" s="1">
        <v>5.0</v>
      </c>
      <c r="B12866" s="1" t="s">
        <v>12748</v>
      </c>
      <c r="C12866" t="str">
        <f>IFERROR(__xludf.DUMMYFUNCTION("GOOGLETRANSLATE(B12866, ""zh"", ""en"")"),"Lee Men's Premium Select Classic Slim Straight jeans Mojo 33W x 30L really like these pants, nice color, style is also very classic, good quality, fine workmanship, although thick, but soft, very comfortable to wear, the length is right, It is the recent "&amp;"purchase of one of the most satisfying.")</f>
        <v>Lee Men's Premium Select Classic Slim Straight jeans Mojo 33W x 30L really like these pants, nice color, style is also very classic, good quality, fine workmanship, although thick, but soft, very comfortable to wear, the length is right, It is the recent purchase of one of the most satisfying.</v>
      </c>
    </row>
    <row r="12867">
      <c r="A12867" s="1">
        <v>5.0</v>
      </c>
      <c r="B12867" s="1" t="s">
        <v>12749</v>
      </c>
      <c r="C12867" t="str">
        <f>IFERROR(__xludf.DUMMYFUNCTION("GOOGLETRANSLATE(B12867, ""zh"", ""en"")"),"Weight 145. Height 170 just to wear! Weight 145. Height 170 just to wear!")</f>
        <v>Weight 145. Height 170 just to wear! Weight 145. Height 170 just to wear!</v>
      </c>
    </row>
    <row r="12868">
      <c r="A12868" s="1">
        <v>2.0</v>
      </c>
      <c r="B12868" s="1" t="s">
        <v>12750</v>
      </c>
      <c r="C12868" t="str">
        <f>IFERROR(__xludf.DUMMYFUNCTION("GOOGLETRANSLATE(B12868, ""zh"", ""en"")"),"Lee than to buy the same number is m, lee fit, this is too large. 176,63.5")</f>
        <v>Lee than to buy the same number is m, lee fit, this is too large. 176,63.5</v>
      </c>
    </row>
    <row r="12869">
      <c r="A12869" s="1">
        <v>3.0</v>
      </c>
      <c r="B12869" s="1" t="s">
        <v>12751</v>
      </c>
      <c r="C12869" t="str">
        <f>IFERROR(__xludf.DUMMYFUNCTION("GOOGLETRANSLATE(B12869, ""zh"", ""en"")"),"Whether there is a hardware problem with iPhone7p connection, tap Volume + softkey will cause the Bluetooth off, it has returned.")</f>
        <v>Whether there is a hardware problem with iPhone7p connection, tap Volume + softkey will cause the Bluetooth off, it has returned.</v>
      </c>
    </row>
    <row r="12870">
      <c r="A12870" s="1">
        <v>1.0</v>
      </c>
      <c r="B12870" s="1" t="s">
        <v>12752</v>
      </c>
      <c r="C12870" t="str">
        <f>IFERROR(__xludf.DUMMYFUNCTION("GOOGLETRANSLATE(B12870, ""zh"", ""en"")"),"Headphone quality charging problem at all bad electrical charge does not go to waste money")</f>
        <v>Headphone quality charging problem at all bad electrical charge does not go to waste money</v>
      </c>
    </row>
    <row r="12871">
      <c r="A12871" s="1">
        <v>1.0</v>
      </c>
      <c r="B12871" s="1" t="s">
        <v>12753</v>
      </c>
      <c r="C12871" t="str">
        <f>IFERROR(__xludf.DUMMYFUNCTION("GOOGLETRANSLATE(B12871, ""zh"", ""en"")"),"rubbish Ge feet feet hurt no ventilation sole is too hard")</f>
        <v>rubbish Ge feet feet hurt no ventilation sole is too hard</v>
      </c>
    </row>
    <row r="12872">
      <c r="A12872" s="1">
        <v>1.0</v>
      </c>
      <c r="B12872" s="1" t="s">
        <v>12754</v>
      </c>
      <c r="C12872" t="str">
        <f>IFERROR(__xludf.DUMMYFUNCTION("GOOGLETRANSLATE(B12872, ""zh"", ""en"")"),"Fakes, reading slowly, the same file, with other brands of reading about it, this simply can not get out fakes, reading slowly, the same file, with other brands out what to read, simply get out of this")</f>
        <v>Fakes, reading slowly, the same file, with other brands of reading about it, this simply can not get out fakes, reading slowly, the same file, with other brands out what to read, simply get out of this</v>
      </c>
    </row>
    <row r="12873">
      <c r="A12873" s="1">
        <v>4.0</v>
      </c>
      <c r="B12873" s="1" t="s">
        <v>12755</v>
      </c>
      <c r="C12873" t="str">
        <f>IFERROR(__xludf.DUMMYFUNCTION("GOOGLETRANSLATE(B12873, ""zh"", ""en"")"),"A big point to buy less than half feel a little big dress code")</f>
        <v>A big point to buy less than half feel a little big dress code</v>
      </c>
    </row>
    <row r="12874">
      <c r="A12874" s="1">
        <v>4.0</v>
      </c>
      <c r="B12874" s="1" t="s">
        <v>12756</v>
      </c>
      <c r="C12874" t="str">
        <f>IFERROR(__xludf.DUMMYFUNCTION("GOOGLETRANSLATE(B12874, ""zh"", ""en"")"),"Some fade comfortable to wear, some small, a little fade")</f>
        <v>Some fade comfortable to wear, some small, a little fade</v>
      </c>
    </row>
    <row r="12875">
      <c r="A12875" s="1">
        <v>4.0</v>
      </c>
      <c r="B12875" s="1" t="s">
        <v>12757</v>
      </c>
      <c r="C12875" t="str">
        <f>IFERROR(__xludf.DUMMYFUNCTION("GOOGLETRANSLATE(B12875, ""zh"", ""en"")"),"Generally fair quality, is too large. Not from the previous evaluation, I do not know how many wasted points, points can change money now know, they should look carefully evaluated, then I put these words to copy to go, both to earn points, but also save "&amp;"trouble, they go where copy the most important thing is, do not seriously review, do not think how much worse word, sent directly to it, recommend it to everyone! !")</f>
        <v>Generally fair quality, is too large. Not from the previous evaluation, I do not know how many wasted points, points can change money now know, they should look carefully evaluated, then I put these words to copy to go, both to earn points, but also save trouble, they go where copy the most important thing is, do not seriously review, do not think how much worse word, sent directly to it, recommend it to everyone! !</v>
      </c>
    </row>
    <row r="12876">
      <c r="A12876" s="1">
        <v>4.0</v>
      </c>
      <c r="B12876" s="1" t="s">
        <v>12758</v>
      </c>
      <c r="C12876" t="str">
        <f>IFERROR(__xludf.DUMMYFUNCTION("GOOGLETRANSLATE(B12876, ""zh"", ""en"")"),"Price, value price, very good, packaging intact")</f>
        <v>Price, value price, very good, packaging intact</v>
      </c>
    </row>
    <row r="12877">
      <c r="A12877" s="1">
        <v>4.0</v>
      </c>
      <c r="B12877" s="1" t="s">
        <v>12759</v>
      </c>
      <c r="C12877" t="str">
        <f>IFERROR(__xludf.DUMMYFUNCTION("GOOGLETRANSLATE(B12877, ""zh"", ""en"")"),"Shoebox feel a little broken, but with a receipt from single to five days, very fast speed, I feel relatively wide feet feet a little crowded after try, may be the cause of new shoes, usually wear sports shoes 41 yards, this there are suitable length marg"&amp;"in, if wearing a thick winter socks may be completely filled.")</f>
        <v>Shoebox feel a little broken, but with a receipt from single to five days, very fast speed, I feel relatively wide feet feet a little crowded after try, may be the cause of new shoes, usually wear sports shoes 41 yards, this there are suitable length margin, if wearing a thick winter socks may be completely filled.</v>
      </c>
    </row>
    <row r="12878">
      <c r="A12878" s="1">
        <v>5.0</v>
      </c>
      <c r="B12878" s="1" t="s">
        <v>12760</v>
      </c>
      <c r="C12878" t="str">
        <f>IFERROR(__xludf.DUMMYFUNCTION("GOOGLETRANSLATE(B12878, ""zh"", ""en"")"),"Very good autumn and winter boots city traffic! The original wearing Timberland Pro tooling boots, wearing eight years, badly worn, ready to buy a new pair. Just a trial membership in Central Asia, this time to buy timberland products. Get our hands on fe"&amp;"el beautiful than the picture, size very, very fit, and ready out of the pair of exactly the same size. I generally wear dress shoes 40 (250 / US7), sports shoes 40.5 (255 / US7.5), these shoes US7.5 perfect code. Snug fit, the toe a little space, a stron"&amp;"g sense of the parcel at the ankle but not oppressive. Particularly suitable flat lace-like, not loose as easily circular laces. Turn fur generally do not need Dali. After two weeks wearing feel most comfortable temperature for 0-10 degrees. Higher than 1"&amp;"0 degrees, then, after walking a little stuffy feeling, breathable waterproof shoes are a bit weak, but double definitely be good. I feel very suitable for wearing in autumn and winter in North China, East China. Personal views, for reference.")</f>
        <v>Very good autumn and winter boots city traffic! The original wearing Timberland Pro tooling boots, wearing eight years, badly worn, ready to buy a new pair. Just a trial membership in Central Asia, this time to buy timberland products. Get our hands on feel beautiful than the picture, size very, very fit, and ready out of the pair of exactly the same size. I generally wear dress shoes 40 (250 / US7), sports shoes 40.5 (255 / US7.5), these shoes US7.5 perfect code. Snug fit, the toe a little space, a strong sense of the parcel at the ankle but not oppressive. Particularly suitable flat lace-like, not loose as easily circular laces. Turn fur generally do not need Dali. After two weeks wearing feel most comfortable temperature for 0-10 degrees. Higher than 10 degrees, then, after walking a little stuffy feeling, breathable waterproof shoes are a bit weak, but double definitely be good. I feel very suitable for wearing in autumn and winter in North China, East China. Personal views, for reference.</v>
      </c>
    </row>
    <row r="12879">
      <c r="A12879" s="1">
        <v>5.0</v>
      </c>
      <c r="B12879" s="1" t="s">
        <v>12761</v>
      </c>
      <c r="C12879" t="str">
        <f>IFERROR(__xludf.DUMMYFUNCTION("GOOGLETRANSLATE(B12879, ""zh"", ""en"")"),"Easy to use very good, very practical, the baby also like")</f>
        <v>Easy to use very good, very practical, the baby also like</v>
      </c>
    </row>
    <row r="12880">
      <c r="A12880" s="1">
        <v>5.0</v>
      </c>
      <c r="B12880" s="1" t="s">
        <v>12762</v>
      </c>
      <c r="C12880" t="str">
        <f>IFERROR(__xludf.DUMMYFUNCTION("GOOGLETRANSLATE(B12880, ""zh"", ""en"")"),"Feeling very good fast express something more than 8 days is expected to experience a period of time not to eat the first thing a big bottle.")</f>
        <v>Feeling very good fast express something more than 8 days is expected to experience a period of time not to eat the first thing a big bottle.</v>
      </c>
    </row>
    <row r="12881">
      <c r="A12881" s="1">
        <v>5.0</v>
      </c>
      <c r="B12881" s="1" t="s">
        <v>12763</v>
      </c>
      <c r="C12881" t="str">
        <f>IFERROR(__xludf.DUMMYFUNCTION("GOOGLETRANSLATE(B12881, ""zh"", ""en"")"),"This spoof number of advantages not sink in very good shape also comfortable to wear fine too large can wear 36.37 I wear this little big 36")</f>
        <v>This spoof number of advantages not sink in very good shape also comfortable to wear fine too large can wear 36.37 I wear this little big 36</v>
      </c>
    </row>
    <row r="12882">
      <c r="A12882" s="1">
        <v>5.0</v>
      </c>
      <c r="B12882" s="1" t="s">
        <v>12764</v>
      </c>
      <c r="C12882" t="str">
        <f>IFERROR(__xludf.DUMMYFUNCTION("GOOGLETRANSLATE(B12882, ""zh"", ""en"")"),"nice! + Thermal paste clothes that are not thin thin, unlined normal thickness. Wear the shirt inside, and warm and tight.")</f>
        <v>nice! + Thermal paste clothes that are not thin thin, unlined normal thickness. Wear the shirt inside, and warm and tight.</v>
      </c>
    </row>
    <row r="12883">
      <c r="A12883" s="1">
        <v>5.0</v>
      </c>
      <c r="B12883" s="1" t="s">
        <v>12765</v>
      </c>
      <c r="C12883" t="str">
        <f>IFERROR(__xludf.DUMMYFUNCTION("GOOGLETRANSLATE(B12883, ""zh"", ""en"")"),"Good buy two comfortable")</f>
        <v>Good buy two comfortable</v>
      </c>
    </row>
    <row r="12884">
      <c r="A12884" s="1">
        <v>5.0</v>
      </c>
      <c r="B12884" s="1" t="s">
        <v>12766</v>
      </c>
      <c r="C12884" t="str">
        <f>IFERROR(__xludf.DUMMYFUNCTION("GOOGLETRANSLATE(B12884, ""zh"", ""en"")"),"Rose impression of a key that is like drinking mug very light")</f>
        <v>Rose impression of a key that is like drinking mug very light</v>
      </c>
    </row>
    <row r="12885">
      <c r="A12885" s="1">
        <v>5.0</v>
      </c>
      <c r="B12885" s="1" t="s">
        <v>12767</v>
      </c>
      <c r="C12885" t="str">
        <f>IFERROR(__xludf.DUMMYFUNCTION("GOOGLETRANSLATE(B12885, ""zh"", ""en"")"),"How to maintain their love shoes? This pair of shoes long grass for a long time, all are rather satisfied, ready to wear hiking. Just do not know how this full-grain leather, and maintenance? Would like to clarify the product description column, give futu"&amp;"re purchases people have an intuitive understanding. Thank you!")</f>
        <v>How to maintain their love shoes? This pair of shoes long grass for a long time, all are rather satisfied, ready to wear hiking. Just do not know how this full-grain leather, and maintenance? Would like to clarify the product description column, give future purchases people have an intuitive understanding. Thank you!</v>
      </c>
    </row>
    <row r="12886">
      <c r="A12886" s="1">
        <v>5.0</v>
      </c>
      <c r="B12886" s="1" t="s">
        <v>12768</v>
      </c>
      <c r="C12886" t="str">
        <f>IFERROR(__xludf.DUMMYFUNCTION("GOOGLETRANSLATE(B12886, ""zh"", ""en"")"),"Very breathable pants thickness moderate, the weather is not too hot to wear, size is also just, in general, very good.")</f>
        <v>Very breathable pants thickness moderate, the weather is not too hot to wear, size is also just, in general, very good.</v>
      </c>
    </row>
    <row r="12887">
      <c r="A12887" s="1">
        <v>5.0</v>
      </c>
      <c r="B12887" s="1" t="s">
        <v>12769</v>
      </c>
      <c r="C12887" t="str">
        <f>IFERROR(__xludf.DUMMYFUNCTION("GOOGLETRANSLATE(B12887, ""zh"", ""en"")"),"Cheap large pot two-canned bargain. Liquid Calcium much more convenient for the elderly to eat.")</f>
        <v>Cheap large pot two-canned bargain. Liquid Calcium much more convenient for the elderly to eat.</v>
      </c>
    </row>
    <row r="12888">
      <c r="A12888" s="1">
        <v>5.0</v>
      </c>
      <c r="B12888" s="1" t="s">
        <v>12770</v>
      </c>
      <c r="C12888" t="str">
        <f>IFERROR(__xludf.DUMMYFUNCTION("GOOGLETRANSLATE(B12888, ""zh"", ""en"")"),"The right size suitable for stew pot 30cm would have thought that would be great, the results of which put a stew pot something more or buy big")</f>
        <v>The right size suitable for stew pot 30cm would have thought that would be great, the results of which put a stew pot something more or buy big</v>
      </c>
    </row>
    <row r="12889">
      <c r="A12889" s="1">
        <v>5.0</v>
      </c>
      <c r="B12889" s="1" t="s">
        <v>12771</v>
      </c>
      <c r="C12889" t="str">
        <f>IFERROR(__xludf.DUMMYFUNCTION("GOOGLETRANSLATE(B12889, ""zh"", ""en"")"),"Warm can be. And almost expected, very warm, Beijing winter is certainly enough.")</f>
        <v>Warm can be. And almost expected, very warm, Beijing winter is certainly enough.</v>
      </c>
    </row>
    <row r="12890">
      <c r="A12890" s="1">
        <v>5.0</v>
      </c>
      <c r="B12890" s="1" t="s">
        <v>12772</v>
      </c>
      <c r="C12890" t="str">
        <f>IFERROR(__xludf.DUMMYFUNCTION("GOOGLETRANSLATE(B12890, ""zh"", ""en"")"),"SF Express received a courier delivering, I feel good. . .")</f>
        <v>SF Express received a courier delivering, I feel good. . .</v>
      </c>
    </row>
    <row r="12891">
      <c r="A12891" s="1">
        <v>5.0</v>
      </c>
      <c r="B12891" s="1" t="s">
        <v>12773</v>
      </c>
      <c r="C12891" t="str">
        <f>IFERROR(__xludf.DUMMYFUNCTION("GOOGLETRANSLATE(B12891, ""zh"", ""en"")"),"Cost-effective great shopping, the right size, wear very comfortable next to the skin. The high cost of cotton")</f>
        <v>Cost-effective great shopping, the right size, wear very comfortable next to the skin. The high cost of cotton</v>
      </c>
    </row>
    <row r="12892">
      <c r="A12892" s="1">
        <v>5.0</v>
      </c>
      <c r="B12892" s="1" t="s">
        <v>12774</v>
      </c>
      <c r="C12892" t="str">
        <f>IFERROR(__xludf.DUMMYFUNCTION("GOOGLETRANSLATE(B12892, ""zh"", ""en"")"),"A difference in surface easy to wear, you also buy a silly")</f>
        <v>A difference in surface easy to wear, you also buy a silly</v>
      </c>
    </row>
    <row r="12893">
      <c r="A12893" s="1">
        <v>5.0</v>
      </c>
      <c r="B12893" s="1" t="s">
        <v>12775</v>
      </c>
      <c r="C12893" t="str">
        <f>IFERROR(__xludf.DUMMYFUNCTION("GOOGLETRANSLATE(B12893, ""zh"", ""en"")"),"Cheaper than domestic, is genuine, good cheaper than domestic, is genuine, good")</f>
        <v>Cheaper than domestic, is genuine, good cheaper than domestic, is genuine, good</v>
      </c>
    </row>
    <row r="12894">
      <c r="A12894" s="1">
        <v>5.0</v>
      </c>
      <c r="B12894" s="1" t="s">
        <v>12776</v>
      </c>
      <c r="C12894" t="str">
        <f>IFERROR(__xludf.DUMMYFUNCTION("GOOGLETRANSLATE(B12894, ""zh"", ""en"")"),"Western Digital Western Digital 8TB My Book activities starting price of 841, did not know before buying is still 650 10T. . .")</f>
        <v>Western Digital Western Digital 8TB My Book activities starting price of 841, did not know before buying is still 650 10T. . .</v>
      </c>
    </row>
    <row r="12895">
      <c r="A12895" s="1">
        <v>5.0</v>
      </c>
      <c r="B12895" s="1" t="s">
        <v>12777</v>
      </c>
      <c r="C12895" t="str">
        <f>IFERROR(__xludf.DUMMYFUNCTION("GOOGLETRANSLATE(B12895, ""zh"", ""en"")"),"very comfortable! Very satisfied, very comfortable, a lot of big water, three functions easy to use. Common handheld without top spray, began to prepare to buy a 150, see the comments say big, really big enough for 120, 150 do not need to buy.")</f>
        <v>very comfortable! Very satisfied, very comfortable, a lot of big water, three functions easy to use. Common handheld without top spray, began to prepare to buy a 150, see the comments say big, really big enough for 120, 150 do not need to buy.</v>
      </c>
    </row>
    <row r="12896">
      <c r="A12896" s="1">
        <v>5.0</v>
      </c>
      <c r="B12896" s="1" t="s">
        <v>12778</v>
      </c>
      <c r="C12896" t="str">
        <f>IFERROR(__xludf.DUMMYFUNCTION("GOOGLETRANSLATE(B12896, ""zh"", ""en"")"),"Okay okay to open and close more trouble")</f>
        <v>Okay okay to open and close more trouble</v>
      </c>
    </row>
    <row r="12897">
      <c r="A12897" s="1">
        <v>5.0</v>
      </c>
      <c r="B12897" s="1" t="s">
        <v>12779</v>
      </c>
      <c r="C12897" t="str">
        <f>IFERROR(__xludf.DUMMYFUNCTION("GOOGLETRANSLATE(B12897, ""zh"", ""en"")"),"Very good experience spoon hot water will change color. But this large spoon to 6 month-old child is too big.")</f>
        <v>Very good experience spoon hot water will change color. But this large spoon to 6 month-old child is too big.</v>
      </c>
    </row>
    <row r="12898">
      <c r="A12898" s="1">
        <v>5.0</v>
      </c>
      <c r="B12898" s="1" t="s">
        <v>12780</v>
      </c>
      <c r="C12898" t="str">
        <f>IFERROR(__xludf.DUMMYFUNCTION("GOOGLETRANSLATE(B12898, ""zh"", ""en"")"),"Very good very good, more appropriate, 174cm, M code some length.")</f>
        <v>Very good very good, more appropriate, 174cm, M code some length.</v>
      </c>
    </row>
    <row r="12899">
      <c r="A12899" s="1">
        <v>2.0</v>
      </c>
      <c r="B12899" s="1" t="s">
        <v>12781</v>
      </c>
      <c r="C12899" t="str">
        <f>IFERROR(__xludf.DUMMYFUNCTION("GOOGLETRANSLATE(B12899, ""zh"", ""en"")"),"Size is much larger than the domestic. The following recommendations height 173 xs number. Code number is too large, the rubber before m gown, the code s (written on the clothes SP) gown as smaller size. My 173 / 68kg, the xs should look to buy. Or I miss"&amp;"ed and polo shirt na. p.s, polo's costomer fit short sleeve I wear proper, classic fit on a lot of fat.")</f>
        <v>Size is much larger than the domestic. The following recommendations height 173 xs number. Code number is too large, the rubber before m gown, the code s (written on the clothes SP) gown as smaller size. My 173 / 68kg, the xs should look to buy. Or I missed and polo shirt na. p.s, polo's costomer fit short sleeve I wear proper, classic fit on a lot of fat.</v>
      </c>
    </row>
    <row r="12900">
      <c r="A12900" s="1">
        <v>3.0</v>
      </c>
      <c r="B12900" s="1" t="s">
        <v>12782</v>
      </c>
      <c r="C12900" t="str">
        <f>IFERROR(__xludf.DUMMYFUNCTION("GOOGLETRANSLATE(B12900, ""zh"", ""en"")"),"Much too long, thin fabrics, clothes too long")</f>
        <v>Much too long, thin fabrics, clothes too long</v>
      </c>
    </row>
    <row r="12901">
      <c r="A12901" s="1">
        <v>3.0</v>
      </c>
      <c r="B12901" s="1" t="s">
        <v>12783</v>
      </c>
      <c r="C12901" t="str">
        <f>IFERROR(__xludf.DUMMYFUNCTION("GOOGLETRANSLATE(B12901, ""zh"", ""en"")"),"Leaking the first to eat crab, certainly comes at a price, actually leaking")</f>
        <v>Leaking the first to eat crab, certainly comes at a price, actually leaking</v>
      </c>
    </row>
    <row r="12902">
      <c r="A12902" s="1">
        <v>3.0</v>
      </c>
      <c r="B12902" s="1" t="s">
        <v>12784</v>
      </c>
      <c r="C12902" t="str">
        <f>IFERROR(__xludf.DUMMYFUNCTION("GOOGLETRANSLATE(B12902, ""zh"", ""en"")"),"Rough edges, have used the suspect, very light weight, do not feel durable belt work very rough, difficult to handle inside edges, smooth lateral cortex, the overall belt is very light, feels like a long, not strong, reciprocal two Kong Youming a signific"&amp;"ant period of time marks are used, the specific pictures, but it should not affect the use, in the end is not sent to me and then return to eyes of the beholder wise see wisdom, overall, okay, no tax increases on price fee is acceptable, I bought a size 8"&amp;"0, size up less tax, do not know how to calculate the difference between the tax 60RMB, waist circumference 75cm, the size of the inverse of the two holes 80 just for reference purposes only.")</f>
        <v>Rough edges, have used the suspect, very light weight, do not feel durable belt work very rough, difficult to handle inside edges, smooth lateral cortex, the overall belt is very light, feels like a long, not strong, reciprocal two Kong Youming a significant period of time marks are used, the specific pictures, but it should not affect the use, in the end is not sent to me and then return to eyes of the beholder wise see wisdom, overall, okay, no tax increases on price fee is acceptable, I bought a size 80, size up less tax, do not know how to calculate the difference between the tax 60RMB, waist circumference 75cm, the size of the inverse of the two holes 80 just for reference purposes only.</v>
      </c>
    </row>
    <row r="12903">
      <c r="A12903" s="1">
        <v>1.0</v>
      </c>
      <c r="B12903" s="1" t="s">
        <v>12785</v>
      </c>
      <c r="C12903" t="str">
        <f>IFERROR(__xludf.DUMMYFUNCTION("GOOGLETRANSLATE(B12903, ""zh"", ""en"")"),"Lid lid lax lax, lax lid")</f>
        <v>Lid lid lax lax, lax lid</v>
      </c>
    </row>
    <row r="12904">
      <c r="A12904" s="1">
        <v>1.0</v>
      </c>
      <c r="B12904" s="1" t="s">
        <v>12786</v>
      </c>
      <c r="C12904" t="str">
        <f>IFERROR(__xludf.DUMMYFUNCTION("GOOGLETRANSLATE(B12904, ""zh"", ""en"")"),"Worrying quality headphones can not buy a week, one side of the ear is too loose rotation, accompanied by abnormal sound. Open look at the e discovery rotary type circlip off and can not be restored, this poor quality of it, where to repair it?")</f>
        <v>Worrying quality headphones can not buy a week, one side of the ear is too loose rotation, accompanied by abnormal sound. Open look at the e discovery rotary type circlip off and can not be restored, this poor quality of it, where to repair it?</v>
      </c>
    </row>
    <row r="12905">
      <c r="A12905" s="1">
        <v>1.0</v>
      </c>
      <c r="B12905" s="1" t="s">
        <v>12787</v>
      </c>
      <c r="C12905" t="str">
        <f>IFERROR(__xludf.DUMMYFUNCTION("GOOGLETRANSLATE(B12905, ""zh"", ""en"")"),"Headphones to listen a second time just listening to bad twice, the second time you want to listen to while doing housework, but! A bend, the headset does not ring! Several times repeatedly tested and found to be poor contact between the right side of the"&amp;" switch module connected to the headset cord. Now I can not return it when the two. Do.g it to feed one hundred")</f>
        <v>Headphones to listen a second time just listening to bad twice, the second time you want to listen to while doing housework, but! A bend, the headset does not ring! Several times repeatedly tested and found to be poor contact between the right side of the switch module connected to the headset cord. Now I can not return it when the two. Do.g it to feed one hundred</v>
      </c>
    </row>
    <row r="12906">
      <c r="A12906" s="1">
        <v>4.0</v>
      </c>
      <c r="B12906" s="1" t="s">
        <v>12788</v>
      </c>
      <c r="C12906" t="str">
        <f>IFERROR(__xludf.DUMMYFUNCTION("GOOGLETRANSLATE(B12906, ""zh"", ""en"")"),"The feeling is not genuine but okay to wear shoes two shoes shoes side clearly see there are plastic packaging is too simple puma shoe box did not? It is authentic? !")</f>
        <v>The feeling is not genuine but okay to wear shoes two shoes shoes side clearly see there are plastic packaging is too simple puma shoe box did not? It is authentic? !</v>
      </c>
    </row>
    <row r="12907">
      <c r="A12907" s="1">
        <v>4.0</v>
      </c>
      <c r="B12907" s="1" t="s">
        <v>12789</v>
      </c>
      <c r="C12907" t="str">
        <f>IFERROR(__xludf.DUMMYFUNCTION("GOOGLETRANSLATE(B12907, ""zh"", ""en"")"),"Idle because the baby refused to eat a bottle nuk beginning of what can only buy what, thinking this is the closest the breast bottle, the baby should be easier to accept. From order to arrival, a total of about ten days, during the baby has been accepted"&amp;" and accustomed nuk, then the bottle to idle, Oh da 😢")</f>
        <v>Idle because the baby refused to eat a bottle nuk beginning of what can only buy what, thinking this is the closest the breast bottle, the baby should be easier to accept. From order to arrival, a total of about ten days, during the baby has been accepted and accustomed nuk, then the bottle to idle, Oh da 😢</v>
      </c>
    </row>
    <row r="12908">
      <c r="A12908" s="1">
        <v>4.0</v>
      </c>
      <c r="B12908" s="1" t="s">
        <v>12790</v>
      </c>
      <c r="C12908" t="str">
        <f>IFERROR(__xludf.DUMMYFUNCTION("GOOGLETRANSLATE(B12908, ""zh"", ""en"")"),"Okay my three straight series difficult to use, but not the head of thing I guess")</f>
        <v>Okay my three straight series difficult to use, but not the head of thing I guess</v>
      </c>
    </row>
    <row r="12909">
      <c r="A12909" s="1">
        <v>4.0</v>
      </c>
      <c r="B12909" s="1" t="s">
        <v>12791</v>
      </c>
      <c r="C12909" t="str">
        <f>IFERROR(__xludf.DUMMYFUNCTION("GOOGLETRANSLATE(B12909, ""zh"", ""en"")"),"In addition to other very good too big to direct my husband to wear very thick Fleece Trousers")</f>
        <v>In addition to other very good too big to direct my husband to wear very thick Fleece Trousers</v>
      </c>
    </row>
    <row r="12910">
      <c r="A12910" s="1">
        <v>5.0</v>
      </c>
      <c r="B12910" s="1" t="s">
        <v>12792</v>
      </c>
      <c r="C12910" t="str">
        <f>IFERROR(__xludf.DUMMYFUNCTION("GOOGLETRANSLATE(B12910, ""zh"", ""en"")"),"You pretty good, looking forward to the baby is born again.")</f>
        <v>You pretty good, looking forward to the baby is born again.</v>
      </c>
    </row>
    <row r="12911">
      <c r="A12911" s="1">
        <v>5.0</v>
      </c>
      <c r="B12911" s="1" t="s">
        <v>5744</v>
      </c>
      <c r="C12911" t="str">
        <f>IFERROR(__xludf.DUMMYFUNCTION("GOOGLETRANSLATE(B12911, ""zh"", ""en"")"),"Good quality and good quality")</f>
        <v>Good quality and good quality</v>
      </c>
    </row>
    <row r="12912">
      <c r="A12912" s="1">
        <v>5.0</v>
      </c>
      <c r="B12912" s="1" t="s">
        <v>12793</v>
      </c>
      <c r="C12912" t="str">
        <f>IFERROR(__xludf.DUMMYFUNCTION("GOOGLETRANSLATE(B12912, ""zh"", ""en"")"),"Seemingly buy big to wear a little bit loose is good not see completely different size")</f>
        <v>Seemingly buy big to wear a little bit loose is good not see completely different size</v>
      </c>
    </row>
    <row r="12913">
      <c r="A12913" s="1">
        <v>5.0</v>
      </c>
      <c r="B12913" s="1" t="s">
        <v>12794</v>
      </c>
      <c r="C12913" t="str">
        <f>IFERROR(__xludf.DUMMYFUNCTION("GOOGLETRANSLATE(B12913, ""zh"", ""en"")"),"Style color good, cheap. Style color good, cheap.")</f>
        <v>Style color good, cheap. Style color good, cheap.</v>
      </c>
    </row>
    <row r="12914">
      <c r="A12914" s="1">
        <v>5.0</v>
      </c>
      <c r="B12914" s="1" t="s">
        <v>12795</v>
      </c>
      <c r="C12914" t="str">
        <f>IFERROR(__xludf.DUMMYFUNCTION("GOOGLETRANSLATE(B12914, ""zh"", ""en"")"),"Good match style basic models good ride a little bit too large number jacket")</f>
        <v>Good match style basic models good ride a little bit too large number jacket</v>
      </c>
    </row>
    <row r="12915">
      <c r="A12915" s="1">
        <v>5.0</v>
      </c>
      <c r="B12915" s="1" t="s">
        <v>12796</v>
      </c>
      <c r="C12915" t="str">
        <f>IFERROR(__xludf.DUMMYFUNCTION("GOOGLETRANSLATE(B12915, ""zh"", ""en"")"),"Perfect to buy a good few this style pants feet Slim small tube is, as always, good.")</f>
        <v>Perfect to buy a good few this style pants feet Slim small tube is, as always, good.</v>
      </c>
    </row>
    <row r="12916">
      <c r="A12916" s="1">
        <v>5.0</v>
      </c>
      <c r="B12916" s="1" t="s">
        <v>12797</v>
      </c>
      <c r="C12916" t="str">
        <f>IFERROR(__xludf.DUMMYFUNCTION("GOOGLETRANSLATE(B12916, ""zh"", ""en"")"),"Good iron shoes, save my toes more than once")</f>
        <v>Good iron shoes, save my toes more than once</v>
      </c>
    </row>
    <row r="12917">
      <c r="A12917" s="1">
        <v>5.0</v>
      </c>
      <c r="B12917" s="1" t="s">
        <v>12798</v>
      </c>
      <c r="C12917" t="str">
        <f>IFERROR(__xludf.DUMMYFUNCTION("GOOGLETRANSLATE(B12917, ""zh"", ""en"")"),"Yardage standard, the material is of good down jacket, really good - (1) does not drill hair (2) Material generous than real, is not static (3) ha ha ha ha ha yardage standards were not disappointed")</f>
        <v>Yardage standard, the material is of good down jacket, really good - (1) does not drill hair (2) Material generous than real, is not static (3) ha ha ha ha ha yardage standards were not disappointed</v>
      </c>
    </row>
    <row r="12918">
      <c r="A12918" s="1">
        <v>5.0</v>
      </c>
      <c r="B12918" s="1" t="s">
        <v>12799</v>
      </c>
      <c r="C12918" t="str">
        <f>IFERROR(__xludf.DUMMYFUNCTION("GOOGLETRANSLATE(B12918, ""zh"", ""en"")"),"After three generations of the change to be sure, and finally to the pinnacle of the series after the third generation of Sony products to buy. Excellent noise reduction effect, Hi-Res little gold standard blessing, next door to the efforts ah QC")</f>
        <v>After three generations of the change to be sure, and finally to the pinnacle of the series after the third generation of Sony products to buy. Excellent noise reduction effect, Hi-Res little gold standard blessing, next door to the efforts ah QC</v>
      </c>
    </row>
    <row r="12919">
      <c r="A12919" s="1">
        <v>5.0</v>
      </c>
      <c r="B12919" s="1" t="s">
        <v>12800</v>
      </c>
      <c r="C12919" t="str">
        <f>IFERROR(__xludf.DUMMYFUNCTION("GOOGLETRANSLATE(B12919, ""zh"", ""en"")"),"Fine, coffee quality assurance. Freshly ground people say good, but beans short shelf life, flavor capsule anyhow save long, extracted quality assured. Is also very convenient with milk foam, pay attention to refrigerated milk, milk foam effect is to do. "&amp;"Machine workmanship was exquisite, the UK is the British-plug, you need to convert with a socket with ground also dozens.")</f>
        <v>Fine, coffee quality assurance. Freshly ground people say good, but beans short shelf life, flavor capsule anyhow save long, extracted quality assured. Is also very convenient with milk foam, pay attention to refrigerated milk, milk foam effect is to do. Machine workmanship was exquisite, the UK is the British-plug, you need to convert with a socket with ground also dozens.</v>
      </c>
    </row>
    <row r="12920">
      <c r="A12920" s="1">
        <v>5.0</v>
      </c>
      <c r="B12920" s="1" t="s">
        <v>12801</v>
      </c>
      <c r="C12920" t="str">
        <f>IFERROR(__xludf.DUMMYFUNCTION("GOOGLETRANSLATE(B12920, ""zh"", ""en"")"),"Good good high cost of a product, with prices proportional to read and write, work a little da da noise within acceptable limits.")</f>
        <v>Good good high cost of a product, with prices proportional to read and write, work a little da da noise within acceptable limits.</v>
      </c>
    </row>
    <row r="12921">
      <c r="A12921" s="1">
        <v>5.0</v>
      </c>
      <c r="B12921" s="1" t="s">
        <v>12802</v>
      </c>
      <c r="C12921" t="str">
        <f>IFERROR(__xludf.DUMMYFUNCTION("GOOGLETRANSLATE(B12921, ""zh"", ""en"")"),"For good ah, super like, can be equipped with lovers")</f>
        <v>For good ah, super like, can be equipped with lovers</v>
      </c>
    </row>
    <row r="12922">
      <c r="A12922" s="1">
        <v>5.0</v>
      </c>
      <c r="B12922" s="1" t="s">
        <v>12803</v>
      </c>
      <c r="C12922" t="str">
        <f>IFERROR(__xludf.DUMMYFUNCTION("GOOGLETRANSLATE(B12922, ""zh"", ""en"")"),"With the purchase experience comfortable, breathable, 160,105 pounds, just choose M")</f>
        <v>With the purchase experience comfortable, breathable, 160,105 pounds, just choose M</v>
      </c>
    </row>
    <row r="12923">
      <c r="A12923" s="1">
        <v>5.0</v>
      </c>
      <c r="B12923" s="1" t="s">
        <v>1341</v>
      </c>
      <c r="C12923" t="str">
        <f>IFERROR(__xludf.DUMMYFUNCTION("GOOGLETRANSLATE(B12923, ""zh"", ""en"")"),"Good really like.")</f>
        <v>Good really like.</v>
      </c>
    </row>
    <row r="12924">
      <c r="A12924" s="1">
        <v>5.0</v>
      </c>
      <c r="B12924" s="1" t="s">
        <v>12804</v>
      </c>
      <c r="C12924" t="str">
        <f>IFERROR(__xludf.DUMMYFUNCTION("GOOGLETRANSLATE(B12924, ""zh"", ""en"")"),"It is also a practical joker tide good look at the bag, it is tidal, size is also just, well take the clothes")</f>
        <v>It is also a practical joker tide good look at the bag, it is tidal, size is also just, well take the clothes</v>
      </c>
    </row>
    <row r="12925">
      <c r="A12925" s="1">
        <v>5.0</v>
      </c>
      <c r="B12925" s="1" t="s">
        <v>12805</v>
      </c>
      <c r="C12925" t="str">
        <f>IFERROR(__xludf.DUMMYFUNCTION("GOOGLETRANSLATE(B12925, ""zh"", ""en"")"),"Very good value for money, high cost.")</f>
        <v>Very good value for money, high cost.</v>
      </c>
    </row>
    <row r="12926">
      <c r="A12926" s="1">
        <v>5.0</v>
      </c>
      <c r="B12926" s="1" t="s">
        <v>12806</v>
      </c>
      <c r="C12926" t="str">
        <f>IFERROR(__xludf.DUMMYFUNCTION("GOOGLETRANSLATE(B12926, ""zh"", ""en"")"),"Fine workmanship garland white like this machine, praise the courier company 👍")</f>
        <v>Fine workmanship garland white like this machine, praise the courier company 👍</v>
      </c>
    </row>
    <row r="12927">
      <c r="A12927" s="1">
        <v>5.0</v>
      </c>
      <c r="B12927" s="1" t="s">
        <v>428</v>
      </c>
      <c r="C12927" t="str">
        <f>IFERROR(__xludf.DUMMYFUNCTION("GOOGLETRANSLATE(B12927, ""zh"", ""en"")"),"From almost perfect to put on some clothes look good, thin, fabric is also very good, fly in the ointment is lined with nylon collar edge, allergies, ah, ah allergy")</f>
        <v>From almost perfect to put on some clothes look good, thin, fabric is also very good, fly in the ointment is lined with nylon collar edge, allergies, ah, ah allergy</v>
      </c>
    </row>
    <row r="12928">
      <c r="A12928" s="1">
        <v>5.0</v>
      </c>
      <c r="B12928" s="1" t="s">
        <v>12807</v>
      </c>
      <c r="C12928" t="str">
        <f>IFERROR(__xludf.DUMMYFUNCTION("GOOGLETRANSLATE(B12928, ""zh"", ""en"")"),"I bust 120, XL just right! Something good, the price is not expensive, is the time to buy a pair of shoes clothes are like gambling, do not know that get the goods will be larger still small, this good luck, exactly!")</f>
        <v>I bust 120, XL just right! Something good, the price is not expensive, is the time to buy a pair of shoes clothes are like gambling, do not know that get the goods will be larger still small, this good luck, exactly!</v>
      </c>
    </row>
    <row r="12929">
      <c r="A12929" s="1">
        <v>5.0</v>
      </c>
      <c r="B12929" s="1" t="s">
        <v>12808</v>
      </c>
      <c r="C12929" t="str">
        <f>IFERROR(__xludf.DUMMYFUNCTION("GOOGLETRANSLATE(B12929, ""zh"", ""en"")"),"Tanabata gift boyfriend easy to buy. Boyfriend said very good, very fit.")</f>
        <v>Tanabata gift boyfriend easy to buy. Boyfriend said very good, very fit.</v>
      </c>
    </row>
    <row r="12930">
      <c r="A12930" s="1">
        <v>5.0</v>
      </c>
      <c r="B12930" s="1" t="s">
        <v>12809</v>
      </c>
      <c r="C12930" t="str">
        <f>IFERROR(__xludf.DUMMYFUNCTION("GOOGLETRANSLATE(B12930, ""zh"", ""en"")"),"Very cheap and easy, taking advantage of cheap store up. Cleanliness strong, teeth brushing very clean and white.")</f>
        <v>Very cheap and easy, taking advantage of cheap store up. Cleanliness strong, teeth brushing very clean and white.</v>
      </c>
    </row>
    <row r="12931">
      <c r="A12931" s="1">
        <v>5.0</v>
      </c>
      <c r="B12931" s="1" t="s">
        <v>12810</v>
      </c>
      <c r="C12931" t="str">
        <f>IFERROR(__xludf.DUMMYFUNCTION("GOOGLETRANSLATE(B12931, ""zh"", ""en"")"),"Ah good, oh buy shoes when wearing a bit crowded, but enough to wear for a day, of course, is a good read, think the price is very value")</f>
        <v>Ah good, oh buy shoes when wearing a bit crowded, but enough to wear for a day, of course, is a good read, think the price is very value</v>
      </c>
    </row>
    <row r="12932">
      <c r="A12932" s="1">
        <v>2.0</v>
      </c>
      <c r="B12932" s="1" t="s">
        <v>12811</v>
      </c>
      <c r="C12932" t="str">
        <f>IFERROR(__xludf.DUMMYFUNCTION("GOOGLETRANSLATE(B12932, ""zh"", ""en"")"),"No not provide lee version of the model to the purchaser finally brought the difficulty only after receiving inappropriate or choose to return the product page on the lee standard model. Returns a little high freight costs 125 yuan so before order to thin"&amp;"k clearly")</f>
        <v>No not provide lee version of the model to the purchaser finally brought the difficulty only after receiving inappropriate or choose to return the product page on the lee standard model. Returns a little high freight costs 125 yuan so before order to think clearly</v>
      </c>
    </row>
    <row r="12933">
      <c r="A12933" s="1">
        <v>3.0</v>
      </c>
      <c r="B12933" s="1" t="s">
        <v>12812</v>
      </c>
      <c r="C12933" t="str">
        <f>IFERROR(__xludf.DUMMYFUNCTION("GOOGLETRANSLATE(B12933, ""zh"", ""en"")"),"Because the internal design of human nature a little hard to accept the raised design")</f>
        <v>Because the internal design of human nature a little hard to accept the raised design</v>
      </c>
    </row>
    <row r="12934">
      <c r="A12934" s="1">
        <v>3.0</v>
      </c>
      <c r="B12934" s="1" t="s">
        <v>12813</v>
      </c>
      <c r="C12934" t="str">
        <f>IFERROR(__xludf.DUMMYFUNCTION("GOOGLETRANSLATE(B12934, ""zh"", ""en"")"),"A little thin a little disappointed, this leather wallet a little thin, flexible general, rushed to buy brand")</f>
        <v>A little thin a little disappointed, this leather wallet a little thin, flexible general, rushed to buy brand</v>
      </c>
    </row>
    <row r="12935">
      <c r="A12935" s="1">
        <v>3.0</v>
      </c>
      <c r="B12935" s="1" t="s">
        <v>12814</v>
      </c>
      <c r="C12935" t="str">
        <f>IFERROR(__xludf.DUMMYFUNCTION("GOOGLETRANSLATE(B12935, ""zh"", ""en"")"),"Unable to register? Bought two, can not be registered? Unable to register? Bought two, can not be registered?")</f>
        <v>Unable to register? Bought two, can not be registered? Unable to register? Bought two, can not be registered?</v>
      </c>
    </row>
    <row r="12936">
      <c r="A12936" s="1">
        <v>1.0</v>
      </c>
      <c r="B12936" s="1" t="s">
        <v>12435</v>
      </c>
      <c r="C12936" t="str">
        <f>IFERROR(__xludf.DUMMYFUNCTION("GOOGLETRANSLATE(B12936, ""zh"", ""en"")"),"Large color pictures and color deviation large deviation")</f>
        <v>Large color pictures and color deviation large deviation</v>
      </c>
    </row>
    <row r="12937">
      <c r="A12937" s="1">
        <v>1.0</v>
      </c>
      <c r="B12937" s="1" t="s">
        <v>12815</v>
      </c>
      <c r="C12937" t="str">
        <f>IFERROR(__xludf.DUMMYFUNCTION("GOOGLETRANSLATE(B12937, ""zh"", ""en"")"),"Returns size table inside two identical code is too misleading to consumers the United States, the Amazon staff is too irresponsible, very unpleasant first overseas experience. 41 is originally intended to buy, the results of the hair 44, not only return "&amp;"to wear. Tariffs also lost money, he said freight is only retirement in the form of gift cards, customer service before and after the inconsistency.")</f>
        <v>Returns size table inside two identical code is too misleading to consumers the United States, the Amazon staff is too irresponsible, very unpleasant first overseas experience. 41 is originally intended to buy, the results of the hair 44, not only return to wear. Tariffs also lost money, he said freight is only retirement in the form of gift cards, customer service before and after the inconsistency.</v>
      </c>
    </row>
    <row r="12938">
      <c r="A12938" s="1">
        <v>4.0</v>
      </c>
      <c r="B12938" s="1" t="s">
        <v>12816</v>
      </c>
      <c r="C12938" t="str">
        <f>IFERROR(__xludf.DUMMYFUNCTION("GOOGLETRANSLATE(B12938, ""zh"", ""en"")"),"It can also be worth buying, worth buying")</f>
        <v>It can also be worth buying, worth buying</v>
      </c>
    </row>
    <row r="12939">
      <c r="A12939" s="1">
        <v>4.0</v>
      </c>
      <c r="B12939" s="1" t="s">
        <v>12817</v>
      </c>
      <c r="C12939" t="str">
        <f>IFERROR(__xludf.DUMMYFUNCTION("GOOGLETRANSLATE(B12939, ""zh"", ""en"")"),"Good price good, just started, over time to see results.")</f>
        <v>Good price good, just started, over time to see results.</v>
      </c>
    </row>
    <row r="12940">
      <c r="A12940" s="1">
        <v>4.0</v>
      </c>
      <c r="B12940" s="1" t="s">
        <v>12818</v>
      </c>
      <c r="C12940" t="str">
        <f>IFERROR(__xludf.DUMMYFUNCTION("GOOGLETRANSLATE(B12940, ""zh"", ""en"")"),"Straight, thick legs, there is color. Carefully title, which is straight, big legs loose, elastic waist, waist circumference and domestic same. 175 + cm must remember to buy long pants 32L. The first kind of greenish color than the picture.")</f>
        <v>Straight, thick legs, there is color. Carefully title, which is straight, big legs loose, elastic waist, waist circumference and domestic same. 175 + cm must remember to buy long pants 32L. The first kind of greenish color than the picture.</v>
      </c>
    </row>
    <row r="12941">
      <c r="A12941" s="1">
        <v>4.0</v>
      </c>
      <c r="B12941" s="1" t="s">
        <v>12819</v>
      </c>
      <c r="C12941" t="str">
        <f>IFERROR(__xludf.DUMMYFUNCTION("GOOGLETRANSLATE(B12941, ""zh"", ""en"")"),"Whole can. Used to broadcast audio books, operation is extremely simple. White apply. Start recording a slight effect of current, Baidu, know not the wheat problem, the problem is the volume settings of your computer, and learn new skills. Recording effec"&amp;"t can be. Star is a difference because sent Figure II shows that wear does not matter at. Fast logistics. Machine handsome, very heavy hands, good stability.")</f>
        <v>Whole can. Used to broadcast audio books, operation is extremely simple. White apply. Start recording a slight effect of current, Baidu, know not the wheat problem, the problem is the volume settings of your computer, and learn new skills. Recording effect can be. Star is a difference because sent Figure II shows that wear does not matter at. Fast logistics. Machine handsome, very heavy hands, good stability.</v>
      </c>
    </row>
    <row r="12942">
      <c r="A12942" s="1">
        <v>4.0</v>
      </c>
      <c r="B12942" s="1" t="s">
        <v>12820</v>
      </c>
      <c r="C12942" t="str">
        <f>IFERROR(__xludf.DUMMYFUNCTION("GOOGLETRANSLATE(B12942, ""zh"", ""en"")"),"quality. The size of the US version of the quality will be times that. Relatively large, start to pay attention")</f>
        <v>quality. The size of the US version of the quality will be times that. Relatively large, start to pay attention</v>
      </c>
    </row>
    <row r="12943">
      <c r="A12943" s="1">
        <v>5.0</v>
      </c>
      <c r="B12943" s="1" t="s">
        <v>12821</v>
      </c>
      <c r="C12943" t="str">
        <f>IFERROR(__xludf.DUMMYFUNCTION("GOOGLETRANSLATE(B12943, ""zh"", ""en"")"),"Height 176, weight 80,32 × 32, slightly longer pants, but I like a little longer! Great, I bought two for the wear!")</f>
        <v>Height 176, weight 80,32 × 32, slightly longer pants, but I like a little longer! Great, I bought two for the wear!</v>
      </c>
    </row>
    <row r="12944">
      <c r="A12944" s="1">
        <v>5.0</v>
      </c>
      <c r="B12944" s="1" t="s">
        <v>12822</v>
      </c>
      <c r="C12944" t="str">
        <f>IFERROR(__xludf.DUMMYFUNCTION("GOOGLETRANSLATE(B12944, ""zh"", ""en"")"),"Recommended cheaper than domestic nearly 400, all of a sudden out of the whole membership fees, healthier teeth and gums")</f>
        <v>Recommended cheaper than domestic nearly 400, all of a sudden out of the whole membership fees, healthier teeth and gums</v>
      </c>
    </row>
    <row r="12945">
      <c r="A12945" s="1">
        <v>5.0</v>
      </c>
      <c r="B12945" s="1" t="s">
        <v>12823</v>
      </c>
      <c r="C12945" t="str">
        <f>IFERROR(__xludf.DUMMYFUNCTION("GOOGLETRANSLATE(B12945, ""zh"", ""en"")"),"Good use baby likes to good use, baby liked, very good!")</f>
        <v>Good use baby likes to good use, baby liked, very good!</v>
      </c>
    </row>
    <row r="12946">
      <c r="A12946" s="1">
        <v>5.0</v>
      </c>
      <c r="B12946" s="1" t="s">
        <v>12824</v>
      </c>
      <c r="C12946" t="str">
        <f>IFERROR(__xludf.DUMMYFUNCTION("GOOGLETRANSLATE(B12946, ""zh"", ""en"")"),"Praise good, but sometimes missing the second hand tick, and also cut prices")</f>
        <v>Praise good, but sometimes missing the second hand tick, and also cut prices</v>
      </c>
    </row>
    <row r="12947">
      <c r="A12947" s="1">
        <v>5.0</v>
      </c>
      <c r="B12947" s="1" t="s">
        <v>12825</v>
      </c>
      <c r="C12947" t="str">
        <f>IFERROR(__xludf.DUMMYFUNCTION("GOOGLETRANSLATE(B12947, ""zh"", ""en"")"),"40 a domestic spare. . . Therefore, co-red teeth bought together, reserved for future use.")</f>
        <v>40 a domestic spare. . . Therefore, co-red teeth bought together, reserved for future use.</v>
      </c>
    </row>
    <row r="12948">
      <c r="A12948" s="1">
        <v>5.0</v>
      </c>
      <c r="B12948" s="1" t="s">
        <v>12826</v>
      </c>
      <c r="C12948" t="str">
        <f>IFERROR(__xludf.DUMMYFUNCTION("GOOGLETRANSLATE(B12948, ""zh"", ""en"")"),"Size just the right size, some hard heel, usually wear shoes 41.5")</f>
        <v>Size just the right size, some hard heel, usually wear shoes 41.5</v>
      </c>
    </row>
    <row r="12949">
      <c r="A12949" s="1">
        <v>5.0</v>
      </c>
      <c r="B12949" s="1" t="s">
        <v>12827</v>
      </c>
      <c r="C12949" t="str">
        <f>IFERROR(__xludf.DUMMYFUNCTION("GOOGLETRANSLATE(B12949, ""zh"", ""en"")"),"Sea Amoy brush most suitable price really cheap, authentic.")</f>
        <v>Sea Amoy brush most suitable price really cheap, authentic.</v>
      </c>
    </row>
    <row r="12950">
      <c r="A12950" s="1">
        <v>5.0</v>
      </c>
      <c r="B12950" s="1" t="s">
        <v>12828</v>
      </c>
      <c r="C12950" t="str">
        <f>IFERROR(__xludf.DUMMYFUNCTION("GOOGLETRANSLATE(B12950, ""zh"", ""en"")"),"Sound quality is very good, very satisfied very satisfied with the sound quality is really good, cost-effective")</f>
        <v>Sound quality is very good, very satisfied very satisfied with the sound quality is really good, cost-effective</v>
      </c>
    </row>
    <row r="12951">
      <c r="A12951" s="1">
        <v>5.0</v>
      </c>
      <c r="B12951" s="1" t="s">
        <v>12829</v>
      </c>
      <c r="C12951" t="str">
        <f>IFERROR(__xludf.DUMMYFUNCTION("GOOGLETRANSLATE(B12951, ""zh"", ""en"")"),"Very good packaging very fine, have not used! It should feel good results!")</f>
        <v>Very good packaging very fine, have not used! It should feel good results!</v>
      </c>
    </row>
    <row r="12952">
      <c r="A12952" s="1">
        <v>5.0</v>
      </c>
      <c r="B12952" s="1" t="s">
        <v>12830</v>
      </c>
      <c r="C12952" t="str">
        <f>IFERROR(__xludf.DUMMYFUNCTION("GOOGLETRANSLATE(B12952, ""zh"", ""en"")"),"Philips electric toothbrush very good very good, the price is good, than to engage in activities of a certain treasure East also cheaper.")</f>
        <v>Philips electric toothbrush very good very good, the price is good, than to engage in activities of a certain treasure East also cheaper.</v>
      </c>
    </row>
    <row r="12953">
      <c r="A12953" s="1">
        <v>5.0</v>
      </c>
      <c r="B12953" s="1" t="s">
        <v>12831</v>
      </c>
      <c r="C12953" t="str">
        <f>IFERROR(__xludf.DUMMYFUNCTION("GOOGLETRANSLATE(B12953, ""zh"", ""en"")"),"Leather good, positive yards. Code number is also very positive ah, a lot of thick, winter wear may feel than emi temperament. September will be hot to wear.")</f>
        <v>Leather good, positive yards. Code number is also very positive ah, a lot of thick, winter wear may feel than emi temperament. September will be hot to wear.</v>
      </c>
    </row>
    <row r="12954">
      <c r="A12954" s="1">
        <v>5.0</v>
      </c>
      <c r="B12954" s="1" t="s">
        <v>12832</v>
      </c>
      <c r="C12954" t="str">
        <f>IFERROR(__xludf.DUMMYFUNCTION("GOOGLETRANSLATE(B12954, ""zh"", ""en"")"),"Very good table! Order this morning, afternoon received, better than expected! Appearance black, cool, strap is a little hard, but also it! Inexpensive! very satisfied!")</f>
        <v>Very good table! Order this morning, afternoon received, better than expected! Appearance black, cool, strap is a little hard, but also it! Inexpensive! very satisfied!</v>
      </c>
    </row>
    <row r="12955">
      <c r="A12955" s="1">
        <v>5.0</v>
      </c>
      <c r="B12955" s="1" t="s">
        <v>12833</v>
      </c>
      <c r="C12955" t="str">
        <f>IFERROR(__xludf.DUMMYFUNCTION("GOOGLETRANSLATE(B12955, ""zh"", ""en"")"),"After tasting Q10 is very satisfied with the last genuine Q10 Taobao bought this brand of this specification, transferred from Hong Kong, the price is more than 210 yuan per bottle, but the effect did not eat, definitely fake, but the packaging and the re"&amp;"al thing not see the difference, this time to buy from Amazon, after tasting, effective protection of the heart, it should be genuine, the future will come back here to buy.")</f>
        <v>After tasting Q10 is very satisfied with the last genuine Q10 Taobao bought this brand of this specification, transferred from Hong Kong, the price is more than 210 yuan per bottle, but the effect did not eat, definitely fake, but the packaging and the real thing not see the difference, this time to buy from Amazon, after tasting, effective protection of the heart, it should be genuine, the future will come back here to buy.</v>
      </c>
    </row>
    <row r="12956">
      <c r="A12956" s="1">
        <v>5.0</v>
      </c>
      <c r="B12956" s="1" t="s">
        <v>12834</v>
      </c>
      <c r="C12956" t="str">
        <f>IFERROR(__xludf.DUMMYFUNCTION("GOOGLETRANSLATE(B12956, ""zh"", ""en"")"),"Comfort is very good, comfortable, soft, not suitable for large chest sister")</f>
        <v>Comfort is very good, comfortable, soft, not suitable for large chest sister</v>
      </c>
    </row>
    <row r="12957">
      <c r="A12957" s="1">
        <v>5.0</v>
      </c>
      <c r="B12957" s="1" t="s">
        <v>12835</v>
      </c>
      <c r="C12957" t="str">
        <f>IFERROR(__xludf.DUMMYFUNCTION("GOOGLETRANSLATE(B12957, ""zh"", ""en"")"),"Good goods new era cap money is great, the very type")</f>
        <v>Good goods new era cap money is great, the very type</v>
      </c>
    </row>
    <row r="12958">
      <c r="A12958" s="1">
        <v>5.0</v>
      </c>
      <c r="B12958" s="1" t="s">
        <v>12836</v>
      </c>
      <c r="C12958" t="str">
        <f>IFERROR(__xludf.DUMMYFUNCTION("GOOGLETRANSLATE(B12958, ""zh"", ""en"")"),"Size is too large 185CM, 80kg, 34 Feishou suitable code, but a large portion of the length of an estimated 30 to 32 on the line")</f>
        <v>Size is too large 185CM, 80kg, 34 Feishou suitable code, but a large portion of the length of an estimated 30 to 32 on the line</v>
      </c>
    </row>
    <row r="12959">
      <c r="A12959" s="1">
        <v>5.0</v>
      </c>
      <c r="B12959" s="1" t="s">
        <v>12837</v>
      </c>
      <c r="C12959" t="str">
        <f>IFERROR(__xludf.DUMMYFUNCTION("GOOGLETRANSLATE(B12959, ""zh"", ""en"")"),"Color is very beautiful and comfortable shoes are the color of this election is very beautiful like her mother and an order to buy a pair of shoes is wide buy big but too fond of the pad a good insole")</f>
        <v>Color is very beautiful and comfortable shoes are the color of this election is very beautiful like her mother and an order to buy a pair of shoes is wide buy big but too fond of the pad a good insole</v>
      </c>
    </row>
    <row r="12960">
      <c r="A12960" s="1">
        <v>5.0</v>
      </c>
      <c r="B12960" s="1" t="s">
        <v>12838</v>
      </c>
      <c r="C12960" t="str">
        <f>IFERROR(__xludf.DUMMYFUNCTION("GOOGLETRANSLATE(B12960, ""zh"", ""en"")"),"Good kick things is not bad or good, fine workmanship, leather looking good, just the right size.")</f>
        <v>Good kick things is not bad or good, fine workmanship, leather looking good, just the right size.</v>
      </c>
    </row>
    <row r="12961">
      <c r="A12961" s="1">
        <v>5.0</v>
      </c>
      <c r="B12961" s="1" t="s">
        <v>12839</v>
      </c>
      <c r="C12961" t="str">
        <f>IFERROR(__xludf.DUMMYFUNCTION("GOOGLETRANSLATE(B12961, ""zh"", ""en"")"),"Yes 172 height, 66 kg, Bust 97CM, S and M are acceptable, M sleeve loose a lot.")</f>
        <v>Yes 172 height, 66 kg, Bust 97CM, S and M are acceptable, M sleeve loose a lot.</v>
      </c>
    </row>
    <row r="12962">
      <c r="A12962" s="1">
        <v>5.0</v>
      </c>
      <c r="B12962" s="1" t="s">
        <v>12840</v>
      </c>
      <c r="C12962" t="str">
        <f>IFERROR(__xludf.DUMMYFUNCTION("GOOGLETRANSLATE(B12962, ""zh"", ""en"")"),"Pants good buy comfortable to wear six yards short, I 165cm 68kg appropriate, the length of the foot, very satisfied!")</f>
        <v>Pants good buy comfortable to wear six yards short, I 165cm 68kg appropriate, the length of the foot, very satisfied!</v>
      </c>
    </row>
    <row r="12963">
      <c r="A12963" s="1">
        <v>5.0</v>
      </c>
      <c r="B12963" s="1" t="s">
        <v>12841</v>
      </c>
      <c r="C12963" t="str">
        <f>IFERROR(__xludf.DUMMYFUNCTION("GOOGLETRANSLATE(B12963, ""zh"", ""en"")"),"Can not be disinfected for scraping apples, shortcomings can not be disinfected, sterilized steam sterilization Xiaoduwangui can not")</f>
        <v>Can not be disinfected for scraping apples, shortcomings can not be disinfected, sterilized steam sterilization Xiaoduwangui can not</v>
      </c>
    </row>
    <row r="12964">
      <c r="A12964" s="1">
        <v>5.0</v>
      </c>
      <c r="B12964" s="1" t="s">
        <v>12842</v>
      </c>
      <c r="C12964" t="str">
        <f>IFERROR(__xludf.DUMMYFUNCTION("GOOGLETRANSLATE(B12964, ""zh"", ""en"")"),"Very satisfied with the size of very appropriate and very comfortable 180 weight 195 big belly wearing just the right height but very successful shopping logistics is also very fast speed of about ten days")</f>
        <v>Very satisfied with the size of very appropriate and very comfortable 180 weight 195 big belly wearing just the right height but very successful shopping logistics is also very fast speed of about ten days</v>
      </c>
    </row>
    <row r="12965">
      <c r="A12965" s="1">
        <v>2.0</v>
      </c>
      <c r="B12965" s="1" t="s">
        <v>12843</v>
      </c>
      <c r="C12965" t="str">
        <f>IFERROR(__xludf.DUMMYFUNCTION("GOOGLETRANSLATE(B12965, ""zh"", ""en"")"),"No quality is not quality, bought to wear more than a week on the broken")</f>
        <v>No quality is not quality, bought to wear more than a week on the broken</v>
      </c>
    </row>
    <row r="12966">
      <c r="A12966" s="1">
        <v>3.0</v>
      </c>
      <c r="B12966" s="1" t="s">
        <v>12844</v>
      </c>
      <c r="C12966" t="str">
        <f>IFERROR(__xludf.DUMMYFUNCTION("GOOGLETRANSLATE(B12966, ""zh"", ""en"")"),"Amazon first time to buy pants! Did not buy a lot of experience, we have to change in order to wear")</f>
        <v>Amazon first time to buy pants! Did not buy a lot of experience, we have to change in order to wear</v>
      </c>
    </row>
    <row r="12967">
      <c r="A12967" s="1">
        <v>3.0</v>
      </c>
      <c r="B12967" s="1" t="s">
        <v>12845</v>
      </c>
      <c r="C12967" t="str">
        <f>IFERROR(__xludf.DUMMYFUNCTION("GOOGLETRANSLATE(B12967, ""zh"", ""en"")"),"Sure enough, not good goods cheaper this shoe and do not feel like shopping, I buy black, leather feels very thin touched on the break feeling. Is an old Beijing cloth shoes sticky soles, insoles very hard myself bought a pair of zoom mat inside. The only"&amp;" advantage is good value Yan, Yang Yang analogy is the star inside a class, not just high Naicao structure simple color value.")</f>
        <v>Sure enough, not good goods cheaper this shoe and do not feel like shopping, I buy black, leather feels very thin touched on the break feeling. Is an old Beijing cloth shoes sticky soles, insoles very hard myself bought a pair of zoom mat inside. The only advantage is good value Yan, Yang Yang analogy is the star inside a class, not just high Naicao structure simple color value.</v>
      </c>
    </row>
    <row r="12968">
      <c r="A12968" s="1">
        <v>1.0</v>
      </c>
      <c r="B12968" s="1" t="s">
        <v>12846</v>
      </c>
      <c r="C12968" t="str">
        <f>IFERROR(__xludf.DUMMYFUNCTION("GOOGLETRANSLATE(B12968, ""zh"", ""en"")"),"Fabric kind of thin, thin, a bit long. Inside are the thread, really bad. 173/72 kg")</f>
        <v>Fabric kind of thin, thin, a bit long. Inside are the thread, really bad. 173/72 kg</v>
      </c>
    </row>
    <row r="12969">
      <c r="A12969" s="1">
        <v>1.0</v>
      </c>
      <c r="B12969" s="1" t="s">
        <v>12847</v>
      </c>
      <c r="C12969" t="str">
        <f>IFERROR(__xludf.DUMMYFUNCTION("GOOGLETRANSLATE(B12969, ""zh"", ""en"")"),"Option feet. Foot odor, but can only throw a new brand to test the water, really do not fly, it is better nb")</f>
        <v>Option feet. Foot odor, but can only throw a new brand to test the water, really do not fly, it is better nb</v>
      </c>
    </row>
    <row r="12970">
      <c r="A12970" s="1">
        <v>4.0</v>
      </c>
      <c r="B12970" s="1" t="s">
        <v>12848</v>
      </c>
      <c r="C12970" t="str">
        <f>IFERROR(__xludf.DUMMYFUNCTION("GOOGLETRANSLATE(B12970, ""zh"", ""en"")"),"Pressure instep us8 code, a long 250, width 8, low instep, I just started to wear insoles 235 feet have to go out, or instep can not stand the pressure,")</f>
        <v>Pressure instep us8 code, a long 250, width 8, low instep, I just started to wear insoles 235 feet have to go out, or instep can not stand the pressure,</v>
      </c>
    </row>
    <row r="12971">
      <c r="A12971" s="1">
        <v>4.0</v>
      </c>
      <c r="B12971" s="1" t="s">
        <v>12849</v>
      </c>
      <c r="C12971" t="str">
        <f>IFERROR(__xludf.DUMMYFUNCTION("GOOGLETRANSLATE(B12971, ""zh"", ""en"")"),"Not fit, size is too large size is too large")</f>
        <v>Not fit, size is too large size is too large</v>
      </c>
    </row>
    <row r="12972">
      <c r="A12972" s="1">
        <v>4.0</v>
      </c>
      <c r="B12972" s="1" t="s">
        <v>12850</v>
      </c>
      <c r="C12972" t="str">
        <f>IFERROR(__xludf.DUMMYFUNCTION("GOOGLETRANSLATE(B12972, ""zh"", ""en"")"),"Soft, soft and comfortable to wear really, really comfortable to wear")</f>
        <v>Soft, soft and comfortable to wear really, really comfortable to wear</v>
      </c>
    </row>
    <row r="12973">
      <c r="A12973" s="1">
        <v>4.0</v>
      </c>
      <c r="B12973" s="1" t="s">
        <v>12851</v>
      </c>
      <c r="C12973" t="str">
        <f>IFERROR(__xludf.DUMMYFUNCTION("GOOGLETRANSLATE(B12973, ""zh"", ""en"")"),"178,64 kg, M code is too large too, when wearing tracksuit")</f>
        <v>178,64 kg, M code is too large too, when wearing tracksuit</v>
      </c>
    </row>
    <row r="12974">
      <c r="A12974" s="1">
        <v>4.0</v>
      </c>
      <c r="B12974" s="1" t="s">
        <v>12852</v>
      </c>
      <c r="C12974" t="str">
        <f>IFERROR(__xludf.DUMMYFUNCTION("GOOGLETRANSLATE(B12974, ""zh"", ""en"")"),"COMMENT good, we should pay attention because it is the US version, buy a smaller size. About 170 s, 180m. So 😊. It is great.You should buy a smaller size if you are a Chinese or Janpanese for it is American size, which may not be suitable for Asians.")</f>
        <v>COMMENT good, we should pay attention because it is the US version, buy a smaller size. About 170 s, 180m. So 😊. It is great.You should buy a smaller size if you are a Chinese or Janpanese for it is American size, which may not be suitable for Asians.</v>
      </c>
    </row>
    <row r="12975">
      <c r="A12975" s="1">
        <v>5.0</v>
      </c>
      <c r="B12975" s="1" t="s">
        <v>12853</v>
      </c>
      <c r="C12975" t="str">
        <f>IFERROR(__xludf.DUMMYFUNCTION("GOOGLETRANSLATE(B12975, ""zh"", ""en"")"),"Recommended to buy and easy to carry, use good sense.")</f>
        <v>Recommended to buy and easy to carry, use good sense.</v>
      </c>
    </row>
    <row r="12976">
      <c r="A12976" s="1">
        <v>5.0</v>
      </c>
      <c r="B12976" s="1" t="s">
        <v>12854</v>
      </c>
      <c r="C12976" t="str">
        <f>IFERROR(__xludf.DUMMYFUNCTION("GOOGLETRANSLATE(B12976, ""zh"", ""en"")"),"Okay! Packaging is very delicate dial really particularly large, small wrist unruly ah!")</f>
        <v>Okay! Packaging is very delicate dial really particularly large, small wrist unruly ah!</v>
      </c>
    </row>
    <row r="12977">
      <c r="A12977" s="1">
        <v>5.0</v>
      </c>
      <c r="B12977" s="1" t="s">
        <v>12855</v>
      </c>
      <c r="C12977" t="str">
        <f>IFERROR(__xludf.DUMMYFUNCTION("GOOGLETRANSLATE(B12977, ""zh"", ""en"")"),"Sea Amoy price is very cheap spent about half the time it arrived, but equal to half of the money spent in this table, a lot of people do not like the shape, but for me, especially good-looking, fine!")</f>
        <v>Sea Amoy price is very cheap spent about half the time it arrived, but equal to half of the money spent in this table, a lot of people do not like the shape, but for me, especially good-looking, fine!</v>
      </c>
    </row>
    <row r="12978">
      <c r="A12978" s="1">
        <v>5.0</v>
      </c>
      <c r="B12978" s="1" t="s">
        <v>12856</v>
      </c>
      <c r="C12978" t="str">
        <f>IFERROR(__xludf.DUMMYFUNCTION("GOOGLETRANSLATE(B12978, ""zh"", ""en"")"),"Good quality, it should be relatively warm, the price is right quality is very good, the price is right, is quick price changes")</f>
        <v>Good quality, it should be relatively warm, the price is right quality is very good, the price is right, is quick price changes</v>
      </c>
    </row>
    <row r="12979">
      <c r="A12979" s="1">
        <v>5.0</v>
      </c>
      <c r="B12979" s="1" t="s">
        <v>12857</v>
      </c>
      <c r="C12979" t="str">
        <f>IFERROR(__xludf.DUMMYFUNCTION("GOOGLETRANSLATE(B12979, ""zh"", ""en"")"),"Good-looking, handsome good-looking pair of shoes Attractive Attractive Attractive Attractive, my favorite pair of shoes, I feel very handsome, going out at night to buy milk, what are the super feeling a sense of security can kick people dead 2333")</f>
        <v>Good-looking, handsome good-looking pair of shoes Attractive Attractive Attractive Attractive, my favorite pair of shoes, I feel very handsome, going out at night to buy milk, what are the super feeling a sense of security can kick people dead 2333</v>
      </c>
    </row>
    <row r="12980">
      <c r="A12980" s="1">
        <v>5.0</v>
      </c>
      <c r="B12980" s="1" t="s">
        <v>12858</v>
      </c>
      <c r="C12980" t="str">
        <f>IFERROR(__xludf.DUMMYFUNCTION("GOOGLETRANSLATE(B12980, ""zh"", ""en"")"),"Morita sea good, sounds good, comfortable to wear.")</f>
        <v>Morita sea good, sounds good, comfortable to wear.</v>
      </c>
    </row>
    <row r="12981">
      <c r="A12981" s="1">
        <v>5.0</v>
      </c>
      <c r="B12981" s="1" t="s">
        <v>2742</v>
      </c>
      <c r="C12981" t="str">
        <f>IFERROR(__xludf.DUMMYFUNCTION("GOOGLETRANSLATE(B12981, ""zh"", ""en"")"),"Really good friend introduced, said with feeling, then first I bought a try. Really good!")</f>
        <v>Really good friend introduced, said with feeling, then first I bought a try. Really good!</v>
      </c>
    </row>
    <row r="12982">
      <c r="A12982" s="1">
        <v>5.0</v>
      </c>
      <c r="B12982" s="1" t="s">
        <v>12859</v>
      </c>
      <c r="C12982" t="str">
        <f>IFERROR(__xludf.DUMMYFUNCTION("GOOGLETRANSLATE(B12982, ""zh"", ""en"")"),"The right size, color is good quality delivery speed! 170cm, 65kg right size, longer, S can wear, the color quality are good")</f>
        <v>The right size, color is good quality delivery speed! 170cm, 65kg right size, longer, S can wear, the color quality are good</v>
      </c>
    </row>
    <row r="12983">
      <c r="A12983" s="1">
        <v>5.0</v>
      </c>
      <c r="B12983" s="1" t="s">
        <v>12860</v>
      </c>
      <c r="C12983" t="str">
        <f>IFERROR(__xludf.DUMMYFUNCTION("GOOGLETRANSLATE(B12983, ""zh"", ""en"")"),"6730 with no problem riding a discount when you buy, the 6730 no problem with this, though with less advanced features, eight provincial point of use can really use for a long time.")</f>
        <v>6730 with no problem riding a discount when you buy, the 6730 no problem with this, though with less advanced features, eight provincial point of use can really use for a long time.</v>
      </c>
    </row>
    <row r="12984">
      <c r="A12984" s="1">
        <v>5.0</v>
      </c>
      <c r="B12984" s="1" t="s">
        <v>4419</v>
      </c>
      <c r="C12984" t="str">
        <f>IFERROR(__xludf.DUMMYFUNCTION("GOOGLETRANSLATE(B12984, ""zh"", ""en"")"),"Clothes is very good satisfaction clothes of good quality, soft touch to get started cowboy elastic; logistics fast. Height 163 52kg S code just right")</f>
        <v>Clothes is very good satisfaction clothes of good quality, soft touch to get started cowboy elastic; logistics fast. Height 163 52kg S code just right</v>
      </c>
    </row>
    <row r="12985">
      <c r="A12985" s="1">
        <v>5.0</v>
      </c>
      <c r="B12985" s="1" t="s">
        <v>12861</v>
      </c>
      <c r="C12985" t="str">
        <f>IFERROR(__xludf.DUMMYFUNCTION("GOOGLETRANSLATE(B12985, ""zh"", ""en"")"),"All aspects of good to send a husband, and before use in domestic, it is easy to feel no electricity, using them also lack electricity, pull the beard, the Netherlands produced like a lot, very satisfied")</f>
        <v>All aspects of good to send a husband, and before use in domestic, it is easy to feel no electricity, using them also lack electricity, pull the beard, the Netherlands produced like a lot, very satisfied</v>
      </c>
    </row>
    <row r="12986">
      <c r="A12986" s="1">
        <v>5.0</v>
      </c>
      <c r="B12986" s="1" t="s">
        <v>12862</v>
      </c>
      <c r="C12986" t="str">
        <f>IFERROR(__xludf.DUMMYFUNCTION("GOOGLETRANSLATE(B12986, ""zh"", ""en"")"),"Worth buying very comfortable material, cotton content pricey. Likes, point a praise!")</f>
        <v>Worth buying very comfortable material, cotton content pricey. Likes, point a praise!</v>
      </c>
    </row>
    <row r="12987">
      <c r="A12987" s="1">
        <v>5.0</v>
      </c>
      <c r="B12987" s="1" t="s">
        <v>12863</v>
      </c>
      <c r="C12987" t="str">
        <f>IFERROR(__xludf.DUMMYFUNCTION("GOOGLETRANSLATE(B12987, ""zh"", ""en"")"),"The arrival of fast, good packaging Nichia arrive faster, I believe that the Japanese original, the packaging cardboard and taped, very intimate")</f>
        <v>The arrival of fast, good packaging Nichia arrive faster, I believe that the Japanese original, the packaging cardboard and taped, very intimate</v>
      </c>
    </row>
    <row r="12988">
      <c r="A12988" s="1">
        <v>5.0</v>
      </c>
      <c r="B12988" s="1" t="s">
        <v>12864</v>
      </c>
      <c r="C12988" t="str">
        <f>IFERROR(__xludf.DUMMYFUNCTION("GOOGLETRANSLATE(B12988, ""zh"", ""en"")"),"bosch MUM59340GB good, but I do not know after the warranty supposed bosch MUM59340GB good, and good face, good juice. But after the warranty I supposed to know? This is a direct purchase of the Amazon, the Amazon should be able to find it solved,")</f>
        <v>bosch MUM59340GB good, but I do not know after the warranty supposed bosch MUM59340GB good, and good face, good juice. But after the warranty I supposed to know? This is a direct purchase of the Amazon, the Amazon should be able to find it solved,</v>
      </c>
    </row>
    <row r="12989">
      <c r="A12989" s="1">
        <v>5.0</v>
      </c>
      <c r="B12989" s="1" t="s">
        <v>12865</v>
      </c>
      <c r="C12989" t="str">
        <f>IFERROR(__xludf.DUMMYFUNCTION("GOOGLETRANSLATE(B12989, ""zh"", ""en"")"),"Very good, very comfortable to wear. Girls can bring the same, I feel just fine, is not convenient cleaning. White want to take more pride in it")</f>
        <v>Very good, very comfortable to wear. Girls can bring the same, I feel just fine, is not convenient cleaning. White want to take more pride in it</v>
      </c>
    </row>
    <row r="12990">
      <c r="A12990" s="1">
        <v>5.0</v>
      </c>
      <c r="B12990" s="1" t="s">
        <v>12866</v>
      </c>
      <c r="C12990" t="str">
        <f>IFERROR(__xludf.DUMMYFUNCTION("GOOGLETRANSLATE(B12990, ""zh"", ""en"")"),"Worth buying, suitable for spring and summer. Thin, fabric feel good, warm.")</f>
        <v>Worth buying, suitable for spring and summer. Thin, fabric feel good, warm.</v>
      </c>
    </row>
    <row r="12991">
      <c r="A12991" s="1">
        <v>5.0</v>
      </c>
      <c r="B12991" s="1" t="s">
        <v>12867</v>
      </c>
      <c r="C12991" t="str">
        <f>IFERROR(__xludf.DUMMYFUNCTION("GOOGLETRANSLATE(B12991, ""zh"", ""en"")"),"Very good the first time, is checked on the Internet and word of mouth before the start of the performance, very satisfied.")</f>
        <v>Very good the first time, is checked on the Internet and word of mouth before the start of the performance, very satisfied.</v>
      </c>
    </row>
    <row r="12992">
      <c r="A12992" s="1">
        <v>5.0</v>
      </c>
      <c r="B12992" s="1" t="s">
        <v>12868</v>
      </c>
      <c r="C12992" t="str">
        <f>IFERROR(__xludf.DUMMYFUNCTION("GOOGLETRANSLATE(B12992, ""zh"", ""en"")"),"Favorite stuff until finally, more than 360 4T practical and satisfactory.")</f>
        <v>Favorite stuff until finally, more than 360 4T practical and satisfactory.</v>
      </c>
    </row>
    <row r="12993">
      <c r="A12993" s="1">
        <v>5.0</v>
      </c>
      <c r="B12993" s="1" t="s">
        <v>12869</v>
      </c>
      <c r="C12993" t="str">
        <f>IFERROR(__xludf.DUMMYFUNCTION("GOOGLETRANSLATE(B12993, ""zh"", ""en"")"),"Perfect merchandise shirt material good, and Amazon product images color a bit biased light.")</f>
        <v>Perfect merchandise shirt material good, and Amazon product images color a bit biased light.</v>
      </c>
    </row>
    <row r="12994">
      <c r="A12994" s="1">
        <v>5.0</v>
      </c>
      <c r="B12994" s="1" t="s">
        <v>12870</v>
      </c>
      <c r="C12994" t="str">
        <f>IFERROR(__xludf.DUMMYFUNCTION("GOOGLETRANSLATE(B12994, ""zh"", ""en"")"),"Suitable size of this code 40 usually suitable")</f>
        <v>Suitable size of this code 40 usually suitable</v>
      </c>
    </row>
    <row r="12995">
      <c r="A12995" s="1">
        <v>5.0</v>
      </c>
      <c r="B12995" s="1" t="s">
        <v>12871</v>
      </c>
      <c r="C12995" t="str">
        <f>IFERROR(__xludf.DUMMYFUNCTION("GOOGLETRANSLATE(B12995, ""zh"", ""en"")"),"Keep good time, not waterproof durability test, the light energy, would like to spend 20 years!")</f>
        <v>Keep good time, not waterproof durability test, the light energy, would like to spend 20 years!</v>
      </c>
    </row>
    <row r="12996">
      <c r="A12996" s="1">
        <v>5.0</v>
      </c>
      <c r="B12996" s="1" t="s">
        <v>12872</v>
      </c>
      <c r="C12996" t="str">
        <f>IFERROR(__xludf.DUMMYFUNCTION("GOOGLETRANSLATE(B12996, ""zh"", ""en"")"),"A very tall very tall, the children have a face, hard, anti-everything")</f>
        <v>A very tall very tall, the children have a face, hard, anti-everything</v>
      </c>
    </row>
    <row r="12997">
      <c r="A12997" s="1">
        <v>2.0</v>
      </c>
      <c r="B12997" s="1" t="s">
        <v>12873</v>
      </c>
      <c r="C12997" t="str">
        <f>IFERROR(__xludf.DUMMYFUNCTION("GOOGLETRANSLATE(B12997, ""zh"", ""en"")"),"Disappointed usb3.0 interface transfer rate is more than just 6m, slow it, very disappointed")</f>
        <v>Disappointed usb3.0 interface transfer rate is more than just 6m, slow it, very disappointed</v>
      </c>
    </row>
    <row r="12998">
      <c r="A12998" s="1">
        <v>3.0</v>
      </c>
      <c r="B12998" s="1" t="s">
        <v>12874</v>
      </c>
      <c r="C12998" t="str">
        <f>IFERROR(__xludf.DUMMYFUNCTION("GOOGLETRANSLATE(B12998, ""zh"", ""en"")"),"Too incense and previously bought Sita Fu is not the same, this is the kind of sweet, add a write xx natural ingredients like oil but it really is too sweet on the bottle. The baby did not dare to use. Body milk used to do it yourself, big bottle, use a l"&amp;"ong time ...")</f>
        <v>Too incense and previously bought Sita Fu is not the same, this is the kind of sweet, add a write xx natural ingredients like oil but it really is too sweet on the bottle. The baby did not dare to use. Body milk used to do it yourself, big bottle, use a long time ...</v>
      </c>
    </row>
    <row r="12999">
      <c r="A12999" s="1">
        <v>3.0</v>
      </c>
      <c r="B12999" s="1" t="s">
        <v>12875</v>
      </c>
      <c r="C12999" t="str">
        <f>IFERROR(__xludf.DUMMYFUNCTION("GOOGLETRANSLATE(B12999, ""zh"", ""en"")"),"Watch is very beautiful, but the packaging is too simple, even a tag are not, nor sealed packaging feel uncomfortable. Gone for 10 days, almost 3 seconds.")</f>
        <v>Watch is very beautiful, but the packaging is too simple, even a tag are not, nor sealed packaging feel uncomfortable. Gone for 10 days, almost 3 seconds.</v>
      </c>
    </row>
    <row r="13000">
      <c r="A13000" s="1">
        <v>1.0</v>
      </c>
      <c r="B13000" s="1" t="s">
        <v>12876</v>
      </c>
      <c r="C13000" t="str">
        <f>IFERROR(__xludf.DUMMYFUNCTION("GOOGLETRANSLATE(B13000, ""zh"", ""en"")"),"Never buy a shopping experience to experience extremely poor, black five buy specials, this also bought a transformer and adapter, did not think the machine is actually bad, plug no response. Overseas purchase does not support the return, the overseas edi"&amp;"tion of the brand after-sales service is not a machine, they could not deal with customer service, in short, is a higher price to the useless junk, overseas purchase must be careful of")</f>
        <v>Never buy a shopping experience to experience extremely poor, black five buy specials, this also bought a transformer and adapter, did not think the machine is actually bad, plug no response. Overseas purchase does not support the return, the overseas edition of the brand after-sales service is not a machine, they could not deal with customer service, in short, is a higher price to the useless junk, overseas purchase must be careful of</v>
      </c>
    </row>
    <row r="13001">
      <c r="A13001" s="1">
        <v>1.0</v>
      </c>
      <c r="B13001" s="1" t="s">
        <v>12877</v>
      </c>
      <c r="C13001" t="str">
        <f>IFERROR(__xludf.DUMMYFUNCTION("GOOGLETRANSLATE(B13001, ""zh"", ""en"")"),"Second-hand goods, there are clear signs of use: disappointed with the shopping Amazon import of this base other commodities cheaper than the market, but later bought very angry, because the paper did not seal sets of plastic boxes, plastic box can easily"&amp;" be opened. I bought it was to be opened traces: the metal clip has a clear fingerprints! There is also touched the tip of the hand signs, because this is not a lot written bright side, otherwise it will be more obvious. This is definitely not a factory f"&amp;"actory inspection, I can only say that improper storage management.")</f>
        <v>Second-hand goods, there are clear signs of use: disappointed with the shopping Amazon import of this base other commodities cheaper than the market, but later bought very angry, because the paper did not seal sets of plastic boxes, plastic box can easily be opened. I bought it was to be opened traces: the metal clip has a clear fingerprints! There is also touched the tip of the hand signs, because this is not a lot written bright side, otherwise it will be more obvious. This is definitely not a factory factory inspection, I can only say that improper storage management.</v>
      </c>
    </row>
    <row r="13002">
      <c r="A13002" s="1">
        <v>1.0</v>
      </c>
      <c r="B13002" s="1" t="s">
        <v>12878</v>
      </c>
      <c r="C13002" t="str">
        <f>IFERROR(__xludf.DUMMYFUNCTION("GOOGLETRANSLATE(B13002, ""zh"", ""en"")"),"Non-slip soles, no guarantee of personal safety shoes wear very comfortable, non-slip soles technology but too bad, touch the water often unexpected slip, not suitable for use in the Chinese mainland citizens. 【Negative Ratings】")</f>
        <v>Non-slip soles, no guarantee of personal safety shoes wear very comfortable, non-slip soles technology but too bad, touch the water often unexpected slip, not suitable for use in the Chinese mainland citizens. 【Negative Ratings】</v>
      </c>
    </row>
    <row r="13003">
      <c r="A13003" s="1">
        <v>4.0</v>
      </c>
      <c r="B13003" s="1" t="s">
        <v>12879</v>
      </c>
      <c r="C13003" t="str">
        <f>IFERROR(__xludf.DUMMYFUNCTION("GOOGLETRANSLATE(B13003, ""zh"", ""en"")"),"Pigeon, good yo. Small and convenient, stickers humane, most seemingly beyond the scale can also be used.")</f>
        <v>Pigeon, good yo. Small and convenient, stickers humane, most seemingly beyond the scale can also be used.</v>
      </c>
    </row>
    <row r="13004">
      <c r="A13004" s="1">
        <v>4.0</v>
      </c>
      <c r="B13004" s="1" t="s">
        <v>12880</v>
      </c>
      <c r="C13004" t="str">
        <f>IFERROR(__xludf.DUMMYFUNCTION("GOOGLETRANSLATE(B13004, ""zh"", ""en"")"),"After too large too large 178CM 110kg in accordance with national lee of 46 yards to buy a hand finding at least a good one and a half size large pants quality")</f>
        <v>After too large too large 178CM 110kg in accordance with national lee of 46 yards to buy a hand finding at least a good one and a half size large pants quality</v>
      </c>
    </row>
    <row r="13005">
      <c r="A13005" s="1">
        <v>4.0</v>
      </c>
      <c r="B13005" s="1" t="s">
        <v>12881</v>
      </c>
      <c r="C13005" t="str">
        <f>IFERROR(__xludf.DUMMYFUNCTION("GOOGLETRANSLATE(B13005, ""zh"", ""en"")"),"Sound is not recommended, it is not recommended, or five lines with a more comfortable")</f>
        <v>Sound is not recommended, it is not recommended, or five lines with a more comfortable</v>
      </c>
    </row>
    <row r="13006">
      <c r="A13006" s="1">
        <v>4.0</v>
      </c>
      <c r="B13006" s="1" t="s">
        <v>12882</v>
      </c>
      <c r="C13006" t="str">
        <f>IFERROR(__xludf.DUMMYFUNCTION("GOOGLETRANSLATE(B13006, ""zh"", ""en"")"),"Fortunately, that is made in China strange, anyway, I will not judge the genuine, the price should be no problem")</f>
        <v>Fortunately, that is made in China strange, anyway, I will not judge the genuine, the price should be no problem</v>
      </c>
    </row>
    <row r="13007">
      <c r="A13007" s="1">
        <v>4.0</v>
      </c>
      <c r="B13007" s="1" t="s">
        <v>12883</v>
      </c>
      <c r="C13007" t="str">
        <f>IFERROR(__xludf.DUMMYFUNCTION("GOOGLETRANSLATE(B13007, ""zh"", ""en"")"),"Receipt of the item, not used. Not wear. Just received.")</f>
        <v>Receipt of the item, not used. Not wear. Just received.</v>
      </c>
    </row>
    <row r="13008">
      <c r="A13008" s="1">
        <v>5.0</v>
      </c>
      <c r="B13008" s="1" t="s">
        <v>12884</v>
      </c>
      <c r="C13008" t="str">
        <f>IFERROR(__xludf.DUMMYFUNCTION("GOOGLETRANSLATE(B13008, ""zh"", ""en"")"),"This is good to buy two colors, but bought two operational errors as black. The cup is very light, very insulation, the quality is really good. Express fast, very good.")</f>
        <v>This is good to buy two colors, but bought two operational errors as black. The cup is very light, very insulation, the quality is really good. Express fast, very good.</v>
      </c>
    </row>
    <row r="13009">
      <c r="A13009" s="1">
        <v>5.0</v>
      </c>
      <c r="B13009" s="1" t="s">
        <v>12885</v>
      </c>
      <c r="C13009" t="str">
        <f>IFERROR(__xludf.DUMMYFUNCTION("GOOGLETRANSLATE(B13009, ""zh"", ""en"")"),"Larger 172/76 kg, M still much too large.")</f>
        <v>Larger 172/76 kg, M still much too large.</v>
      </c>
    </row>
    <row r="13010">
      <c r="A13010" s="1">
        <v>5.0</v>
      </c>
      <c r="B13010" s="1" t="s">
        <v>12886</v>
      </c>
      <c r="C13010" t="str">
        <f>IFERROR(__xludf.DUMMYFUNCTION("GOOGLETRANSLATE(B13010, ""zh"", ""en"")"),"There is like running noise, but very small, the price is very beautiful")</f>
        <v>There is like running noise, but very small, the price is very beautiful</v>
      </c>
    </row>
    <row r="13011">
      <c r="A13011" s="1">
        <v>5.0</v>
      </c>
      <c r="B13011" s="1" t="s">
        <v>12887</v>
      </c>
      <c r="C13011" t="str">
        <f>IFERROR(__xludf.DUMMYFUNCTION("GOOGLETRANSLATE(B13011, ""zh"", ""en"")"),"The two most satisfying shopping, my sister liked the pants too comfortable, the key is to wear thin in the summer, it was thin")</f>
        <v>The two most satisfying shopping, my sister liked the pants too comfortable, the key is to wear thin in the summer, it was thin</v>
      </c>
    </row>
    <row r="13012">
      <c r="A13012" s="1">
        <v>5.0</v>
      </c>
      <c r="B13012" s="1" t="s">
        <v>12888</v>
      </c>
      <c r="C13012" t="str">
        <f>IFERROR(__xludf.DUMMYFUNCTION("GOOGLETRANSLATE(B13012, ""zh"", ""en"")"),"The same price than Japan and in Japan can see, the price is cheaper.")</f>
        <v>The same price than Japan and in Japan can see, the price is cheaper.</v>
      </c>
    </row>
    <row r="13013">
      <c r="A13013" s="1">
        <v>5.0</v>
      </c>
      <c r="B13013" s="1" t="s">
        <v>12889</v>
      </c>
      <c r="C13013" t="str">
        <f>IFERROR(__xludf.DUMMYFUNCTION("GOOGLETRANSLATE(B13013, ""zh"", ""en"")"),"SHOES good, very good quality, comfortable to wear! Cheaper than domestic models")</f>
        <v>SHOES good, very good quality, comfortable to wear! Cheaper than domestic models</v>
      </c>
    </row>
    <row r="13014">
      <c r="A13014" s="1">
        <v>5.0</v>
      </c>
      <c r="B13014" s="1" t="s">
        <v>12890</v>
      </c>
      <c r="C13014" t="str">
        <f>IFERROR(__xludf.DUMMYFUNCTION("GOOGLETRANSLATE(B13014, ""zh"", ""en"")"),"Nice work passing through, affordable, comfortable fabrics")</f>
        <v>Nice work passing through, affordable, comfortable fabrics</v>
      </c>
    </row>
    <row r="13015">
      <c r="A13015" s="1">
        <v>5.0</v>
      </c>
      <c r="B13015" s="1" t="s">
        <v>12891</v>
      </c>
      <c r="C13015" t="str">
        <f>IFERROR(__xludf.DUMMYFUNCTION("GOOGLETRANSLATE(B13015, ""zh"", ""en"")"),"Capacity is enough, fast enough capacity, speed, size is also suitable for portable, very good.")</f>
        <v>Capacity is enough, fast enough capacity, speed, size is also suitable for portable, very good.</v>
      </c>
    </row>
    <row r="13016">
      <c r="A13016" s="1">
        <v>5.0</v>
      </c>
      <c r="B13016" s="1" t="s">
        <v>12892</v>
      </c>
      <c r="C13016" t="str">
        <f>IFERROR(__xludf.DUMMYFUNCTION("GOOGLETRANSLATE(B13016, ""zh"", ""en"")"),"Oh good pot is the end of sunflowers, fried things completely without skills. The depth of fried fish directly be finished soup is very convenient. Is waiting too long, the customs card for a month. Amazon customer service is very good.")</f>
        <v>Oh good pot is the end of sunflowers, fried things completely without skills. The depth of fried fish directly be finished soup is very convenient. Is waiting too long, the customs card for a month. Amazon customer service is very good.</v>
      </c>
    </row>
    <row r="13017">
      <c r="A13017" s="1">
        <v>5.0</v>
      </c>
      <c r="B13017" s="1" t="s">
        <v>12893</v>
      </c>
      <c r="C13017" t="str">
        <f>IFERROR(__xludf.DUMMYFUNCTION("GOOGLETRANSLATE(B13017, ""zh"", ""en"")"),"Well fine, all good quality version")</f>
        <v>Well fine, all good quality version</v>
      </c>
    </row>
    <row r="13018">
      <c r="A13018" s="1">
        <v>5.0</v>
      </c>
      <c r="B13018" s="1" t="s">
        <v>12894</v>
      </c>
      <c r="C13018" t="str">
        <f>IFERROR(__xludf.DUMMYFUNCTION("GOOGLETRANSLATE(B13018, ""zh"", ""en"")"),"Ok thousand Yuan most accurate headphones, not one, Etymotic beliefs addition value, 🐲 necessary")</f>
        <v>Ok thousand Yuan most accurate headphones, not one, Etymotic beliefs addition value, 🐲 necessary</v>
      </c>
    </row>
    <row r="13019">
      <c r="A13019" s="1">
        <v>5.0</v>
      </c>
      <c r="B13019" s="1" t="s">
        <v>12895</v>
      </c>
      <c r="C13019" t="str">
        <f>IFERROR(__xludf.DUMMYFUNCTION("GOOGLETRANSLATE(B13019, ""zh"", ""en"")"),"Perfect shoes so comfortable, the right size, pretty shoes")</f>
        <v>Perfect shoes so comfortable, the right size, pretty shoes</v>
      </c>
    </row>
    <row r="13020">
      <c r="A13020" s="1">
        <v>5.0</v>
      </c>
      <c r="B13020" s="1" t="s">
        <v>12896</v>
      </c>
      <c r="C13020" t="str">
        <f>IFERROR(__xludf.DUMMYFUNCTION("GOOGLETRANSLATE(B13020, ""zh"", ""en"")"),"Good-looking and good wear hemp is particularly suitable to wear, soft and very warm, not cotton but not static. Color is also suitable.")</f>
        <v>Good-looking and good wear hemp is particularly suitable to wear, soft and very warm, not cotton but not static. Color is also suitable.</v>
      </c>
    </row>
    <row r="13021">
      <c r="A13021" s="1">
        <v>5.0</v>
      </c>
      <c r="B13021" s="1" t="s">
        <v>12897</v>
      </c>
      <c r="C13021" t="str">
        <f>IFERROR(__xludf.DUMMYFUNCTION("GOOGLETRANSLATE(B13021, ""zh"", ""en"")"),"Okay really good Japanese version. Hair circle inside. Cotton texture. My height 179 bust 98 L little short dress long bust appropriate. XL buy more fit.")</f>
        <v>Okay really good Japanese version. Hair circle inside. Cotton texture. My height 179 bust 98 L little short dress long bust appropriate. XL buy more fit.</v>
      </c>
    </row>
    <row r="13022">
      <c r="A13022" s="1">
        <v>5.0</v>
      </c>
      <c r="B13022" s="1" t="s">
        <v>12898</v>
      </c>
      <c r="C13022" t="str">
        <f>IFERROR(__xludf.DUMMYFUNCTION("GOOGLETRANSLATE(B13022, ""zh"", ""en"")"),"A great day to eat, no longer like before, often the oral ulcers.")</f>
        <v>A great day to eat, no longer like before, often the oral ulcers.</v>
      </c>
    </row>
    <row r="13023">
      <c r="A13023" s="1">
        <v>5.0</v>
      </c>
      <c r="B13023" s="1" t="s">
        <v>12899</v>
      </c>
      <c r="C13023" t="str">
        <f>IFERROR(__xludf.DUMMYFUNCTION("GOOGLETRANSLATE(B13023, ""zh"", ""en"")"),"Comfortable underwear very comfortable, and the rest of the Minato words")</f>
        <v>Comfortable underwear very comfortable, and the rest of the Minato words</v>
      </c>
    </row>
    <row r="13024">
      <c r="A13024" s="1">
        <v>5.0</v>
      </c>
      <c r="B13024" s="1" t="s">
        <v>12900</v>
      </c>
      <c r="C13024" t="str">
        <f>IFERROR(__xludf.DUMMYFUNCTION("GOOGLETRANSLATE(B13024, ""zh"", ""en"")"),"Sharaku Four Seasons color blue through writing Chinese characters feel quite right Ling US crude would write more, but you can write English characters handwritten music started going a little ugly, damping pen and paper feeling than Ling US capital, but"&amp;" very comfortable to write")</f>
        <v>Sharaku Four Seasons color blue through writing Chinese characters feel quite right Ling US crude would write more, but you can write English characters handwritten music started going a little ugly, damping pen and paper feeling than Ling US capital, but very comfortable to write</v>
      </c>
    </row>
    <row r="13025">
      <c r="A13025" s="1">
        <v>5.0</v>
      </c>
      <c r="B13025" s="1" t="s">
        <v>12901</v>
      </c>
      <c r="C13025" t="str">
        <f>IFERROR(__xludf.DUMMYFUNCTION("GOOGLETRANSLATE(B13025, ""zh"", ""en"")"),"Mom and Dad to buy food, we hope to have effect for parents to buy food, hope to have effect. Good price.")</f>
        <v>Mom and Dad to buy food, we hope to have effect for parents to buy food, hope to have effect. Good price.</v>
      </c>
    </row>
    <row r="13026">
      <c r="A13026" s="1">
        <v>5.0</v>
      </c>
      <c r="B13026" s="1" t="s">
        <v>12902</v>
      </c>
      <c r="C13026" t="str">
        <f>IFERROR(__xludf.DUMMYFUNCTION("GOOGLETRANSLATE(B13026, ""zh"", ""en"")"),"Really nice shoes really beautiful, is too fond of the crease, does not Genjiao, mats and a half yard cushion is much better, ha ha ha, but still like ah,")</f>
        <v>Really nice shoes really beautiful, is too fond of the crease, does not Genjiao, mats and a half yard cushion is much better, ha ha ha, but still like ah,</v>
      </c>
    </row>
    <row r="13027">
      <c r="A13027" s="1">
        <v>5.0</v>
      </c>
      <c r="B13027" s="1" t="s">
        <v>12903</v>
      </c>
      <c r="C13027" t="str">
        <f>IFERROR(__xludf.DUMMYFUNCTION("GOOGLETRANSLATE(B13027, ""zh"", ""en"")"),"Cotton is comfortable satisfaction, later identified here")</f>
        <v>Cotton is comfortable satisfaction, later identified here</v>
      </c>
    </row>
    <row r="13028">
      <c r="A13028" s="1">
        <v>5.0</v>
      </c>
      <c r="B13028" s="1" t="s">
        <v>12904</v>
      </c>
      <c r="C13028" t="str">
        <f>IFERROR(__xludf.DUMMYFUNCTION("GOOGLETRANSLATE(B13028, ""zh"", ""en"")"),"Material good cup gives me a big surprise, thick lid, the cup body and clear water, no taste. Spend 6.5 yuan for a plug, it is easy to use. I'm not just looking for recipes, playing out nectarine juice is too thick, huh, huh, unrelated to the product. Any"&amp;"way, I like this product.")</f>
        <v>Material good cup gives me a big surprise, thick lid, the cup body and clear water, no taste. Spend 6.5 yuan for a plug, it is easy to use. I'm not just looking for recipes, playing out nectarine juice is too thick, huh, huh, unrelated to the product. Anyway, I like this product.</v>
      </c>
    </row>
    <row r="13029">
      <c r="A13029" s="1">
        <v>5.0</v>
      </c>
      <c r="B13029" s="1" t="s">
        <v>12905</v>
      </c>
      <c r="C13029" t="str">
        <f>IFERROR(__xludf.DUMMYFUNCTION("GOOGLETRANSLATE(B13029, ""zh"", ""en"")"),"Satisfaction very worthy, very satisfied.")</f>
        <v>Satisfaction very worthy, very satisfied.</v>
      </c>
    </row>
    <row r="13030">
      <c r="A13030" s="1">
        <v>2.0</v>
      </c>
      <c r="B13030" s="1" t="s">
        <v>12906</v>
      </c>
      <c r="C13030" t="str">
        <f>IFERROR(__xludf.DUMMYFUNCTION("GOOGLETRANSLATE(B13030, ""zh"", ""en"")"),"Too expensive, not worth so much money to buy regret")</f>
        <v>Too expensive, not worth so much money to buy regret</v>
      </c>
    </row>
    <row r="13031">
      <c r="A13031" s="1">
        <v>3.0</v>
      </c>
      <c r="B13031" s="1" t="s">
        <v>12907</v>
      </c>
      <c r="C13031" t="str">
        <f>IFERROR(__xludf.DUMMYFUNCTION("GOOGLETRANSLATE(B13031, ""zh"", ""en"")"),"Price is not real, after buying a lot of drop generally speaking not very affordable price")</f>
        <v>Price is not real, after buying a lot of drop generally speaking not very affordable price</v>
      </c>
    </row>
    <row r="13032">
      <c r="A13032" s="1">
        <v>3.0</v>
      </c>
      <c r="B13032" s="1" t="s">
        <v>12908</v>
      </c>
      <c r="C13032" t="str">
        <f>IFERROR(__xludf.DUMMYFUNCTION("GOOGLETRANSLATE(B13032, ""zh"", ""en"")"),"Material and price match thin material, feel more rigid, made in China; it seems to three days, it should be stored in a tax warehouse goods.")</f>
        <v>Material and price match thin material, feel more rigid, made in China; it seems to three days, it should be stored in a tax warehouse goods.</v>
      </c>
    </row>
    <row r="13033">
      <c r="A13033" s="1">
        <v>3.0</v>
      </c>
      <c r="B13033" s="1" t="s">
        <v>12909</v>
      </c>
      <c r="C13033" t="str">
        <f>IFERROR(__xludf.DUMMYFUNCTION("GOOGLETRANSLATE(B13033, ""zh"", ""en"")"),"Too large, flawed large size, there are open lines to return")</f>
        <v>Too large, flawed large size, there are open lines to return</v>
      </c>
    </row>
    <row r="13034">
      <c r="A13034" s="1">
        <v>1.0</v>
      </c>
      <c r="B13034" s="1" t="s">
        <v>12910</v>
      </c>
      <c r="C13034" t="str">
        <f>IFERROR(__xludf.DUMMYFUNCTION("GOOGLETRANSLATE(B13034, ""zh"", ""en"")"),"Pilling serious wear for a week, crotch pilling very seriously, so much wear pants, for the first time faced with this")</f>
        <v>Pilling serious wear for a week, crotch pilling very seriously, so much wear pants, for the first time faced with this</v>
      </c>
    </row>
    <row r="13035">
      <c r="A13035" s="1">
        <v>1.0</v>
      </c>
      <c r="B13035" s="1" t="s">
        <v>12911</v>
      </c>
      <c r="C13035" t="str">
        <f>IFERROR(__xludf.DUMMYFUNCTION("GOOGLETRANSLATE(B13035, ""zh"", ""en"")"),"Poor Poor Poor not pull a few dirty, like a used but also so much trouble return")</f>
        <v>Poor Poor Poor not pull a few dirty, like a used but also so much trouble return</v>
      </c>
    </row>
    <row r="13036">
      <c r="A13036" s="1">
        <v>1.0</v>
      </c>
      <c r="B13036" s="1" t="s">
        <v>12912</v>
      </c>
      <c r="C13036" t="str">
        <f>IFERROR(__xludf.DUMMYFUNCTION("GOOGLETRANSLATE(B13036, ""zh"", ""en"")"),"After the kettle can not plug Maker light does not take! Whom do! Please return a message")</f>
        <v>After the kettle can not plug Maker light does not take! Whom do! Please return a message</v>
      </c>
    </row>
    <row r="13037">
      <c r="A13037" s="1">
        <v>4.0</v>
      </c>
      <c r="B13037" s="1" t="s">
        <v>12913</v>
      </c>
      <c r="C13037" t="str">
        <f>IFERROR(__xludf.DUMMYFUNCTION("GOOGLETRANSLATE(B13037, ""zh"", ""en"")"),"Generally with Lycra and elastic, not straight, straight pants is smaller than the color deviation is not a pale blue light blue gray.")</f>
        <v>Generally with Lycra and elastic, not straight, straight pants is smaller than the color deviation is not a pale blue light blue gray.</v>
      </c>
    </row>
    <row r="13038">
      <c r="A13038" s="1">
        <v>4.0</v>
      </c>
      <c r="B13038" s="1" t="s">
        <v>12914</v>
      </c>
      <c r="C13038" t="str">
        <f>IFERROR(__xludf.DUMMYFUNCTION("GOOGLETRANSLATE(B13038, ""zh"", ""en"")"),"Extreme sports give you a reference, crotch more pieces of fabric, thinner than the rest, splits like sense of movement without obstruction, straightened legs close together, some loose before the file does not look good. Color some color, overall very fl"&amp;"exible. The title says, extreme sports, feel inappropriate to buy only themselves to blame Ha")</f>
        <v>Extreme sports give you a reference, crotch more pieces of fabric, thinner than the rest, splits like sense of movement without obstruction, straightened legs close together, some loose before the file does not look good. Color some color, overall very flexible. The title says, extreme sports, feel inappropriate to buy only themselves to blame Ha</v>
      </c>
    </row>
    <row r="13039">
      <c r="A13039" s="1">
        <v>4.0</v>
      </c>
      <c r="B13039" s="1" t="s">
        <v>12915</v>
      </c>
      <c r="C13039" t="str">
        <f>IFERROR(__xludf.DUMMYFUNCTION("GOOGLETRANSLATE(B13039, ""zh"", ""en"")"),"1 can be cost-effective, listening: This is the second purchase Bluetooth, than before to buy 70 dollars a homemade music headphones level a lot of good, clear sound, bass enough, and the original Apple cable-like effect. Watch video delay is not obvious."&amp;" Sound leakage problem exists when volume is turned up to more than half. 2, and micro-channel voice recording: a delay is relatively high, a larger noise. It may be reluctant to use, but the results are poor. 3, Bluetooth connectivity: Normally stable co"&amp;"nnection, the boot that is even, good speed. The only time may be due to disconnection of the device through two access simultaneously present, sudden break with, putting the sound occurs. 4, wearing situation: I can not wear ear headphones, so it is like"&amp;" the semi-open design. And similar to the original Apple cable, walk when you can wear a basic living, running is completely not acceptable. But most of my time indoors, there is no problem, long-wearing comfort. 5. Summary: higher cost, to achieve a good"&amp;" Bluetooth headset listening function at around 150 yuan.")</f>
        <v>1 can be cost-effective, listening: This is the second purchase Bluetooth, than before to buy 70 dollars a homemade music headphones level a lot of good, clear sound, bass enough, and the original Apple cable-like effect. Watch video delay is not obvious. Sound leakage problem exists when volume is turned up to more than half. 2, and micro-channel voice recording: a delay is relatively high, a larger noise. It may be reluctant to use, but the results are poor. 3, Bluetooth connectivity: Normally stable connection, the boot that is even, good speed. The only time may be due to disconnection of the device through two access simultaneously present, sudden break with, putting the sound occurs. 4, wearing situation: I can not wear ear headphones, so it is like the semi-open design. And similar to the original Apple cable, walk when you can wear a basic living, running is completely not acceptable. But most of my time indoors, there is no problem, long-wearing comfort. 5. Summary: higher cost, to achieve a good Bluetooth headset listening function at around 150 yuan.</v>
      </c>
    </row>
    <row r="13040">
      <c r="A13040" s="1">
        <v>4.0</v>
      </c>
      <c r="B13040" s="1" t="s">
        <v>12916</v>
      </c>
      <c r="C13040" t="str">
        <f>IFERROR(__xludf.DUMMYFUNCTION("GOOGLETRANSLATE(B13040, ""zh"", ""en"")"),"Genuine somewhat elastic, resilient individuals are not particularly fond of jeans.")</f>
        <v>Genuine somewhat elastic, resilient individuals are not particularly fond of jeans.</v>
      </c>
    </row>
    <row r="13041">
      <c r="A13041" s="1">
        <v>4.0</v>
      </c>
      <c r="B13041" s="1" t="s">
        <v>12917</v>
      </c>
      <c r="C13041" t="str">
        <f>IFERROR(__xludf.DUMMYFUNCTION("GOOGLETRANSLATE(B13041, ""zh"", ""en"")"),"Color and photos, like, 200 yuan of domestic and pants almost feel, unlike the Lee brand. A bit like the United States to sell spread the goods.")</f>
        <v>Color and photos, like, 200 yuan of domestic and pants almost feel, unlike the Lee brand. A bit like the United States to sell spread the goods.</v>
      </c>
    </row>
    <row r="13042">
      <c r="A13042" s="1">
        <v>5.0</v>
      </c>
      <c r="B13042" s="1" t="s">
        <v>12918</v>
      </c>
      <c r="C13042" t="str">
        <f>IFERROR(__xludf.DUMMYFUNCTION("GOOGLETRANSLATE(B13042, ""zh"", ""en"")"),"Heart water of choice, the absolute value! This excellent really commendable. Night orders, the next day they received something. Packaging is very professional and very attentive, the standard paper tray, and with a foam cushion wrapped inside, and even "&amp;"air-cushion bags are used, although things are not great. Supporting very complete, warranty card what the class has. Well, words Reformed title. Physical map with exactly the same, personally feel better. Comment on what many people say is not pure white"&amp;" beige like, in fact, did not. Dial relatively larger, more suitable for men. Very light, very comfortable to bring style simple, affordable, super durable, very suitable for students with a family who had just graduated from work.")</f>
        <v>Heart water of choice, the absolute value! This excellent really commendable. Night orders, the next day they received something. Packaging is very professional and very attentive, the standard paper tray, and with a foam cushion wrapped inside, and even air-cushion bags are used, although things are not great. Supporting very complete, warranty card what the class has. Well, words Reformed title. Physical map with exactly the same, personally feel better. Comment on what many people say is not pure white beige like, in fact, did not. Dial relatively larger, more suitable for men. Very light, very comfortable to bring style simple, affordable, super durable, very suitable for students with a family who had just graduated from work.</v>
      </c>
    </row>
    <row r="13043">
      <c r="A13043" s="1">
        <v>5.0</v>
      </c>
      <c r="B13043" s="1" t="s">
        <v>12919</v>
      </c>
      <c r="C13043" t="str">
        <f>IFERROR(__xludf.DUMMYFUNCTION("GOOGLETRANSLATE(B13043, ""zh"", ""en"")"),"Very good pen is very smooth, we have to mention the word best, but this one is me, at my own writing habits and coarse, had selected would be more appropriate fine. It is usually used in the country to buy and write music cheap steel pen nib mouth, F sha"&amp;"rp writing so cool, very good pen to write music.")</f>
        <v>Very good pen is very smooth, we have to mention the word best, but this one is me, at my own writing habits and coarse, had selected would be more appropriate fine. It is usually used in the country to buy and write music cheap steel pen nib mouth, F sharp writing so cool, very good pen to write music.</v>
      </c>
    </row>
    <row r="13044">
      <c r="A13044" s="1">
        <v>5.0</v>
      </c>
      <c r="B13044" s="1" t="s">
        <v>12920</v>
      </c>
      <c r="C13044" t="str">
        <f>IFERROR(__xludf.DUMMYFUNCTION("GOOGLETRANSLATE(B13044, ""zh"", ""en"")"),"it is good. After contact customer service, the answer can not be insured (under order after the price reduction, rp hehe), other logistics very slow (like there is a big difference with other overseas goods purchased). Nevertheless, without prejudice to "&amp;"five-star rating on the product itself. Also note several points: First, the transformer needs to put in place (2000 ~ 3000va), and second, although the CD-ROM Profile Chinese subtitles, but the detailed description and ""recipes"" No Chinese (available i"&amp;"n English provided).")</f>
        <v>it is good. After contact customer service, the answer can not be insured (under order after the price reduction, rp hehe), other logistics very slow (like there is a big difference with other overseas goods purchased). Nevertheless, without prejudice to five-star rating on the product itself. Also note several points: First, the transformer needs to put in place (2000 ~ 3000va), and second, although the CD-ROM Profile Chinese subtitles, but the detailed description and "recipes" No Chinese (available in English provided).</v>
      </c>
    </row>
    <row r="13045">
      <c r="A13045" s="1">
        <v>5.0</v>
      </c>
      <c r="B13045" s="1" t="s">
        <v>12921</v>
      </c>
      <c r="C13045" t="str">
        <f>IFERROR(__xludf.DUMMYFUNCTION("GOOGLETRANSLATE(B13045, ""zh"", ""en"")"),"Very comfortable bought four pairs of before and after")</f>
        <v>Very comfortable bought four pairs of before and after</v>
      </c>
    </row>
    <row r="13046">
      <c r="A13046" s="1">
        <v>5.0</v>
      </c>
      <c r="B13046" s="1" t="s">
        <v>12922</v>
      </c>
      <c r="C13046" t="str">
        <f>IFERROR(__xludf.DUMMYFUNCTION("GOOGLETRANSLATE(B13046, ""zh"", ""en"")"),"prime Member Minato single buy, good good, never went before the evaluation, I do not know how many wasted points, points can change money now know, they should look carefully evaluated, then I put these words to copy to go, both to earn integration, but "&amp;"also the easy way, where are copying where, most importantly, do not seriously review, do not think how much worse word, sent directly to it, recommend it to everyone! !")</f>
        <v>prime Member Minato single buy, good good, never went before the evaluation, I do not know how many wasted points, points can change money now know, they should look carefully evaluated, then I put these words to copy to go, both to earn integration, but also the easy way, where are copying where, most importantly, do not seriously review, do not think how much worse word, sent directly to it, recommend it to everyone! !</v>
      </c>
    </row>
    <row r="13047">
      <c r="A13047" s="1">
        <v>5.0</v>
      </c>
      <c r="B13047" s="1" t="s">
        <v>12923</v>
      </c>
      <c r="C13047" t="str">
        <f>IFERROR(__xludf.DUMMYFUNCTION("GOOGLETRANSLATE(B13047, ""zh"", ""en"")"),"Fast delivery looks good, is yet to find a Chinese version of the description, not a good tune")</f>
        <v>Fast delivery looks good, is yet to find a Chinese version of the description, not a good tune</v>
      </c>
    </row>
    <row r="13048">
      <c r="A13048" s="1">
        <v>5.0</v>
      </c>
      <c r="B13048" s="1" t="s">
        <v>12924</v>
      </c>
      <c r="C13048" t="str">
        <f>IFERROR(__xludf.DUMMYFUNCTION("GOOGLETRANSLATE(B13048, ""zh"", ""en"")"),"The new experience traditional jeans jeans usually 32/30, 31/30 waist or this than others house 32 yards for most of the code. Even wrong length, code length 32 is like. The first buy ck jeans, in addition to the size of the confusion, other aspects are v"&amp;"ery satisfied, good workmanship, fabric micro-bomb.")</f>
        <v>The new experience traditional jeans jeans usually 32/30, 31/30 waist or this than others house 32 yards for most of the code. Even wrong length, code length 32 is like. The first buy ck jeans, in addition to the size of the confusion, other aspects are very satisfied, good workmanship, fabric micro-bomb.</v>
      </c>
    </row>
    <row r="13049">
      <c r="A13049" s="1">
        <v>5.0</v>
      </c>
      <c r="B13049" s="1" t="s">
        <v>12925</v>
      </c>
      <c r="C13049" t="str">
        <f>IFERROR(__xludf.DUMMYFUNCTION("GOOGLETRANSLATE(B13049, ""zh"", ""en"")"),"The right size, wear comfortable good good, especially good-looking. 235 usually wear shoes, buy this number just the right size, that is the New Year approached years later, I did not expect to week sent home, soles are comfortable, I was a little thin l"&amp;"egs do not squeeze the foot, much cheaper than the domestic counter, satisfied !")</f>
        <v>The right size, wear comfortable good good, especially good-looking. 235 usually wear shoes, buy this number just the right size, that is the New Year approached years later, I did not expect to week sent home, soles are comfortable, I was a little thin legs do not squeeze the foot, much cheaper than the domestic counter, satisfied !</v>
      </c>
    </row>
    <row r="13050">
      <c r="A13050" s="1">
        <v>5.0</v>
      </c>
      <c r="B13050" s="1" t="s">
        <v>12926</v>
      </c>
      <c r="C13050" t="str">
        <f>IFERROR(__xludf.DUMMYFUNCTION("GOOGLETRANSLATE(B13050, ""zh"", ""en"")"),"Light weight, light weight, good insulation, long holding time, the price is much cheaper than domestic")</f>
        <v>Light weight, light weight, good insulation, long holding time, the price is much cheaper than domestic</v>
      </c>
    </row>
    <row r="13051">
      <c r="A13051" s="1">
        <v>5.0</v>
      </c>
      <c r="B13051" s="1" t="s">
        <v>12927</v>
      </c>
      <c r="C13051" t="str">
        <f>IFERROR(__xludf.DUMMYFUNCTION("GOOGLETRANSLATE(B13051, ""zh"", ""en"")"),"Purchase experience great shoes, very comfortable on the foot pretty, I bought the fat feet wide version of the shoe is Columbia own end, compared with softness V bottom and grip better, still need to test water resistance , very much 😊")</f>
        <v>Purchase experience great shoes, very comfortable on the foot pretty, I bought the fat feet wide version of the shoe is Columbia own end, compared with softness V bottom and grip better, still need to test water resistance , very much 😊</v>
      </c>
    </row>
    <row r="13052">
      <c r="A13052" s="1">
        <v>5.0</v>
      </c>
      <c r="B13052" s="1" t="s">
        <v>12928</v>
      </c>
      <c r="C13052" t="str">
        <f>IFERROR(__xludf.DUMMYFUNCTION("GOOGLETRANSLATE(B13052, ""zh"", ""en"")"),"Good is easy to use, very good, I believe Amazon")</f>
        <v>Good is easy to use, very good, I believe Amazon</v>
      </c>
    </row>
    <row r="13053">
      <c r="A13053" s="1">
        <v>5.0</v>
      </c>
      <c r="B13053" s="1" t="s">
        <v>12929</v>
      </c>
      <c r="C13053" t="str">
        <f>IFERROR(__xludf.DUMMYFUNCTION("GOOGLETRANSLATE(B13053, ""zh"", ""en"")"),"123 speed, noise at the end, a small weight, high cost.")</f>
        <v>123 speed, noise at the end, a small weight, high cost.</v>
      </c>
    </row>
    <row r="13054">
      <c r="A13054" s="1">
        <v>5.0</v>
      </c>
      <c r="B13054" s="1" t="s">
        <v>12930</v>
      </c>
      <c r="C13054" t="str">
        <f>IFERROR(__xludf.DUMMYFUNCTION("GOOGLETRANSLATE(B13054, ""zh"", ""en"")"),"Corsair good thing guaranteed quality of service")</f>
        <v>Corsair good thing guaranteed quality of service</v>
      </c>
    </row>
    <row r="13055">
      <c r="A13055" s="1">
        <v>5.0</v>
      </c>
      <c r="B13055" s="1" t="s">
        <v>12931</v>
      </c>
      <c r="C13055" t="str">
        <f>IFERROR(__xludf.DUMMYFUNCTION("GOOGLETRANSLATE(B13055, ""zh"", ""en"")"),"990 price is really invincible. Friends heard for the first time in 990 PRO, plus TCG portable amp, a poison into the ear is not. Finally ushered in the special, decisive start, this is my favorite sound. You must be on the amp, if you do not put on voice"&amp;" quality really slag slag.")</f>
        <v>990 price is really invincible. Friends heard for the first time in 990 PRO, plus TCG portable amp, a poison into the ear is not. Finally ushered in the special, decisive start, this is my favorite sound. You must be on the amp, if you do not put on voice quality really slag slag.</v>
      </c>
    </row>
    <row r="13056">
      <c r="A13056" s="1">
        <v>5.0</v>
      </c>
      <c r="B13056" s="1" t="s">
        <v>12932</v>
      </c>
      <c r="C13056" t="str">
        <f>IFERROR(__xludf.DUMMYFUNCTION("GOOGLETRANSLATE(B13056, ""zh"", ""en"")"),"Good try good results, Waist 68")</f>
        <v>Good try good results, Waist 68</v>
      </c>
    </row>
    <row r="13057">
      <c r="A13057" s="1">
        <v>5.0</v>
      </c>
      <c r="B13057" s="1" t="s">
        <v>12933</v>
      </c>
      <c r="C13057" t="str">
        <f>IFERROR(__xludf.DUMMYFUNCTION("GOOGLETRANSLATE(B13057, ""zh"", ""en"")"),"Good things have trusted German quality, good stainless steel spoon, worth having, feel good.")</f>
        <v>Good things have trusted German quality, good stainless steel spoon, worth having, feel good.</v>
      </c>
    </row>
    <row r="13058">
      <c r="A13058" s="1">
        <v>5.0</v>
      </c>
      <c r="B13058" s="1" t="s">
        <v>12934</v>
      </c>
      <c r="C13058" t="str">
        <f>IFERROR(__xludf.DUMMYFUNCTION("GOOGLETRANSLATE(B13058, ""zh"", ""en"")"),"Evaluation slightly smaller, the other very good")</f>
        <v>Evaluation slightly smaller, the other very good</v>
      </c>
    </row>
    <row r="13059">
      <c r="A13059" s="1">
        <v>5.0</v>
      </c>
      <c r="B13059" s="1" t="s">
        <v>12935</v>
      </c>
      <c r="C13059" t="str">
        <f>IFERROR(__xludf.DUMMYFUNCTION("GOOGLETRANSLATE(B13059, ""zh"", ""en"")"),"Brands like Tiger of products!")</f>
        <v>Brands like Tiger of products!</v>
      </c>
    </row>
    <row r="13060">
      <c r="A13060" s="1">
        <v>5.0</v>
      </c>
      <c r="B13060" s="1" t="s">
        <v>12936</v>
      </c>
      <c r="C13060" t="str">
        <f>IFERROR(__xludf.DUMMYFUNCTION("GOOGLETRANSLATE(B13060, ""zh"", ""en"")"),"Good shoes! Something good! Good work! Shoe size small, choose the code can be slightly larger point.")</f>
        <v>Good shoes! Something good! Good work! Shoe size small, choose the code can be slightly larger point.</v>
      </c>
    </row>
    <row r="13061">
      <c r="A13061" s="1">
        <v>5.0</v>
      </c>
      <c r="B13061" s="1" t="s">
        <v>12937</v>
      </c>
      <c r="C13061" t="str">
        <f>IFERROR(__xludf.DUMMYFUNCTION("GOOGLETRANSLATE(B13061, ""zh"", ""en"")"),"Large warm stretch long legs, big warm stretch well.")</f>
        <v>Large warm stretch long legs, big warm stretch well.</v>
      </c>
    </row>
    <row r="13062">
      <c r="A13062" s="1">
        <v>5.0</v>
      </c>
      <c r="B13062" s="1" t="s">
        <v>8618</v>
      </c>
      <c r="C13062" t="str">
        <f>IFERROR(__xludf.DUMMYFUNCTION("GOOGLETRANSLATE(B13062, ""zh"", ""en"")"),"Chan is genuine, but also cheaper than purchasing, hope to continue")</f>
        <v>Chan is genuine, but also cheaper than purchasing, hope to continue</v>
      </c>
    </row>
    <row r="13063">
      <c r="A13063" s="1">
        <v>2.0</v>
      </c>
      <c r="B13063" s="1" t="s">
        <v>12938</v>
      </c>
      <c r="C13063" t="str">
        <f>IFERROR(__xludf.DUMMYFUNCTION("GOOGLETRANSLATE(B13063, ""zh"", ""en"")"),"Amazon Japan mug is made in China than in Japan to buy a print like a Tiger, as India seems to be made in Thailand. Tiger is to let my unconscious made in china! Really is not a light Ah pit.")</f>
        <v>Amazon Japan mug is made in China than in Japan to buy a print like a Tiger, as India seems to be made in Thailand. Tiger is to let my unconscious made in china! Really is not a light Ah pit.</v>
      </c>
    </row>
    <row r="13064">
      <c r="A13064" s="1">
        <v>3.0</v>
      </c>
      <c r="B13064" s="1" t="s">
        <v>12939</v>
      </c>
      <c r="C13064" t="str">
        <f>IFERROR(__xludf.DUMMYFUNCTION("GOOGLETRANSLATE(B13064, ""zh"", ""en"")"),"Poor workmanship is not recommended to start with, buttons are sewn crooked.")</f>
        <v>Poor workmanship is not recommended to start with, buttons are sewn crooked.</v>
      </c>
    </row>
    <row r="13065">
      <c r="A13065" s="1">
        <v>3.0</v>
      </c>
      <c r="B13065" s="1" t="s">
        <v>12940</v>
      </c>
      <c r="C13065" t="str">
        <f>IFERROR(__xludf.DUMMYFUNCTION("GOOGLETRANSLATE(B13065, ""zh"", ""en"")"),"Dimensions Dimensions mistake")</f>
        <v>Dimensions Dimensions mistake</v>
      </c>
    </row>
    <row r="13066">
      <c r="A13066" s="1">
        <v>3.0</v>
      </c>
      <c r="B13066" s="1" t="s">
        <v>12941</v>
      </c>
      <c r="C13066" t="str">
        <f>IFERROR(__xludf.DUMMYFUNCTION("GOOGLETRANSLATE(B13066, ""zh"", ""en"")"),"I usually smaller shoe size is 235cm to wear shoes, but this pair of smaller than usual, can not send people")</f>
        <v>I usually smaller shoe size is 235cm to wear shoes, but this pair of smaller than usual, can not send people</v>
      </c>
    </row>
    <row r="13067">
      <c r="A13067" s="1">
        <v>1.0</v>
      </c>
      <c r="B13067" s="1" t="s">
        <v>12942</v>
      </c>
      <c r="C13067" t="str">
        <f>IFERROR(__xludf.DUMMYFUNCTION("GOOGLETRANSLATE(B13067, ""zh"", ""en"")"),"Fabric with no elastic! Fabric with no elastic! Cotton really do? Wearing too uncomfortable, too tight, then do not buy. Not because tried on, I want to return! Garbage!")</f>
        <v>Fabric with no elastic! Fabric with no elastic! Cotton really do? Wearing too uncomfortable, too tight, then do not buy. Not because tried on, I want to return! Garbage!</v>
      </c>
    </row>
    <row r="13068">
      <c r="A13068" s="1">
        <v>1.0</v>
      </c>
      <c r="B13068" s="1" t="s">
        <v>12943</v>
      </c>
      <c r="C13068" t="str">
        <f>IFERROR(__xludf.DUMMYFUNCTION("GOOGLETRANSLATE(B13068, ""zh"", ""en"")"),"The failure of shopping color and photos does not match, a lot of dark colors, scented cup")</f>
        <v>The failure of shopping color and photos does not match, a lot of dark colors, scented cup</v>
      </c>
    </row>
    <row r="13069">
      <c r="A13069" s="1">
        <v>4.0</v>
      </c>
      <c r="B13069" s="1" t="s">
        <v>12944</v>
      </c>
      <c r="C13069" t="str">
        <f>IFERROR(__xludf.DUMMYFUNCTION("GOOGLETRANSLATE(B13069, ""zh"", ""en"")"),"... emmm quality is generally washed several times to play the ball, but after all, very cheap")</f>
        <v>... emmm quality is generally washed several times to play the ball, but after all, very cheap</v>
      </c>
    </row>
    <row r="13070">
      <c r="A13070" s="1">
        <v>4.0</v>
      </c>
      <c r="B13070" s="1" t="s">
        <v>12945</v>
      </c>
      <c r="C13070" t="str">
        <f>IFERROR(__xludf.DUMMYFUNCTION("GOOGLETRANSLATE(B13070, ""zh"", ""en"")"),"General thick. Not to wear the collar at")</f>
        <v>General thick. Not to wear the collar at</v>
      </c>
    </row>
    <row r="13071">
      <c r="A13071" s="1">
        <v>4.0</v>
      </c>
      <c r="B13071" s="1" t="s">
        <v>12946</v>
      </c>
      <c r="C13071" t="str">
        <f>IFERROR(__xludf.DUMMYFUNCTION("GOOGLETRANSLATE(B13071, ""zh"", ""en"")"),"It is too large shoes too large, quality is no problem")</f>
        <v>It is too large shoes too large, quality is no problem</v>
      </c>
    </row>
    <row r="13072">
      <c r="A13072" s="1">
        <v>4.0</v>
      </c>
      <c r="B13072" s="1" t="s">
        <v>12947</v>
      </c>
      <c r="C13072" t="str">
        <f>IFERROR(__xludf.DUMMYFUNCTION("GOOGLETRANSLATE(B13072, ""zh"", ""en"")"),"Better quality, better product quality is slightly narrower brim. General fabric, exquisite embroidery, thickness suitable, cost-effective general. Slightly narrower brim, large face, round were careful to buy.")</f>
        <v>Better quality, better product quality is slightly narrower brim. General fabric, exquisite embroidery, thickness suitable, cost-effective general. Slightly narrower brim, large face, round were careful to buy.</v>
      </c>
    </row>
    <row r="13073">
      <c r="A13073" s="1">
        <v>5.0</v>
      </c>
      <c r="B13073" s="1" t="s">
        <v>12948</v>
      </c>
      <c r="C13073" t="str">
        <f>IFERROR(__xludf.DUMMYFUNCTION("GOOGLETRANSLATE(B13073, ""zh"", ""en"")"),"Good quality, good price moderate quality, pay attention to the amount of bags.")</f>
        <v>Good quality, good price moderate quality, pay attention to the amount of bags.</v>
      </c>
    </row>
    <row r="13074">
      <c r="A13074" s="1">
        <v>5.0</v>
      </c>
      <c r="B13074" s="1" t="s">
        <v>12949</v>
      </c>
      <c r="C13074" t="str">
        <f>IFERROR(__xludf.DUMMYFUNCTION("GOOGLETRANSLATE(B13074, ""zh"", ""en"")"),"Good 180cm, 100kg, waist circumference 98cm, buy 36 * 32 just for reference, quality feel okay. This is indeed slightly larger size than other pants a little.")</f>
        <v>Good 180cm, 100kg, waist circumference 98cm, buy 36 * 32 just for reference, quality feel okay. This is indeed slightly larger size than other pants a little.</v>
      </c>
    </row>
    <row r="13075">
      <c r="A13075" s="1">
        <v>5.0</v>
      </c>
      <c r="B13075" s="1" t="s">
        <v>10555</v>
      </c>
      <c r="C13075" t="str">
        <f>IFERROR(__xludf.DUMMYFUNCTION("GOOGLETRANSLATE(B13075, ""zh"", ""en"")"),"Cost-effective quality is very good, very flexible, smaller than a domestic code just right.")</f>
        <v>Cost-effective quality is very good, very flexible, smaller than a domestic code just right.</v>
      </c>
    </row>
    <row r="13076">
      <c r="A13076" s="1">
        <v>5.0</v>
      </c>
      <c r="B13076" s="1" t="s">
        <v>12950</v>
      </c>
      <c r="C13076" t="str">
        <f>IFERROR(__xludf.DUMMYFUNCTION("GOOGLETRANSLATE(B13076, ""zh"", ""en"")"),"Shuai 173,56kg, girls wear, XS just, like loose, you can choose a good big.")</f>
        <v>Shuai 173,56kg, girls wear, XS just, like loose, you can choose a good big.</v>
      </c>
    </row>
    <row r="13077">
      <c r="A13077" s="1">
        <v>5.0</v>
      </c>
      <c r="B13077" s="1" t="s">
        <v>12951</v>
      </c>
      <c r="C13077" t="str">
        <f>IFERROR(__xludf.DUMMYFUNCTION("GOOGLETRANSLATE(B13077, ""zh"", ""en"")"),"Nice color very pleasant shopping experience!")</f>
        <v>Nice color very pleasant shopping experience!</v>
      </c>
    </row>
    <row r="13078">
      <c r="A13078" s="1">
        <v>5.0</v>
      </c>
      <c r="B13078" s="1" t="s">
        <v>12952</v>
      </c>
      <c r="C13078" t="str">
        <f>IFERROR(__xludf.DUMMYFUNCTION("GOOGLETRANSLATE(B13078, ""zh"", ""en"")"),"Very good - good for a long time Japan's largest shopping store only slightly smaller wear xl, xxl just right")</f>
        <v>Very good - good for a long time Japan's largest shopping store only slightly smaller wear xl, xxl just right</v>
      </c>
    </row>
    <row r="13079">
      <c r="A13079" s="1">
        <v>5.0</v>
      </c>
      <c r="B13079" s="1" t="s">
        <v>12953</v>
      </c>
      <c r="C13079" t="str">
        <f>IFERROR(__xludf.DUMMYFUNCTION("GOOGLETRANSLATE(B13079, ""zh"", ""en"")"),"Comfortable underwear size is very positive, comfortable fabrics, good workmanship, no extra thread. Just nine points sleeve design, sleeves are not too long.")</f>
        <v>Comfortable underwear size is very positive, comfortable fabrics, good workmanship, no extra thread. Just nine points sleeve design, sleeves are not too long.</v>
      </c>
    </row>
    <row r="13080">
      <c r="A13080" s="1">
        <v>5.0</v>
      </c>
      <c r="B13080" s="1" t="s">
        <v>12954</v>
      </c>
      <c r="C13080" t="str">
        <f>IFERROR(__xludf.DUMMYFUNCTION("GOOGLETRANSLATE(B13080, ""zh"", ""en"")"),"Try for the first time to buy, I feel pretty good, now eat every day.")</f>
        <v>Try for the first time to buy, I feel pretty good, now eat every day.</v>
      </c>
    </row>
    <row r="13081">
      <c r="A13081" s="1">
        <v>5.0</v>
      </c>
      <c r="B13081" s="1" t="s">
        <v>12955</v>
      </c>
      <c r="C13081" t="str">
        <f>IFERROR(__xludf.DUMMYFUNCTION("GOOGLETRANSLATE(B13081, ""zh"", ""en"")"),"Really great, quite stick, is the color a bit for this style")</f>
        <v>Really great, quite stick, is the color a bit for this style</v>
      </c>
    </row>
    <row r="13082">
      <c r="A13082" s="1">
        <v>5.0</v>
      </c>
      <c r="B13082" s="1" t="s">
        <v>12956</v>
      </c>
      <c r="C13082" t="str">
        <f>IFERROR(__xludf.DUMMYFUNCTION("GOOGLETRANSLATE(B13082, ""zh"", ""en"")"),"I personally have not brought back in Japan a little better confused. Obviously overseas purchase, mailing indeed sent from Beijing, the feeling is made in China. Shoe touches also, but I did not bring back from Japan so comfortable.")</f>
        <v>I personally have not brought back in Japan a little better confused. Obviously overseas purchase, mailing indeed sent from Beijing, the feeling is made in China. Shoe touches also, but I did not bring back from Japan so comfortable.</v>
      </c>
    </row>
    <row r="13083">
      <c r="A13083" s="1">
        <v>5.0</v>
      </c>
      <c r="B13083" s="1" t="s">
        <v>12957</v>
      </c>
      <c r="C13083" t="str">
        <f>IFERROR(__xludf.DUMMYFUNCTION("GOOGLETRANSLATE(B13083, ""zh"", ""en"")"),"Very good just the right size, with the same expected Oh! It is worth buying!")</f>
        <v>Very good just the right size, with the same expected Oh! It is worth buying!</v>
      </c>
    </row>
    <row r="13084">
      <c r="A13084" s="1">
        <v>5.0</v>
      </c>
      <c r="B13084" s="1" t="s">
        <v>12958</v>
      </c>
      <c r="C13084" t="str">
        <f>IFERROR(__xludf.DUMMYFUNCTION("GOOGLETRANSLATE(B13084, ""zh"", ""en"")"),"Practical I wear the right size, very good quality, reasonable price, this underwear is comfortable, it is very fond of")</f>
        <v>Practical I wear the right size, very good quality, reasonable price, this underwear is comfortable, it is very fond of</v>
      </c>
    </row>
    <row r="13085">
      <c r="A13085" s="1">
        <v>5.0</v>
      </c>
      <c r="B13085" s="1" t="s">
        <v>12959</v>
      </c>
      <c r="C13085" t="str">
        <f>IFERROR(__xludf.DUMMYFUNCTION("GOOGLETRANSLATE(B13085, ""zh"", ""en"")"),"Liked good. Cost-effective. like very much")</f>
        <v>Liked good. Cost-effective. like very much</v>
      </c>
    </row>
    <row r="13086">
      <c r="A13086" s="1">
        <v>5.0</v>
      </c>
      <c r="B13086" s="1" t="s">
        <v>12960</v>
      </c>
      <c r="C13086" t="str">
        <f>IFERROR(__xludf.DUMMYFUNCTION("GOOGLETRANSLATE(B13086, ""zh"", ""en"")"),"Cotton Txue cotton, comfort is also good, wide loose style")</f>
        <v>Cotton Txue cotton, comfort is also good, wide loose style</v>
      </c>
    </row>
    <row r="13087">
      <c r="A13087" s="1">
        <v>5.0</v>
      </c>
      <c r="B13087" s="1" t="s">
        <v>12961</v>
      </c>
      <c r="C13087" t="str">
        <f>IFERROR(__xludf.DUMMYFUNCTION("GOOGLETRANSLATE(B13087, ""zh"", ""en"")"),"not bad. 37-38 feet, the election of 4.5 yards, some leeway. Actually do not wear the foot, which is very satisfied, a little pressure feet, would be acceptable. 450 purchase tax, the price is not bad.")</f>
        <v>not bad. 37-38 feet, the election of 4.5 yards, some leeway. Actually do not wear the foot, which is very satisfied, a little pressure feet, would be acceptable. 450 purchase tax, the price is not bad.</v>
      </c>
    </row>
    <row r="13088">
      <c r="A13088" s="1">
        <v>5.0</v>
      </c>
      <c r="B13088" s="1" t="s">
        <v>12962</v>
      </c>
      <c r="C13088" t="str">
        <f>IFERROR(__xludf.DUMMYFUNCTION("GOOGLETRANSLATE(B13088, ""zh"", ""en"")"),"Like feel super good, cute bottle.")</f>
        <v>Like feel super good, cute bottle.</v>
      </c>
    </row>
    <row r="13089">
      <c r="A13089" s="1">
        <v>5.0</v>
      </c>
      <c r="B13089" s="1" t="s">
        <v>12963</v>
      </c>
      <c r="C13089" t="str">
        <f>IFERROR(__xludf.DUMMYFUNCTION("GOOGLETRANSLATE(B13089, ""zh"", ""en"")"),"Comfortable shoes really very comfortable, code number just right")</f>
        <v>Comfortable shoes really very comfortable, code number just right</v>
      </c>
    </row>
    <row r="13090">
      <c r="A13090" s="1">
        <v>5.0</v>
      </c>
      <c r="B13090" s="1" t="s">
        <v>12964</v>
      </c>
      <c r="C13090" t="str">
        <f>IFERROR(__xludf.DUMMYFUNCTION("GOOGLETRANSLATE(B13090, ""zh"", ""en"")"),"Razor blade life long enjoyed, shaving relatively clean, the sound is also very small")</f>
        <v>Razor blade life long enjoyed, shaving relatively clean, the sound is also very small</v>
      </c>
    </row>
    <row r="13091">
      <c r="A13091" s="1">
        <v>5.0</v>
      </c>
      <c r="B13091" s="1" t="s">
        <v>12965</v>
      </c>
      <c r="C13091" t="str">
        <f>IFERROR(__xludf.DUMMYFUNCTION("GOOGLETRANSLATE(B13091, ""zh"", ""en"")"),"Satisfaction of good quality clothes, light jacket, with a temperature of about 20 ℃ for shirt time. Style is typical of the United States shall, waist, not the home stay upright popular models, maybe some people think ""old fashioned"", personally like. "&amp;"Style characteristics: shoulder and arm loose, the whole short. Foreigner code, I 170,75KG, S code just wear. Overall very satisfied.")</f>
        <v>Satisfaction of good quality clothes, light jacket, with a temperature of about 20 ℃ for shirt time. Style is typical of the United States shall, waist, not the home stay upright popular models, maybe some people think "old fashioned", personally like. Style characteristics: shoulder and arm loose, the whole short. Foreigner code, I 170,75KG, S code just wear. Overall very satisfied.</v>
      </c>
    </row>
    <row r="13092">
      <c r="A13092" s="1">
        <v>5.0</v>
      </c>
      <c r="B13092" s="1" t="s">
        <v>12966</v>
      </c>
      <c r="C13092" t="str">
        <f>IFERROR(__xludf.DUMMYFUNCTION("GOOGLETRANSLATE(B13092, ""zh"", ""en"")"),"Worth buying good, relatively tight, suitable for winter wear bottoming")</f>
        <v>Worth buying good, relatively tight, suitable for winter wear bottoming</v>
      </c>
    </row>
    <row r="13093">
      <c r="A13093" s="1">
        <v>5.0</v>
      </c>
      <c r="B13093" s="1" t="s">
        <v>12967</v>
      </c>
      <c r="C13093" t="str">
        <f>IFERROR(__xludf.DUMMYFUNCTION("GOOGLETRANSLATE(B13093, ""zh"", ""en"")"),"Favorite 574 very good very good! My husband very comfortable to wear!")</f>
        <v>Favorite 574 very good very good! My husband very comfortable to wear!</v>
      </c>
    </row>
    <row r="13094">
      <c r="A13094" s="1">
        <v>5.0</v>
      </c>
      <c r="B13094" s="1" t="s">
        <v>12968</v>
      </c>
      <c r="C13094" t="str">
        <f>IFERROR(__xludf.DUMMYFUNCTION("GOOGLETRANSLATE(B13094, ""zh"", ""en"")"),"Pants quality is better. Do not wear, more comfortable. Pretty good")</f>
        <v>Pants quality is better. Do not wear, more comfortable. Pretty good</v>
      </c>
    </row>
    <row r="13095">
      <c r="A13095" s="1">
        <v>2.0</v>
      </c>
      <c r="B13095" s="1" t="s">
        <v>12969</v>
      </c>
      <c r="C13095" t="str">
        <f>IFERROR(__xludf.DUMMYFUNCTION("GOOGLETRANSLATE(B13095, ""zh"", ""en"")"),"Thighs too fat waist no problem, very appropriate, very fat thighs question is, does not match with the picture completely.")</f>
        <v>Thighs too fat waist no problem, very appropriate, very fat thighs question is, does not match with the picture completely.</v>
      </c>
    </row>
    <row r="13096">
      <c r="A13096" s="1">
        <v>3.0</v>
      </c>
      <c r="B13096" s="1" t="s">
        <v>12970</v>
      </c>
      <c r="C13096" t="str">
        <f>IFERROR(__xludf.DUMMYFUNCTION("GOOGLETRANSLATE(B13096, ""zh"", ""en"")"),"Will fluff fluff, would have been too short climb, you can also keep warm")</f>
        <v>Will fluff fluff, would have been too short climb, you can also keep warm</v>
      </c>
    </row>
    <row r="13097">
      <c r="A13097" s="1">
        <v>1.0</v>
      </c>
      <c r="B13097" s="1" t="s">
        <v>12971</v>
      </c>
      <c r="C13097" t="str">
        <f>IFERROR(__xludf.DUMMYFUNCTION("GOOGLETRANSLATE(B13097, ""zh"", ""en"")"),"Good belt speed is considered quite fast, I do not know is not genuine, looks good belt.")</f>
        <v>Good belt speed is considered quite fast, I do not know is not genuine, looks good belt.</v>
      </c>
    </row>
    <row r="13098">
      <c r="A13098" s="1">
        <v>1.0</v>
      </c>
      <c r="B13098" s="1" t="s">
        <v>12972</v>
      </c>
      <c r="C13098" t="str">
        <f>IFERROR(__xludf.DUMMYFUNCTION("GOOGLETRANSLATE(B13098, ""zh"", ""en"")"),"Same as the same is not garbage garbage garbage Mall")</f>
        <v>Same as the same is not garbage garbage garbage Mall</v>
      </c>
    </row>
    <row r="13099">
      <c r="A13099" s="1">
        <v>1.0</v>
      </c>
      <c r="B13099" s="1" t="s">
        <v>12973</v>
      </c>
      <c r="C13099" t="str">
        <f>IFERROR(__xludf.DUMMYFUNCTION("GOOGLETRANSLATE(B13099, ""zh"", ""en"")"),"What is the title? Can not turn on the headset, you can not connect a Bluetooth. Contact customer service answer to return, but could not find the customer service to return mouth open to see is the goods do not meet the conditions for return. At that tim"&amp;"e did not think to buy a bad product, packaging tossed, it seems more than two hundred yuan for naught. After no longer buy things on Amazon. Worship, again a star do not want to.")</f>
        <v>What is the title? Can not turn on the headset, you can not connect a Bluetooth. Contact customer service answer to return, but could not find the customer service to return mouth open to see is the goods do not meet the conditions for return. At that time did not think to buy a bad product, packaging tossed, it seems more than two hundred yuan for naught. After no longer buy things on Amazon. Worship, again a star do not want to.</v>
      </c>
    </row>
    <row r="13100">
      <c r="A13100" s="1">
        <v>4.0</v>
      </c>
      <c r="B13100" s="1" t="s">
        <v>12974</v>
      </c>
      <c r="C13100" t="str">
        <f>IFERROR(__xludf.DUMMYFUNCTION("GOOGLETRANSLATE(B13100, ""zh"", ""en"")"),"Partial penetration, comfortable and thin feel no Wujiantao, too large! Five-piece and compared to the size, you should choose a smaller size, but feel really good broadside")</f>
        <v>Partial penetration, comfortable and thin feel no Wujiantao, too large! Five-piece and compared to the size, you should choose a smaller size, but feel really good broadside</v>
      </c>
    </row>
    <row r="13101">
      <c r="A13101" s="1">
        <v>4.0</v>
      </c>
      <c r="B13101" s="1" t="s">
        <v>12975</v>
      </c>
      <c r="C13101" t="str">
        <f>IFERROR(__xludf.DUMMYFUNCTION("GOOGLETRANSLATE(B13101, ""zh"", ""en"")"),"Overall good okay, 17570 L selected slightly smaller, slightly larger personal favorite, may not mind so the g")</f>
        <v>Overall good okay, 17570 L selected slightly smaller, slightly larger personal favorite, may not mind so the g</v>
      </c>
    </row>
    <row r="13102">
      <c r="A13102" s="1">
        <v>4.0</v>
      </c>
      <c r="B13102" s="1" t="s">
        <v>12976</v>
      </c>
      <c r="C13102" t="str">
        <f>IFERROR(__xludf.DUMMYFUNCTION("GOOGLETRANSLATE(B13102, ""zh"", ""en"")"),"Worth buying something very positive to this point have to praise than to buy domestic save a lot of speakers, but sound quality is not as shocking")</f>
        <v>Worth buying something very positive to this point have to praise than to buy domestic save a lot of speakers, but sound quality is not as shocking</v>
      </c>
    </row>
    <row r="13103">
      <c r="A13103" s="1">
        <v>4.0</v>
      </c>
      <c r="B13103" s="1" t="s">
        <v>12977</v>
      </c>
      <c r="C13103" t="str">
        <f>IFERROR(__xludf.DUMMYFUNCTION("GOOGLETRANSLATE(B13103, ""zh"", ""en"")"),"Good product to buy her husband, her husband to wear or very spiritual, I like to give him dig jeans")</f>
        <v>Good product to buy her husband, her husband to wear or very spiritual, I like to give him dig jeans</v>
      </c>
    </row>
    <row r="13104">
      <c r="A13104" s="1">
        <v>4.0</v>
      </c>
      <c r="B13104" s="1" t="s">
        <v>12978</v>
      </c>
      <c r="C13104" t="str">
        <f>IFERROR(__xludf.DUMMYFUNCTION("GOOGLETRANSLATE(B13104, ""zh"", ""en"")"),"...... no amount has been wearing the strap so good-looking picture, but in general can also")</f>
        <v>...... no amount has been wearing the strap so good-looking picture, but in general can also</v>
      </c>
    </row>
    <row r="13105">
      <c r="A13105" s="1">
        <v>5.0</v>
      </c>
      <c r="B13105" s="1" t="s">
        <v>12979</v>
      </c>
      <c r="C13105" t="str">
        <f>IFERROR(__xludf.DUMMYFUNCTION("GOOGLETRANSLATE(B13105, ""zh"", ""en"")"),"Yes Yes Yes, the price is appropriate, very type, the bulk of girls can only choose the male models, and slightly narrower brim, wearing a long time will feel a bit crowded, is not obvious.")</f>
        <v>Yes Yes Yes, the price is appropriate, very type, the bulk of girls can only choose the male models, and slightly narrower brim, wearing a long time will feel a bit crowded, is not obvious.</v>
      </c>
    </row>
    <row r="13106">
      <c r="A13106" s="1">
        <v>5.0</v>
      </c>
      <c r="B13106" s="1" t="s">
        <v>12980</v>
      </c>
      <c r="C13106" t="str">
        <f>IFERROR(__xludf.DUMMYFUNCTION("GOOGLETRANSLATE(B13106, ""zh"", ""en"")"),"Direct mail from Japan, available under the circumstances shipped quickly, quality assurance &lt;a data-hook = ""product-link-linked"" class = ""a-link-normal"" href = ""/ Champion- hat - Hat -? neutral -587-001A- dark blue -58cm / dp / B01N14U5I5 / ref = cm"&amp;"_cr_arp_d_rvw_txt ie = UTF8 ""&gt; Champion hat hat neutral 587-001A dark blue 58cm &lt;/a&gt; very thin, navy relatively more black wild black will significantly old-fashioned. Girls wear long hair just right.")</f>
        <v>Direct mail from Japan, available under the circumstances shipped quickly, quality assurance &lt;a data-hook = "product-link-linked" class = "a-link-normal" href = "/ Champion- hat - Hat -? neutral -587-001A- dark blue -58cm / dp / B01N14U5I5 / ref = cm_cr_arp_d_rvw_txt ie = UTF8 "&gt; Champion hat hat neutral 587-001A dark blue 58cm &lt;/a&gt; very thin, navy relatively more black wild black will significantly old-fashioned. Girls wear long hair just right.</v>
      </c>
    </row>
    <row r="13107">
      <c r="A13107" s="1">
        <v>5.0</v>
      </c>
      <c r="B13107" s="1" t="s">
        <v>12073</v>
      </c>
      <c r="C13107" t="str">
        <f>IFERROR(__xludf.DUMMYFUNCTION("GOOGLETRANSLATE(B13107, ""zh"", ""en"")"),"Good good, comfortable to wear. And imagine the same")</f>
        <v>Good good, comfortable to wear. And imagine the same</v>
      </c>
    </row>
    <row r="13108">
      <c r="A13108" s="1">
        <v>5.0</v>
      </c>
      <c r="B13108" s="1" t="s">
        <v>12981</v>
      </c>
      <c r="C13108" t="str">
        <f>IFERROR(__xludf.DUMMYFUNCTION("GOOGLETRANSLATE(B13108, ""zh"", ""en"")"),"Need it, turn out turn out! ! To clear shoes than imagined, not heavy, it should be narrow version of it, a little bit crowded, want to return, and to 160 freight have to find my own courier, hey, this is trouble on the sea Amoy. There are thin cashmere, "&amp;"but the bad thing is not the velvet insole is leather, it will be a bit cooler. Buy price touches not expensive, count freight only a little more than 400, there is no want to buy, it can turn out.")</f>
        <v>Need it, turn out turn out! ! To clear shoes than imagined, not heavy, it should be narrow version of it, a little bit crowded, want to return, and to 160 freight have to find my own courier, hey, this is trouble on the sea Amoy. There are thin cashmere, but the bad thing is not the velvet insole is leather, it will be a bit cooler. Buy price touches not expensive, count freight only a little more than 400, there is no want to buy, it can turn out.</v>
      </c>
    </row>
    <row r="13109">
      <c r="A13109" s="1">
        <v>5.0</v>
      </c>
      <c r="B13109" s="1" t="s">
        <v>12982</v>
      </c>
      <c r="C13109" t="str">
        <f>IFERROR(__xludf.DUMMYFUNCTION("GOOGLETRANSLATE(B13109, ""zh"", ""en"")"),"Slightly different packaging and the store to buy, but it should be genuine weight is enough, great tablets, throat recommended fine hand in half")</f>
        <v>Slightly different packaging and the store to buy, but it should be genuine weight is enough, great tablets, throat recommended fine hand in half</v>
      </c>
    </row>
    <row r="13110">
      <c r="A13110" s="1">
        <v>5.0</v>
      </c>
      <c r="B13110" s="1" t="s">
        <v>12983</v>
      </c>
      <c r="C13110" t="str">
        <f>IFERROR(__xludf.DUMMYFUNCTION("GOOGLETRANSLATE(B13110, ""zh"", ""en"")"),"Purchase Notes section relax fit than fat, it is recommended to buy a small a size, waist enough to buy 36 38, I bare height 175 cm, waist circumference 3 feet, just buy W36L32")</f>
        <v>Purchase Notes section relax fit than fat, it is recommended to buy a small a size, waist enough to buy 36 38, I bare height 175 cm, waist circumference 3 feet, just buy W36L32</v>
      </c>
    </row>
    <row r="13111">
      <c r="A13111" s="1">
        <v>5.0</v>
      </c>
      <c r="B13111" s="1" t="s">
        <v>12984</v>
      </c>
      <c r="C13111" t="str">
        <f>IFERROR(__xludf.DUMMYFUNCTION("GOOGLETRANSLATE(B13111, ""zh"", ""en"")"),"OK loose version")</f>
        <v>OK loose version</v>
      </c>
    </row>
    <row r="13112">
      <c r="A13112" s="1">
        <v>5.0</v>
      </c>
      <c r="B13112" s="1" t="s">
        <v>12985</v>
      </c>
      <c r="C13112" t="str">
        <f>IFERROR(__xludf.DUMMYFUNCTION("GOOGLETRANSLATE(B13112, ""zh"", ""en"")"),"Nice looking very good wear feeling good")</f>
        <v>Nice looking very good wear feeling good</v>
      </c>
    </row>
    <row r="13113">
      <c r="A13113" s="1">
        <v>5.0</v>
      </c>
      <c r="B13113" s="1" t="s">
        <v>12986</v>
      </c>
      <c r="C13113" t="str">
        <f>IFERROR(__xludf.DUMMYFUNCTION("GOOGLETRANSLATE(B13113, ""zh"", ""en"")"),"Very good shoe size is too large, the election of a smaller size, suitable, good")</f>
        <v>Very good shoe size is too large, the election of a smaller size, suitable, good</v>
      </c>
    </row>
    <row r="13114">
      <c r="A13114" s="1">
        <v>5.0</v>
      </c>
      <c r="B13114" s="1" t="s">
        <v>12987</v>
      </c>
      <c r="C13114" t="str">
        <f>IFERROR(__xludf.DUMMYFUNCTION("GOOGLETRANSLATE(B13114, ""zh"", ""en"")"),"Second purchase, comfortable fabrics, soft, second purchase affordable, comfortable fabrics, soft, affordable")</f>
        <v>Second purchase, comfortable fabrics, soft, second purchase affordable, comfortable fabrics, soft, affordable</v>
      </c>
    </row>
    <row r="13115">
      <c r="A13115" s="1">
        <v>5.0</v>
      </c>
      <c r="B13115" s="1" t="s">
        <v>12988</v>
      </c>
      <c r="C13115" t="str">
        <f>IFERROR(__xludf.DUMMYFUNCTION("GOOGLETRANSLATE(B13115, ""zh"", ""en"")"),"Very good headphones like, sound Leverage drops")</f>
        <v>Very good headphones like, sound Leverage drops</v>
      </c>
    </row>
    <row r="13116">
      <c r="A13116" s="1">
        <v>5.0</v>
      </c>
      <c r="B13116" s="1" t="s">
        <v>12989</v>
      </c>
      <c r="C13116" t="str">
        <f>IFERROR(__xludf.DUMMYFUNCTION("GOOGLETRANSLATE(B13116, ""zh"", ""en"")"),"Baby do not like brushing with a toothbrush, and worried about her clutching run, this is very safe.")</f>
        <v>Baby do not like brushing with a toothbrush, and worried about her clutching run, this is very safe.</v>
      </c>
    </row>
    <row r="13117">
      <c r="A13117" s="1">
        <v>5.0</v>
      </c>
      <c r="B13117" s="1" t="s">
        <v>12990</v>
      </c>
      <c r="C13117" t="str">
        <f>IFERROR(__xludf.DUMMYFUNCTION("GOOGLETRANSLATE(B13117, ""zh"", ""en"")"),"Very appropriate size usually wear shoes 36, read everyone's recommendation, to buy 4.5 M US Big Kid, size is very appropriate. Black five Ref 535 yuan")</f>
        <v>Very appropriate size usually wear shoes 36, read everyone's recommendation, to buy 4.5 M US Big Kid, size is very appropriate. Black five Ref 535 yuan</v>
      </c>
    </row>
    <row r="13118">
      <c r="A13118" s="1">
        <v>5.0</v>
      </c>
      <c r="B13118" s="1" t="s">
        <v>4811</v>
      </c>
      <c r="C13118" t="str">
        <f>IFERROR(__xludf.DUMMYFUNCTION("GOOGLETRANSLATE(B13118, ""zh"", ""en"")"),"Very well worth buying")</f>
        <v>Very well worth buying</v>
      </c>
    </row>
    <row r="13119">
      <c r="A13119" s="1">
        <v>5.0</v>
      </c>
      <c r="B13119" s="1" t="s">
        <v>9512</v>
      </c>
      <c r="C13119" t="str">
        <f>IFERROR(__xludf.DUMMYFUNCTION("GOOGLETRANSLATE(B13119, ""zh"", ""en"")"),"Comfort yardage is very positive, soft, comfortable")</f>
        <v>Comfort yardage is very positive, soft, comfortable</v>
      </c>
    </row>
    <row r="13120">
      <c r="A13120" s="1">
        <v>5.0</v>
      </c>
      <c r="B13120" s="1" t="s">
        <v>12991</v>
      </c>
      <c r="C13120" t="str">
        <f>IFERROR(__xludf.DUMMYFUNCTION("GOOGLETRANSLATE(B13120, ""zh"", ""en"")"),"Nice bright skin inside red dress belt belonging to the Italian handmade good value for money")</f>
        <v>Nice bright skin inside red dress belt belonging to the Italian handmade good value for money</v>
      </c>
    </row>
    <row r="13121">
      <c r="A13121" s="1">
        <v>5.0</v>
      </c>
      <c r="B13121" s="1" t="s">
        <v>12992</v>
      </c>
      <c r="C13121" t="str">
        <f>IFERROR(__xludf.DUMMYFUNCTION("GOOGLETRANSLATE(B13121, ""zh"", ""en"")"),"Cost-effective and convenient stereo recording tried, very good. A few hundred dollars microphone")</f>
        <v>Cost-effective and convenient stereo recording tried, very good. A few hundred dollars microphone</v>
      </c>
    </row>
    <row r="13122">
      <c r="A13122" s="1">
        <v>5.0</v>
      </c>
      <c r="B13122" s="1" t="s">
        <v>12993</v>
      </c>
      <c r="C13122" t="str">
        <f>IFERROR(__xludf.DUMMYFUNCTION("GOOGLETRANSLATE(B13122, ""zh"", ""en"")"),"Yes pen pen itself is pretty good, did not imagine so soft, moderate law-abiding, smoothness, the font is quite thin. Work is also good")</f>
        <v>Yes pen pen itself is pretty good, did not imagine so soft, moderate law-abiding, smoothness, the font is quite thin. Work is also good</v>
      </c>
    </row>
    <row r="13123">
      <c r="A13123" s="1">
        <v>5.0</v>
      </c>
      <c r="B13123" s="1" t="s">
        <v>12994</v>
      </c>
      <c r="C13123" t="str">
        <f>IFERROR(__xludf.DUMMYFUNCTION("GOOGLETRANSLATE(B13123, ""zh"", ""en"")"),"Style quality impress style quality stuff no problem, the price is cheap, that is a little too large, I 177.70 kg, M code is too large, S code just right estimate, in addition, there is the Central Asian staff I've seen most electronic business platform w"&amp;"ater, own things even size are confused, not one of the worst shopping experience, hope attention")</f>
        <v>Style quality impress style quality stuff no problem, the price is cheap, that is a little too large, I 177.70 kg, M code is too large, S code just right estimate, in addition, there is the Central Asian staff I've seen most electronic business platform water, own things even size are confused, not one of the worst shopping experience, hope attention</v>
      </c>
    </row>
    <row r="13124">
      <c r="A13124" s="1">
        <v>5.0</v>
      </c>
      <c r="B13124" s="1" t="s">
        <v>12995</v>
      </c>
      <c r="C13124" t="str">
        <f>IFERROR(__xludf.DUMMYFUNCTION("GOOGLETRANSLATE(B13124, ""zh"", ""en"")"),"Good hard good, sound a bit. high speed.")</f>
        <v>Good hard good, sound a bit. high speed.</v>
      </c>
    </row>
    <row r="13125">
      <c r="A13125" s="1">
        <v>5.0</v>
      </c>
      <c r="B13125" s="1" t="s">
        <v>12996</v>
      </c>
      <c r="C13125" t="str">
        <f>IFERROR(__xludf.DUMMYFUNCTION("GOOGLETRANSLATE(B13125, ""zh"", ""en"")"),"Very good, enough material, light and cost-effective, material enough, the right size, looks thick wear very light, very cost-effective.")</f>
        <v>Very good, enough material, light and cost-effective, material enough, the right size, looks thick wear very light, very cost-effective.</v>
      </c>
    </row>
    <row r="13126">
      <c r="A13126" s="1">
        <v>5.0</v>
      </c>
      <c r="B13126" s="1" t="s">
        <v>12997</v>
      </c>
      <c r="C13126" t="str">
        <f>IFERROR(__xludf.DUMMYFUNCTION("GOOGLETRANSLATE(B13126, ""zh"", ""en"")"),"Leverage cost of 503 but also what bicycle, value! Great value! Sound quality, high, medium and low there, and balanced, just head to the pot with the old Huawei 6C listen like a general; but then a few years ago to buy with Dolby and dts HD Sharp LCD wat"&amp;"ch movies, they realized next bass Shen and powerful feeling, the sound quality on more than two steps.")</f>
        <v>Leverage cost of 503 but also what bicycle, value! Great value! Sound quality, high, medium and low there, and balanced, just head to the pot with the old Huawei 6C listen like a general; but then a few years ago to buy with Dolby and dts HD Sharp LCD watch movies, they realized next bass Shen and powerful feeling, the sound quality on more than two steps.</v>
      </c>
    </row>
    <row r="13127">
      <c r="A13127" s="1">
        <v>2.0</v>
      </c>
      <c r="B13127" s="1" t="s">
        <v>12998</v>
      </c>
      <c r="C13127" t="str">
        <f>IFERROR(__xludf.DUMMYFUNCTION("GOOGLETRANSLATE(B13127, ""zh"", ""en"")"),"Nice pants, pants good standard size, standard size, but the color is completely beyond the scope of color, the wrong sense of goods. If this is the silver bullet, that the lead content of silver in at least seventy more.")</f>
        <v>Nice pants, pants good standard size, standard size, but the color is completely beyond the scope of color, the wrong sense of goods. If this is the silver bullet, that the lead content of silver in at least seventy more.</v>
      </c>
    </row>
    <row r="13128">
      <c r="A13128" s="1">
        <v>3.0</v>
      </c>
      <c r="B13128" s="1" t="s">
        <v>12999</v>
      </c>
      <c r="C13128" t="str">
        <f>IFERROR(__xludf.DUMMYFUNCTION("GOOGLETRANSLATE(B13128, ""zh"", ""en"")"),"Half the price of brand value in Sri Lanka manufacturing, quality comparable to spread the goods, packaging is also an cottage flavor. 181cm height, 81cm waist, wear m just basic. Relatively thin material, suitable for summer wear")</f>
        <v>Half the price of brand value in Sri Lanka manufacturing, quality comparable to spread the goods, packaging is also an cottage flavor. 181cm height, 81cm waist, wear m just basic. Relatively thin material, suitable for summer wear</v>
      </c>
    </row>
    <row r="13129">
      <c r="A13129" s="1">
        <v>3.0</v>
      </c>
      <c r="B13129" s="1" t="s">
        <v>13000</v>
      </c>
      <c r="C13129" t="str">
        <f>IFERROR(__xludf.DUMMYFUNCTION("GOOGLETRANSLATE(B13129, ""zh"", ""en"")"),"Transmission speed up to 90MB / S USB3.0 steady rate of 70MB / S write so dim up? I used once lost at home. 120 US knife so no.")</f>
        <v>Transmission speed up to 90MB / S USB3.0 steady rate of 70MB / S write so dim up? I used once lost at home. 120 US knife so no.</v>
      </c>
    </row>
    <row r="13130">
      <c r="A13130" s="1">
        <v>3.0</v>
      </c>
      <c r="B13130" s="1" t="s">
        <v>13001</v>
      </c>
      <c r="C13130" t="str">
        <f>IFERROR(__xludf.DUMMYFUNCTION("GOOGLETRANSLATE(B13130, ""zh"", ""en"")"),"General price than MQ7 series is concerned, the price is high, but the interface more confusing, from 10 years ago to buy MQ100, to about five years ago MQ545, and last year bought MQ745, boxes now MQ9037X, only 5 interfaces series and 7 series can be com"&amp;"mon, but more and more for the customer in terms of the inevitable cause great trouble and tangled, can not affect the day whispering, the manufacturer's recommendations carefully designed for the user a better idea as early as greater product")</f>
        <v>General price than MQ7 series is concerned, the price is high, but the interface more confusing, from 10 years ago to buy MQ100, to about five years ago MQ545, and last year bought MQ745, boxes now MQ9037X, only 5 interfaces series and 7 series can be common, but more and more for the customer in terms of the inevitable cause great trouble and tangled, can not affect the day whispering, the manufacturer's recommendations carefully designed for the user a better idea as early as greater product</v>
      </c>
    </row>
    <row r="13131">
      <c r="A13131" s="1">
        <v>1.0</v>
      </c>
      <c r="B13131" s="1" t="s">
        <v>13002</v>
      </c>
      <c r="C13131" t="str">
        <f>IFERROR(__xludf.DUMMYFUNCTION("GOOGLETRANSLATE(B13131, ""zh"", ""en"")"),"Great big my God, regret not return. Not suitable for Asians to wear, and what is a large and uncomfortable material, tops buy Japanese version, simply can not wear together ......")</f>
        <v>Great big my God, regret not return. Not suitable for Asians to wear, and what is a large and uncomfortable material, tops buy Japanese version, simply can not wear together ......</v>
      </c>
    </row>
    <row r="13132">
      <c r="A13132" s="1">
        <v>1.0</v>
      </c>
      <c r="B13132" s="1" t="s">
        <v>13003</v>
      </c>
      <c r="C13132" t="str">
        <f>IFERROR(__xludf.DUMMYFUNCTION("GOOGLETRANSLATE(B13132, ""zh"", ""en"")"),"Wrong shoe size! Buy us6 results sent me over is uk6 absolutely can not wear too AIU really do not fly buy need to be cautious!")</f>
        <v>Wrong shoe size! Buy us6 results sent me over is uk6 absolutely can not wear too AIU really do not fly buy need to be cautious!</v>
      </c>
    </row>
    <row r="13133">
      <c r="A13133" s="1">
        <v>4.0</v>
      </c>
      <c r="B13133" s="1" t="s">
        <v>13004</v>
      </c>
      <c r="C13133" t="str">
        <f>IFERROR(__xludf.DUMMYFUNCTION("GOOGLETRANSLATE(B13133, ""zh"", ""en"")"),"Too large I 176cm, weight 78kg, L-point number is too large, m number should be exactly")</f>
        <v>Too large I 176cm, weight 78kg, L-point number is too large, m number should be exactly</v>
      </c>
    </row>
    <row r="13134">
      <c r="A13134" s="1">
        <v>4.0</v>
      </c>
      <c r="B13134" s="1" t="s">
        <v>13005</v>
      </c>
      <c r="C13134" t="str">
        <f>IFERROR(__xludf.DUMMYFUNCTION("GOOGLETRANSLATE(B13134, ""zh"", ""en"")"),"General pants are very fit, very comfortable to wear, is a summer models, the material a bit thin, flexible, large color picture error")</f>
        <v>General pants are very fit, very comfortable to wear, is a summer models, the material a bit thin, flexible, large color picture error</v>
      </c>
    </row>
    <row r="13135">
      <c r="A13135" s="1">
        <v>4.0</v>
      </c>
      <c r="B13135" s="1" t="s">
        <v>13006</v>
      </c>
      <c r="C13135" t="str">
        <f>IFERROR(__xludf.DUMMYFUNCTION("GOOGLETRANSLATE(B13135, ""zh"", ""en"")"),"Watch good, strong texture with the evaluation made in January, the evaluation looked at a lot of online says a lot more, such as not allowed to go, big noise. In fact, by doing this month it is very accurate, about the noise was really big. Overall good "&amp;"texture, also fast delivery, I believe it should be genuine, support Amazon")</f>
        <v>Watch good, strong texture with the evaluation made in January, the evaluation looked at a lot of online says a lot more, such as not allowed to go, big noise. In fact, by doing this month it is very accurate, about the noise was really big. Overall good texture, also fast delivery, I believe it should be genuine, support Amazon</v>
      </c>
    </row>
    <row r="13136">
      <c r="A13136" s="1">
        <v>4.0</v>
      </c>
      <c r="B13136" s="1" t="s">
        <v>13007</v>
      </c>
      <c r="C13136" t="str">
        <f>IFERROR(__xludf.DUMMYFUNCTION("GOOGLETRANSLATE(B13136, ""zh"", ""en"")"),"Two Qizhe finished a discount of more than 240, in fact, the general quality of the clothes relative to other prices in Colombia cheap clothes regarded as a, but only a thin layer, it is estimated wind can be, but is not good breathability")</f>
        <v>Two Qizhe finished a discount of more than 240, in fact, the general quality of the clothes relative to other prices in Colombia cheap clothes regarded as a, but only a thin layer, it is estimated wind can be, but is not good breathability</v>
      </c>
    </row>
    <row r="13137">
      <c r="A13137" s="1">
        <v>4.0</v>
      </c>
      <c r="B13137" s="1" t="s">
        <v>13008</v>
      </c>
      <c r="C13137" t="str">
        <f>IFERROR(__xludf.DUMMYFUNCTION("GOOGLETRANSLATE(B13137, ""zh"", ""en"")"),"Hopefully the purchase of overseas shipments are packaging can improve Germany's girlfriends to buy, the product itself is no problem, rebate + free shipping price is very beautiful. Deduction of a star to the packaging, even the cartons are not, directly"&amp;" over bare packaging. . . Receive cartons are cracking, and only hope that there is no pressure filter leakage.")</f>
        <v>Hopefully the purchase of overseas shipments are packaging can improve Germany's girlfriends to buy, the product itself is no problem, rebate + free shipping price is very beautiful. Deduction of a star to the packaging, even the cartons are not, directly over bare packaging. . . Receive cartons are cracking, and only hope that there is no pressure filter leakage.</v>
      </c>
    </row>
    <row r="13138">
      <c r="A13138" s="1">
        <v>5.0</v>
      </c>
      <c r="B13138" s="1" t="s">
        <v>13009</v>
      </c>
      <c r="C13138" t="str">
        <f>IFERROR(__xludf.DUMMYFUNCTION("GOOGLETRANSLATE(B13138, ""zh"", ""en"")"),"Yes, speed is also good, no smell, the packaging is too simple")</f>
        <v>Yes, speed is also good, no smell, the packaging is too simple</v>
      </c>
    </row>
    <row r="13139">
      <c r="A13139" s="1">
        <v>5.0</v>
      </c>
      <c r="B13139" s="1" t="s">
        <v>13010</v>
      </c>
      <c r="C13139" t="str">
        <f>IFERROR(__xludf.DUMMYFUNCTION("GOOGLETRANSLATE(B13139, ""zh"", ""en"")"),"Colleagues wearing the right size eye lame, buy the wrong number ... transferred to colleagues, and that is good, very comfortable, but also run up, estimated to be no common problem of the steel ring underwear")</f>
        <v>Colleagues wearing the right size eye lame, buy the wrong number ... transferred to colleagues, and that is good, very comfortable, but also run up, estimated to be no common problem of the steel ring underwear</v>
      </c>
    </row>
    <row r="13140">
      <c r="A13140" s="1">
        <v>5.0</v>
      </c>
      <c r="B13140" s="1" t="s">
        <v>13011</v>
      </c>
      <c r="C13140" t="str">
        <f>IFERROR(__xludf.DUMMYFUNCTION("GOOGLETRANSLATE(B13140, ""zh"", ""en"")"),"Good pants good, very comfortable to wear")</f>
        <v>Good pants good, very comfortable to wear</v>
      </c>
    </row>
    <row r="13141">
      <c r="A13141" s="1">
        <v>5.0</v>
      </c>
      <c r="B13141" s="1" t="s">
        <v>13012</v>
      </c>
      <c r="C13141" t="str">
        <f>IFERROR(__xludf.DUMMYFUNCTION("GOOGLETRANSLATE(B13141, ""zh"", ""en"")"),"Very good knot 32 or 34, the result of 34 have a little bit longer, as long as they punch a. Recommended strict accordance with their own waistline purchase, do not do too long. But the quality is very good, very satisfied.")</f>
        <v>Very good knot 32 or 34, the result of 34 have a little bit longer, as long as they punch a. Recommended strict accordance with their own waistline purchase, do not do too long. But the quality is very good, very satisfied.</v>
      </c>
    </row>
    <row r="13142">
      <c r="A13142" s="1">
        <v>5.0</v>
      </c>
      <c r="B13142" s="1" t="s">
        <v>13013</v>
      </c>
      <c r="C13142" t="str">
        <f>IFERROR(__xludf.DUMMYFUNCTION("GOOGLETRANSLATE(B13142, ""zh"", ""en"")"),"Material comfort a little hypertrophy, work okay, material comfort!")</f>
        <v>Material comfort a little hypertrophy, work okay, material comfort!</v>
      </c>
    </row>
    <row r="13143">
      <c r="A13143" s="1">
        <v>5.0</v>
      </c>
      <c r="B13143" s="1" t="s">
        <v>7326</v>
      </c>
      <c r="C13143" t="str">
        <f>IFERROR(__xludf.DUMMYFUNCTION("GOOGLETRANSLATE(B13143, ""zh"", ""en"")"),"Trumpet of change do I buy m number in transit, trumpet and I can change.")</f>
        <v>Trumpet of change do I buy m number in transit, trumpet and I can change.</v>
      </c>
    </row>
    <row r="13144">
      <c r="A13144" s="1">
        <v>5.0</v>
      </c>
      <c r="B13144" s="1" t="s">
        <v>13014</v>
      </c>
      <c r="C13144" t="str">
        <f>IFERROR(__xludf.DUMMYFUNCTION("GOOGLETRANSLATE(B13144, ""zh"", ""en"")"),"Yes 170cm / 67kg. Positive fit. Which wear long-sleeved thermal underwear. Fabric is soft, but sticky hair.")</f>
        <v>Yes 170cm / 67kg. Positive fit. Which wear long-sleeved thermal underwear. Fabric is soft, but sticky hair.</v>
      </c>
    </row>
    <row r="13145">
      <c r="A13145" s="1">
        <v>5.0</v>
      </c>
      <c r="B13145" s="1" t="s">
        <v>13015</v>
      </c>
      <c r="C13145" t="str">
        <f>IFERROR(__xludf.DUMMYFUNCTION("GOOGLETRANSLATE(B13145, ""zh"", ""en"")"),"Pretty nice incredibly strong! The only drawback is standing on a wet slippery floor tiles")</f>
        <v>Pretty nice incredibly strong! The only drawback is standing on a wet slippery floor tiles</v>
      </c>
    </row>
    <row r="13146">
      <c r="A13146" s="1">
        <v>5.0</v>
      </c>
      <c r="B13146" s="1" t="s">
        <v>13016</v>
      </c>
      <c r="C13146" t="str">
        <f>IFERROR(__xludf.DUMMYFUNCTION("GOOGLETRANSLATE(B13146, ""zh"", ""en"")"),"Japan's zero pressure really comfortable underwear, hundred dollars price a good deal, and basically had no shackles, quick-drying, very light, very satisfied")</f>
        <v>Japan's zero pressure really comfortable underwear, hundred dollars price a good deal, and basically had no shackles, quick-drying, very light, very satisfied</v>
      </c>
    </row>
    <row r="13147">
      <c r="A13147" s="1">
        <v>5.0</v>
      </c>
      <c r="B13147" s="1" t="s">
        <v>13017</v>
      </c>
      <c r="C13147" t="str">
        <f>IFERROR(__xludf.DUMMYFUNCTION("GOOGLETRANSLATE(B13147, ""zh"", ""en"")"),"As good as expected! As good as expected!")</f>
        <v>As good as expected! As good as expected!</v>
      </c>
    </row>
    <row r="13148">
      <c r="A13148" s="1">
        <v>5.0</v>
      </c>
      <c r="B13148" s="1" t="s">
        <v>13018</v>
      </c>
      <c r="C13148" t="str">
        <f>IFERROR(__xludf.DUMMYFUNCTION("GOOGLETRANSLATE(B13148, ""zh"", ""en"")"),"Too fond of the fair price, although no high force WMF format, but in order to give the brand more than $ 200, I think it is not worth it, get our hands on, not much taste, although it is made in China, but the quality is indeed very good, Amazon has alwa"&amp;"ys believed that with overseas purchase, really a lot of money for the province, very good pot.")</f>
        <v>Too fond of the fair price, although no high force WMF format, but in order to give the brand more than $ 200, I think it is not worth it, get our hands on, not much taste, although it is made in China, but the quality is indeed very good, Amazon has always believed that with overseas purchase, really a lot of money for the province, very good pot.</v>
      </c>
    </row>
    <row r="13149">
      <c r="A13149" s="1">
        <v>5.0</v>
      </c>
      <c r="B13149" s="1" t="s">
        <v>13019</v>
      </c>
      <c r="C13149" t="str">
        <f>IFERROR(__xludf.DUMMYFUNCTION("GOOGLETRANSLATE(B13149, ""zh"", ""en"")"),"I recommend sweeping machine together with the family, floor machine is completely processed. People easily. Well, not from the previous evaluation, I do not know how many wasted points, points can change money now know, they should look carefully evaluat"&amp;"ed, then I put these words to copy to go, both to earn points, but also save trouble, where one copy where, most importantly, do not seriously review, do not think how much worse word, sent directly to it, recommend it to everyone! !")</f>
        <v>I recommend sweeping machine together with the family, floor machine is completely processed. People easily. Well, not from the previous evaluation, I do not know how many wasted points, points can change money now know, they should look carefully evaluated, then I put these words to copy to go, both to earn points, but also save trouble, where one copy where, most importantly, do not seriously review, do not think how much worse word, sent directly to it, recommend it to everyone! !</v>
      </c>
    </row>
    <row r="13150">
      <c r="A13150" s="1">
        <v>5.0</v>
      </c>
      <c r="B13150" s="1" t="s">
        <v>13020</v>
      </c>
      <c r="C13150" t="str">
        <f>IFERROR(__xludf.DUMMYFUNCTION("GOOGLETRANSLATE(B13150, ""zh"", ""en"")"),"Particularly good wear, size for your reference, I usually wear shoes scoop 37, sports shoes 37.5, and 23.5 cm long legs, thin legs, wear 5050 US 36.5 is just 6 code number.")</f>
        <v>Particularly good wear, size for your reference, I usually wear shoes scoop 37, sports shoes 37.5, and 23.5 cm long legs, thin legs, wear 5050 US 36.5 is just 6 code number.</v>
      </c>
    </row>
    <row r="13151">
      <c r="A13151" s="1">
        <v>5.0</v>
      </c>
      <c r="B13151" s="1" t="s">
        <v>13021</v>
      </c>
      <c r="C13151" t="str">
        <f>IFERROR(__xludf.DUMMYFUNCTION("GOOGLETRANSLATE(B13151, ""zh"", ""en"")"),"Value for money actually go into the 130 pounds, a strong sense of restraint, but not Le, very recommended.")</f>
        <v>Value for money actually go into the 130 pounds, a strong sense of restraint, but not Le, very recommended.</v>
      </c>
    </row>
    <row r="13152">
      <c r="A13152" s="1">
        <v>5.0</v>
      </c>
      <c r="B13152" s="1" t="s">
        <v>13022</v>
      </c>
      <c r="C13152" t="str">
        <f>IFERROR(__xludf.DUMMYFUNCTION("GOOGLETRANSLATE(B13152, ""zh"", ""en"")"),"Sound pretty good compact, comes with ear buckle hanging, hanging ears not wear off easily. Low permeability, the head is not H, more balanced high frequency, the sound field away slightly. High overall quality. About 3 million highly recommended.")</f>
        <v>Sound pretty good compact, comes with ear buckle hanging, hanging ears not wear off easily. Low permeability, the head is not H, more balanced high frequency, the sound field away slightly. High overall quality. About 3 million highly recommended.</v>
      </c>
    </row>
    <row r="13153">
      <c r="A13153" s="1">
        <v>5.0</v>
      </c>
      <c r="B13153" s="1" t="s">
        <v>13023</v>
      </c>
      <c r="C13153" t="str">
        <f>IFERROR(__xludf.DUMMYFUNCTION("GOOGLETRANSLATE(B13153, ""zh"", ""en"")"),"Second time to buy, very good. Mainly the price is very good. Second time to buy, very good. Mainly the price is very good.")</f>
        <v>Second time to buy, very good. Mainly the price is very good. Second time to buy, very good. Mainly the price is very good.</v>
      </c>
    </row>
    <row r="13154">
      <c r="A13154" s="1">
        <v>5.0</v>
      </c>
      <c r="B13154" s="1" t="s">
        <v>13024</v>
      </c>
      <c r="C13154" t="str">
        <f>IFERROR(__xludf.DUMMYFUNCTION("GOOGLETRANSLATE(B13154, ""zh"", ""en"")"),"Good table in advance before the Spring Festival received. Considered to own New Year gifts it. Adjust the date and time. He began to move up. Take a look at a few days is accurate. Leather strap to wear very comfortable, not hard.")</f>
        <v>Good table in advance before the Spring Festival received. Considered to own New Year gifts it. Adjust the date and time. He began to move up. Take a look at a few days is accurate. Leather strap to wear very comfortable, not hard.</v>
      </c>
    </row>
    <row r="13155">
      <c r="A13155" s="1">
        <v>5.0</v>
      </c>
      <c r="B13155" s="1" t="s">
        <v>13025</v>
      </c>
      <c r="C13155" t="str">
        <f>IFERROR(__xludf.DUMMYFUNCTION("GOOGLETRANSLATE(B13155, ""zh"", ""en"")"),"It can also price, yet use, later to be evaluated")</f>
        <v>It can also price, yet use, later to be evaluated</v>
      </c>
    </row>
    <row r="13156">
      <c r="A13156" s="1">
        <v>5.0</v>
      </c>
      <c r="B13156" s="1" t="s">
        <v>13026</v>
      </c>
      <c r="C13156" t="str">
        <f>IFERROR(__xludf.DUMMYFUNCTION("GOOGLETRANSLATE(B13156, ""zh"", ""en"")"),"Drop way easily have fed the baby every day, the way drops very convenient! Niu Mansi convenient than before to buy more capsules. This is much cheaper, I do not know is not genuine. If so, the cost is relatively good.")</f>
        <v>Drop way easily have fed the baby every day, the way drops very convenient! Niu Mansi convenient than before to buy more capsules. This is much cheaper, I do not know is not genuine. If so, the cost is relatively good.</v>
      </c>
    </row>
    <row r="13157">
      <c r="A13157" s="1">
        <v>5.0</v>
      </c>
      <c r="B13157" s="1" t="s">
        <v>13027</v>
      </c>
      <c r="C13157" t="str">
        <f>IFERROR(__xludf.DUMMYFUNCTION("GOOGLETRANSLATE(B13157, ""zh"", ""en"")"),"Lee wearing comfortable casual shorts well.")</f>
        <v>Lee wearing comfortable casual shorts well.</v>
      </c>
    </row>
    <row r="13158">
      <c r="A13158" s="1">
        <v>5.0</v>
      </c>
      <c r="B13158" s="1" t="s">
        <v>13028</v>
      </c>
      <c r="C13158" t="str">
        <f>IFERROR(__xludf.DUMMYFUNCTION("GOOGLETRANSLATE(B13158, ""zh"", ""en"")"),"Soft Pishu very comfortable clothes, including sole very comfortable. More than comfortable too crusty, can immediately above the foot, although not so stylish but comfortable on the good")</f>
        <v>Soft Pishu very comfortable clothes, including sole very comfortable. More than comfortable too crusty, can immediately above the foot, although not so stylish but comfortable on the good</v>
      </c>
    </row>
    <row r="13159">
      <c r="A13159" s="1">
        <v>5.0</v>
      </c>
      <c r="B13159" s="1" t="s">
        <v>13029</v>
      </c>
      <c r="C13159" t="str">
        <f>IFERROR(__xludf.DUMMYFUNCTION("GOOGLETRANSLATE(B13159, ""zh"", ""en"")"),"Not very good color wash the bottom of the plate a little too good wash")</f>
        <v>Not very good color wash the bottom of the plate a little too good wash</v>
      </c>
    </row>
    <row r="13160">
      <c r="A13160" s="1">
        <v>2.0</v>
      </c>
      <c r="B13160" s="1" t="s">
        <v>13030</v>
      </c>
      <c r="C13160" t="str">
        <f>IFERROR(__xludf.DUMMYFUNCTION("GOOGLETRANSLATE(B13160, ""zh"", ""en"")"),"Very general to the mother to buy, buy when the price is very affordable, but added taxes and shipping costs are not cheap. Note that only 40% filler feather, polyester fibers 60%! Thin, warm and not very good.")</f>
        <v>Very general to the mother to buy, buy when the price is very affordable, but added taxes and shipping costs are not cheap. Note that only 40% filler feather, polyester fibers 60%! Thin, warm and not very good.</v>
      </c>
    </row>
    <row r="13161">
      <c r="A13161" s="1">
        <v>3.0</v>
      </c>
      <c r="B13161" s="1" t="s">
        <v>13031</v>
      </c>
      <c r="C13161" t="str">
        <f>IFERROR(__xludf.DUMMYFUNCTION("GOOGLETRANSLATE(B13161, ""zh"", ""en"")"),"No color on color issues fail")</f>
        <v>No color on color issues fail</v>
      </c>
    </row>
    <row r="13162">
      <c r="A13162" s="1">
        <v>3.0</v>
      </c>
      <c r="B13162" s="1" t="s">
        <v>13032</v>
      </c>
      <c r="C13162" t="str">
        <f>IFERROR(__xludf.DUMMYFUNCTION("GOOGLETRANSLATE(B13162, ""zh"", ""en"")"),"Quality is generally made in china. Hat turned a full circle back to the origin, huh, huh. Quality like a general")</f>
        <v>Quality is generally made in china. Hat turned a full circle back to the origin, huh, huh. Quality like a general</v>
      </c>
    </row>
    <row r="13163">
      <c r="A13163" s="1">
        <v>1.0</v>
      </c>
      <c r="B13163" s="1" t="s">
        <v>13033</v>
      </c>
      <c r="C13163" t="str">
        <f>IFERROR(__xludf.DUMMYFUNCTION("GOOGLETRANSLATE(B13163, ""zh"", ""en"")"),"is too big! ! ! too big! ! ! Freight enough money refund")</f>
        <v>is too big! ! ! too big! ! ! Freight enough money refund</v>
      </c>
    </row>
    <row r="13164">
      <c r="A13164" s="1">
        <v>1.0</v>
      </c>
      <c r="B13164" s="1" t="s">
        <v>13034</v>
      </c>
      <c r="C13164" t="str">
        <f>IFERROR(__xludf.DUMMYFUNCTION("GOOGLETRANSLATE(B13164, ""zh"", ""en"")"),"Strap disconnect for one year, strap off, can not find the model that corresponds to the replacement strap, please reply to this sale at Amazon, consumers how to solve this problem, after all, hundreds of pieces of the table,")</f>
        <v>Strap disconnect for one year, strap off, can not find the model that corresponds to the replacement strap, please reply to this sale at Amazon, consumers how to solve this problem, after all, hundreds of pieces of the table,</v>
      </c>
    </row>
    <row r="13165">
      <c r="A13165" s="1">
        <v>1.0</v>
      </c>
      <c r="B13165" s="1" t="s">
        <v>13035</v>
      </c>
      <c r="C13165" t="str">
        <f>IFERROR(__xludf.DUMMYFUNCTION("GOOGLETRANSLATE(B13165, ""zh"", ""en"")"),"Honduras poor quality production, the fabric is very hard, off the crumbs fade very serious, dark spots in the picture are falling dregs, really not as good as the quality of Chinese culture to spread 10 dollars a shirt, wear body is very uncomfortable.")</f>
        <v>Honduras poor quality production, the fabric is very hard, off the crumbs fade very serious, dark spots in the picture are falling dregs, really not as good as the quality of Chinese culture to spread 10 dollars a shirt, wear body is very uncomfortable.</v>
      </c>
    </row>
    <row r="13166">
      <c r="A13166" s="1">
        <v>4.0</v>
      </c>
      <c r="B13166" s="1" t="s">
        <v>13036</v>
      </c>
      <c r="C13166" t="str">
        <f>IFERROR(__xludf.DUMMYFUNCTION("GOOGLETRANSLATE(B13166, ""zh"", ""en"")"),"Okay okay because you can put the dishwasher before buying, scratches, or more")</f>
        <v>Okay okay because you can put the dishwasher before buying, scratches, or more</v>
      </c>
    </row>
    <row r="13167">
      <c r="A13167" s="1">
        <v>4.0</v>
      </c>
      <c r="B13167" s="1" t="s">
        <v>13037</v>
      </c>
      <c r="C13167" t="str">
        <f>IFERROR(__xludf.DUMMYFUNCTION("GOOGLETRANSLATE(B13167, ""zh"", ""en"")"),"2 blocks more than 170, more than our soft fabrics of cotton, in general it. Two blocks of more than 170 soft cotton fabric than our more general right.")</f>
        <v>2 blocks more than 170, more than our soft fabrics of cotton, in general it. Two blocks of more than 170 soft cotton fabric than our more general right.</v>
      </c>
    </row>
    <row r="13168">
      <c r="A13168" s="1">
        <v>4.0</v>
      </c>
      <c r="B13168" s="1" t="s">
        <v>13038</v>
      </c>
      <c r="C13168" t="str">
        <f>IFERROR(__xludf.DUMMYFUNCTION("GOOGLETRANSLATE(B13168, ""zh"", ""en"")"),"CK underwear good quality underwear is good, more comfortable to wear, very elastic, size is slightly larger than a point before I bought more than half of CK basic number, and I 168.125 pounds should buy M size just to, and this is more cost effective")</f>
        <v>CK underwear good quality underwear is good, more comfortable to wear, very elastic, size is slightly larger than a point before I bought more than half of CK basic number, and I 168.125 pounds should buy M size just to, and this is more cost effective</v>
      </c>
    </row>
    <row r="13169">
      <c r="A13169" s="1">
        <v>4.0</v>
      </c>
      <c r="B13169" s="1" t="s">
        <v>13039</v>
      </c>
      <c r="C13169" t="str">
        <f>IFERROR(__xludf.DUMMYFUNCTION("GOOGLETRANSLATE(B13169, ""zh"", ""en"")"),"The sole bit hard feeling pretty good, a bit hard soles.")</f>
        <v>The sole bit hard feeling pretty good, a bit hard soles.</v>
      </c>
    </row>
    <row r="13170">
      <c r="A13170" s="1">
        <v>4.0</v>
      </c>
      <c r="B13170" s="1" t="s">
        <v>13040</v>
      </c>
      <c r="C13170" t="str">
        <f>IFERROR(__xludf.DUMMYFUNCTION("GOOGLETRANSLATE(B13170, ""zh"", ""en"")"),"Watch okay, sounds a bit big price, with a play!")</f>
        <v>Watch okay, sounds a bit big price, with a play!</v>
      </c>
    </row>
    <row r="13171">
      <c r="A13171" s="1">
        <v>5.0</v>
      </c>
      <c r="B13171" s="1" t="s">
        <v>13041</v>
      </c>
      <c r="C13171" t="str">
        <f>IFERROR(__xludf.DUMMYFUNCTION("GOOGLETRANSLATE(B13171, ""zh"", ""en"")"),"Clean invincible force even woks are washed clean under comparison and buying is simply slag ah")</f>
        <v>Clean invincible force even woks are washed clean under comparison and buying is simply slag ah</v>
      </c>
    </row>
    <row r="13172">
      <c r="A13172" s="1">
        <v>5.0</v>
      </c>
      <c r="B13172" s="1" t="s">
        <v>13042</v>
      </c>
      <c r="C13172" t="str">
        <f>IFERROR(__xludf.DUMMYFUNCTION("GOOGLETRANSLATE(B13172, ""zh"", ""en"")"),"USB flash drives with very good very good. U disk fine. Yes. With a backup stuff.")</f>
        <v>USB flash drives with very good very good. U disk fine. Yes. With a backup stuff.</v>
      </c>
    </row>
    <row r="13173">
      <c r="A13173" s="1">
        <v>5.0</v>
      </c>
      <c r="B13173" s="1" t="s">
        <v>13043</v>
      </c>
      <c r="C13173" t="str">
        <f>IFERROR(__xludf.DUMMYFUNCTION("GOOGLETRANSLATE(B13173, ""zh"", ""en"")"),"155,35kg, s No longer, thick, soft and ready when Maoku")</f>
        <v>155,35kg, s No longer, thick, soft and ready when Maoku</v>
      </c>
    </row>
    <row r="13174">
      <c r="A13174" s="1">
        <v>5.0</v>
      </c>
      <c r="B13174" s="1" t="s">
        <v>13044</v>
      </c>
      <c r="C13174" t="str">
        <f>IFERROR(__xludf.DUMMYFUNCTION("GOOGLETRANSLATE(B13174, ""zh"", ""en"")"),"Very good gutta gutta very easy to use, it is easy to hold the baby for three months, good color, soft and hard appropriate, as well as sound")</f>
        <v>Very good gutta gutta very easy to use, it is easy to hold the baby for three months, good color, soft and hard appropriate, as well as sound</v>
      </c>
    </row>
    <row r="13175">
      <c r="A13175" s="1">
        <v>5.0</v>
      </c>
      <c r="B13175" s="1" t="s">
        <v>13045</v>
      </c>
      <c r="C13175" t="str">
        <f>IFERROR(__xludf.DUMMYFUNCTION("GOOGLETRANSLATE(B13175, ""zh"", ""en"")"),"Fast, very fast with fresh dates, fresh dates, 19 February production")</f>
        <v>Fast, very fast with fresh dates, fresh dates, 19 February production</v>
      </c>
    </row>
    <row r="13176">
      <c r="A13176" s="1">
        <v>5.0</v>
      </c>
      <c r="B13176" s="1" t="s">
        <v>13046</v>
      </c>
      <c r="C13176" t="str">
        <f>IFERROR(__xludf.DUMMYFUNCTION("GOOGLETRANSLATE(B13176, ""zh"", ""en"")"),"Non-soft skin is crusty, shoe size just right, shoebox transport did not break, very happy.")</f>
        <v>Non-soft skin is crusty, shoe size just right, shoebox transport did not break, very happy.</v>
      </c>
    </row>
    <row r="13177">
      <c r="A13177" s="1">
        <v>5.0</v>
      </c>
      <c r="B13177" s="1" t="s">
        <v>13047</v>
      </c>
      <c r="C13177" t="str">
        <f>IFERROR(__xludf.DUMMYFUNCTION("GOOGLETRANSLATE(B13177, ""zh"", ""en"")"),"It is full of surprises! ! ! Not a great enthusiast, to help my colleagues to buy, get the goods tried, do not know what the amp, there is no player like, listen to using a mobile phone, are full of surprises, do not know the enthusiasts after the device "&amp;"is what. Nice, if a player, you can recommend some amp?")</f>
        <v>It is full of surprises! ! ! Not a great enthusiast, to help my colleagues to buy, get the goods tried, do not know what the amp, there is no player like, listen to using a mobile phone, are full of surprises, do not know the enthusiasts after the device is what. Nice, if a player, you can recommend some amp?</v>
      </c>
    </row>
    <row r="13178">
      <c r="A13178" s="1">
        <v>5.0</v>
      </c>
      <c r="B13178" s="1" t="s">
        <v>13048</v>
      </c>
      <c r="C13178" t="str">
        <f>IFERROR(__xludf.DUMMYFUNCTION("GOOGLETRANSLATE(B13178, ""zh"", ""en"")"),"Chelsea style boots, size regular, partial thick, new shoes on the feet is appropriate. Cost-effective price, to the praise.")</f>
        <v>Chelsea style boots, size regular, partial thick, new shoes on the feet is appropriate. Cost-effective price, to the praise.</v>
      </c>
    </row>
    <row r="13179">
      <c r="A13179" s="1">
        <v>5.0</v>
      </c>
      <c r="B13179" s="1" t="s">
        <v>13049</v>
      </c>
      <c r="C13179" t="str">
        <f>IFERROR(__xludf.DUMMYFUNCTION("GOOGLETRANSLATE(B13179, ""zh"", ""en"")"),"There are a good time to buy activity, drinking myself do not feel anything, my mom skin smooth and delicate")</f>
        <v>There are a good time to buy activity, drinking myself do not feel anything, my mom skin smooth and delicate</v>
      </c>
    </row>
    <row r="13180">
      <c r="A13180" s="1">
        <v>5.0</v>
      </c>
      <c r="B13180" s="1" t="s">
        <v>13050</v>
      </c>
      <c r="C13180" t="str">
        <f>IFERROR(__xludf.DUMMYFUNCTION("GOOGLETRANSLATE(B13180, ""zh"", ""en"")"),"Excellent authentic quality assurance, affordable")</f>
        <v>Excellent authentic quality assurance, affordable</v>
      </c>
    </row>
    <row r="13181">
      <c r="A13181" s="1">
        <v>5.0</v>
      </c>
      <c r="B13181" s="1" t="s">
        <v>13051</v>
      </c>
      <c r="C13181" t="str">
        <f>IFERROR(__xludf.DUMMYFUNCTION("GOOGLETRANSLATE(B13181, ""zh"", ""en"")"),"Fun spoon full of healthy color temperature will change color, soft head spoon back surrounded by burr ah, fear that they will scratch the baby when feeding stuff, maybe it is genuine or their quality so")</f>
        <v>Fun spoon full of healthy color temperature will change color, soft head spoon back surrounded by burr ah, fear that they will scratch the baby when feeding stuff, maybe it is genuine or their quality so</v>
      </c>
    </row>
    <row r="13182">
      <c r="A13182" s="1">
        <v>5.0</v>
      </c>
      <c r="B13182" s="1" t="s">
        <v>13052</v>
      </c>
      <c r="C13182" t="str">
        <f>IFERROR(__xludf.DUMMYFUNCTION("GOOGLETRANSLATE(B13182, ""zh"", ""en"")"),"Very satisfied with the headphones very good, high cost")</f>
        <v>Very satisfied with the headphones very good, high cost</v>
      </c>
    </row>
    <row r="13183">
      <c r="A13183" s="1">
        <v>5.0</v>
      </c>
      <c r="B13183" s="1" t="s">
        <v>13053</v>
      </c>
      <c r="C13183" t="str">
        <f>IFERROR(__xludf.DUMMYFUNCTION("GOOGLETRANSLATE(B13183, ""zh"", ""en"")"),"Easy to use compared to a small green bottle, this is more suitable for warm milk")</f>
        <v>Easy to use compared to a small green bottle, this is more suitable for warm milk</v>
      </c>
    </row>
    <row r="13184">
      <c r="A13184" s="1">
        <v>5.0</v>
      </c>
      <c r="B13184" s="1" t="s">
        <v>13054</v>
      </c>
      <c r="C13184" t="str">
        <f>IFERROR(__xludf.DUMMYFUNCTION("GOOGLETRANSLATE(B13184, ""zh"", ""en"")"),"Maximum volume control headset, comfortable to wear, suitable for children children liked, but also very comfortable to wear, this headset control maximum volume, there will be a start-up sound to the ear bombing that happens, for us adults, volume too sm"&amp;"all, so it is suitable for children of child headphones.")</f>
        <v>Maximum volume control headset, comfortable to wear, suitable for children children liked, but also very comfortable to wear, this headset control maximum volume, there will be a start-up sound to the ear bombing that happens, for us adults, volume too small, so it is suitable for children of child headphones.</v>
      </c>
    </row>
    <row r="13185">
      <c r="A13185" s="1">
        <v>5.0</v>
      </c>
      <c r="B13185" s="1" t="s">
        <v>13055</v>
      </c>
      <c r="C13185" t="str">
        <f>IFERROR(__xludf.DUMMYFUNCTION("GOOGLETRANSLATE(B13185, ""zh"", ""en"")"),"Timex are pretty good, packaging is relatively simple thing, to wear something does not matter")</f>
        <v>Timex are pretty good, packaging is relatively simple thing, to wear something does not matter</v>
      </c>
    </row>
    <row r="13186">
      <c r="A13186" s="1">
        <v>5.0</v>
      </c>
      <c r="B13186" s="1" t="s">
        <v>13056</v>
      </c>
      <c r="C13186" t="str">
        <f>IFERROR(__xludf.DUMMYFUNCTION("GOOGLETRANSLATE(B13186, ""zh"", ""en"")"),"Good underwear is very appropriate, praise")</f>
        <v>Good underwear is very appropriate, praise</v>
      </c>
    </row>
    <row r="13187">
      <c r="A13187" s="1">
        <v>5.0</v>
      </c>
      <c r="B13187" s="1" t="s">
        <v>13057</v>
      </c>
      <c r="C13187" t="str">
        <f>IFERROR(__xludf.DUMMYFUNCTION("GOOGLETRANSLATE(B13187, ""zh"", ""en"")"),"Look pretty good, regarded as the higher cost of a casual table. Walking is also more accurate")</f>
        <v>Look pretty good, regarded as the higher cost of a casual table. Walking is also more accurate</v>
      </c>
    </row>
    <row r="13188">
      <c r="A13188" s="1">
        <v>5.0</v>
      </c>
      <c r="B13188" s="1" t="s">
        <v>13058</v>
      </c>
      <c r="C13188" t="str">
        <f>IFERROR(__xludf.DUMMYFUNCTION("GOOGLETRANSLATE(B13188, ""zh"", ""en"")"),"It is worth buying the product easy to use, noise within the acceptable range, when not timely saving state, cost-effective")</f>
        <v>It is worth buying the product easy to use, noise within the acceptable range, when not timely saving state, cost-effective</v>
      </c>
    </row>
    <row r="13189">
      <c r="A13189" s="1">
        <v>5.0</v>
      </c>
      <c r="B13189" s="1" t="s">
        <v>13059</v>
      </c>
      <c r="C13189" t="str">
        <f>IFERROR(__xludf.DUMMYFUNCTION("GOOGLETRANSLATE(B13189, ""zh"", ""en"")"),"Insulation taste good insulation effect, when the lid began to have plastic taste, like a day or two.")</f>
        <v>Insulation taste good insulation effect, when the lid began to have plastic taste, like a day or two.</v>
      </c>
    </row>
    <row r="13190">
      <c r="A13190" s="1">
        <v>5.0</v>
      </c>
      <c r="B13190" s="1" t="s">
        <v>13060</v>
      </c>
      <c r="C13190" t="str">
        <f>IFERROR(__xludf.DUMMYFUNCTION("GOOGLETRANSLATE(B13190, ""zh"", ""en"")"),"Fast and lightweight heat does not read and write speeds up to nominal speed, storage space is not a problem. Surprise is smaller than the heat.")</f>
        <v>Fast and lightweight heat does not read and write speeds up to nominal speed, storage space is not a problem. Surprise is smaller than the heat.</v>
      </c>
    </row>
    <row r="13191">
      <c r="A13191" s="1">
        <v>5.0</v>
      </c>
      <c r="B13191" s="1" t="s">
        <v>13061</v>
      </c>
      <c r="C13191" t="str">
        <f>IFERROR(__xludf.DUMMYFUNCTION("GOOGLETRANSLATE(B13191, ""zh"", ""en"")"),"Tastes good from order to receipt about 9 days, faster than it expected. Tastes good, it will help me complete the marathon dream.")</f>
        <v>Tastes good from order to receipt about 9 days, faster than it expected. Tastes good, it will help me complete the marathon dream.</v>
      </c>
    </row>
    <row r="13192">
      <c r="A13192" s="1">
        <v>5.0</v>
      </c>
      <c r="B13192" s="1" t="s">
        <v>13062</v>
      </c>
      <c r="C13192" t="str">
        <f>IFERROR(__xludf.DUMMYFUNCTION("GOOGLETRANSLATE(B13192, ""zh"", ""en"")"),"Very cute stocking, very cute, like the baby hope")</f>
        <v>Very cute stocking, very cute, like the baby hope</v>
      </c>
    </row>
    <row r="13193">
      <c r="A13193" s="1">
        <v>2.0</v>
      </c>
      <c r="B13193" s="1" t="s">
        <v>13063</v>
      </c>
      <c r="C13193" t="str">
        <f>IFERROR(__xludf.DUMMYFUNCTION("GOOGLETRANSLATE(B13193, ""zh"", ""en"")"),"Color completely fail to understand what color")</f>
        <v>Color completely fail to understand what color</v>
      </c>
    </row>
    <row r="13194">
      <c r="A13194" s="1">
        <v>3.0</v>
      </c>
      <c r="B13194" s="1" t="s">
        <v>13064</v>
      </c>
      <c r="C13194" t="str">
        <f>IFERROR(__xludf.DUMMYFUNCTION("GOOGLETRANSLATE(B13194, ""zh"", ""en"")"),"Lid is dirty cover open button is actually dirty, suspected to have been opened. Also after pressing the cover open button does not pop the lid, it is better to double Thermos mug, but the larger capacity, more compact design. Not useful, than the thin st"&amp;"raw Thermos, for fear of sucking hard")</f>
        <v>Lid is dirty cover open button is actually dirty, suspected to have been opened. Also after pressing the cover open button does not pop the lid, it is better to double Thermos mug, but the larger capacity, more compact design. Not useful, than the thin straw Thermos, for fear of sucking hard</v>
      </c>
    </row>
    <row r="13195">
      <c r="A13195" s="1">
        <v>3.0</v>
      </c>
      <c r="B13195" s="1" t="s">
        <v>13065</v>
      </c>
      <c r="C13195" t="str">
        <f>IFERROR(__xludf.DUMMYFUNCTION("GOOGLETRANSLATE(B13195, ""zh"", ""en"")"),"Packaging is very humble, not the kind you see the packaging. The pen is new, there are metal thread. Use feeling pretty good. The only drawback is the packaging. Logistics about seventy-eight days. Packaging is very humble, not the kind you see the packa"&amp;"ging. The pen is new, there are metal thread. Use feeling pretty good. The only drawback is the packaging. Logistics about seventy-eight days.")</f>
        <v>Packaging is very humble, not the kind you see the packaging. The pen is new, there are metal thread. Use feeling pretty good. The only drawback is the packaging. Logistics about seventy-eight days. Packaging is very humble, not the kind you see the packaging. The pen is new, there are metal thread. Use feeling pretty good. The only drawback is the packaging. Logistics about seventy-eight days.</v>
      </c>
    </row>
    <row r="13196">
      <c r="A13196" s="1">
        <v>3.0</v>
      </c>
      <c r="B13196" s="1" t="s">
        <v>316</v>
      </c>
      <c r="C13196" t="str">
        <f>IFERROR(__xludf.DUMMYFUNCTION("GOOGLETRANSLATE(B13196, ""zh"", ""en"")"),"No bad effect coasters do not hold up, a bit sharp arc is not good, not good!")</f>
        <v>No bad effect coasters do not hold up, a bit sharp arc is not good, not good!</v>
      </c>
    </row>
    <row r="13197">
      <c r="A13197" s="1">
        <v>1.0</v>
      </c>
      <c r="B13197" s="1" t="s">
        <v>13066</v>
      </c>
      <c r="C13197" t="str">
        <f>IFERROR(__xludf.DUMMYFUNCTION("GOOGLETRANSLATE(B13197, ""zh"", ""en"")"),"strongly not recommended to buy it I bought it last year, unfortunately it is not as good as I expect. The speed is very unstable, and often goes down to 0 Kb / s, it is totally unacceptable.")</f>
        <v>strongly not recommended to buy it I bought it last year, unfortunately it is not as good as I expect. The speed is very unstable, and often goes down to 0 Kb / s, it is totally unacceptable.</v>
      </c>
    </row>
    <row r="13198">
      <c r="A13198" s="1">
        <v>1.0</v>
      </c>
      <c r="B13198" s="1" t="s">
        <v>13067</v>
      </c>
      <c r="C13198" t="str">
        <f>IFERROR(__xludf.DUMMYFUNCTION("GOOGLETRANSLATE(B13198, ""zh"", ""en"")"),"Super defective defective, very general clothes, in the Amazon to buy Taobao goods.")</f>
        <v>Super defective defective, very general clothes, in the Amazon to buy Taobao goods.</v>
      </c>
    </row>
    <row r="13199">
      <c r="A13199" s="1">
        <v>1.0</v>
      </c>
      <c r="B13199" s="1" t="s">
        <v>13068</v>
      </c>
      <c r="C13199" t="str">
        <f>IFERROR(__xludf.DUMMYFUNCTION("GOOGLETRANSLATE(B13199, ""zh"", ""en"")"),"Five months is not gone in June received today November, do not go! ! ! ! ! ! ! ! !")</f>
        <v>Five months is not gone in June received today November, do not go! ! ! ! ! ! ! ! !</v>
      </c>
    </row>
    <row r="13200">
      <c r="A13200" s="1">
        <v>4.0</v>
      </c>
      <c r="B13200" s="1" t="s">
        <v>13069</v>
      </c>
      <c r="C13200" t="str">
        <f>IFERROR(__xludf.DUMMYFUNCTION("GOOGLETRANSLATE(B13200, ""zh"", ""en"")"),"Okay, but not particularly thick See comments some say like a very thick trousers, I just need a denim thick velvet trousers, get the goods found not to be, it is relatively thin Fleece Trousers jeans and trousers Slim enough.")</f>
        <v>Okay, but not particularly thick See comments some say like a very thick trousers, I just need a denim thick velvet trousers, get the goods found not to be, it is relatively thin Fleece Trousers jeans and trousers Slim enough.</v>
      </c>
    </row>
    <row r="13201">
      <c r="A13201" s="1">
        <v>4.0</v>
      </c>
      <c r="B13201" s="1" t="s">
        <v>13070</v>
      </c>
      <c r="C13201" t="str">
        <f>IFERROR(__xludf.DUMMYFUNCTION("GOOGLETRANSLATE(B13201, ""zh"", ""en"")"),"Yes decisively to buy a minimum of 0 yards, 163 tall, 83 pounds. Usually wear basic minimum code, to see this code clearer, more complete, dare the order. Is slightly thicker pants a little tight, be sure to wear uncomfortable summer, spring and autumn ok"&amp;"ay, but very tight pants worn mainly for looks, comfort level is slightly below.")</f>
        <v>Yes decisively to buy a minimum of 0 yards, 163 tall, 83 pounds. Usually wear basic minimum code, to see this code clearer, more complete, dare the order. Is slightly thicker pants a little tight, be sure to wear uncomfortable summer, spring and autumn okay, but very tight pants worn mainly for looks, comfort level is slightly below.</v>
      </c>
    </row>
    <row r="13202">
      <c r="A13202" s="1">
        <v>4.0</v>
      </c>
      <c r="B13202" s="1" t="s">
        <v>13071</v>
      </c>
      <c r="C13202" t="str">
        <f>IFERROR(__xludf.DUMMYFUNCTION("GOOGLETRANSLATE(B13202, ""zh"", ""en"")"),"Color color is, good style")</f>
        <v>Color color is, good style</v>
      </c>
    </row>
    <row r="13203">
      <c r="A13203" s="1">
        <v>4.0</v>
      </c>
      <c r="B13203" s="1" t="s">
        <v>13072</v>
      </c>
      <c r="C13203" t="str">
        <f>IFERROR(__xludf.DUMMYFUNCTION("GOOGLETRANSLATE(B13203, ""zh"", ""en"")"),"After chasing comment on product very satisfied, to express very disappointed, I am satisfied with the product but i am upset with the logistics")</f>
        <v>After chasing comment on product very satisfied, to express very disappointed, I am satisfied with the product but i am upset with the logistics</v>
      </c>
    </row>
    <row r="13204">
      <c r="A13204" s="1">
        <v>4.0</v>
      </c>
      <c r="B13204" s="1" t="s">
        <v>13073</v>
      </c>
      <c r="C13204" t="str">
        <f>IFERROR(__xludf.DUMMYFUNCTION("GOOGLETRANSLATE(B13204, ""zh"", ""en"")"),"Small water tank water tank is a bit small, I cleaned the teeth at least once by four water tanks, half-way three times. Packaging intact. Flush very clean, stressful, and sometimes red bleeding gums. In fact, buyers with a better type, accounting for lug"&amp;"gage or take out this place.")</f>
        <v>Small water tank water tank is a bit small, I cleaned the teeth at least once by four water tanks, half-way three times. Packaging intact. Flush very clean, stressful, and sometimes red bleeding gums. In fact, buyers with a better type, accounting for luggage or take out this place.</v>
      </c>
    </row>
    <row r="13205">
      <c r="A13205" s="1">
        <v>5.0</v>
      </c>
      <c r="B13205" s="1" t="s">
        <v>13074</v>
      </c>
      <c r="C13205" t="str">
        <f>IFERROR(__xludf.DUMMYFUNCTION("GOOGLETRANSLATE(B13205, ""zh"", ""en"")"),"Can I wear my little freshman, I 186, weight 88 kg, the country I wear XXXL, I bought the L number is also little freshman, can wear, I suggest domestic and I almost bought S number on the line")</f>
        <v>Can I wear my little freshman, I 186, weight 88 kg, the country I wear XXXL, I bought the L number is also little freshman, can wear, I suggest domestic and I almost bought S number on the line</v>
      </c>
    </row>
    <row r="13206">
      <c r="A13206" s="1">
        <v>5.0</v>
      </c>
      <c r="B13206" s="1" t="s">
        <v>10884</v>
      </c>
      <c r="C13206" t="str">
        <f>IFERROR(__xludf.DUMMYFUNCTION("GOOGLETRANSLATE(B13206, ""zh"", ""en"")"),"Very good to wear four days arrive, do not know where the shipment, pants are authentic, quality is very good, put a small waist flew in a circle, hold my pants has been a big, buy a smaller size")</f>
        <v>Very good to wear four days arrive, do not know where the shipment, pants are authentic, quality is very good, put a small waist flew in a circle, hold my pants has been a big, buy a smaller size</v>
      </c>
    </row>
    <row r="13207">
      <c r="A13207" s="1">
        <v>5.0</v>
      </c>
      <c r="B13207" s="1" t="s">
        <v>13075</v>
      </c>
      <c r="C13207" t="str">
        <f>IFERROR(__xludf.DUMMYFUNCTION("GOOGLETRANSLATE(B13207, ""zh"", ""en"")"),"There are some small smaller, the same size it is just another pair of adidas, so I bought this size, the result is too small")</f>
        <v>There are some small smaller, the same size it is just another pair of adidas, so I bought this size, the result is too small</v>
      </c>
    </row>
    <row r="13208">
      <c r="A13208" s="1">
        <v>5.0</v>
      </c>
      <c r="B13208" s="1" t="s">
        <v>13076</v>
      </c>
      <c r="C13208" t="str">
        <f>IFERROR(__xludf.DUMMYFUNCTION("GOOGLETRANSLATE(B13208, ""zh"", ""en"")"),"Price concessions, quality assurance awful, No. January 12 orders, 16 received a fastest time! In addition, the family showed me what true and false comparison chart derivative hair, and even fake same AIU, I can only sneer, the way to buy two bottles on "&amp;"the United States and Asia.")</f>
        <v>Price concessions, quality assurance awful, No. January 12 orders, 16 received a fastest time! In addition, the family showed me what true and false comparison chart derivative hair, and even fake same AIU, I can only sneer, the way to buy two bottles on the United States and Asia.</v>
      </c>
    </row>
    <row r="13209">
      <c r="A13209" s="1">
        <v>5.0</v>
      </c>
      <c r="B13209" s="1" t="s">
        <v>13077</v>
      </c>
      <c r="C13209" t="str">
        <f>IFERROR(__xludf.DUMMYFUNCTION("GOOGLETRANSLATE(B13209, ""zh"", ""en"")"),"Good good good, but not yet started and look forward to")</f>
        <v>Good good good, but not yet started and look forward to</v>
      </c>
    </row>
    <row r="13210">
      <c r="A13210" s="1">
        <v>5.0</v>
      </c>
      <c r="B13210" s="1" t="s">
        <v>13078</v>
      </c>
      <c r="C13210" t="str">
        <f>IFERROR(__xludf.DUMMYFUNCTION("GOOGLETRANSLATE(B13210, ""zh"", ""en"")"),"s 170 65 Jack Jones just about the same size and can refer to those")</f>
        <v>s 170 65 Jack Jones just about the same size and can refer to those</v>
      </c>
    </row>
    <row r="13211">
      <c r="A13211" s="1">
        <v>5.0</v>
      </c>
      <c r="B13211" s="1" t="s">
        <v>13079</v>
      </c>
      <c r="C13211" t="str">
        <f>IFERROR(__xludf.DUMMYFUNCTION("GOOGLETRANSLATE(B13211, ""zh"", ""en"")"),"Original authentic genuine original, after put in like-new easy to use")</f>
        <v>Original authentic genuine original, after put in like-new easy to use</v>
      </c>
    </row>
    <row r="13212">
      <c r="A13212" s="1">
        <v>5.0</v>
      </c>
      <c r="B13212" s="1" t="s">
        <v>13080</v>
      </c>
      <c r="C13212" t="str">
        <f>IFERROR(__xludf.DUMMYFUNCTION("GOOGLETRANSLATE(B13212, ""zh"", ""en"")"),"Logistics fast, affordable logistics very quickly, six days received. New shoes, cheaper than the domestic cost a lot.")</f>
        <v>Logistics fast, affordable logistics very quickly, six days received. New shoes, cheaper than the domestic cost a lot.</v>
      </c>
    </row>
    <row r="13213">
      <c r="A13213" s="1">
        <v>5.0</v>
      </c>
      <c r="B13213" s="1" t="s">
        <v>13081</v>
      </c>
      <c r="C13213" t="str">
        <f>IFERROR(__xludf.DUMMYFUNCTION("GOOGLETRANSLATE(B13213, ""zh"", ""en"")"),"Good fitted Sao Table style look good, function is very rich, but in English interface is a bit complicated, time-study it slowly.")</f>
        <v>Good fitted Sao Table style look good, function is very rich, but in English interface is a bit complicated, time-study it slowly.</v>
      </c>
    </row>
    <row r="13214">
      <c r="A13214" s="1">
        <v>5.0</v>
      </c>
      <c r="B13214" s="1" t="s">
        <v>13082</v>
      </c>
      <c r="C13214" t="str">
        <f>IFERROR(__xludf.DUMMYFUNCTION("GOOGLETRANSLATE(B13214, ""zh"", ""en"")"),"Simple and easy to use method is very simple, APP connection is also convenient.")</f>
        <v>Simple and easy to use method is very simple, APP connection is also convenient.</v>
      </c>
    </row>
    <row r="13215">
      <c r="A13215" s="1">
        <v>5.0</v>
      </c>
      <c r="B13215" s="1" t="s">
        <v>13083</v>
      </c>
      <c r="C13215" t="str">
        <f>IFERROR(__xludf.DUMMYFUNCTION("GOOGLETRANSLATE(B13215, ""zh"", ""en"")"),"Just very nice, inexpensive, just the right size!")</f>
        <v>Just very nice, inexpensive, just the right size!</v>
      </c>
    </row>
    <row r="13216">
      <c r="A13216" s="1">
        <v>5.0</v>
      </c>
      <c r="B13216" s="1" t="s">
        <v>13084</v>
      </c>
      <c r="C13216" t="str">
        <f>IFERROR(__xludf.DUMMYFUNCTION("GOOGLETRANSLATE(B13216, ""zh"", ""en"")"),"Whether or not authentic very good! Genuine")</f>
        <v>Whether or not authentic very good! Genuine</v>
      </c>
    </row>
    <row r="13217">
      <c r="A13217" s="1">
        <v>5.0</v>
      </c>
      <c r="B13217" s="1" t="s">
        <v>13085</v>
      </c>
      <c r="C13217" t="str">
        <f>IFERROR(__xludf.DUMMYFUNCTION("GOOGLETRANSLATE(B13217, ""zh"", ""en"")"),"Highly recommended cost is very high, 165,56kg just fit")</f>
        <v>Highly recommended cost is very high, 165,56kg just fit</v>
      </c>
    </row>
    <row r="13218">
      <c r="A13218" s="1">
        <v>5.0</v>
      </c>
      <c r="B13218" s="1" t="s">
        <v>13086</v>
      </c>
      <c r="C13218" t="str">
        <f>IFERROR(__xludf.DUMMYFUNCTION("GOOGLETRANSLATE(B13218, ""zh"", ""en"")"),"Value most satisfying piece of clothing, fabric is very soft, especially fit, comfortable, stylish, affordable")</f>
        <v>Value most satisfying piece of clothing, fabric is very soft, especially fit, comfortable, stylish, affordable</v>
      </c>
    </row>
    <row r="13219">
      <c r="A13219" s="1">
        <v>5.0</v>
      </c>
      <c r="B13219" s="1" t="s">
        <v>13087</v>
      </c>
      <c r="C13219" t="str">
        <f>IFERROR(__xludf.DUMMYFUNCTION("GOOGLETRANSLATE(B13219, ""zh"", ""en"")"),"Wife likes shoes shoes simple and elegant style, bright colors, the most important wife likes.")</f>
        <v>Wife likes shoes shoes simple and elegant style, bright colors, the most important wife likes.</v>
      </c>
    </row>
    <row r="13220">
      <c r="A13220" s="1">
        <v>5.0</v>
      </c>
      <c r="B13220" s="1" t="s">
        <v>13088</v>
      </c>
      <c r="C13220" t="str">
        <f>IFERROR(__xludf.DUMMYFUNCTION("GOOGLETRANSLATE(B13220, ""zh"", ""en"")"),"All I can say is highly recommended to buy really good? Domestic dishwashing than small block Used minicomputer 50% greater cleaning intensity, there is no residual odor, hair 9 together buy a 1")</f>
        <v>All I can say is highly recommended to buy really good? Domestic dishwashing than small block Used minicomputer 50% greater cleaning intensity, there is no residual odor, hair 9 together buy a 1</v>
      </c>
    </row>
    <row r="13221">
      <c r="A13221" s="1">
        <v>5.0</v>
      </c>
      <c r="B13221" s="1" t="s">
        <v>13089</v>
      </c>
      <c r="C13221" t="str">
        <f>IFERROR(__xludf.DUMMYFUNCTION("GOOGLETRANSLATE(B13221, ""zh"", ""en"")"),"A little too large sports shoes 44.5 44 bit double this or more like 45")</f>
        <v>A little too large sports shoes 44.5 44 bit double this or more like 45</v>
      </c>
    </row>
    <row r="13222">
      <c r="A13222" s="1">
        <v>5.0</v>
      </c>
      <c r="B13222" s="1" t="s">
        <v>13090</v>
      </c>
      <c r="C13222" t="str">
        <f>IFERROR(__xludf.DUMMYFUNCTION("GOOGLETRANSLATE(B13222, ""zh"", ""en"")"),"I have been using this quite a bargain, logistics quickly, directly into the 6 pack")</f>
        <v>I have been using this quite a bargain, logistics quickly, directly into the 6 pack</v>
      </c>
    </row>
    <row r="13223">
      <c r="A13223" s="1">
        <v>5.0</v>
      </c>
      <c r="B13223" s="1" t="s">
        <v>13091</v>
      </c>
      <c r="C13223" t="str">
        <f>IFERROR(__xludf.DUMMYFUNCTION("GOOGLETRANSLATE(B13223, ""zh"", ""en"")"),"Twists and turns down a bit, but overall satisfaction with the shopping. Single 3.21 under No. 4.5 arrived, the customer service is good, the problem is handled. Unfortunately, that might be a little cheaper to buy the 200! But 3200 is also the good thing"&amp;" to buy. Suitable for small thick legs knee boots! 39 yards thin legs, wear a little bit large (7.5 to buy may be more appropriate), put on really significant leg length modified legs! Classic good-looking wild ...... In short, when the discount is really"&amp;" good! Compare Routeng taxes but this is no way it hee hee")</f>
        <v>Twists and turns down a bit, but overall satisfaction with the shopping. Single 3.21 under No. 4.5 arrived, the customer service is good, the problem is handled. Unfortunately, that might be a little cheaper to buy the 200! But 3200 is also the good thing to buy. Suitable for small thick legs knee boots! 39 yards thin legs, wear a little bit large (7.5 to buy may be more appropriate), put on really significant leg length modified legs! Classic good-looking wild ...... In short, when the discount is really good! Compare Routeng taxes but this is no way it hee hee</v>
      </c>
    </row>
    <row r="13224">
      <c r="A13224" s="1">
        <v>5.0</v>
      </c>
      <c r="B13224" s="1" t="s">
        <v>13092</v>
      </c>
      <c r="C13224" t="str">
        <f>IFERROR(__xludf.DUMMYFUNCTION("GOOGLETRANSLATE(B13224, ""zh"", ""en"")"),"What I want to buy style. Very good, prices are cheaper than domestic stores nearly half of what I want to buy style. Very good, prices are cheaper than domestic stores nearly half of what I want to buy style. Very good, prices are cheaper than domestic s"&amp;"tores by nearly half")</f>
        <v>What I want to buy style. Very good, prices are cheaper than domestic stores nearly half of what I want to buy style. Very good, prices are cheaper than domestic stores nearly half of what I want to buy style. Very good, prices are cheaper than domestic stores by nearly half</v>
      </c>
    </row>
    <row r="13225">
      <c r="A13225" s="1">
        <v>5.0</v>
      </c>
      <c r="B13225" s="1" t="s">
        <v>13093</v>
      </c>
      <c r="C13225" t="str">
        <f>IFERROR(__xludf.DUMMYFUNCTION("GOOGLETRANSLATE(B13225, ""zh"", ""en"")"),"Good products and very good, the space is large enough. The maximum speed may be copied to 100m")</f>
        <v>Good products and very good, the space is large enough. The maximum speed may be copied to 100m</v>
      </c>
    </row>
    <row r="13226">
      <c r="A13226" s="1">
        <v>2.0</v>
      </c>
      <c r="B13226" s="1" t="s">
        <v>13094</v>
      </c>
      <c r="C13226" t="str">
        <f>IFERROR(__xludf.DUMMYFUNCTION("GOOGLETRANSLATE(B13226, ""zh"", ""en"")"),"The bad old machine machine does not emit a flash suddenly issued a strong flash and afraid explode like lamp base with sound and scratches is clearly not a new decisive return but also their own to advance international postage customer service that I ca"&amp;"n reserve price when I also do not hesitate to buy in order")</f>
        <v>The bad old machine machine does not emit a flash suddenly issued a strong flash and afraid explode like lamp base with sound and scratches is clearly not a new decisive return but also their own to advance international postage customer service that I can reserve price when I also do not hesitate to buy in order</v>
      </c>
    </row>
    <row r="13227">
      <c r="A13227" s="1">
        <v>3.0</v>
      </c>
      <c r="B13227" s="1" t="s">
        <v>13095</v>
      </c>
      <c r="C13227" t="str">
        <f>IFERROR(__xludf.DUMMYFUNCTION("GOOGLETRANSLATE(B13227, ""zh"", ""en"")"),"Generally very general belt-like hair easily without additional side a good")</f>
        <v>Generally very general belt-like hair easily without additional side a good</v>
      </c>
    </row>
    <row r="13228">
      <c r="A13228" s="1">
        <v>3.0</v>
      </c>
      <c r="B13228" s="1" t="s">
        <v>13096</v>
      </c>
      <c r="C13228" t="str">
        <f>IFERROR(__xludf.DUMMYFUNCTION("GOOGLETRANSLATE(B13228, ""zh"", ""en"")"),"Tangled a bit, or return the first time to buy Parker pens, exquisite packaging, appearance is also very beautiful pen ,, cheap 18k gold pen can be considered more than 6 million price conscience, and Pike in the country are astronomical. These are the ad"&amp;"vantages and disadvantages is poorly written, in front of all the advantages of no use, I may be the only exception, the tip is very slippery, but some angles will seriously white fly, but the handwriting is too thick, can not accept. it seems I was fit w"&amp;"ith a Japanese pen. because the price is really cheap, tangled a bit, or choose to return, and almost a month has not been successful, phone consultation, to the reply, if 30 days no refund can be directly processed, although the return cycle is long, but"&amp;" after all, is to buy overseas and there is no charge a return fee, Amazon's service quite good.")</f>
        <v>Tangled a bit, or return the first time to buy Parker pens, exquisite packaging, appearance is also very beautiful pen ,, cheap 18k gold pen can be considered more than 6 million price conscience, and Pike in the country are astronomical. These are the advantages and disadvantages is poorly written, in front of all the advantages of no use, I may be the only exception, the tip is very slippery, but some angles will seriously white fly, but the handwriting is too thick, can not accept. it seems I was fit with a Japanese pen. because the price is really cheap, tangled a bit, or choose to return, and almost a month has not been successful, phone consultation, to the reply, if 30 days no refund can be directly processed, although the return cycle is long, but after all, is to buy overseas and there is no charge a return fee, Amazon's service quite good.</v>
      </c>
    </row>
    <row r="13229">
      <c r="A13229" s="1">
        <v>3.0</v>
      </c>
      <c r="B13229" s="1" t="s">
        <v>3037</v>
      </c>
      <c r="C13229" t="str">
        <f>IFERROR(__xludf.DUMMYFUNCTION("GOOGLETRANSLATE(B13229, ""zh"", ""en"")"),"Poor fade lint, Biandema Mom")</f>
        <v>Poor fade lint, Biandema Mom</v>
      </c>
    </row>
    <row r="13230">
      <c r="A13230" s="1">
        <v>1.0</v>
      </c>
      <c r="B13230" s="1" t="s">
        <v>13097</v>
      </c>
      <c r="C13230" t="str">
        <f>IFERROR(__xludf.DUMMYFUNCTION("GOOGLETRANSLATE(B13230, ""zh"", ""en"")"),"Material 55% cotton do not like, do not recommend buying this.")</f>
        <v>Material 55% cotton do not like, do not recommend buying this.</v>
      </c>
    </row>
    <row r="13231">
      <c r="A13231" s="1">
        <v>1.0</v>
      </c>
      <c r="B13231" s="1" t="s">
        <v>13098</v>
      </c>
      <c r="C13231" t="str">
        <f>IFERROR(__xludf.DUMMYFUNCTION("GOOGLETRANSLATE(B13231, ""zh"", ""en"")"),"First disappointment is super slow delivery call reminders before delivery and is now a shelf life of only 2018.10 2018.4 buy two bottles I do not know spade")</f>
        <v>First disappointment is super slow delivery call reminders before delivery and is now a shelf life of only 2018.10 2018.4 buy two bottles I do not know spade</v>
      </c>
    </row>
    <row r="13232">
      <c r="A13232" s="1">
        <v>4.0</v>
      </c>
      <c r="B13232" s="1" t="s">
        <v>13099</v>
      </c>
      <c r="C13232" t="str">
        <f>IFERROR(__xludf.DUMMYFUNCTION("GOOGLETRANSLATE(B13232, ""zh"", ""en"")"),"A little bit different with the expected speed or can, but then found to be made in China makes me a little 'pleasant surprise', but did not send yellow laces, also inside the store and Martin are not the same, so i do not understand")</f>
        <v>A little bit different with the expected speed or can, but then found to be made in China makes me a little 'pleasant surprise', but did not send yellow laces, also inside the store and Martin are not the same, so i do not understand</v>
      </c>
    </row>
    <row r="13233">
      <c r="A13233" s="1">
        <v>4.0</v>
      </c>
      <c r="B13233" s="1" t="s">
        <v>13100</v>
      </c>
      <c r="C13233" t="str">
        <f>IFERROR(__xludf.DUMMYFUNCTION("GOOGLETRANSLATE(B13233, ""zh"", ""en"")"),"Good quality, is a good quality a bit hard soles, is the sole a bit hard")</f>
        <v>Good quality, is a good quality a bit hard soles, is the sole a bit hard</v>
      </c>
    </row>
    <row r="13234">
      <c r="A13234" s="1">
        <v>4.0</v>
      </c>
      <c r="B13234" s="1" t="s">
        <v>13101</v>
      </c>
      <c r="C13234" t="str">
        <f>IFERROR(__xludf.DUMMYFUNCTION("GOOGLETRANSLATE(B13234, ""zh"", ""en"")"),"Comfortable to wear headphones finally received than the original three tall on the might sound boring Hopefully I think also good reasons not to burn")</f>
        <v>Comfortable to wear headphones finally received than the original three tall on the might sound boring Hopefully I think also good reasons not to burn</v>
      </c>
    </row>
    <row r="13235">
      <c r="A13235" s="1">
        <v>4.0</v>
      </c>
      <c r="B13235" s="1" t="s">
        <v>13102</v>
      </c>
      <c r="C13235" t="str">
        <f>IFERROR(__xludf.DUMMYFUNCTION("GOOGLETRANSLATE(B13235, ""zh"", ""en"")"),"Overall, okay strap is very light, not heavy metal sense of strong (very low). Strap a little long, could not find a demolition program. Luminous hour and minute hands. Waterproof performance is good, at least not the bath water. Generally speaking, okay.")</f>
        <v>Overall, okay strap is very light, not heavy metal sense of strong (very low). Strap a little long, could not find a demolition program. Luminous hour and minute hands. Waterproof performance is good, at least not the bath water. Generally speaking, okay.</v>
      </c>
    </row>
    <row r="13236">
      <c r="A13236" s="1">
        <v>5.0</v>
      </c>
      <c r="B13236" s="1" t="s">
        <v>13103</v>
      </c>
      <c r="C13236" t="str">
        <f>IFERROR(__xludf.DUMMYFUNCTION("GOOGLETRANSLATE(B13236, ""zh"", ""en"")"),"I heard a pretty good value for money Blu-ray Disc no black bought five losses ah ... very good read and write speed instability may occasionally have it all factors that speed the picture is a bit do not understand ... how this rate fall down ...")</f>
        <v>I heard a pretty good value for money Blu-ray Disc no black bought five losses ah ... very good read and write speed instability may occasionally have it all factors that speed the picture is a bit do not understand ... how this rate fall down ...</v>
      </c>
    </row>
    <row r="13237">
      <c r="A13237" s="1">
        <v>5.0</v>
      </c>
      <c r="B13237" s="1" t="s">
        <v>13104</v>
      </c>
      <c r="C13237" t="str">
        <f>IFERROR(__xludf.DUMMYFUNCTION("GOOGLETRANSLATE(B13237, ""zh"", ""en"")"),"250 feet long solid rough, shoes can be worn 40-41, shoe election 7.5C, but the delivery is over 7.5M, the feedback in the past, back two percentage shoes, conscientious businesses. Multi-length one, a width slightly tight, the time period should wear loo"&amp;"se a little. Warn our friends, which according to Chinese brand shoes code to buy on the line, if not special thin legs, be sure to buy a wide version. Strong special shoes rough, Zhang Xian man temperament.")</f>
        <v>250 feet long solid rough, shoes can be worn 40-41, shoe election 7.5C, but the delivery is over 7.5M, the feedback in the past, back two percentage shoes, conscientious businesses. Multi-length one, a width slightly tight, the time period should wear loose a little. Warn our friends, which according to Chinese brand shoes code to buy on the line, if not special thin legs, be sure to buy a wide version. Strong special shoes rough, Zhang Xian man temperament.</v>
      </c>
    </row>
    <row r="13238">
      <c r="A13238" s="1">
        <v>5.0</v>
      </c>
      <c r="B13238" s="1" t="s">
        <v>13105</v>
      </c>
      <c r="C13238" t="str">
        <f>IFERROR(__xludf.DUMMYFUNCTION("GOOGLETRANSLATE(B13238, ""zh"", ""en"")"),"Quality is good, but a little thin fabric hard overseas shipping or to buy a lot faster than expected. Quality is also good, looks good, but the fabric is a little bit of the kind of hard, but also very thin. I liked it, is the kind of large version")</f>
        <v>Quality is good, but a little thin fabric hard overseas shipping or to buy a lot faster than expected. Quality is also good, looks good, but the fabric is a little bit of the kind of hard, but also very thin. I liked it, is the kind of large version</v>
      </c>
    </row>
    <row r="13239">
      <c r="A13239" s="1">
        <v>5.0</v>
      </c>
      <c r="B13239" s="1" t="s">
        <v>13106</v>
      </c>
      <c r="C13239" t="str">
        <f>IFERROR(__xludf.DUMMYFUNCTION("GOOGLETRANSLATE(B13239, ""zh"", ""en"")"),"Good wife said well, the high cost.")</f>
        <v>Good wife said well, the high cost.</v>
      </c>
    </row>
    <row r="13240">
      <c r="A13240" s="1">
        <v>5.0</v>
      </c>
      <c r="B13240" s="1" t="s">
        <v>13107</v>
      </c>
      <c r="C13240" t="str">
        <f>IFERROR(__xludf.DUMMYFUNCTION("GOOGLETRANSLATE(B13240, ""zh"", ""en"")"),"Good workmanship and quality are satisfactory. Installation is very easy. Filter the results were good 👍")</f>
        <v>Good workmanship and quality are satisfactory. Installation is very easy. Filter the results were good 👍</v>
      </c>
    </row>
    <row r="13241">
      <c r="A13241" s="1">
        <v>5.0</v>
      </c>
      <c r="B13241" s="1" t="s">
        <v>13108</v>
      </c>
      <c r="C13241" t="str">
        <f>IFERROR(__xludf.DUMMYFUNCTION("GOOGLETRANSLATE(B13241, ""zh"", ""en"")"),"Before doing homework perfect experience, the domestic shoe 43 yards, choose uk9 just right.")</f>
        <v>Before doing homework perfect experience, the domestic shoe 43 yards, choose uk9 just right.</v>
      </c>
    </row>
    <row r="13242">
      <c r="A13242" s="1">
        <v>5.0</v>
      </c>
      <c r="B13242" s="1" t="s">
        <v>13109</v>
      </c>
      <c r="C13242" t="str">
        <f>IFERROR(__xludf.DUMMYFUNCTION("GOOGLETRANSLATE(B13242, ""zh"", ""en"")"),"Reasonably priced, comfortable size just right, very comfortable, reasonably priced")</f>
        <v>Reasonably priced, comfortable size just right, very comfortable, reasonably priced</v>
      </c>
    </row>
    <row r="13243">
      <c r="A13243" s="1">
        <v>5.0</v>
      </c>
      <c r="B13243" s="1" t="s">
        <v>13110</v>
      </c>
      <c r="C13243" t="str">
        <f>IFERROR(__xludf.DUMMYFUNCTION("GOOGLETRANSLATE(B13243, ""zh"", ""en"")"),"Good good, very good quality. . . . .")</f>
        <v>Good good, very good quality. . . . .</v>
      </c>
    </row>
    <row r="13244">
      <c r="A13244" s="1">
        <v>5.0</v>
      </c>
      <c r="B13244" s="1" t="s">
        <v>13111</v>
      </c>
      <c r="C13244" t="str">
        <f>IFERROR(__xludf.DUMMYFUNCTION("GOOGLETRANSLATE(B13244, ""zh"", ""en"")"),"Pen barrel crude significant gas, heavier than some imagined, not matte black pen, moderate F sharp. Writing smooth and comfortable.")</f>
        <v>Pen barrel crude significant gas, heavier than some imagined, not matte black pen, moderate F sharp. Writing smooth and comfortable.</v>
      </c>
    </row>
    <row r="13245">
      <c r="A13245" s="1">
        <v>5.0</v>
      </c>
      <c r="B13245" s="1" t="s">
        <v>13112</v>
      </c>
      <c r="C13245" t="str">
        <f>IFERROR(__xludf.DUMMYFUNCTION("GOOGLETRANSLATE(B13245, ""zh"", ""en"")"),"Very soft and skin-friendly soft skin-friendly a bra, beautiful breast shape, the fabric feels very comfortable, like not wearing, when worn for everyday wear or sleep.")</f>
        <v>Very soft and skin-friendly soft skin-friendly a bra, beautiful breast shape, the fabric feels very comfortable, like not wearing, when worn for everyday wear or sleep.</v>
      </c>
    </row>
    <row r="13246">
      <c r="A13246" s="1">
        <v>5.0</v>
      </c>
      <c r="B13246" s="1" t="s">
        <v>13113</v>
      </c>
      <c r="C13246" t="str">
        <f>IFERROR(__xludf.DUMMYFUNCTION("GOOGLETRANSLATE(B13246, ""zh"", ""en"")"),"Is a great authentic and cheap shoes, the price is too cheap")</f>
        <v>Is a great authentic and cheap shoes, the price is too cheap</v>
      </c>
    </row>
    <row r="13247">
      <c r="A13247" s="1">
        <v>5.0</v>
      </c>
      <c r="B13247" s="1" t="s">
        <v>13114</v>
      </c>
      <c r="C13247" t="str">
        <f>IFERROR(__xludf.DUMMYFUNCTION("GOOGLETRANSLATE(B13247, ""zh"", ""en"")"),"Bo Hou appropriate sweater spring and autumn wear, quality and style are good")</f>
        <v>Bo Hou appropriate sweater spring and autumn wear, quality and style are good</v>
      </c>
    </row>
    <row r="13248">
      <c r="A13248" s="1">
        <v>5.0</v>
      </c>
      <c r="B13248" s="1" t="s">
        <v>13115</v>
      </c>
      <c r="C13248" t="str">
        <f>IFERROR(__xludf.DUMMYFUNCTION("GOOGLETRANSLATE(B13248, ""zh"", ""en"")"),"Very pleasantly surprised, baby cover a very comfortable, very breathable, but warm! Very pleasantly surprised, baby cover a very comfortable, very breathable, but warm! Very pleasantly surprised, baby cover a very comfortable, very breathable, but warm!")</f>
        <v>Very pleasantly surprised, baby cover a very comfortable, very breathable, but warm! Very pleasantly surprised, baby cover a very comfortable, very breathable, but warm! Very pleasantly surprised, baby cover a very comfortable, very breathable, but warm!</v>
      </c>
    </row>
    <row r="13249">
      <c r="A13249" s="1">
        <v>5.0</v>
      </c>
      <c r="B13249" s="1" t="s">
        <v>13116</v>
      </c>
      <c r="C13249" t="str">
        <f>IFERROR(__xludf.DUMMYFUNCTION("GOOGLETRANSLATE(B13249, ""zh"", ""en"")"),"Satisfaction 170cm, 70kg fit, long pants, waist circumference, very satisfied. You can refer to the size of the gap. 31x30.")</f>
        <v>Satisfaction 170cm, 70kg fit, long pants, waist circumference, very satisfied. You can refer to the size of the gap. 31x30.</v>
      </c>
    </row>
    <row r="13250">
      <c r="A13250" s="1">
        <v>5.0</v>
      </c>
      <c r="B13250" s="1" t="s">
        <v>13117</v>
      </c>
      <c r="C13250" t="str">
        <f>IFERROR(__xludf.DUMMYFUNCTION("GOOGLETRANSLATE(B13250, ""zh"", ""en"")"),"Direct Push feel good plug computer plug more than one hundred original volume to 6-8, this headset Direct Push to 12-16, the night quiet to count to 10. I do not know push move, and does not intend to toss it does not work can be considered a plus one? W"&amp;"hat is recommended? do not burn! scrapped back to the phone to play direct push feel almost the same as those usually listen to songs with plug almost feel ah (of course feel quite right, but the low-frequency sub), watching movies, then sound it touches "&amp;"a lot of good, strong sense of space and finally listen to feel significant difference when compared to the mix of some good music, after all, I have only a hundred although nothing can be referred to the plug")</f>
        <v>Direct Push feel good plug computer plug more than one hundred original volume to 6-8, this headset Direct Push to 12-16, the night quiet to count to 10. I do not know push move, and does not intend to toss it does not work can be considered a plus one? What is recommended? do not burn! scrapped back to the phone to play direct push feel almost the same as those usually listen to songs with plug almost feel ah (of course feel quite right, but the low-frequency sub), watching movies, then sound it touches a lot of good, strong sense of space and finally listen to feel significant difference when compared to the mix of some good music, after all, I have only a hundred although nothing can be referred to the plug</v>
      </c>
    </row>
    <row r="13251">
      <c r="A13251" s="1">
        <v>5.0</v>
      </c>
      <c r="B13251" s="1" t="s">
        <v>13118</v>
      </c>
      <c r="C13251" t="str">
        <f>IFERROR(__xludf.DUMMYFUNCTION("GOOGLETRANSLATE(B13251, ""zh"", ""en"")"),"Is genuine good pen, but the ink bag which said commodity description accompanying the two qucink, open and found Sarah is a cartridge, which is what the hell? Americans are wrong box, right? Back to the pen is. I bought the M tip, write music on a very d"&amp;"ark, the water is not very modest type, do not rough but very uniform. M handwriting is the tip of some thickness, and will not be fine, that I am very satisfied. As polished tip, it is a typical American style, Shunliu, but does not like skating, control"&amp;" well. Tried various brands mess, and finally back to Parker, or the old factory reliable ah. Commodity box wrong question to Amazon customer service feedback, and it has been addressed immediately. Amazon's service did not have to say.")</f>
        <v>Is genuine good pen, but the ink bag which said commodity description accompanying the two qucink, open and found Sarah is a cartridge, which is what the hell? Americans are wrong box, right? Back to the pen is. I bought the M tip, write music on a very dark, the water is not very modest type, do not rough but very uniform. M handwriting is the tip of some thickness, and will not be fine, that I am very satisfied. As polished tip, it is a typical American style, Shunliu, but does not like skating, control well. Tried various brands mess, and finally back to Parker, or the old factory reliable ah. Commodity box wrong question to Amazon customer service feedback, and it has been addressed immediately. Amazon's service did not have to say.</v>
      </c>
    </row>
    <row r="13252">
      <c r="A13252" s="1">
        <v>5.0</v>
      </c>
      <c r="B13252" s="1" t="s">
        <v>13119</v>
      </c>
      <c r="C13252" t="str">
        <f>IFERROR(__xludf.DUMMYFUNCTION("GOOGLETRANSLATE(B13252, ""zh"", ""en"")"),"easy to use? very useful.")</f>
        <v>easy to use? very useful.</v>
      </c>
    </row>
    <row r="13253">
      <c r="A13253" s="1">
        <v>5.0</v>
      </c>
      <c r="B13253" s="1" t="s">
        <v>13120</v>
      </c>
      <c r="C13253" t="str">
        <f>IFERROR(__xludf.DUMMYFUNCTION("GOOGLETRANSLATE(B13253, ""zh"", ""en"")"),"Kids love to eat easy entrance, children want to eat")</f>
        <v>Kids love to eat easy entrance, children want to eat</v>
      </c>
    </row>
    <row r="13254">
      <c r="A13254" s="1">
        <v>5.0</v>
      </c>
      <c r="B13254" s="1" t="s">
        <v>13121</v>
      </c>
      <c r="C13254" t="str">
        <f>IFERROR(__xludf.DUMMYFUNCTION("GOOGLETRANSLATE(B13254, ""zh"", ""en"")"),"Wind is very good value for money, wear also very type, shoe size standards, than domestic buy really cheap.")</f>
        <v>Wind is very good value for money, wear also very type, shoe size standards, than domestic buy really cheap.</v>
      </c>
    </row>
    <row r="13255">
      <c r="A13255" s="1">
        <v>5.0</v>
      </c>
      <c r="B13255" s="1" t="s">
        <v>13122</v>
      </c>
      <c r="C13255" t="str">
        <f>IFERROR(__xludf.DUMMYFUNCTION("GOOGLETRANSLATE(B13255, ""zh"", ""en"")"),"Natural, free! Natural, plant-based products.")</f>
        <v>Natural, free! Natural, plant-based products.</v>
      </c>
    </row>
    <row r="13256">
      <c r="A13256" s="1">
        <v>5.0</v>
      </c>
      <c r="B13256" s="1" t="s">
        <v>13123</v>
      </c>
      <c r="C13256" t="str">
        <f>IFERROR(__xludf.DUMMYFUNCTION("GOOGLETRANSLATE(B13256, ""zh"", ""en"")"),"Can be very accurate when walking, sports watch band, suitable for casual wear")</f>
        <v>Can be very accurate when walking, sports watch band, suitable for casual wear</v>
      </c>
    </row>
    <row r="13257">
      <c r="A13257" s="1">
        <v>5.0</v>
      </c>
      <c r="B13257" s="1" t="s">
        <v>13124</v>
      </c>
      <c r="C13257" t="str">
        <f>IFERROR(__xludf.DUMMYFUNCTION("GOOGLETRANSLATE(B13257, ""zh"", ""en"")"),"Reference bought some bust, S bust probably 100cm, L is 120cm, but no estimate of the amount of M should be 110, to buy back a reference to it")</f>
        <v>Reference bought some bust, S bust probably 100cm, L is 120cm, but no estimate of the amount of M should be 110, to buy back a reference to it</v>
      </c>
    </row>
    <row r="13258">
      <c r="A13258" s="1">
        <v>2.0</v>
      </c>
      <c r="B13258" s="1" t="s">
        <v>13125</v>
      </c>
      <c r="C13258" t="str">
        <f>IFERROR(__xludf.DUMMYFUNCTION("GOOGLETRANSLATE(B13258, ""zh"", ""en"")"),"Poor quality poor quality of fabric, and washed once after have a place to open the line. Simply can not wear.")</f>
        <v>Poor quality poor quality of fabric, and washed once after have a place to open the line. Simply can not wear.</v>
      </c>
    </row>
    <row r="13259">
      <c r="A13259" s="1">
        <v>3.0</v>
      </c>
      <c r="B13259" s="1" t="s">
        <v>13126</v>
      </c>
      <c r="C13259" t="str">
        <f>IFERROR(__xludf.DUMMYFUNCTION("GOOGLETRANSLATE(B13259, ""zh"", ""en"")"),"Not only durable stir month, breaking the pelvic floor")</f>
        <v>Not only durable stir month, breaking the pelvic floor</v>
      </c>
    </row>
    <row r="13260">
      <c r="A13260" s="1">
        <v>3.0</v>
      </c>
      <c r="B13260" s="1" t="s">
        <v>13127</v>
      </c>
      <c r="C13260" t="str">
        <f>IFERROR(__xludf.DUMMYFUNCTION("GOOGLETRANSLATE(B13260, ""zh"", ""en"")"),"You must buy a small two yards thin material, code is too big, work in general, is that the price is right, can not return, return shipping than the high intrinsic value, and not as zara fast fashion brands such as material good workmanship, no way 👐")</f>
        <v>You must buy a small two yards thin material, code is too big, work in general, is that the price is right, can not return, return shipping than the high intrinsic value, and not as zara fast fashion brands such as material good workmanship, no way 👐</v>
      </c>
    </row>
    <row r="13261">
      <c r="A13261" s="1">
        <v>1.0</v>
      </c>
      <c r="B13261" s="1" t="s">
        <v>13128</v>
      </c>
      <c r="C13261" t="str">
        <f>IFERROR(__xludf.DUMMYFUNCTION("GOOGLETRANSLATE(B13261, ""zh"", ""en"")"),"It does not look good. LOW do not feel like it, does not look good, very disappointed, poor quality and pants, thin, like slacks, not worth it.")</f>
        <v>It does not look good. LOW do not feel like it, does not look good, very disappointed, poor quality and pants, thin, like slacks, not worth it.</v>
      </c>
    </row>
    <row r="13262">
      <c r="A13262" s="1">
        <v>1.0</v>
      </c>
      <c r="B13262" s="1" t="s">
        <v>13129</v>
      </c>
      <c r="C13262" t="str">
        <f>IFERROR(__xludf.DUMMYFUNCTION("GOOGLETRANSLATE(B13262, ""zh"", ""en"")"),"Sea Amoy no warranty, bad luck is a hundred percent loss on the block a few months, anyway, did not care, then demolished and found that there is a kind of very thick 2.5-inch disk, nothing with")</f>
        <v>Sea Amoy no warranty, bad luck is a hundred percent loss on the block a few months, anyway, did not care, then demolished and found that there is a kind of very thick 2.5-inch disk, nothing with</v>
      </c>
    </row>
    <row r="13263">
      <c r="A13263" s="1">
        <v>4.0</v>
      </c>
      <c r="B13263" s="1" t="s">
        <v>13130</v>
      </c>
      <c r="C13263" t="str">
        <f>IFERROR(__xludf.DUMMYFUNCTION("GOOGLETRANSLATE(B13263, ""zh"", ""en"")"),"Clothes okay, keep wearing, but back")</f>
        <v>Clothes okay, keep wearing, but back</v>
      </c>
    </row>
    <row r="13264">
      <c r="A13264" s="1">
        <v>4.0</v>
      </c>
      <c r="B13264" s="1" t="s">
        <v>13131</v>
      </c>
      <c r="C13264" t="str">
        <f>IFERROR(__xludf.DUMMYFUNCTION("GOOGLETRANSLATE(B13264, ""zh"", ""en"")"),"175 85kg just wearing m m 175 85kg wear just right, no stomach robust type. More fat can consider freshman code")</f>
        <v>175 85kg just wearing m m 175 85kg wear just right, no stomach robust type. More fat can consider freshman code</v>
      </c>
    </row>
    <row r="13265">
      <c r="A13265" s="1">
        <v>4.0</v>
      </c>
      <c r="B13265" s="1" t="s">
        <v>13132</v>
      </c>
      <c r="C13265" t="str">
        <f>IFERROR(__xludf.DUMMYFUNCTION("GOOGLETRANSLATE(B13265, ""zh"", ""en"")"),"I am ugly, but I am very gentle. First, the box does not match the picture on the packaging, are broken when received. Second, the outside of the earphone wire bonding process is very poor. Third, with the picture less a warranty card. Fourth, the tested "&amp;"L, R of the frequency response curve is substantially the same. Five thousand dollars less, great value! ! ! Six out of the street in winter can warm the ears ,,,")</f>
        <v>I am ugly, but I am very gentle. First, the box does not match the picture on the packaging, are broken when received. Second, the outside of the earphone wire bonding process is very poor. Third, with the picture less a warranty card. Fourth, the tested L, R of the frequency response curve is substantially the same. Five thousand dollars less, great value! ! ! Six out of the street in winter can warm the ears ,,,</v>
      </c>
    </row>
    <row r="13266">
      <c r="A13266" s="1">
        <v>4.0</v>
      </c>
      <c r="B13266" s="1" t="s">
        <v>13133</v>
      </c>
      <c r="C13266" t="str">
        <f>IFERROR(__xludf.DUMMYFUNCTION("GOOGLETRANSLATE(B13266, ""zh"", ""en"")"),"Shoes Oxford shoes to wear slightly smaller number of 10W, these shoes a little bit the top foot, returned to International too expensive, so be it.")</f>
        <v>Shoes Oxford shoes to wear slightly smaller number of 10W, these shoes a little bit the top foot, returned to International too expensive, so be it.</v>
      </c>
    </row>
    <row r="13267">
      <c r="A13267" s="1">
        <v>4.0</v>
      </c>
      <c r="B13267" s="1" t="s">
        <v>13134</v>
      </c>
      <c r="C13267" t="str">
        <f>IFERROR(__xludf.DUMMYFUNCTION("GOOGLETRANSLATE(B13267, ""zh"", ""en"")"),"balabala okay, but there are a lot of scratches on the upper or color, but the price is very affordable genuine")</f>
        <v>balabala okay, but there are a lot of scratches on the upper or color, but the price is very affordable genuine</v>
      </c>
    </row>
    <row r="13268">
      <c r="A13268" s="1">
        <v>5.0</v>
      </c>
      <c r="B13268" s="1" t="s">
        <v>13135</v>
      </c>
      <c r="C13268" t="str">
        <f>IFERROR(__xludf.DUMMYFUNCTION("GOOGLETRANSLATE(B13268, ""zh"", ""en"")"),"Panasonic Panasonic powder powder, from 45-65, can develop a gallery")</f>
        <v>Panasonic Panasonic powder powder, from 45-65, can develop a gallery</v>
      </c>
    </row>
    <row r="13269">
      <c r="A13269" s="1">
        <v>5.0</v>
      </c>
      <c r="B13269" s="1" t="s">
        <v>13136</v>
      </c>
      <c r="C13269" t="str">
        <f>IFERROR(__xludf.DUMMYFUNCTION("GOOGLETRANSLATE(B13269, ""zh"", ""en"")"),"Good, affordable well come again, something good, there is a period of time can be spent")</f>
        <v>Good, affordable well come again, something good, there is a period of time can be spent</v>
      </c>
    </row>
    <row r="13270">
      <c r="A13270" s="1">
        <v>5.0</v>
      </c>
      <c r="B13270" s="1" t="s">
        <v>13137</v>
      </c>
      <c r="C13270" t="str">
        <f>IFERROR(__xludf.DUMMYFUNCTION("GOOGLETRANSLATE(B13270, ""zh"", ""en"")"),"The right size is very comfortable to wear comfortable waist style!")</f>
        <v>The right size is very comfortable to wear comfortable waist style!</v>
      </c>
    </row>
    <row r="13271">
      <c r="A13271" s="1">
        <v>5.0</v>
      </c>
      <c r="B13271" s="1" t="s">
        <v>13138</v>
      </c>
      <c r="C13271" t="str">
        <f>IFERROR(__xludf.DUMMYFUNCTION("GOOGLETRANSLATE(B13271, ""zh"", ""en"")"),"Nice ring wool quality is good, though not great, but L code, the son of 178 high, 135 pounds just")</f>
        <v>Nice ring wool quality is good, though not great, but L code, the son of 178 high, 135 pounds just</v>
      </c>
    </row>
    <row r="13272">
      <c r="A13272" s="1">
        <v>5.0</v>
      </c>
      <c r="B13272" s="1" t="s">
        <v>13139</v>
      </c>
      <c r="C13272" t="str">
        <f>IFERROR(__xludf.DUMMYFUNCTION("GOOGLETRANSLATE(B13272, ""zh"", ""en"")"),"The audio quality is good, there is no pot on the good, transparent. Matte low-key, the general noise reduction, in general, very good, the sound quality is better than the beats solo3 I do not know where to go, a total of more than eight hundred hand eve"&amp;"n customs duties, value!")</f>
        <v>The audio quality is good, there is no pot on the good, transparent. Matte low-key, the general noise reduction, in general, very good, the sound quality is better than the beats solo3 I do not know where to go, a total of more than eight hundred hand even customs duties, value!</v>
      </c>
    </row>
    <row r="13273">
      <c r="A13273" s="1">
        <v>5.0</v>
      </c>
      <c r="B13273" s="1" t="s">
        <v>13140</v>
      </c>
      <c r="C13273" t="str">
        <f>IFERROR(__xludf.DUMMYFUNCTION("GOOGLETRANSLATE(B13273, ""zh"", ""en"")"),"Authentic guaranteed, next time will buy something is genuine, delivery speed than expected to a few days in advance, genuine security, trustworthy buying.")</f>
        <v>Authentic guaranteed, next time will buy something is genuine, delivery speed than expected to a few days in advance, genuine security, trustworthy buying.</v>
      </c>
    </row>
    <row r="13274">
      <c r="A13274" s="1">
        <v>5.0</v>
      </c>
      <c r="B13274" s="1" t="s">
        <v>13141</v>
      </c>
      <c r="C13274" t="str">
        <f>IFERROR(__xludf.DUMMYFUNCTION("GOOGLETRANSLATE(B13274, ""zh"", ""en"")"),"Good quality is particularly good with velvet suitable for winter wear size is also very fit 175 tall, 63 kg M code is very fond of")</f>
        <v>Good quality is particularly good with velvet suitable for winter wear size is also very fit 175 tall, 63 kg M code is very fond of</v>
      </c>
    </row>
    <row r="13275">
      <c r="A13275" s="1">
        <v>5.0</v>
      </c>
      <c r="B13275" s="1" t="s">
        <v>13142</v>
      </c>
      <c r="C13275" t="str">
        <f>IFERROR(__xludf.DUMMYFUNCTION("GOOGLETRANSLATE(B13275, ""zh"", ""en"")"),"Size really hard to describe foreigners preferential time to buy two, gray and white, all S code, so-so you can wear gray, white on significantly longer part of it, do not understand how a foreigner is defined sizes.")</f>
        <v>Size really hard to describe foreigners preferential time to buy two, gray and white, all S code, so-so you can wear gray, white on significantly longer part of it, do not understand how a foreigner is defined sizes.</v>
      </c>
    </row>
    <row r="13276">
      <c r="A13276" s="1">
        <v>5.0</v>
      </c>
      <c r="B13276" s="1" t="s">
        <v>13143</v>
      </c>
      <c r="C13276" t="str">
        <f>IFERROR(__xludf.DUMMYFUNCTION("GOOGLETRANSLATE(B13276, ""zh"", ""en"")"),"Genuine Pigeon bottle well, stocking")</f>
        <v>Genuine Pigeon bottle well, stocking</v>
      </c>
    </row>
    <row r="13277">
      <c r="A13277" s="1">
        <v>5.0</v>
      </c>
      <c r="B13277" s="1" t="s">
        <v>13144</v>
      </c>
      <c r="C13277" t="str">
        <f>IFERROR(__xludf.DUMMYFUNCTION("GOOGLETRANSLATE(B13277, ""zh"", ""en"")"),"A very powerful little, little freshman than ordinary hard drives. You can connect win a tablet, Android phones. And 3satat hard to test, both read and write speed 100-150m / s at usb3.0")</f>
        <v>A very powerful little, little freshman than ordinary hard drives. You can connect win a tablet, Android phones. And 3satat hard to test, both read and write speed 100-150m / s at usb3.0</v>
      </c>
    </row>
    <row r="13278">
      <c r="A13278" s="1">
        <v>5.0</v>
      </c>
      <c r="B13278" s="1" t="s">
        <v>13145</v>
      </c>
      <c r="C13278" t="str">
        <f>IFERROR(__xludf.DUMMYFUNCTION("GOOGLETRANSLATE(B13278, ""zh"", ""en"")"),"McCain has given direct push it to play very well, for the first time on Qianyuan Ji ear, I think Samsung s8 may direct push, do not open like a tube, and then the feeling of bright treble, alto stability, is likely beginning to burn low-bit paste, after "&amp;"all, Baia idxie series seemed pretty low-weight, 820 start value to fry, do domestic licensed 1680")</f>
        <v>McCain has given direct push it to play very well, for the first time on Qianyuan Ji ear, I think Samsung s8 may direct push, do not open like a tube, and then the feeling of bright treble, alto stability, is likely beginning to burn low-bit paste, after all, Baia idxie series seemed pretty low-weight, 820 start value to fry, do domestic licensed 1680</v>
      </c>
    </row>
    <row r="13279">
      <c r="A13279" s="1">
        <v>5.0</v>
      </c>
      <c r="B13279" s="1" t="s">
        <v>13146</v>
      </c>
      <c r="C13279" t="str">
        <f>IFERROR(__xludf.DUMMYFUNCTION("GOOGLETRANSLATE(B13279, ""zh"", ""en"")"),"Men's Polo Shirt BOSS Green Paddy less than 170, 70KG, M number just right. Good quality, color positive, logistics is also faster than imagined. Foreigners pay attention to the packaging actually is not. Scan code said to be from Germany.")</f>
        <v>Men's Polo Shirt BOSS Green Paddy less than 170, 70KG, M number just right. Good quality, color positive, logistics is also faster than imagined. Foreigners pay attention to the packaging actually is not. Scan code said to be from Germany.</v>
      </c>
    </row>
    <row r="13280">
      <c r="A13280" s="1">
        <v>5.0</v>
      </c>
      <c r="B13280" s="1" t="s">
        <v>13147</v>
      </c>
      <c r="C13280" t="str">
        <f>IFERROR(__xludf.DUMMYFUNCTION("GOOGLETRANSLATE(B13280, ""zh"", ""en"")"),"Artifact take the shoes to wear foot feeling very comfortable slippery")</f>
        <v>Artifact take the shoes to wear foot feeling very comfortable slippery</v>
      </c>
    </row>
    <row r="13281">
      <c r="A13281" s="1">
        <v>5.0</v>
      </c>
      <c r="B13281" s="1" t="s">
        <v>13148</v>
      </c>
      <c r="C13281" t="str">
        <f>IFERROR(__xludf.DUMMYFUNCTION("GOOGLETRANSLATE(B13281, ""zh"", ""en"")"),"Black White each bought two, 179-78 wear big yards L just good, tight black point, just slightly larger than the white L black L code, good quality, black is produced in Japan, white is the production of Japanese companies in Thailand, Quality well.")</f>
        <v>Black White each bought two, 179-78 wear big yards L just good, tight black point, just slightly larger than the white L black L code, good quality, black is produced in Japan, white is the production of Japanese companies in Thailand, Quality well.</v>
      </c>
    </row>
    <row r="13282">
      <c r="A13282" s="1">
        <v>5.0</v>
      </c>
      <c r="B13282" s="1" t="s">
        <v>13149</v>
      </c>
      <c r="C13282" t="str">
        <f>IFERROR(__xludf.DUMMYFUNCTION("GOOGLETRANSLATE(B13282, ""zh"", ""en"")"),"Very good stretch pants are more comfortable to wear, a similar quick-drying fabric. Business casual style, wearing feel quick-drying pants. As business casual pants to wear directly, no problem")</f>
        <v>Very good stretch pants are more comfortable to wear, a similar quick-drying fabric. Business casual style, wearing feel quick-drying pants. As business casual pants to wear directly, no problem</v>
      </c>
    </row>
    <row r="13283">
      <c r="A13283" s="1">
        <v>5.0</v>
      </c>
      <c r="B13283" s="1" t="s">
        <v>13150</v>
      </c>
      <c r="C13283" t="str">
        <f>IFERROR(__xludf.DUMMYFUNCTION("GOOGLETRANSLATE(B13283, ""zh"", ""en"")"),"Seiko Men SNE329 Solar stainless steel sports watch (blue nylon strap) ... see the kind more beautiful than the picture, keep good time, the right size")</f>
        <v>Seiko Men SNE329 Solar stainless steel sports watch (blue nylon strap) ... see the kind more beautiful than the picture, keep good time, the right size</v>
      </c>
    </row>
    <row r="13284">
      <c r="A13284" s="1">
        <v>5.0</v>
      </c>
      <c r="B13284" s="1" t="s">
        <v>13151</v>
      </c>
      <c r="C13284" t="str">
        <f>IFERROR(__xludf.DUMMYFUNCTION("GOOGLETRANSLATE(B13284, ""zh"", ""en"")"),"jeans is easy to take clothes, did not buy the most appropriate code number, but still could not help but want to, basic and imagination, like, very comfortable to wear their own comfortable enough.")</f>
        <v>jeans is easy to take clothes, did not buy the most appropriate code number, but still could not help but want to, basic and imagination, like, very comfortable to wear their own comfortable enough.</v>
      </c>
    </row>
    <row r="13285">
      <c r="A13285" s="1">
        <v>5.0</v>
      </c>
      <c r="B13285" s="1" t="s">
        <v>13152</v>
      </c>
      <c r="C13285" t="str">
        <f>IFERROR(__xludf.DUMMYFUNCTION("GOOGLETRANSLATE(B13285, ""zh"", ""en"")"),"Very good on the size of the dress to do a review, I bought a little before 170 68 kg s yards stomach a little tight does not fit, just bought a, s code is 170-88a.m code is a code m 175-92A.M code equivalent to the domestic Uniqlo L code, a little smalle"&amp;"r bust, is roughly equal. Quality did not have to say, the size for your reference.")</f>
        <v>Very good on the size of the dress to do a review, I bought a little before 170 68 kg s yards stomach a little tight does not fit, just bought a, s code is 170-88a.m code is a code m 175-92A.M code equivalent to the domestic Uniqlo L code, a little smaller bust, is roughly equal. Quality did not have to say, the size for your reference.</v>
      </c>
    </row>
    <row r="13286">
      <c r="A13286" s="1">
        <v>5.0</v>
      </c>
      <c r="B13286" s="1" t="s">
        <v>13153</v>
      </c>
      <c r="C13286" t="str">
        <f>IFERROR(__xludf.DUMMYFUNCTION("GOOGLETRANSLATE(B13286, ""zh"", ""en"")"),"Just very fit.")</f>
        <v>Just very fit.</v>
      </c>
    </row>
    <row r="13287">
      <c r="A13287" s="1">
        <v>5.0</v>
      </c>
      <c r="B13287" s="1" t="s">
        <v>13154</v>
      </c>
      <c r="C13287" t="str">
        <f>IFERROR(__xludf.DUMMYFUNCTION("GOOGLETRANSLATE(B13287, ""zh"", ""en"")"),"Generally do not have the original good")</f>
        <v>Generally do not have the original good</v>
      </c>
    </row>
    <row r="13288">
      <c r="A13288" s="1">
        <v>5.0</v>
      </c>
      <c r="B13288" s="1" t="s">
        <v>13155</v>
      </c>
      <c r="C13288" t="str">
        <f>IFERROR(__xludf.DUMMYFUNCTION("GOOGLETRANSLATE(B13288, ""zh"", ""en"")"),"This did not try stew beaker, belonging to hoard goods.")</f>
        <v>This did not try stew beaker, belonging to hoard goods.</v>
      </c>
    </row>
    <row r="13289">
      <c r="A13289" s="1">
        <v>5.0</v>
      </c>
      <c r="B13289" s="1" t="s">
        <v>13156</v>
      </c>
      <c r="C13289" t="str">
        <f>IFERROR(__xludf.DUMMYFUNCTION("GOOGLETRANSLATE(B13289, ""zh"", ""en"")"),"Nephew liked high school boys love. Yes.")</f>
        <v>Nephew liked high school boys love. Yes.</v>
      </c>
    </row>
    <row r="13290">
      <c r="A13290" s="1">
        <v>2.0</v>
      </c>
      <c r="B13290" s="1" t="s">
        <v>13157</v>
      </c>
      <c r="C13290" t="str">
        <f>IFERROR(__xludf.DUMMYFUNCTION("GOOGLETRANSLATE(B13290, ""zh"", ""en"")"),"Poor shoe size smaller than the standard size, a little disappointed, can only be given away")</f>
        <v>Poor shoe size smaller than the standard size, a little disappointed, can only be given away</v>
      </c>
    </row>
    <row r="13291">
      <c r="A13291" s="1">
        <v>3.0</v>
      </c>
      <c r="B13291" s="1" t="s">
        <v>13158</v>
      </c>
      <c r="C13291" t="str">
        <f>IFERROR(__xludf.DUMMYFUNCTION("GOOGLETRANSLATE(B13291, ""zh"", ""en"")"),"This packaging Oh really direct the goods packed in a large cardboard box inside, there is no filler in the box rickety rolling around, but fortunately did not break the hard drive")</f>
        <v>This packaging Oh really direct the goods packed in a large cardboard box inside, there is no filler in the box rickety rolling around, but fortunately did not break the hard drive</v>
      </c>
    </row>
    <row r="13292">
      <c r="A13292" s="1">
        <v>3.0</v>
      </c>
      <c r="B13292" s="1" t="s">
        <v>13159</v>
      </c>
      <c r="C13292" t="str">
        <f>IFERROR(__xludf.DUMMYFUNCTION("GOOGLETRANSLATE(B13292, ""zh"", ""en"")"),"Thin slightly larger, size is too large, Sleeve")</f>
        <v>Thin slightly larger, size is too large, Sleeve</v>
      </c>
    </row>
    <row r="13293">
      <c r="A13293" s="1">
        <v>1.0</v>
      </c>
      <c r="B13293" s="1" t="s">
        <v>13160</v>
      </c>
      <c r="C13293" t="str">
        <f>IFERROR(__xludf.DUMMYFUNCTION("GOOGLETRANSLATE(B13293, ""zh"", ""en"")"),"The subject of reasonable size can do exactly that! Amazon whole mess ridiculously small number of S, M number is larger than the increase is greater, since it should be sold in China with the Chinese figure, typical of Europeans and Americans rigid stubb"&amp;"orn! Do Americans s m such a big difference?")</f>
        <v>The subject of reasonable size can do exactly that! Amazon whole mess ridiculously small number of S, M number is larger than the increase is greater, since it should be sold in China with the Chinese figure, typical of Europeans and Americans rigid stubborn! Do Americans s m such a big difference?</v>
      </c>
    </row>
    <row r="13294">
      <c r="A13294" s="1">
        <v>1.0</v>
      </c>
      <c r="B13294" s="1" t="s">
        <v>13161</v>
      </c>
      <c r="C13294" t="str">
        <f>IFERROR(__xludf.DUMMYFUNCTION("GOOGLETRANSLATE(B13294, ""zh"", ""en"")"),"Leather foot wear no counter work well in a lot worse right heel side protruding leather foot wear seems that the quality of goods is indeed divided in different levels of sales channels to sell the worst in the Amazon Very Dissatisfied")</f>
        <v>Leather foot wear no counter work well in a lot worse right heel side protruding leather foot wear seems that the quality of goods is indeed divided in different levels of sales channels to sell the worst in the Amazon Very Dissatisfied</v>
      </c>
    </row>
    <row r="13295">
      <c r="A13295" s="1">
        <v>1.0</v>
      </c>
      <c r="B13295" s="1" t="s">
        <v>13162</v>
      </c>
      <c r="C13295" t="str">
        <f>IFERROR(__xludf.DUMMYFUNCTION("GOOGLETRANSLATE(B13295, ""zh"", ""en"")"),"Quality not very good quality is really bad, it can look, but can not wash, a wash, and pilling lint color gray ...... not really quality")</f>
        <v>Quality not very good quality is really bad, it can look, but can not wash, a wash, and pilling lint color gray ...... not really quality</v>
      </c>
    </row>
    <row r="13296">
      <c r="A13296" s="1">
        <v>4.0</v>
      </c>
      <c r="B13296" s="1" t="s">
        <v>13163</v>
      </c>
      <c r="C13296" t="str">
        <f>IFERROR(__xludf.DUMMYFUNCTION("GOOGLETRANSLATE(B13296, ""zh"", ""en"")"),"Standard low waist straight leg pants 32/32, likely due to frequent fitness, lower limb more developed. Waist just, but the legs a little tight, normal wear.")</f>
        <v>Standard low waist straight leg pants 32/32, likely due to frequent fitness, lower limb more developed. Waist just, but the legs a little tight, normal wear.</v>
      </c>
    </row>
    <row r="13297">
      <c r="A13297" s="1">
        <v>4.0</v>
      </c>
      <c r="B13297" s="1" t="s">
        <v>13164</v>
      </c>
      <c r="C13297" t="str">
        <f>IFERROR(__xludf.DUMMYFUNCTION("GOOGLETRANSLATE(B13297, ""zh"", ""en"")"),"Recommended second purchase clothes overseas. The pants plate is very good, body weight 163, weight 101, fairly, both said, because do not want to be too tight, so I chose Ms. Lee classic straight fit jeans Mulberry Brown 8 8 thin version. After receiving"&amp;" the first wash, the soft and not Ken color, some a little big, but feel a size appropriate. JM reference to the latter.")</f>
        <v>Recommended second purchase clothes overseas. The pants plate is very good, body weight 163, weight 101, fairly, both said, because do not want to be too tight, so I chose Ms. Lee classic straight fit jeans Mulberry Brown 8 8 thin version. After receiving the first wash, the soft and not Ken color, some a little big, but feel a size appropriate. JM reference to the latter.</v>
      </c>
    </row>
    <row r="13298">
      <c r="A13298" s="1">
        <v>4.0</v>
      </c>
      <c r="B13298" s="1" t="s">
        <v>13165</v>
      </c>
      <c r="C13298" t="str">
        <f>IFERROR(__xludf.DUMMYFUNCTION("GOOGLETRANSLATE(B13298, ""zh"", ""en"")"),"Try fishing good use, looks good.")</f>
        <v>Try fishing good use, looks good.</v>
      </c>
    </row>
    <row r="13299">
      <c r="A13299" s="1">
        <v>4.0</v>
      </c>
      <c r="B13299" s="1" t="s">
        <v>13166</v>
      </c>
      <c r="C13299" t="str">
        <f>IFERROR(__xludf.DUMMYFUNCTION("GOOGLETRANSLATE(B13299, ""zh"", ""en"")"),"Editor's Note rang da da da da da da Some of the sound, written especially small file will be read more clearly, is this normal?")</f>
        <v>Editor's Note rang da da da da da da Some of the sound, written especially small file will be read more clearly, is this normal?</v>
      </c>
    </row>
    <row r="13300">
      <c r="A13300" s="1">
        <v>4.0</v>
      </c>
      <c r="B13300" s="1" t="s">
        <v>13167</v>
      </c>
      <c r="C13300" t="str">
        <f>IFERROR(__xludf.DUMMYFUNCTION("GOOGLETRANSLATE(B13300, ""zh"", ""en"")"),"Although not generally suitable Slim, but overall still very appropriate, I wear levi's 3232, the 3232 wear long pants compared to a little longer, but I'm just right")</f>
        <v>Although not generally suitable Slim, but overall still very appropriate, I wear levi's 3232, the 3232 wear long pants compared to a little longer, but I'm just right</v>
      </c>
    </row>
    <row r="13301">
      <c r="A13301" s="1">
        <v>5.0</v>
      </c>
      <c r="B13301" s="1" t="s">
        <v>13168</v>
      </c>
      <c r="C13301" t="str">
        <f>IFERROR(__xludf.DUMMYFUNCTION("GOOGLETRANSLATE(B13301, ""zh"", ""en"")"),"Suitable passed through the test, usually wear 41 yards, just the size of the bottom is also very soft, do not wear the foot, comfortable, cost")</f>
        <v>Suitable passed through the test, usually wear 41 yards, just the size of the bottom is also very soft, do not wear the foot, comfortable, cost</v>
      </c>
    </row>
    <row r="13302">
      <c r="A13302" s="1">
        <v>5.0</v>
      </c>
      <c r="B13302" s="1" t="s">
        <v>13169</v>
      </c>
      <c r="C13302" t="str">
        <f>IFERROR(__xludf.DUMMYFUNCTION("GOOGLETRANSLATE(B13302, ""zh"", ""en"")"),"Very warm, very warm, it is a little small, relatively warmer than the average long johns ah.")</f>
        <v>Very warm, very warm, it is a little small, relatively warmer than the average long johns ah.</v>
      </c>
    </row>
    <row r="13303">
      <c r="A13303" s="1">
        <v>5.0</v>
      </c>
      <c r="B13303" s="1" t="s">
        <v>13170</v>
      </c>
      <c r="C13303" t="str">
        <f>IFERROR(__xludf.DUMMYFUNCTION("GOOGLETRANSLATE(B13303, ""zh"", ""en"")"),"Good comfort has been wearing underwear ck, good skin-friendly sense of comfort, this is the order wrong, I used to wear thin section, which is to gather funds, there are like a sister paper cheaper, new not opened too")</f>
        <v>Good comfort has been wearing underwear ck, good skin-friendly sense of comfort, this is the order wrong, I used to wear thin section, which is to gather funds, there are like a sister paper cheaper, new not opened too</v>
      </c>
    </row>
    <row r="13304">
      <c r="A13304" s="1">
        <v>5.0</v>
      </c>
      <c r="B13304" s="1" t="s">
        <v>13171</v>
      </c>
      <c r="C13304" t="str">
        <f>IFERROR(__xludf.DUMMYFUNCTION("GOOGLETRANSLATE(B13304, ""zh"", ""en"")"),"JD I had bought a bad buy here will take after-sale repair before cheaper to repair an over-insured to twelve hundred decisively to buy a new model this is one of my most linger just domestic and overseas versions think it is not the same country looked p"&amp;"leasing to the eye and comfortable to wear also the domestic version of at least the first beam can be removed and the room was easier to rub on both sides and no small ears but wins in the cheap bar")</f>
        <v>JD I had bought a bad buy here will take after-sale repair before cheaper to repair an over-insured to twelve hundred decisively to buy a new model this is one of my most linger just domestic and overseas versions think it is not the same country looked pleasing to the eye and comfortable to wear also the domestic version of at least the first beam can be removed and the room was easier to rub on both sides and no small ears but wins in the cheap bar</v>
      </c>
    </row>
    <row r="13305">
      <c r="A13305" s="1">
        <v>5.0</v>
      </c>
      <c r="B13305" s="1" t="s">
        <v>13172</v>
      </c>
      <c r="C13305" t="str">
        <f>IFERROR(__xludf.DUMMYFUNCTION("GOOGLETRANSLATE(B13305, ""zh"", ""en"")"),"Essential office smooth writing, no leakage, good quality")</f>
        <v>Essential office smooth writing, no leakage, good quality</v>
      </c>
    </row>
    <row r="13306">
      <c r="A13306" s="1">
        <v>5.0</v>
      </c>
      <c r="B13306" s="1" t="s">
        <v>13173</v>
      </c>
      <c r="C13306" t="str">
        <f>IFERROR(__xludf.DUMMYFUNCTION("GOOGLETRANSLATE(B13306, ""zh"", ""en"")"),"Quality very comfortable to wear, good quality.")</f>
        <v>Quality very comfortable to wear, good quality.</v>
      </c>
    </row>
    <row r="13307">
      <c r="A13307" s="1">
        <v>5.0</v>
      </c>
      <c r="B13307" s="1" t="s">
        <v>13174</v>
      </c>
      <c r="C13307" t="str">
        <f>IFERROR(__xludf.DUMMYFUNCTION("GOOGLETRANSLATE(B13307, ""zh"", ""en"")"),"Logistics super fast! Super-insulation effect is good! Four days on hand goods from Japan! Water or warm place 24 hours!")</f>
        <v>Logistics super fast! Super-insulation effect is good! Four days on hand goods from Japan! Water or warm place 24 hours!</v>
      </c>
    </row>
    <row r="13308">
      <c r="A13308" s="1">
        <v>5.0</v>
      </c>
      <c r="B13308" s="1" t="s">
        <v>13175</v>
      </c>
      <c r="C13308" t="str">
        <f>IFERROR(__xludf.DUMMYFUNCTION("GOOGLETRANSLATE(B13308, ""zh"", ""en"")"),"Comfort Although very expensive, but very comfortable.")</f>
        <v>Comfort Although very expensive, but very comfortable.</v>
      </c>
    </row>
    <row r="13309">
      <c r="A13309" s="1">
        <v>5.0</v>
      </c>
      <c r="B13309" s="1" t="s">
        <v>13176</v>
      </c>
      <c r="C13309" t="str">
        <f>IFERROR(__xludf.DUMMYFUNCTION("GOOGLETRANSLATE(B13309, ""zh"", ""en"")"),"Worthy choice to wear very comfortable, very high value addition Yen")</f>
        <v>Worthy choice to wear very comfortable, very high value addition Yen</v>
      </c>
    </row>
    <row r="13310">
      <c r="A13310" s="1">
        <v>5.0</v>
      </c>
      <c r="B13310" s="1" t="s">
        <v>10281</v>
      </c>
      <c r="C13310" t="str">
        <f>IFERROR(__xludf.DUMMYFUNCTION("GOOGLETRANSLATE(B13310, ""zh"", ""en"")"),"Good, not from the previous evaluation, I do not know how many wasted points, points can change money now know, they should look carefully evaluated, then I put these words to copy to go, both to earn points, but also save trouble, went to which copy wher"&amp;"e, most importantly, do not seriously review, do not think how much worse word, sent directly to it, recommend it to everyone! !")</f>
        <v>Good, not from the previous evaluation, I do not know how many wasted points, points can change money now know, they should look carefully evaluated, then I put these words to copy to go, both to earn points, but also save trouble, went to which copy where, most importantly, do not seriously review, do not think how much worse word, sent directly to it, recommend it to everyone! !</v>
      </c>
    </row>
    <row r="13311">
      <c r="A13311" s="1">
        <v>5.0</v>
      </c>
      <c r="B13311" s="1" t="s">
        <v>13177</v>
      </c>
      <c r="C13311" t="str">
        <f>IFERROR(__xludf.DUMMYFUNCTION("GOOGLETRANSLATE(B13311, ""zh"", ""en"")"),"Very good light")</f>
        <v>Very good light</v>
      </c>
    </row>
    <row r="13312">
      <c r="A13312" s="1">
        <v>5.0</v>
      </c>
      <c r="B13312" s="1" t="s">
        <v>13178</v>
      </c>
      <c r="C13312" t="str">
        <f>IFERROR(__xludf.DUMMYFUNCTION("GOOGLETRANSLATE(B13312, ""zh"", ""en"")"),"This pen is very good, inexpensive like this pen very much and merchant is scrupulous because they presented me ink sac and I am a German in China and l think German is very scrupulous (carefully careful) Do not laugh at me. . . my English is very poor be"&amp;"fore l come to China l hear somebody says Chinese is very bad and somebody called Chinese is Chink but when I come to China I find that not only those who say that individual Chinese people is very bad! Really, I have met, I later discovered that they wer"&amp;"e not looking I was a foreigner and bully me, they are good people to bully their own country, China should be 10 people there, the bad guys only 0.01 bar, most Chinese people are still on I'm very good! Thanks to China, thanks to my hometown German! I ho"&amp;"pe not to be confused news!")</f>
        <v>This pen is very good, inexpensive like this pen very much and merchant is scrupulous because they presented me ink sac and I am a German in China and l think German is very scrupulous (carefully careful) Do not laugh at me. . . my English is very poor before l come to China l hear somebody says Chinese is very bad and somebody called Chinese is Chink but when I come to China I find that not only those who say that individual Chinese people is very bad! Really, I have met, I later discovered that they were not looking I was a foreigner and bully me, they are good people to bully their own country, China should be 10 people there, the bad guys only 0.01 bar, most Chinese people are still on I'm very good! Thanks to China, thanks to my hometown German! I hope not to be confused news!</v>
      </c>
    </row>
    <row r="13313">
      <c r="A13313" s="1">
        <v>5.0</v>
      </c>
      <c r="B13313" s="1" t="s">
        <v>13179</v>
      </c>
      <c r="C13313" t="str">
        <f>IFERROR(__xludf.DUMMYFUNCTION("GOOGLETRANSLATE(B13313, ""zh"", ""en"")"),"The appearance of shoes look good, put on a very fit, very high price. Good shopping experience.")</f>
        <v>The appearance of shoes look good, put on a very fit, very high price. Good shopping experience.</v>
      </c>
    </row>
    <row r="13314">
      <c r="A13314" s="1">
        <v>5.0</v>
      </c>
      <c r="B13314" s="1" t="s">
        <v>13180</v>
      </c>
      <c r="C13314" t="str">
        <f>IFERROR(__xludf.DUMMYFUNCTION("GOOGLETRANSLATE(B13314, ""zh"", ""en"")"),"Genuine standard horse shoes well. It is the second ""overseas buy"" the. Standard horse sports shoes good! Daughter liked, the next shoe to buy Amazon genuine overseas online shopping is a good choice.")</f>
        <v>Genuine standard horse shoes well. It is the second "overseas buy" the. Standard horse sports shoes good! Daughter liked, the next shoe to buy Amazon genuine overseas online shopping is a good choice.</v>
      </c>
    </row>
    <row r="13315">
      <c r="A13315" s="1">
        <v>5.0</v>
      </c>
      <c r="B13315" s="1" t="s">
        <v>13181</v>
      </c>
      <c r="C13315" t="str">
        <f>IFERROR(__xludf.DUMMYFUNCTION("GOOGLETRANSLATE(B13315, ""zh"", ""en"")"),"Suitable number height 187 weight 75kg, m number just")</f>
        <v>Suitable number height 187 weight 75kg, m number just</v>
      </c>
    </row>
    <row r="13316">
      <c r="A13316" s="1">
        <v>5.0</v>
      </c>
      <c r="B13316" s="1" t="s">
        <v>13182</v>
      </c>
      <c r="C13316" t="str">
        <f>IFERROR(__xludf.DUMMYFUNCTION("GOOGLETRANSLATE(B13316, ""zh"", ""en"")"),"The bubbles are squeezed out flowers look very cute, but also wash clean, good taste, squeezed out of the bubble are the flowers look like, very fond of children, it is recommended to buy.")</f>
        <v>The bubbles are squeezed out flowers look very cute, but also wash clean, good taste, squeezed out of the bubble are the flowers look like, very fond of children, it is recommended to buy.</v>
      </c>
    </row>
    <row r="13317">
      <c r="A13317" s="1">
        <v>5.0</v>
      </c>
      <c r="B13317" s="1" t="s">
        <v>13183</v>
      </c>
      <c r="C13317" t="str">
        <f>IFERROR(__xludf.DUMMYFUNCTION("GOOGLETRANSLATE(B13317, ""zh"", ""en"")"),"Fragile items please add packaging group shot of the second, the first one out, the edge break anymore, I was drunk, I take what ah packaging")</f>
        <v>Fragile items please add packaging group shot of the second, the first one out, the edge break anymore, I was drunk, I take what ah packaging</v>
      </c>
    </row>
    <row r="13318">
      <c r="A13318" s="1">
        <v>5.0</v>
      </c>
      <c r="B13318" s="1" t="s">
        <v>13184</v>
      </c>
      <c r="C13318" t="str">
        <f>IFERROR(__xludf.DUMMYFUNCTION("GOOGLETRANSLATE(B13318, ""zh"", ""en"")"),"Yes! Very good, four pairs of socks packed in a blue iron box. Very fine!")</f>
        <v>Yes! Very good, four pairs of socks packed in a blue iron box. Very fine!</v>
      </c>
    </row>
    <row r="13319">
      <c r="A13319" s="1">
        <v>5.0</v>
      </c>
      <c r="B13319" s="1" t="s">
        <v>13185</v>
      </c>
      <c r="C13319" t="str">
        <f>IFERROR(__xludf.DUMMYFUNCTION("GOOGLETRANSLATE(B13319, ""zh"", ""en"")"),"Very soft shells, did not fly well with white, not the legendary flying white.")</f>
        <v>Very soft shells, did not fly well with white, not the legendary flying white.</v>
      </c>
    </row>
    <row r="13320">
      <c r="A13320" s="1">
        <v>5.0</v>
      </c>
      <c r="B13320" s="1" t="s">
        <v>13186</v>
      </c>
      <c r="C13320" t="str">
        <f>IFERROR(__xludf.DUMMYFUNCTION("GOOGLETRANSLATE(B13320, ""zh"", ""en"")"),"It is ok to wear 37 yards should feel most comfortable with right now is just right. To quickly, shoes look good! Handsome!")</f>
        <v>It is ok to wear 37 yards should feel most comfortable with right now is just right. To quickly, shoes look good! Handsome!</v>
      </c>
    </row>
    <row r="13321">
      <c r="A13321" s="1">
        <v>5.0</v>
      </c>
      <c r="B13321" s="1" t="s">
        <v>13187</v>
      </c>
      <c r="C13321" t="str">
        <f>IFERROR(__xludf.DUMMYFUNCTION("GOOGLETRANSLATE(B13321, ""zh"", ""en"")"),"Look good in the UK last year tried, quite like it, afraid of the box would fit, ready to return to the sea Amoy. Is to buy the shoes, it applied for Amazon prime-month trial, free postage, which know 36 yards, it is not prime products, the postage is als"&amp;"o not a free")</f>
        <v>Look good in the UK last year tried, quite like it, afraid of the box would fit, ready to return to the sea Amoy. Is to buy the shoes, it applied for Amazon prime-month trial, free postage, which know 36 yards, it is not prime products, the postage is also not a free</v>
      </c>
    </row>
    <row r="13322">
      <c r="A13322" s="1">
        <v>5.0</v>
      </c>
      <c r="B13322" s="1" t="s">
        <v>13188</v>
      </c>
      <c r="C13322" t="str">
        <f>IFERROR(__xludf.DUMMYFUNCTION("GOOGLETRANSLATE(B13322, ""zh"", ""en"")"),"Good to wear shoes very appropriate it, deliberately bought a small one yard! Not playing foot, very comfortable to wear, the gospel of the little man!")</f>
        <v>Good to wear shoes very appropriate it, deliberately bought a small one yard! Not playing foot, very comfortable to wear, the gospel of the little man!</v>
      </c>
    </row>
    <row r="13323">
      <c r="A13323" s="1">
        <v>2.0</v>
      </c>
      <c r="B13323" s="1" t="s">
        <v>13189</v>
      </c>
      <c r="C13323" t="str">
        <f>IFERROR(__xludf.DUMMYFUNCTION("GOOGLETRANSLATE(B13323, ""zh"", ""en"")"),"No packaging Package are not, posted a label on the box sent, and the weight of the box bad bad bad.")</f>
        <v>No packaging Package are not, posted a label on the box sent, and the weight of the box bad bad bad.</v>
      </c>
    </row>
    <row r="13324">
      <c r="A13324" s="1">
        <v>3.0</v>
      </c>
      <c r="B13324" s="1" t="s">
        <v>13190</v>
      </c>
      <c r="C13324" t="str">
        <f>IFERROR(__xludf.DUMMYFUNCTION("GOOGLETRANSLATE(B13324, ""zh"", ""en"")"),"Not long enough, carefully choose legs slightly through the meat, not thick, are thin models. 172 wearing a little short, you can get the good extends")</f>
        <v>Not long enough, carefully choose legs slightly through the meat, not thick, are thin models. 172 wearing a little short, you can get the good extends</v>
      </c>
    </row>
    <row r="13325">
      <c r="A13325" s="1">
        <v>3.0</v>
      </c>
      <c r="B13325" s="1" t="s">
        <v>13191</v>
      </c>
      <c r="C13325" t="str">
        <f>IFERROR(__xludf.DUMMYFUNCTION("GOOGLETRANSLATE(B13325, ""zh"", ""en"")"),"I do not mind a little hard to buy and do not stick")</f>
        <v>I do not mind a little hard to buy and do not stick</v>
      </c>
    </row>
    <row r="13326">
      <c r="A13326" s="1">
        <v>1.0</v>
      </c>
      <c r="B13326" s="1" t="s">
        <v>13192</v>
      </c>
      <c r="C13326" t="str">
        <f>IFERROR(__xludf.DUMMYFUNCTION("GOOGLETRANSLATE(B13326, ""zh"", ""en"")"),"Strange shapes cut strange, triangular protruding, uncomfortable and very good-looking, do not buy")</f>
        <v>Strange shapes cut strange, triangular protruding, uncomfortable and very good-looking, do not buy</v>
      </c>
    </row>
    <row r="13327">
      <c r="A13327" s="1">
        <v>1.0</v>
      </c>
      <c r="B13327" s="1" t="s">
        <v>13193</v>
      </c>
      <c r="C13327" t="str">
        <f>IFERROR(__xludf.DUMMYFUNCTION("GOOGLETRANSLATE(B13327, ""zh"", ""en"")"),"I do not understand why the Amazon to sell defective. Bad mood I do not know why Amazon to sell my defective after unpacking I found armpit position to have a defective labels, I guess someone else's return, dirty, and so even the Amazon to sell me. Very "&amp;"disapointed with this shirt, there's a defect label under the arm position, I suppose this is returned by another consumer, I can not believe Amazon sold it to me ... If it's by Lee, I will never buy this brand.")</f>
        <v>I do not understand why the Amazon to sell defective. Bad mood I do not know why Amazon to sell my defective after unpacking I found armpit position to have a defective labels, I guess someone else's return, dirty, and so even the Amazon to sell me. Very disapointed with this shirt, there's a defect label under the arm position, I suppose this is returned by another consumer, I can not believe Amazon sold it to me ... If it's by Lee, I will never buy this brand.</v>
      </c>
    </row>
    <row r="13328">
      <c r="A13328" s="1">
        <v>1.0</v>
      </c>
      <c r="B13328" s="1" t="s">
        <v>13194</v>
      </c>
      <c r="C13328" t="str">
        <f>IFERROR(__xludf.DUMMYFUNCTION("GOOGLETRANSLATE(B13328, ""zh"", ""en"")"),"Every time a stomach ache after eating all bought 200 of Centrum your home, every time you eat will stomach pain, my wife and I have tried, in rice before eating a meal like this. Pain is also more powerful, bought several times before in other stores, ha"&amp;"ve no such situation, your home is quality problem or something inherently fake 👿")</f>
        <v>Every time a stomach ache after eating all bought 200 of Centrum your home, every time you eat will stomach pain, my wife and I have tried, in rice before eating a meal like this. Pain is also more powerful, bought several times before in other stores, have no such situation, your home is quality problem or something inherently fake 👿</v>
      </c>
    </row>
    <row r="13329">
      <c r="A13329" s="1">
        <v>4.0</v>
      </c>
      <c r="B13329" s="1" t="s">
        <v>13195</v>
      </c>
      <c r="C13329" t="str">
        <f>IFERROR(__xludf.DUMMYFUNCTION("GOOGLETRANSLATE(B13329, ""zh"", ""en"")"),"It sounds great just listened for a while, I feel pretty good, look okay, but express a bit slow")</f>
        <v>It sounds great just listened for a while, I feel pretty good, look okay, but express a bit slow</v>
      </c>
    </row>
    <row r="13330">
      <c r="A13330" s="1">
        <v>4.0</v>
      </c>
      <c r="B13330" s="1" t="s">
        <v>13196</v>
      </c>
      <c r="C13330" t="str">
        <f>IFERROR(__xludf.DUMMYFUNCTION("GOOGLETRANSLATE(B13330, ""zh"", ""en"")"),"Taxes pay more comfortable to wear, very good ha. Just do not know why these shoes Why tax deduction of 109, too much, the same brand of shoes with the price, it is only the tax within 50, more than twice as much of it")</f>
        <v>Taxes pay more comfortable to wear, very good ha. Just do not know why these shoes Why tax deduction of 109, too much, the same brand of shoes with the price, it is only the tax within 50, more than twice as much of it</v>
      </c>
    </row>
    <row r="13331">
      <c r="A13331" s="1">
        <v>4.0</v>
      </c>
      <c r="B13331" s="1" t="s">
        <v>13197</v>
      </c>
      <c r="C13331" t="str">
        <f>IFERROR(__xludf.DUMMYFUNCTION("GOOGLETRANSLATE(B13331, ""zh"", ""en"")"),"Pants size to size according to the size of the country, but really wrinkled pants")</f>
        <v>Pants size to size according to the size of the country, but really wrinkled pants</v>
      </c>
    </row>
    <row r="13332">
      <c r="A13332" s="1">
        <v>4.0</v>
      </c>
      <c r="B13332" s="1" t="s">
        <v>13198</v>
      </c>
      <c r="C13332" t="str">
        <f>IFERROR(__xludf.DUMMYFUNCTION("GOOGLETRANSLATE(B13332, ""zh"", ""en"")"),"Pants really super thin thin, suitable for summer wear. Price, 200-something. Manufacturing origin China. Suitable positive waist 44 2.6")</f>
        <v>Pants really super thin thin, suitable for summer wear. Price, 200-something. Manufacturing origin China. Suitable positive waist 44 2.6</v>
      </c>
    </row>
    <row r="13333">
      <c r="A13333" s="1">
        <v>4.0</v>
      </c>
      <c r="B13333" s="1" t="s">
        <v>13199</v>
      </c>
      <c r="C13333" t="str">
        <f>IFERROR(__xludf.DUMMYFUNCTION("GOOGLETRANSLATE(B13333, ""zh"", ""en"")"),"May table is very beautiful, Poor transport, packaging is extremely simple, can not effectively protect the things inside, tables have small scratches.")</f>
        <v>May table is very beautiful, Poor transport, packaging is extremely simple, can not effectively protect the things inside, tables have small scratches.</v>
      </c>
    </row>
    <row r="13334">
      <c r="A13334" s="1">
        <v>5.0</v>
      </c>
      <c r="B13334" s="1" t="s">
        <v>13200</v>
      </c>
      <c r="C13334" t="str">
        <f>IFERROR(__xludf.DUMMYFUNCTION("GOOGLETRANSLATE(B13334, ""zh"", ""en"")"),"Very very good fit 1.78m, 77kg just right, Peruvian production")</f>
        <v>Very very good fit 1.78m, 77kg just right, Peruvian production</v>
      </c>
    </row>
    <row r="13335">
      <c r="A13335" s="1">
        <v>5.0</v>
      </c>
      <c r="B13335" s="1" t="s">
        <v>13201</v>
      </c>
      <c r="C13335" t="str">
        <f>IFERROR(__xludf.DUMMYFUNCTION("GOOGLETRANSLATE(B13335, ""zh"", ""en"")"),"Good use good use. And save power.")</f>
        <v>Good use good use. And save power.</v>
      </c>
    </row>
    <row r="13336">
      <c r="A13336" s="1">
        <v>5.0</v>
      </c>
      <c r="B13336" s="1" t="s">
        <v>13202</v>
      </c>
      <c r="C13336" t="str">
        <f>IFERROR(__xludf.DUMMYFUNCTION("GOOGLETRANSLATE(B13336, ""zh"", ""en"")"),"Very satisfied bottle soft anti-hot, high-temperature sterilization, light and easy to hand, breast nipple fitting design, drive slowly for newborns, generally speaking, very satisfied")</f>
        <v>Very satisfied bottle soft anti-hot, high-temperature sterilization, light and easy to hand, breast nipple fitting design, drive slowly for newborns, generally speaking, very satisfied</v>
      </c>
    </row>
    <row r="13337">
      <c r="A13337" s="1">
        <v>5.0</v>
      </c>
      <c r="B13337" s="1" t="s">
        <v>13203</v>
      </c>
      <c r="C13337" t="str">
        <f>IFERROR(__xludf.DUMMYFUNCTION("GOOGLETRANSLATE(B13337, ""zh"", ""en"")"),"Waist 32 Waist 32, M to buy, just the right size")</f>
        <v>Waist 32 Waist 32, M to buy, just the right size</v>
      </c>
    </row>
    <row r="13338">
      <c r="A13338" s="1">
        <v>5.0</v>
      </c>
      <c r="B13338" s="1" t="s">
        <v>13204</v>
      </c>
      <c r="C13338" t="str">
        <f>IFERROR(__xludf.DUMMYFUNCTION("GOOGLETRANSLATE(B13338, ""zh"", ""en"")"),"Very good very comfortable to wear, is too large, buy a small one yards on just fit.")</f>
        <v>Very good very comfortable to wear, is too large, buy a small one yards on just fit.</v>
      </c>
    </row>
    <row r="13339">
      <c r="A13339" s="1">
        <v>5.0</v>
      </c>
      <c r="B13339" s="1" t="s">
        <v>13205</v>
      </c>
      <c r="C13339" t="str">
        <f>IFERROR(__xludf.DUMMYFUNCTION("GOOGLETRANSLATE(B13339, ""zh"", ""en"")"),"To the best standard code can wear")</f>
        <v>To the best standard code can wear</v>
      </c>
    </row>
    <row r="13340">
      <c r="A13340" s="1">
        <v>5.0</v>
      </c>
      <c r="B13340" s="1" t="s">
        <v>13206</v>
      </c>
      <c r="C13340" t="str">
        <f>IFERROR(__xludf.DUMMYFUNCTION("GOOGLETRANSLATE(B13340, ""zh"", ""en"")"),"The right size is very good")</f>
        <v>The right size is very good</v>
      </c>
    </row>
    <row r="13341">
      <c r="A13341" s="1">
        <v>5.0</v>
      </c>
      <c r="B13341" s="1" t="s">
        <v>13207</v>
      </c>
      <c r="C13341" t="str">
        <f>IFERROR(__xludf.DUMMYFUNCTION("GOOGLETRANSLATE(B13341, ""zh"", ""en"")"),"Good quality for the baby born in the stockpile. . .")</f>
        <v>Good quality for the baby born in the stockpile. . .</v>
      </c>
    </row>
    <row r="13342">
      <c r="A13342" s="1">
        <v>5.0</v>
      </c>
      <c r="B13342" s="1" t="s">
        <v>13208</v>
      </c>
      <c r="C13342" t="str">
        <f>IFERROR(__xludf.DUMMYFUNCTION("GOOGLETRANSLATE(B13342, ""zh"", ""en"")"),"Sony headphones for listening to music just lectures, sound quality not ask for much, just get tried it, listening to music is also good, not tried voice calls, Sony is quite good")</f>
        <v>Sony headphones for listening to music just lectures, sound quality not ask for much, just get tried it, listening to music is also good, not tried voice calls, Sony is quite good</v>
      </c>
    </row>
    <row r="13343">
      <c r="A13343" s="1">
        <v>5.0</v>
      </c>
      <c r="B13343" s="1" t="s">
        <v>13209</v>
      </c>
      <c r="C13343" t="str">
        <f>IFERROR(__xludf.DUMMYFUNCTION("GOOGLETRANSLATE(B13343, ""zh"", ""en"")"),"Good buy once a year, enough for 12 months. When the filtered water to boil the kettle still have scale, when is it a comfort. The application for the Amazon prime-month trial, free postage, crazy hoard goods in.")</f>
        <v>Good buy once a year, enough for 12 months. When the filtered water to boil the kettle still have scale, when is it a comfort. The application for the Amazon prime-month trial, free postage, crazy hoard goods in.</v>
      </c>
    </row>
    <row r="13344">
      <c r="A13344" s="1">
        <v>5.0</v>
      </c>
      <c r="B13344" s="1" t="s">
        <v>13210</v>
      </c>
      <c r="C13344" t="str">
        <f>IFERROR(__xludf.DUMMYFUNCTION("GOOGLETRANSLATE(B13344, ""zh"", ""en"")"),"The right size, comfort, satisfaction right size, comfort, satisfaction")</f>
        <v>The right size, comfort, satisfaction right size, comfort, satisfaction</v>
      </c>
    </row>
    <row r="13345">
      <c r="A13345" s="1">
        <v>5.0</v>
      </c>
      <c r="B13345" s="1" t="s">
        <v>13211</v>
      </c>
      <c r="C13345" t="str">
        <f>IFERROR(__xludf.DUMMYFUNCTION("GOOGLETRANSLATE(B13345, ""zh"", ""en"")"),"Almost perfect headset this headset country does not fire up but it is a revolution in the United States AMAZON first evaluation of the history of the world earphone headset 4.8 / 5.0 three-band equalizer for almost all types of music are burning machine")</f>
        <v>Almost perfect headset this headset country does not fire up but it is a revolution in the United States AMAZON first evaluation of the history of the world earphone headset 4.8 / 5.0 three-band equalizer for almost all types of music are burning machine</v>
      </c>
    </row>
    <row r="13346">
      <c r="A13346" s="1">
        <v>5.0</v>
      </c>
      <c r="B13346" s="1" t="s">
        <v>13212</v>
      </c>
      <c r="C13346" t="str">
        <f>IFERROR(__xludf.DUMMYFUNCTION("GOOGLETRANSLATE(B13346, ""zh"", ""en"")"),"There are many pockets can put a lot of things there are many pockets can put a lot of things")</f>
        <v>There are many pockets can put a lot of things there are many pockets can put a lot of things</v>
      </c>
    </row>
    <row r="13347">
      <c r="A13347" s="1">
        <v>5.0</v>
      </c>
      <c r="B13347" s="1" t="s">
        <v>13213</v>
      </c>
      <c r="C13347" t="str">
        <f>IFERROR(__xludf.DUMMYFUNCTION("GOOGLETRANSLATE(B13347, ""zh"", ""en"")"),"Well good to send to friends, send to friends, quality")</f>
        <v>Well good to send to friends, send to friends, quality</v>
      </c>
    </row>
    <row r="13348">
      <c r="A13348" s="1">
        <v>5.0</v>
      </c>
      <c r="B13348" s="1" t="s">
        <v>13214</v>
      </c>
      <c r="C13348" t="str">
        <f>IFERROR(__xludf.DUMMYFUNCTION("GOOGLETRANSLATE(B13348, ""zh"", ""en"")"),"Value look good, worth buying")</f>
        <v>Value look good, worth buying</v>
      </c>
    </row>
    <row r="13349">
      <c r="A13349" s="1">
        <v>5.0</v>
      </c>
      <c r="B13349" s="1" t="s">
        <v>13215</v>
      </c>
      <c r="C13349" t="str">
        <f>IFERROR(__xludf.DUMMYFUNCTION("GOOGLETRANSLATE(B13349, ""zh"", ""en"")"),"Very good fit, good price! Domestic and foreign code is not the same!")</f>
        <v>Very good fit, good price! Domestic and foreign code is not the same!</v>
      </c>
    </row>
    <row r="13350">
      <c r="A13350" s="1">
        <v>5.0</v>
      </c>
      <c r="B13350" s="1" t="s">
        <v>13216</v>
      </c>
      <c r="C13350" t="str">
        <f>IFERROR(__xludf.DUMMYFUNCTION("GOOGLETRANSLATE(B13350, ""zh"", ""en"")"),"Good feel very good, very comfortable writing, pen-ah ,,")</f>
        <v>Good feel very good, very comfortable writing, pen-ah ,,</v>
      </c>
    </row>
    <row r="13351">
      <c r="A13351" s="1">
        <v>5.0</v>
      </c>
      <c r="B13351" s="1" t="s">
        <v>13217</v>
      </c>
      <c r="C13351" t="str">
        <f>IFERROR(__xludf.DUMMYFUNCTION("GOOGLETRANSLATE(B13351, ""zh"", ""en"")"),"Hat workmanship quality fabrics are good 👍 very good right size hat fabrics are good quality workmanship very good right size 👍")</f>
        <v>Hat workmanship quality fabrics are good 👍 very good right size hat fabrics are good quality workmanship very good right size 👍</v>
      </c>
    </row>
    <row r="13352">
      <c r="A13352" s="1">
        <v>5.0</v>
      </c>
      <c r="B13352" s="1" t="s">
        <v>13218</v>
      </c>
      <c r="C13352" t="str">
        <f>IFERROR(__xludf.DUMMYFUNCTION("GOOGLETRANSLATE(B13352, ""zh"", ""en"")"),"Ok 143, I feel particularly easy to use!")</f>
        <v>Ok 143, I feel particularly easy to use!</v>
      </c>
    </row>
    <row r="13353">
      <c r="A13353" s="1">
        <v>5.0</v>
      </c>
      <c r="B13353" s="1" t="s">
        <v>13219</v>
      </c>
      <c r="C13353" t="str">
        <f>IFERROR(__xludf.DUMMYFUNCTION("GOOGLETRANSLATE(B13353, ""zh"", ""en"")"),"Bang Bang light, warm, fit! Very suitable to wear in spring and autumn.")</f>
        <v>Bang Bang light, warm, fit! Very suitable to wear in spring and autumn.</v>
      </c>
    </row>
    <row r="13354">
      <c r="A13354" s="1">
        <v>5.0</v>
      </c>
      <c r="B13354" s="1" t="s">
        <v>13220</v>
      </c>
      <c r="C13354" t="str">
        <f>IFERROR(__xludf.DUMMYFUNCTION("GOOGLETRANSLATE(B13354, ""zh"", ""en"")"),"I do not know how effective buy back just to eat the child quite like to eat, but how effective is still unknown")</f>
        <v>I do not know how effective buy back just to eat the child quite like to eat, but how effective is still unknown</v>
      </c>
    </row>
    <row r="13355">
      <c r="A13355" s="1">
        <v>5.0</v>
      </c>
      <c r="B13355" s="1" t="s">
        <v>13221</v>
      </c>
      <c r="C13355" t="str">
        <f>IFERROR(__xludf.DUMMYFUNCTION("GOOGLETRANSLATE(B13355, ""zh"", ""en"")"),"A second article, very comfortable, very good the second version, and very comfortable, the version is good")</f>
        <v>A second article, very comfortable, very good the second version, and very comfortable, the version is good</v>
      </c>
    </row>
    <row r="13356">
      <c r="A13356" s="1">
        <v>2.0</v>
      </c>
      <c r="B13356" s="1" t="s">
        <v>13222</v>
      </c>
      <c r="C13356" t="str">
        <f>IFERROR(__xludf.DUMMYFUNCTION("GOOGLETRANSLATE(B13356, ""zh"", ""en"")"),"This is not a smooth start of the second pen, do not know how to write very smoothly. Very upset, returned the lazy!")</f>
        <v>This is not a smooth start of the second pen, do not know how to write very smoothly. Very upset, returned the lazy!</v>
      </c>
    </row>
    <row r="13357">
      <c r="A13357" s="1">
        <v>3.0</v>
      </c>
      <c r="B13357" s="1" t="s">
        <v>13223</v>
      </c>
      <c r="C13357" t="str">
        <f>IFERROR(__xludf.DUMMYFUNCTION("GOOGLETRANSLATE(B13357, ""zh"", ""en"")"),"There are color blue T-shirts with the picture to see the color, not the picture looks dark, bluish light on the picture, try to adjust the color to the color I see.")</f>
        <v>There are color blue T-shirts with the picture to see the color, not the picture looks dark, bluish light on the picture, try to adjust the color to the color I see.</v>
      </c>
    </row>
    <row r="13358">
      <c r="A13358" s="1">
        <v>3.0</v>
      </c>
      <c r="B13358" s="1" t="s">
        <v>13224</v>
      </c>
      <c r="C13358" t="str">
        <f>IFERROR(__xludf.DUMMYFUNCTION("GOOGLETRANSLATE(B13358, ""zh"", ""en"")"),"Generally like generally like it did not quite that good quality is also very general")</f>
        <v>Generally like generally like it did not quite that good quality is also very general</v>
      </c>
    </row>
    <row r="13359">
      <c r="A13359" s="1">
        <v>3.0</v>
      </c>
      <c r="B13359" s="1" t="s">
        <v>13225</v>
      </c>
      <c r="C13359" t="str">
        <f>IFERROR(__xludf.DUMMYFUNCTION("GOOGLETRANSLATE(B13359, ""zh"", ""en"")"),"Printing paper crooked date 96 excluding tax in Hong Kong issued in April 2020")</f>
        <v>Printing paper crooked date 96 excluding tax in Hong Kong issued in April 2020</v>
      </c>
    </row>
    <row r="13360">
      <c r="A13360" s="1">
        <v>1.0</v>
      </c>
      <c r="B13360" s="1" t="s">
        <v>13226</v>
      </c>
      <c r="C13360" t="str">
        <f>IFERROR(__xludf.DUMMYFUNCTION("GOOGLETRANSLATE(B13360, ""zh"", ""en"")"),"This low level of cleaner brush is not clean, it can only be used as an auxiliary")</f>
        <v>This low level of cleaner brush is not clean, it can only be used as an auxiliary</v>
      </c>
    </row>
    <row r="13361">
      <c r="A13361" s="1">
        <v>1.0</v>
      </c>
      <c r="B13361" s="1" t="s">
        <v>13227</v>
      </c>
      <c r="C13361" t="str">
        <f>IFERROR(__xludf.DUMMYFUNCTION("GOOGLETRANSLATE(B13361, ""zh"", ""en"")"),"Pit pit feeling kind of been played a lot of scars")</f>
        <v>Pit pit feeling kind of been played a lot of scars</v>
      </c>
    </row>
    <row r="13362">
      <c r="A13362" s="1">
        <v>4.0</v>
      </c>
      <c r="B13362" s="1" t="s">
        <v>13228</v>
      </c>
      <c r="C13362" t="str">
        <f>IFERROR(__xludf.DUMMYFUNCTION("GOOGLETRANSLATE(B13362, ""zh"", ""en"")"),"Try a new style of my foot, my foot length 278mm, usually wear 44, Nike and Mizuno 44, bought 9.5 2e, feeling length can be is a little wide, own my feet too fat, feel better to buy 10dm of, it should be more fit")</f>
        <v>Try a new style of my foot, my foot length 278mm, usually wear 44, Nike and Mizuno 44, bought 9.5 2e, feeling length can be is a little wide, own my feet too fat, feel better to buy 10dm of, it should be more fit</v>
      </c>
    </row>
    <row r="13363">
      <c r="A13363" s="1">
        <v>4.0</v>
      </c>
      <c r="B13363" s="1" t="s">
        <v>13229</v>
      </c>
      <c r="C13363" t="str">
        <f>IFERROR(__xludf.DUMMYFUNCTION("GOOGLETRANSLATE(B13363, ""zh"", ""en"")"),"Paixiong took a big shoe size must understand, usually wear 37.5 38.0 beat most big yards")</f>
        <v>Paixiong took a big shoe size must understand, usually wear 37.5 38.0 beat most big yards</v>
      </c>
    </row>
    <row r="13364">
      <c r="A13364" s="1">
        <v>4.0</v>
      </c>
      <c r="B13364" s="1" t="s">
        <v>13230</v>
      </c>
      <c r="C13364" t="str">
        <f>IFERROR(__xludf.DUMMYFUNCTION("GOOGLETRANSLATE(B13364, ""zh"", ""en"")"),"Good, soft and very comfortable, 173,70kg, trumpet which can only wear a tshirt, clothing design sleeves feel a little bit long, is estimated to be featured")</f>
        <v>Good, soft and very comfortable, 173,70kg, trumpet which can only wear a tshirt, clothing design sleeves feel a little bit long, is estimated to be featured</v>
      </c>
    </row>
    <row r="13365">
      <c r="A13365" s="1">
        <v>4.0</v>
      </c>
      <c r="B13365" s="1" t="s">
        <v>13231</v>
      </c>
      <c r="C13365" t="str">
        <f>IFERROR(__xludf.DUMMYFUNCTION("GOOGLETRANSLATE(B13365, ""zh"", ""en"")"),"Very good very fast, but the packaging could be improved filter British production, not used domestically so I can not compare. A total of six core, thought 7 ... Sunday orders sent on Friday, but when inside the carton has been sent to rot from the botto"&amp;"m, very soft carton is easily broken, which did not Han foam, put the pot directly on the inside, but fortunately no cracked and fell. Capacity 2.4L, a person can use, both men would be less")</f>
        <v>Very good very fast, but the packaging could be improved filter British production, not used domestically so I can not compare. A total of six core, thought 7 ... Sunday orders sent on Friday, but when inside the carton has been sent to rot from the bottom, very soft carton is easily broken, which did not Han foam, put the pot directly on the inside, but fortunately no cracked and fell. Capacity 2.4L, a person can use, both men would be less</v>
      </c>
    </row>
    <row r="13366">
      <c r="A13366" s="1">
        <v>5.0</v>
      </c>
      <c r="B13366" s="1" t="s">
        <v>13232</v>
      </c>
      <c r="C13366" t="str">
        <f>IFERROR(__xludf.DUMMYFUNCTION("GOOGLETRANSLATE(B13366, ""zh"", ""en"")"),"Women must have the big brands Remember! Remember! Remember! Breast-feeding should not take this section!")</f>
        <v>Women must have the big brands Remember! Remember! Remember! Breast-feeding should not take this section!</v>
      </c>
    </row>
    <row r="13367">
      <c r="A13367" s="1">
        <v>5.0</v>
      </c>
      <c r="B13367" s="1" t="s">
        <v>13233</v>
      </c>
      <c r="C13367" t="str">
        <f>IFERROR(__xludf.DUMMYFUNCTION("GOOGLETRANSLATE(B13367, ""zh"", ""en"")"),"This dishwasher cleaner Dishwasher &amp; nbsp; Cleaner, on the bottom of the dishwasher only when normal washing, can play a clear role internal stains and grease the pipeline. Month with a cost cheaper than boxed liquid kind.")</f>
        <v>This dishwasher cleaner Dishwasher &amp; nbsp; Cleaner, on the bottom of the dishwasher only when normal washing, can play a clear role internal stains and grease the pipeline. Month with a cost cheaper than boxed liquid kind.</v>
      </c>
    </row>
    <row r="13368">
      <c r="A13368" s="1">
        <v>5.0</v>
      </c>
      <c r="B13368" s="1" t="s">
        <v>13234</v>
      </c>
      <c r="C13368" t="str">
        <f>IFERROR(__xludf.DUMMYFUNCTION("GOOGLETRANSLATE(B13368, ""zh"", ""en"")"),"I do not know not sound genuine, is to force female")</f>
        <v>I do not know not sound genuine, is to force female</v>
      </c>
    </row>
    <row r="13369">
      <c r="A13369" s="1">
        <v>5.0</v>
      </c>
      <c r="B13369" s="1" t="s">
        <v>13235</v>
      </c>
      <c r="C13369" t="str">
        <f>IFERROR(__xludf.DUMMYFUNCTION("GOOGLETRANSLATE(B13369, ""zh"", ""en"")"),"Very satisfied with the speed and quality bring good very nice")</f>
        <v>Very satisfied with the speed and quality bring good very nice</v>
      </c>
    </row>
    <row r="13370">
      <c r="A13370" s="1">
        <v>5.0</v>
      </c>
      <c r="B13370" s="1" t="s">
        <v>13236</v>
      </c>
      <c r="C13370" t="str">
        <f>IFERROR(__xludf.DUMMYFUNCTION("GOOGLETRANSLATE(B13370, ""zh"", ""en"")"),"Super recommended buy for my father, his leg is in the eating this really getting better")</f>
        <v>Super recommended buy for my father, his leg is in the eating this really getting better</v>
      </c>
    </row>
    <row r="13371">
      <c r="A13371" s="1">
        <v>5.0</v>
      </c>
      <c r="B13371" s="1" t="s">
        <v>13237</v>
      </c>
      <c r="C13371" t="str">
        <f>IFERROR(__xludf.DUMMYFUNCTION("GOOGLETRANSLATE(B13371, ""zh"", ""en"")"),"OK 174cm 80kg Average wear width 30 length 36")</f>
        <v>OK 174cm 80kg Average wear width 30 length 36</v>
      </c>
    </row>
    <row r="13372">
      <c r="A13372" s="1">
        <v>5.0</v>
      </c>
      <c r="B13372" s="1" t="s">
        <v>13238</v>
      </c>
      <c r="C13372" t="str">
        <f>IFERROR(__xludf.DUMMYFUNCTION("GOOGLETRANSLATE(B13372, ""zh"", ""en"")"),"Suitable for everyday back of the bag is very fond of, but it can hold small, suitable for travel -")</f>
        <v>Suitable for everyday back of the bag is very fond of, but it can hold small, suitable for travel -</v>
      </c>
    </row>
    <row r="13373">
      <c r="A13373" s="1">
        <v>5.0</v>
      </c>
      <c r="B13373" s="1" t="s">
        <v>13239</v>
      </c>
      <c r="C13373" t="str">
        <f>IFERROR(__xludf.DUMMYFUNCTION("GOOGLETRANSLATE(B13373, ""zh"", ""en"")"),"Yes, that's great good very appropriate!")</f>
        <v>Yes, that's great good very appropriate!</v>
      </c>
    </row>
    <row r="13374">
      <c r="A13374" s="1">
        <v>5.0</v>
      </c>
      <c r="B13374" s="1" t="s">
        <v>13240</v>
      </c>
      <c r="C13374" t="str">
        <f>IFERROR(__xludf.DUMMYFUNCTION("GOOGLETRANSLATE(B13374, ""zh"", ""en"")"),"Cute portable and lightweight, too cute, lost.")</f>
        <v>Cute portable and lightweight, too cute, lost.</v>
      </c>
    </row>
    <row r="13375">
      <c r="A13375" s="1">
        <v>5.0</v>
      </c>
      <c r="B13375" s="1" t="s">
        <v>13241</v>
      </c>
      <c r="C13375" t="str">
        <f>IFERROR(__xludf.DUMMYFUNCTION("GOOGLETRANSLATE(B13375, ""zh"", ""en"")"),"Great. Cheaper than domestic big-name children's toothpaste. November 2019 expires, there is a year and a half, had time to use, together with adults and children.")</f>
        <v>Great. Cheaper than domestic big-name children's toothpaste. November 2019 expires, there is a year and a half, had time to use, together with adults and children.</v>
      </c>
    </row>
    <row r="13376">
      <c r="A13376" s="1">
        <v>5.0</v>
      </c>
      <c r="B13376" s="1" t="s">
        <v>13242</v>
      </c>
      <c r="C13376" t="str">
        <f>IFERROR(__xludf.DUMMYFUNCTION("GOOGLETRANSLATE(B13376, ""zh"", ""en"")"),"Satisfied with the quality is good, go to buy a good few, about 120 pounds just to wear M")</f>
        <v>Satisfied with the quality is good, go to buy a good few, about 120 pounds just to wear M</v>
      </c>
    </row>
    <row r="13377">
      <c r="A13377" s="1">
        <v>5.0</v>
      </c>
      <c r="B13377" s="1" t="s">
        <v>13243</v>
      </c>
      <c r="C13377" t="str">
        <f>IFERROR(__xludf.DUMMYFUNCTION("GOOGLETRANSLATE(B13377, ""zh"", ""en"")"),"Long live the five most cost-effective black help a friend buy super bargain easy to use")</f>
        <v>Long live the five most cost-effective black help a friend buy super bargain easy to use</v>
      </c>
    </row>
    <row r="13378">
      <c r="A13378" s="1">
        <v>5.0</v>
      </c>
      <c r="B13378" s="1" t="s">
        <v>13244</v>
      </c>
      <c r="C13378" t="str">
        <f>IFERROR(__xludf.DUMMYFUNCTION("GOOGLETRANSLATE(B13378, ""zh"", ""en"")"),"Just right good, my son 173 weight 81 kg, just right, not very thick fabrics")</f>
        <v>Just right good, my son 173 weight 81 kg, just right, not very thick fabrics</v>
      </c>
    </row>
    <row r="13379">
      <c r="A13379" s="1">
        <v>5.0</v>
      </c>
      <c r="B13379" s="1" t="s">
        <v>13245</v>
      </c>
      <c r="C13379" t="str">
        <f>IFERROR(__xludf.DUMMYFUNCTION("GOOGLETRANSLATE(B13379, ""zh"", ""en"")"),"The socks off out back, ah, very loose waist. Chuan Chuan out, gotta put pants. Very depressed. For the first time to buy such pantyhose Japan")</f>
        <v>The socks off out back, ah, very loose waist. Chuan Chuan out, gotta put pants. Very depressed. For the first time to buy such pantyhose Japan</v>
      </c>
    </row>
    <row r="13380">
      <c r="A13380" s="1">
        <v>5.0</v>
      </c>
      <c r="B13380" s="1" t="s">
        <v>13246</v>
      </c>
      <c r="C13380" t="str">
        <f>IFERROR(__xludf.DUMMYFUNCTION("GOOGLETRANSLATE(B13380, ""zh"", ""en"")"),"Shuangshi old brand, very good, good-looking appearance, also stick waterproof 200 meters. Luminous enough, very much.")</f>
        <v>Shuangshi old brand, very good, good-looking appearance, also stick waterproof 200 meters. Luminous enough, very much.</v>
      </c>
    </row>
    <row r="13381">
      <c r="A13381" s="1">
        <v>5.0</v>
      </c>
      <c r="B13381" s="1" t="s">
        <v>13247</v>
      </c>
      <c r="C13381" t="str">
        <f>IFERROR(__xludf.DUMMYFUNCTION("GOOGLETRANSLATE(B13381, ""zh"", ""en"")"),"In line with expectations, cost-effective first sun body size, 178 cm 90 kg, stout body, L just right, a little tight. Quality is still relatively normal, and no significant difference between the purchase of the mall, the key to cheaper ah. There will be"&amp;" some flexibility, fitness visual dimension down there will be some space.")</f>
        <v>In line with expectations, cost-effective first sun body size, 178 cm 90 kg, stout body, L just right, a little tight. Quality is still relatively normal, and no significant difference between the purchase of the mall, the key to cheaper ah. There will be some flexibility, fitness visual dimension down there will be some space.</v>
      </c>
    </row>
    <row r="13382">
      <c r="A13382" s="1">
        <v>5.0</v>
      </c>
      <c r="B13382" s="1" t="s">
        <v>13248</v>
      </c>
      <c r="C13382" t="str">
        <f>IFERROR(__xludf.DUMMYFUNCTION("GOOGLETRANSLATE(B13382, ""zh"", ""en"")"),"Parse good entry-level monitor box, this is the best value for money, the front of the pilot hole to install more choices. The only drawback is the amount of high-frequency, high-frequency gain adjustable good.")</f>
        <v>Parse good entry-level monitor box, this is the best value for money, the front of the pilot hole to install more choices. The only drawback is the amount of high-frequency, high-frequency gain adjustable good.</v>
      </c>
    </row>
    <row r="13383">
      <c r="A13383" s="1">
        <v>5.0</v>
      </c>
      <c r="B13383" s="1" t="s">
        <v>13249</v>
      </c>
      <c r="C13383" t="str">
        <f>IFERROR(__xludf.DUMMYFUNCTION("GOOGLETRANSLATE(B13383, ""zh"", ""en"")"),"Very durable! Very warm, very durable.")</f>
        <v>Very durable! Very warm, very durable.</v>
      </c>
    </row>
    <row r="13384">
      <c r="A13384" s="1">
        <v>5.0</v>
      </c>
      <c r="B13384" s="1" t="s">
        <v>13250</v>
      </c>
      <c r="C13384" t="str">
        <f>IFERROR(__xludf.DUMMYFUNCTION("GOOGLETRANSLATE(B13384, ""zh"", ""en"")"),"Buy the right height 165, weight 58 kg, belong to the elephant legs, this number is very appropriate, just waist length just")</f>
        <v>Buy the right height 165, weight 58 kg, belong to the elephant legs, this number is very appropriate, just waist length just</v>
      </c>
    </row>
    <row r="13385">
      <c r="A13385" s="1">
        <v>5.0</v>
      </c>
      <c r="B13385" s="1" t="s">
        <v>13251</v>
      </c>
      <c r="C13385" t="str">
        <f>IFERROR(__xludf.DUMMYFUNCTION("GOOGLETRANSLATE(B13385, ""zh"", ""en"")"),"Good quality water boil, good quality, Germany")</f>
        <v>Good quality water boil, good quality, Germany</v>
      </c>
    </row>
    <row r="13386">
      <c r="A13386" s="1">
        <v>5.0</v>
      </c>
      <c r="B13386" s="1" t="s">
        <v>13252</v>
      </c>
      <c r="C13386" t="str">
        <f>IFERROR(__xludf.DUMMYFUNCTION("GOOGLETRANSLATE(B13386, ""zh"", ""en"")"),"Recommended child should buy this brand, Philips brushing is not suitable for children.")</f>
        <v>Recommended child should buy this brand, Philips brushing is not suitable for children.</v>
      </c>
    </row>
    <row r="13387">
      <c r="A13387" s="1">
        <v>5.0</v>
      </c>
      <c r="B13387" s="1" t="s">
        <v>13253</v>
      </c>
      <c r="C13387" t="str">
        <f>IFERROR(__xludf.DUMMYFUNCTION("GOOGLETRANSLATE(B13387, ""zh"", ""en"")"),"Good things must share with the shoes quality is very good, so-called kick is not bad thing, ha ha ha, this winter is not cold feet feet ah!")</f>
        <v>Good things must share with the shoes quality is very good, so-called kick is not bad thing, ha ha ha, this winter is not cold feet feet ah!</v>
      </c>
    </row>
    <row r="13388">
      <c r="A13388" s="1">
        <v>2.0</v>
      </c>
      <c r="B13388" s="1" t="s">
        <v>13254</v>
      </c>
      <c r="C13388" t="str">
        <f>IFERROR(__xludf.DUMMYFUNCTION("GOOGLETRANSLATE(B13388, ""zh"", ""en"")"),"Good my height 183cm, weight 72kg, wearing M code is appropriate, for your reference.")</f>
        <v>Good my height 183cm, weight 72kg, wearing M code is appropriate, for your reference.</v>
      </c>
    </row>
    <row r="13389">
      <c r="A13389" s="1">
        <v>3.0</v>
      </c>
      <c r="B13389" s="1" t="s">
        <v>13255</v>
      </c>
      <c r="C13389" t="str">
        <f>IFERROR(__xludf.DUMMYFUNCTION("GOOGLETRANSLATE(B13389, ""zh"", ""en"")"),"Material too thin! Like raincoat fabric, thin, almost translucent white. Great clothes, S code a little bigger than the average of the M code. Size is a table decoration. Looks can be.")</f>
        <v>Material too thin! Like raincoat fabric, thin, almost translucent white. Great clothes, S code a little bigger than the average of the M code. Size is a table decoration. Looks can be.</v>
      </c>
    </row>
    <row r="13390">
      <c r="A13390" s="1">
        <v>3.0</v>
      </c>
      <c r="B13390" s="1" t="s">
        <v>13256</v>
      </c>
      <c r="C13390" t="str">
        <f>IFERROR(__xludf.DUMMYFUNCTION("GOOGLETRANSLATE(B13390, ""zh"", ""en"")"),"The razor is different with the original band from Germany came back, this time to buy the head and not the same as the original, the original of the middle of the bracket is metal, the stent is plastic, and the packaging is written, Procter &amp; Gamble, Ger"&amp;"many is the country of origin, suspected of this product is not imported from Germany.")</f>
        <v>The razor is different with the original band from Germany came back, this time to buy the head and not the same as the original, the original of the middle of the bracket is metal, the stent is plastic, and the packaging is written, Procter &amp; Gamble, Germany is the country of origin, suspected of this product is not imported from Germany.</v>
      </c>
    </row>
    <row r="13391">
      <c r="A13391" s="1">
        <v>1.0</v>
      </c>
      <c r="B13391" s="1" t="s">
        <v>13257</v>
      </c>
      <c r="C13391" t="str">
        <f>IFERROR(__xludf.DUMMYFUNCTION("GOOGLETRANSLATE(B13391, ""zh"", ""en"")"),"Bottles of counterfeit products has been a strange flavor, with the fear")</f>
        <v>Bottles of counterfeit products has been a strange flavor, with the fear</v>
      </c>
    </row>
    <row r="13392">
      <c r="A13392" s="1">
        <v>1.0</v>
      </c>
      <c r="B13392" s="1" t="s">
        <v>13258</v>
      </c>
      <c r="C13392" t="str">
        <f>IFERROR(__xludf.DUMMYFUNCTION("GOOGLETRANSLATE(B13392, ""zh"", ""en"")"),"After simply can not microwave heating microwave, plastic missed a hole in the end is authentic?")</f>
        <v>After simply can not microwave heating microwave, plastic missed a hole in the end is authentic?</v>
      </c>
    </row>
    <row r="13393">
      <c r="A13393" s="1">
        <v>4.0</v>
      </c>
      <c r="B13393" s="1" t="s">
        <v>6047</v>
      </c>
      <c r="C13393" t="str">
        <f>IFERROR(__xludf.DUMMYFUNCTION("GOOGLETRANSLATE(B13393, ""zh"", ""en"")"),"Put on a very good fit, looks very pretty!")</f>
        <v>Put on a very good fit, looks very pretty!</v>
      </c>
    </row>
    <row r="13394">
      <c r="A13394" s="1">
        <v>4.0</v>
      </c>
      <c r="B13394" s="1" t="s">
        <v>13259</v>
      </c>
      <c r="C13394" t="str">
        <f>IFERROR(__xludf.DUMMYFUNCTION("GOOGLETRANSLATE(B13394, ""zh"", ""en"")"),"Experience first-time use, registration is a problem, but also need to constantly accumulate experience. The water pressure is too small, short duration of use, not to solve the problem, Ms. trumpet. If you can not solve the alignment problem, or need hel"&amp;"p large toilet paper. Five-hole spray rinse spray cleaner than the three holes.")</f>
        <v>Experience first-time use, registration is a problem, but also need to constantly accumulate experience. The water pressure is too small, short duration of use, not to solve the problem, Ms. trumpet. If you can not solve the alignment problem, or need help large toilet paper. Five-hole spray rinse spray cleaner than the three holes.</v>
      </c>
    </row>
    <row r="13395">
      <c r="A13395" s="1">
        <v>4.0</v>
      </c>
      <c r="B13395" s="1" t="s">
        <v>13260</v>
      </c>
      <c r="C13395" t="str">
        <f>IFERROR(__xludf.DUMMYFUNCTION("GOOGLETRANSLATE(B13395, ""zh"", ""en"")"),"Overall good product can, packing tightly. Besides Merchant Services: Point praise it. Last Comments Express: shipping soon. The other is to thank the store to send discount coupons activities, after all, good goods cheaper and more realistic. We hope a l"&amp;"ot of discount stores, promptly notify customers, contributed to repurchase. I wish the business is booming.")</f>
        <v>Overall good product can, packing tightly. Besides Merchant Services: Point praise it. Last Comments Express: shipping soon. The other is to thank the store to send discount coupons activities, after all, good goods cheaper and more realistic. We hope a lot of discount stores, promptly notify customers, contributed to repurchase. I wish the business is booming.</v>
      </c>
    </row>
    <row r="13396">
      <c r="A13396" s="1">
        <v>4.0</v>
      </c>
      <c r="B13396" s="1" t="s">
        <v>13261</v>
      </c>
      <c r="C13396" t="str">
        <f>IFERROR(__xludf.DUMMYFUNCTION("GOOGLETRANSLATE(B13396, ""zh"", ""en"")"),"Satisfaction very fit ... version can also be satisfied with ...")</f>
        <v>Satisfaction very fit ... version can also be satisfied with ...</v>
      </c>
    </row>
    <row r="13397">
      <c r="A13397" s="1">
        <v>4.0</v>
      </c>
      <c r="B13397" s="1" t="s">
        <v>13262</v>
      </c>
      <c r="C13397" t="str">
        <f>IFERROR(__xludf.DUMMYFUNCTION("GOOGLETRANSLATE(B13397, ""zh"", ""en"")"),"Dongkuan mast pants a little fat, suitable for winter wear, though they are 38, but significantly higher than that paragraph Slim fat, too fat waistband, an estimated 3 feet waistline can wear, big legs straight, elephant leg is not afraid")</f>
        <v>Dongkuan mast pants a little fat, suitable for winter wear, though they are 38, but significantly higher than that paragraph Slim fat, too fat waistband, an estimated 3 feet waistline can wear, big legs straight, elephant leg is not afraid</v>
      </c>
    </row>
    <row r="13398">
      <c r="A13398" s="1">
        <v>5.0</v>
      </c>
      <c r="B13398" s="1" t="s">
        <v>13263</v>
      </c>
      <c r="C13398" t="str">
        <f>IFERROR(__xludf.DUMMYFUNCTION("GOOGLETRANSLATE(B13398, ""zh"", ""en"")"),"High-quality, fine workmanship of this speaker is $ level speakers in the best value for money, with a lot of speakers, more than two thousand results not as good as this.")</f>
        <v>High-quality, fine workmanship of this speaker is $ level speakers in the best value for money, with a lot of speakers, more than two thousand results not as good as this.</v>
      </c>
    </row>
    <row r="13399">
      <c r="A13399" s="1">
        <v>5.0</v>
      </c>
      <c r="B13399" s="1" t="s">
        <v>13264</v>
      </c>
      <c r="C13399" t="str">
        <f>IFERROR(__xludf.DUMMYFUNCTION("GOOGLETRANSLATE(B13399, ""zh"", ""en"")"),"Things okay inside hair loss, which the clothes soiled with a lot of hair, the clothes do not know that this is not all hair loss, nor through other brands.")</f>
        <v>Things okay inside hair loss, which the clothes soiled with a lot of hair, the clothes do not know that this is not all hair loss, nor through other brands.</v>
      </c>
    </row>
    <row r="13400">
      <c r="A13400" s="1">
        <v>5.0</v>
      </c>
      <c r="B13400" s="1" t="s">
        <v>13265</v>
      </c>
      <c r="C13400" t="str">
        <f>IFERROR(__xludf.DUMMYFUNCTION("GOOGLETRANSLATE(B13400, ""zh"", ""en"")"),"good pretty good, especially like")</f>
        <v>good pretty good, especially like</v>
      </c>
    </row>
    <row r="13401">
      <c r="A13401" s="1">
        <v>5.0</v>
      </c>
      <c r="B13401" s="1" t="s">
        <v>13266</v>
      </c>
      <c r="C13401" t="str">
        <f>IFERROR(__xludf.DUMMYFUNCTION("GOOGLETRANSLATE(B13401, ""zh"", ""en"")"),"It is appropriate not to wash, color is very beautiful, I was afraid to buy time to bust too, did not expect the upper body can sustain the family very appropriate clothes, 193, weight 240, United States Code XXL")</f>
        <v>It is appropriate not to wash, color is very beautiful, I was afraid to buy time to bust too, did not expect the upper body can sustain the family very appropriate clothes, 193, weight 240, United States Code XXL</v>
      </c>
    </row>
    <row r="13402">
      <c r="A13402" s="1">
        <v>5.0</v>
      </c>
      <c r="B13402" s="1" t="s">
        <v>13267</v>
      </c>
      <c r="C13402" t="str">
        <f>IFERROR(__xludf.DUMMYFUNCTION("GOOGLETRANSLATE(B13402, ""zh"", ""en"")"),"Good height 185 weight 170 to buy M suitable for winter fitness")</f>
        <v>Good height 185 weight 170 to buy M suitable for winter fitness</v>
      </c>
    </row>
    <row r="13403">
      <c r="A13403" s="1">
        <v>5.0</v>
      </c>
      <c r="B13403" s="1" t="s">
        <v>13268</v>
      </c>
      <c r="C13403" t="str">
        <f>IFERROR(__xludf.DUMMYFUNCTION("GOOGLETRANSLATE(B13403, ""zh"", ""en"")"),"To help a friend buy, whether Nissan? The cup is very light, good insulation properties, easy to carry.")</f>
        <v>To help a friend buy, whether Nissan? The cup is very light, good insulation properties, easy to carry.</v>
      </c>
    </row>
    <row r="13404">
      <c r="A13404" s="1">
        <v>5.0</v>
      </c>
      <c r="B13404" s="1" t="s">
        <v>13269</v>
      </c>
      <c r="C13404" t="str">
        <f>IFERROR(__xludf.DUMMYFUNCTION("GOOGLETRANSLATE(B13404, ""zh"", ""en"")"),"Lightweight, good care. Packaging is very good, delivery speed feels faster than before, the main pot is light, easy to use for the elderly.")</f>
        <v>Lightweight, good care. Packaging is very good, delivery speed feels faster than before, the main pot is light, easy to use for the elderly.</v>
      </c>
    </row>
    <row r="13405">
      <c r="A13405" s="1">
        <v>5.0</v>
      </c>
      <c r="B13405" s="1" t="s">
        <v>13270</v>
      </c>
      <c r="C13405" t="str">
        <f>IFERROR(__xludf.DUMMYFUNCTION("GOOGLETRANSLATE(B13405, ""zh"", ""en"")"),"Affordable, fast, quality guaranteed authentic, and purchasing some differences, and this with a lid, purchasing is not. Water treatment are strong, indeed zero water. Delivery speed also considered fast, receipt in second-tier cities in the Mainland, the"&amp;" US direct mail about 10 days to hand, count tariffs cheaper than purchasing nearly two hundred, cost-effective. The downside is that outsourcing relatively broken, that would be a problem, but fortunately when warehouse delivery sets up a carton of goods"&amp;" in good condition.")</f>
        <v>Affordable, fast, quality guaranteed authentic, and purchasing some differences, and this with a lid, purchasing is not. Water treatment are strong, indeed zero water. Delivery speed also considered fast, receipt in second-tier cities in the Mainland, the US direct mail about 10 days to hand, count tariffs cheaper than purchasing nearly two hundred, cost-effective. The downside is that outsourcing relatively broken, that would be a problem, but fortunately when warehouse delivery sets up a carton of goods in good condition.</v>
      </c>
    </row>
    <row r="13406">
      <c r="A13406" s="1">
        <v>5.0</v>
      </c>
      <c r="B13406" s="1" t="s">
        <v>13271</v>
      </c>
      <c r="C13406" t="str">
        <f>IFERROR(__xludf.DUMMYFUNCTION("GOOGLETRANSLATE(B13406, ""zh"", ""en"")"),"In addition to super-insulation effect is good to buy things abroad, I only buy on Amazon, believed to be genuine")</f>
        <v>In addition to super-insulation effect is good to buy things abroad, I only buy on Amazon, believed to be genuine</v>
      </c>
    </row>
    <row r="13407">
      <c r="A13407" s="1">
        <v>5.0</v>
      </c>
      <c r="B13407" s="1" t="s">
        <v>13272</v>
      </c>
      <c r="C13407" t="str">
        <f>IFERROR(__xludf.DUMMYFUNCTION("GOOGLETRANSLATE(B13407, ""zh"", ""en"")"),"It should be easy to use yet with hope that good")</f>
        <v>It should be easy to use yet with hope that good</v>
      </c>
    </row>
    <row r="13408">
      <c r="A13408" s="1">
        <v>5.0</v>
      </c>
      <c r="B13408" s="1" t="s">
        <v>13273</v>
      </c>
      <c r="C13408" t="str">
        <f>IFERROR(__xludf.DUMMYFUNCTION("GOOGLETRANSLATE(B13408, ""zh"", ""en"")"),"Okay legs a little long overall feeling pretty good is a little long legs")</f>
        <v>Okay legs a little long overall feeling pretty good is a little long legs</v>
      </c>
    </row>
    <row r="13409">
      <c r="A13409" s="1">
        <v>5.0</v>
      </c>
      <c r="B13409" s="1" t="s">
        <v>13274</v>
      </c>
      <c r="C13409" t="str">
        <f>IFERROR(__xludf.DUMMYFUNCTION("GOOGLETRANSLATE(B13409, ""zh"", ""en"")"),"Children's favorite children particularly like the feel good")</f>
        <v>Children's favorite children particularly like the feel good</v>
      </c>
    </row>
    <row r="13410">
      <c r="A13410" s="1">
        <v>5.0</v>
      </c>
      <c r="B13410" s="1" t="s">
        <v>13275</v>
      </c>
      <c r="C13410" t="str">
        <f>IFERROR(__xludf.DUMMYFUNCTION("GOOGLETRANSLATE(B13410, ""zh"", ""en"")"),"Good machine very good machine, every day use.")</f>
        <v>Good machine very good machine, every day use.</v>
      </c>
    </row>
    <row r="13411">
      <c r="A13411" s="1">
        <v>5.0</v>
      </c>
      <c r="B13411" s="1" t="s">
        <v>13276</v>
      </c>
      <c r="C13411" t="str">
        <f>IFERROR(__xludf.DUMMYFUNCTION("GOOGLETRANSLATE(B13411, ""zh"", ""en"")"),"Good quality and good morning to know to buy the freshman code code the Japanese could buy the best freshman yards for extra baggage people")</f>
        <v>Good quality and good morning to know to buy the freshman code code the Japanese could buy the best freshman yards for extra baggage people</v>
      </c>
    </row>
    <row r="13412">
      <c r="A13412" s="1">
        <v>5.0</v>
      </c>
      <c r="B13412" s="1" t="s">
        <v>13277</v>
      </c>
      <c r="C13412" t="str">
        <f>IFERROR(__xludf.DUMMYFUNCTION("GOOGLETRANSLATE(B13412, ""zh"", ""en"")"),"Quality multi-function cooking machine in full, easy to operate")</f>
        <v>Quality multi-function cooking machine in full, easy to operate</v>
      </c>
    </row>
    <row r="13413">
      <c r="A13413" s="1">
        <v>5.0</v>
      </c>
      <c r="B13413" s="1" t="s">
        <v>13278</v>
      </c>
      <c r="C13413" t="str">
        <f>IFERROR(__xludf.DUMMYFUNCTION("GOOGLETRANSLATE(B13413, ""zh"", ""en"")"),"Good cost-effective high-quality, cost-effective, durable and if required the test of time")</f>
        <v>Good cost-effective high-quality, cost-effective, durable and if required the test of time</v>
      </c>
    </row>
    <row r="13414">
      <c r="A13414" s="1">
        <v>5.0</v>
      </c>
      <c r="B13414" s="1" t="s">
        <v>13279</v>
      </c>
      <c r="C13414" t="str">
        <f>IFERROR(__xludf.DUMMYFUNCTION("GOOGLETRANSLATE(B13414, ""zh"", ""en"")"),"Decisive start with soft brush, brush is good, the price is beautiful, you should buy more!")</f>
        <v>Decisive start with soft brush, brush is good, the price is beautiful, you should buy more!</v>
      </c>
    </row>
    <row r="13415">
      <c r="A13415" s="1">
        <v>5.0</v>
      </c>
      <c r="B13415" s="1" t="s">
        <v>13280</v>
      </c>
      <c r="C13415" t="str">
        <f>IFERROR(__xludf.DUMMYFUNCTION("GOOGLETRANSLATE(B13415, ""zh"", ""en"")"),"Shoe size shoebox to send over rotten inside shoes the right size, it is like Nike sneakers usually wear 44 yards, this pair bought 42 yards would have been worried to buy a small, did not expect just right, give you a reference")</f>
        <v>Shoe size shoebox to send over rotten inside shoes the right size, it is like Nike sneakers usually wear 44 yards, this pair bought 42 yards would have been worried to buy a small, did not expect just right, give you a reference</v>
      </c>
    </row>
    <row r="13416">
      <c r="A13416" s="1">
        <v>5.0</v>
      </c>
      <c r="B13416" s="1" t="s">
        <v>13281</v>
      </c>
      <c r="C13416" t="str">
        <f>IFERROR(__xludf.DUMMYFUNCTION("GOOGLETRANSLATE(B13416, ""zh"", ""en"")"),"Cheap cheap baby, fit.")</f>
        <v>Cheap cheap baby, fit.</v>
      </c>
    </row>
    <row r="13417">
      <c r="A13417" s="1">
        <v>5.0</v>
      </c>
      <c r="B13417" s="1" t="s">
        <v>13282</v>
      </c>
      <c r="C13417" t="str">
        <f>IFERROR(__xludf.DUMMYFUNCTION("GOOGLETRANSLATE(B13417, ""zh"", ""en"")"),"Amazon opens the door to the sea Amoy soft sister a total of only 112 coins! Speed, large capacity, perfect!")</f>
        <v>Amazon opens the door to the sea Amoy soft sister a total of only 112 coins! Speed, large capacity, perfect!</v>
      </c>
    </row>
    <row r="13418">
      <c r="A13418" s="1">
        <v>5.0</v>
      </c>
      <c r="B13418" s="1" t="s">
        <v>13283</v>
      </c>
      <c r="C13418" t="str">
        <f>IFERROR(__xludf.DUMMYFUNCTION("GOOGLETRANSLATE(B13418, ""zh"", ""en"")"),"The hat brim width is slightly wider than the original buy style, big point for buyers face")</f>
        <v>The hat brim width is slightly wider than the original buy style, big point for buyers face</v>
      </c>
    </row>
    <row r="13419">
      <c r="A13419" s="1">
        <v>2.0</v>
      </c>
      <c r="B13419" s="1" t="s">
        <v>13284</v>
      </c>
      <c r="C13419" t="str">
        <f>IFERROR(__xludf.DUMMYFUNCTION("GOOGLETRANSLATE(B13419, ""zh"", ""en"")"),"Not the cotton is not cotton, not very comfortable, play ball! Size can also be!")</f>
        <v>Not the cotton is not cotton, not very comfortable, play ball! Size can also be!</v>
      </c>
    </row>
    <row r="13420">
      <c r="A13420" s="1">
        <v>3.0</v>
      </c>
      <c r="B13420" s="1" t="s">
        <v>13285</v>
      </c>
      <c r="C13420" t="str">
        <f>IFERROR(__xludf.DUMMYFUNCTION("GOOGLETRANSLATE(B13420, ""zh"", ""en"")"),"This time scouring the sea origin Indonesia unpleasant experience, not as good as real cool pictures, no pictures on the sleek, shoe soles and sides very hard, there is excess glue situation, wear a little bit crowded feet; one-third found at lower prices"&amp;" by about 20% Contact customer service that can not make up the difference, can reject, but can not withdraw tariff; logistics rapidly, from the United States to only eight days of receipt, advice columns are Chinese Q &amp; A, I really doubt whether shipment"&amp;"s from the United States; to tell the truth, quite want to return, but the trouble, do not toss.")</f>
        <v>This time scouring the sea origin Indonesia unpleasant experience, not as good as real cool pictures, no pictures on the sleek, shoe soles and sides very hard, there is excess glue situation, wear a little bit crowded feet; one-third found at lower prices by about 20% Contact customer service that can not make up the difference, can reject, but can not withdraw tariff; logistics rapidly, from the United States to only eight days of receipt, advice columns are Chinese Q &amp; A, I really doubt whether shipments from the United States; to tell the truth, quite want to return, but the trouble, do not toss.</v>
      </c>
    </row>
    <row r="13421">
      <c r="A13421" s="1">
        <v>3.0</v>
      </c>
      <c r="B13421" s="1" t="s">
        <v>13286</v>
      </c>
      <c r="C13421" t="str">
        <f>IFERROR(__xludf.DUMMYFUNCTION("GOOGLETRANSLATE(B13421, ""zh"", ""en"")"),"Version too loose cloth trousers position too loose, not tight, the whole fabric pants are more partial song, wearing a long time will be relatively loose, is not conducive to the overall shape, is feeling a little cheated photo")</f>
        <v>Version too loose cloth trousers position too loose, not tight, the whole fabric pants are more partial song, wearing a long time will be relatively loose, is not conducive to the overall shape, is feeling a little cheated photo</v>
      </c>
    </row>
    <row r="13422">
      <c r="A13422" s="1">
        <v>1.0</v>
      </c>
      <c r="B13422" s="1" t="s">
        <v>13287</v>
      </c>
      <c r="C13422" t="str">
        <f>IFERROR(__xludf.DUMMYFUNCTION("GOOGLETRANSLATE(B13422, ""zh"", ""en"")"),"Very disappointed very disappointed with the shopping, the thought that overseas self-assured, get the goods found in the left ear cotton cracking, listening to the sound feels as good as thirty dollars street stock! Suspect fakes.")</f>
        <v>Very disappointed very disappointed with the shopping, the thought that overseas self-assured, get the goods found in the left ear cotton cracking, listening to the sound feels as good as thirty dollars street stock! Suspect fakes.</v>
      </c>
    </row>
    <row r="13423">
      <c r="A13423" s="1">
        <v>1.0</v>
      </c>
      <c r="B13423" s="1" t="s">
        <v>13288</v>
      </c>
      <c r="C13423" t="str">
        <f>IFERROR(__xludf.DUMMYFUNCTION("GOOGLETRANSLATE(B13423, ""zh"", ""en"")"),"Small can not wear, a joke, a little longer than the vest this is a joke, we do not buy, I am six meters, 110 pounds, wearing only knee, returns charge 125, just to keep her daughter, her daughter five years old immediately you can wear")</f>
        <v>Small can not wear, a joke, a little longer than the vest this is a joke, we do not buy, I am six meters, 110 pounds, wearing only knee, returns charge 125, just to keep her daughter, her daughter five years old immediately you can wear</v>
      </c>
    </row>
    <row r="13424">
      <c r="A13424" s="1">
        <v>1.0</v>
      </c>
      <c r="B13424" s="1" t="s">
        <v>13289</v>
      </c>
      <c r="C13424" t="str">
        <f>IFERROR(__xludf.DUMMYFUNCTION("GOOGLETRANSLATE(B13424, ""zh"", ""en"")"),"Most failed a shopping most failed once shopping, clothes, material is really bad.")</f>
        <v>Most failed a shopping most failed once shopping, clothes, material is really bad.</v>
      </c>
    </row>
    <row r="13425">
      <c r="A13425" s="1">
        <v>4.0</v>
      </c>
      <c r="B13425" s="1" t="s">
        <v>4079</v>
      </c>
      <c r="C13425" t="str">
        <f>IFERROR(__xludf.DUMMYFUNCTION("GOOGLETRANSLATE(B13425, ""zh"", ""en"")"),"Overall okay okay, that is a lot of noise")</f>
        <v>Overall okay okay, that is a lot of noise</v>
      </c>
    </row>
    <row r="13426">
      <c r="A13426" s="1">
        <v>4.0</v>
      </c>
      <c r="B13426" s="1" t="s">
        <v>13290</v>
      </c>
      <c r="C13426" t="str">
        <f>IFERROR(__xludf.DUMMYFUNCTION("GOOGLETRANSLATE(B13426, ""zh"", ""en"")"),"Good is also good, the price is right")</f>
        <v>Good is also good, the price is right</v>
      </c>
    </row>
    <row r="13427">
      <c r="A13427" s="1">
        <v>4.0</v>
      </c>
      <c r="B13427" s="1" t="s">
        <v>13291</v>
      </c>
      <c r="C13427" t="str">
        <f>IFERROR(__xludf.DUMMYFUNCTION("GOOGLETRANSLATE(B13427, ""zh"", ""en"")"),"ok for children to buy, yes")</f>
        <v>ok for children to buy, yes</v>
      </c>
    </row>
    <row r="13428">
      <c r="A13428" s="1">
        <v>4.0</v>
      </c>
      <c r="B13428" s="1" t="s">
        <v>13292</v>
      </c>
      <c r="C13428" t="str">
        <f>IFERROR(__xludf.DUMMYFUNCTION("GOOGLETRANSLATE(B13428, ""zh"", ""en"")"),"Suitable for everyday wear 38/39 bought the 38.5 think a pad insole just right")</f>
        <v>Suitable for everyday wear 38/39 bought the 38.5 think a pad insole just right</v>
      </c>
    </row>
    <row r="13429">
      <c r="A13429" s="1">
        <v>4.0</v>
      </c>
      <c r="B13429" s="1" t="s">
        <v>13293</v>
      </c>
      <c r="C13429" t="str">
        <f>IFERROR(__xludf.DUMMYFUNCTION("GOOGLETRANSLATE(B13429, ""zh"", ""en"")"),"Too short, pants waist size are not allowed to appropriate the right hip, is too short. ck the size is always inconsistent. Also, this is my first buy the crotch with buttons ck")</f>
        <v>Too short, pants waist size are not allowed to appropriate the right hip, is too short. ck the size is always inconsistent. Also, this is my first buy the crotch with buttons ck</v>
      </c>
    </row>
    <row r="13430">
      <c r="A13430" s="1">
        <v>5.0</v>
      </c>
      <c r="B13430" s="1" t="s">
        <v>13294</v>
      </c>
      <c r="C13430" t="str">
        <f>IFERROR(__xludf.DUMMYFUNCTION("GOOGLETRANSLATE(B13430, ""zh"", ""en"")"),"Praise height 174, weight 76, very fit, wore feeling very comfortable, did not see the obvious flaws and thread, after T-shirts are bought here")</f>
        <v>Praise height 174, weight 76, very fit, wore feeling very comfortable, did not see the obvious flaws and thread, after T-shirts are bought here</v>
      </c>
    </row>
    <row r="13431">
      <c r="A13431" s="1">
        <v>5.0</v>
      </c>
      <c r="B13431" s="1" t="s">
        <v>13295</v>
      </c>
      <c r="C13431" t="str">
        <f>IFERROR(__xludf.DUMMYFUNCTION("GOOGLETRANSLATE(B13431, ""zh"", ""en"")"),"Very good very satisfied")</f>
        <v>Very good very satisfied</v>
      </c>
    </row>
    <row r="13432">
      <c r="A13432" s="1">
        <v>5.0</v>
      </c>
      <c r="B13432" s="1" t="s">
        <v>13296</v>
      </c>
      <c r="C13432" t="str">
        <f>IFERROR(__xludf.DUMMYFUNCTION("GOOGLETRANSLATE(B13432, ""zh"", ""en"")"),"Fit 183cm, 80kg, just wear w32l32, also good pants")</f>
        <v>Fit 183cm, 80kg, just wear w32l32, also good pants</v>
      </c>
    </row>
    <row r="13433">
      <c r="A13433" s="1">
        <v>5.0</v>
      </c>
      <c r="B13433" s="1" t="s">
        <v>13297</v>
      </c>
      <c r="C13433" t="str">
        <f>IFERROR(__xludf.DUMMYFUNCTION("GOOGLETRANSLATE(B13433, ""zh"", ""en"")"),"Good quality Japanese quality seems to be better than in Europe and America, then small point sizes, 178 / 70kg selected L just right, very fit, wear is also very nice.")</f>
        <v>Good quality Japanese quality seems to be better than in Europe and America, then small point sizes, 178 / 70kg selected L just right, very fit, wear is also very nice.</v>
      </c>
    </row>
    <row r="13434">
      <c r="A13434" s="1">
        <v>5.0</v>
      </c>
      <c r="B13434" s="1" t="s">
        <v>13298</v>
      </c>
      <c r="C13434" t="str">
        <f>IFERROR(__xludf.DUMMYFUNCTION("GOOGLETRANSLATE(B13434, ""zh"", ""en"")"),"Like stockpile, something very good, very beautiful")</f>
        <v>Like stockpile, something very good, very beautiful</v>
      </c>
    </row>
    <row r="13435">
      <c r="A13435" s="1">
        <v>5.0</v>
      </c>
      <c r="B13435" s="1" t="s">
        <v>13299</v>
      </c>
      <c r="C13435" t="str">
        <f>IFERROR(__xludf.DUMMYFUNCTION("GOOGLETRANSLATE(B13435, ""zh"", ""en"")"),"Very nice pants I bought a pair of pants to wear pants 38 to 40 in the country, began to read a bad review also worried about the material or the wrong size, in fact, excessive worry. Now my case, give you a large number of the students point of reference"&amp;". My height 192cm, weight 101kg, waist circumference 2 feet in like 9-3 feet, wearing these pants, waist a little tight, but fit, but slightly longer length to wear these shoes completely no problem.")</f>
        <v>Very nice pants I bought a pair of pants to wear pants 38 to 40 in the country, began to read a bad review also worried about the material or the wrong size, in fact, excessive worry. Now my case, give you a large number of the students point of reference. My height 192cm, weight 101kg, waist circumference 2 feet in like 9-3 feet, wearing these pants, waist a little tight, but fit, but slightly longer length to wear these shoes completely no problem.</v>
      </c>
    </row>
    <row r="13436">
      <c r="A13436" s="1">
        <v>5.0</v>
      </c>
      <c r="B13436" s="1" t="s">
        <v>13300</v>
      </c>
      <c r="C13436" t="str">
        <f>IFERROR(__xludf.DUMMYFUNCTION("GOOGLETRANSLATE(B13436, ""zh"", ""en"")"),"Size small Oh quality is good, it is to buy small. unfortunately.")</f>
        <v>Size small Oh quality is good, it is to buy small. unfortunately.</v>
      </c>
    </row>
    <row r="13437">
      <c r="A13437" s="1">
        <v>5.0</v>
      </c>
      <c r="B13437" s="1" t="s">
        <v>13301</v>
      </c>
      <c r="C13437" t="str">
        <f>IFERROR(__xludf.DUMMYFUNCTION("GOOGLETRANSLATE(B13437, ""zh"", ""en"")"),"Good leather shoes, leather soft and delicate")</f>
        <v>Good leather shoes, leather soft and delicate</v>
      </c>
    </row>
    <row r="13438">
      <c r="A13438" s="1">
        <v>5.0</v>
      </c>
      <c r="B13438" s="1" t="s">
        <v>13302</v>
      </c>
      <c r="C13438" t="str">
        <f>IFERROR(__xludf.DUMMYFUNCTION("GOOGLETRANSLATE(B13438, ""zh"", ""en"")"),"Still I want to buy a rabbit it's good to know that with the will be very happy. Production line in China, is based on Japanese sales standards for manufacturing, the Japanese is usually the best new things to their own people, and therefore sense to buy "&amp;"the Japanese version simply and origin has nothing to do, the Japanese version of cold insulation unworthy of straw, only a single cold of only with straw, in order to secure young children. Cup sets ykk the zipper is, that is not low-grade, stickers litt"&amp;"le lion is also very cute, very much.")</f>
        <v>Still I want to buy a rabbit it's good to know that with the will be very happy. Production line in China, is based on Japanese sales standards for manufacturing, the Japanese is usually the best new things to their own people, and therefore sense to buy the Japanese version simply and origin has nothing to do, the Japanese version of cold insulation unworthy of straw, only a single cold of only with straw, in order to secure young children. Cup sets ykk the zipper is, that is not low-grade, stickers little lion is also very cute, very much.</v>
      </c>
    </row>
    <row r="13439">
      <c r="A13439" s="1">
        <v>5.0</v>
      </c>
      <c r="B13439" s="1" t="s">
        <v>13303</v>
      </c>
      <c r="C13439" t="str">
        <f>IFERROR(__xludf.DUMMYFUNCTION("GOOGLETRANSLATE(B13439, ""zh"", ""en"")"),"Travel kettle very satisfied.")</f>
        <v>Travel kettle very satisfied.</v>
      </c>
    </row>
    <row r="13440">
      <c r="A13440" s="1">
        <v>5.0</v>
      </c>
      <c r="B13440" s="1" t="s">
        <v>13304</v>
      </c>
      <c r="C13440" t="str">
        <f>IFERROR(__xludf.DUMMYFUNCTION("GOOGLETRANSLATE(B13440, ""zh"", ""en"")"),"Shoe size to choose less than half the number of shoes to wear in the feet is very thin and light, foot feeling good. Clarks other words sizes and models, as compared to the size of the domestic sports shoes most of the code. I usually sports shoes 43 yar"&amp;"ds, UK8.5; clarks buy less than half of the code that is UK8, just right.")</f>
        <v>Shoe size to choose less than half the number of shoes to wear in the feet is very thin and light, foot feeling good. Clarks other words sizes and models, as compared to the size of the domestic sports shoes most of the code. I usually sports shoes 43 yards, UK8.5; clarks buy less than half of the code that is UK8, just right.</v>
      </c>
    </row>
    <row r="13441">
      <c r="A13441" s="1">
        <v>5.0</v>
      </c>
      <c r="B13441" s="1" t="s">
        <v>13305</v>
      </c>
      <c r="C13441" t="str">
        <f>IFERROR(__xludf.DUMMYFUNCTION("GOOGLETRANSLATE(B13441, ""zh"", ""en"")"),"Very nice gave niece, she liked")</f>
        <v>Very nice gave niece, she liked</v>
      </c>
    </row>
    <row r="13442">
      <c r="A13442" s="1">
        <v>5.0</v>
      </c>
      <c r="B13442" s="1" t="s">
        <v>13306</v>
      </c>
      <c r="C13442" t="str">
        <f>IFERROR(__xludf.DUMMYFUNCTION("GOOGLETRANSLATE(B13442, ""zh"", ""en"")"),"Girlfriend super like very good, like super-girlfriend.")</f>
        <v>Girlfriend super like very good, like super-girlfriend.</v>
      </c>
    </row>
    <row r="13443">
      <c r="A13443" s="1">
        <v>5.0</v>
      </c>
      <c r="B13443" s="1" t="s">
        <v>13307</v>
      </c>
      <c r="C13443" t="str">
        <f>IFERROR(__xludf.DUMMYFUNCTION("GOOGLETRANSLATE(B13443, ""zh"", ""en"")"),"Something good something good, this material can only light wash!")</f>
        <v>Something good something good, this material can only light wash!</v>
      </c>
    </row>
    <row r="13444">
      <c r="A13444" s="1">
        <v>5.0</v>
      </c>
      <c r="B13444" s="1" t="s">
        <v>13308</v>
      </c>
      <c r="C13444" t="str">
        <f>IFERROR(__xludf.DUMMYFUNCTION("GOOGLETRANSLATE(B13444, ""zh"", ""en"")"),"just so so okay, the timing of the long needle points allowed")</f>
        <v>just so so okay, the timing of the long needle points allowed</v>
      </c>
    </row>
    <row r="13445">
      <c r="A13445" s="1">
        <v>5.0</v>
      </c>
      <c r="B13445" s="1" t="s">
        <v>13309</v>
      </c>
      <c r="C13445" t="str">
        <f>IFERROR(__xludf.DUMMYFUNCTION("GOOGLETRANSLATE(B13445, ""zh"", ""en"")"),"I liked it, good larger point, Americans and Chinese a little difference, or great, liked")</f>
        <v>I liked it, good larger point, Americans and Chinese a little difference, or great, liked</v>
      </c>
    </row>
    <row r="13446">
      <c r="A13446" s="1">
        <v>5.0</v>
      </c>
      <c r="B13446" s="1" t="s">
        <v>13310</v>
      </c>
      <c r="C13446" t="str">
        <f>IFERROR(__xludf.DUMMYFUNCTION("GOOGLETRANSLATE(B13446, ""zh"", ""en"")"),"Good work, suitable for light cooking")</f>
        <v>Good work, suitable for light cooking</v>
      </c>
    </row>
    <row r="13447">
      <c r="A13447" s="1">
        <v>5.0</v>
      </c>
      <c r="B13447" s="1" t="s">
        <v>13311</v>
      </c>
      <c r="C13447" t="str">
        <f>IFERROR(__xludf.DUMMYFUNCTION("GOOGLETRANSLATE(B13447, ""zh"", ""en"")"),"Great jeans indeed, yes. China is difficult to have such a classic style. And domestic jeans obviously different, it was a good value!")</f>
        <v>Great jeans indeed, yes. China is difficult to have such a classic style. And domestic jeans obviously different, it was a good value!</v>
      </c>
    </row>
    <row r="13448">
      <c r="A13448" s="1">
        <v>5.0</v>
      </c>
      <c r="B13448" s="1" t="s">
        <v>13312</v>
      </c>
      <c r="C13448" t="str">
        <f>IFERROR(__xludf.DUMMYFUNCTION("GOOGLETRANSLATE(B13448, ""zh"", ""en"")"),"Recommended especially as a child of Chinese toothpaste flavor, like, rich foam, easy to use, it is recommended")</f>
        <v>Recommended especially as a child of Chinese toothpaste flavor, like, rich foam, easy to use, it is recommended</v>
      </c>
    </row>
    <row r="13449">
      <c r="A13449" s="1">
        <v>5.0</v>
      </c>
      <c r="B13449" s="1" t="s">
        <v>13313</v>
      </c>
      <c r="C13449" t="str">
        <f>IFERROR(__xludf.DUMMYFUNCTION("GOOGLETRANSLATE(B13449, ""zh"", ""en"")"),"Color fabric work are very quality! i like it, I liked it then, and Size as inside, so this problem does not exist size shown in the title, very appropriate it! ! ! It is to pay attention to the length of legs slightly! ! ! Be a good amount! ! !")</f>
        <v>Color fabric work are very quality! i like it, I liked it then, and Size as inside, so this problem does not exist size shown in the title, very appropriate it! ! ! It is to pay attention to the length of legs slightly! ! ! Be a good amount! ! !</v>
      </c>
    </row>
    <row r="13450">
      <c r="A13450" s="1">
        <v>5.0</v>
      </c>
      <c r="B13450" s="1" t="s">
        <v>13314</v>
      </c>
      <c r="C13450" t="str">
        <f>IFERROR(__xludf.DUMMYFUNCTION("GOOGLETRANSLATE(B13450, ""zh"", ""en"")"),"Yet the good looking, cute and easy to use, the baby seven months old, looking at the bottle laugh, but also like to use it to drink milk")</f>
        <v>Yet the good looking, cute and easy to use, the baby seven months old, looking at the bottle laugh, but also like to use it to drink milk</v>
      </c>
    </row>
    <row r="13451">
      <c r="A13451" s="1">
        <v>5.0</v>
      </c>
      <c r="B13451" s="1" t="s">
        <v>13315</v>
      </c>
      <c r="C13451" t="str">
        <f>IFERROR(__xludf.DUMMYFUNCTION("GOOGLETRANSLATE(B13451, ""zh"", ""en"")"),"Value liked, very fast, is too heavy")</f>
        <v>Value liked, very fast, is too heavy</v>
      </c>
    </row>
    <row r="13452">
      <c r="A13452" s="1">
        <v>2.0</v>
      </c>
      <c r="B13452" s="1" t="s">
        <v>13316</v>
      </c>
      <c r="C13452" t="str">
        <f>IFERROR(__xludf.DUMMYFUNCTION("GOOGLETRANSLATE(B13452, ""zh"", ""en"")"),"The intensity of efforts to spray too much, the gums can not stand even the most low-end can lead to bleeding gums")</f>
        <v>The intensity of efforts to spray too much, the gums can not stand even the most low-end can lead to bleeding gums</v>
      </c>
    </row>
    <row r="13453">
      <c r="A13453" s="1">
        <v>3.0</v>
      </c>
      <c r="B13453" s="1" t="s">
        <v>13317</v>
      </c>
      <c r="C13453" t="str">
        <f>IFERROR(__xludf.DUMMYFUNCTION("GOOGLETRANSLATE(B13453, ""zh"", ""en"")"),"Quality and brand whole can not match, the waist is particularly high, so was a bit big. On Amazon bought two championship clothes, the overall feeling is not a big brand, or does not match the quality of the big brands.")</f>
        <v>Quality and brand whole can not match, the waist is particularly high, so was a bit big. On Amazon bought two championship clothes, the overall feeling is not a big brand, or does not match the quality of the big brands.</v>
      </c>
    </row>
    <row r="13454">
      <c r="A13454" s="1">
        <v>3.0</v>
      </c>
      <c r="B13454" s="1" t="s">
        <v>13318</v>
      </c>
      <c r="C13454" t="str">
        <f>IFERROR(__xludf.DUMMYFUNCTION("GOOGLETRANSLATE(B13454, ""zh"", ""en"")"),"Sent looked cheap, packaging is also no direct streaking. Leather was pressed a little deformed, taste great, but somehow the hands soiled with black ink, do not know of a catcher, a belt of hundreds of pieces ...... knew it better to buy a tommy manual b"&amp;"ye ......")</f>
        <v>Sent looked cheap, packaging is also no direct streaking. Leather was pressed a little deformed, taste great, but somehow the hands soiled with black ink, do not know of a catcher, a belt of hundreds of pieces ...... knew it better to buy a tommy manual bye ......</v>
      </c>
    </row>
    <row r="13455">
      <c r="A13455" s="1">
        <v>3.0</v>
      </c>
      <c r="B13455" s="1" t="s">
        <v>13319</v>
      </c>
      <c r="C13455" t="str">
        <f>IFERROR(__xludf.DUMMYFUNCTION("GOOGLETRANSLATE(B13455, ""zh"", ""en"")"),"2 people are not let myself wear, do not know, okay")</f>
        <v>2 people are not let myself wear, do not know, okay</v>
      </c>
    </row>
    <row r="13456">
      <c r="A13456" s="1">
        <v>1.0</v>
      </c>
      <c r="B13456" s="1" t="s">
        <v>13320</v>
      </c>
      <c r="C13456" t="str">
        <f>IFERROR(__xludf.DUMMYFUNCTION("GOOGLETRANSLATE(B13456, ""zh"", ""en"")"),"Poor quality, fade serious deformation of poor quality, fade serious distortion. Mrs. Mrs. worse.")</f>
        <v>Poor quality, fade serious deformation of poor quality, fade serious distortion. Mrs. Mrs. worse.</v>
      </c>
    </row>
    <row r="13457">
      <c r="A13457" s="1">
        <v>1.0</v>
      </c>
      <c r="B13457" s="1" t="s">
        <v>13321</v>
      </c>
      <c r="C13457" t="str">
        <f>IFERROR(__xludf.DUMMYFUNCTION("GOOGLETRANSLATE(B13457, ""zh"", ""en"")"),"Still I do not recommend pants very, very hard. Wearing not very comfortable.")</f>
        <v>Still I do not recommend pants very, very hard. Wearing not very comfortable.</v>
      </c>
    </row>
    <row r="13458">
      <c r="A13458" s="1">
        <v>1.0</v>
      </c>
      <c r="B13458" s="1" t="s">
        <v>13322</v>
      </c>
      <c r="C13458" t="str">
        <f>IFERROR(__xludf.DUMMYFUNCTION("GOOGLETRANSLATE(B13458, ""zh"", ""en"")"),"Authenticity of the enemy and the micro-channel beside dimensional code recognition codes do not coincide, the other part of the software does not recognize the two-dimensional code, the parting line at the bottom irregular dent, caps unmarked stickers, s"&amp;"uspected non-genuine. A few months after taking medical situation actually had lower bone mineral density.")</f>
        <v>Authenticity of the enemy and the micro-channel beside dimensional code recognition codes do not coincide, the other part of the software does not recognize the two-dimensional code, the parting line at the bottom irregular dent, caps unmarked stickers, suspected non-genuine. A few months after taking medical situation actually had lower bone mineral density.</v>
      </c>
    </row>
    <row r="13459">
      <c r="A13459" s="1">
        <v>4.0</v>
      </c>
      <c r="B13459" s="1" t="s">
        <v>13323</v>
      </c>
      <c r="C13459" t="str">
        <f>IFERROR(__xludf.DUMMYFUNCTION("GOOGLETRANSLATE(B13459, ""zh"", ""en"")"),"Good for men to wear more delicate, okay.")</f>
        <v>Good for men to wear more delicate, okay.</v>
      </c>
    </row>
    <row r="13460">
      <c r="A13460" s="1">
        <v>4.0</v>
      </c>
      <c r="B13460" s="1" t="s">
        <v>13324</v>
      </c>
      <c r="C13460" t="str">
        <f>IFERROR(__xludf.DUMMYFUNCTION("GOOGLETRANSLATE(B13460, ""zh"", ""en"")"),"This shoe instep narrow, does not meet the Asians foot. If the non-buy, it is recommended to buy most of the code")</f>
        <v>This shoe instep narrow, does not meet the Asians foot. If the non-buy, it is recommended to buy most of the code</v>
      </c>
    </row>
    <row r="13461">
      <c r="A13461" s="1">
        <v>4.0</v>
      </c>
      <c r="B13461" s="1" t="s">
        <v>13325</v>
      </c>
      <c r="C13461" t="str">
        <f>IFERROR(__xludf.DUMMYFUNCTION("GOOGLETRANSLATE(B13461, ""zh"", ""en"")"),"Good very light shoes, leather good, nice appearance, usually wear shoes 41, 41 to buy, it is also very suitable. But there are two points with expected different. First tongue is not leather, but flexible, integrated tongue. Secondly, the sole nor rubber"&amp;" soles, do not know whether or not wear!")</f>
        <v>Good very light shoes, leather good, nice appearance, usually wear shoes 41, 41 to buy, it is also very suitable. But there are two points with expected different. First tongue is not leather, but flexible, integrated tongue. Secondly, the sole nor rubber soles, do not know whether or not wear!</v>
      </c>
    </row>
    <row r="13462">
      <c r="A13462" s="1">
        <v>4.0</v>
      </c>
      <c r="B13462" s="1" t="s">
        <v>13326</v>
      </c>
      <c r="C13462" t="str">
        <f>IFERROR(__xludf.DUMMYFUNCTION("GOOGLETRANSLATE(B13462, ""zh"", ""en"")"),"Shoes a little flaw, but has little effect on the size just good customer service, attention to look overseas purchase code when the election code, do not look at the self-yards, the shoes themselves a little flawed, but the customer service deal soon")</f>
        <v>Shoes a little flaw, but has little effect on the size just good customer service, attention to look overseas purchase code when the election code, do not look at the self-yards, the shoes themselves a little flawed, but the customer service deal soon</v>
      </c>
    </row>
    <row r="13463">
      <c r="A13463" s="1">
        <v>4.0</v>
      </c>
      <c r="B13463" s="1" t="s">
        <v>13327</v>
      </c>
      <c r="C13463" t="str">
        <f>IFERROR(__xludf.DUMMYFUNCTION("GOOGLETRANSLATE(B13463, ""zh"", ""en"")"),"Size is not suitable. I 186 / 78KG, buy the L code, the quality is also good. Thick and soft. Just too fat, that is, long pants too short pant. Would like pants long enough you have to buy a bigger size, but big on other indicators too much. Overall, it s"&amp;"hould be for overweight people design. (Matching jacket too)")</f>
        <v>Size is not suitable. I 186 / 78KG, buy the L code, the quality is also good. Thick and soft. Just too fat, that is, long pants too short pant. Would like pants long enough you have to buy a bigger size, but big on other indicators too much. Overall, it should be for overweight people design. (Matching jacket too)</v>
      </c>
    </row>
    <row r="13464">
      <c r="A13464" s="1">
        <v>5.0</v>
      </c>
      <c r="B13464" s="1" t="s">
        <v>13328</v>
      </c>
      <c r="C13464" t="str">
        <f>IFERROR(__xludf.DUMMYFUNCTION("GOOGLETRANSLATE(B13464, ""zh"", ""en"")"),"445 hand waist, waist, wife to wear very significant figure, a large waist MM careful to buy!")</f>
        <v>445 hand waist, waist, wife to wear very significant figure, a large waist MM careful to buy!</v>
      </c>
    </row>
    <row r="13465">
      <c r="A13465" s="1">
        <v>5.0</v>
      </c>
      <c r="B13465" s="1" t="s">
        <v>13329</v>
      </c>
      <c r="C13465" t="str">
        <f>IFERROR(__xludf.DUMMYFUNCTION("GOOGLETRANSLATE(B13465, ""zh"", ""en"")"),"Look for this bottle nipple this is mainly a child like this, is strange, look for the nipple")</f>
        <v>Look for this bottle nipple this is mainly a child like this, is strange, look for the nipple</v>
      </c>
    </row>
    <row r="13466">
      <c r="A13466" s="1">
        <v>5.0</v>
      </c>
      <c r="B13466" s="1" t="s">
        <v>13330</v>
      </c>
      <c r="C13466" t="str">
        <f>IFERROR(__xludf.DUMMYFUNCTION("GOOGLETRANSLATE(B13466, ""zh"", ""en"")"),"Champion lightweight pants This is the second purchase, lightweight, breathable, very satisfied")</f>
        <v>Champion lightweight pants This is the second purchase, lightweight, breathable, very satisfied</v>
      </c>
    </row>
    <row r="13467">
      <c r="A13467" s="1">
        <v>5.0</v>
      </c>
      <c r="B13467" s="1" t="s">
        <v>13331</v>
      </c>
      <c r="C13467" t="str">
        <f>IFERROR(__xludf.DUMMYFUNCTION("GOOGLETRANSLATE(B13467, ""zh"", ""en"")"),"Stylish American style, detail flawed, the overall quality is very solid. Put on the version good, very good with remarkable style.")</f>
        <v>Stylish American style, detail flawed, the overall quality is very solid. Put on the version good, very good with remarkable style.</v>
      </c>
    </row>
    <row r="13468">
      <c r="A13468" s="1">
        <v>5.0</v>
      </c>
      <c r="B13468" s="1" t="s">
        <v>13332</v>
      </c>
      <c r="C13468" t="str">
        <f>IFERROR(__xludf.DUMMYFUNCTION("GOOGLETRANSLATE(B13468, ""zh"", ""en"")"),"Very good shopping experience for the first time scouring the sea, very good time shopping experience. Encountered problems, customer service is very patient to help resolve. Although the logistics difficulties, for me that people who do not worry, it doe"&amp;"s not matter. Receipt of goods is also very good, very comfortable to wear shoes")</f>
        <v>Very good shopping experience for the first time scouring the sea, very good time shopping experience. Encountered problems, customer service is very patient to help resolve. Although the logistics difficulties, for me that people who do not worry, it does not matter. Receipt of goods is also very good, very comfortable to wear shoes</v>
      </c>
    </row>
    <row r="13469">
      <c r="A13469" s="1">
        <v>5.0</v>
      </c>
      <c r="B13469" s="1" t="s">
        <v>13333</v>
      </c>
      <c r="C13469" t="str">
        <f>IFERROR(__xludf.DUMMYFUNCTION("GOOGLETRANSLATE(B13469, ""zh"", ""en"")"),"Cost-effective! Leather styles satisfaction! Lightweight!")</f>
        <v>Cost-effective! Leather styles satisfaction! Lightweight!</v>
      </c>
    </row>
    <row r="13470">
      <c r="A13470" s="1">
        <v>5.0</v>
      </c>
      <c r="B13470" s="1" t="s">
        <v>13334</v>
      </c>
      <c r="C13470" t="str">
        <f>IFERROR(__xludf.DUMMYFUNCTION("GOOGLETRANSLATE(B13470, ""zh"", ""en"")"),"Big good quality, is too large, xl, bust 120cm, height 175, M code exactly enough!")</f>
        <v>Big good quality, is too large, xl, bust 120cm, height 175, M code exactly enough!</v>
      </c>
    </row>
    <row r="13471">
      <c r="A13471" s="1">
        <v>5.0</v>
      </c>
      <c r="B13471" s="1" t="s">
        <v>13335</v>
      </c>
      <c r="C13471" t="str">
        <f>IFERROR(__xludf.DUMMYFUNCTION("GOOGLETRANSLATE(B13471, ""zh"", ""en"")"),"Clothes reasonable size, good quality dress nice ah")</f>
        <v>Clothes reasonable size, good quality dress nice ah</v>
      </c>
    </row>
    <row r="13472">
      <c r="A13472" s="1">
        <v>5.0</v>
      </c>
      <c r="B13472" s="1" t="s">
        <v>13336</v>
      </c>
      <c r="C13472" t="str">
        <f>IFERROR(__xludf.DUMMYFUNCTION("GOOGLETRANSLATE(B13472, ""zh"", ""en"")"),"Spoon very good with good, very good, more comfortable grip")</f>
        <v>Spoon very good with good, very good, more comfortable grip</v>
      </c>
    </row>
    <row r="13473">
      <c r="A13473" s="1">
        <v>5.0</v>
      </c>
      <c r="B13473" s="1" t="s">
        <v>13337</v>
      </c>
      <c r="C13473" t="str">
        <f>IFERROR(__xludf.DUMMYFUNCTION("GOOGLETRANSLATE(B13473, ""zh"", ""en"")"),"Very cost-effective package good, very cute bottle")</f>
        <v>Very cost-effective package good, very cute bottle</v>
      </c>
    </row>
    <row r="13474">
      <c r="A13474" s="1">
        <v>5.0</v>
      </c>
      <c r="B13474" s="1" t="s">
        <v>13338</v>
      </c>
      <c r="C13474" t="str">
        <f>IFERROR(__xludf.DUMMYFUNCTION("GOOGLETRANSLATE(B13474, ""zh"", ""en"")"),"Good, nice color is very beautiful, heated quickly, although the plastic, but work is still very delicate, small jug red light, hope not bad")</f>
        <v>Good, nice color is very beautiful, heated quickly, although the plastic, but work is still very delicate, small jug red light, hope not bad</v>
      </c>
    </row>
    <row r="13475">
      <c r="A13475" s="1">
        <v>5.0</v>
      </c>
      <c r="B13475" s="1" t="s">
        <v>13339</v>
      </c>
      <c r="C13475" t="str">
        <f>IFERROR(__xludf.DUMMYFUNCTION("GOOGLETRANSLATE(B13475, ""zh"", ""en"")"),"Perfect British-German direct mail go back, perfect, except manual is in English, but the real price advantage so.")</f>
        <v>Perfect British-German direct mail go back, perfect, except manual is in English, but the real price advantage so.</v>
      </c>
    </row>
    <row r="13476">
      <c r="A13476" s="1">
        <v>5.0</v>
      </c>
      <c r="B13476" s="1" t="s">
        <v>13340</v>
      </c>
      <c r="C13476" t="str">
        <f>IFERROR(__xludf.DUMMYFUNCTION("GOOGLETRANSLATE(B13476, ""zh"", ""en"")"),"Nautica Men's Feathered Edge with Double-Stitch ... Nautica Men's Accessories good quality, wear very comfortable and satisfied.")</f>
        <v>Nautica Men's Feathered Edge with Double-Stitch ... Nautica Men's Accessories good quality, wear very comfortable and satisfied.</v>
      </c>
    </row>
    <row r="13477">
      <c r="A13477" s="1">
        <v>5.0</v>
      </c>
      <c r="B13477" s="1" t="s">
        <v>13341</v>
      </c>
      <c r="C13477" t="str">
        <f>IFERROR(__xludf.DUMMYFUNCTION("GOOGLETRANSLATE(B13477, ""zh"", ""en"")"),"The price is very affordable price, has been using the Sita Fu, before overpaid")</f>
        <v>The price is very affordable price, has been using the Sita Fu, before overpaid</v>
      </c>
    </row>
    <row r="13478">
      <c r="A13478" s="1">
        <v>5.0</v>
      </c>
      <c r="B13478" s="1" t="s">
        <v>13342</v>
      </c>
      <c r="C13478" t="str">
        <f>IFERROR(__xludf.DUMMYFUNCTION("GOOGLETRANSLATE(B13478, ""zh"", ""en"")"),"Satisfied very satisfied to buy this pair of shoes, whether the work can rest wild,")</f>
        <v>Satisfied very satisfied to buy this pair of shoes, whether the work can rest wild,</v>
      </c>
    </row>
    <row r="13479">
      <c r="A13479" s="1">
        <v>5.0</v>
      </c>
      <c r="B13479" s="1" t="s">
        <v>13343</v>
      </c>
      <c r="C13479" t="str">
        <f>IFERROR(__xludf.DUMMYFUNCTION("GOOGLETRANSLATE(B13479, ""zh"", ""en"")"),"Lightweight and portable, this is good, right size, looked small, but also hold pad, very light weight, durable and hope some of")</f>
        <v>Lightweight and portable, this is good, right size, looked small, but also hold pad, very light weight, durable and hope some of</v>
      </c>
    </row>
    <row r="13480">
      <c r="A13480" s="1">
        <v>5.0</v>
      </c>
      <c r="B13480" s="1" t="s">
        <v>13344</v>
      </c>
      <c r="C13480" t="str">
        <f>IFERROR(__xludf.DUMMYFUNCTION("GOOGLETRANSLATE(B13480, ""zh"", ""en"")"),"Good affordable and practical, will repurchase")</f>
        <v>Good affordable and practical, will repurchase</v>
      </c>
    </row>
    <row r="13481">
      <c r="A13481" s="1">
        <v>5.0</v>
      </c>
      <c r="B13481" s="1" t="s">
        <v>13345</v>
      </c>
      <c r="C13481" t="str">
        <f>IFERROR(__xludf.DUMMYFUNCTION("GOOGLETRANSLATE(B13481, ""zh"", ""en"")"),"Use a first-year grades to use. Japan has been buying pencils, pencil Japan really good. Safety, the children with ease")</f>
        <v>Use a first-year grades to use. Japan has been buying pencils, pencil Japan really good. Safety, the children with ease</v>
      </c>
    </row>
    <row r="13482">
      <c r="A13482" s="1">
        <v>5.0</v>
      </c>
      <c r="B13482" s="1" t="s">
        <v>13346</v>
      </c>
      <c r="C13482" t="str">
        <f>IFERROR(__xludf.DUMMYFUNCTION("GOOGLETRANSLATE(B13482, ""zh"", ""en"")"),"champion L code 17596 just right I usually wear 17596, L code tag write this size, minimum is 17,596, wearing just right. Good quality")</f>
        <v>champion L code 17596 just right I usually wear 17596, L code tag write this size, minimum is 17,596, wearing just right. Good quality</v>
      </c>
    </row>
    <row r="13483">
      <c r="A13483" s="1">
        <v>5.0</v>
      </c>
      <c r="B13483" s="1" t="s">
        <v>13347</v>
      </c>
      <c r="C13483" t="str">
        <f>IFERROR(__xludf.DUMMYFUNCTION("GOOGLETRANSLATE(B13483, ""zh"", ""en"")"),"Timex Men's Expedition Scout 40 material in general, performance can also luminous dial.")</f>
        <v>Timex Men's Expedition Scout 40 material in general, performance can also luminous dial.</v>
      </c>
    </row>
    <row r="13484">
      <c r="A13484" s="1">
        <v>5.0</v>
      </c>
      <c r="B13484" s="1" t="s">
        <v>13348</v>
      </c>
      <c r="C13484" t="str">
        <f>IFERROR(__xludf.DUMMYFUNCTION("GOOGLETRANSLATE(B13484, ""zh"", ""en"")"),"Second time to buy, but also good quality, second time to buy")</f>
        <v>Second time to buy, but also good quality, second time to buy</v>
      </c>
    </row>
    <row r="13485">
      <c r="A13485" s="1">
        <v>5.0</v>
      </c>
      <c r="B13485" s="1" t="s">
        <v>13349</v>
      </c>
      <c r="C13485" t="str">
        <f>IFERROR(__xludf.DUMMYFUNCTION("GOOGLETRANSLATE(B13485, ""zh"", ""en"")"),"Very, very good, it is not suitable for adults to wear,")</f>
        <v>Very, very good, it is not suitable for adults to wear,</v>
      </c>
    </row>
    <row r="13486">
      <c r="A13486" s="1">
        <v>2.0</v>
      </c>
      <c r="B13486" s="1" t="s">
        <v>13350</v>
      </c>
      <c r="C13486" t="str">
        <f>IFERROR(__xludf.DUMMYFUNCTION("GOOGLETRANSLATE(B13486, ""zh"", ""en"")"),"Super fat super fat, 130+ up this feeling of wearing the No. Probably okay, back too much trouble, gave my mom when the pajamas, this brand disappointed")</f>
        <v>Super fat super fat, 130+ up this feeling of wearing the No. Probably okay, back too much trouble, gave my mom when the pajamas, this brand disappointed</v>
      </c>
    </row>
    <row r="13487">
      <c r="A13487" s="1">
        <v>3.0</v>
      </c>
      <c r="B13487" s="1" t="s">
        <v>13351</v>
      </c>
      <c r="C13487" t="str">
        <f>IFERROR(__xludf.DUMMYFUNCTION("GOOGLETRANSLATE(B13487, ""zh"", ""en"")"),"Very general SHOES relatively simple packaging, posted just outside the shoebox size label, no information about the rest of the shoes, no size standard on the tongue, but for overseas direct mail Amazon would suspect is fake. Shoe size is more appropriat"&amp;"e, that is, the right foot with a tongue fixed point Ge feet, left foot is no problem, overall foot feeling very general, hoping to wear it.")</f>
        <v>Very general SHOES relatively simple packaging, posted just outside the shoebox size label, no information about the rest of the shoes, no size standard on the tongue, but for overseas direct mail Amazon would suspect is fake. Shoe size is more appropriate, that is, the right foot with a tongue fixed point Ge feet, left foot is no problem, overall foot feeling very general, hoping to wear it.</v>
      </c>
    </row>
    <row r="13488">
      <c r="A13488" s="1">
        <v>3.0</v>
      </c>
      <c r="B13488" s="1" t="s">
        <v>13352</v>
      </c>
      <c r="C13488" t="str">
        <f>IFERROR(__xludf.DUMMYFUNCTION("GOOGLETRANSLATE(B13488, ""zh"", ""en"")"),"Shoes in general also is significant foot wear some big courier a few days ahead of time, today received the shoes, suede some flowers, and the domestic shoe size slightly larger models, foot wear significantly larger overall feeling okay")</f>
        <v>Shoes in general also is significant foot wear some big courier a few days ahead of time, today received the shoes, suede some flowers, and the domestic shoe size slightly larger models, foot wear significantly larger overall feeling okay</v>
      </c>
    </row>
    <row r="13489">
      <c r="A13489" s="1">
        <v>3.0</v>
      </c>
      <c r="B13489" s="1" t="s">
        <v>13353</v>
      </c>
      <c r="C13489" t="str">
        <f>IFERROR(__xludf.DUMMYFUNCTION("GOOGLETRANSLATE(B13489, ""zh"", ""en"")"),"So be it with the picture of the color gap between some large, slightly disappointed, but the style is like, so be it")</f>
        <v>So be it with the picture of the color gap between some large, slightly disappointed, but the style is like, so be it</v>
      </c>
    </row>
    <row r="13490">
      <c r="A13490" s="1">
        <v>1.0</v>
      </c>
      <c r="B13490" s="1" t="s">
        <v>13354</v>
      </c>
      <c r="C13490" t="str">
        <f>IFERROR(__xludf.DUMMYFUNCTION("GOOGLETRANSLATE(B13490, ""zh"", ""en"")"),"If you see garbage pants kind I certainly would not buy, like the flea market pants 20-30 as rough, thin, feel poor. Spend about 100 prices to any domestic brand to buy much better than this.")</f>
        <v>If you see garbage pants kind I certainly would not buy, like the flea market pants 20-30 as rough, thin, feel poor. Spend about 100 prices to any domestic brand to buy much better than this.</v>
      </c>
    </row>
    <row r="13491">
      <c r="A13491" s="1">
        <v>1.0</v>
      </c>
      <c r="B13491" s="1" t="s">
        <v>13355</v>
      </c>
      <c r="C13491" t="str">
        <f>IFERROR(__xludf.DUMMYFUNCTION("GOOGLETRANSLATE(B13491, ""zh"", ""en"")"),"Not satisfied with the shopping a little big for me and not worth the return and just got finished on the price difference is also not refundable or do not use later purchased abroad Amazon")</f>
        <v>Not satisfied with the shopping a little big for me and not worth the return and just got finished on the price difference is also not refundable or do not use later purchased abroad Amazon</v>
      </c>
    </row>
    <row r="13492">
      <c r="A13492" s="1">
        <v>4.0</v>
      </c>
      <c r="B13492" s="1" t="s">
        <v>13356</v>
      </c>
      <c r="C13492" t="str">
        <f>IFERROR(__xludf.DUMMYFUNCTION("GOOGLETRANSLATE(B13492, ""zh"", ""en"")"),"Small, heavy, comfortable shoes are generally small, but fortunately, took a big point, the style looks a bit bulky, a little hard soles, Puma origin that usually is the result of Vietnam or China-made!")</f>
        <v>Small, heavy, comfortable shoes are generally small, but fortunately, took a big point, the style looks a bit bulky, a little hard soles, Puma origin that usually is the result of Vietnam or China-made!</v>
      </c>
    </row>
    <row r="13493">
      <c r="A13493" s="1">
        <v>4.0</v>
      </c>
      <c r="B13493" s="1" t="s">
        <v>13357</v>
      </c>
      <c r="C13493" t="str">
        <f>IFERROR(__xludf.DUMMYFUNCTION("GOOGLETRANSLATE(B13493, ""zh"", ""en"")"),"Poor ventilation size n, write a hundred percent, but a good leather stuffy feet")</f>
        <v>Poor ventilation size n, write a hundred percent, but a good leather stuffy feet</v>
      </c>
    </row>
    <row r="13494">
      <c r="A13494" s="1">
        <v>4.0</v>
      </c>
      <c r="B13494" s="1" t="s">
        <v>13358</v>
      </c>
      <c r="C13494" t="str">
        <f>IFERROR(__xludf.DUMMYFUNCTION("GOOGLETRANSLATE(B13494, ""zh"", ""en"")"),"Other okay a little fade, but fade. Will dirty trousers")</f>
        <v>Other okay a little fade, but fade. Will dirty trousers</v>
      </c>
    </row>
    <row r="13495">
      <c r="A13495" s="1">
        <v>4.0</v>
      </c>
      <c r="B13495" s="1" t="s">
        <v>13359</v>
      </c>
      <c r="C13495" t="str">
        <f>IFERROR(__xludf.DUMMYFUNCTION("GOOGLETRANSLATE(B13495, ""zh"", ""en"")"),"puma logistics speed very fast, is the shoe itself is too large, and I was a big election, how can you like it, buy their own shoes tearfully also wear ah!")</f>
        <v>puma logistics speed very fast, is the shoe itself is too large, and I was a big election, how can you like it, buy their own shoes tearfully also wear ah!</v>
      </c>
    </row>
    <row r="13496">
      <c r="A13496" s="1">
        <v>4.0</v>
      </c>
      <c r="B13496" s="1" t="s">
        <v>13360</v>
      </c>
      <c r="C13496" t="str">
        <f>IFERROR(__xludf.DUMMYFUNCTION("GOOGLETRANSLATE(B13496, ""zh"", ""en"")"),"Now a little fat than the fat pants Slim models is too much, I did not think a little. Still be able to wear it.")</f>
        <v>Now a little fat than the fat pants Slim models is too much, I did not think a little. Still be able to wear it.</v>
      </c>
    </row>
    <row r="13497">
      <c r="A13497" s="1">
        <v>5.0</v>
      </c>
      <c r="B13497" s="1" t="s">
        <v>13361</v>
      </c>
      <c r="C13497" t="str">
        <f>IFERROR(__xludf.DUMMYFUNCTION("GOOGLETRANSLATE(B13497, ""zh"", ""en"")"),"Affordable logistics quickly, a good cup.")</f>
        <v>Affordable logistics quickly, a good cup.</v>
      </c>
    </row>
    <row r="13498">
      <c r="A13498" s="1">
        <v>5.0</v>
      </c>
      <c r="B13498" s="1" t="s">
        <v>13362</v>
      </c>
      <c r="C13498" t="str">
        <f>IFERROR(__xludf.DUMMYFUNCTION("GOOGLETRANSLATE(B13498, ""zh"", ""en"")"),"Spring and autumn thin section, very cost-effective price including tax 549.28. A good deal, very comfortable, size is not partial code")</f>
        <v>Spring and autumn thin section, very cost-effective price including tax 549.28. A good deal, very comfortable, size is not partial code</v>
      </c>
    </row>
    <row r="13499">
      <c r="A13499" s="1">
        <v>5.0</v>
      </c>
      <c r="B13499" s="1" t="s">
        <v>13363</v>
      </c>
      <c r="C13499" t="str">
        <f>IFERROR(__xludf.DUMMYFUNCTION("GOOGLETRANSLATE(B13499, ""zh"", ""en"")"),"Oh Oh MADE IN THE USA MADE IN THE USA, with MADE IN CHINA I do not know how much worse than that, the work is too general.")</f>
        <v>Oh Oh MADE IN THE USA MADE IN THE USA, with MADE IN CHINA I do not know how much worse than that, the work is too general.</v>
      </c>
    </row>
    <row r="13500">
      <c r="A13500" s="1">
        <v>5.0</v>
      </c>
      <c r="B13500" s="1" t="s">
        <v>13364</v>
      </c>
      <c r="C13500" t="str">
        <f>IFERROR(__xludf.DUMMYFUNCTION("GOOGLETRANSLATE(B13500, ""zh"", ""en"")"),"Good quality and size standards, the fabric is very thick")</f>
        <v>Good quality and size standards, the fabric is very thick</v>
      </c>
    </row>
    <row r="13501">
      <c r="A13501" s="1">
        <v>5.0</v>
      </c>
      <c r="B13501" s="1" t="s">
        <v>13365</v>
      </c>
      <c r="C13501" t="str">
        <f>IFERROR(__xludf.DUMMYFUNCTION("GOOGLETRANSLATE(B13501, ""zh"", ""en"")"),"Little good to buy, not to wear, the children wear.")</f>
        <v>Little good to buy, not to wear, the children wear.</v>
      </c>
    </row>
    <row r="13502">
      <c r="A13502" s="1">
        <v>5.0</v>
      </c>
      <c r="B13502" s="1" t="s">
        <v>13366</v>
      </c>
      <c r="C13502" t="str">
        <f>IFERROR(__xludf.DUMMYFUNCTION("GOOGLETRANSLATE(B13502, ""zh"", ""en"")"),"Egypt is very soft and comfortable to manufacture soft, elastic foot, hip bought 34-36 L feeling a little small, next time try to buy xl")</f>
        <v>Egypt is very soft and comfortable to manufacture soft, elastic foot, hip bought 34-36 L feeling a little small, next time try to buy xl</v>
      </c>
    </row>
    <row r="13503">
      <c r="A13503" s="1">
        <v>5.0</v>
      </c>
      <c r="B13503" s="1" t="s">
        <v>13367</v>
      </c>
      <c r="C13503" t="str">
        <f>IFERROR(__xludf.DUMMYFUNCTION("GOOGLETRANSLATE(B13503, ""zh"", ""en"")"),"Well, the price is up to standard speed, more stable than some East. Before buying a return of 760p always I crash")</f>
        <v>Well, the price is up to standard speed, more stable than some East. Before buying a return of 760p always I crash</v>
      </c>
    </row>
    <row r="13504">
      <c r="A13504" s="1">
        <v>5.0</v>
      </c>
      <c r="B13504" s="1" t="s">
        <v>13368</v>
      </c>
      <c r="C13504" t="str">
        <f>IFERROR(__xludf.DUMMYFUNCTION("GOOGLETRANSLATE(B13504, ""zh"", ""en"")"),"Value for money Zojirushi mug has been easy to use")</f>
        <v>Value for money Zojirushi mug has been easy to use</v>
      </c>
    </row>
    <row r="13505">
      <c r="A13505" s="1">
        <v>5.0</v>
      </c>
      <c r="B13505" s="1" t="s">
        <v>13369</v>
      </c>
      <c r="C13505" t="str">
        <f>IFERROR(__xludf.DUMMYFUNCTION("GOOGLETRANSLATE(B13505, ""zh"", ""en"")"),"Attractive owned")</f>
        <v>Attractive owned</v>
      </c>
    </row>
    <row r="13506">
      <c r="A13506" s="1">
        <v>5.0</v>
      </c>
      <c r="B13506" s="1" t="s">
        <v>13370</v>
      </c>
      <c r="C13506" t="str">
        <f>IFERROR(__xludf.DUMMYFUNCTION("GOOGLETRANSLATE(B13506, ""zh"", ""en"")"),"Fit, breathable size is very accurate, to buy 35 yards of the foot of the boys, wearing a very breathable, the style is also nice, very wild white shoes, and affordable prices.")</f>
        <v>Fit, breathable size is very accurate, to buy 35 yards of the foot of the boys, wearing a very breathable, the style is also nice, very wild white shoes, and affordable prices.</v>
      </c>
    </row>
    <row r="13507">
      <c r="A13507" s="1">
        <v>5.0</v>
      </c>
      <c r="B13507" s="1" t="s">
        <v>13371</v>
      </c>
      <c r="C13507" t="str">
        <f>IFERROR(__xludf.DUMMYFUNCTION("GOOGLETRANSLATE(B13507, ""zh"", ""en"")"),"Cost-effective and high cost")</f>
        <v>Cost-effective and high cost</v>
      </c>
    </row>
    <row r="13508">
      <c r="A13508" s="1">
        <v>5.0</v>
      </c>
      <c r="B13508" s="1" t="s">
        <v>13372</v>
      </c>
      <c r="C13508" t="str">
        <f>IFERROR(__xludf.DUMMYFUNCTION("GOOGLETRANSLATE(B13508, ""zh"", ""en"")"),"Amoy sea color is very nice, medium size too fat, Amazon sea Amoy trustworthy!")</f>
        <v>Amoy sea color is very nice, medium size too fat, Amazon sea Amoy trustworthy!</v>
      </c>
    </row>
    <row r="13509">
      <c r="A13509" s="1">
        <v>5.0</v>
      </c>
      <c r="B13509" s="1" t="s">
        <v>13373</v>
      </c>
      <c r="C13509" t="str">
        <f>IFERROR(__xludf.DUMMYFUNCTION("GOOGLETRANSLATE(B13509, ""zh"", ""en"")"),"Cost-effective and really out of experience with this dishwasher salt alternately with. This is really super super clean and odor-free washing machine is opened. Salt washing dishes an open machine will smell bad taste, and feel the body wall hanging oil!"&amp;" This hope has been to have the prime Let us enjoy this high-end series.")</f>
        <v>Cost-effective and really out of experience with this dishwasher salt alternately with. This is really super super clean and odor-free washing machine is opened. Salt washing dishes an open machine will smell bad taste, and feel the body wall hanging oil! This hope has been to have the prime Let us enjoy this high-end series.</v>
      </c>
    </row>
    <row r="13510">
      <c r="A13510" s="1">
        <v>5.0</v>
      </c>
      <c r="B13510" s="1" t="s">
        <v>13374</v>
      </c>
      <c r="C13510" t="str">
        <f>IFERROR(__xludf.DUMMYFUNCTION("GOOGLETRANSLATE(B13510, ""zh"", ""en"")"),"Ck underwear good thing to buy a trumpet on the line, other brands of medium, pants personal feeling good")</f>
        <v>Ck underwear good thing to buy a trumpet on the line, other brands of medium, pants personal feeling good</v>
      </c>
    </row>
    <row r="13511">
      <c r="A13511" s="1">
        <v>5.0</v>
      </c>
      <c r="B13511" s="1" t="s">
        <v>13375</v>
      </c>
      <c r="C13511" t="str">
        <f>IFERROR(__xludf.DUMMYFUNCTION("GOOGLETRANSLATE(B13511, ""zh"", ""en"")"),"Value for money is very beautiful, value for money, will buy, 1.68 meters, 70 kilograms S 42 yards just right")</f>
        <v>Value for money is very beautiful, value for money, will buy, 1.68 meters, 70 kilograms S 42 yards just right</v>
      </c>
    </row>
    <row r="13512">
      <c r="A13512" s="1">
        <v>5.0</v>
      </c>
      <c r="B13512" s="1" t="s">
        <v>13376</v>
      </c>
      <c r="C13512" t="str">
        <f>IFERROR(__xludf.DUMMYFUNCTION("GOOGLETRANSLATE(B13512, ""zh"", ""en"")"),"Dover's style, hard slide. Fu Ju no more than the top of a hard slide, overall not bad. Over the years some of the hoard goods pen pal type profiteers touted Britain to combat the production capacity, production method known as Iridium did not see the gra"&amp;"in does not wear contrasting materials. Pull iridium grain, you can see the other did not have to pull up ??????")</f>
        <v>Dover's style, hard slide. Fu Ju no more than the top of a hard slide, overall not bad. Over the years some of the hoard goods pen pal type profiteers touted Britain to combat the production capacity, production method known as Iridium did not see the grain does not wear contrasting materials. Pull iridium grain, you can see the other did not have to pull up ??????</v>
      </c>
    </row>
    <row r="13513">
      <c r="A13513" s="1">
        <v>5.0</v>
      </c>
      <c r="B13513" s="1" t="s">
        <v>13377</v>
      </c>
      <c r="C13513" t="str">
        <f>IFERROR(__xludf.DUMMYFUNCTION("GOOGLETRANSLATE(B13513, ""zh"", ""en"")"),"The color looks good wear just 260,255, soft foot, a large damping force.")</f>
        <v>The color looks good wear just 260,255, soft foot, a large damping force.</v>
      </c>
    </row>
    <row r="13514">
      <c r="A13514" s="1">
        <v>5.0</v>
      </c>
      <c r="B13514" s="1" t="s">
        <v>13378</v>
      </c>
      <c r="C13514" t="str">
        <f>IFERROR(__xludf.DUMMYFUNCTION("GOOGLETRANSLATE(B13514, ""zh"", ""en"")"),"Easy to use, affordable pink beautiful, fast delivery time, good to get started. Shun red transformer with all of them.")</f>
        <v>Easy to use, affordable pink beautiful, fast delivery time, good to get started. Shun red transformer with all of them.</v>
      </c>
    </row>
    <row r="13515">
      <c r="A13515" s="1">
        <v>5.0</v>
      </c>
      <c r="B13515" s="1" t="s">
        <v>13379</v>
      </c>
      <c r="C13515" t="str">
        <f>IFERROR(__xludf.DUMMYFUNCTION("GOOGLETRANSLATE(B13515, ""zh"", ""en"")"),"Appropriate, recommend buying the right size, my feet wide, wearing just bought himself has been wearing the number, no foot slip occurs, it is recommended to buy")</f>
        <v>Appropriate, recommend buying the right size, my feet wide, wearing just bought himself has been wearing the number, no foot slip occurs, it is recommended to buy</v>
      </c>
    </row>
    <row r="13516">
      <c r="A13516" s="1">
        <v>5.0</v>
      </c>
      <c r="B13516" s="1" t="s">
        <v>13380</v>
      </c>
      <c r="C13516" t="str">
        <f>IFERROR(__xludf.DUMMYFUNCTION("GOOGLETRANSLATE(B13516, ""zh"", ""en"")"),"Great high color tableware good value and practical spoon fed Bang Bang da Zhendian activities when to buy special premium")</f>
        <v>Great high color tableware good value and practical spoon fed Bang Bang da Zhendian activities when to buy special premium</v>
      </c>
    </row>
    <row r="13517">
      <c r="A13517" s="1">
        <v>5.0</v>
      </c>
      <c r="B13517" s="1" t="s">
        <v>11295</v>
      </c>
      <c r="C13517" t="str">
        <f>IFERROR(__xludf.DUMMYFUNCTION("GOOGLETRANSLATE(B13517, ""zh"", ""en"")"),"very good")</f>
        <v>very good</v>
      </c>
    </row>
    <row r="13518">
      <c r="A13518" s="1">
        <v>5.0</v>
      </c>
      <c r="B13518" s="1" t="s">
        <v>13381</v>
      </c>
      <c r="C13518" t="str">
        <f>IFERROR(__xludf.DUMMYFUNCTION("GOOGLETRANSLATE(B13518, ""zh"", ""en"")"),"Good quality, 172,72kg, s number, quality really good fit, and her boyfriend to wear to work, 172,72kg, buy s number, see the comments that number is too large, but also a polo shirt, so I chose s No. . He also did not wear, look at the size it should fit"&amp;".")</f>
        <v>Good quality, 172,72kg, s number, quality really good fit, and her boyfriend to wear to work, 172,72kg, buy s number, see the comments that number is too large, but also a polo shirt, so I chose s No. . He also did not wear, look at the size it should fit.</v>
      </c>
    </row>
    <row r="13519">
      <c r="A13519" s="1">
        <v>2.0</v>
      </c>
      <c r="B13519" s="1" t="s">
        <v>13382</v>
      </c>
      <c r="C13519" t="str">
        <f>IFERROR(__xludf.DUMMYFUNCTION("GOOGLETRANSLATE(B13519, ""zh"", ""en"")"),"Texture bad not recommended to buy the pants feel good workmanship and general Taobao pants almost fifty or sixty texture size too large 190,210 pounds of serious people just wear L")</f>
        <v>Texture bad not recommended to buy the pants feel good workmanship and general Taobao pants almost fifty or sixty texture size too large 190,210 pounds of serious people just wear L</v>
      </c>
    </row>
    <row r="13520">
      <c r="A13520" s="1">
        <v>3.0</v>
      </c>
      <c r="B13520" s="1" t="s">
        <v>13383</v>
      </c>
      <c r="C13520" t="str">
        <f>IFERROR(__xludf.DUMMYFUNCTION("GOOGLETRANSLATE(B13520, ""zh"", ""en"")"),"There is slightly larger than the domestic color, in fact M on the right, but this color, in-kind is the kind of blue-violet, this is not the light blue, a little bad control ah")</f>
        <v>There is slightly larger than the domestic color, in fact M on the right, but this color, in-kind is the kind of blue-violet, this is not the light blue, a little bad control ah</v>
      </c>
    </row>
    <row r="13521">
      <c r="A13521" s="1">
        <v>3.0</v>
      </c>
      <c r="B13521" s="1" t="s">
        <v>13384</v>
      </c>
      <c r="C13521" t="str">
        <f>IFERROR(__xludf.DUMMYFUNCTION("GOOGLETRANSLATE(B13521, ""zh"", ""en"")"),"Overseas buy a dozen pieces, this is the only thing I feel in general. Overseas buy a dozen pieces, this is the only thing I feel in general.")</f>
        <v>Overseas buy a dozen pieces, this is the only thing I feel in general. Overseas buy a dozen pieces, this is the only thing I feel in general.</v>
      </c>
    </row>
    <row r="13522">
      <c r="A13522" s="1">
        <v>1.0</v>
      </c>
      <c r="B13522" s="1" t="s">
        <v>13385</v>
      </c>
      <c r="C13522" t="str">
        <f>IFERROR(__xludf.DUMMYFUNCTION("GOOGLETRANSLATE(B13522, ""zh"", ""en"")"),"General price to get our hands when the packaging was crushed, hard heavy, running sound, especially when writing, the sound is relatively large, super-slow write speed, an average of only 20M / s or so, on the table, hand Desktop can feel the vibration, "&amp;"can only say not to buy expensive, the performance really is too general. Saying China Customs Personal items should not be taxed Why not 1000? Why Amazon charged me tax?")</f>
        <v>General price to get our hands when the packaging was crushed, hard heavy, running sound, especially when writing, the sound is relatively large, super-slow write speed, an average of only 20M / s or so, on the table, hand Desktop can feel the vibration, can only say not to buy expensive, the performance really is too general. Saying China Customs Personal items should not be taxed Why not 1000? Why Amazon charged me tax?</v>
      </c>
    </row>
    <row r="13523">
      <c r="A13523" s="1">
        <v>1.0</v>
      </c>
      <c r="B13523" s="1" t="s">
        <v>13386</v>
      </c>
      <c r="C13523" t="str">
        <f>IFERROR(__xludf.DUMMYFUNCTION("GOOGLETRANSLATE(B13523, ""zh"", ""en"")"),"Fake this work, you could close your eyes Germany Wenzhou small workshop production of the world famous Picasso? The reason is not that the hero is a hero because I bought this paper are hanging white fly ~ had wanted to return but did not expect Amazon i"&amp;"mport and sale of counterfeits, the ink sucked up ~ ~ Well spend money to buy a lesson, the picture comes from non-domestic carbon ~")</f>
        <v>Fake this work, you could close your eyes Germany Wenzhou small workshop production of the world famous Picasso? The reason is not that the hero is a hero because I bought this paper are hanging white fly ~ had wanted to return but did not expect Amazon import and sale of counterfeits, the ink sucked up ~ ~ Well spend money to buy a lesson, the picture comes from non-domestic carbon ~</v>
      </c>
    </row>
    <row r="13524">
      <c r="A13524" s="1">
        <v>1.0</v>
      </c>
      <c r="B13524" s="1" t="s">
        <v>1457</v>
      </c>
      <c r="C13524" t="str">
        <f>IFERROR(__xludf.DUMMYFUNCTION("GOOGLETRANSLATE(B13524, ""zh"", ""en"")"),"Size too big clothes price is indeed very affordable, but the size is too exaggerated, at least more than the difference between domestic and two yards. If the country is normal wear big yards, then you have to buy their little code")</f>
        <v>Size too big clothes price is indeed very affordable, but the size is too exaggerated, at least more than the difference between domestic and two yards. If the country is normal wear big yards, then you have to buy their little code</v>
      </c>
    </row>
    <row r="13525">
      <c r="A13525" s="1">
        <v>4.0</v>
      </c>
      <c r="B13525" s="1" t="s">
        <v>13387</v>
      </c>
      <c r="C13525" t="str">
        <f>IFERROR(__xludf.DUMMYFUNCTION("GOOGLETRANSLATE(B13525, ""zh"", ""en"")"),"Good not useful, as a whole can also be right")</f>
        <v>Good not useful, as a whole can also be right</v>
      </c>
    </row>
    <row r="13526">
      <c r="A13526" s="1">
        <v>4.0</v>
      </c>
      <c r="B13526" s="1" t="s">
        <v>13388</v>
      </c>
      <c r="C13526" t="str">
        <f>IFERROR(__xludf.DUMMYFUNCTION("GOOGLETRANSLATE(B13526, ""zh"", ""en"")"),"Resolution of High headphones resolved very high, fairly comfortable to wear. Low-frequency elastic than the larger good, but a bit tinny high-frequency, IF staining is heavy, and the daily straightforward Baia tuning some differences. Because it is close"&amp;"d, the sound field a little.")</f>
        <v>Resolution of High headphones resolved very high, fairly comfortable to wear. Low-frequency elastic than the larger good, but a bit tinny high-frequency, IF staining is heavy, and the daily straightforward Baia tuning some differences. Because it is closed, the sound field a little.</v>
      </c>
    </row>
    <row r="13527">
      <c r="A13527" s="1">
        <v>4.0</v>
      </c>
      <c r="B13527" s="1" t="s">
        <v>13389</v>
      </c>
      <c r="C13527" t="str">
        <f>IFERROR(__xludf.DUMMYFUNCTION("GOOGLETRANSLATE(B13527, ""zh"", ""en"")"),"Good quality style, quality to be late comment!")</f>
        <v>Good quality style, quality to be late comment!</v>
      </c>
    </row>
    <row r="13528">
      <c r="A13528" s="1">
        <v>4.0</v>
      </c>
      <c r="B13528" s="1" t="s">
        <v>13390</v>
      </c>
      <c r="C13528" t="str">
        <f>IFERROR(__xludf.DUMMYFUNCTION("GOOGLETRANSLATE(B13528, ""zh"", ""en"")"),"Abnormal noise is to go to the office there are other better outside noise")</f>
        <v>Abnormal noise is to go to the office there are other better outside noise</v>
      </c>
    </row>
    <row r="13529">
      <c r="A13529" s="1">
        <v>5.0</v>
      </c>
      <c r="B13529" s="1" t="s">
        <v>13391</v>
      </c>
      <c r="C13529" t="str">
        <f>IFERROR(__xludf.DUMMYFUNCTION("GOOGLETRANSLATE(B13529, ""zh"", ""en"")"),"Good, very good good, very good, needs its own bag with a pen")</f>
        <v>Good, very good good, very good, needs its own bag with a pen</v>
      </c>
    </row>
    <row r="13530">
      <c r="A13530" s="1">
        <v>5.0</v>
      </c>
      <c r="B13530" s="1" t="s">
        <v>13392</v>
      </c>
      <c r="C13530" t="str">
        <f>IFERROR(__xludf.DUMMYFUNCTION("GOOGLETRANSLATE(B13530, ""zh"", ""en"")"),"Like 1.78 meters, 75 kg m number very fit, waterproof, breathable, warm. M, about the size of garment to provide for reference: Length 71 cm, Chest 120 cm, 112 cm hem. In addition there are pictures to color: color Graphite drawing closer to the second ki"&amp;"nd.")</f>
        <v>Like 1.78 meters, 75 kg m number very fit, waterproof, breathable, warm. M, about the size of garment to provide for reference: Length 71 cm, Chest 120 cm, 112 cm hem. In addition there are pictures to color: color Graphite drawing closer to the second kind.</v>
      </c>
    </row>
    <row r="13531">
      <c r="A13531" s="1">
        <v>5.0</v>
      </c>
      <c r="B13531" s="1" t="s">
        <v>13372</v>
      </c>
      <c r="C13531" t="str">
        <f>IFERROR(__xludf.DUMMYFUNCTION("GOOGLETRANSLATE(B13531, ""zh"", ""en"")"),"Amoy sea color is very nice, medium size too fat, Amazon sea Amoy trustworthy!")</f>
        <v>Amoy sea color is very nice, medium size too fat, Amazon sea Amoy trustworthy!</v>
      </c>
    </row>
    <row r="13532">
      <c r="A13532" s="1">
        <v>5.0</v>
      </c>
      <c r="B13532" s="1" t="s">
        <v>13393</v>
      </c>
      <c r="C13532" t="str">
        <f>IFERROR(__xludf.DUMMYFUNCTION("GOOGLETRANSLATE(B13532, ""zh"", ""en"")"),"It is the product of the producer wanted to know. Size just fabric is also good. As I also bought a same paragraph oversized better back, and changed a number of M is what I want.")</f>
        <v>It is the product of the producer wanted to know. Size just fabric is also good. As I also bought a same paragraph oversized better back, and changed a number of M is what I want.</v>
      </c>
    </row>
    <row r="13533">
      <c r="A13533" s="1">
        <v>5.0</v>
      </c>
      <c r="B13533" s="1" t="s">
        <v>13394</v>
      </c>
      <c r="C13533" t="str">
        <f>IFERROR(__xludf.DUMMYFUNCTION("GOOGLETRANSLATE(B13533, ""zh"", ""en"")"),"Clarks Orinoco Club black woman living casual shoes 203 409 184 065 40. I liked it, my feet slender, usually wear 40, this pair just right, the key is comfortable, like a tailored same.")</f>
        <v>Clarks Orinoco Club black woman living casual shoes 203 409 184 065 40. I liked it, my feet slender, usually wear 40, this pair just right, the key is comfortable, like a tailored same.</v>
      </c>
    </row>
    <row r="13534">
      <c r="A13534" s="1">
        <v>5.0</v>
      </c>
      <c r="B13534" s="1" t="s">
        <v>13395</v>
      </c>
      <c r="C13534" t="str">
        <f>IFERROR(__xludf.DUMMYFUNCTION("GOOGLETRANSLATE(B13534, ""zh"", ""en"")"),"Looks great, the price is high cost required to buy the freshman code")</f>
        <v>Looks great, the price is high cost required to buy the freshman code</v>
      </c>
    </row>
    <row r="13535">
      <c r="A13535" s="1">
        <v>5.0</v>
      </c>
      <c r="B13535" s="1" t="s">
        <v>13396</v>
      </c>
      <c r="C13535" t="str">
        <f>IFERROR(__xludf.DUMMYFUNCTION("GOOGLETRANSLATE(B13535, ""zh"", ""en"")"),"Liked the rhubarb boots! Rhubarb boots the case of Timberland, a true classic style, it is recommended!")</f>
        <v>Liked the rhubarb boots! Rhubarb boots the case of Timberland, a true classic style, it is recommended!</v>
      </c>
    </row>
    <row r="13536">
      <c r="A13536" s="1">
        <v>5.0</v>
      </c>
      <c r="B13536" s="1" t="s">
        <v>13397</v>
      </c>
      <c r="C13536" t="str">
        <f>IFERROR(__xludf.DUMMYFUNCTION("GOOGLETRANSLATE(B13536, ""zh"", ""en"")"),"Pretty good watch for man of medium height")</f>
        <v>Pretty good watch for man of medium height</v>
      </c>
    </row>
    <row r="13537">
      <c r="A13537" s="1">
        <v>5.0</v>
      </c>
      <c r="B13537" s="1" t="s">
        <v>13398</v>
      </c>
      <c r="C13537" t="str">
        <f>IFERROR(__xludf.DUMMYFUNCTION("GOOGLETRANSLATE(B13537, ""zh"", ""en"")"),"Size can be adjusted, cap materials which are compliant comfortable size can be adjusted, he said a large, multi-head is small, the smallest are barely holding on? Material good, feel very advanced.")</f>
        <v>Size can be adjusted, cap materials which are compliant comfortable size can be adjusted, he said a large, multi-head is small, the smallest are barely holding on? Material good, feel very advanced.</v>
      </c>
    </row>
    <row r="13538">
      <c r="A13538" s="1">
        <v>5.0</v>
      </c>
      <c r="B13538" s="1" t="s">
        <v>13399</v>
      </c>
      <c r="C13538" t="str">
        <f>IFERROR(__xludf.DUMMYFUNCTION("GOOGLETRANSLATE(B13538, ""zh"", ""en"")"),"Amoy purchased in the Adriatic Sea in Clarks cost-effective outsourcing as always, well, order number 10, number 19 on the receipt of goods from Britain to Asia, the fifth double Clarks! About 270 feet long, that is, before all UK8.5 US9.5, slightly loose"&amp;", this time under the UK8, slightly narrower, or uk8.5 appropriate, to hand over three hundred and three reserve price, praise")</f>
        <v>Amoy purchased in the Adriatic Sea in Clarks cost-effective outsourcing as always, well, order number 10, number 19 on the receipt of goods from Britain to Asia, the fifth double Clarks! About 270 feet long, that is, before all UK8.5 US9.5, slightly loose, this time under the UK8, slightly narrower, or uk8.5 appropriate, to hand over three hundred and three reserve price, praise</v>
      </c>
    </row>
    <row r="13539">
      <c r="A13539" s="1">
        <v>5.0</v>
      </c>
      <c r="B13539" s="1" t="s">
        <v>13400</v>
      </c>
      <c r="C13539" t="str">
        <f>IFERROR(__xludf.DUMMYFUNCTION("GOOGLETRANSLATE(B13539, ""zh"", ""en"")"),"Good, very good work, the backup disk devaluation. mac backup system directly identify the system convenient. In the external hard drive in a low voice regarded. The transmission usb3.0 be okay, mac lightning plus 3 Interface converter no problem. Working"&amp;" good, small than imagined. practical.")</f>
        <v>Good, very good work, the backup disk devaluation. mac backup system directly identify the system convenient. In the external hard drive in a low voice regarded. The transmission usb3.0 be okay, mac lightning plus 3 Interface converter no problem. Working good, small than imagined. practical.</v>
      </c>
    </row>
    <row r="13540">
      <c r="A13540" s="1">
        <v>5.0</v>
      </c>
      <c r="B13540" s="1" t="s">
        <v>13401</v>
      </c>
      <c r="C13540" t="str">
        <f>IFERROR(__xludf.DUMMYFUNCTION("GOOGLETRANSLATE(B13540, ""zh"", ""en"")"),"Great to catch up with activity even without the free shipping is quite cost-effective genuine natural nothing left to say great problem")</f>
        <v>Great to catch up with activity even without the free shipping is quite cost-effective genuine natural nothing left to say great problem</v>
      </c>
    </row>
    <row r="13541">
      <c r="A13541" s="1">
        <v>5.0</v>
      </c>
      <c r="B13541" s="1" t="s">
        <v>13402</v>
      </c>
      <c r="C13541" t="str">
        <f>IFERROR(__xludf.DUMMYFUNCTION("GOOGLETRANSLATE(B13541, ""zh"", ""en"")"),"This mini backpack is very suitable for good quality! The right size! Amazon is trustworthy!")</f>
        <v>This mini backpack is very suitable for good quality! The right size! Amazon is trustworthy!</v>
      </c>
    </row>
    <row r="13542">
      <c r="A13542" s="1">
        <v>5.0</v>
      </c>
      <c r="B13542" s="1" t="s">
        <v>13403</v>
      </c>
      <c r="C13542" t="str">
        <f>IFERROR(__xludf.DUMMYFUNCTION("GOOGLETRANSLATE(B13542, ""zh"", ""en"")"),"Easy to take care of this easily compassionate care, can be said to be a favorite, so buy two, breathable fabric comfortable, very smooth, easy dirty, washed basic quick-drying summer, it does not produce wrinkles , in short, a great experience.")</f>
        <v>Easy to take care of this easily compassionate care, can be said to be a favorite, so buy two, breathable fabric comfortable, very smooth, easy dirty, washed basic quick-drying summer, it does not produce wrinkles , in short, a great experience.</v>
      </c>
    </row>
    <row r="13543">
      <c r="A13543" s="1">
        <v>5.0</v>
      </c>
      <c r="B13543" s="1" t="s">
        <v>6765</v>
      </c>
      <c r="C13543" t="str">
        <f>IFERROR(__xludf.DUMMYFUNCTION("GOOGLETRANSLATE(B13543, ""zh"", ""en"")"),"Good warm and comfortable ... although it will play a penalty, but overall very satisfied.")</f>
        <v>Good warm and comfortable ... although it will play a penalty, but overall very satisfied.</v>
      </c>
    </row>
    <row r="13544">
      <c r="A13544" s="1">
        <v>5.0</v>
      </c>
      <c r="B13544" s="1" t="s">
        <v>13404</v>
      </c>
      <c r="C13544" t="str">
        <f>IFERROR(__xludf.DUMMYFUNCTION("GOOGLETRANSLATE(B13544, ""zh"", ""en"")"),"Not bad from the US postal over, it is genuine. 173 tall, 200 pounds to wear Xl substantially fit, then fat can wear point. This dress version of the type is wider at the top, the chest, the sleeves are fat, waist and tightened, fat people will look very "&amp;"burly. Thin people wear is super relaxed kind of style. Wear on both sides, but I personally feel that orange surface is not very good wear out, too bright.")</f>
        <v>Not bad from the US postal over, it is genuine. 173 tall, 200 pounds to wear Xl substantially fit, then fat can wear point. This dress version of the type is wider at the top, the chest, the sleeves are fat, waist and tightened, fat people will look very burly. Thin people wear is super relaxed kind of style. Wear on both sides, but I personally feel that orange surface is not very good wear out, too bright.</v>
      </c>
    </row>
    <row r="13545">
      <c r="A13545" s="1">
        <v>5.0</v>
      </c>
      <c r="B13545" s="1" t="s">
        <v>13405</v>
      </c>
      <c r="C13545" t="str">
        <f>IFERROR(__xludf.DUMMYFUNCTION("GOOGLETRANSLATE(B13545, ""zh"", ""en"")"),"Very good USB3.0 hard disk speed is really fast, hard mechanical limits of the play out")</f>
        <v>Very good USB3.0 hard disk speed is really fast, hard mechanical limits of the play out</v>
      </c>
    </row>
    <row r="13546">
      <c r="A13546" s="1">
        <v>5.0</v>
      </c>
      <c r="B13546" s="1" t="s">
        <v>13406</v>
      </c>
      <c r="C13546" t="str">
        <f>IFERROR(__xludf.DUMMYFUNCTION("GOOGLETRANSLATE(B13546, ""zh"", ""en"")"),"Suitable Nubao pink pink suit female baby feels a cup can be used for many years")</f>
        <v>Suitable Nubao pink pink suit female baby feels a cup can be used for many years</v>
      </c>
    </row>
    <row r="13547">
      <c r="A13547" s="1">
        <v>5.0</v>
      </c>
      <c r="B13547" s="1" t="s">
        <v>13407</v>
      </c>
      <c r="C13547" t="str">
        <f>IFERROR(__xludf.DUMMYFUNCTION("GOOGLETRANSLATE(B13547, ""zh"", ""en"")"),"Very beautiful, look very beautiful Ha, good speed")</f>
        <v>Very beautiful, look very beautiful Ha, good speed</v>
      </c>
    </row>
    <row r="13548">
      <c r="A13548" s="1">
        <v>5.0</v>
      </c>
      <c r="B13548" s="1" t="s">
        <v>13408</v>
      </c>
      <c r="C13548" t="str">
        <f>IFERROR(__xludf.DUMMYFUNCTION("GOOGLETRANSLATE(B13548, ""zh"", ""en"")"),"Quality is good, the quality is good, cloth")</f>
        <v>Quality is good, the quality is good, cloth</v>
      </c>
    </row>
    <row r="13549">
      <c r="A13549" s="1">
        <v>5.0</v>
      </c>
      <c r="B13549" s="1" t="s">
        <v>13409</v>
      </c>
      <c r="C13549" t="str">
        <f>IFERROR(__xludf.DUMMYFUNCTION("GOOGLETRANSLATE(B13549, ""zh"", ""en"")"),"Very good, light, and bought a decisive")</f>
        <v>Very good, light, and bought a decisive</v>
      </c>
    </row>
    <row r="13550">
      <c r="A13550" s="1">
        <v>5.0</v>
      </c>
      <c r="B13550" s="1" t="s">
        <v>13410</v>
      </c>
      <c r="C13550" t="str">
        <f>IFERROR(__xludf.DUMMYFUNCTION("GOOGLETRANSLATE(B13550, ""zh"", ""en"")"),"Good good good good fit, and imagine the same!")</f>
        <v>Good good good good fit, and imagine the same!</v>
      </c>
    </row>
    <row r="13551">
      <c r="A13551" s="1">
        <v>2.0</v>
      </c>
      <c r="B13551" s="1" t="s">
        <v>13411</v>
      </c>
      <c r="C13551" t="str">
        <f>IFERROR(__xludf.DUMMYFUNCTION("GOOGLETRANSLATE(B13551, ""zh"", ""en"")"),"Cheap working poor can no longer afraid of a rainy day senior overshoes packaging is really bad shoe pad support only a crooked tongue")</f>
        <v>Cheap working poor can no longer afraid of a rainy day senior overshoes packaging is really bad shoe pad support only a crooked tongue</v>
      </c>
    </row>
    <row r="13552">
      <c r="A13552" s="1">
        <v>3.0</v>
      </c>
      <c r="B13552" s="1" t="s">
        <v>13412</v>
      </c>
      <c r="C13552" t="str">
        <f>IFERROR(__xludf.DUMMYFUNCTION("GOOGLETRANSLATE(B13552, ""zh"", ""en"")"),"Something good, UPS is a pit. Speaker impress, in addition to the high-frequency end of the boot about 10 seconds of noise, other times very good sound quality, so small speakers emit very good bass. But this time the UPS is really too freely. The same ad"&amp;"dress can be sent to other courier, UPS said it wrong address. There is a problem and I do not call to confirm delivery position. I found the problem, call back, or else is waiting for more than 10 minutes no answer, or just do not know what country, can "&amp;"address myself got it wrong, if I did not (and customers themselves) in time, I do not know will drag what time to go. After back and forth several times, finally went so far as undeliverable UPS, SF transit to No. 10 in the morning, then No. 10 in the af"&amp;"ternoon I received. UPS does not know where it came from all of the staff, low energy, confusion, lazy, prevarication, to poor customer experience. Rating buckle 2 stars is because UPS. This is the speed at which the trial Prime membership, if you still u"&amp;"se UPS, I'll try to avoid re-use Amazon's overseas purchase.")</f>
        <v>Something good, UPS is a pit. Speaker impress, in addition to the high-frequency end of the boot about 10 seconds of noise, other times very good sound quality, so small speakers emit very good bass. But this time the UPS is really too freely. The same address can be sent to other courier, UPS said it wrong address. There is a problem and I do not call to confirm delivery position. I found the problem, call back, or else is waiting for more than 10 minutes no answer, or just do not know what country, can address myself got it wrong, if I did not (and customers themselves) in time, I do not know will drag what time to go. After back and forth several times, finally went so far as undeliverable UPS, SF transit to No. 10 in the morning, then No. 10 in the afternoon I received. UPS does not know where it came from all of the staff, low energy, confusion, lazy, prevarication, to poor customer experience. Rating buckle 2 stars is because UPS. This is the speed at which the trial Prime membership, if you still use UPS, I'll try to avoid re-use Amazon's overseas purchase.</v>
      </c>
    </row>
    <row r="13553">
      <c r="A13553" s="1">
        <v>3.0</v>
      </c>
      <c r="B13553" s="1" t="s">
        <v>13413</v>
      </c>
      <c r="C13553" t="str">
        <f>IFERROR(__xludf.DUMMYFUNCTION("GOOGLETRANSLATE(B13553, ""zh"", ""en"")"),"It does not know is true or false, no creamy foam is not my first time using this protein powder Op, this time to buy overseas in the Amazon Direct. About my questions: 1, is sealed, said the evaluation did not look at the seal before, but I have received"&amp;" a seal. 2, the foam did not have a creamy smoothness no viscosity, like water soak chocolate flavor. There is no trace of foam, in addition to drink up the faint chocolate flavor is the taste of water. I have been drinking homemade Lok much whey protein "&amp;"before, there is a bubble and creamy, entrance is slippery like egg white. This is not just a little, feeling is something entirely different. I really do not know is like this, or buy a fake.")</f>
        <v>It does not know is true or false, no creamy foam is not my first time using this protein powder Op, this time to buy overseas in the Amazon Direct. About my questions: 1, is sealed, said the evaluation did not look at the seal before, but I have received a seal. 2, the foam did not have a creamy smoothness no viscosity, like water soak chocolate flavor. There is no trace of foam, in addition to drink up the faint chocolate flavor is the taste of water. I have been drinking homemade Lok much whey protein before, there is a bubble and creamy, entrance is slippery like egg white. This is not just a little, feeling is something entirely different. I really do not know is like this, or buy a fake.</v>
      </c>
    </row>
    <row r="13554">
      <c r="A13554" s="1">
        <v>3.0</v>
      </c>
      <c r="B13554" s="1" t="s">
        <v>13414</v>
      </c>
      <c r="C13554" t="str">
        <f>IFERROR(__xludf.DUMMYFUNCTION("GOOGLETRANSLATE(B13554, ""zh"", ""en"")"),"Listen sound too good hand missing, equipped with uncomfortable, always will be out.")</f>
        <v>Listen sound too good hand missing, equipped with uncomfortable, always will be out.</v>
      </c>
    </row>
    <row r="13555">
      <c r="A13555" s="1">
        <v>1.0</v>
      </c>
      <c r="B13555" s="1" t="s">
        <v>13415</v>
      </c>
      <c r="C13555" t="str">
        <f>IFERROR(__xludf.DUMMYFUNCTION("GOOGLETRANSLATE(B13555, ""zh"", ""en"")"),"Watch the CASIO watches very disappointed in the bottom of the small disc chronograph hands is not correct, overseas purchase difficult replacement return ......")</f>
        <v>Watch the CASIO watches very disappointed in the bottom of the small disc chronograph hands is not correct, overseas purchase difficult replacement return ......</v>
      </c>
    </row>
    <row r="13556">
      <c r="A13556" s="1">
        <v>1.0</v>
      </c>
      <c r="B13556" s="1" t="s">
        <v>13416</v>
      </c>
      <c r="C13556" t="str">
        <f>IFERROR(__xludf.DUMMYFUNCTION("GOOGLETRANSLATE(B13556, ""zh"", ""en"")"),"Color color difference too serious, is looking at the pictures before buying this light, the result color is too large, and sent me to a lot of dark colors clear")</f>
        <v>Color color difference too serious, is looking at the pictures before buying this light, the result color is too large, and sent me to a lot of dark colors clear</v>
      </c>
    </row>
    <row r="13557">
      <c r="A13557" s="1">
        <v>4.0</v>
      </c>
      <c r="B13557" s="1" t="s">
        <v>13417</v>
      </c>
      <c r="C13557" t="str">
        <f>IFERROR(__xludf.DUMMYFUNCTION("GOOGLETRANSLATE(B13557, ""zh"", ""en"")"),"Large elastic 167/58, because the relatively thick legs so chose L / LL number, the results a little bit big, because the elastic pants good, you can wrap the abdomen, very warm, but Shu Wen, and relatively thick, do not feel suitable for outer wear, read"&amp;"y when ordinary Qiuku wear. Very warm, 10 degrees or more is no problem.")</f>
        <v>Large elastic 167/58, because the relatively thick legs so chose L / LL number, the results a little bit big, because the elastic pants good, you can wrap the abdomen, very warm, but Shu Wen, and relatively thick, do not feel suitable for outer wear, ready when ordinary Qiuku wear. Very warm, 10 degrees or more is no problem.</v>
      </c>
    </row>
    <row r="13558">
      <c r="A13558" s="1">
        <v>4.0</v>
      </c>
      <c r="B13558" s="1" t="s">
        <v>13418</v>
      </c>
      <c r="C13558" t="str">
        <f>IFERROR(__xludf.DUMMYFUNCTION("GOOGLETRANSLATE(B13558, ""zh"", ""en"")"),"recommend! I spent two months, the overall feeling really good, excellent small pieces trust. Delivery time is not very uniform, each time interval too different, sometimes two or three days and sometimes ten days. Excellent hope to improve! ! !")</f>
        <v>recommend! I spent two months, the overall feeling really good, excellent small pieces trust. Delivery time is not very uniform, each time interval too different, sometimes two or three days and sometimes ten days. Excellent hope to improve! ! !</v>
      </c>
    </row>
    <row r="13559">
      <c r="A13559" s="1">
        <v>4.0</v>
      </c>
      <c r="B13559" s="1" t="s">
        <v>13419</v>
      </c>
      <c r="C13559" t="str">
        <f>IFERROR(__xludf.DUMMYFUNCTION("GOOGLETRANSLATE(B13559, ""zh"", ""en"")"),"Product is very good, packaging is too times according to the size of a pair of home to buy things is good, that is packed too times, plus original packaging plastic bags! ! !")</f>
        <v>Product is very good, packaging is too times according to the size of a pair of home to buy things is good, that is packed too times, plus original packaging plastic bags! ! !</v>
      </c>
    </row>
    <row r="13560">
      <c r="A13560" s="1">
        <v>4.0</v>
      </c>
      <c r="B13560" s="1" t="s">
        <v>13420</v>
      </c>
      <c r="C13560" t="str">
        <f>IFERROR(__xludf.DUMMYFUNCTION("GOOGLETRANSLATE(B13560, ""zh"", ""en"")"),"Big big, and sent his family to wear")</f>
        <v>Big big, and sent his family to wear</v>
      </c>
    </row>
    <row r="13561">
      <c r="A13561" s="1">
        <v>4.0</v>
      </c>
      <c r="B13561" s="1" t="s">
        <v>13421</v>
      </c>
      <c r="C13561" t="str">
        <f>IFERROR(__xludf.DUMMYFUNCTION("GOOGLETRANSLATE(B13561, ""zh"", ""en"")"),"Not bad not add boiling water, bought back a little taste")</f>
        <v>Not bad not add boiling water, bought back a little taste</v>
      </c>
    </row>
    <row r="13562">
      <c r="A13562" s="1">
        <v>5.0</v>
      </c>
      <c r="B13562" s="1" t="s">
        <v>13422</v>
      </c>
      <c r="C13562" t="str">
        <f>IFERROR(__xludf.DUMMYFUNCTION("GOOGLETRANSLATE(B13562, ""zh"", ""en"")"),"Plate good cost-effective, good plate")</f>
        <v>Plate good cost-effective, good plate</v>
      </c>
    </row>
    <row r="13563">
      <c r="A13563" s="1">
        <v>5.0</v>
      </c>
      <c r="B13563" s="1" t="s">
        <v>13423</v>
      </c>
      <c r="C13563" t="str">
        <f>IFERROR(__xludf.DUMMYFUNCTION("GOOGLETRANSLATE(B13563, ""zh"", ""en"")"),"Good sound, good value of money, than the blue yeti sound too nice, bright and not boring, pickup wide range, with up super easy. The only drawback, the headset will probably have five seconds the current sound every 50 seconds, do not know is the lack of"&amp;" power supply wires or inherent product defects. The last write current sound is caused because no driver installation, do not install the driver can be used, there will be current sound. Install just fine, satisfied with the product.")</f>
        <v>Good sound, good value of money, than the blue yeti sound too nice, bright and not boring, pickup wide range, with up super easy. The only drawback, the headset will probably have five seconds the current sound every 50 seconds, do not know is the lack of power supply wires or inherent product defects. The last write current sound is caused because no driver installation, do not install the driver can be used, there will be current sound. Install just fine, satisfied with the product.</v>
      </c>
    </row>
    <row r="13564">
      <c r="A13564" s="1">
        <v>5.0</v>
      </c>
      <c r="B13564" s="1" t="s">
        <v>13424</v>
      </c>
      <c r="C13564" t="str">
        <f>IFERROR(__xludf.DUMMYFUNCTION("GOOGLETRANSLATE(B13564, ""zh"", ""en"")"),"Like the cup is very easy to use, easy to clean, that is, have their own to buy a set of")</f>
        <v>Like the cup is very easy to use, easy to clean, that is, have their own to buy a set of</v>
      </c>
    </row>
    <row r="13565">
      <c r="A13565" s="1">
        <v>5.0</v>
      </c>
      <c r="B13565" s="1" t="s">
        <v>13425</v>
      </c>
      <c r="C13565" t="str">
        <f>IFERROR(__xludf.DUMMYFUNCTION("GOOGLETRANSLATE(B13565, ""zh"", ""en"")"),"To the standard five days, stunned, good quality shoes, is the standard 40.5 yds")</f>
        <v>To the standard five days, stunned, good quality shoes, is the standard 40.5 yds</v>
      </c>
    </row>
    <row r="13566">
      <c r="A13566" s="1">
        <v>5.0</v>
      </c>
      <c r="B13566" s="1" t="s">
        <v>13426</v>
      </c>
      <c r="C13566" t="str">
        <f>IFERROR(__xludf.DUMMYFUNCTION("GOOGLETRANSLATE(B13566, ""zh"", ""en"")"),"Very smooth New Year when the 2000 trial at the counter, was shaken up. Finally start writing a great feeling! Writing and about 500 words per day, one week enough ink capacity. Amazon logistics very quickly, a week hand. The most important is the high co"&amp;"st, do not worry about fakes or second-hand goods.")</f>
        <v>Very smooth New Year when the 2000 trial at the counter, was shaken up. Finally start writing a great feeling! Writing and about 500 words per day, one week enough ink capacity. Amazon logistics very quickly, a week hand. The most important is the high cost, do not worry about fakes or second-hand goods.</v>
      </c>
    </row>
    <row r="13567">
      <c r="A13567" s="1">
        <v>5.0</v>
      </c>
      <c r="B13567" s="1" t="s">
        <v>13427</v>
      </c>
      <c r="C13567" t="str">
        <f>IFERROR(__xludf.DUMMYFUNCTION("GOOGLETRANSLATE(B13567, ""zh"", ""en"")"),"Good like very, very good, I liked it, size is also suitable.")</f>
        <v>Good like very, very good, I liked it, size is also suitable.</v>
      </c>
    </row>
    <row r="13568">
      <c r="A13568" s="1">
        <v>5.0</v>
      </c>
      <c r="B13568" s="1" t="s">
        <v>13428</v>
      </c>
      <c r="C13568" t="str">
        <f>IFERROR(__xludf.DUMMYFUNCTION("GOOGLETRANSLATE(B13568, ""zh"", ""en"")"),"Good thing spoon super good, brilliant.")</f>
        <v>Good thing spoon super good, brilliant.</v>
      </c>
    </row>
    <row r="13569">
      <c r="A13569" s="1">
        <v>5.0</v>
      </c>
      <c r="B13569" s="1" t="s">
        <v>13429</v>
      </c>
      <c r="C13569" t="str">
        <f>IFERROR(__xludf.DUMMYFUNCTION("GOOGLETRANSLATE(B13569, ""zh"", ""en"")"),"I buy is heavy in number, as a man, take up very difficult. Work well, American is good!")</f>
        <v>I buy is heavy in number, as a man, take up very difficult. Work well, American is good!</v>
      </c>
    </row>
    <row r="13570">
      <c r="A13570" s="1">
        <v>5.0</v>
      </c>
      <c r="B13570" s="1" t="s">
        <v>13430</v>
      </c>
      <c r="C13570" t="str">
        <f>IFERROR(__xludf.DUMMYFUNCTION("GOOGLETRANSLATE(B13570, ""zh"", ""en"")"),"Next time still want to buy! well! Dad liked! very suitable!")</f>
        <v>Next time still want to buy! well! Dad liked! very suitable!</v>
      </c>
    </row>
    <row r="13571">
      <c r="A13571" s="1">
        <v>5.0</v>
      </c>
      <c r="B13571" s="1" t="s">
        <v>13431</v>
      </c>
      <c r="C13571" t="str">
        <f>IFERROR(__xludf.DUMMYFUNCTION("GOOGLETRANSLATE(B13571, ""zh"", ""en"")"),"Good quality 170.68 kg S codes just, good quality, no color, medium thickness.")</f>
        <v>Good quality 170.68 kg S codes just, good quality, no color, medium thickness.</v>
      </c>
    </row>
    <row r="13572">
      <c r="A13572" s="1">
        <v>5.0</v>
      </c>
      <c r="B13572" s="1" t="s">
        <v>13432</v>
      </c>
      <c r="C13572" t="str">
        <f>IFERROR(__xludf.DUMMYFUNCTION("GOOGLETRANSLATE(B13572, ""zh"", ""en"")"),"Good shoes sell well when I add only 385 freight")</f>
        <v>Good shoes sell well when I add only 385 freight</v>
      </c>
    </row>
    <row r="13573">
      <c r="A13573" s="1">
        <v>5.0</v>
      </c>
      <c r="B13573" s="1" t="s">
        <v>13433</v>
      </c>
      <c r="C13573" t="str">
        <f>IFERROR(__xludf.DUMMYFUNCTION("GOOGLETRANSLATE(B13573, ""zh"", ""en"")"),"No good shoes for the first time to buy, no understanding of the size, too small a point")</f>
        <v>No good shoes for the first time to buy, no understanding of the size, too small a point</v>
      </c>
    </row>
    <row r="13574">
      <c r="A13574" s="1">
        <v>5.0</v>
      </c>
      <c r="B13574" s="1" t="s">
        <v>13434</v>
      </c>
      <c r="C13574" t="str">
        <f>IFERROR(__xludf.DUMMYFUNCTION("GOOGLETRANSLATE(B13574, ""zh"", ""en"")"),"Very loose thin to be careful to buy, this is really just holding up to have meat, 177 75kg buy M appropriate to wear good feeling burly")</f>
        <v>Very loose thin to be careful to buy, this is really just holding up to have meat, 177 75kg buy M appropriate to wear good feeling burly</v>
      </c>
    </row>
    <row r="13575">
      <c r="A13575" s="1">
        <v>5.0</v>
      </c>
      <c r="B13575" s="1" t="s">
        <v>13435</v>
      </c>
      <c r="C13575" t="str">
        <f>IFERROR(__xludf.DUMMYFUNCTION("GOOGLETRANSLATE(B13575, ""zh"", ""en"")"),"Good workmanship durable, it is feeling slightly smaller point, in addition to other key wallet what can not be installed")</f>
        <v>Good workmanship durable, it is feeling slightly smaller point, in addition to other key wallet what can not be installed</v>
      </c>
    </row>
    <row r="13576">
      <c r="A13576" s="1">
        <v>5.0</v>
      </c>
      <c r="B13576" s="1" t="s">
        <v>13436</v>
      </c>
      <c r="C13576" t="str">
        <f>IFERROR(__xludf.DUMMYFUNCTION("GOOGLETRANSLATE(B13576, ""zh"", ""en"")"),"In the shape of a child learning to use reasonable and rational in shape")</f>
        <v>In the shape of a child learning to use reasonable and rational in shape</v>
      </c>
    </row>
    <row r="13577">
      <c r="A13577" s="1">
        <v>5.0</v>
      </c>
      <c r="B13577" s="1" t="s">
        <v>13437</v>
      </c>
      <c r="C13577" t="str">
        <f>IFERROR(__xludf.DUMMYFUNCTION("GOOGLETRANSLATE(B13577, ""zh"", ""en"")"),"Satisfaction pacifier or a good quality in Japan")</f>
        <v>Satisfaction pacifier or a good quality in Japan</v>
      </c>
    </row>
    <row r="13578">
      <c r="A13578" s="1">
        <v>5.0</v>
      </c>
      <c r="B13578" s="1" t="s">
        <v>13438</v>
      </c>
      <c r="C13578" t="str">
        <f>IFERROR(__xludf.DUMMYFUNCTION("GOOGLETRANSLATE(B13578, ""zh"", ""en"")"),"Very good very good quality pants styles are good for the second time to buy a buy a good few")</f>
        <v>Very good very good quality pants styles are good for the second time to buy a buy a good few</v>
      </c>
    </row>
    <row r="13579">
      <c r="A13579" s="1">
        <v>5.0</v>
      </c>
      <c r="B13579" s="1" t="s">
        <v>13439</v>
      </c>
      <c r="C13579" t="str">
        <f>IFERROR(__xludf.DUMMYFUNCTION("GOOGLETRANSLATE(B13579, ""zh"", ""en"")"),"The first double-buy soft leather is this the right grass for a long time, because there is a free trial membership for free shipping, so we tried a bit in the Amazon Shanghai Amoy, speed is very Kuaia, feeling around seven or eight days better prices bar"&amp;", 1000 dollars, usually wear shoes is 40 yards, I 176, this pair bought 41 yards, very appropriate, slightly larger, can put two centimeters insoles, the first to wear when put inside insoles to wear out after a long thin socks, foot wear do not feel very"&amp;" comfortable, plus increased insoles, it will feel more pressure instep, normal wear, then okay, crusty wanted to buy, buy the wrong , buy into this soft leather, want to return, but they do a homework, I heard that was not hard or wearing a pair of Marti"&amp;"n boots bought it later if you can, buy a pair of crusty it, really type of leg useful modification, wrap the ankle finest place overall in the foot looks a little more straight, all of a sudden significantly high, legs straight, light legs with a skirt t"&amp;"o wear really nice soft leather, with overalls what can be the first Wear two centimeters insoles and Martin boots, go out for a long time is also good, is to walk much, basically sitting in a meeting, later increased slowly, taking the opportunity, shoul"&amp;"d be slowly Yuechuan Yue fit foot, I also bought a lot of silicone condom toes and heels of the feet, feeling irrelevant, because they do not wear the foot, up and down stairs will feel when pressing a little in front of the lower leg")</f>
        <v>The first double-buy soft leather is this the right grass for a long time, because there is a free trial membership for free shipping, so we tried a bit in the Amazon Shanghai Amoy, speed is very Kuaia, feeling around seven or eight days better prices bar, 1000 dollars, usually wear shoes is 40 yards, I 176, this pair bought 41 yards, very appropriate, slightly larger, can put two centimeters insoles, the first to wear when put inside insoles to wear out after a long thin socks, foot wear do not feel very comfortable, plus increased insoles, it will feel more pressure instep, normal wear, then okay, crusty wanted to buy, buy the wrong , buy into this soft leather, want to return, but they do a homework, I heard that was not hard or wearing a pair of Martin boots bought it later if you can, buy a pair of crusty it, really type of leg useful modification, wrap the ankle finest place overall in the foot looks a little more straight, all of a sudden significantly high, legs straight, light legs with a skirt to wear really nice soft leather, with overalls what can be the first Wear two centimeters insoles and Martin boots, go out for a long time is also good, is to walk much, basically sitting in a meeting, later increased slowly, taking the opportunity, should be slowly Yuechuan Yue fit foot, I also bought a lot of silicone condom toes and heels of the feet, feeling irrelevant, because they do not wear the foot, up and down stairs will feel when pressing a little in front of the lower leg</v>
      </c>
    </row>
    <row r="13580">
      <c r="A13580" s="1">
        <v>5.0</v>
      </c>
      <c r="B13580" s="1" t="s">
        <v>13440</v>
      </c>
      <c r="C13580" t="str">
        <f>IFERROR(__xludf.DUMMYFUNCTION("GOOGLETRANSLATE(B13580, ""zh"", ""en"")"),"In-kind is very beautiful, wearing a good package, very comfortable very satisfied, the kind with the same picture, love")</f>
        <v>In-kind is very beautiful, wearing a good package, very comfortable very satisfied, the kind with the same picture, love</v>
      </c>
    </row>
    <row r="13581">
      <c r="A13581" s="1">
        <v>5.0</v>
      </c>
      <c r="B13581" s="1" t="s">
        <v>13441</v>
      </c>
      <c r="C13581" t="str">
        <f>IFERROR(__xludf.DUMMYFUNCTION("GOOGLETRANSLATE(B13581, ""zh"", ""en"")"),"Big point, be sure to buy a small one yard. Big point, be sure to buy a small one yard.")</f>
        <v>Big point, be sure to buy a small one yard. Big point, be sure to buy a small one yard.</v>
      </c>
    </row>
    <row r="13582">
      <c r="A13582" s="1">
        <v>5.0</v>
      </c>
      <c r="B13582" s="1" t="s">
        <v>13442</v>
      </c>
      <c r="C13582" t="str">
        <f>IFERROR(__xludf.DUMMYFUNCTION("GOOGLETRANSLATE(B13582, ""zh"", ""en"")"),"lee jeans fit the arrival of the United States and the domestic m l almost, very casual fabric is not hard thin, very comfortable")</f>
        <v>lee jeans fit the arrival of the United States and the domestic m l almost, very casual fabric is not hard thin, very comfortable</v>
      </c>
    </row>
    <row r="13583">
      <c r="A13583" s="1">
        <v>2.0</v>
      </c>
      <c r="B13583" s="1" t="s">
        <v>13443</v>
      </c>
      <c r="C13583" t="str">
        <f>IFERROR(__xludf.DUMMYFUNCTION("GOOGLETRANSLATE(B13583, ""zh"", ""en"")"),"Does not fit too large and cumbersome to wear Returns")</f>
        <v>Does not fit too large and cumbersome to wear Returns</v>
      </c>
    </row>
    <row r="13584">
      <c r="A13584" s="1">
        <v>3.0</v>
      </c>
      <c r="B13584" s="1" t="s">
        <v>13444</v>
      </c>
      <c r="C13584" t="str">
        <f>IFERROR(__xludf.DUMMYFUNCTION("GOOGLETRANSLATE(B13584, ""zh"", ""en"")"),"Overseas purchase packing a bit shabby, but the feeling is not very clean")</f>
        <v>Overseas purchase packing a bit shabby, but the feeling is not very clean</v>
      </c>
    </row>
    <row r="13585">
      <c r="A13585" s="1">
        <v>1.0</v>
      </c>
      <c r="B13585" s="1" t="s">
        <v>13445</v>
      </c>
      <c r="C13585" t="str">
        <f>IFERROR(__xludf.DUMMYFUNCTION("GOOGLETRANSLATE(B13585, ""zh"", ""en"")"),"Amazon customer service really rubbish shoes have scratches, broken skin also wearing a worn my feet behind the grinning face to find customer service customer service knife, all kinds of excuses would not have to compensate you retire. But also give the "&amp;"freight, really rubbish. Excellent early collapse.")</f>
        <v>Amazon customer service really rubbish shoes have scratches, broken skin also wearing a worn my feet behind the grinning face to find customer service customer service knife, all kinds of excuses would not have to compensate you retire. But also give the freight, really rubbish. Excellent early collapse.</v>
      </c>
    </row>
    <row r="13586">
      <c r="A13586" s="1">
        <v>1.0</v>
      </c>
      <c r="B13586" s="1" t="s">
        <v>13446</v>
      </c>
      <c r="C13586" t="str">
        <f>IFERROR(__xludf.DUMMYFUNCTION("GOOGLETRANSLATE(B13586, ""zh"", ""en"")"),"Vacuity vacuity vacuity vacuity vacuity vacuity vacuity vacuity vacuity serious speed write speed of 20MB zenith junk stuff")</f>
        <v>Vacuity vacuity vacuity vacuity vacuity vacuity vacuity vacuity vacuity serious speed write speed of 20MB zenith junk stuff</v>
      </c>
    </row>
    <row r="13587">
      <c r="A13587" s="1">
        <v>1.0</v>
      </c>
      <c r="B13587" s="1" t="s">
        <v>13447</v>
      </c>
      <c r="C13587" t="str">
        <f>IFERROR(__xludf.DUMMYFUNCTION("GOOGLETRANSLATE(B13587, ""zh"", ""en"")"),"ck not comfortable, le, bad fabrics")</f>
        <v>ck not comfortable, le, bad fabrics</v>
      </c>
    </row>
    <row r="13588">
      <c r="A13588" s="1">
        <v>4.0</v>
      </c>
      <c r="B13588" s="1" t="s">
        <v>13448</v>
      </c>
      <c r="C13588" t="str">
        <f>IFERROR(__xludf.DUMMYFUNCTION("GOOGLETRANSLATE(B13588, ""zh"", ""en"")"),"Domestic authentic 42 foot, just the right to buy 9m. I was 42, just the right to buy 9M, we can be a reference. Shoes can be, that seems to have been sampling or how the whole shoebox ragged.")</f>
        <v>Domestic authentic 42 foot, just the right to buy 9m. I was 42, just the right to buy 9M, we can be a reference. Shoes can be, that seems to have been sampling or how the whole shoebox ragged.</v>
      </c>
    </row>
    <row r="13589">
      <c r="A13589" s="1">
        <v>4.0</v>
      </c>
      <c r="B13589" s="1" t="s">
        <v>13449</v>
      </c>
      <c r="C13589" t="str">
        <f>IFERROR(__xludf.DUMMYFUNCTION("GOOGLETRANSLATE(B13589, ""zh"", ""en"")"),"Quality can also be right ...... generally like good quality generally like ......")</f>
        <v>Quality can also be right ...... generally like good quality generally like ......</v>
      </c>
    </row>
    <row r="13590">
      <c r="A13590" s="1">
        <v>4.0</v>
      </c>
      <c r="B13590" s="1" t="s">
        <v>13450</v>
      </c>
      <c r="C13590" t="str">
        <f>IFERROR(__xludf.DUMMYFUNCTION("GOOGLETRANSLATE(B13590, ""zh"", ""en"")"),"A little too large for everyday wear 41, the purchase of 41 is too large, but fortunately it can wear shoes no major flaws, is the box a bit rotten")</f>
        <v>A little too large for everyday wear 41, the purchase of 41 is too large, but fortunately it can wear shoes no major flaws, is the box a bit rotten</v>
      </c>
    </row>
    <row r="13591">
      <c r="A13591" s="1">
        <v>4.0</v>
      </c>
      <c r="B13591" s="1" t="s">
        <v>13451</v>
      </c>
      <c r="C13591" t="str">
        <f>IFERROR(__xludf.DUMMYFUNCTION("GOOGLETRANSLATE(B13591, ""zh"", ""en"")"),"Simple and elegant (prices too fast) quite like it, is a little bit bigger (price too fast)")</f>
        <v>Simple and elegant (prices too fast) quite like it, is a little bit bigger (price too fast)</v>
      </c>
    </row>
    <row r="13592">
      <c r="A13592" s="1">
        <v>4.0</v>
      </c>
      <c r="B13592" s="1" t="s">
        <v>13452</v>
      </c>
      <c r="C13592" t="str">
        <f>IFERROR(__xludf.DUMMYFUNCTION("GOOGLETRANSLATE(B13592, ""zh"", ""en"")"),"Good value for money, worth having! Headphone overall good price. Half-ear design, earplugs moderate size, wear comfortable than ear, looking for a long time to find this style. Sound quality worthy of the price. Bluetooth connection is stable. I do not k"&amp;"now why so many bad review, buy later found that worry is unnecessary. Objectively speaking, the battery a little big, but the line into the back of the neck, does not affect. East cheaper than a lot of ah. It is worth to start.")</f>
        <v>Good value for money, worth having! Headphone overall good price. Half-ear design, earplugs moderate size, wear comfortable than ear, looking for a long time to find this style. Sound quality worthy of the price. Bluetooth connection is stable. I do not know why so many bad review, buy later found that worry is unnecessary. Objectively speaking, the battery a little big, but the line into the back of the neck, does not affect. East cheaper than a lot of ah. It is worth to start.</v>
      </c>
    </row>
    <row r="13593">
      <c r="A13593" s="1">
        <v>5.0</v>
      </c>
      <c r="B13593" s="1" t="s">
        <v>13453</v>
      </c>
      <c r="C13593" t="str">
        <f>IFERROR(__xludf.DUMMYFUNCTION("GOOGLETRANSLATE(B13593, ""zh"", ""en"")"),"Very satisfied with rhubarb rhubarb boots boots studied for a long time. Finally bought a yardage very fit. 6.5us what we usually wear 39 yards and a half feet. 12909 is low with. Inside there is a flannel tongue, not the cortex. Nor is it leather insole."&amp;" But relatively speaking, this 700 hand price is still very favorable.")</f>
        <v>Very satisfied with rhubarb rhubarb boots boots studied for a long time. Finally bought a yardage very fit. 6.5us what we usually wear 39 yards and a half feet. 12909 is low with. Inside there is a flannel tongue, not the cortex. Nor is it leather insole. But relatively speaking, this 700 hand price is still very favorable.</v>
      </c>
    </row>
    <row r="13594">
      <c r="A13594" s="1">
        <v>5.0</v>
      </c>
      <c r="B13594" s="1" t="s">
        <v>13454</v>
      </c>
      <c r="C13594" t="str">
        <f>IFERROR(__xludf.DUMMYFUNCTION("GOOGLETRANSLATE(B13594, ""zh"", ""en"")"),"Strongly recommend wearing comfortable, tights will not fall, not curling, still tight stovepipe, the current through the best tights")</f>
        <v>Strongly recommend wearing comfortable, tights will not fall, not curling, still tight stovepipe, the current through the best tights</v>
      </c>
    </row>
    <row r="13595">
      <c r="A13595" s="1">
        <v>5.0</v>
      </c>
      <c r="B13595" s="1" t="s">
        <v>13455</v>
      </c>
      <c r="C13595" t="str">
        <f>IFERROR(__xludf.DUMMYFUNCTION("GOOGLETRANSLATE(B13595, ""zh"", ""en"")"),"Nice shoes nice shoes, the right size, but just arrived, what it means to up to 30")</f>
        <v>Nice shoes nice shoes, the right size, but just arrived, what it means to up to 30</v>
      </c>
    </row>
    <row r="13596">
      <c r="A13596" s="1">
        <v>5.0</v>
      </c>
      <c r="B13596" s="1" t="s">
        <v>13456</v>
      </c>
      <c r="C13596" t="str">
        <f>IFERROR(__xludf.DUMMYFUNCTION("GOOGLETRANSLATE(B13596, ""zh"", ""en"")"),"Good very fine, also with a luminous effect, very much 😍")</f>
        <v>Good very fine, also with a luminous effect, very much 😍</v>
      </c>
    </row>
    <row r="13597">
      <c r="A13597" s="1">
        <v>5.0</v>
      </c>
      <c r="B13597" s="1" t="s">
        <v>13457</v>
      </c>
      <c r="C13597" t="str">
        <f>IFERROR(__xludf.DUMMYFUNCTION("GOOGLETRANSLATE(B13597, ""zh"", ""en"")"),"Cheap and easy rough work, but very easy to use, with no problems for a month")</f>
        <v>Cheap and easy rough work, but very easy to use, with no problems for a month</v>
      </c>
    </row>
    <row r="13598">
      <c r="A13598" s="1">
        <v>5.0</v>
      </c>
      <c r="B13598" s="1" t="s">
        <v>13458</v>
      </c>
      <c r="C13598" t="str">
        <f>IFERROR(__xludf.DUMMYFUNCTION("GOOGLETRANSLATE(B13598, ""zh"", ""en"")"),"Good quality good quality, and there are fleece, spring and autumn wear do not pay good")</f>
        <v>Good quality good quality, and there are fleece, spring and autumn wear do not pay good</v>
      </c>
    </row>
    <row r="13599">
      <c r="A13599" s="1">
        <v>5.0</v>
      </c>
      <c r="B13599" s="1" t="s">
        <v>13459</v>
      </c>
      <c r="C13599" t="str">
        <f>IFERROR(__xludf.DUMMYFUNCTION("GOOGLETRANSLATE(B13599, ""zh"", ""en"")"),"Slim models did not pay attention when buying good clothes, wearing feeling pretty good")</f>
        <v>Slim models did not pay attention when buying good clothes, wearing feeling pretty good</v>
      </c>
    </row>
    <row r="13600">
      <c r="A13600" s="1">
        <v>5.0</v>
      </c>
      <c r="B13600" s="1" t="s">
        <v>13460</v>
      </c>
      <c r="C13600" t="str">
        <f>IFERROR(__xludf.DUMMYFUNCTION("GOOGLETRANSLATE(B13600, ""zh"", ""en"")"),"Quality did not say, but pay attention to buy a smaller size. 175CM, 90KG, L numbers just right. A number of large number of foreigners than we are.")</f>
        <v>Quality did not say, but pay attention to buy a smaller size. 175CM, 90KG, L numbers just right. A number of large number of foreigners than we are.</v>
      </c>
    </row>
    <row r="13601">
      <c r="A13601" s="1">
        <v>5.0</v>
      </c>
      <c r="B13601" s="1" t="s">
        <v>13461</v>
      </c>
      <c r="C13601" t="str">
        <f>IFERROR(__xludf.DUMMYFUNCTION("GOOGLETRANSLATE(B13601, ""zh"", ""en"")"),"Comfort hundred percent super comfortable! Waist is too fat, just the legs, loose, tighten the waist rope sit down pain, loose trousers are too long ...... but super comfortable, thin, breathable! like very much")</f>
        <v>Comfort hundred percent super comfortable! Waist is too fat, just the legs, loose, tighten the waist rope sit down pain, loose trousers are too long ...... but super comfortable, thin, breathable! like very much</v>
      </c>
    </row>
    <row r="13602">
      <c r="A13602" s="1">
        <v>5.0</v>
      </c>
      <c r="B13602" s="1" t="s">
        <v>13462</v>
      </c>
      <c r="C13602" t="str">
        <f>IFERROR(__xludf.DUMMYFUNCTION("GOOGLETRANSLATE(B13602, ""zh"", ""en"")"),"Height, weight, size, this dress is good, it is worth starting, 185,110 kg, XL")</f>
        <v>Height, weight, size, this dress is good, it is worth starting, 185,110 kg, XL</v>
      </c>
    </row>
    <row r="13603">
      <c r="A13603" s="1">
        <v>5.0</v>
      </c>
      <c r="B13603" s="1" t="s">
        <v>13463</v>
      </c>
      <c r="C13603" t="str">
        <f>IFERROR(__xludf.DUMMYFUNCTION("GOOGLETRANSLATE(B13603, ""zh"", ""en"")"),"Well, the original. Germany, I love it.")</f>
        <v>Well, the original. Germany, I love it.</v>
      </c>
    </row>
    <row r="13604">
      <c r="A13604" s="1">
        <v>5.0</v>
      </c>
      <c r="B13604" s="1" t="s">
        <v>13464</v>
      </c>
      <c r="C13604" t="str">
        <f>IFERROR(__xludf.DUMMYFUNCTION("GOOGLETRANSLATE(B13604, ""zh"", ""en"")"),"Inexpensive what is not said, shoes are very light, very comfortable, and the size of the country, as can the price gap is too great, the price is too beautiful, Dea arrived a week awesome")</f>
        <v>Inexpensive what is not said, shoes are very light, very comfortable, and the size of the country, as can the price gap is too great, the price is too beautiful, Dea arrived a week awesome</v>
      </c>
    </row>
    <row r="13605">
      <c r="A13605" s="1">
        <v>5.0</v>
      </c>
      <c r="B13605" s="1" t="s">
        <v>13465</v>
      </c>
      <c r="C13605" t="str">
        <f>IFERROR(__xludf.DUMMYFUNCTION("GOOGLETRANSLATE(B13605, ""zh"", ""en"")"),"good quality great is the best shoes I bought, very good")</f>
        <v>good quality great is the best shoes I bought, very good</v>
      </c>
    </row>
    <row r="13606">
      <c r="A13606" s="1">
        <v>5.0</v>
      </c>
      <c r="B13606" s="1" t="s">
        <v>13466</v>
      </c>
      <c r="C13606" t="str">
        <f>IFERROR(__xludf.DUMMYFUNCTION("GOOGLETRANSLATE(B13606, ""zh"", ""en"")"),"The right size, a lot harder than it really is anti-fur sports shoes 43 yards 42 yards to buy this, wearing socks and somewhat Akira, buy a small one yard right. Prior to prime members also received my postage, very smooth after contact customer service r"&amp;"efund, customer service is absolutely praise! Out!")</f>
        <v>The right size, a lot harder than it really is anti-fur sports shoes 43 yards 42 yards to buy this, wearing socks and somewhat Akira, buy a small one yard right. Prior to prime members also received my postage, very smooth after contact customer service refund, customer service is absolutely praise! Out!</v>
      </c>
    </row>
    <row r="13607">
      <c r="A13607" s="1">
        <v>5.0</v>
      </c>
      <c r="B13607" s="1" t="s">
        <v>13467</v>
      </c>
      <c r="C13607" t="str">
        <f>IFERROR(__xludf.DUMMYFUNCTION("GOOGLETRANSLATE(B13607, ""zh"", ""en"")"),"Technology MuscleTech MuscleTech muscle muscle sustained-release technology by health muscle powder protein powder trial, I feel okay, that is too sweet.")</f>
        <v>Technology MuscleTech MuscleTech muscle muscle sustained-release technology by health muscle powder protein powder trial, I feel okay, that is too sweet.</v>
      </c>
    </row>
    <row r="13608">
      <c r="A13608" s="1">
        <v>5.0</v>
      </c>
      <c r="B13608" s="1" t="s">
        <v>13468</v>
      </c>
      <c r="C13608" t="str">
        <f>IFERROR(__xludf.DUMMYFUNCTION("GOOGLETRANSLATE(B13608, ""zh"", ""en"")"),"Seagate 4TB hard drive is not bad, you can also design, feel good, stable transmission, vibration obvious does not ring, a good, cost-effective, count postage and customs duties are still cheaper than domestic, for purchase!")</f>
        <v>Seagate 4TB hard drive is not bad, you can also design, feel good, stable transmission, vibration obvious does not ring, a good, cost-effective, count postage and customs duties are still cheaper than domestic, for purchase!</v>
      </c>
    </row>
    <row r="13609">
      <c r="A13609" s="1">
        <v>5.0</v>
      </c>
      <c r="B13609" s="1" t="s">
        <v>13469</v>
      </c>
      <c r="C13609" t="str">
        <f>IFERROR(__xludf.DUMMYFUNCTION("GOOGLETRANSLATE(B13609, ""zh"", ""en"")"),"My wife liked, behaved wife liked the style, the style very well behaved")</f>
        <v>My wife liked, behaved wife liked the style, the style very well behaved</v>
      </c>
    </row>
    <row r="13610">
      <c r="A13610" s="1">
        <v>5.0</v>
      </c>
      <c r="B13610" s="1" t="s">
        <v>13470</v>
      </c>
      <c r="C13610" t="str">
        <f>IFERROR(__xludf.DUMMYFUNCTION("GOOGLETRANSLATE(B13610, ""zh"", ""en"")"),"Happy shopping a very good quality, thick cotton materials, meticulous workmanship, very pleasant shopping experience.")</f>
        <v>Happy shopping a very good quality, thick cotton materials, meticulous workmanship, very pleasant shopping experience.</v>
      </c>
    </row>
    <row r="13611">
      <c r="A13611" s="1">
        <v>5.0</v>
      </c>
      <c r="B13611" s="1" t="s">
        <v>13471</v>
      </c>
      <c r="C13611" t="str">
        <f>IFERROR(__xludf.DUMMYFUNCTION("GOOGLETRANSLATE(B13611, ""zh"", ""en"")"),"Beautiful affordable prices, the sleeves a bit long. North of assault with unlined just right.")</f>
        <v>Beautiful affordable prices, the sleeves a bit long. North of assault with unlined just right.</v>
      </c>
    </row>
    <row r="13612">
      <c r="A13612" s="1">
        <v>5.0</v>
      </c>
      <c r="B13612" s="1" t="s">
        <v>13472</v>
      </c>
      <c r="C13612" t="str">
        <f>IFERROR(__xludf.DUMMYFUNCTION("GOOGLETRANSLATE(B13612, ""zh"", ""en"")"),"Like domestic and size, and the size of the domestic first-class quality of workmanship, like first-class quality of workmanship")</f>
        <v>Like domestic and size, and the size of the domestic first-class quality of workmanship, like first-class quality of workmanship</v>
      </c>
    </row>
    <row r="13613">
      <c r="A13613" s="1">
        <v>5.0</v>
      </c>
      <c r="B13613" s="1" t="s">
        <v>13473</v>
      </c>
      <c r="C13613" t="str">
        <f>IFERROR(__xludf.DUMMYFUNCTION("GOOGLETRANSLATE(B13613, ""zh"", ""en"")"),"Gratifying the right price")</f>
        <v>Gratifying the right price</v>
      </c>
    </row>
    <row r="13614">
      <c r="A13614" s="1">
        <v>5.0</v>
      </c>
      <c r="B13614" s="1" t="s">
        <v>13474</v>
      </c>
      <c r="C13614" t="str">
        <f>IFERROR(__xludf.DUMMYFUNCTION("GOOGLETRANSLATE(B13614, ""zh"", ""en"")"),"Suitable like summer, did not disappoint, the material is suitable for summer wear thin")</f>
        <v>Suitable like summer, did not disappoint, the material is suitable for summer wear thin</v>
      </c>
    </row>
    <row r="13615">
      <c r="A13615" s="1">
        <v>2.0</v>
      </c>
      <c r="B13615" s="1" t="s">
        <v>13475</v>
      </c>
      <c r="C13615" t="str">
        <f>IFERROR(__xludf.DUMMYFUNCTION("GOOGLETRANSLATE(B13615, ""zh"", ""en"")"),"Size Chart do not fly according to size table to buy large as a windbreaker, long time by mail, return cumbersome and costly, it would not buy the overseas purchased. Buy e-books or honest look at it!")</f>
        <v>Size Chart do not fly according to size table to buy large as a windbreaker, long time by mail, return cumbersome and costly, it would not buy the overseas purchased. Buy e-books or honest look at it!</v>
      </c>
    </row>
    <row r="13616">
      <c r="A13616" s="1">
        <v>3.0</v>
      </c>
      <c r="B13616" s="1" t="s">
        <v>13476</v>
      </c>
      <c r="C13616" t="str">
        <f>IFERROR(__xludf.DUMMYFUNCTION("GOOGLETRANSLATE(B13616, ""zh"", ""en"")"),"Speed ​​is not fast. Not worth the money. Speed ​​is not fast. Not worth the money.")</f>
        <v>Speed ​​is not fast. Not worth the money. Speed ​​is not fast. Not worth the money.</v>
      </c>
    </row>
    <row r="13617">
      <c r="A13617" s="1">
        <v>3.0</v>
      </c>
      <c r="B13617" s="1" t="s">
        <v>13477</v>
      </c>
      <c r="C13617" t="str">
        <f>IFERROR(__xludf.DUMMYFUNCTION("GOOGLETRANSLATE(B13617, ""zh"", ""en"")"),"Samsung, no quality problems, very fit. First of all, no quality problems, very fit. Left-handed chain, is really not used to, it is difficult to pull good, buckle a star; domestic, not that bad domestic, but these goods from the earth to the other half, "&amp;"also cross the border to pay customs duties, tiring, to soothe its soul, Well, then re-buckle a star guard against shock.")</f>
        <v>Samsung, no quality problems, very fit. First of all, no quality problems, very fit. Left-handed chain, is really not used to, it is difficult to pull good, buckle a star; domestic, not that bad domestic, but these goods from the earth to the other half, also cross the border to pay customs duties, tiring, to soothe its soul, Well, then re-buckle a star guard against shock.</v>
      </c>
    </row>
    <row r="13618">
      <c r="A13618" s="1">
        <v>3.0</v>
      </c>
      <c r="B13618" s="1" t="s">
        <v>13478</v>
      </c>
      <c r="C13618" t="str">
        <f>IFERROR(__xludf.DUMMYFUNCTION("GOOGLETRANSLATE(B13618, ""zh"", ""en"")"),"Small, the actual original size is 8G 8H wear UK8 is a little too large, the small UK8G")</f>
        <v>Small, the actual original size is 8G 8H wear UK8 is a little too large, the small UK8G</v>
      </c>
    </row>
    <row r="13619">
      <c r="A13619" s="1">
        <v>1.0</v>
      </c>
      <c r="B13619" s="1" t="s">
        <v>13479</v>
      </c>
      <c r="C13619" t="str">
        <f>IFERROR(__xludf.DUMMYFUNCTION("GOOGLETRANSLATE(B13619, ""zh"", ""en"")"),"Physical and picture does not match, do not buy super light color, color is not a picture, buy regret, in addition to cheap, the other that is not worth it, do not buy!")</f>
        <v>Physical and picture does not match, do not buy super light color, color is not a picture, buy regret, in addition to cheap, the other that is not worth it, do not buy!</v>
      </c>
    </row>
    <row r="13620">
      <c r="A13620" s="1">
        <v>1.0</v>
      </c>
      <c r="B13620" s="1" t="s">
        <v>13480</v>
      </c>
      <c r="C13620" t="str">
        <f>IFERROR(__xludf.DUMMYFUNCTION("GOOGLETRANSLATE(B13620, ""zh"", ""en"")"),"Election code I bought two one S, one M, M number of big, S code on the very appropriate, 171/138, fat 18")</f>
        <v>Election code I bought two one S, one M, M number of big, S code on the very appropriate, 171/138, fat 18</v>
      </c>
    </row>
    <row r="13621">
      <c r="A13621" s="1">
        <v>4.0</v>
      </c>
      <c r="B13621" s="1" t="s">
        <v>13481</v>
      </c>
      <c r="C13621" t="str">
        <f>IFERROR(__xludf.DUMMYFUNCTION("GOOGLETRANSLATE(B13621, ""zh"", ""en"")"),"A sticky-like oil is similar to something just received, packaged well, there are some things sticky surface of oil after unpacking, do not know whether the oil leak, not with the hope that easy to use")</f>
        <v>A sticky-like oil is similar to something just received, packaged well, there are some things sticky surface of oil after unpacking, do not know whether the oil leak, not with the hope that easy to use</v>
      </c>
    </row>
    <row r="13622">
      <c r="A13622" s="1">
        <v>4.0</v>
      </c>
      <c r="B13622" s="1" t="s">
        <v>13482</v>
      </c>
      <c r="C13622" t="str">
        <f>IFERROR(__xludf.DUMMYFUNCTION("GOOGLETRANSLATE(B13622, ""zh"", ""en"")"),"Ok okay, but very rough inside lid")</f>
        <v>Ok okay, but very rough inside lid</v>
      </c>
    </row>
    <row r="13623">
      <c r="A13623" s="1">
        <v>4.0</v>
      </c>
      <c r="B13623" s="1" t="s">
        <v>13483</v>
      </c>
      <c r="C13623" t="str">
        <f>IFERROR(__xludf.DUMMYFUNCTION("GOOGLETRANSLATE(B13623, ""zh"", ""en"")"),"In fact, Western Digital that money better. Not in a hurry can wait for a good price later down a Western Digital, Western Digital disk is said that good. Seagate disk replaced midway, worse. Not kind. Do not pay attention. With the okay.")</f>
        <v>In fact, Western Digital that money better. Not in a hurry can wait for a good price later down a Western Digital, Western Digital disk is said that good. Seagate disk replaced midway, worse. Not kind. Do not pay attention. With the okay.</v>
      </c>
    </row>
    <row r="13624">
      <c r="A13624" s="1">
        <v>4.0</v>
      </c>
      <c r="B13624" s="1" t="s">
        <v>13484</v>
      </c>
      <c r="C13624" t="str">
        <f>IFERROR(__xludf.DUMMYFUNCTION("GOOGLETRANSLATE(B13624, ""zh"", ""en"")"),"Very nice shoes, comfort shoes look good enough, but the shoes a little low back, foot, hard soles, the shoes but do not expect a high degree of comfort, but the way is really beautiful, praise")</f>
        <v>Very nice shoes, comfort shoes look good enough, but the shoes a little low back, foot, hard soles, the shoes but do not expect a high degree of comfort, but the way is really beautiful, praise</v>
      </c>
    </row>
    <row r="13625">
      <c r="A13625" s="1">
        <v>4.0</v>
      </c>
      <c r="B13625" s="1" t="s">
        <v>13485</v>
      </c>
      <c r="C13625" t="str">
        <f>IFERROR(__xludf.DUMMYFUNCTION("GOOGLETRANSLATE(B13625, ""zh"", ""en"")"),"Classic LOGO 168/120 L wearing a little bit loose, good-looking classic LOGO money, fabric is also good.")</f>
        <v>Classic LOGO 168/120 L wearing a little bit loose, good-looking classic LOGO money, fabric is also good.</v>
      </c>
    </row>
    <row r="13626">
      <c r="A13626" s="1">
        <v>5.0</v>
      </c>
      <c r="B13626" s="1" t="s">
        <v>13486</v>
      </c>
      <c r="C13626" t="str">
        <f>IFERROR(__xludf.DUMMYFUNCTION("GOOGLETRANSLATE(B13626, ""zh"", ""en"")"),"Good quality, but note that this big pad. Oh, little one. Good quality, but note that this big pad. Oh, little one.")</f>
        <v>Good quality, but note that this big pad. Oh, little one. Good quality, but note that this big pad. Oh, little one.</v>
      </c>
    </row>
    <row r="13627">
      <c r="A13627" s="1">
        <v>5.0</v>
      </c>
      <c r="B13627" s="1" t="s">
        <v>13487</v>
      </c>
      <c r="C13627" t="str">
        <f>IFERROR(__xludf.DUMMYFUNCTION("GOOGLETRANSLATE(B13627, ""zh"", ""en"")"),"Taste good, sensitive sensors do not put dill and green together, because hanging on the windowsill green radish is the wind blows, hand sanitizer on puff puff puff coming out, come back at night a house lemon, yes a whole bottle is gone, Fortunately, the"&amp;"re are alternate, usually placed, not because of hand shake back and forth and induction, only in a specific area sensor, something good, green radish fate is drooping branches, Kaka Ka are cut")</f>
        <v>Taste good, sensitive sensors do not put dill and green together, because hanging on the windowsill green radish is the wind blows, hand sanitizer on puff puff puff coming out, come back at night a house lemon, yes a whole bottle is gone, Fortunately, there are alternate, usually placed, not because of hand shake back and forth and induction, only in a specific area sensor, something good, green radish fate is drooping branches, Kaka Ka are cut</v>
      </c>
    </row>
    <row r="13628">
      <c r="A13628" s="1">
        <v>5.0</v>
      </c>
      <c r="B13628" s="1" t="s">
        <v>13488</v>
      </c>
      <c r="C13628" t="str">
        <f>IFERROR(__xludf.DUMMYFUNCTION("GOOGLETRANSLATE(B13628, ""zh"", ""en"")"),"Worth buying good quality, is tight-fitting models, size small.")</f>
        <v>Worth buying good quality, is tight-fitting models, size small.</v>
      </c>
    </row>
    <row r="13629">
      <c r="A13629" s="1">
        <v>5.0</v>
      </c>
      <c r="B13629" s="1" t="s">
        <v>13489</v>
      </c>
      <c r="C13629" t="str">
        <f>IFERROR(__xludf.DUMMYFUNCTION("GOOGLETRANSLATE(B13629, ""zh"", ""en"")"),"Logistics ultra-fast, a week to go. Live side when low noise, good effect, is insufficient power cord is not automatically shrink into it, do not they also been dragged out. There actually is not outside the box, get the hand when the box relatively miser"&amp;"able, inside a small plastic body abrasions.")</f>
        <v>Logistics ultra-fast, a week to go. Live side when low noise, good effect, is insufficient power cord is not automatically shrink into it, do not they also been dragged out. There actually is not outside the box, get the hand when the box relatively miserable, inside a small plastic body abrasions.</v>
      </c>
    </row>
    <row r="13630">
      <c r="A13630" s="1">
        <v>5.0</v>
      </c>
      <c r="B13630" s="1" t="s">
        <v>13490</v>
      </c>
      <c r="C13630" t="str">
        <f>IFERROR(__xludf.DUMMYFUNCTION("GOOGLETRANSLATE(B13630, ""zh"", ""en"")"),"Easy to use with affordable buy for the whole family, 8 filled with relatively low unit price of doing, not just replace distressed.")</f>
        <v>Easy to use with affordable buy for the whole family, 8 filled with relatively low unit price of doing, not just replace distressed.</v>
      </c>
    </row>
    <row r="13631">
      <c r="A13631" s="1">
        <v>5.0</v>
      </c>
      <c r="B13631" s="1" t="s">
        <v>13491</v>
      </c>
      <c r="C13631" t="str">
        <f>IFERROR(__xludf.DUMMYFUNCTION("GOOGLETRANSLATE(B13631, ""zh"", ""en"")"),"Quality and stability, a coffee just right - it is very suitable for a family of two, bean warehouse, grounds container and water tank capacity is not large, but for 34 cups of day the amount is also sufficient. Machine volume is small, less land, making "&amp;"coffee quality and stability but also high efficiency. While saying no style semi-automatic coffee machine is high, but not as good hand punch, but for every morning hurried office workers, this should be right most of the coffee solution. After the final"&amp;" say is very subjective comment, perhaps before the capsule to buy less, drinking this coffee machine made out of coffee capsules for those who really produced and nothing interested.")</f>
        <v>Quality and stability, a coffee just right - it is very suitable for a family of two, bean warehouse, grounds container and water tank capacity is not large, but for 34 cups of day the amount is also sufficient. Machine volume is small, less land, making coffee quality and stability but also high efficiency. While saying no style semi-automatic coffee machine is high, but not as good hand punch, but for every morning hurried office workers, this should be right most of the coffee solution. After the final say is very subjective comment, perhaps before the capsule to buy less, drinking this coffee machine made out of coffee capsules for those who really produced and nothing interested.</v>
      </c>
    </row>
    <row r="13632">
      <c r="A13632" s="1">
        <v>5.0</v>
      </c>
      <c r="B13632" s="1" t="s">
        <v>13492</v>
      </c>
      <c r="C13632" t="str">
        <f>IFERROR(__xludf.DUMMYFUNCTION("GOOGLETRANSLATE(B13632, ""zh"", ""en"")"),"Comments very warm, too fat legs, waist a little lost a little bit")</f>
        <v>Comments very warm, too fat legs, waist a little lost a little bit</v>
      </c>
    </row>
    <row r="13633">
      <c r="A13633" s="1">
        <v>5.0</v>
      </c>
      <c r="B13633" s="1" t="s">
        <v>13493</v>
      </c>
      <c r="C13633" t="str">
        <f>IFERROR(__xludf.DUMMYFUNCTION("GOOGLETRANSLATE(B13633, ""zh"", ""en"")"),"Very delicate arrive soon, very beautiful lamp.")</f>
        <v>Very delicate arrive soon, very beautiful lamp.</v>
      </c>
    </row>
    <row r="13634">
      <c r="A13634" s="1">
        <v>5.0</v>
      </c>
      <c r="B13634" s="1" t="s">
        <v>13494</v>
      </c>
      <c r="C13634" t="str">
        <f>IFERROR(__xludf.DUMMYFUNCTION("GOOGLETRANSLATE(B13634, ""zh"", ""en"")"),"Too small is a little small")</f>
        <v>Too small is a little small</v>
      </c>
    </row>
    <row r="13635">
      <c r="A13635" s="1">
        <v>5.0</v>
      </c>
      <c r="B13635" s="1" t="s">
        <v>13495</v>
      </c>
      <c r="C13635" t="str">
        <f>IFERROR(__xludf.DUMMYFUNCTION("GOOGLETRANSLATE(B13635, ""zh"", ""en"")"),"Once again great shopping great shopping, logistics quickly")</f>
        <v>Once again great shopping great shopping, logistics quickly</v>
      </c>
    </row>
    <row r="13636">
      <c r="A13636" s="1">
        <v>5.0</v>
      </c>
      <c r="B13636" s="1" t="s">
        <v>13496</v>
      </c>
      <c r="C13636" t="str">
        <f>IFERROR(__xludf.DUMMYFUNCTION("GOOGLETRANSLATE(B13636, ""zh"", ""en"")"),"Elastic foot, less tie 168/58, just the size, elastic good, too expensive black, gray is also acceptable, 50% wool, 200 + worth of socks, must be enough warm ah ~")</f>
        <v>Elastic foot, less tie 168/58, just the size, elastic good, too expensive black, gray is also acceptable, 50% wool, 200 + worth of socks, must be enough warm ah ~</v>
      </c>
    </row>
    <row r="13637">
      <c r="A13637" s="1">
        <v>5.0</v>
      </c>
      <c r="B13637" s="1" t="s">
        <v>13497</v>
      </c>
      <c r="C13637" t="str">
        <f>IFERROR(__xludf.DUMMYFUNCTION("GOOGLETRANSLATE(B13637, ""zh"", ""en"")"),"Cost-effective for home use, convenient and practical, cost-effective price")</f>
        <v>Cost-effective for home use, convenient and practical, cost-effective price</v>
      </c>
    </row>
    <row r="13638">
      <c r="A13638" s="1">
        <v>5.0</v>
      </c>
      <c r="B13638" s="1" t="s">
        <v>13498</v>
      </c>
      <c r="C13638" t="str">
        <f>IFERROR(__xludf.DUMMYFUNCTION("GOOGLETRANSLATE(B13638, ""zh"", ""en"")"),"Good quality scarves good color, good quality, affordable")</f>
        <v>Good quality scarves good color, good quality, affordable</v>
      </c>
    </row>
    <row r="13639">
      <c r="A13639" s="1">
        <v>5.0</v>
      </c>
      <c r="B13639" s="1" t="s">
        <v>13499</v>
      </c>
      <c r="C13639" t="str">
        <f>IFERROR(__xludf.DUMMYFUNCTION("GOOGLETRANSLATE(B13639, ""zh"", ""en"")"),"lamy2000 writing feel very good, usually for writing, the reason is spotted on Amazon to buy genuine security")</f>
        <v>lamy2000 writing feel very good, usually for writing, the reason is spotted on Amazon to buy genuine security</v>
      </c>
    </row>
    <row r="13640">
      <c r="A13640" s="1">
        <v>5.0</v>
      </c>
      <c r="B13640" s="1" t="s">
        <v>13500</v>
      </c>
      <c r="C13640" t="str">
        <f>IFERROR(__xludf.DUMMYFUNCTION("GOOGLETRANSLATE(B13640, ""zh"", ""en"")"),"Moderate size, very worried about the size issue before the quality is also very good buy, according to the Internet after careful review we do homework, decided to start with, 160,52 kg, small yards, just good. Needless to say the quality, although not a"&amp;" style, but also very comfortable, plus directed at this brand will not be bad, very suitable")</f>
        <v>Moderate size, very worried about the size issue before the quality is also very good buy, according to the Internet after careful review we do homework, decided to start with, 160,52 kg, small yards, just good. Needless to say the quality, although not a style, but also very comfortable, plus directed at this brand will not be bad, very suitable</v>
      </c>
    </row>
    <row r="13641">
      <c r="A13641" s="1">
        <v>5.0</v>
      </c>
      <c r="B13641" s="1" t="s">
        <v>13501</v>
      </c>
      <c r="C13641" t="str">
        <f>IFERROR(__xludf.DUMMYFUNCTION("GOOGLETRANSLATE(B13641, ""zh"", ""en"")"),"Packaging good to worry about packing problem completely all right, cardboard boxes wrapped product, and no damage.")</f>
        <v>Packaging good to worry about packing problem completely all right, cardboard boxes wrapped product, and no damage.</v>
      </c>
    </row>
    <row r="13642">
      <c r="A13642" s="1">
        <v>5.0</v>
      </c>
      <c r="B13642" s="1" t="s">
        <v>13502</v>
      </c>
      <c r="C13642" t="str">
        <f>IFERROR(__xludf.DUMMYFUNCTION("GOOGLETRANSLATE(B13642, ""zh"", ""en"")"),"A nice bottle wide caliber bubble milk is very convenient, Yen value is high, not afraid to fall, it only pacifier more expensive")</f>
        <v>A nice bottle wide caliber bubble milk is very convenient, Yen value is high, not afraid to fall, it only pacifier more expensive</v>
      </c>
    </row>
    <row r="13643">
      <c r="A13643" s="1">
        <v>5.0</v>
      </c>
      <c r="B13643" s="1" t="s">
        <v>13503</v>
      </c>
      <c r="C13643" t="str">
        <f>IFERROR(__xludf.DUMMYFUNCTION("GOOGLETRANSLATE(B13643, ""zh"", ""en"")"),"Genuine special good-looking and very comfortable to wear very comfortable")</f>
        <v>Genuine special good-looking and very comfortable to wear very comfortable</v>
      </c>
    </row>
    <row r="13644">
      <c r="A13644" s="1">
        <v>5.0</v>
      </c>
      <c r="B13644" s="1" t="s">
        <v>13504</v>
      </c>
      <c r="C13644" t="str">
        <f>IFERROR(__xludf.DUMMYFUNCTION("GOOGLETRANSLATE(B13644, ""zh"", ""en"")"),"Chewable tablets, practice your teeth trusted brand")</f>
        <v>Chewable tablets, practice your teeth trusted brand</v>
      </c>
    </row>
    <row r="13645">
      <c r="A13645" s="1">
        <v>5.0</v>
      </c>
      <c r="B13645" s="1" t="s">
        <v>13505</v>
      </c>
      <c r="C13645" t="str">
        <f>IFERROR(__xludf.DUMMYFUNCTION("GOOGLETRANSLATE(B13645, ""zh"", ""en"")"),"very good. Genuine and strong. Value for money, much cheaper than the mall.")</f>
        <v>very good. Genuine and strong. Value for money, much cheaper than the mall.</v>
      </c>
    </row>
    <row r="13646">
      <c r="A13646" s="1">
        <v>5.0</v>
      </c>
      <c r="B13646" s="1" t="s">
        <v>13506</v>
      </c>
      <c r="C13646" t="str">
        <f>IFERROR(__xludf.DUMMYFUNCTION("GOOGLETRANSLATE(B13646, ""zh"", ""en"")"),"Worth buying good quality")</f>
        <v>Worth buying good quality</v>
      </c>
    </row>
    <row r="13647">
      <c r="A13647" s="1">
        <v>5.0</v>
      </c>
      <c r="B13647" s="1" t="s">
        <v>13507</v>
      </c>
      <c r="C13647" t="str">
        <f>IFERROR(__xludf.DUMMYFUNCTION("GOOGLETRANSLATE(B13647, ""zh"", ""en"")"),"Really different style, enjoyed the shopping")</f>
        <v>Really different style, enjoyed the shopping</v>
      </c>
    </row>
    <row r="13648">
      <c r="A13648" s="1">
        <v>2.0</v>
      </c>
      <c r="B13648" s="1" t="s">
        <v>13508</v>
      </c>
      <c r="C13648" t="str">
        <f>IFERROR(__xludf.DUMMYFUNCTION("GOOGLETRANSLATE(B13648, ""zh"", ""en"")"),"Amazon prime praised, from order to shoes to start seven days! Modify or comment on it, looks very much like, also may be able to work a little rough, it is to wear foot can not stand ah, thought to wear for some time will be better, two months later, sti"&amp;"ll wear the foot, can not stand, the light-colored soles sandwich, can not afford to wash dirty, ugly, did not start with friends to think about! ! ! Also, the upper actually fade, wipe with a damp cloth on a fade, which could later be how to take care of"&amp;", ah, there has been a bit of a white")</f>
        <v>Amazon prime praised, from order to shoes to start seven days! Modify or comment on it, looks very much like, also may be able to work a little rough, it is to wear foot can not stand ah, thought to wear for some time will be better, two months later, still wear the foot, can not stand, the light-colored soles sandwich, can not afford to wash dirty, ugly, did not start with friends to think about! ! ! Also, the upper actually fade, wipe with a damp cloth on a fade, which could later be how to take care of, ah, there has been a bit of a white</v>
      </c>
    </row>
    <row r="13649">
      <c r="A13649" s="1">
        <v>3.0</v>
      </c>
      <c r="B13649" s="1" t="s">
        <v>13509</v>
      </c>
      <c r="C13649" t="str">
        <f>IFERROR(__xludf.DUMMYFUNCTION("GOOGLETRANSLATE(B13649, ""zh"", ""en"")"),"Not as good as expected is not as good as expected, it does not sound like a thousand dollars of goods (an East Price)")</f>
        <v>Not as good as expected is not as good as expected, it does not sound like a thousand dollars of goods (an East Price)</v>
      </c>
    </row>
    <row r="13650">
      <c r="A13650" s="1">
        <v>3.0</v>
      </c>
      <c r="B13650" s="1" t="s">
        <v>13510</v>
      </c>
      <c r="C13650" t="str">
        <f>IFERROR(__xludf.DUMMYFUNCTION("GOOGLETRANSLATE(B13650, ""zh"", ""en"")"),"This pants too loose a foreigner may be relatively sturdy bar. I have two hundred pounds, and I still think this is too loose pants, waist touches on the right, as thick legs and buckets, ugly dead.")</f>
        <v>This pants too loose a foreigner may be relatively sturdy bar. I have two hundred pounds, and I still think this is too loose pants, waist touches on the right, as thick legs and buckets, ugly dead.</v>
      </c>
    </row>
    <row r="13651">
      <c r="A13651" s="1">
        <v>1.0</v>
      </c>
      <c r="B13651" s="1" t="s">
        <v>13511</v>
      </c>
      <c r="C13651" t="str">
        <f>IFERROR(__xludf.DUMMYFUNCTION("GOOGLETRANSLATE(B13651, ""zh"", ""en"")"),"Two months on the bad, no sale, garbage Amazon this super bad, bought just two months and it broke! And there is no way to after-sales and maintenance! If you never give 0 stars to 1 star. East and treasure have a certain failure rate is not so high, it i"&amp;"s strongly recommended not to buy!")</f>
        <v>Two months on the bad, no sale, garbage Amazon this super bad, bought just two months and it broke! And there is no way to after-sales and maintenance! If you never give 0 stars to 1 star. East and treasure have a certain failure rate is not so high, it is strongly recommended not to buy!</v>
      </c>
    </row>
    <row r="13652">
      <c r="A13652" s="1">
        <v>1.0</v>
      </c>
      <c r="B13652" s="1" t="s">
        <v>13512</v>
      </c>
      <c r="C13652" t="str">
        <f>IFERROR(__xludf.DUMMYFUNCTION("GOOGLETRANSLATE(B13652, ""zh"", ""en"")"),"Defective careful to buy second-hand goods expectantly wait until the goods back by Daren experience with blisters an hour later enabled in the water during dry pen nib on paper with blue ink will not bleed at first self-comforting chances commodity inspe"&amp;"ction process ink stick when inspected when the paper towel tube into a large blue ink pen on a paper towel infiltration was disappointed to ask: Returns convenient for you?")</f>
        <v>Defective careful to buy second-hand goods expectantly wait until the goods back by Daren experience with blisters an hour later enabled in the water during dry pen nib on paper with blue ink will not bleed at first self-comforting chances commodity inspection process ink stick when inspected when the paper towel tube into a large blue ink pen on a paper towel infiltration was disappointed to ask: Returns convenient for you?</v>
      </c>
    </row>
    <row r="13653">
      <c r="A13653" s="1">
        <v>1.0</v>
      </c>
      <c r="B13653" s="1" t="s">
        <v>13513</v>
      </c>
      <c r="C13653" t="str">
        <f>IFERROR(__xludf.DUMMYFUNCTION("GOOGLETRANSLATE(B13653, ""zh"", ""en"")"),"Buy it please be careful! First of all say that I feel really pressed instep, foot pain is not enough pressure, I thought I may be able to, but when I changed only to find a pair of shoes, there is no comparison to no harm, clarks shoes, which is a spicy "&amp;"chicken, strongly recommended, in addition to appearance can also, of course, may turn fur will be soft, and you must be careful to buy! ! !")</f>
        <v>Buy it please be careful! First of all say that I feel really pressed instep, foot pain is not enough pressure, I thought I may be able to, but when I changed only to find a pair of shoes, there is no comparison to no harm, clarks shoes, which is a spicy chicken, strongly recommended, in addition to appearance can also, of course, may turn fur will be soft, and you must be careful to buy! ! !</v>
      </c>
    </row>
    <row r="13654">
      <c r="A13654" s="1">
        <v>4.0</v>
      </c>
      <c r="B13654" s="1" t="s">
        <v>13514</v>
      </c>
      <c r="C13654" t="str">
        <f>IFERROR(__xludf.DUMMYFUNCTION("GOOGLETRANSLATE(B13654, ""zh"", ""en"")"),"2 big I usually wear pants 173CM 68KG 32 fit, feel this can only wear a 30, my dad wore just fit, it is too lazy to change.")</f>
        <v>2 big I usually wear pants 173CM 68KG 32 fit, feel this can only wear a 30, my dad wore just fit, it is too lazy to change.</v>
      </c>
    </row>
    <row r="13655">
      <c r="A13655" s="1">
        <v>4.0</v>
      </c>
      <c r="B13655" s="1" t="s">
        <v>13515</v>
      </c>
      <c r="C13655" t="str">
        <f>IFERROR(__xludf.DUMMYFUNCTION("GOOGLETRANSLATE(B13655, ""zh"", ""en"")"),"Pants can also be the first time to buy things on Amazon Shanghai, but feel okay, that is a long time point")</f>
        <v>Pants can also be the first time to buy things on Amazon Shanghai, but feel okay, that is a long time point</v>
      </c>
    </row>
    <row r="13656">
      <c r="A13656" s="1">
        <v>4.0</v>
      </c>
      <c r="B13656" s="1" t="s">
        <v>13516</v>
      </c>
      <c r="C13656" t="str">
        <f>IFERROR(__xludf.DUMMYFUNCTION("GOOGLETRANSLATE(B13656, ""zh"", ""en"")"),"Missed just need the lowest price, did not catch the lowest price, will use it")</f>
        <v>Missed just need the lowest price, did not catch the lowest price, will use it</v>
      </c>
    </row>
    <row r="13657">
      <c r="A13657" s="1">
        <v>4.0</v>
      </c>
      <c r="B13657" s="1" t="s">
        <v>13517</v>
      </c>
      <c r="C13657" t="str">
        <f>IFERROR(__xludf.DUMMYFUNCTION("GOOGLETRANSLATE(B13657, ""zh"", ""en"")"),"Do not know from what the United States can also be sent, do not know whether it was sent by the United States, bought several things, United States and Asia are commodities, divided the two parcels, but wrapped in plastic bags, not boxes, it is I wondere"&amp;"d if the United States sent colleagues also bought a few, are cardboard boxes sent, a little worried!")</f>
        <v>Do not know from what the United States can also be sent, do not know whether it was sent by the United States, bought several things, United States and Asia are commodities, divided the two parcels, but wrapped in plastic bags, not boxes, it is I wondered if the United States sent colleagues also bought a few, are cardboard boxes sent, a little worried!</v>
      </c>
    </row>
    <row r="13658">
      <c r="A13658" s="1">
        <v>5.0</v>
      </c>
      <c r="B13658" s="1" t="s">
        <v>13518</v>
      </c>
      <c r="C13658" t="str">
        <f>IFERROR(__xludf.DUMMYFUNCTION("GOOGLETRANSLATE(B13658, ""zh"", ""en"")"),"SHOES quality fine, the size is too small, foot length 25.5cm, a bit crowded 26, the proposed large number 1-2")</f>
        <v>SHOES quality fine, the size is too small, foot length 25.5cm, a bit crowded 26, the proposed large number 1-2</v>
      </c>
    </row>
    <row r="13659">
      <c r="A13659" s="1">
        <v>5.0</v>
      </c>
      <c r="B13659" s="1" t="s">
        <v>13519</v>
      </c>
      <c r="C13659" t="str">
        <f>IFERROR(__xludf.DUMMYFUNCTION("GOOGLETRANSLATE(B13659, ""zh"", ""en"")"),"Well during pregnancy can ease with pubic pain, postpartum still stick with hope can ease. Taobao lot cheaper than")</f>
        <v>Well during pregnancy can ease with pubic pain, postpartum still stick with hope can ease. Taobao lot cheaper than</v>
      </c>
    </row>
    <row r="13660">
      <c r="A13660" s="1">
        <v>5.0</v>
      </c>
      <c r="B13660" s="1" t="s">
        <v>13520</v>
      </c>
      <c r="C13660" t="str">
        <f>IFERROR(__xludf.DUMMYFUNCTION("GOOGLETRANSLATE(B13660, ""zh"", ""en"")"),"Very comfortable, warm and good. Very soft and very warm.")</f>
        <v>Very comfortable, warm and good. Very soft and very warm.</v>
      </c>
    </row>
    <row r="13661">
      <c r="A13661" s="1">
        <v>5.0</v>
      </c>
      <c r="B13661" s="1" t="s">
        <v>13521</v>
      </c>
      <c r="C13661" t="str">
        <f>IFERROR(__xludf.DUMMYFUNCTION("GOOGLETRANSLATE(B13661, ""zh"", ""en"")"),"High cost thin and light and warm, very good")</f>
        <v>High cost thin and light and warm, very good</v>
      </c>
    </row>
    <row r="13662">
      <c r="A13662" s="1">
        <v>5.0</v>
      </c>
      <c r="B13662" s="1" t="s">
        <v>13522</v>
      </c>
      <c r="C13662" t="str">
        <f>IFERROR(__xludf.DUMMYFUNCTION("GOOGLETRANSLATE(B13662, ""zh"", ""en"")"),"Good results haircuts good results, but requires separate treatment sideburns. Taobao purchasing expensive than the price 40 to 50 yuan")</f>
        <v>Good results haircuts good results, but requires separate treatment sideburns. Taobao purchasing expensive than the price 40 to 50 yuan</v>
      </c>
    </row>
    <row r="13663">
      <c r="A13663" s="1">
        <v>5.0</v>
      </c>
      <c r="B13663" s="1" t="s">
        <v>13523</v>
      </c>
      <c r="C13663" t="str">
        <f>IFERROR(__xludf.DUMMYFUNCTION("GOOGLETRANSLATE(B13663, ""zh"", ""en"")"),"Good shopping experience as waist size and domestic, legs slightly wider than the average domestic a little straight, 45cm look")</f>
        <v>Good shopping experience as waist size and domestic, legs slightly wider than the average domestic a little straight, 45cm look</v>
      </c>
    </row>
    <row r="13664">
      <c r="A13664" s="1">
        <v>5.0</v>
      </c>
      <c r="B13664" s="1" t="s">
        <v>13524</v>
      </c>
      <c r="C13664" t="str">
        <f>IFERROR(__xludf.DUMMYFUNCTION("GOOGLETRANSLATE(B13664, ""zh"", ""en"")"),"like. Very fast delivery, arrived five days is very light, portable, no odor. Color quite like this, if it is matte are perfect")</f>
        <v>like. Very fast delivery, arrived five days is very light, portable, no odor. Color quite like this, if it is matte are perfect</v>
      </c>
    </row>
    <row r="13665">
      <c r="A13665" s="1">
        <v>5.0</v>
      </c>
      <c r="B13665" s="1" t="s">
        <v>13525</v>
      </c>
      <c r="C13665" t="str">
        <f>IFERROR(__xludf.DUMMYFUNCTION("GOOGLETRANSLATE(B13665, ""zh"", ""en"")"),"Kettle good 👍, worth buying, texture, than domestic brands much better.")</f>
        <v>Kettle good 👍, worth buying, texture, than domestic brands much better.</v>
      </c>
    </row>
    <row r="13666">
      <c r="A13666" s="1">
        <v>5.0</v>
      </c>
      <c r="B13666" s="1" t="s">
        <v>13526</v>
      </c>
      <c r="C13666" t="str">
        <f>IFERROR(__xludf.DUMMYFUNCTION("GOOGLETRANSLATE(B13666, ""zh"", ""en"")"),"Well 182CM, weight 80KG, L number can 😊")</f>
        <v>Well 182CM, weight 80KG, L number can 😊</v>
      </c>
    </row>
    <row r="13667">
      <c r="A13667" s="1">
        <v>5.0</v>
      </c>
      <c r="B13667" s="1" t="s">
        <v>13527</v>
      </c>
      <c r="C13667" t="str">
        <f>IFERROR(__xludf.DUMMYFUNCTION("GOOGLETRANSLATE(B13667, ""zh"", ""en"")"),"Very personal wear very comfortable, just started a little narrow sleeves, after wearing just fine.")</f>
        <v>Very personal wear very comfortable, just started a little narrow sleeves, after wearing just fine.</v>
      </c>
    </row>
    <row r="13668">
      <c r="A13668" s="1">
        <v>5.0</v>
      </c>
      <c r="B13668" s="1" t="s">
        <v>12516</v>
      </c>
      <c r="C13668" t="str">
        <f>IFERROR(__xludf.DUMMYFUNCTION("GOOGLETRANSLATE(B13668, ""zh"", ""en"")"),"Good wife is very satisfied")</f>
        <v>Good wife is very satisfied</v>
      </c>
    </row>
    <row r="13669">
      <c r="A13669" s="1">
        <v>5.0</v>
      </c>
      <c r="B13669" s="1" t="s">
        <v>13528</v>
      </c>
      <c r="C13669" t="str">
        <f>IFERROR(__xludf.DUMMYFUNCTION("GOOGLETRANSLATE(B13669, ""zh"", ""en"")"),"Comfort comfortable 😌 full stretch ......")</f>
        <v>Comfort comfortable 😌 full stretch ......</v>
      </c>
    </row>
    <row r="13670">
      <c r="A13670" s="1">
        <v>5.0</v>
      </c>
      <c r="B13670" s="1" t="s">
        <v>13529</v>
      </c>
      <c r="C13670" t="str">
        <f>IFERROR(__xludf.DUMMYFUNCTION("GOOGLETRANSLATE(B13670, ""zh"", ""en"")"),"Suitable quite warm, just wear this day")</f>
        <v>Suitable quite warm, just wear this day</v>
      </c>
    </row>
    <row r="13671">
      <c r="A13671" s="1">
        <v>5.0</v>
      </c>
      <c r="B13671" s="1" t="s">
        <v>13530</v>
      </c>
      <c r="C13671" t="str">
        <f>IFERROR(__xludf.DUMMYFUNCTION("GOOGLETRANSLATE(B13671, ""zh"", ""en"")"),"Very very awesome bottle, much cheaper than the store, and a treasure. Genuine oh.")</f>
        <v>Very very awesome bottle, much cheaper than the store, and a treasure. Genuine oh.</v>
      </c>
    </row>
    <row r="13672">
      <c r="A13672" s="1">
        <v>5.0</v>
      </c>
      <c r="B13672" s="1" t="s">
        <v>13531</v>
      </c>
      <c r="C13672" t="str">
        <f>IFERROR(__xludf.DUMMYFUNCTION("GOOGLETRANSLATE(B13672, ""zh"", ""en"")"),"Need to listen very flat because it is not 600 Europe pulled off 0.5 points headset, I can only say that this reason is not worth listening do not understand, do not mess Review")</f>
        <v>Need to listen very flat because it is not 600 Europe pulled off 0.5 points headset, I can only say that this reason is not worth listening do not understand, do not mess Review</v>
      </c>
    </row>
    <row r="13673">
      <c r="A13673" s="1">
        <v>5.0</v>
      </c>
      <c r="B13673" s="1" t="s">
        <v>13532</v>
      </c>
      <c r="C13673" t="str">
        <f>IFERROR(__xludf.DUMMYFUNCTION("GOOGLETRANSLATE(B13673, ""zh"", ""en"")"),"Drink, the taste really good I do not know is not the same formula, but I would say that, over the United States and Asia can 12🈷 room temperature is about 15 degrees water brewing, but no bread cake, and domestic official agent under the same conditions"&amp;", but there will be agglomeration (the taste is different, the last official domestic drainage chocolate flavors).")</f>
        <v>Drink, the taste really good I do not know is not the same formula, but I would say that, over the United States and Asia can 12🈷 room temperature is about 15 degrees water brewing, but no bread cake, and domestic official agent under the same conditions, but there will be agglomeration (the taste is different, the last official domestic drainage chocolate flavors).</v>
      </c>
    </row>
    <row r="13674">
      <c r="A13674" s="1">
        <v>5.0</v>
      </c>
      <c r="B13674" s="1" t="s">
        <v>13533</v>
      </c>
      <c r="C13674" t="str">
        <f>IFERROR(__xludf.DUMMYFUNCTION("GOOGLETRANSLATE(B13674, ""zh"", ""en"")"),"Rubber very much, very clean and polished, the future will continue to buy.")</f>
        <v>Rubber very much, very clean and polished, the future will continue to buy.</v>
      </c>
    </row>
    <row r="13675">
      <c r="A13675" s="1">
        <v>5.0</v>
      </c>
      <c r="B13675" s="1" t="s">
        <v>13534</v>
      </c>
      <c r="C13675" t="str">
        <f>IFERROR(__xludf.DUMMYFUNCTION("GOOGLETRANSLATE(B13675, ""zh"", ""en"")"),"Very good with very practical cutlery, good good")</f>
        <v>Very good with very practical cutlery, good good</v>
      </c>
    </row>
    <row r="13676">
      <c r="A13676" s="1">
        <v>5.0</v>
      </c>
      <c r="B13676" s="1" t="s">
        <v>6578</v>
      </c>
      <c r="C13676" t="str">
        <f>IFERROR(__xludf.DUMMYFUNCTION("GOOGLETRANSLATE(B13676, ""zh"", ""en"")"),"Good fabric to wear very comfortable, very good to wear.")</f>
        <v>Good fabric to wear very comfortable, very good to wear.</v>
      </c>
    </row>
    <row r="13677">
      <c r="A13677" s="1">
        <v>5.0</v>
      </c>
      <c r="B13677" s="1" t="s">
        <v>13535</v>
      </c>
      <c r="C13677" t="str">
        <f>IFERROR(__xludf.DUMMYFUNCTION("GOOGLETRANSLATE(B13677, ""zh"", ""en"")"),"Good quality 174,72kg, just the right size. Good quality")</f>
        <v>Good quality 174,72kg, just the right size. Good quality</v>
      </c>
    </row>
    <row r="13678">
      <c r="A13678" s="1">
        <v>5.0</v>
      </c>
      <c r="B13678" s="1" t="s">
        <v>13536</v>
      </c>
      <c r="C13678" t="str">
        <f>IFERROR(__xludf.DUMMYFUNCTION("GOOGLETRANSLATE(B13678, ""zh"", ""en"")"),"Ha ha ha very good fabric. Texture. Not limp")</f>
        <v>Ha ha ha very good fabric. Texture. Not limp</v>
      </c>
    </row>
    <row r="13679">
      <c r="A13679" s="1">
        <v>5.0</v>
      </c>
      <c r="B13679" s="1" t="s">
        <v>13537</v>
      </c>
      <c r="C13679" t="str">
        <f>IFERROR(__xludf.DUMMYFUNCTION("GOOGLETRANSLATE(B13679, ""zh"", ""en"")"),"Biom fancy shoes well, but did not feel biom series have much of a difference.")</f>
        <v>Biom fancy shoes well, but did not feel biom series have much of a difference.</v>
      </c>
    </row>
    <row r="13680">
      <c r="A13680" s="1">
        <v>2.0</v>
      </c>
      <c r="B13680" s="1" t="s">
        <v>13538</v>
      </c>
      <c r="C13680" t="str">
        <f>IFERROR(__xludf.DUMMYFUNCTION("GOOGLETRANSLATE(B13680, ""zh"", ""en"")"),"Usually wear the day pilling")</f>
        <v>Usually wear the day pilling</v>
      </c>
    </row>
    <row r="13681">
      <c r="A13681" s="1">
        <v>3.0</v>
      </c>
      <c r="B13681" s="1" t="s">
        <v>13539</v>
      </c>
      <c r="C13681" t="str">
        <f>IFERROR(__xludf.DUMMYFUNCTION("GOOGLETRANSLATE(B13681, ""zh"", ""en"")"),"Size Chart error reviewed the size of large users to see, but that size is relative, there should be more accurate size chart. And buy the US version of the clothes are worn S. US version is the standard size chart size. But clothes version is the Asian v"&amp;"ersion. I do not understand.")</f>
        <v>Size Chart error reviewed the size of large users to see, but that size is relative, there should be more accurate size chart. And buy the US version of the clothes are worn S. US version is the standard size chart size. But clothes version is the Asian version. I do not understand.</v>
      </c>
    </row>
    <row r="13682">
      <c r="A13682" s="1">
        <v>3.0</v>
      </c>
      <c r="B13682" s="1" t="s">
        <v>13540</v>
      </c>
      <c r="C13682" t="str">
        <f>IFERROR(__xludf.DUMMYFUNCTION("GOOGLETRANSLATE(B13682, ""zh"", ""en"")"),"Hard as rock hard as stone, although not a high-level goods do not so be it")</f>
        <v>Hard as rock hard as stone, although not a high-level goods do not so be it</v>
      </c>
    </row>
    <row r="13683">
      <c r="A13683" s="1">
        <v>3.0</v>
      </c>
      <c r="B13683" s="1" t="s">
        <v>13541</v>
      </c>
      <c r="C13683" t="str">
        <f>IFERROR(__xludf.DUMMYFUNCTION("GOOGLETRANSLATE(B13683, ""zh"", ""en"")"),"Casio is not good imagination, so the more than 100")</f>
        <v>Casio is not good imagination, so the more than 100</v>
      </c>
    </row>
    <row r="13684">
      <c r="A13684" s="1">
        <v>1.0</v>
      </c>
      <c r="B13684" s="1" t="s">
        <v>13542</v>
      </c>
      <c r="C13684" t="str">
        <f>IFERROR(__xludf.DUMMYFUNCTION("GOOGLETRANSLATE(B13684, ""zh"", ""en"")"),"Plastic taste very big! Plastic taste very, very disappointed. Dare to use ah")</f>
        <v>Plastic taste very big! Plastic taste very, very disappointed. Dare to use ah</v>
      </c>
    </row>
    <row r="13685">
      <c r="A13685" s="1">
        <v>1.0</v>
      </c>
      <c r="B13685" s="1" t="s">
        <v>13543</v>
      </c>
      <c r="C13685" t="str">
        <f>IFERROR(__xludf.DUMMYFUNCTION("GOOGLETRANSLATE(B13685, ""zh"", ""en"")"),"Very poor cloth very hard, like plastic, very fat pants, put on the body very funny, determined not to recommend the purchase")</f>
        <v>Very poor cloth very hard, like plastic, very fat pants, put on the body very funny, determined not to recommend the purchase</v>
      </c>
    </row>
    <row r="13686">
      <c r="A13686" s="1">
        <v>4.0</v>
      </c>
      <c r="B13686" s="1" t="s">
        <v>13544</v>
      </c>
      <c r="C13686" t="str">
        <f>IFERROR(__xludf.DUMMYFUNCTION("GOOGLETRANSLATE(B13686, ""zh"", ""en"")"),". . . true and false? Hard to imagine, but to say the original packaging is broken for you to re-package it yourself. . . Genuine doubt ah.")</f>
        <v>. . . true and false? Hard to imagine, but to say the original packaging is broken for you to re-package it yourself. . . Genuine doubt ah.</v>
      </c>
    </row>
    <row r="13687">
      <c r="A13687" s="1">
        <v>4.0</v>
      </c>
      <c r="B13687" s="1" t="s">
        <v>13545</v>
      </c>
      <c r="C13687" t="str">
        <f>IFERROR(__xludf.DUMMYFUNCTION("GOOGLETRANSLATE(B13687, ""zh"", ""en"")"),"Fabric comfortable fabric is thin, the right size.")</f>
        <v>Fabric comfortable fabric is thin, the right size.</v>
      </c>
    </row>
    <row r="13688">
      <c r="A13688" s="1">
        <v>4.0</v>
      </c>
      <c r="B13688" s="1" t="s">
        <v>13546</v>
      </c>
      <c r="C13688" t="str">
        <f>IFERROR(__xludf.DUMMYFUNCTION("GOOGLETRANSLATE(B13688, ""zh"", ""en"")"),"Shoe firm, Volkswagen.")</f>
        <v>Shoe firm, Volkswagen.</v>
      </c>
    </row>
    <row r="13689">
      <c r="A13689" s="1">
        <v>4.0</v>
      </c>
      <c r="B13689" s="1" t="s">
        <v>13547</v>
      </c>
      <c r="C13689" t="str">
        <f>IFERROR(__xludf.DUMMYFUNCTION("GOOGLETRANSLATE(B13689, ""zh"", ""en"")"),"Before some rough contrast write out the word buy EF obviously a lot of thick, a little closer to the stars before buying F tip, because you do not see this pen nib models do not know made a mistake. A little regret.")</f>
        <v>Before some rough contrast write out the word buy EF obviously a lot of thick, a little closer to the stars before buying F tip, because you do not see this pen nib models do not know made a mistake. A little regret.</v>
      </c>
    </row>
    <row r="13690">
      <c r="A13690" s="1">
        <v>4.0</v>
      </c>
      <c r="B13690" s="1" t="s">
        <v>13548</v>
      </c>
      <c r="C13690" t="str">
        <f>IFERROR(__xludf.DUMMYFUNCTION("GOOGLETRANSLATE(B13690, ""zh"", ""en"")"),"The hard thing, a matter of luck new 10t, six times the number of electricity, are about 200m 0 Hours, read and write speed, sweeping ten minutes and found no bad sectors, there are air cushion packaging earthquake, to a four-star, it should be from Hong "&amp;"Kong Free Trade Zone to the courier to three days, issued SF, to praise")</f>
        <v>The hard thing, a matter of luck new 10t, six times the number of electricity, are about 200m 0 Hours, read and write speed, sweeping ten minutes and found no bad sectors, there are air cushion packaging earthquake, to a four-star, it should be from Hong Kong Free Trade Zone to the courier to three days, issued SF, to praise</v>
      </c>
    </row>
    <row r="13691">
      <c r="A13691" s="1">
        <v>5.0</v>
      </c>
      <c r="B13691" s="1" t="s">
        <v>13549</v>
      </c>
      <c r="C13691" t="str">
        <f>IFERROR(__xludf.DUMMYFUNCTION("GOOGLETRANSLATE(B13691, ""zh"", ""en"")"),"High cost cheaper than domestic flagship store in half, in fact, the lowest such brush with a little difference, do not understand why the country's worst model can buy a 40, a one-time buy 10, I believe that electric tooth-brush scrapped it.")</f>
        <v>High cost cheaper than domestic flagship store in half, in fact, the lowest such brush with a little difference, do not understand why the country's worst model can buy a 40, a one-time buy 10, I believe that electric tooth-brush scrapped it.</v>
      </c>
    </row>
    <row r="13692">
      <c r="A13692" s="1">
        <v>5.0</v>
      </c>
      <c r="B13692" s="1" t="s">
        <v>13550</v>
      </c>
      <c r="C13692" t="str">
        <f>IFERROR(__xludf.DUMMYFUNCTION("GOOGLETRANSLATE(B13692, ""zh"", ""en"")"),"Low-level errors completely wrong, I bought a collar, as shown, but sent me a hoodie. An unpleasant shopping")</f>
        <v>Low-level errors completely wrong, I bought a collar, as shown, but sent me a hoodie. An unpleasant shopping</v>
      </c>
    </row>
    <row r="13693">
      <c r="A13693" s="1">
        <v>5.0</v>
      </c>
      <c r="B13693" s="1" t="s">
        <v>13551</v>
      </c>
      <c r="C13693" t="str">
        <f>IFERROR(__xludf.DUMMYFUNCTION("GOOGLETRANSLATE(B13693, ""zh"", ""en"")"),"Large fine thread woven elastic, elastic great, good color, ready to buy a pair?")</f>
        <v>Large fine thread woven elastic, elastic great, good color, ready to buy a pair?</v>
      </c>
    </row>
    <row r="13694">
      <c r="A13694" s="1">
        <v>5.0</v>
      </c>
      <c r="B13694" s="1" t="s">
        <v>13552</v>
      </c>
      <c r="C13694" t="str">
        <f>IFERROR(__xludf.DUMMYFUNCTION("GOOGLETRANSLATE(B13694, ""zh"", ""en"")"),"Very suitable for 200 yuan, took a total of two, this is one size colors are appropriate. Another still have not shipped, canceled.")</f>
        <v>Very suitable for 200 yuan, took a total of two, this is one size colors are appropriate. Another still have not shipped, canceled.</v>
      </c>
    </row>
    <row r="13695">
      <c r="A13695" s="1">
        <v>5.0</v>
      </c>
      <c r="B13695" s="1" t="s">
        <v>13553</v>
      </c>
      <c r="C13695" t="str">
        <f>IFERROR(__xludf.DUMMYFUNCTION("GOOGLETRANSLATE(B13695, ""zh"", ""en"")"),"Affordable 1. yardage: in strict accordance with the US code it wants to buy (small one yard to buy than China code). 2. Material: synthetic, perspiration permeability are very good. 3. Style: An old blue, hem belong to the kind of long.")</f>
        <v>Affordable 1. yardage: in strict accordance with the US code it wants to buy (small one yard to buy than China code). 2. Material: synthetic, perspiration permeability are very good. 3. Style: An old blue, hem belong to the kind of long.</v>
      </c>
    </row>
    <row r="13696">
      <c r="A13696" s="1">
        <v>5.0</v>
      </c>
      <c r="B13696" s="1" t="s">
        <v>13554</v>
      </c>
      <c r="C13696" t="str">
        <f>IFERROR(__xludf.DUMMYFUNCTION("GOOGLETRANSLATE(B13696, ""zh"", ""en"")"),"Bottle bowl material is great, stress-free insulation, the appearance of super like!")</f>
        <v>Bottle bowl material is great, stress-free insulation, the appearance of super like!</v>
      </c>
    </row>
    <row r="13697">
      <c r="A13697" s="1">
        <v>5.0</v>
      </c>
      <c r="B13697" s="1" t="s">
        <v>13555</v>
      </c>
      <c r="C13697" t="str">
        <f>IFERROR(__xludf.DUMMYFUNCTION("GOOGLETRANSLATE(B13697, ""zh"", ""en"")"),"Worth having to buy his wife, she was very fond of.")</f>
        <v>Worth having to buy his wife, she was very fond of.</v>
      </c>
    </row>
    <row r="13698">
      <c r="A13698" s="1">
        <v>5.0</v>
      </c>
      <c r="B13698" s="1" t="s">
        <v>13556</v>
      </c>
      <c r="C13698" t="str">
        <f>IFERROR(__xludf.DUMMYFUNCTION("GOOGLETRANSLATE(B13698, ""zh"", ""en"")"),"Large bottle should be used for a long time now. Wash out the bowl very bright, enhance well-being.")</f>
        <v>Large bottle should be used for a long time now. Wash out the bowl very bright, enhance well-being.</v>
      </c>
    </row>
    <row r="13699">
      <c r="A13699" s="1">
        <v>5.0</v>
      </c>
      <c r="B13699" s="1" t="s">
        <v>13557</v>
      </c>
      <c r="C13699" t="str">
        <f>IFERROR(__xludf.DUMMYFUNCTION("GOOGLETRANSLATE(B13699, ""zh"", ""en"")"),"Comfortable size of the subject is not very accurate, buy big, gave my mother wore")</f>
        <v>Comfortable size of the subject is not very accurate, buy big, gave my mother wore</v>
      </c>
    </row>
    <row r="13700">
      <c r="A13700" s="1">
        <v>5.0</v>
      </c>
      <c r="B13700" s="1" t="s">
        <v>13558</v>
      </c>
      <c r="C13700" t="str">
        <f>IFERROR(__xludf.DUMMYFUNCTION("GOOGLETRANSLATE(B13700, ""zh"", ""en"")"),"After receipt of the reference size is satisfied, good shoes, wide enough, 255 feet long, 42 feet fat everyday wear, it is selected from the 7.5uk No. 41.5, wear is appropriate. For reference. Shoes are very thick for winter! Especially in the south water"&amp;"proof no problem, outside Harbin in winter it is not very long, then you can! To counter 1400, 527 into the Amazon. Amazon tricky, decisive purchase a membership!")</f>
        <v>After receipt of the reference size is satisfied, good shoes, wide enough, 255 feet long, 42 feet fat everyday wear, it is selected from the 7.5uk No. 41.5, wear is appropriate. For reference. Shoes are very thick for winter! Especially in the south waterproof no problem, outside Harbin in winter it is not very long, then you can! To counter 1400, 527 into the Amazon. Amazon tricky, decisive purchase a membership!</v>
      </c>
    </row>
    <row r="13701">
      <c r="A13701" s="1">
        <v>5.0</v>
      </c>
      <c r="B13701" s="1" t="s">
        <v>13559</v>
      </c>
      <c r="C13701" t="str">
        <f>IFERROR(__xludf.DUMMYFUNCTION("GOOGLETRANSLATE(B13701, ""zh"", ""en"")"),"Super comfortable to help colleagues to buy, he was very satisfied with the shoes I have tried, really super comfortable to wear")</f>
        <v>Super comfortable to help colleagues to buy, he was very satisfied with the shoes I have tried, really super comfortable to wear</v>
      </c>
    </row>
    <row r="13702">
      <c r="A13702" s="1">
        <v>5.0</v>
      </c>
      <c r="B13702" s="1" t="s">
        <v>13560</v>
      </c>
      <c r="C13702" t="str">
        <f>IFERROR(__xludf.DUMMYFUNCTION("GOOGLETRANSLATE(B13702, ""zh"", ""en"")"),"Straight jeans too fat below the knee, below the knee buyers pay attention too fat, estimated to be wrong for me to understand it straight jeans. good quality")</f>
        <v>Straight jeans too fat below the knee, below the knee buyers pay attention too fat, estimated to be wrong for me to understand it straight jeans. good quality</v>
      </c>
    </row>
    <row r="13703">
      <c r="A13703" s="1">
        <v>5.0</v>
      </c>
      <c r="B13703" s="1" t="s">
        <v>13561</v>
      </c>
      <c r="C13703" t="str">
        <f>IFERROR(__xludf.DUMMYFUNCTION("GOOGLETRANSLATE(B13703, ""zh"", ""en"")"),"Top grade waistline 2 feet 5, 32 domestic code, the country code and the same size, very appropriate, very comfortable and relaxed style, Slim style than those of, not the kind of fat is very much better, very satisfied!")</f>
        <v>Top grade waistline 2 feet 5, 32 domestic code, the country code and the same size, very appropriate, very comfortable and relaxed style, Slim style than those of, not the kind of fat is very much better, very satisfied!</v>
      </c>
    </row>
    <row r="13704">
      <c r="A13704" s="1">
        <v>5.0</v>
      </c>
      <c r="B13704" s="1" t="s">
        <v>13562</v>
      </c>
      <c r="C13704" t="str">
        <f>IFERROR(__xludf.DUMMYFUNCTION("GOOGLETRANSLATE(B13704, ""zh"", ""en"")"),"Satisfaction very good, very satisfied! thank!")</f>
        <v>Satisfaction very good, very satisfied! thank!</v>
      </c>
    </row>
    <row r="13705">
      <c r="A13705" s="1">
        <v>5.0</v>
      </c>
      <c r="B13705" s="1" t="s">
        <v>13563</v>
      </c>
      <c r="C13705" t="str">
        <f>IFERROR(__xludf.DUMMYFUNCTION("GOOGLETRANSLATE(B13705, ""zh"", ""en"")"),"ua T-shirt material is commendable! The right size! 178 75kg m of code exactly! ua T-shirt material is commendable! The right size! 178 75kg m of code exactly!")</f>
        <v>ua T-shirt material is commendable! The right size! 178 75kg m of code exactly! ua T-shirt material is commendable! The right size! 178 75kg m of code exactly!</v>
      </c>
    </row>
    <row r="13706">
      <c r="A13706" s="1">
        <v>5.0</v>
      </c>
      <c r="B13706" s="1" t="s">
        <v>13564</v>
      </c>
      <c r="C13706" t="str">
        <f>IFERROR(__xludf.DUMMYFUNCTION("GOOGLETRANSLATE(B13706, ""zh"", ""en"")"),"Seagate Seagate Expansion desktop external hard drive series 5TB second purchase, received today, and quickly tried a little, no problem, quality, trustworthy! Logistics speed rapidly, hand a week packed tightly wrapped, no bump.")</f>
        <v>Seagate Seagate Expansion desktop external hard drive series 5TB second purchase, received today, and quickly tried a little, no problem, quality, trustworthy! Logistics speed rapidly, hand a week packed tightly wrapped, no bump.</v>
      </c>
    </row>
    <row r="13707">
      <c r="A13707" s="1">
        <v>5.0</v>
      </c>
      <c r="B13707" s="1" t="s">
        <v>13565</v>
      </c>
      <c r="C13707" t="str">
        <f>IFERROR(__xludf.DUMMYFUNCTION("GOOGLETRANSLATE(B13707, ""zh"", ""en"")"),"Cheap, fast logistics, good authentic experience. Deep love for the Amazon. I know this is very strange, but irrepressible happy to get the first day of work after a business trip, not earlier, not later, less than a week for delivery speed particularly s"&amp;"atisfied, seems to be five days.")</f>
        <v>Cheap, fast logistics, good authentic experience. Deep love for the Amazon. I know this is very strange, but irrepressible happy to get the first day of work after a business trip, not earlier, not later, less than a week for delivery speed particularly satisfied, seems to be five days.</v>
      </c>
    </row>
    <row r="13708">
      <c r="A13708" s="1">
        <v>5.0</v>
      </c>
      <c r="B13708" s="1" t="s">
        <v>13566</v>
      </c>
      <c r="C13708" t="str">
        <f>IFERROR(__xludf.DUMMYFUNCTION("GOOGLETRANSLATE(B13708, ""zh"", ""en"")"),"Nice nice cutlery very cute! Color is great! Yan mother will buy value.")</f>
        <v>Nice nice cutlery very cute! Color is great! Yan mother will buy value.</v>
      </c>
    </row>
    <row r="13709">
      <c r="A13709" s="1">
        <v>5.0</v>
      </c>
      <c r="B13709" s="1" t="s">
        <v>13567</v>
      </c>
      <c r="C13709" t="str">
        <f>IFERROR(__xludf.DUMMYFUNCTION("GOOGLETRANSLATE(B13709, ""zh"", ""en"")"),"Very comfortable, very comfortable soles slippery, slippery soles")</f>
        <v>Very comfortable, very comfortable soles slippery, slippery soles</v>
      </c>
    </row>
    <row r="13710">
      <c r="A13710" s="1">
        <v>5.0</v>
      </c>
      <c r="B13710" s="1" t="s">
        <v>13568</v>
      </c>
      <c r="C13710" t="str">
        <f>IFERROR(__xludf.DUMMYFUNCTION("GOOGLETRANSLATE(B13710, ""zh"", ""en"")"),"Very good, still want to buy 173,80 kg, legs a little tight, others are okay. Fabric soft, very good, the absolute value of. 33w30l")</f>
        <v>Very good, still want to buy 173,80 kg, legs a little tight, others are okay. Fabric soft, very good, the absolute value of. 33w30l</v>
      </c>
    </row>
    <row r="13711">
      <c r="A13711" s="1">
        <v>5.0</v>
      </c>
      <c r="B13711" s="1" t="s">
        <v>13569</v>
      </c>
      <c r="C13711" t="str">
        <f>IFERROR(__xludf.DUMMYFUNCTION("GOOGLETRANSLATE(B13711, ""zh"", ""en"")"),"Yan high value, high sound small color value, small voice, functional and practical, to improve the quality of life and fun. Use a transformer. There are small problems, quickly resolve customer service, customer service is very satisfied.")</f>
        <v>Yan high value, high sound small color value, small voice, functional and practical, to improve the quality of life and fun. Use a transformer. There are small problems, quickly resolve customer service, customer service is very satisfied.</v>
      </c>
    </row>
    <row r="13712">
      <c r="A13712" s="1">
        <v>5.0</v>
      </c>
      <c r="B13712" s="1" t="s">
        <v>13570</v>
      </c>
      <c r="C13712" t="str">
        <f>IFERROR(__xludf.DUMMYFUNCTION("GOOGLETRANSLATE(B13712, ""zh"", ""en"")"),"Personal comfort humane wear very comfortable, personal, inside the sponge as well as text prompts on the right to the left for easy removal before and after laundry")</f>
        <v>Personal comfort humane wear very comfortable, personal, inside the sponge as well as text prompts on the right to the left for easy removal before and after laundry</v>
      </c>
    </row>
    <row r="13713">
      <c r="A13713" s="1">
        <v>2.0</v>
      </c>
      <c r="B13713" s="1" t="s">
        <v>13571</v>
      </c>
      <c r="C13713" t="str">
        <f>IFERROR(__xludf.DUMMYFUNCTION("GOOGLETRANSLATE(B13713, ""zh"", ""en"")"),"Inventory, packaging rough appearance too old, the packaging is very rough, a look at the instructions in July 2015")</f>
        <v>Inventory, packaging rough appearance too old, the packaging is very rough, a look at the instructions in July 2015</v>
      </c>
    </row>
    <row r="13714">
      <c r="A13714" s="1">
        <v>3.0</v>
      </c>
      <c r="B13714" s="1" t="s">
        <v>13572</v>
      </c>
      <c r="C13714" t="str">
        <f>IFERROR(__xludf.DUMMYFUNCTION("GOOGLETRANSLATE(B13714, ""zh"", ""en"")"),"Too small, something will come out too small, not practical, so the fire can not understand why, in fact, very easy to use ah garlic acetabulum")</f>
        <v>Too small, something will come out too small, not practical, so the fire can not understand why, in fact, very easy to use ah garlic acetabulum</v>
      </c>
    </row>
    <row r="13715">
      <c r="A13715" s="1">
        <v>3.0</v>
      </c>
      <c r="B13715" s="1" t="s">
        <v>13573</v>
      </c>
      <c r="C13715" t="str">
        <f>IFERROR(__xludf.DUMMYFUNCTION("GOOGLETRANSLATE(B13715, ""zh"", ""en"")"),"It folds obvious to see so many praise to buy, really good when received, but after several folds wearing very clear, very significant old, difficult to maintain")</f>
        <v>It folds obvious to see so many praise to buy, really good when received, but after several folds wearing very clear, very significant old, difficult to maintain</v>
      </c>
    </row>
    <row r="13716">
      <c r="A13716" s="1">
        <v>1.0</v>
      </c>
      <c r="B13716" s="1" t="s">
        <v>13574</v>
      </c>
      <c r="C13716" t="str">
        <f>IFERROR(__xludf.DUMMYFUNCTION("GOOGLETRANSLATE(B13716, ""zh"", ""en"")"),"Be sure to check well in July bought on the throw, the South these days is getting cold to wear just the right, and found two holes left 䄂 child.")</f>
        <v>Be sure to check well in July bought on the throw, the South these days is getting cold to wear just the right, and found two holes left 䄂 child.</v>
      </c>
    </row>
    <row r="13717">
      <c r="A13717" s="1">
        <v>1.0</v>
      </c>
      <c r="B13717" s="1" t="s">
        <v>13575</v>
      </c>
      <c r="C13717" t="str">
        <f>IFERROR(__xludf.DUMMYFUNCTION("GOOGLETRANSLATE(B13717, ""zh"", ""en"")"),"Advent products in October 2018 due, which did not explain the details of goods, get the goods were in May, the decisive application for return. The section did not apply for more than a month back, contact customer service, actually said two months is co"&amp;"nsidered Advent products, wisdom provisions of the King Oh! Amazon really getting garbage ~! Apply online return instructions reason, Amazon has agreed, and the goods taken away. When I apply for either of you do not agree to return, and agreed to reclaim"&amp;" it is now several meanings! Rubbish!")</f>
        <v>Advent products in October 2018 due, which did not explain the details of goods, get the goods were in May, the decisive application for return. The section did not apply for more than a month back, contact customer service, actually said two months is considered Advent products, wisdom provisions of the King Oh! Amazon really getting garbage ~! Apply online return instructions reason, Amazon has agreed, and the goods taken away. When I apply for either of you do not agree to return, and agreed to reclaim it is now several meanings! Rubbish!</v>
      </c>
    </row>
    <row r="13718">
      <c r="A13718" s="1">
        <v>1.0</v>
      </c>
      <c r="B13718" s="1" t="s">
        <v>13576</v>
      </c>
      <c r="C13718" t="str">
        <f>IFERROR(__xludf.DUMMYFUNCTION("GOOGLETRANSLATE(B13718, ""zh"", ""en"")"),"You can give it zero? Winning, various defects can give it zero? Winning, various defects")</f>
        <v>You can give it zero? Winning, various defects can give it zero? Winning, various defects</v>
      </c>
    </row>
    <row r="13719">
      <c r="A13719" s="1">
        <v>4.0</v>
      </c>
      <c r="B13719" s="1" t="s">
        <v>13577</v>
      </c>
      <c r="C13719" t="str">
        <f>IFERROR(__xludf.DUMMYFUNCTION("GOOGLETRANSLATE(B13719, ""zh"", ""en"")"),"Fortunately, like this brand, comfortable to wear.")</f>
        <v>Fortunately, like this brand, comfortable to wear.</v>
      </c>
    </row>
    <row r="13720">
      <c r="A13720" s="1">
        <v>4.0</v>
      </c>
      <c r="B13720" s="1" t="s">
        <v>13578</v>
      </c>
      <c r="C13720" t="str">
        <f>IFERROR(__xludf.DUMMYFUNCTION("GOOGLETRANSLATE(B13720, ""zh"", ""en"")"),"It may also be larger than the greater amount of")</f>
        <v>It may also be larger than the greater amount of</v>
      </c>
    </row>
    <row r="13721">
      <c r="A13721" s="1">
        <v>4.0</v>
      </c>
      <c r="B13721" s="1" t="s">
        <v>13579</v>
      </c>
      <c r="C13721" t="str">
        <f>IFERROR(__xludf.DUMMYFUNCTION("GOOGLETRANSLATE(B13721, ""zh"", ""en"")"),"Note that there is no British-petal silica gel pad British-plugs have different mental preparation, and did not expect Bank Negara less than a pad of silica gel petals also, in addition to sucking mouth did not cover easy to get into ash. Breast pump itse"&amp;"lf is very good, double the frequency of the intensity of regulation, the results were good")</f>
        <v>Note that there is no British-petal silica gel pad British-plugs have different mental preparation, and did not expect Bank Negara less than a pad of silica gel petals also, in addition to sucking mouth did not cover easy to get into ash. Breast pump itself is very good, double the frequency of the intensity of regulation, the results were good</v>
      </c>
    </row>
    <row r="13722">
      <c r="A13722" s="1">
        <v>4.0</v>
      </c>
      <c r="B13722" s="1" t="s">
        <v>13580</v>
      </c>
      <c r="C13722" t="str">
        <f>IFERROR(__xludf.DUMMYFUNCTION("GOOGLETRANSLATE(B13722, ""zh"", ""en"")"),"Volume capacity is too small is too small, but looks and quality are good, sending the supporting tube set, this value before buying, Made in China.")</f>
        <v>Volume capacity is too small is too small, but looks and quality are good, sending the supporting tube set, this value before buying, Made in China.</v>
      </c>
    </row>
    <row r="13723">
      <c r="A13723" s="1">
        <v>4.0</v>
      </c>
      <c r="B13723" s="1" t="s">
        <v>13581</v>
      </c>
      <c r="C13723" t="str">
        <f>IFERROR(__xludf.DUMMYFUNCTION("GOOGLETRANSLATE(B13723, ""zh"", ""en"")"),"Large color photographs with a large color difference between big fairly comfortable to wear")</f>
        <v>Large color photographs with a large color difference between big fairly comfortable to wear</v>
      </c>
    </row>
    <row r="13724">
      <c r="A13724" s="1">
        <v>5.0</v>
      </c>
      <c r="B13724" s="1" t="s">
        <v>13582</v>
      </c>
      <c r="C13724" t="str">
        <f>IFERROR(__xludf.DUMMYFUNCTION("GOOGLETRANSLATE(B13724, ""zh"", ""en"")"),"Very beautiful workmanship is very good, a look that is authentic")</f>
        <v>Very beautiful workmanship is very good, a look that is authentic</v>
      </c>
    </row>
    <row r="13725">
      <c r="A13725" s="1">
        <v>5.0</v>
      </c>
      <c r="B13725" s="1" t="s">
        <v>13583</v>
      </c>
      <c r="C13725" t="str">
        <f>IFERROR(__xludf.DUMMYFUNCTION("GOOGLETRANSLATE(B13725, ""zh"", ""en"")"),"And it can also be of the same size domestic, affordable")</f>
        <v>And it can also be of the same size domestic, affordable</v>
      </c>
    </row>
    <row r="13726">
      <c r="A13726" s="1">
        <v>5.0</v>
      </c>
      <c r="B13726" s="1" t="s">
        <v>13584</v>
      </c>
      <c r="C13726" t="str">
        <f>IFERROR(__xludf.DUMMYFUNCTION("GOOGLETRANSLATE(B13726, ""zh"", ""en"")"),"Good things can not buy something that is easy to use a glass bowl with lid")</f>
        <v>Good things can not buy something that is easy to use a glass bowl with lid</v>
      </c>
    </row>
    <row r="13727">
      <c r="A13727" s="1">
        <v>5.0</v>
      </c>
      <c r="B13727" s="1" t="s">
        <v>13585</v>
      </c>
      <c r="C13727" t="str">
        <f>IFERROR(__xludf.DUMMYFUNCTION("GOOGLETRANSLATE(B13727, ""zh"", ""en"")"),"More appropriate to refer back to a friend's comment, 174/70 kg, buy the S number is just the right size. Feel, the quality is pretty good")</f>
        <v>More appropriate to refer back to a friend's comment, 174/70 kg, buy the S number is just the right size. Feel, the quality is pretty good</v>
      </c>
    </row>
    <row r="13728">
      <c r="A13728" s="1">
        <v>5.0</v>
      </c>
      <c r="B13728" s="1" t="s">
        <v>13586</v>
      </c>
      <c r="C13728" t="str">
        <f>IFERROR(__xludf.DUMMYFUNCTION("GOOGLETRANSLATE(B13728, ""zh"", ""en"")"),"Express quickly, the quality can be quality should be genuine, buy special products to participate")</f>
        <v>Express quickly, the quality can be quality should be genuine, buy special products to participate</v>
      </c>
    </row>
    <row r="13729">
      <c r="A13729" s="1">
        <v>5.0</v>
      </c>
      <c r="B13729" s="1" t="s">
        <v>13587</v>
      </c>
      <c r="C13729" t="str">
        <f>IFERROR(__xludf.DUMMYFUNCTION("GOOGLETRANSLATE(B13729, ""zh"", ""en"")"),"Very suitable 188,100kg, wear xl, very suitable")</f>
        <v>Very suitable 188,100kg, wear xl, very suitable</v>
      </c>
    </row>
    <row r="13730">
      <c r="A13730" s="1">
        <v>5.0</v>
      </c>
      <c r="B13730" s="1" t="s">
        <v>13588</v>
      </c>
      <c r="C13730" t="str">
        <f>IFERROR(__xludf.DUMMYFUNCTION("GOOGLETRANSLATE(B13730, ""zh"", ""en"")"),"For children to develop the habit of brushing loud, and there is no charge warning lamp, convenient")</f>
        <v>For children to develop the habit of brushing loud, and there is no charge warning lamp, convenient</v>
      </c>
    </row>
    <row r="13731">
      <c r="A13731" s="1">
        <v>5.0</v>
      </c>
      <c r="B13731" s="1" t="s">
        <v>13589</v>
      </c>
      <c r="C13731" t="str">
        <f>IFERROR(__xludf.DUMMYFUNCTION("GOOGLETRANSLATE(B13731, ""zh"", ""en"")"),"Beautiful genuine price, compared to the domestic counter or Lynx Jingdong and so cheap.")</f>
        <v>Beautiful genuine price, compared to the domestic counter or Lynx Jingdong and so cheap.</v>
      </c>
    </row>
    <row r="13732">
      <c r="A13732" s="1">
        <v>5.0</v>
      </c>
      <c r="B13732" s="1" t="s">
        <v>13590</v>
      </c>
      <c r="C13732" t="str">
        <f>IFERROR(__xludf.DUMMYFUNCTION("GOOGLETRANSLATE(B13732, ""zh"", ""en"")"),"How little thin it? A lot less than before to buy thick dilute")</f>
        <v>How little thin it? A lot less than before to buy thick dilute</v>
      </c>
    </row>
    <row r="13733">
      <c r="A13733" s="1">
        <v>5.0</v>
      </c>
      <c r="B13733" s="1" t="s">
        <v>13591</v>
      </c>
      <c r="C13733" t="str">
        <f>IFERROR(__xludf.DUMMYFUNCTION("GOOGLETRANSLATE(B13733, ""zh"", ""en"")"),"Nice shoes nice shoes, stop thick, suitable for winter wear")</f>
        <v>Nice shoes nice shoes, stop thick, suitable for winter wear</v>
      </c>
    </row>
    <row r="13734">
      <c r="A13734" s="1">
        <v>5.0</v>
      </c>
      <c r="B13734" s="1" t="s">
        <v>13592</v>
      </c>
      <c r="C13734" t="str">
        <f>IFERROR(__xludf.DUMMYFUNCTION("GOOGLETRANSLATE(B13734, ""zh"", ""en"")"),"US overseas purchase the Amazon rapidly ah, the next single after 🇺🇸 week after delivery of goods right size, comfortable, thumbs up 👍")</f>
        <v>US overseas purchase the Amazon rapidly ah, the next single after 🇺🇸 week after delivery of goods right size, comfortable, thumbs up 👍</v>
      </c>
    </row>
    <row r="13735">
      <c r="A13735" s="1">
        <v>5.0</v>
      </c>
      <c r="B13735" s="1" t="s">
        <v>13593</v>
      </c>
      <c r="C13735" t="str">
        <f>IFERROR(__xludf.DUMMYFUNCTION("GOOGLETRANSLATE(B13735, ""zh"", ""en"")"),"Good thick fabric, in general, is good")</f>
        <v>Good thick fabric, in general, is good</v>
      </c>
    </row>
    <row r="13736">
      <c r="A13736" s="1">
        <v>5.0</v>
      </c>
      <c r="B13736" s="1" t="s">
        <v>13594</v>
      </c>
      <c r="C13736" t="str">
        <f>IFERROR(__xludf.DUMMYFUNCTION("GOOGLETRANSLATE(B13736, ""zh"", ""en"")"),"There are also good thin cashmere, slim than summer models. Partial black ash. It can be considered satisfactory.")</f>
        <v>There are also good thin cashmere, slim than summer models. Partial black ash. It can be considered satisfactory.</v>
      </c>
    </row>
    <row r="13737">
      <c r="A13737" s="1">
        <v>5.0</v>
      </c>
      <c r="B13737" s="1" t="s">
        <v>13595</v>
      </c>
      <c r="C13737" t="str">
        <f>IFERROR(__xludf.DUMMYFUNCTION("GOOGLETRANSLATE(B13737, ""zh"", ""en"")"),"Very good cost-effective, suitable for old computer upgrades")</f>
        <v>Very good cost-effective, suitable for old computer upgrades</v>
      </c>
    </row>
    <row r="13738">
      <c r="A13738" s="1">
        <v>5.0</v>
      </c>
      <c r="B13738" s="1" t="s">
        <v>13596</v>
      </c>
      <c r="C13738" t="str">
        <f>IFERROR(__xludf.DUMMYFUNCTION("GOOGLETRANSLATE(B13738, ""zh"", ""en"")"),"Fabric comfortable to buy slightly larger, and his wife sometimes take your pants off together, comfortable material")</f>
        <v>Fabric comfortable to buy slightly larger, and his wife sometimes take your pants off together, comfortable material</v>
      </c>
    </row>
    <row r="13739">
      <c r="A13739" s="1">
        <v>5.0</v>
      </c>
      <c r="B13739" s="1" t="s">
        <v>13597</v>
      </c>
      <c r="C13739" t="str">
        <f>IFERROR(__xludf.DUMMYFUNCTION("GOOGLETRANSLATE(B13739, ""zh"", ""en"")"),"Belts received good packaging is simple, perhaps abroad pay more attention to environmental protection bar. I 2 feet 6 waist, bought 34 yards, just the five holes in a hole in the middle line, it is very suitable. Personal feeling good belt, should be use"&amp;"d for several years, with jeans or casual pants very good.")</f>
        <v>Belts received good packaging is simple, perhaps abroad pay more attention to environmental protection bar. I 2 feet 6 waist, bought 34 yards, just the five holes in a hole in the middle line, it is very suitable. Personal feeling good belt, should be used for several years, with jeans or casual pants very good.</v>
      </c>
    </row>
    <row r="13740">
      <c r="A13740" s="1">
        <v>5.0</v>
      </c>
      <c r="B13740" s="1" t="s">
        <v>13598</v>
      </c>
      <c r="C13740" t="str">
        <f>IFERROR(__xludf.DUMMYFUNCTION("GOOGLETRANSLATE(B13740, ""zh"", ""en"")"),"174㎝, 65㎏ relatively high 174㎝ fit, heavy 65㎏, wear more appropriate, tight fabric, a bit thin, more than a point to start, more cost effective!")</f>
        <v>174㎝, 65㎏ relatively high 174㎝ fit, heavy 65㎏, wear more appropriate, tight fabric, a bit thin, more than a point to start, more cost effective!</v>
      </c>
    </row>
    <row r="13741">
      <c r="A13741" s="1">
        <v>5.0</v>
      </c>
      <c r="B13741" s="1" t="s">
        <v>13599</v>
      </c>
      <c r="C13741" t="str">
        <f>IFERROR(__xludf.DUMMYFUNCTION("GOOGLETRANSLATE(B13741, ""zh"", ""en"")"),"Size S code, 168cm, 70kg dress size just right, a little longer. Very good quality clothes, very comfortable to wear body.")</f>
        <v>Size S code, 168cm, 70kg dress size just right, a little longer. Very good quality clothes, very comfortable to wear body.</v>
      </c>
    </row>
    <row r="13742">
      <c r="A13742" s="1">
        <v>5.0</v>
      </c>
      <c r="B13742" s="1" t="s">
        <v>13600</v>
      </c>
      <c r="C13742" t="str">
        <f>IFERROR(__xludf.DUMMYFUNCTION("GOOGLETRANSLATE(B13742, ""zh"", ""en"")"),"Warm, though not high feather, warm is good. 170 * 67, S code suitable")</f>
        <v>Warm, though not high feather, warm is good. 170 * 67, S code suitable</v>
      </c>
    </row>
    <row r="13743">
      <c r="A13743" s="1">
        <v>5.0</v>
      </c>
      <c r="B13743" s="1" t="s">
        <v>13601</v>
      </c>
      <c r="C13743" t="str">
        <f>IFERROR(__xludf.DUMMYFUNCTION("GOOGLETRANSLATE(B13743, ""zh"", ""en"")"),"Skillet the first time, feel good, non-stick pan, fry the raw steak")</f>
        <v>Skillet the first time, feel good, non-stick pan, fry the raw steak</v>
      </c>
    </row>
    <row r="13744">
      <c r="A13744" s="1">
        <v>5.0</v>
      </c>
      <c r="B13744" s="1" t="s">
        <v>13602</v>
      </c>
      <c r="C13744" t="str">
        <f>IFERROR(__xludf.DUMMYFUNCTION("GOOGLETRANSLATE(B13744, ""zh"", ""en"")"),"Yes get our hands on, practical, very fine, but the packaging and basin are not producing country")</f>
        <v>Yes get our hands on, practical, very fine, but the packaging and basin are not producing country</v>
      </c>
    </row>
    <row r="13745">
      <c r="A13745" s="1">
        <v>2.0</v>
      </c>
      <c r="B13745" s="1" t="s">
        <v>13603</v>
      </c>
      <c r="C13745" t="str">
        <f>IFERROR(__xludf.DUMMYFUNCTION("GOOGLETRANSLATE(B13745, ""zh"", ""en"")"),"Well no doubt genuine, super like, I fulfilled my dream of Martin")</f>
        <v>Well no doubt genuine, super like, I fulfilled my dream of Martin</v>
      </c>
    </row>
    <row r="13746">
      <c r="A13746" s="1">
        <v>3.0</v>
      </c>
      <c r="B13746" s="1" t="s">
        <v>13604</v>
      </c>
      <c r="C13746" t="str">
        <f>IFERROR(__xludf.DUMMYFUNCTION("GOOGLETRANSLATE(B13746, ""zh"", ""en"")"),"US version s code feeling to buy bigger clothes really worried the US version than the L code, code number XS another little yardage allowed and sometimes a larger and sometimes two yards too large")</f>
        <v>US version s code feeling to buy bigger clothes really worried the US version than the L code, code number XS another little yardage allowed and sometimes a larger and sometimes two yards too large</v>
      </c>
    </row>
    <row r="13747">
      <c r="A13747" s="1">
        <v>3.0</v>
      </c>
      <c r="B13747" s="1" t="s">
        <v>13605</v>
      </c>
      <c r="C13747" t="str">
        <f>IFERROR(__xludf.DUMMYFUNCTION("GOOGLETRANSLATE(B13747, ""zh"", ""en"")"),"Many fabrics generally like it, actually cooler than the domestic version of the book. Logo cuff is attached, washed several times turned out, amazing. em ..... not recommended not stop buying, hundred price is actually less than Uniqlo.")</f>
        <v>Many fabrics generally like it, actually cooler than the domestic version of the book. Logo cuff is attached, washed several times turned out, amazing. em ..... not recommended not stop buying, hundred price is actually less than Uniqlo.</v>
      </c>
    </row>
    <row r="13748">
      <c r="A13748" s="1">
        <v>3.0</v>
      </c>
      <c r="B13748" s="1" t="s">
        <v>13606</v>
      </c>
      <c r="C13748" t="str">
        <f>IFERROR(__xludf.DUMMYFUNCTION("GOOGLETRANSLATE(B13748, ""zh"", ""en"")"),"Packaging is the packaging too simple to be improved, I hope to improve with the box, the flat all the time, but fortunately, is a silicone baby bottle 😂 ... the price is very cheap")</f>
        <v>Packaging is the packaging too simple to be improved, I hope to improve with the box, the flat all the time, but fortunately, is a silicone baby bottle 😂 ... the price is very cheap</v>
      </c>
    </row>
    <row r="13749">
      <c r="A13749" s="1">
        <v>1.0</v>
      </c>
      <c r="B13749" s="1" t="s">
        <v>13607</v>
      </c>
      <c r="C13749" t="str">
        <f>IFERROR(__xludf.DUMMYFUNCTION("GOOGLETRANSLATE(B13749, ""zh"", ""en"")"),"Poor is too large a lot of thought about a shirt two labels, but also hidden in the armpit, silent")</f>
        <v>Poor is too large a lot of thought about a shirt two labels, but also hidden in the armpit, silent</v>
      </c>
    </row>
    <row r="13750">
      <c r="A13750" s="1">
        <v>1.0</v>
      </c>
      <c r="B13750" s="1" t="s">
        <v>13608</v>
      </c>
      <c r="C13750" t="str">
        <f>IFERROR(__xludf.DUMMYFUNCTION("GOOGLETRANSLATE(B13750, ""zh"", ""en"")"),"After 16 glycerol glamor appearance is very wear shoes stinks. Defects, glycerol 16 after wearing stinks, there are no people like me. Before, she wore glycerol 15 I feel very good, this 16 feeling bad, will not be fake.")</f>
        <v>After 16 glycerol glamor appearance is very wear shoes stinks. Defects, glycerol 16 after wearing stinks, there are no people like me. Before, she wore glycerol 15 I feel very good, this 16 feeling bad, will not be fake.</v>
      </c>
    </row>
    <row r="13751">
      <c r="A13751" s="1">
        <v>1.0</v>
      </c>
      <c r="B13751" s="1" t="s">
        <v>13609</v>
      </c>
      <c r="C13751" t="str">
        <f>IFERROR(__xludf.DUMMYFUNCTION("GOOGLETRANSLATE(B13751, ""zh"", ""en"")"),"Wrong size, the high cost of replacement wrong size, the high cost of replacement")</f>
        <v>Wrong size, the high cost of replacement wrong size, the high cost of replacement</v>
      </c>
    </row>
    <row r="13752">
      <c r="A13752" s="1">
        <v>4.0</v>
      </c>
      <c r="B13752" s="1" t="s">
        <v>13610</v>
      </c>
      <c r="C13752" t="str">
        <f>IFERROR(__xludf.DUMMYFUNCTION("GOOGLETRANSLATE(B13752, ""zh"", ""en"")"),"Flexible, elastic pants loose trousers, liberal bias, length a little bit slightly larger than domestic. He said tapered trousers actually still very large. 188,90kg, 36/34 a little bit long, 36/33 exactly estimated.")</f>
        <v>Flexible, elastic pants loose trousers, liberal bias, length a little bit slightly larger than domestic. He said tapered trousers actually still very large. 188,90kg, 36/34 a little bit long, 36/33 exactly estimated.</v>
      </c>
    </row>
    <row r="13753">
      <c r="A13753" s="1">
        <v>4.0</v>
      </c>
      <c r="B13753" s="1" t="s">
        <v>13611</v>
      </c>
      <c r="C13753" t="str">
        <f>IFERROR(__xludf.DUMMYFUNCTION("GOOGLETRANSLATE(B13753, ""zh"", ""en"")"),"Sounds good, simple packaging, courier services wind up poor, should be no sense of bass that are more resistant to listen, wearing more comfortable, not boom head")</f>
        <v>Sounds good, simple packaging, courier services wind up poor, should be no sense of bass that are more resistant to listen, wearing more comfortable, not boom head</v>
      </c>
    </row>
    <row r="13754">
      <c r="A13754" s="1">
        <v>4.0</v>
      </c>
      <c r="B13754" s="1" t="s">
        <v>13612</v>
      </c>
      <c r="C13754" t="str">
        <f>IFERROR(__xludf.DUMMYFUNCTION("GOOGLETRANSLATE(B13754, ""zh"", ""en"")"),"It is recommended really great. Materials can be.")</f>
        <v>It is recommended really great. Materials can be.</v>
      </c>
    </row>
    <row r="13755">
      <c r="A13755" s="1">
        <v>4.0</v>
      </c>
      <c r="B13755" s="1" t="s">
        <v>13613</v>
      </c>
      <c r="C13755" t="str">
        <f>IFERROR(__xludf.DUMMYFUNCTION("GOOGLETRANSLATE(B13755, ""zh"", ""en"")"),"Packing a little old ah good stuff, is used to seal the box of transparent plastic little old, others are pretty good, saying I had with Sony sound quality almost, not Fort, treble a little tip. .")</f>
        <v>Packing a little old ah good stuff, is used to seal the box of transparent plastic little old, others are pretty good, saying I had with Sony sound quality almost, not Fort, treble a little tip. .</v>
      </c>
    </row>
    <row r="13756">
      <c r="A13756" s="1">
        <v>4.0</v>
      </c>
      <c r="B13756" s="1" t="s">
        <v>13614</v>
      </c>
      <c r="C13756" t="str">
        <f>IFERROR(__xludf.DUMMYFUNCTION("GOOGLETRANSLATE(B13756, ""zh"", ""en"")"),"A sub-price for a half a sub-price for, a number of small")</f>
        <v>A sub-price for a half a sub-price for, a number of small</v>
      </c>
    </row>
    <row r="13757">
      <c r="A13757" s="1">
        <v>5.0</v>
      </c>
      <c r="B13757" s="1" t="s">
        <v>13615</v>
      </c>
      <c r="C13757" t="str">
        <f>IFERROR(__xludf.DUMMYFUNCTION("GOOGLETRANSLATE(B13757, ""zh"", ""en"")"),"U disk is also good speed is also good, feel good, that is, the label is a sticker of a little disappointed, hoping to change the laser engraving the better")</f>
        <v>U disk is also good speed is also good, feel good, that is, the label is a sticker of a little disappointed, hoping to change the laser engraving the better</v>
      </c>
    </row>
    <row r="13758">
      <c r="A13758" s="1">
        <v>5.0</v>
      </c>
      <c r="B13758" s="1" t="s">
        <v>13616</v>
      </c>
      <c r="C13758" t="str">
        <f>IFERROR(__xludf.DUMMYFUNCTION("GOOGLETRANSLATE(B13758, ""zh"", ""en"")"),"The price is very good quality very good, or very good, should be genuine, produced in India, for the first time scouring the sea, logistics or quickly, about five days of it, very satisfied.")</f>
        <v>The price is very good quality very good, or very good, should be genuine, produced in India, for the first time scouring the sea, logistics or quickly, about five days of it, very satisfied.</v>
      </c>
    </row>
    <row r="13759">
      <c r="A13759" s="1">
        <v>5.0</v>
      </c>
      <c r="B13759" s="1" t="s">
        <v>13617</v>
      </c>
      <c r="C13759" t="str">
        <f>IFERROR(__xludf.DUMMYFUNCTION("GOOGLETRANSLATE(B13759, ""zh"", ""en"")"),"Like you can order very satisfied with friends ~ ~ attention when making milk foam with cold milk, it will not splashing so obvious, others are very satisfied ~")</f>
        <v>Like you can order very satisfied with friends ~ ~ attention when making milk foam with cold milk, it will not splashing so obvious, others are very satisfied ~</v>
      </c>
    </row>
    <row r="13760">
      <c r="A13760" s="1">
        <v>5.0</v>
      </c>
      <c r="B13760" s="1" t="s">
        <v>13618</v>
      </c>
      <c r="C13760" t="str">
        <f>IFERROR(__xludf.DUMMYFUNCTION("GOOGLETRANSLATE(B13760, ""zh"", ""en"")"),"Shoe size a little a little bit big addition to the shoe size a little too large, no other problems. My feet long 24.5 cm, shot 8 yards, a little bit big. For reference")</f>
        <v>Shoe size a little a little bit big addition to the shoe size a little too large, no other problems. My feet long 24.5 cm, shot 8 yards, a little bit big. For reference</v>
      </c>
    </row>
    <row r="13761">
      <c r="A13761" s="1">
        <v>5.0</v>
      </c>
      <c r="B13761" s="1" t="s">
        <v>13619</v>
      </c>
      <c r="C13761" t="str">
        <f>IFERROR(__xludf.DUMMYFUNCTION("GOOGLETRANSLATE(B13761, ""zh"", ""en"")"),"Da club inexpensive, great, 8 can be slightly long.")</f>
        <v>Da club inexpensive, great, 8 can be slightly long.</v>
      </c>
    </row>
    <row r="13762">
      <c r="A13762" s="1">
        <v>5.0</v>
      </c>
      <c r="B13762" s="1" t="s">
        <v>13620</v>
      </c>
      <c r="C13762" t="str">
        <f>IFERROR(__xludf.DUMMYFUNCTION("GOOGLETRANSLATE(B13762, ""zh"", ""en"")"),"Quality is very important very good! Cotton reaches 95%, bottoming wear very comfortable!")</f>
        <v>Quality is very important very good! Cotton reaches 95%, bottoming wear very comfortable!</v>
      </c>
    </row>
    <row r="13763">
      <c r="A13763" s="1">
        <v>5.0</v>
      </c>
      <c r="B13763" s="1" t="s">
        <v>13621</v>
      </c>
      <c r="C13763" t="str">
        <f>IFERROR(__xludf.DUMMYFUNCTION("GOOGLETRANSLATE(B13763, ""zh"", ""en"")"),"Very satisfied with the very good, very appropriate! !")</f>
        <v>Very satisfied with the very good, very appropriate! !</v>
      </c>
    </row>
    <row r="13764">
      <c r="A13764" s="1">
        <v>5.0</v>
      </c>
      <c r="B13764" s="1" t="s">
        <v>13622</v>
      </c>
      <c r="C13764" t="str">
        <f>IFERROR(__xludf.DUMMYFUNCTION("GOOGLETRANSLATE(B13764, ""zh"", ""en"")"),"Protein powder taste and effect of this protein powder no domestic sales, it added ingredients to suppress appetite, before lunch or dinner and a half to one hour to drink a spoonful of the amount, obviously the elimination of hunger, but if you still wan"&amp;"t to eat other food also eat it, no problem digesting aspects. In fact, a large amount of exercise for people who are otherwise add more carbohydrates should (I am a long-distance running, 300km of physical activity per month), if you exercise less, just "&amp;"started losing weight, you can use these ingredients to control appetite, reduce fat to achieve better results. Very easily soluble protein powder mix, taste good, lubricating and easy to drink. Express close but received only a half months, the proposed "&amp;"packaging material increases cushioning member, plastic bottles almost damaged in transit.")</f>
        <v>Protein powder taste and effect of this protein powder no domestic sales, it added ingredients to suppress appetite, before lunch or dinner and a half to one hour to drink a spoonful of the amount, obviously the elimination of hunger, but if you still want to eat other food also eat it, no problem digesting aspects. In fact, a large amount of exercise for people who are otherwise add more carbohydrates should (I am a long-distance running, 300km of physical activity per month), if you exercise less, just started losing weight, you can use these ingredients to control appetite, reduce fat to achieve better results. Very easily soluble protein powder mix, taste good, lubricating and easy to drink. Express close but received only a half months, the proposed packaging material increases cushioning member, plastic bottles almost damaged in transit.</v>
      </c>
    </row>
    <row r="13765">
      <c r="A13765" s="1">
        <v>5.0</v>
      </c>
      <c r="B13765" s="1" t="s">
        <v>13623</v>
      </c>
      <c r="C13765" t="str">
        <f>IFERROR(__xludf.DUMMYFUNCTION("GOOGLETRANSLATE(B13765, ""zh"", ""en"")"),"Praise praise praise!")</f>
        <v>Praise praise praise!</v>
      </c>
    </row>
    <row r="13766">
      <c r="A13766" s="1">
        <v>5.0</v>
      </c>
      <c r="B13766" s="1" t="s">
        <v>13624</v>
      </c>
      <c r="C13766" t="str">
        <f>IFERROR(__xludf.DUMMYFUNCTION("GOOGLETRANSLATE(B13766, ""zh"", ""en"")"),"Worth buying Height 181 weight 93Kg, XL slightly larger, does not affect the wear, fabric soft and comfortable, very good")</f>
        <v>Worth buying Height 181 weight 93Kg, XL slightly larger, does not affect the wear, fabric soft and comfortable, very good</v>
      </c>
    </row>
    <row r="13767">
      <c r="A13767" s="1">
        <v>5.0</v>
      </c>
      <c r="B13767" s="1" t="s">
        <v>13625</v>
      </c>
      <c r="C13767" t="str">
        <f>IFERROR(__xludf.DUMMYFUNCTION("GOOGLETRANSLATE(B13767, ""zh"", ""en"")"),"Worth buying buying by overseas shopping channels, from order to receipt 15 days, logistics and speed still can. Much cheaper than similar domestic products offer the course. Filter quality is very good, packing boxes, a total of six filters, the latest v"&amp;"ersion of the filter, the country does not sell, shape, and domestic sales are slightly different, but can be used in the country to buy a water filter. Has opened the two to use, open the plastic bag outside the filter clean, thin is also not active blac"&amp;"k residue, filtered water taste and almost before the old section of the filter element. Filter outside the country to buy is often a lot of charcoal, do not look comfortable, customer service also explained that could be caused by the logistics, so why b"&amp;"uy overseas from the UK so far shipped over no damage to it? I think it is a problem of quality control.")</f>
        <v>Worth buying buying by overseas shopping channels, from order to receipt 15 days, logistics and speed still can. Much cheaper than similar domestic products offer the course. Filter quality is very good, packing boxes, a total of six filters, the latest version of the filter, the country does not sell, shape, and domestic sales are slightly different, but can be used in the country to buy a water filter. Has opened the two to use, open the plastic bag outside the filter clean, thin is also not active black residue, filtered water taste and almost before the old section of the filter element. Filter outside the country to buy is often a lot of charcoal, do not look comfortable, customer service also explained that could be caused by the logistics, so why buy overseas from the UK so far shipped over no damage to it? I think it is a problem of quality control.</v>
      </c>
    </row>
    <row r="13768">
      <c r="A13768" s="1">
        <v>5.0</v>
      </c>
      <c r="B13768" s="1" t="s">
        <v>13626</v>
      </c>
      <c r="C13768" t="str">
        <f>IFERROR(__xludf.DUMMYFUNCTION("GOOGLETRANSLATE(B13768, ""zh"", ""en"")"),"Okay slightly rough work, speed is also good")</f>
        <v>Okay slightly rough work, speed is also good</v>
      </c>
    </row>
    <row r="13769">
      <c r="A13769" s="1">
        <v>5.0</v>
      </c>
      <c r="B13769" s="1" t="s">
        <v>13627</v>
      </c>
      <c r="C13769" t="str">
        <f>IFERROR(__xludf.DUMMYFUNCTION("GOOGLETRANSLATE(B13769, ""zh"", ""en"")"),"Very beautiful, feel good feel good, look good, close up ......")</f>
        <v>Very beautiful, feel good feel good, look good, close up ......</v>
      </c>
    </row>
    <row r="13770">
      <c r="A13770" s="1">
        <v>5.0</v>
      </c>
      <c r="B13770" s="1" t="s">
        <v>13628</v>
      </c>
      <c r="C13770" t="str">
        <f>IFERROR(__xludf.DUMMYFUNCTION("GOOGLETRANSLATE(B13770, ""zh"", ""en"")"),"Tiger is better than a good point that the insulation effect")</f>
        <v>Tiger is better than a good point that the insulation effect</v>
      </c>
    </row>
    <row r="13771">
      <c r="A13771" s="1">
        <v>5.0</v>
      </c>
      <c r="B13771" s="1" t="s">
        <v>13629</v>
      </c>
      <c r="C13771" t="str">
        <f>IFERROR(__xludf.DUMMYFUNCTION("GOOGLETRANSLATE(B13771, ""zh"", ""en"")"),"German quality easy to use")</f>
        <v>German quality easy to use</v>
      </c>
    </row>
    <row r="13772">
      <c r="A13772" s="1">
        <v>5.0</v>
      </c>
      <c r="B13772" s="1" t="s">
        <v>13630</v>
      </c>
      <c r="C13772" t="str">
        <f>IFERROR(__xludf.DUMMYFUNCTION("GOOGLETRANSLATE(B13772, ""zh"", ""en"")"),"Big. . . . . . . Large too. . . . . .")</f>
        <v>Big. . . . . . . Large too. . . . . .</v>
      </c>
    </row>
    <row r="13773">
      <c r="A13773" s="1">
        <v>5.0</v>
      </c>
      <c r="B13773" s="1" t="s">
        <v>13631</v>
      </c>
      <c r="C13773" t="str">
        <f>IFERROR(__xludf.DUMMYFUNCTION("GOOGLETRANSLATE(B13773, ""zh"", ""en"")"),"ecco comfort comfortable foot feeling good")</f>
        <v>ecco comfort comfortable foot feeling good</v>
      </c>
    </row>
    <row r="13774">
      <c r="A13774" s="1">
        <v>5.0</v>
      </c>
      <c r="B13774" s="1" t="s">
        <v>13632</v>
      </c>
      <c r="C13774" t="str">
        <f>IFERROR(__xludf.DUMMYFUNCTION("GOOGLETRANSLATE(B13774, ""zh"", ""en"")"),"Narita issue No. 3, No. 11 received only buy, not expensive. Japan came back from a set back last month with the easy to use, buy a set here")</f>
        <v>Narita issue No. 3, No. 11 received only buy, not expensive. Japan came back from a set back last month with the easy to use, buy a set here</v>
      </c>
    </row>
    <row r="13775">
      <c r="A13775" s="1">
        <v>5.0</v>
      </c>
      <c r="B13775" s="1" t="s">
        <v>13633</v>
      </c>
      <c r="C13775" t="str">
        <f>IFERROR(__xludf.DUMMYFUNCTION("GOOGLETRANSLATE(B13775, ""zh"", ""en"")"),"It will buy worth buying again and again, like many quality brands win")</f>
        <v>It will buy worth buying again and again, like many quality brands win</v>
      </c>
    </row>
    <row r="13776">
      <c r="A13776" s="1">
        <v>5.0</v>
      </c>
      <c r="B13776" s="1" t="s">
        <v>13634</v>
      </c>
      <c r="C13776" t="str">
        <f>IFERROR(__xludf.DUMMYFUNCTION("GOOGLETRANSLATE(B13776, ""zh"", ""en"")"),"# Multiple times repurchase repurchase cup cup")</f>
        <v># Multiple times repurchase repurchase cup cup</v>
      </c>
    </row>
    <row r="13777">
      <c r="A13777" s="1">
        <v>5.0</v>
      </c>
      <c r="B13777" s="1" t="s">
        <v>13635</v>
      </c>
      <c r="C13777" t="str">
        <f>IFERROR(__xludf.DUMMYFUNCTION("GOOGLETRANSLATE(B13777, ""zh"", ""en"")"),"Good emmmmm finally arrived, instant 14 days, overseas purchase may be considered fast, and merchandise can also get started, no inspection, inspection do not understand, praise it, for the first time to buy things on Amazon, more fun")</f>
        <v>Good emmmmm finally arrived, instant 14 days, overseas purchase may be considered fast, and merchandise can also get started, no inspection, inspection do not understand, praise it, for the first time to buy things on Amazon, more fun</v>
      </c>
    </row>
    <row r="13778">
      <c r="A13778" s="1">
        <v>5.0</v>
      </c>
      <c r="B13778" s="1" t="s">
        <v>13636</v>
      </c>
      <c r="C13778" t="str">
        <f>IFERROR(__xludf.DUMMYFUNCTION("GOOGLETRANSLATE(B13778, ""zh"", ""en"")"),"Well no return, that is the wrong size, this need to be trimmed")</f>
        <v>Well no return, that is the wrong size, this need to be trimmed</v>
      </c>
    </row>
    <row r="13779">
      <c r="A13779" s="1">
        <v>2.0</v>
      </c>
      <c r="B13779" s="1" t="s">
        <v>13637</v>
      </c>
      <c r="C13779" t="str">
        <f>IFERROR(__xludf.DUMMYFUNCTION("GOOGLETRANSLATE(B13779, ""zh"", ""en"")"),"The quality of the general quality of general")</f>
        <v>The quality of the general quality of general</v>
      </c>
    </row>
    <row r="13780">
      <c r="A13780" s="1">
        <v>3.0</v>
      </c>
      <c r="B13780" s="1" t="s">
        <v>13638</v>
      </c>
      <c r="C13780" t="str">
        <f>IFERROR(__xludf.DUMMYFUNCTION("GOOGLETRANSLATE(B13780, ""zh"", ""en"")"),"Size small things can also just too small. . . Returns also not worth feeling disappointed")</f>
        <v>Size small things can also just too small. . . Returns also not worth feeling disappointed</v>
      </c>
    </row>
    <row r="13781">
      <c r="A13781" s="1">
        <v>3.0</v>
      </c>
      <c r="B13781" s="1" t="s">
        <v>13639</v>
      </c>
      <c r="C13781" t="str">
        <f>IFERROR(__xludf.DUMMYFUNCTION("GOOGLETRANSLATE(B13781, ""zh"", ""en"")"),"Buy small buy small, that size is too large, the return shipping is too expensive, even, plus extend the deduction with a")</f>
        <v>Buy small buy small, that size is too large, the return shipping is too expensive, even, plus extend the deduction with a</v>
      </c>
    </row>
    <row r="13782">
      <c r="A13782" s="1">
        <v>3.0</v>
      </c>
      <c r="B13782" s="1" t="s">
        <v>13640</v>
      </c>
      <c r="C13782" t="str">
        <f>IFERROR(__xludf.DUMMYFUNCTION("GOOGLETRANSLATE(B13782, ""zh"", ""en"")"),"Very good, but overpaid just got finished week 50 prices, really annoying; Hong Kong to send over a small vote no, packaging intact, inside the product packaging is actually wretched, the specification also broke a hole fortunately !!! product intact, rel"&amp;"atively easy to use, praise it !!!")</f>
        <v>Very good, but overpaid just got finished week 50 prices, really annoying; Hong Kong to send over a small vote no, packaging intact, inside the product packaging is actually wretched, the specification also broke a hole fortunately !!! product intact, relatively easy to use, praise it !!!</v>
      </c>
    </row>
    <row r="13783">
      <c r="A13783" s="1">
        <v>1.0</v>
      </c>
      <c r="B13783" s="1" t="s">
        <v>13641</v>
      </c>
      <c r="C13783" t="str">
        <f>IFERROR(__xludf.DUMMYFUNCTION("GOOGLETRANSLATE(B13783, ""zh"", ""en"")"),"Poor quality do not recommend buying poor quality do not recommend buying")</f>
        <v>Poor quality do not recommend buying poor quality do not recommend buying</v>
      </c>
    </row>
    <row r="13784">
      <c r="A13784" s="1">
        <v>1.0</v>
      </c>
      <c r="B13784" s="1" t="s">
        <v>13642</v>
      </c>
      <c r="C13784" t="str">
        <f>IFERROR(__xludf.DUMMYFUNCTION("GOOGLETRANSLATE(B13784, ""zh"", ""en"")"),"Only half a sheet insoles of defective products over 900 shoes, two shoes out of leather are classified spoke son, this is not the focus! Shoe insoles are only half! Zhang! , Clearly crossed the artificial tear or leather pad half open, the inside of the "&amp;"bottom surface of the seaming and the fabric are exposed! in! outer! surface! Made such defective products too much! ! These shoes are badly damaged! It is terrible to sell such defective products! Later in the other stores to buy a new hair before Amazon"&amp;" found that this is not a double half a sheet insoles, there is also a layer above the original insoles, but this pair of shoes I do not know where to go. Such goods dare hair? Go back more than a month, did not give back the money")</f>
        <v>Only half a sheet insoles of defective products over 900 shoes, two shoes out of leather are classified spoke son, this is not the focus! Shoe insoles are only half! Zhang! , Clearly crossed the artificial tear or leather pad half open, the inside of the bottom surface of the seaming and the fabric are exposed! in! outer! surface! Made such defective products too much! ! These shoes are badly damaged! It is terrible to sell such defective products! Later in the other stores to buy a new hair before Amazon found that this is not a double half a sheet insoles, there is also a layer above the original insoles, but this pair of shoes I do not know where to go. Such goods dare hair? Go back more than a month, did not give back the money</v>
      </c>
    </row>
    <row r="13785">
      <c r="A13785" s="1">
        <v>4.0</v>
      </c>
      <c r="B13785" s="1" t="s">
        <v>13643</v>
      </c>
      <c r="C13785" t="str">
        <f>IFERROR(__xludf.DUMMYFUNCTION("GOOGLETRANSLATE(B13785, ""zh"", ""en"")"),"The mast section deep color than the picture, a relatively concubine kind of powder. Comparative paragraph style belongs hypertrophy. Fabric generally work in general, there is a big blue behind the trademark.")</f>
        <v>The mast section deep color than the picture, a relatively concubine kind of powder. Comparative paragraph style belongs hypertrophy. Fabric generally work in general, there is a big blue behind the trademark.</v>
      </c>
    </row>
    <row r="13786">
      <c r="A13786" s="1">
        <v>4.0</v>
      </c>
      <c r="B13786" s="1" t="s">
        <v>13644</v>
      </c>
      <c r="C13786" t="str">
        <f>IFERROR(__xludf.DUMMYFUNCTION("GOOGLETRANSLATE(B13786, ""zh"", ""en"")"),"Quality good things of good quality, buy the best quality of a feeling")</f>
        <v>Quality good things of good quality, buy the best quality of a feeling</v>
      </c>
    </row>
    <row r="13787">
      <c r="A13787" s="1">
        <v>4.0</v>
      </c>
      <c r="B13787" s="1" t="s">
        <v>13645</v>
      </c>
      <c r="C13787" t="str">
        <f>IFERROR(__xludf.DUMMYFUNCTION("GOOGLETRANSLATE(B13787, ""zh"", ""en"")"),"The general quality of the fabric quality in general, Myanmar produced, the process is better made in China, with Uniqlo T-shirt sold almost")</f>
        <v>The general quality of the fabric quality in general, Myanmar produced, the process is better made in China, with Uniqlo T-shirt sold almost</v>
      </c>
    </row>
    <row r="13788">
      <c r="A13788" s="1">
        <v>4.0</v>
      </c>
      <c r="B13788" s="1" t="s">
        <v>13646</v>
      </c>
      <c r="C13788" t="str">
        <f>IFERROR(__xludf.DUMMYFUNCTION("GOOGLETRANSLATE(B13788, ""zh"", ""en"")"),"One material about Uniqlo thicker than the large size, the general texture of it, the latter blended 60/40's easy to play ball, and more sultry. I am 176cm, 72kg, L No. appropriate, the clothes a little loose. Size XL sizes correspond JPN number, and it a"&amp;"lmost Uniqlo XL code for your reference.")</f>
        <v>One material about Uniqlo thicker than the large size, the general texture of it, the latter blended 60/40's easy to play ball, and more sultry. I am 176cm, 72kg, L No. appropriate, the clothes a little loose. Size XL sizes correspond JPN number, and it almost Uniqlo XL code for your reference.</v>
      </c>
    </row>
    <row r="13789">
      <c r="A13789" s="1">
        <v>5.0</v>
      </c>
      <c r="B13789" s="1" t="s">
        <v>13647</v>
      </c>
      <c r="C13789" t="str">
        <f>IFERROR(__xludf.DUMMYFUNCTION("GOOGLETRANSLATE(B13789, ""zh"", ""en"")"),"Easy to use, but please replenishment replenishment ~ to the parents to buy, eat for a month to comment on: 1, the product easy to take, with just three meals a day to eat, do not bother; 2, there are effects, such as squatting before effortless, there ar"&amp;"e now improved, so will adhere to eat; 3, pit father how out of stock! To me it deliberately opened the prime ah! Tears cow sounded ~ prime like you lose a friend you made it made it made it, 55555 ~")</f>
        <v>Easy to use, but please replenishment replenishment ~ to the parents to buy, eat for a month to comment on: 1, the product easy to take, with just three meals a day to eat, do not bother; 2, there are effects, such as squatting before effortless, there are now improved, so will adhere to eat; 3, pit father how out of stock! To me it deliberately opened the prime ah! Tears cow sounded ~ prime like you lose a friend you made it made it made it, 55555 ~</v>
      </c>
    </row>
    <row r="13790">
      <c r="A13790" s="1">
        <v>5.0</v>
      </c>
      <c r="B13790" s="1" t="s">
        <v>13648</v>
      </c>
      <c r="C13790" t="str">
        <f>IFERROR(__xludf.DUMMYFUNCTION("GOOGLETRANSLATE(B13790, ""zh"", ""en"")"),"Good experience in line with expectations")</f>
        <v>Good experience in line with expectations</v>
      </c>
    </row>
    <row r="13791">
      <c r="A13791" s="1">
        <v>5.0</v>
      </c>
      <c r="B13791" s="1" t="s">
        <v>13649</v>
      </c>
      <c r="C13791" t="str">
        <f>IFERROR(__xludf.DUMMYFUNCTION("GOOGLETRANSLATE(B13791, ""zh"", ""en"")"),"US price is very good, very comfortable to wear, the election of S 173,68")</f>
        <v>US price is very good, very comfortable to wear, the election of S 173,68</v>
      </c>
    </row>
    <row r="13792">
      <c r="A13792" s="1">
        <v>5.0</v>
      </c>
      <c r="B13792" s="1" t="s">
        <v>13650</v>
      </c>
      <c r="C13792" t="str">
        <f>IFERROR(__xludf.DUMMYFUNCTION("GOOGLETRANSLATE(B13792, ""zh"", ""en"")"),"I'm extremely comfortable in Deya's first single, the price of surprises, amazing speed of delivery, a week of receipt. ecco shoes styles as long as the price is right, without hesitation, excellent comfort, soft leather. 35 yards usually wear shoes, this"&amp;" code is slightly larger 5-5.5.")</f>
        <v>I'm extremely comfortable in Deya's first single, the price of surprises, amazing speed of delivery, a week of receipt. ecco shoes styles as long as the price is right, without hesitation, excellent comfort, soft leather. 35 yards usually wear shoes, this code is slightly larger 5-5.5.</v>
      </c>
    </row>
    <row r="13793">
      <c r="A13793" s="1">
        <v>5.0</v>
      </c>
      <c r="B13793" s="1" t="s">
        <v>13651</v>
      </c>
      <c r="C13793" t="str">
        <f>IFERROR(__xludf.DUMMYFUNCTION("GOOGLETRANSLATE(B13793, ""zh"", ""en"")"),"And color the picture, like shoes and sports shoes are very light as fast as one week on arrival with color pictures work on a little flaw instep to wear a little tight feeling overall is still very fond of praise.")</f>
        <v>And color the picture, like shoes and sports shoes are very light as fast as one week on arrival with color pictures work on a little flaw instep to wear a little tight feeling overall is still very fond of praise.</v>
      </c>
    </row>
    <row r="13794">
      <c r="A13794" s="1">
        <v>5.0</v>
      </c>
      <c r="B13794" s="1" t="s">
        <v>13652</v>
      </c>
      <c r="C13794" t="str">
        <f>IFERROR(__xludf.DUMMYFUNCTION("GOOGLETRANSLATE(B13794, ""zh"", ""en"")"),"Very good good 😄, it is to wear one or two days of the shares of cooked meat taste, my sweat and fabrics react yet?")</f>
        <v>Very good good 😄, it is to wear one or two days of the shares of cooked meat taste, my sweat and fabrics react yet?</v>
      </c>
    </row>
    <row r="13795">
      <c r="A13795" s="1">
        <v>5.0</v>
      </c>
      <c r="B13795" s="1" t="s">
        <v>13653</v>
      </c>
      <c r="C13795" t="str">
        <f>IFERROR(__xludf.DUMMYFUNCTION("GOOGLETRANSLATE(B13795, ""zh"", ""en"")"),"Good price good price, with a long time because the bass emphasis uncomfortable")</f>
        <v>Good price good price, with a long time because the bass emphasis uncomfortable</v>
      </c>
    </row>
    <row r="13796">
      <c r="A13796" s="1">
        <v>5.0</v>
      </c>
      <c r="B13796" s="1" t="s">
        <v>13654</v>
      </c>
      <c r="C13796" t="str">
        <f>IFERROR(__xludf.DUMMYFUNCTION("GOOGLETRANSLATE(B13796, ""zh"", ""en"")"),"Very good value for money more wash more soft and breathable indoor temperature of 20 degrees now go to bed just right to wear this diaper is especially convenient side button to breast fold just do not worry about cold Dazhu stomach")</f>
        <v>Very good value for money more wash more soft and breathable indoor temperature of 20 degrees now go to bed just right to wear this diaper is especially convenient side button to breast fold just do not worry about cold Dazhu stomach</v>
      </c>
    </row>
    <row r="13797">
      <c r="A13797" s="1">
        <v>5.0</v>
      </c>
      <c r="B13797" s="1" t="s">
        <v>13655</v>
      </c>
      <c r="C13797" t="str">
        <f>IFERROR(__xludf.DUMMYFUNCTION("GOOGLETRANSLATE(B13797, ""zh"", ""en"")"),"No rims comfortable, very comfortable, more convenient, especially during exercise.")</f>
        <v>No rims comfortable, very comfortable, more convenient, especially during exercise.</v>
      </c>
    </row>
    <row r="13798">
      <c r="A13798" s="1">
        <v>5.0</v>
      </c>
      <c r="B13798" s="1" t="s">
        <v>13656</v>
      </c>
      <c r="C13798" t="str">
        <f>IFERROR(__xludf.DUMMYFUNCTION("GOOGLETRANSLATE(B13798, ""zh"", ""en"")"),"Good domestic been afraid then, can only choose abroad, China's situation is really worrying")</f>
        <v>Good domestic been afraid then, can only choose abroad, China's situation is really worrying</v>
      </c>
    </row>
    <row r="13799">
      <c r="A13799" s="1">
        <v>5.0</v>
      </c>
      <c r="B13799" s="1" t="s">
        <v>13657</v>
      </c>
      <c r="C13799" t="str">
        <f>IFERROR(__xludf.DUMMYFUNCTION("GOOGLETRANSLATE(B13799, ""zh"", ""en"")"),"Leak-proof and good insulation did not have to say, when the price of a cup count start this tariff is cheaper than some of Taobao, more cost effective.")</f>
        <v>Leak-proof and good insulation did not have to say, when the price of a cup count start this tariff is cheaper than some of Taobao, more cost effective.</v>
      </c>
    </row>
    <row r="13800">
      <c r="A13800" s="1">
        <v>5.0</v>
      </c>
      <c r="B13800" s="1" t="s">
        <v>13658</v>
      </c>
      <c r="C13800" t="str">
        <f>IFERROR(__xludf.DUMMYFUNCTION("GOOGLETRANSLATE(B13800, ""zh"", ""en"")"),"Unfortunately, the same good buy M code, this large, do not know how to deal with it")</f>
        <v>Unfortunately, the same good buy M code, this large, do not know how to deal with it</v>
      </c>
    </row>
    <row r="13801">
      <c r="A13801" s="1">
        <v>5.0</v>
      </c>
      <c r="B13801" s="1" t="s">
        <v>13659</v>
      </c>
      <c r="C13801" t="str">
        <f>IFERROR(__xludf.DUMMYFUNCTION("GOOGLETRANSLATE(B13801, ""zh"", ""en"")"),"The lid is sealed, pour not fall! Very good, much better than the blue pot, that is a little!")</f>
        <v>The lid is sealed, pour not fall! Very good, much better than the blue pot, that is a little!</v>
      </c>
    </row>
    <row r="13802">
      <c r="A13802" s="1">
        <v>5.0</v>
      </c>
      <c r="B13802" s="1" t="s">
        <v>13660</v>
      </c>
      <c r="C13802" t="str">
        <f>IFERROR(__xludf.DUMMYFUNCTION("GOOGLETRANSLATE(B13802, ""zh"", ""en"")"),"Some people feel strongly recommend thermal underwear thin compared to what the country's south XX like much, not warm. But I asked myself through numerous brands of thermal underwear, was able to come to a more neutral rating. The clothes looked really s"&amp;"eem thin, certainly not like the kind of close-fitting thin elastic compared only with the South XX and other brands. There are velvet, very soft velvet soft close, with those south than XX, high skin care and more. Clothes inside the velvet those Souther"&amp;"n XX and other brands are also doing very thick, very soft look, but first with the skin does not fit, velvet feel very cold, the temperature is a little higher on a strong sense of presence, and the Mende half to death. This made thin, and with the body "&amp;"is very fit, but not tight, there is still a little small space, but also very comfortable velvet covering on the body. Stitching position various parts of the clothes did not affect daily activities. Warmth is also possible. And even if the weather sudde"&amp;"nly hot, it will not feel bored into the body pores are blocked up. This is a merely a warm underwear, can not withstand minus ten degrees, wear down wear down. In harsh environments, wear professional equipment wear specialized equipment. Such clothes of"&amp;" an ordinary city people, very good.")</f>
        <v>Some people feel strongly recommend thermal underwear thin compared to what the country's south XX like much, not warm. But I asked myself through numerous brands of thermal underwear, was able to come to a more neutral rating. The clothes looked really seem thin, certainly not like the kind of close-fitting thin elastic compared only with the South XX and other brands. There are velvet, very soft velvet soft close, with those south than XX, high skin care and more. Clothes inside the velvet those Southern XX and other brands are also doing very thick, very soft look, but first with the skin does not fit, velvet feel very cold, the temperature is a little higher on a strong sense of presence, and the Mende half to death. This made thin, and with the body is very fit, but not tight, there is still a little small space, but also very comfortable velvet covering on the body. Stitching position various parts of the clothes did not affect daily activities. Warmth is also possible. And even if the weather suddenly hot, it will not feel bored into the body pores are blocked up. This is a merely a warm underwear, can not withstand minus ten degrees, wear down wear down. In harsh environments, wear professional equipment wear specialized equipment. Such clothes of an ordinary city people, very good.</v>
      </c>
    </row>
    <row r="13803">
      <c r="A13803" s="1">
        <v>5.0</v>
      </c>
      <c r="B13803" s="1" t="s">
        <v>13661</v>
      </c>
      <c r="C13803" t="str">
        <f>IFERROR(__xludf.DUMMYFUNCTION("GOOGLETRANSLATE(B13803, ""zh"", ""en"")"),"Value for money cheap, good quality, value for money.")</f>
        <v>Value for money cheap, good quality, value for money.</v>
      </c>
    </row>
    <row r="13804">
      <c r="A13804" s="1">
        <v>5.0</v>
      </c>
      <c r="B13804" s="1" t="s">
        <v>13662</v>
      </c>
      <c r="C13804" t="str">
        <f>IFERROR(__xludf.DUMMYFUNCTION("GOOGLETRANSLATE(B13804, ""zh"", ""en"")"),"Good quality, logistics faster than expected arrived much earlier than expected, in about a week. 6T actually 5.45T, the speed is very fast, sound is very light.")</f>
        <v>Good quality, logistics faster than expected arrived much earlier than expected, in about a week. 6T actually 5.45T, the speed is very fast, sound is very light.</v>
      </c>
    </row>
    <row r="13805">
      <c r="A13805" s="1">
        <v>5.0</v>
      </c>
      <c r="B13805" s="1" t="s">
        <v>13663</v>
      </c>
      <c r="C13805" t="str">
        <f>IFERROR(__xludf.DUMMYFUNCTION("GOOGLETRANSLATE(B13805, ""zh"", ""en"")"),"Comments well, things still enjoyed it, indeed to the United States of products made in Japan. If I sold a large heavenly words, the quality is not perfect.")</f>
        <v>Comments well, things still enjoyed it, indeed to the United States of products made in Japan. If I sold a large heavenly words, the quality is not perfect.</v>
      </c>
    </row>
    <row r="13806">
      <c r="A13806" s="1">
        <v>5.0</v>
      </c>
      <c r="B13806" s="1" t="s">
        <v>13664</v>
      </c>
      <c r="C13806" t="str">
        <f>IFERROR(__xludf.DUMMYFUNCTION("GOOGLETRANSLATE(B13806, ""zh"", ""en"")"),"Looks good not used, but it looks very good.")</f>
        <v>Looks good not used, but it looks very good.</v>
      </c>
    </row>
    <row r="13807">
      <c r="A13807" s="1">
        <v>5.0</v>
      </c>
      <c r="B13807" s="1" t="s">
        <v>13665</v>
      </c>
      <c r="C13807" t="str">
        <f>IFERROR(__xludf.DUMMYFUNCTION("GOOGLETRANSLATE(B13807, ""zh"", ""en"")"),"No. too, back when was not the value of the freight is too expensive number too, back when was not the value of the freight is too expensive")</f>
        <v>No. too, back when was not the value of the freight is too expensive number too, back when was not the value of the freight is too expensive</v>
      </c>
    </row>
    <row r="13808">
      <c r="A13808" s="1">
        <v>5.0</v>
      </c>
      <c r="B13808" s="1" t="s">
        <v>13666</v>
      </c>
      <c r="C13808" t="str">
        <f>IFERROR(__xludf.DUMMYFUNCTION("GOOGLETRANSLATE(B13808, ""zh"", ""en"")"),"Good size is very appropriate, dry comfortable material, praise a")</f>
        <v>Good size is very appropriate, dry comfortable material, praise a</v>
      </c>
    </row>
    <row r="13809">
      <c r="A13809" s="1">
        <v>5.0</v>
      </c>
      <c r="B13809" s="1" t="s">
        <v>13667</v>
      </c>
      <c r="C13809" t="str">
        <f>IFERROR(__xludf.DUMMYFUNCTION("GOOGLETRANSLATE(B13809, ""zh"", ""en"")"),"Happy to give as gifts very fit but tell me that is not easy to take dark blue pants")</f>
        <v>Happy to give as gifts very fit but tell me that is not easy to take dark blue pants</v>
      </c>
    </row>
    <row r="13810">
      <c r="A13810" s="1">
        <v>5.0</v>
      </c>
      <c r="B13810" s="1" t="s">
        <v>13668</v>
      </c>
      <c r="C13810" t="str">
        <f>IFERROR(__xludf.DUMMYFUNCTION("GOOGLETRANSLATE(B13810, ""zh"", ""en"")"),"Easy to use! Good quality. I heard no fluorescent agent, regret not buy more, now out of stock.")</f>
        <v>Easy to use! Good quality. I heard no fluorescent agent, regret not buy more, now out of stock.</v>
      </c>
    </row>
    <row r="13811">
      <c r="A13811" s="1">
        <v>2.0</v>
      </c>
      <c r="B13811" s="1" t="s">
        <v>13669</v>
      </c>
      <c r="C13811" t="str">
        <f>IFERROR(__xludf.DUMMYFUNCTION("GOOGLETRANSLATE(B13811, ""zh"", ""en"")"),"Average watches, no protective film, and the box, do not meet the specifications, cover it up, so I did not feel genuine")</f>
        <v>Average watches, no protective film, and the box, do not meet the specifications, cover it up, so I did not feel genuine</v>
      </c>
    </row>
    <row r="13812">
      <c r="A13812" s="1">
        <v>3.0</v>
      </c>
      <c r="B13812" s="1" t="s">
        <v>13670</v>
      </c>
      <c r="C13812" t="str">
        <f>IFERROR(__xludf.DUMMYFUNCTION("GOOGLETRANSLATE(B13812, ""zh"", ""en"")"),"The price of your Beijing in the mail, do not buy Japanese overseas?")</f>
        <v>The price of your Beijing in the mail, do not buy Japanese overseas?</v>
      </c>
    </row>
    <row r="13813">
      <c r="A13813" s="1">
        <v>1.0</v>
      </c>
      <c r="B13813" s="1" t="s">
        <v>13671</v>
      </c>
      <c r="C13813" t="str">
        <f>IFERROR(__xludf.DUMMYFUNCTION("GOOGLETRANSLATE(B13813, ""zh"", ""en"")"),"No electric charge is not into how to use, pulling a tooth, useless for some time, recently found out to be recharged into electricity, the sale can not find! Why can not sale, broken just as useless?")</f>
        <v>No electric charge is not into how to use, pulling a tooth, useless for some time, recently found out to be recharged into electricity, the sale can not find! Why can not sale, broken just as useless?</v>
      </c>
    </row>
    <row r="13814">
      <c r="A13814" s="1">
        <v>1.0</v>
      </c>
      <c r="B13814" s="1" t="s">
        <v>13672</v>
      </c>
      <c r="C13814" t="str">
        <f>IFERROR(__xludf.DUMMYFUNCTION("GOOGLETRANSLATE(B13814, ""zh"", ""en"")"),"Pilling pilling wear all at once, poor quality of it!")</f>
        <v>Pilling pilling wear all at once, poor quality of it!</v>
      </c>
    </row>
    <row r="13815">
      <c r="A13815" s="1">
        <v>4.0</v>
      </c>
      <c r="B13815" s="1" t="s">
        <v>13673</v>
      </c>
      <c r="C13815" t="str">
        <f>IFERROR(__xludf.DUMMYFUNCTION("GOOGLETRANSLATE(B13815, ""zh"", ""en"")"),"General as it easily lined ass inside. . . . . . .")</f>
        <v>General as it easily lined ass inside. . . . . . .</v>
      </c>
    </row>
    <row r="13816">
      <c r="A13816" s="1">
        <v>4.0</v>
      </c>
      <c r="B13816" s="1" t="s">
        <v>13674</v>
      </c>
      <c r="C13816" t="str">
        <f>IFERROR(__xludf.DUMMYFUNCTION("GOOGLETRANSLATE(B13816, ""zh"", ""en"")"),"You can feel good, a little elasticity")</f>
        <v>You can feel good, a little elasticity</v>
      </c>
    </row>
    <row r="13817">
      <c r="A13817" s="1">
        <v>4.0</v>
      </c>
      <c r="B13817" s="1" t="s">
        <v>13675</v>
      </c>
      <c r="C13817" t="str">
        <f>IFERROR(__xludf.DUMMYFUNCTION("GOOGLETRANSLATE(B13817, ""zh"", ""en"")"),"Almost every month a little easier loss ah for a change, sometimes a month is not enough Deformeter")</f>
        <v>Almost every month a little easier loss ah for a change, sometimes a month is not enough Deformeter</v>
      </c>
    </row>
    <row r="13818">
      <c r="A13818" s="1">
        <v>4.0</v>
      </c>
      <c r="B13818" s="1" t="s">
        <v>13676</v>
      </c>
      <c r="C13818" t="str">
        <f>IFERROR(__xludf.DUMMYFUNCTION("GOOGLETRANSLATE(B13818, ""zh"", ""en"")"),"Not bad, really like, Cambodia production, work is also very good. I am feeling thin point.")</f>
        <v>Not bad, really like, Cambodia production, work is also very good. I am feeling thin point.</v>
      </c>
    </row>
    <row r="13819">
      <c r="A13819" s="1">
        <v>4.0</v>
      </c>
      <c r="B13819" s="1" t="s">
        <v>13677</v>
      </c>
      <c r="C13819" t="str">
        <f>IFERROR(__xludf.DUMMYFUNCTION("GOOGLETRANSLATE(B13819, ""zh"", ""en"")"),"Customer service is not responsible for causing me to pay an extra tax. Very angry with the shopping, originally to save money is the result of customer service is not responsible for the recommendation to reject the results taxes to pay for their own, pe"&amp;"nny wise and pound-foolish. Again he took over the box was opened. Which also fewer parts, really disgusting a shopping")</f>
        <v>Customer service is not responsible for causing me to pay an extra tax. Very angry with the shopping, originally to save money is the result of customer service is not responsible for the recommendation to reject the results taxes to pay for their own, penny wise and pound-foolish. Again he took over the box was opened. Which also fewer parts, really disgusting a shopping</v>
      </c>
    </row>
    <row r="13820">
      <c r="A13820" s="1">
        <v>5.0</v>
      </c>
      <c r="B13820" s="1" t="s">
        <v>13678</v>
      </c>
      <c r="C13820" t="str">
        <f>IFERROR(__xludf.DUMMYFUNCTION("GOOGLETRANSLATE(B13820, ""zh"", ""en"")"),"Like I liked it, very comfortable to wear cheap")</f>
        <v>Like I liked it, very comfortable to wear cheap</v>
      </c>
    </row>
    <row r="13821">
      <c r="A13821" s="1">
        <v>5.0</v>
      </c>
      <c r="B13821" s="1" t="s">
        <v>13679</v>
      </c>
      <c r="C13821" t="str">
        <f>IFERROR(__xludf.DUMMYFUNCTION("GOOGLETRANSLATE(B13821, ""zh"", ""en"")"),"Yes a lot cheaper than domestic. The right size, personal feeling forefoot soles a little thin.")</f>
        <v>Yes a lot cheaper than domestic. The right size, personal feeling forefoot soles a little thin.</v>
      </c>
    </row>
    <row r="13822">
      <c r="A13822" s="1">
        <v>5.0</v>
      </c>
      <c r="B13822" s="1" t="s">
        <v>13680</v>
      </c>
      <c r="C13822" t="str">
        <f>IFERROR(__xludf.DUMMYFUNCTION("GOOGLETRANSLATE(B13822, ""zh"", ""en"")"),"Strongly recommended stew beaker very beautiful colors, thermal insulation effect is very good, Nichia direct mail price is too high but also not afraid Maidaojiahuo")</f>
        <v>Strongly recommended stew beaker very beautiful colors, thermal insulation effect is very good, Nichia direct mail price is too high but also not afraid Maidaojiahuo</v>
      </c>
    </row>
    <row r="13823">
      <c r="A13823" s="1">
        <v>5.0</v>
      </c>
      <c r="B13823" s="1" t="s">
        <v>13681</v>
      </c>
      <c r="C13823" t="str">
        <f>IFERROR(__xludf.DUMMYFUNCTION("GOOGLETRANSLATE(B13823, ""zh"", ""en"")"),"Excellent! Very fond of this brand, just before the belt is broken, buy this, praise!")</f>
        <v>Excellent! Very fond of this brand, just before the belt is broken, buy this, praise!</v>
      </c>
    </row>
    <row r="13824">
      <c r="A13824" s="1">
        <v>5.0</v>
      </c>
      <c r="B13824" s="1" t="s">
        <v>13682</v>
      </c>
      <c r="C13824" t="str">
        <f>IFERROR(__xludf.DUMMYFUNCTION("GOOGLETRANSLATE(B13824, ""zh"", ""en"")"),"Recommended to buy very cute, yet to spend, work is also good")</f>
        <v>Recommended to buy very cute, yet to spend, work is also good</v>
      </c>
    </row>
    <row r="13825">
      <c r="A13825" s="1">
        <v>5.0</v>
      </c>
      <c r="B13825" s="1" t="s">
        <v>13683</v>
      </c>
      <c r="C13825" t="str">
        <f>IFERROR(__xludf.DUMMYFUNCTION("GOOGLETRANSLATE(B13825, ""zh"", ""en"")"),"Inexpensive color is very beautiful water will also be a great force is one of the most important concessions by nearly half as long as you can buy a transformer to use than Lynx")</f>
        <v>Inexpensive color is very beautiful water will also be a great force is one of the most important concessions by nearly half as long as you can buy a transformer to use than Lynx</v>
      </c>
    </row>
    <row r="13826">
      <c r="A13826" s="1">
        <v>5.0</v>
      </c>
      <c r="B13826" s="1" t="s">
        <v>13684</v>
      </c>
      <c r="C13826" t="str">
        <f>IFERROR(__xludf.DUMMYFUNCTION("GOOGLETRANSLATE(B13826, ""zh"", ""en"")"),"Burn long way just to listen to the sound quality is really thin, but stood stood really changed for the better the sound quality. I do not understand the previous burn a say, but now I found out that was true. I feel good")</f>
        <v>Burn long way just to listen to the sound quality is really thin, but stood stood really changed for the better the sound quality. I do not understand the previous burn a say, but now I found out that was true. I feel good</v>
      </c>
    </row>
    <row r="13827">
      <c r="A13827" s="1">
        <v>5.0</v>
      </c>
      <c r="B13827" s="1" t="s">
        <v>13685</v>
      </c>
      <c r="C13827" t="str">
        <f>IFERROR(__xludf.DUMMYFUNCTION("GOOGLETRANSLATE(B13827, ""zh"", ""en"")"),"Quality can also just the right size, very simple, pants 34, just bought 36 of the belt")</f>
        <v>Quality can also just the right size, very simple, pants 34, just bought 36 of the belt</v>
      </c>
    </row>
    <row r="13828">
      <c r="A13828" s="1">
        <v>5.0</v>
      </c>
      <c r="B13828" s="1" t="s">
        <v>13686</v>
      </c>
      <c r="C13828" t="str">
        <f>IFERROR(__xludf.DUMMYFUNCTION("GOOGLETRANSLATE(B13828, ""zh"", ""en"")"),"The cheapest most cost-effective is this, and no one")</f>
        <v>The cheapest most cost-effective is this, and no one</v>
      </c>
    </row>
    <row r="13829">
      <c r="A13829" s="1">
        <v>5.0</v>
      </c>
      <c r="B13829" s="1" t="s">
        <v>13687</v>
      </c>
      <c r="C13829" t="str">
        <f>IFERROR(__xludf.DUMMYFUNCTION("GOOGLETRANSLATE(B13829, ""zh"", ""en"")"),"Good quality of good quality good quality, worth buying.")</f>
        <v>Good quality of good quality good quality, worth buying.</v>
      </c>
    </row>
    <row r="13830">
      <c r="A13830" s="1">
        <v>5.0</v>
      </c>
      <c r="B13830" s="1" t="s">
        <v>13688</v>
      </c>
      <c r="C13830" t="str">
        <f>IFERROR(__xludf.DUMMYFUNCTION("GOOGLETRANSLATE(B13830, ""zh"", ""en"")"),"Good good style, comfortable to wear.")</f>
        <v>Good good style, comfortable to wear.</v>
      </c>
    </row>
    <row r="13831">
      <c r="A13831" s="1">
        <v>5.0</v>
      </c>
      <c r="B13831" s="1" t="s">
        <v>13689</v>
      </c>
      <c r="C13831" t="str">
        <f>IFERROR(__xludf.DUMMYFUNCTION("GOOGLETRANSLATE(B13831, ""zh"", ""en"")"),"Quality worthy of the price workmanship okay, that is a bit hard. Worthy of the price")</f>
        <v>Quality worthy of the price workmanship okay, that is a bit hard. Worthy of the price</v>
      </c>
    </row>
    <row r="13832">
      <c r="A13832" s="1">
        <v>5.0</v>
      </c>
      <c r="B13832" s="1" t="s">
        <v>13690</v>
      </c>
      <c r="C13832" t="str">
        <f>IFERROR(__xludf.DUMMYFUNCTION("GOOGLETRANSLATE(B13832, ""zh"", ""en"")"),"US8.5 DM feet set a good 42 yards, the results sent eight yards after being found wearing just right, it can only say that the shoe is too large, 880 tax package shipping")</f>
        <v>US8.5 DM feet set a good 42 yards, the results sent eight yards after being found wearing just right, it can only say that the shoe is too large, 880 tax package shipping</v>
      </c>
    </row>
    <row r="13833">
      <c r="A13833" s="1">
        <v>5.0</v>
      </c>
      <c r="B13833" s="1" t="s">
        <v>13691</v>
      </c>
      <c r="C13833" t="str">
        <f>IFERROR(__xludf.DUMMYFUNCTION("GOOGLETRANSLATE(B13833, ""zh"", ""en"")"),"Very good small desktop speakers have been contemplating to buy a small desktop audio, the main purpose is to listen to FM radio and MP3 in the restaurant, so most concerned about is Denon's M39, as well as with network play features N5, N7 of the class. "&amp;"Better than not know, with the United States and Asia and Japan Amazon price of a contrast, we found that the domestic price is too high, so that the plan can only be shelved for the time being, wondering look for opportunities abroad with goods sent out "&amp;"from it, not sure Japan the domestic FM band if you can use. Then for some time, has been listening to the radio with Ipad dragonfly, always feel the sound is too thin, and there is no interest in using Ipad to listen to Mp3. By chance, saw this pair of s"&amp;"peakers, I feel if it is used with Ipad, I was not able to meet to listen to the radio and MP3 claimed yet, just a bargain, he bought 999 immediately. Amazon is to force, orders Friday afternoon, Saturday morning received the goods. Out of the box, a litt"&amp;"le puzzled as to where inside a plastic speakers, yet there are dust, do not know what the situation. Box smaller than expected but also, fortunately, very satisfied after power audition, vocal comfortable listening, online radio is also very good, very s"&amp;"atisfied with a product.")</f>
        <v>Very good small desktop speakers have been contemplating to buy a small desktop audio, the main purpose is to listen to FM radio and MP3 in the restaurant, so most concerned about is Denon's M39, as well as with network play features N5, N7 of the class. Better than not know, with the United States and Asia and Japan Amazon price of a contrast, we found that the domestic price is too high, so that the plan can only be shelved for the time being, wondering look for opportunities abroad with goods sent out from it, not sure Japan the domestic FM band if you can use. Then for some time, has been listening to the radio with Ipad dragonfly, always feel the sound is too thin, and there is no interest in using Ipad to listen to Mp3. By chance, saw this pair of speakers, I feel if it is used with Ipad, I was not able to meet to listen to the radio and MP3 claimed yet, just a bargain, he bought 999 immediately. Amazon is to force, orders Friday afternoon, Saturday morning received the goods. Out of the box, a little puzzled as to where inside a plastic speakers, yet there are dust, do not know what the situation. Box smaller than expected but also, fortunately, very satisfied after power audition, vocal comfortable listening, online radio is also very good, very satisfied with a product.</v>
      </c>
    </row>
    <row r="13834">
      <c r="A13834" s="1">
        <v>5.0</v>
      </c>
      <c r="B13834" s="1" t="s">
        <v>13692</v>
      </c>
      <c r="C13834" t="str">
        <f>IFERROR(__xludf.DUMMYFUNCTION("GOOGLETRANSLATE(B13834, ""zh"", ""en"")"),"Very satisfied with the logistics of time shorter than imagined. Cheap, fast read and write, design beautiful.")</f>
        <v>Very satisfied with the logistics of time shorter than imagined. Cheap, fast read and write, design beautiful.</v>
      </c>
    </row>
    <row r="13835">
      <c r="A13835" s="1">
        <v>5.0</v>
      </c>
      <c r="B13835" s="1" t="s">
        <v>13693</v>
      </c>
      <c r="C13835" t="str">
        <f>IFERROR(__xludf.DUMMYFUNCTION("GOOGLETRANSLATE(B13835, ""zh"", ""en"")"),"Good-looking, comfortable to wear comfortable, good-looking, that is a big point, 162,62 kg, in code, if the code is estimated small waist appropriate.")</f>
        <v>Good-looking, comfortable to wear comfortable, good-looking, that is a big point, 162,62 kg, in code, if the code is estimated small waist appropriate.</v>
      </c>
    </row>
    <row r="13836">
      <c r="A13836" s="1">
        <v>5.0</v>
      </c>
      <c r="B13836" s="1" t="s">
        <v>13694</v>
      </c>
      <c r="C13836" t="str">
        <f>IFERROR(__xludf.DUMMYFUNCTION("GOOGLETRANSLATE(B13836, ""zh"", ""en"")"),"Size reference price much cheaper than the mall, usually code what code on what to buy, the quality is no problem")</f>
        <v>Size reference price much cheaper than the mall, usually code what code on what to buy, the quality is no problem</v>
      </c>
    </row>
    <row r="13837">
      <c r="A13837" s="1">
        <v>5.0</v>
      </c>
      <c r="B13837" s="1" t="s">
        <v>13695</v>
      </c>
      <c r="C13837" t="str">
        <f>IFERROR(__xludf.DUMMYFUNCTION("GOOGLETRANSLATE(B13837, ""zh"", ""en"")"),"Bang Bang da good, inside and outside the packaging! Speed ​​is still fast! Freed his hands, four eggs need to clear the fast speed in order to play in the end! In short I liked! It took me a price less than 2500 hand! Sea Amoy friends for reference! Yen "&amp;"value would not have said!")</f>
        <v>Bang Bang da good, inside and outside the packaging! Speed ​​is still fast! Freed his hands, four eggs need to clear the fast speed in order to play in the end! In short I liked! It took me a price less than 2500 hand! Sea Amoy friends for reference! Yen value would not have said!</v>
      </c>
    </row>
    <row r="13838">
      <c r="A13838" s="1">
        <v>5.0</v>
      </c>
      <c r="B13838" s="1" t="s">
        <v>13696</v>
      </c>
      <c r="C13838" t="str">
        <f>IFERROR(__xludf.DUMMYFUNCTION("GOOGLETRANSLATE(B13838, ""zh"", ""en"")"),"A good pair of boxes. Can well cope with this kind of listening environment against the wall, however ,, computer desk is not recommended. Much like the sound field junction box, impact on listening to music and watching movies and games will be. In fact,"&amp;" if you simply listen to music, then this price is still more praise headphones. My computer desk is 140 * 70, have been wrapped into the E4.5, feeling much better effect, hereby comment. After all, although the room is 20 levels, play the game can not pu"&amp;"ll so far, right. About background noise problem, onboard sound and Lotus line is certainly common, the street I approach the front DA300USB no later then put on two pairs of wire (RCA to recommend a good balance point, two are not necessarily good RCA pl"&amp;"ug ), within almost no background noise 1cm too. If the sound is never too ugly best to engage an external USB, the same price better rhythm tanks and innovation personally do not recommend, innovation is doing more than singing, rhythm tanks tuning more "&amp;"boring, Musiland stacking more fierce, but this also depends on personal preference. Sound card with the best front stage. Because this box tone sounds too convenient. All in all, as the entry box is still very good, although I still think the price of th"&amp;"e headset system stronger than boxes, personal use AKG K612 + Costa de h10, good sense of music a lot. But only recommended, after all, listening to the box and headphones feels different, the above text are for reference only. Follow-up added: Recommend "&amp;"this price sound Hui Q4P, or front-end consideration DA300USB Yang Jing MINI PRO.")</f>
        <v>A good pair of boxes. Can well cope with this kind of listening environment against the wall, however ,, computer desk is not recommended. Much like the sound field junction box, impact on listening to music and watching movies and games will be. In fact, if you simply listen to music, then this price is still more praise headphones. My computer desk is 140 * 70, have been wrapped into the E4.5, feeling much better effect, hereby comment. After all, although the room is 20 levels, play the game can not pull so far, right. About background noise problem, onboard sound and Lotus line is certainly common, the street I approach the front DA300USB no later then put on two pairs of wire (RCA to recommend a good balance point, two are not necessarily good RCA plug ), within almost no background noise 1cm too. If the sound is never too ugly best to engage an external USB, the same price better rhythm tanks and innovation personally do not recommend, innovation is doing more than singing, rhythm tanks tuning more boring, Musiland stacking more fierce, but this also depends on personal preference. Sound card with the best front stage. Because this box tone sounds too convenient. All in all, as the entry box is still very good, although I still think the price of the headset system stronger than boxes, personal use AKG K612 + Costa de h10, good sense of music a lot. But only recommended, after all, listening to the box and headphones feels different, the above text are for reference only. Follow-up added: Recommend this price sound Hui Q4P, or front-end consideration DA300USB Yang Jing MINI PRO.</v>
      </c>
    </row>
    <row r="13839">
      <c r="A13839" s="1">
        <v>5.0</v>
      </c>
      <c r="B13839" s="1" t="s">
        <v>13697</v>
      </c>
      <c r="C13839" t="str">
        <f>IFERROR(__xludf.DUMMYFUNCTION("GOOGLETRANSLATE(B13839, ""zh"", ""en"")"),"The thickness of a little thin, wear a little more appropriate.")</f>
        <v>The thickness of a little thin, wear a little more appropriate.</v>
      </c>
    </row>
    <row r="13840">
      <c r="A13840" s="1">
        <v>5.0</v>
      </c>
      <c r="B13840" s="1" t="s">
        <v>13698</v>
      </c>
      <c r="C13840" t="str">
        <f>IFERROR(__xludf.DUMMYFUNCTION("GOOGLETRANSLATE(B13840, ""zh"", ""en"")"),"Use usually very quiet, the occasional sudden a lot of noise, a little worried about it is not bad")</f>
        <v>Use usually very quiet, the occasional sudden a lot of noise, a little worried about it is not bad</v>
      </c>
    </row>
    <row r="13841">
      <c r="A13841" s="1">
        <v>5.0</v>
      </c>
      <c r="B13841" s="1" t="s">
        <v>13699</v>
      </c>
      <c r="C13841" t="str">
        <f>IFERROR(__xludf.DUMMYFUNCTION("GOOGLETRANSLATE(B13841, ""zh"", ""en"")"),"C Edition is a narrow version of men's shoes, a bit narrow work well, a little bit narrow. I noticed that some critics say is a wide C code, misled many people before. Men narrow code C, W, or E is Wide. C shoes are wide version.")</f>
        <v>C Edition is a narrow version of men's shoes, a bit narrow work well, a little bit narrow. I noticed that some critics say is a wide C code, misled many people before. Men narrow code C, W, or E is Wide. C shoes are wide version.</v>
      </c>
    </row>
    <row r="13842">
      <c r="A13842" s="1">
        <v>2.0</v>
      </c>
      <c r="B13842" s="1" t="s">
        <v>13700</v>
      </c>
      <c r="C13842" t="str">
        <f>IFERROR(__xludf.DUMMYFUNCTION("GOOGLETRANSLATE(B13842, ""zh"", ""en"")"),"Buttoned instability, too loose, easy off buttoned instability, too loose, easy off. Change back too much trouble, halo")</f>
        <v>Buttoned instability, too loose, easy off buttoned instability, too loose, easy off. Change back too much trouble, halo</v>
      </c>
    </row>
    <row r="13843">
      <c r="A13843" s="1">
        <v>3.0</v>
      </c>
      <c r="B13843" s="1" t="s">
        <v>13701</v>
      </c>
      <c r="C13843" t="str">
        <f>IFERROR(__xludf.DUMMYFUNCTION("GOOGLETRANSLATE(B13843, ""zh"", ""en"")"),"Buy big big buy-lost the original sense of compression · · · · I want to retire, but the freight should only recognize the more than 200 · · · Size overseas purchase must look back too think otherwise only disadvantage · · · hey I will wear a somewhat unp"&amp;"leasant ·")</f>
        <v>Buy big big buy-lost the original sense of compression · · · · I want to retire, but the freight should only recognize the more than 200 · · · Size overseas purchase must look back too think otherwise only disadvantage · · · hey I will wear a somewhat unpleasant ·</v>
      </c>
    </row>
    <row r="13844">
      <c r="A13844" s="1">
        <v>3.0</v>
      </c>
      <c r="B13844" s="1" t="s">
        <v>13702</v>
      </c>
      <c r="C13844" t="str">
        <f>IFERROR(__xludf.DUMMYFUNCTION("GOOGLETRANSLATE(B13844, ""zh"", ""en"")"),"Too small! Good shoes, soft light, color value enough, only half a yard too small size, usually 42, this election 42.5 uk8 still a little small, returned overseas to buy too much trouble, it will Chuan Chuan")</f>
        <v>Too small! Good shoes, soft light, color value enough, only half a yard too small size, usually 42, this election 42.5 uk8 still a little small, returned overseas to buy too much trouble, it will Chuan Chuan</v>
      </c>
    </row>
    <row r="13845">
      <c r="A13845" s="1">
        <v>1.0</v>
      </c>
      <c r="B13845" s="1" t="s">
        <v>13703</v>
      </c>
      <c r="C13845" t="str">
        <f>IFERROR(__xludf.DUMMYFUNCTION("GOOGLETRANSLATE(B13845, ""zh"", ""en"")"),"Quality problems have quality problems, we put on today found.")</f>
        <v>Quality problems have quality problems, we put on today found.</v>
      </c>
    </row>
    <row r="13846">
      <c r="A13846" s="1">
        <v>1.0</v>
      </c>
      <c r="B13846" s="1" t="s">
        <v>13704</v>
      </c>
      <c r="C13846" t="str">
        <f>IFERROR(__xludf.DUMMYFUNCTION("GOOGLETRANSLATE(B13846, ""zh"", ""en"")"),"What clothes size is too large, a big no edge. I want to return, shipping to 125, Halo, only when wearing pajamas")</f>
        <v>What clothes size is too large, a big no edge. I want to return, shipping to 125, Halo, only when wearing pajamas</v>
      </c>
    </row>
    <row r="13847">
      <c r="A13847" s="1">
        <v>1.0</v>
      </c>
      <c r="B13847" s="1" t="s">
        <v>13705</v>
      </c>
      <c r="C13847" t="str">
        <f>IFERROR(__xludf.DUMMYFUNCTION("GOOGLETRANSLATE(B13847, ""zh"", ""en"")"),"Drain too much a box of three bags, each bag at least 3 leak, all the same position, I feel there are serious quality problems, * the dog. . . . Pictures do not pass up, to not pass")</f>
        <v>Drain too much a box of three bags, each bag at least 3 leak, all the same position, I feel there are serious quality problems, * the dog. . . . Pictures do not pass up, to not pass</v>
      </c>
    </row>
    <row r="13848">
      <c r="A13848" s="1">
        <v>4.0</v>
      </c>
      <c r="B13848" s="1" t="s">
        <v>13706</v>
      </c>
      <c r="C13848" t="str">
        <f>IFERROR(__xludf.DUMMYFUNCTION("GOOGLETRANSLATE(B13848, ""zh"", ""en"")"),"Okay working with the material quite satisfactory, nothing surprises, decent trunk is also larger point still live together, that is, the sleeves too long, the good news is elastic mouth, barely able to wear")</f>
        <v>Okay working with the material quite satisfactory, nothing surprises, decent trunk is also larger point still live together, that is, the sleeves too long, the good news is elastic mouth, barely able to wear</v>
      </c>
    </row>
    <row r="13849">
      <c r="A13849" s="1">
        <v>4.0</v>
      </c>
      <c r="B13849" s="1" t="s">
        <v>13707</v>
      </c>
      <c r="C13849" t="str">
        <f>IFERROR(__xludf.DUMMYFUNCTION("GOOGLETRANSLATE(B13849, ""zh"", ""en"")"),"Official online brand shoe size measured quite accurate, you can try Quguan network is really nice, but as buyers have said above, it seems that people pass through, creased, and some of these skin pierced. Many shoes thread, but the connection is not ver"&amp;"y fit, there are traces of glue. Although doubt whether it is genuine, but very comfortable to wear, return too much trouble, is really very nice, so Jiang Zi bar 🙊")</f>
        <v>Official online brand shoe size measured quite accurate, you can try Quguan network is really nice, but as buyers have said above, it seems that people pass through, creased, and some of these skin pierced. Many shoes thread, but the connection is not very fit, there are traces of glue. Although doubt whether it is genuine, but very comfortable to wear, return too much trouble, is really very nice, so Jiang Zi bar 🙊</v>
      </c>
    </row>
    <row r="13850">
      <c r="A13850" s="1">
        <v>4.0</v>
      </c>
      <c r="B13850" s="1" t="s">
        <v>13708</v>
      </c>
      <c r="C13850" t="str">
        <f>IFERROR(__xludf.DUMMYFUNCTION("GOOGLETRANSLATE(B13850, ""zh"", ""en"")"),"Small defects anyway 480ml thought great, just after the hand feel. Leak-proof insulation and other details of the process may be, cover the seams a little defect is almost negligible, like to buy merchandise at Nichia")</f>
        <v>Small defects anyway 480ml thought great, just after the hand feel. Leak-proof insulation and other details of the process may be, cover the seams a little defect is almost negligible, like to buy merchandise at Nichia</v>
      </c>
    </row>
    <row r="13851">
      <c r="A13851" s="1">
        <v>4.0</v>
      </c>
      <c r="B13851" s="1" t="s">
        <v>13709</v>
      </c>
      <c r="C13851" t="str">
        <f>IFERROR(__xludf.DUMMYFUNCTION("GOOGLETRANSLATE(B13851, ""zh"", ""en"")"),"Small election code just received today, I have to say logistics is very fast, before and after less than ten days to go. The first saw the shoes feel a bit offbeat, head width than the average shoe, but very comfortable to wear! ! ! Soft leather, soles m"&amp;"oderate hardness. Certainly feel very comfortable walking! I usually wear shoes 43 yards, 42 yards shoes, this time to buy 7.5 yards is very appropriate!")</f>
        <v>Small election code just received today, I have to say logistics is very fast, before and after less than ten days to go. The first saw the shoes feel a bit offbeat, head width than the average shoe, but very comfortable to wear! ! ! Soft leather, soles moderate hardness. Certainly feel very comfortable walking! I usually wear shoes 43 yards, 42 yards shoes, this time to buy 7.5 yards is very appropriate!</v>
      </c>
    </row>
    <row r="13852">
      <c r="A13852" s="1">
        <v>4.0</v>
      </c>
      <c r="B13852" s="1" t="s">
        <v>13710</v>
      </c>
      <c r="C13852" t="str">
        <f>IFERROR(__xludf.DUMMYFUNCTION("GOOGLETRANSLATE(B13852, ""zh"", ""en"")"),"Honey Size buy buy their music based on previous experience of 37 feet 4uk thin small, thin and narrow, absolutely can not wear, can only be transferred")</f>
        <v>Honey Size buy buy their music based on previous experience of 37 feet 4uk thin small, thin and narrow, absolutely can not wear, can only be transferred</v>
      </c>
    </row>
    <row r="13853">
      <c r="A13853" s="1">
        <v>5.0</v>
      </c>
      <c r="B13853" s="1" t="s">
        <v>13711</v>
      </c>
      <c r="C13853" t="str">
        <f>IFERROR(__xludf.DUMMYFUNCTION("GOOGLETRANSLATE(B13853, ""zh"", ""en"")"),"Very much like good, very satisfied looks also like, very retro, ha ha")</f>
        <v>Very much like good, very satisfied looks also like, very retro, ha ha</v>
      </c>
    </row>
    <row r="13854">
      <c r="A13854" s="1">
        <v>5.0</v>
      </c>
      <c r="B13854" s="1" t="s">
        <v>13712</v>
      </c>
      <c r="C13854" t="str">
        <f>IFERROR(__xludf.DUMMYFUNCTION("GOOGLETRANSLATE(B13854, ""zh"", ""en"")"),"Again like the repo, easy to use, before the bad, and repurchased")</f>
        <v>Again like the repo, easy to use, before the bad, and repurchased</v>
      </c>
    </row>
    <row r="13855">
      <c r="A13855" s="1">
        <v>5.0</v>
      </c>
      <c r="B13855" s="1" t="s">
        <v>13713</v>
      </c>
      <c r="C13855" t="str">
        <f>IFERROR(__xludf.DUMMYFUNCTION("GOOGLETRANSLATE(B13855, ""zh"", ""en"")"),"It may also be, easy to open circular shoelace")</f>
        <v>It may also be, easy to open circular shoelace</v>
      </c>
    </row>
    <row r="13856">
      <c r="A13856" s="1">
        <v>5.0</v>
      </c>
      <c r="B13856" s="1" t="s">
        <v>13714</v>
      </c>
      <c r="C13856" t="str">
        <f>IFERROR(__xludf.DUMMYFUNCTION("GOOGLETRANSLATE(B13856, ""zh"", ""en"")"),"God-class level of God earplugs earplugs, bought not regret it, Almighty headset, apex also to the force, three days put the stuff from Japan to China, the only drawback is that Amazon's service does not work, orders are not shipped nor two weeks reasons,"&amp;" and no compensation, you have to ask yourself customer service, customer service attitude is not very good, indifferent.")</f>
        <v>God-class level of God earplugs earplugs, bought not regret it, Almighty headset, apex also to the force, three days put the stuff from Japan to China, the only drawback is that Amazon's service does not work, orders are not shipped nor two weeks reasons, and no compensation, you have to ask yourself customer service, customer service attitude is not very good, indifferent.</v>
      </c>
    </row>
    <row r="13857">
      <c r="A13857" s="1">
        <v>5.0</v>
      </c>
      <c r="B13857" s="1" t="s">
        <v>13715</v>
      </c>
      <c r="C13857" t="str">
        <f>IFERROR(__xludf.DUMMYFUNCTION("GOOGLETRANSLATE(B13857, ""zh"", ""en"")"),"Ms. models in sizes from small to buy, usually wear Nike 42. I just shoe size feet fat is narrow, remove the insoles can wear.")</f>
        <v>Ms. models in sizes from small to buy, usually wear Nike 42. I just shoe size feet fat is narrow, remove the insoles can wear.</v>
      </c>
    </row>
    <row r="13858">
      <c r="A13858" s="1">
        <v>5.0</v>
      </c>
      <c r="B13858" s="1" t="s">
        <v>13716</v>
      </c>
      <c r="C13858" t="str">
        <f>IFERROR(__xludf.DUMMYFUNCTION("GOOGLETRANSLATE(B13858, ""zh"", ""en"")"),"Good-looking, easy to use, the right size, very fond of good-looking, easy to use, the right size, like, baby love with ~")</f>
        <v>Good-looking, easy to use, the right size, very fond of good-looking, easy to use, the right size, like, baby love with ~</v>
      </c>
    </row>
    <row r="13859">
      <c r="A13859" s="1">
        <v>5.0</v>
      </c>
      <c r="B13859" s="1" t="s">
        <v>13717</v>
      </c>
      <c r="C13859" t="str">
        <f>IFERROR(__xludf.DUMMYFUNCTION("GOOGLETRANSLATE(B13859, ""zh"", ""en"")"),"Cheap good quality, affordable.")</f>
        <v>Cheap good quality, affordable.</v>
      </c>
    </row>
    <row r="13860">
      <c r="A13860" s="1">
        <v>5.0</v>
      </c>
      <c r="B13860" s="1" t="s">
        <v>13718</v>
      </c>
      <c r="C13860" t="str">
        <f>IFERROR(__xludf.DUMMYFUNCTION("GOOGLETRANSLATE(B13860, ""zh"", ""en"")"),"Atmosphere, beautiful, applicable; affordable atmosphere, beautiful, applicable; affordable")</f>
        <v>Atmosphere, beautiful, applicable; affordable atmosphere, beautiful, applicable; affordable</v>
      </c>
    </row>
    <row r="13861">
      <c r="A13861" s="1">
        <v>5.0</v>
      </c>
      <c r="B13861" s="1" t="s">
        <v>13719</v>
      </c>
      <c r="C13861" t="str">
        <f>IFERROR(__xludf.DUMMYFUNCTION("GOOGLETRANSLATE(B13861, ""zh"", ""en"")"),"Cute fashionable take the pen is very convenient, the key is the kids like super")</f>
        <v>Cute fashionable take the pen is very convenient, the key is the kids like super</v>
      </c>
    </row>
    <row r="13862">
      <c r="A13862" s="1">
        <v>5.0</v>
      </c>
      <c r="B13862" s="1" t="s">
        <v>13720</v>
      </c>
      <c r="C13862" t="str">
        <f>IFERROR(__xludf.DUMMYFUNCTION("GOOGLETRANSLATE(B13862, ""zh"", ""en"")"),"Want to change the fabric yardage good but a little big, do not know how a replacement. Oops")</f>
        <v>Want to change the fabric yardage good but a little big, do not know how a replacement. Oops</v>
      </c>
    </row>
    <row r="13863">
      <c r="A13863" s="1">
        <v>5.0</v>
      </c>
      <c r="B13863" s="1" t="s">
        <v>10874</v>
      </c>
      <c r="C13863" t="str">
        <f>IFERROR(__xludf.DUMMYFUNCTION("GOOGLETRANSLATE(B13863, ""zh"", ""en"")"),"Suitable comfortable, size is just right, just right sleeve")</f>
        <v>Suitable comfortable, size is just right, just right sleeve</v>
      </c>
    </row>
    <row r="13864">
      <c r="A13864" s="1">
        <v>5.0</v>
      </c>
      <c r="B13864" s="1" t="s">
        <v>13721</v>
      </c>
      <c r="C13864" t="str">
        <f>IFERROR(__xludf.DUMMYFUNCTION("GOOGLETRANSLATE(B13864, ""zh"", ""en"")"),"made in usa very well, Amazon's packaging is very beautiful, made in usa very easy to use, high cost, highly recommended, 6730 perfect fit")</f>
        <v>made in usa very well, Amazon's packaging is very beautiful, made in usa very easy to use, high cost, highly recommended, 6730 perfect fit</v>
      </c>
    </row>
    <row r="13865">
      <c r="A13865" s="1">
        <v>5.0</v>
      </c>
      <c r="B13865" s="1" t="s">
        <v>13722</v>
      </c>
      <c r="C13865" t="str">
        <f>IFERROR(__xludf.DUMMYFUNCTION("GOOGLETRANSLATE(B13865, ""zh"", ""en"")"),"187,180 pounds, L is a suitable No. 187,180 pounds, L is a suitable number, a certain color is not pure black")</f>
        <v>187,180 pounds, L is a suitable No. 187,180 pounds, L is a suitable number, a certain color is not pure black</v>
      </c>
    </row>
    <row r="13866">
      <c r="A13866" s="1">
        <v>5.0</v>
      </c>
      <c r="B13866" s="1" t="s">
        <v>13723</v>
      </c>
      <c r="C13866" t="str">
        <f>IFERROR(__xludf.DUMMYFUNCTION("GOOGLETRANSLATE(B13866, ""zh"", ""en"")"),"Perfect and imagination, like, just perfect! With a week's time to the hands, labels and the like are in English, Amazon orders are in English. Shoes texture Ye Hao, should be genuine. Usually sports shoes 37 yards, or 36.5 yards. The UK4 US6.5 right leng"&amp;"th, but because of this slightly pointed toe a little flat, I could feel the toes, but not against the actual toe toe, not tight. Be just right. Heel looser, love to stick heel shoes can put the shoelace tightening is OK")</f>
        <v>Perfect and imagination, like, just perfect! With a week's time to the hands, labels and the like are in English, Amazon orders are in English. Shoes texture Ye Hao, should be genuine. Usually sports shoes 37 yards, or 36.5 yards. The UK4 US6.5 right length, but because of this slightly pointed toe a little flat, I could feel the toes, but not against the actual toe toe, not tight. Be just right. Heel looser, love to stick heel shoes can put the shoelace tightening is OK</v>
      </c>
    </row>
    <row r="13867">
      <c r="A13867" s="1">
        <v>5.0</v>
      </c>
      <c r="B13867" s="1" t="s">
        <v>13724</v>
      </c>
      <c r="C13867" t="str">
        <f>IFERROR(__xludf.DUMMYFUNCTION("GOOGLETRANSLATE(B13867, ""zh"", ""en"")"),"T-shirts do not work but a lot of fun: in fact, people feel a little thickness of the clothes, but wore not feel the heat, high temperatures Shanghai these days, but there are still feeling kind of insulation, thicker version of quick-drying count.")</f>
        <v>T-shirts do not work but a lot of fun: in fact, people feel a little thickness of the clothes, but wore not feel the heat, high temperatures Shanghai these days, but there are still feeling kind of insulation, thicker version of quick-drying count.</v>
      </c>
    </row>
    <row r="13868">
      <c r="A13868" s="1">
        <v>5.0</v>
      </c>
      <c r="B13868" s="1" t="s">
        <v>13725</v>
      </c>
      <c r="C13868" t="str">
        <f>IFERROR(__xludf.DUMMYFUNCTION("GOOGLETRANSLATE(B13868, ""zh"", ""en"")"),"Good quality satisfaction satisfied, like, great")</f>
        <v>Good quality satisfaction satisfied, like, great</v>
      </c>
    </row>
    <row r="13869">
      <c r="A13869" s="1">
        <v>5.0</v>
      </c>
      <c r="B13869" s="1" t="s">
        <v>13726</v>
      </c>
      <c r="C13869" t="str">
        <f>IFERROR(__xludf.DUMMYFUNCTION("GOOGLETRANSLATE(B13869, ""zh"", ""en"")"),"Very good tax increase of more than 500 buy, although not the cheapest time to buy, but the contrast country is still very cost-effective, the use of materials is still very good, feet a little low so chose most of the code, wearing still very appropriate"&amp;", is the heel there are cards foot, I believe that other buyers have encountered this problem")</f>
        <v>Very good tax increase of more than 500 buy, although not the cheapest time to buy, but the contrast country is still very cost-effective, the use of materials is still very good, feet a little low so chose most of the code, wearing still very appropriate, is the heel there are cards foot, I believe that other buyers have encountered this problem</v>
      </c>
    </row>
    <row r="13870">
      <c r="A13870" s="1">
        <v>5.0</v>
      </c>
      <c r="B13870" s="1" t="s">
        <v>13727</v>
      </c>
      <c r="C13870" t="str">
        <f>IFERROR(__xludf.DUMMYFUNCTION("GOOGLETRANSLATE(B13870, ""zh"", ""en"")"),"Funny! Actually in transit lost, lost! I first met!")</f>
        <v>Funny! Actually in transit lost, lost! I first met!</v>
      </c>
    </row>
    <row r="13871">
      <c r="A13871" s="1">
        <v>5.0</v>
      </c>
      <c r="B13871" s="1" t="s">
        <v>13728</v>
      </c>
      <c r="C13871" t="str">
        <f>IFERROR(__xludf.DUMMYFUNCTION("GOOGLETRANSLATE(B13871, ""zh"", ""en"")"),"Good design is easy to use, shower water is very delicate")</f>
        <v>Good design is easy to use, shower water is very delicate</v>
      </c>
    </row>
    <row r="13872">
      <c r="A13872" s="1">
        <v>5.0</v>
      </c>
      <c r="B13872" s="1" t="s">
        <v>13729</v>
      </c>
      <c r="C13872" t="str">
        <f>IFERROR(__xludf.DUMMYFUNCTION("GOOGLETRANSLATE(B13872, ""zh"", ""en"")"),"Good boots completely different as relatively positive, think a little uncomfortable to wear off can buy most of the code. Comfort is also good boots, good-looking than imagined back on foot.")</f>
        <v>Good boots completely different as relatively positive, think a little uncomfortable to wear off can buy most of the code. Comfort is also good boots, good-looking than imagined back on foot.</v>
      </c>
    </row>
    <row r="13873">
      <c r="A13873" s="1">
        <v>5.0</v>
      </c>
      <c r="B13873" s="1" t="s">
        <v>13730</v>
      </c>
      <c r="C13873" t="str">
        <f>IFERROR(__xludf.DUMMYFUNCTION("GOOGLETRANSLATE(B13873, ""zh"", ""en"")"),"Chan is very good, the right size, very comfortable")</f>
        <v>Chan is very good, the right size, very comfortable</v>
      </c>
    </row>
    <row r="13874">
      <c r="A13874" s="1">
        <v>5.0</v>
      </c>
      <c r="B13874" s="1" t="s">
        <v>13731</v>
      </c>
      <c r="C13874" t="str">
        <f>IFERROR(__xludf.DUMMYFUNCTION("GOOGLETRANSLATE(B13874, ""zh"", ""en"")"),"A good pair of jeans is very good, color is very positive, fabric soft, suitable for spring wear, 172 72 w31 l30 appropriate")</f>
        <v>A good pair of jeans is very good, color is very positive, fabric soft, suitable for spring wear, 172 72 w31 l30 appropriate</v>
      </c>
    </row>
    <row r="13875">
      <c r="A13875" s="1">
        <v>2.0</v>
      </c>
      <c r="B13875" s="1" t="s">
        <v>13732</v>
      </c>
      <c r="C13875" t="str">
        <f>IFERROR(__xludf.DUMMYFUNCTION("GOOGLETRANSLATE(B13875, ""zh"", ""en"")"),"Impractical flying white ink off, put a night, the next day is often no ink, bad experience, I personally feel that the touch was not good pen-made dozens of pieces, in addition to the value of nothing Yan, general not recommended to buy.")</f>
        <v>Impractical flying white ink off, put a night, the next day is often no ink, bad experience, I personally feel that the touch was not good pen-made dozens of pieces, in addition to the value of nothing Yan, general not recommended to buy.</v>
      </c>
    </row>
    <row r="13876">
      <c r="A13876" s="1">
        <v>3.0</v>
      </c>
      <c r="B13876" s="1" t="s">
        <v>13733</v>
      </c>
      <c r="C13876" t="str">
        <f>IFERROR(__xludf.DUMMYFUNCTION("GOOGLETRANSLATE(B13876, ""zh"", ""en"")"),"This really speaks really can not compare the price of domestic brands the same level of quality that is directed at the CK standard")</f>
        <v>This really speaks really can not compare the price of domestic brands the same level of quality that is directed at the CK standard</v>
      </c>
    </row>
    <row r="13877">
      <c r="A13877" s="1">
        <v>3.0</v>
      </c>
      <c r="B13877" s="1" t="s">
        <v>13734</v>
      </c>
      <c r="C13877" t="str">
        <f>IFERROR(__xludf.DUMMYFUNCTION("GOOGLETRANSLATE(B13877, ""zh"", ""en"")"),"Buy small usually 37 yards, this time to buy small! Difficult to wear into the instep of the upset! Hard shoes, looks handsome! Suede hot!")</f>
        <v>Buy small usually 37 yards, this time to buy small! Difficult to wear into the instep of the upset! Hard shoes, looks handsome! Suede hot!</v>
      </c>
    </row>
    <row r="13878">
      <c r="A13878" s="1">
        <v>3.0</v>
      </c>
      <c r="B13878" s="1" t="s">
        <v>13735</v>
      </c>
      <c r="C13878" t="str">
        <f>IFERROR(__xludf.DUMMYFUNCTION("GOOGLETRANSLATE(B13878, ""zh"", ""en"")"),"178cm, 79kg, wear 170 L code is still very large, it seems only appropriate code number 165 was very thin fabric, texture okay, postage with only 100 yuan, have nothing critical of")</f>
        <v>178cm, 79kg, wear 170 L code is still very large, it seems only appropriate code number 165 was very thin fabric, texture okay, postage with only 100 yuan, have nothing critical of</v>
      </c>
    </row>
    <row r="13879">
      <c r="A13879" s="1">
        <v>1.0</v>
      </c>
      <c r="B13879" s="1" t="s">
        <v>13736</v>
      </c>
      <c r="C13879" t="str">
        <f>IFERROR(__xludf.DUMMYFUNCTION("GOOGLETRANSLATE(B13879, ""zh"", ""en"")"),"You can only recommend my friends to give as gifts, big! Anyone to forget it.")</f>
        <v>You can only recommend my friends to give as gifts, big! Anyone to forget it.</v>
      </c>
    </row>
    <row r="13880">
      <c r="A13880" s="1">
        <v>1.0</v>
      </c>
      <c r="B13880" s="1" t="s">
        <v>13737</v>
      </c>
      <c r="C13880" t="str">
        <f>IFERROR(__xludf.DUMMYFUNCTION("GOOGLETRANSLATE(B13880, ""zh"", ""en"")"),"Very bad experience very hard, wear foot pain, not as previously bought ecco, but also pictures and objects the difference a little big, expensive shoes stands to reason that it should not be like this, is it fake?:?")</f>
        <v>Very bad experience very hard, wear foot pain, not as previously bought ecco, but also pictures and objects the difference a little big, expensive shoes stands to reason that it should not be like this, is it fake?:?</v>
      </c>
    </row>
    <row r="13881">
      <c r="A13881" s="1">
        <v>1.0</v>
      </c>
      <c r="B13881" s="1" t="s">
        <v>13738</v>
      </c>
      <c r="C13881" t="str">
        <f>IFERROR(__xludf.DUMMYFUNCTION("GOOGLETRANSLATE(B13881, ""zh"", ""en"")"),"If it can really sucks ...... ...... no stars in this sea Amoy so popular, long, long time I've had such a long, long time did not buy rotten things ......")</f>
        <v>If it can really sucks ...... ...... no stars in this sea Amoy so popular, long, long time I've had such a long, long time did not buy rotten things ......</v>
      </c>
    </row>
    <row r="13882">
      <c r="A13882" s="1">
        <v>4.0</v>
      </c>
      <c r="B13882" s="1" t="s">
        <v>13739</v>
      </c>
      <c r="C13882" t="str">
        <f>IFERROR(__xludf.DUMMYFUNCTION("GOOGLETRANSLATE(B13882, ""zh"", ""en"")"),"5.5us see table 5.5 35.5 36 yards. . . The results came back wearing shoes is 35.5 slightly a little small but very comfortable shoes to wear do not know the true and false comfort to Come")</f>
        <v>5.5us see table 5.5 35.5 36 yards. . . The results came back wearing shoes is 35.5 slightly a little small but very comfortable shoes to wear do not know the true and false comfort to Come</v>
      </c>
    </row>
    <row r="13883">
      <c r="A13883" s="1">
        <v>4.0</v>
      </c>
      <c r="B13883" s="1" t="s">
        <v>13740</v>
      </c>
      <c r="C13883" t="str">
        <f>IFERROR(__xludf.DUMMYFUNCTION("GOOGLETRANSLATE(B13883, ""zh"", ""en"")"),"Canada is not a very light nor heavenly made, Myanmar is made, selected M No. 180/70, the sleeves just right, clothes are a bit compact, such as the option to loose points L, clothes work well")</f>
        <v>Canada is not a very light nor heavenly made, Myanmar is made, selected M No. 180/70, the sleeves just right, clothes are a bit compact, such as the option to loose points L, clothes work well</v>
      </c>
    </row>
    <row r="13884">
      <c r="A13884" s="1">
        <v>4.0</v>
      </c>
      <c r="B13884" s="1" t="s">
        <v>13741</v>
      </c>
      <c r="C13884" t="str">
        <f>IFERROR(__xludf.DUMMYFUNCTION("GOOGLETRANSLATE(B13884, ""zh"", ""en"")"),"Super nice shoes, my God 4,5m equivalent to 22:05 centimeters, I was 36 yards just length, but the width is slightly narrower, a bit crowded feet, especially the toe piece, but very good-looking shoes, bought a total of about 320, or more cost effective")</f>
        <v>Super nice shoes, my God 4,5m equivalent to 22:05 centimeters, I was 36 yards just length, but the width is slightly narrower, a bit crowded feet, especially the toe piece, but very good-looking shoes, bought a total of about 320, or more cost effective</v>
      </c>
    </row>
    <row r="13885">
      <c r="A13885" s="1">
        <v>4.0</v>
      </c>
      <c r="B13885" s="1" t="s">
        <v>13742</v>
      </c>
      <c r="C13885" t="str">
        <f>IFERROR(__xludf.DUMMYFUNCTION("GOOGLETRANSLATE(B13885, ""zh"", ""en"")"),"Da Yan play very good value, excellent prices")</f>
        <v>Da Yan play very good value, excellent prices</v>
      </c>
    </row>
    <row r="13886">
      <c r="A13886" s="1">
        <v>4.0</v>
      </c>
      <c r="B13886" s="1" t="s">
        <v>13743</v>
      </c>
      <c r="C13886" t="str">
        <f>IFERROR(__xludf.DUMMYFUNCTION("GOOGLETRANSLATE(B13886, ""zh"", ""en"")"),"The price has just arrived on the price of 20 yuan hey. Big noise. . .")</f>
        <v>The price has just arrived on the price of 20 yuan hey. Big noise. . .</v>
      </c>
    </row>
    <row r="13887">
      <c r="A13887" s="1">
        <v>5.0</v>
      </c>
      <c r="B13887" s="1" t="s">
        <v>13744</v>
      </c>
      <c r="C13887" t="str">
        <f>IFERROR(__xludf.DUMMYFUNCTION("GOOGLETRANSLATE(B13887, ""zh"", ""en"")"),"Comfortable 100 points for the summer! Very comfortable, vest-style, after passing through would like to come back some other color.")</f>
        <v>Comfortable 100 points for the summer! Very comfortable, vest-style, after passing through would like to come back some other color.</v>
      </c>
    </row>
    <row r="13888">
      <c r="A13888" s="1">
        <v>5.0</v>
      </c>
      <c r="B13888" s="1" t="s">
        <v>13745</v>
      </c>
      <c r="C13888" t="str">
        <f>IFERROR(__xludf.DUMMYFUNCTION("GOOGLETRANSLATE(B13888, ""zh"", ""en"")"),"Filters are very satisfied with the good, continue to buy.")</f>
        <v>Filters are very satisfied with the good, continue to buy.</v>
      </c>
    </row>
    <row r="13889">
      <c r="A13889" s="1">
        <v>5.0</v>
      </c>
      <c r="B13889" s="1" t="s">
        <v>13746</v>
      </c>
      <c r="C13889" t="str">
        <f>IFERROR(__xludf.DUMMYFUNCTION("GOOGLETRANSLATE(B13889, ""zh"", ""en"")"),"Nice slacks! Affordable, comfortable, very standard size, great shopping experience!")</f>
        <v>Nice slacks! Affordable, comfortable, very standard size, great shopping experience!</v>
      </c>
    </row>
    <row r="13890">
      <c r="A13890" s="1">
        <v>5.0</v>
      </c>
      <c r="B13890" s="1" t="s">
        <v>13747</v>
      </c>
      <c r="C13890" t="str">
        <f>IFERROR(__xludf.DUMMYFUNCTION("GOOGLETRANSLATE(B13890, ""zh"", ""en"")"),"Very satisfied ~ ~ better than expected summer I usually wear shoes 35 or 35.5, 36.5 sneakers to wear, this pair of 3 yards - just kind of have to look better than the picture, good to wear, before I heard Martin family shoes Yuechuan Yue will be good to "&amp;"wear, my feet relatively thin, the first day of the ankle a little Ge, thought to be a period of adaptation, I did not expect a two hour stroll the street like a ~")</f>
        <v>Very satisfied ~ ~ better than expected summer I usually wear shoes 35 or 35.5, 36.5 sneakers to wear, this pair of 3 yards - just kind of have to look better than the picture, good to wear, before I heard Martin family shoes Yuechuan Yue will be good to wear, my feet relatively thin, the first day of the ankle a little Ge, thought to be a period of adaptation, I did not expect a two hour stroll the street like a ~</v>
      </c>
    </row>
    <row r="13891">
      <c r="A13891" s="1">
        <v>5.0</v>
      </c>
      <c r="B13891" s="1" t="s">
        <v>13748</v>
      </c>
      <c r="C13891" t="str">
        <f>IFERROR(__xludf.DUMMYFUNCTION("GOOGLETRANSLATE(B13891, ""zh"", ""en"")"),"Pants great! Size always accurate, according to the usual size to buy enough, almost before being misleading comments. Indian origin pants. Wear for fall!")</f>
        <v>Pants great! Size always accurate, according to the usual size to buy enough, almost before being misleading comments. Indian origin pants. Wear for fall!</v>
      </c>
    </row>
    <row r="13892">
      <c r="A13892" s="1">
        <v>5.0</v>
      </c>
      <c r="B13892" s="1" t="s">
        <v>13749</v>
      </c>
      <c r="C13892" t="str">
        <f>IFERROR(__xludf.DUMMYFUNCTION("GOOGLETRANSLATE(B13892, ""zh"", ""en"")"),"Value for money! Watch good, wear is also very significant level! The key is cheap, foreign postal ten days, very fast!")</f>
        <v>Value for money! Watch good, wear is also very significant level! The key is cheap, foreign postal ten days, very fast!</v>
      </c>
    </row>
    <row r="13893">
      <c r="A13893" s="1">
        <v>5.0</v>
      </c>
      <c r="B13893" s="1" t="s">
        <v>13750</v>
      </c>
      <c r="C13893" t="str">
        <f>IFERROR(__xludf.DUMMYFUNCTION("GOOGLETRANSLATE(B13893, ""zh"", ""en"")"),"Good shoes super comfortable writing is very good, much cheaper than domestic, comfortable, has been to buy ECCO shoes, to the force.")</f>
        <v>Good shoes super comfortable writing is very good, much cheaper than domestic, comfortable, has been to buy ECCO shoes, to the force.</v>
      </c>
    </row>
    <row r="13894">
      <c r="A13894" s="1">
        <v>5.0</v>
      </c>
      <c r="B13894" s="1" t="s">
        <v>13751</v>
      </c>
      <c r="C13894" t="str">
        <f>IFERROR(__xludf.DUMMYFUNCTION("GOOGLETRANSLATE(B13894, ""zh"", ""en"")"),"High cost usually wear M code, it would buy American S code. A bit thick, good quality, wash a few times, not shrinking, Shao color, wear season. High cost.")</f>
        <v>High cost usually wear M code, it would buy American S code. A bit thick, good quality, wash a few times, not shrinking, Shao color, wear season. High cost.</v>
      </c>
    </row>
    <row r="13895">
      <c r="A13895" s="1">
        <v>5.0</v>
      </c>
      <c r="B13895" s="1" t="s">
        <v>13752</v>
      </c>
      <c r="C13895" t="str">
        <f>IFERROR(__xludf.DUMMYFUNCTION("GOOGLETRANSLATE(B13895, ""zh"", ""en"")"),"Worth buying is really great shoes, sports shoes 42.5, 8.5 buy, very appropriate! But the logistics for too long!")</f>
        <v>Worth buying is really great shoes, sports shoes 42.5, 8.5 buy, very appropriate! But the logistics for too long!</v>
      </c>
    </row>
    <row r="13896">
      <c r="A13896" s="1">
        <v>5.0</v>
      </c>
      <c r="B13896" s="1" t="s">
        <v>13753</v>
      </c>
      <c r="C13896" t="str">
        <f>IFERROR(__xludf.DUMMYFUNCTION("GOOGLETRANSLATE(B13896, ""zh"", ""en"")"),"Praise good, smaller than expected, very practical!")</f>
        <v>Praise good, smaller than expected, very practical!</v>
      </c>
    </row>
    <row r="13897">
      <c r="A13897" s="1">
        <v>5.0</v>
      </c>
      <c r="B13897" s="1" t="s">
        <v>13754</v>
      </c>
      <c r="C13897" t="str">
        <f>IFERROR(__xludf.DUMMYFUNCTION("GOOGLETRANSLATE(B13897, ""zh"", ""en"")"),"Liked this chef machine &lt;div id = ""video-block-R1S140EW5103FB"" class = ""a-section a-spacing-small a-spacing-top-mini video-block""&gt; &lt;/ div&gt; &lt;input type = ""hidden ""name ="" ""value ="" https://images-cn.ssl-images-amazon.com/images/I/A1hkzFoHD5S.mp4 "&amp;"""class ="" video-url ""&gt; &lt;input type ="" hidden ""name ="" ""value ="" https://images-cn.ssl-images-amazon.com/images/I/71HkTOOlaiS.png ""class ="" video-slate-img-url ""&gt; &amp; nbsp; the price can buy this beautiful guy is very satisfied with the quality an"&amp;"d appearance of this performance is satisfactory")</f>
        <v>Liked this chef machine &lt;div id = "video-block-R1S140EW5103FB" class = "a-section a-spacing-small a-spacing-top-mini video-block"&gt; &lt;/ div&gt; &lt;input type = "hidden "name =" "value =" https://images-cn.ssl-images-amazon.com/images/I/A1hkzFoHD5S.mp4 "class =" video-url "&gt; &lt;input type =" hidden "name =" "value =" https://images-cn.ssl-images-amazon.com/images/I/71HkTOOlaiS.png "class =" video-slate-img-url "&gt; &amp; nbsp; the price can buy this beautiful guy is very satisfied with the quality and appearance of this performance is satisfactory</v>
      </c>
    </row>
    <row r="13898">
      <c r="A13898" s="1">
        <v>5.0</v>
      </c>
      <c r="B13898" s="1" t="s">
        <v>13755</v>
      </c>
      <c r="C13898" t="str">
        <f>IFERROR(__xludf.DUMMYFUNCTION("GOOGLETRANSLATE(B13898, ""zh"", ""en"")"),"Cute little clay pot arrived faster than expected, people are moving. Very cute clay pot, after receiving liked. The two combined amount for 2-3 people, very good!")</f>
        <v>Cute little clay pot arrived faster than expected, people are moving. Very cute clay pot, after receiving liked. The two combined amount for 2-3 people, very good!</v>
      </c>
    </row>
    <row r="13899">
      <c r="A13899" s="1">
        <v>5.0</v>
      </c>
      <c r="B13899" s="1" t="s">
        <v>13756</v>
      </c>
      <c r="C13899" t="str">
        <f>IFERROR(__xludf.DUMMYFUNCTION("GOOGLETRANSLATE(B13899, ""zh"", ""en"")"),"Monkeys really nice for the first time in the Amazon purchase the sea, to the baby store goods, really good 👍 fast delivery, goods NOW!")</f>
        <v>Monkeys really nice for the first time in the Amazon purchase the sea, to the baby store goods, really good 👍 fast delivery, goods NOW!</v>
      </c>
    </row>
    <row r="13900">
      <c r="A13900" s="1">
        <v>5.0</v>
      </c>
      <c r="B13900" s="1" t="s">
        <v>13757</v>
      </c>
      <c r="C13900" t="str">
        <f>IFERROR(__xludf.DUMMYFUNCTION("GOOGLETRANSLATE(B13900, ""zh"", ""en"")"),"Bra upper body is very comfortable, sleep wear no sense of restraint, satisfaction")</f>
        <v>Bra upper body is very comfortable, sleep wear no sense of restraint, satisfaction</v>
      </c>
    </row>
    <row r="13901">
      <c r="A13901" s="1">
        <v>5.0</v>
      </c>
      <c r="B13901" s="1" t="s">
        <v>13758</v>
      </c>
      <c r="C13901" t="str">
        <f>IFERROR(__xludf.DUMMYFUNCTION("GOOGLETRANSLATE(B13901, ""zh"", ""en"")"),"Genuine good authentic products, the US direct mail, quality is guaranteed.")</f>
        <v>Genuine good authentic products, the US direct mail, quality is guaranteed.</v>
      </c>
    </row>
    <row r="13902">
      <c r="A13902" s="1">
        <v>5.0</v>
      </c>
      <c r="B13902" s="1" t="s">
        <v>13759</v>
      </c>
      <c r="C13902" t="str">
        <f>IFERROR(__xludf.DUMMYFUNCTION("GOOGLETRANSLATE(B13902, ""zh"", ""en"")"),"Good good, the right size, easy to use")</f>
        <v>Good good, the right size, easy to use</v>
      </c>
    </row>
    <row r="13903">
      <c r="A13903" s="1">
        <v>5.0</v>
      </c>
      <c r="B13903" s="1" t="s">
        <v>13760</v>
      </c>
      <c r="C13903" t="str">
        <f>IFERROR(__xludf.DUMMYFUNCTION("GOOGLETRANSLATE(B13903, ""zh"", ""en"")"),"The size of this detail need to buy shoes freshman yards or half a yard, my feet 26 cm long, wearing the standard version of just 27.5. Very comfortable, we recommended to buy.")</f>
        <v>The size of this detail need to buy shoes freshman yards or half a yard, my feet 26 cm long, wearing the standard version of just 27.5. Very comfortable, we recommended to buy.</v>
      </c>
    </row>
    <row r="13904">
      <c r="A13904" s="1">
        <v>5.0</v>
      </c>
      <c r="B13904" s="1" t="s">
        <v>13761</v>
      </c>
      <c r="C13904" t="str">
        <f>IFERROR(__xludf.DUMMYFUNCTION("GOOGLETRANSLATE(B13904, ""zh"", ""en"")"),"Worth buying quick-drying, very comfortable to wear.")</f>
        <v>Worth buying quick-drying, very comfortable to wear.</v>
      </c>
    </row>
    <row r="13905">
      <c r="A13905" s="1">
        <v>5.0</v>
      </c>
      <c r="B13905" s="1" t="s">
        <v>13762</v>
      </c>
      <c r="C13905" t="str">
        <f>IFERROR(__xludf.DUMMYFUNCTION("GOOGLETRANSLATE(B13905, ""zh"", ""en"")"),"Recommended to choose more than two belt big number of large waistline waistline is recommended to choose two numbers, I chose 30 short of the 30 point (see Figure), the usual 30 can be selected belt 32")</f>
        <v>Recommended to choose more than two belt big number of large waistline waistline is recommended to choose two numbers, I chose 30 short of the 30 point (see Figure), the usual 30 can be selected belt 32</v>
      </c>
    </row>
    <row r="13906">
      <c r="A13906" s="1">
        <v>5.0</v>
      </c>
      <c r="B13906" s="1" t="s">
        <v>13763</v>
      </c>
      <c r="C13906" t="str">
        <f>IFERROR(__xludf.DUMMYFUNCTION("GOOGLETRANSLATE(B13906, ""zh"", ""en"")"),"Not a good use, first Tuen with. PS: made in germany indicated on the packaging, bar codes, but not Britain, France, is Europe, is it a changing products? :)")</f>
        <v>Not a good use, first Tuen with. PS: made in germany indicated on the packaging, bar codes, but not Britain, France, is Europe, is it a changing products? :)</v>
      </c>
    </row>
    <row r="13907">
      <c r="A13907" s="1">
        <v>5.0</v>
      </c>
      <c r="B13907" s="1" t="s">
        <v>13764</v>
      </c>
      <c r="C13907" t="str">
        <f>IFERROR(__xludf.DUMMYFUNCTION("GOOGLETRANSLATE(B13907, ""zh"", ""en"")"),"Quality and smaller size, compression effect is obvious")</f>
        <v>Quality and smaller size, compression effect is obvious</v>
      </c>
    </row>
    <row r="13908">
      <c r="A13908" s="1">
        <v>2.0</v>
      </c>
      <c r="B13908" s="1" t="s">
        <v>13765</v>
      </c>
      <c r="C13908" t="str">
        <f>IFERROR(__xludf.DUMMYFUNCTION("GOOGLETRANSLATE(B13908, ""zh"", ""en"")"),"Too hard ...... very much. I did not expect their music but there are still so hard shoes ...... very uncomfortable!")</f>
        <v>Too hard ...... very much. I did not expect their music but there are still so hard shoes ...... very uncomfortable!</v>
      </c>
    </row>
    <row r="13909">
      <c r="A13909" s="1">
        <v>3.0</v>
      </c>
      <c r="B13909" s="1" t="s">
        <v>13766</v>
      </c>
      <c r="C13909" t="str">
        <f>IFERROR(__xludf.DUMMYFUNCTION("GOOGLETRANSLATE(B13909, ""zh"", ""en"")"),"Too large 174cm, 70kg, bought two yards of s, one blue, one black, are too big, chest and shoulders are very loose clothes to the thickness is good, which can also increase the amount of cashmere, if there xs code is perfect.")</f>
        <v>Too large 174cm, 70kg, bought two yards of s, one blue, one black, are too big, chest and shoulders are very loose clothes to the thickness is good, which can also increase the amount of cashmere, if there xs code is perfect.</v>
      </c>
    </row>
    <row r="13910">
      <c r="A13910" s="1">
        <v>3.0</v>
      </c>
      <c r="B13910" s="1" t="s">
        <v>13767</v>
      </c>
      <c r="C13910" t="str">
        <f>IFERROR(__xludf.DUMMYFUNCTION("GOOGLETRANSLATE(B13910, ""zh"", ""en"")"),"Size is too messy, the work is very general size is too messy, work is very general, the same size bought a black and gray, black tight not only given away, actually just gray, how factory inspection")</f>
        <v>Size is too messy, the work is very general size is too messy, work is very general, the same size bought a black and gray, black tight not only given away, actually just gray, how factory inspection</v>
      </c>
    </row>
    <row r="13911">
      <c r="A13911" s="1">
        <v>3.0</v>
      </c>
      <c r="B13911" s="1" t="s">
        <v>13768</v>
      </c>
      <c r="C13911" t="str">
        <f>IFERROR(__xludf.DUMMYFUNCTION("GOOGLETRANSLATE(B13911, ""zh"", ""en"")"),"The color does not look good waist 90, 34 wear a little big. Color does not look good")</f>
        <v>The color does not look good waist 90, 34 wear a little big. Color does not look good</v>
      </c>
    </row>
    <row r="13912">
      <c r="A13912" s="1">
        <v>1.0</v>
      </c>
      <c r="B13912" s="1" t="s">
        <v>13769</v>
      </c>
      <c r="C13912" t="str">
        <f>IFERROR(__xludf.DUMMYFUNCTION("GOOGLETRANSLATE(B13912, ""zh"", ""en"")"),"Worth of goods did not say do not know, the timing of when the examination brought one word: worth")</f>
        <v>Worth of goods did not say do not know, the timing of when the examination brought one word: worth</v>
      </c>
    </row>
    <row r="13913">
      <c r="A13913" s="1">
        <v>1.0</v>
      </c>
      <c r="B13913" s="1" t="s">
        <v>13770</v>
      </c>
      <c r="C13913" t="str">
        <f>IFERROR(__xludf.DUMMYFUNCTION("GOOGLETRANSLATE(B13913, ""zh"", ""en"")"),"The very poor and very poor quality fabric printing is very bad clothes, and like a hole in the street 20 fakes")</f>
        <v>The very poor and very poor quality fabric printing is very bad clothes, and like a hole in the street 20 fakes</v>
      </c>
    </row>
    <row r="13914">
      <c r="A13914" s="1">
        <v>4.0</v>
      </c>
      <c r="B13914" s="1" t="s">
        <v>13771</v>
      </c>
      <c r="C13914" t="str">
        <f>IFERROR(__xludf.DUMMYFUNCTION("GOOGLETRANSLATE(B13914, ""zh"", ""en"")"),"Suitable for pop music, ethnic vocal is not suitable for bass, sound good, treble not manifest advantages")</f>
        <v>Suitable for pop music, ethnic vocal is not suitable for bass, sound good, treble not manifest advantages</v>
      </c>
    </row>
    <row r="13915">
      <c r="A13915" s="1">
        <v>4.0</v>
      </c>
      <c r="B13915" s="1" t="s">
        <v>13772</v>
      </c>
      <c r="C13915" t="str">
        <f>IFERROR(__xludf.DUMMYFUNCTION("GOOGLETRANSLATE(B13915, ""zh"", ""en"")"),"Machine vibration strong, do not know the machine problem or a problem with voltage transformers, to use a very strong shock. Only a standard header, the first time there will be 5 transferred to bleeding gums, brush your teeth are brushed out of many can"&amp;" not afford something. Like a lot more than a few times. We are hoping to improve the oral condition. A basket full of water quickly rushed over.")</f>
        <v>Machine vibration strong, do not know the machine problem or a problem with voltage transformers, to use a very strong shock. Only a standard header, the first time there will be 5 transferred to bleeding gums, brush your teeth are brushed out of many can not afford something. Like a lot more than a few times. We are hoping to improve the oral condition. A basket full of water quickly rushed over.</v>
      </c>
    </row>
    <row r="13916">
      <c r="A13916" s="1">
        <v>4.0</v>
      </c>
      <c r="B13916" s="1" t="s">
        <v>13773</v>
      </c>
      <c r="C13916" t="str">
        <f>IFERROR(__xludf.DUMMYFUNCTION("GOOGLETRANSLATE(B13916, ""zh"", ""en"")"),"Hope China (Belle :) shoes, like EOOC the same quality, good shoes, Indonesia production, soles slightly harder, their favorite color.")</f>
        <v>Hope China (Belle :) shoes, like EOOC the same quality, good shoes, Indonesia production, soles slightly harder, their favorite color.</v>
      </c>
    </row>
    <row r="13917">
      <c r="A13917" s="1">
        <v>4.0</v>
      </c>
      <c r="B13917" s="1" t="s">
        <v>13774</v>
      </c>
      <c r="C13917" t="str">
        <f>IFERROR(__xludf.DUMMYFUNCTION("GOOGLETRANSLATE(B13917, ""zh"", ""en"")"),"Hudi there are black particles filtered tap water does not taste, no measure over whether the water is clean, but there will be pot black particles")</f>
        <v>Hudi there are black particles filtered tap water does not taste, no measure over whether the water is clean, but there will be pot black particles</v>
      </c>
    </row>
    <row r="13918">
      <c r="A13918" s="1">
        <v>4.0</v>
      </c>
      <c r="B13918" s="1" t="s">
        <v>13775</v>
      </c>
      <c r="C13918" t="str">
        <f>IFERROR(__xludf.DUMMYFUNCTION("GOOGLETRANSLATE(B13918, ""zh"", ""en"")"),"Comments models belong to rectangular, relatively wide, but short")</f>
        <v>Comments models belong to rectangular, relatively wide, but short</v>
      </c>
    </row>
    <row r="13919">
      <c r="A13919" s="1">
        <v>5.0</v>
      </c>
      <c r="B13919" s="1" t="s">
        <v>13776</v>
      </c>
      <c r="C13919" t="str">
        <f>IFERROR(__xludf.DUMMYFUNCTION("GOOGLETRANSLATE(B13919, ""zh"", ""en"")"),"Recommended very good, often to buy.")</f>
        <v>Recommended very good, often to buy.</v>
      </c>
    </row>
    <row r="13920">
      <c r="A13920" s="1">
        <v>5.0</v>
      </c>
      <c r="B13920" s="1" t="s">
        <v>13777</v>
      </c>
      <c r="C13920" t="str">
        <f>IFERROR(__xludf.DUMMYFUNCTION("GOOGLETRANSLATE(B13920, ""zh"", ""en"")"),"On product usage report used a second time last night and found the boot needs to be started while to fight red light, before there is hair removal done in beauty salons, but every month to go to too much trouble, or buy their own convenience together, do"&amp;" not run a special trip, the effect is not obvious yet, oh, three or more generally to hair removal hair growth will significantly slow the effect, anyway, I was in the salon like this")</f>
        <v>On product usage report used a second time last night and found the boot needs to be started while to fight red light, before there is hair removal done in beauty salons, but every month to go to too much trouble, or buy their own convenience together, do not run a special trip, the effect is not obvious yet, oh, three or more generally to hair removal hair growth will significantly slow the effect, anyway, I was in the salon like this</v>
      </c>
    </row>
    <row r="13921">
      <c r="A13921" s="1">
        <v>5.0</v>
      </c>
      <c r="B13921" s="1" t="s">
        <v>13778</v>
      </c>
      <c r="C13921" t="str">
        <f>IFERROR(__xludf.DUMMYFUNCTION("GOOGLETRANSLATE(B13921, ""zh"", ""en"")"),"Good has been using the brand")</f>
        <v>Good has been using the brand</v>
      </c>
    </row>
    <row r="13922">
      <c r="A13922" s="1">
        <v>5.0</v>
      </c>
      <c r="B13922" s="1" t="s">
        <v>13779</v>
      </c>
      <c r="C13922" t="str">
        <f>IFERROR(__xludf.DUMMYFUNCTION("GOOGLETRANSLATE(B13922, ""zh"", ""en"")"),"Exquisite exquisitely beautiful. Pen some of the slightly smaller than expected")</f>
        <v>Exquisite exquisitely beautiful. Pen some of the slightly smaller than expected</v>
      </c>
    </row>
    <row r="13923">
      <c r="A13923" s="1">
        <v>5.0</v>
      </c>
      <c r="B13923" s="1" t="s">
        <v>13780</v>
      </c>
      <c r="C13923" t="str">
        <f>IFERROR(__xludf.DUMMYFUNCTION("GOOGLETRANSLATE(B13923, ""zh"", ""en"")"),"Health applies its price filtered water is very clear, plain water inlet there is the slightest sweet taste, fine workmanship feel good, worth buying for health.")</f>
        <v>Health applies its price filtered water is very clear, plain water inlet there is the slightest sweet taste, fine workmanship feel good, worth buying for health.</v>
      </c>
    </row>
    <row r="13924">
      <c r="A13924" s="1">
        <v>5.0</v>
      </c>
      <c r="B13924" s="1" t="s">
        <v>13781</v>
      </c>
      <c r="C13924" t="str">
        <f>IFERROR(__xludf.DUMMYFUNCTION("GOOGLETRANSLATE(B13924, ""zh"", ""en"")"),"Good work no domestic good-looking. But the same comfort. Size is also suitable.")</f>
        <v>Good work no domestic good-looking. But the same comfort. Size is also suitable.</v>
      </c>
    </row>
    <row r="13925">
      <c r="A13925" s="1">
        <v>5.0</v>
      </c>
      <c r="B13925" s="1" t="s">
        <v>13782</v>
      </c>
      <c r="C13925" t="str">
        <f>IFERROR(__xludf.DUMMYFUNCTION("GOOGLETRANSLATE(B13925, ""zh"", ""en"")"),"Clarks shoes shoes received, buy big on the 1st, the usually wear 38 yards, to buy 39 yards wear thick socks did not feel great, quality is very good, thick foundation, sure-footed, very good online shopping!")</f>
        <v>Clarks shoes shoes received, buy big on the 1st, the usually wear 38 yards, to buy 39 yards wear thick socks did not feel great, quality is very good, thick foundation, sure-footed, very good online shopping!</v>
      </c>
    </row>
    <row r="13926">
      <c r="A13926" s="1">
        <v>5.0</v>
      </c>
      <c r="B13926" s="1" t="s">
        <v>13783</v>
      </c>
      <c r="C13926" t="str">
        <f>IFERROR(__xludf.DUMMYFUNCTION("GOOGLETRANSLATE(B13926, ""zh"", ""en"")"),"Mimi da good pot as required to raise the pot boil, stew currently ribs, awesome! A good pot can make you love cooking -")</f>
        <v>Mimi da good pot as required to raise the pot boil, stew currently ribs, awesome! A good pot can make you love cooking -</v>
      </c>
    </row>
    <row r="13927">
      <c r="A13927" s="1">
        <v>5.0</v>
      </c>
      <c r="B13927" s="1" t="s">
        <v>13784</v>
      </c>
      <c r="C13927" t="str">
        <f>IFERROR(__xludf.DUMMYFUNCTION("GOOGLETRANSLATE(B13927, ""zh"", ""en"")"),"Anti-hook wire, satisfied. Very satisfied with my height 166, buy L code, very fit. Waist and hip are thickened toe anti-hook wire processing. Recommended to buy.")</f>
        <v>Anti-hook wire, satisfied. Very satisfied with my height 166, buy L code, very fit. Waist and hip are thickened toe anti-hook wire processing. Recommended to buy.</v>
      </c>
    </row>
    <row r="13928">
      <c r="A13928" s="1">
        <v>5.0</v>
      </c>
      <c r="B13928" s="1" t="s">
        <v>13785</v>
      </c>
      <c r="C13928" t="str">
        <f>IFERROR(__xludf.DUMMYFUNCTION("GOOGLETRANSLATE(B13928, ""zh"", ""en"")"),"Compared with the original old toothbrush head, like, like, authentic")</f>
        <v>Compared with the original old toothbrush head, like, like, authentic</v>
      </c>
    </row>
    <row r="13929">
      <c r="A13929" s="1">
        <v>5.0</v>
      </c>
      <c r="B13929" s="1" t="s">
        <v>13786</v>
      </c>
      <c r="C13929" t="str">
        <f>IFERROR(__xludf.DUMMYFUNCTION("GOOGLETRANSLATE(B13929, ""zh"", ""en"")"),"As people highly recommended before purchasing over-the United States, compare quality, really good, cotton material satisfaction")</f>
        <v>As people highly recommended before purchasing over-the United States, compare quality, really good, cotton material satisfaction</v>
      </c>
    </row>
    <row r="13930">
      <c r="A13930" s="1">
        <v>5.0</v>
      </c>
      <c r="B13930" s="1" t="s">
        <v>13787</v>
      </c>
      <c r="C13930" t="str">
        <f>IFERROR(__xludf.DUMMYFUNCTION("GOOGLETRANSLATE(B13930, ""zh"", ""en"")"),"Genuine love of this package design styles and materials, the right size, daily commuting to use, convenient and practical.")</f>
        <v>Genuine love of this package design styles and materials, the right size, daily commuting to use, convenient and practical.</v>
      </c>
    </row>
    <row r="13931">
      <c r="A13931" s="1">
        <v>5.0</v>
      </c>
      <c r="B13931" s="1" t="s">
        <v>13788</v>
      </c>
      <c r="C13931" t="str">
        <f>IFERROR(__xludf.DUMMYFUNCTION("GOOGLETRANSLATE(B13931, ""zh"", ""en"")"),"Not a big stretch tight fine warm autumn thirty-nine days disrespectful or need thicker than the average for the northern stretch socks")</f>
        <v>Not a big stretch tight fine warm autumn thirty-nine days disrespectful or need thicker than the average for the northern stretch socks</v>
      </c>
    </row>
    <row r="13932">
      <c r="A13932" s="1">
        <v>5.0</v>
      </c>
      <c r="B13932" s="1" t="s">
        <v>13789</v>
      </c>
      <c r="C13932" t="str">
        <f>IFERROR(__xludf.DUMMYFUNCTION("GOOGLETRANSLATE(B13932, ""zh"", ""en"")"),"Good quality, the right size! Wear comfortable! Good quality, and the price is much cheaper! very comfortable!")</f>
        <v>Good quality, the right size! Wear comfortable! Good quality, and the price is much cheaper! very comfortable!</v>
      </c>
    </row>
    <row r="13933">
      <c r="A13933" s="1">
        <v>5.0</v>
      </c>
      <c r="B13933" s="1" t="s">
        <v>13790</v>
      </c>
      <c r="C13933" t="str">
        <f>IFERROR(__xludf.DUMMYFUNCTION("GOOGLETRANSLATE(B13933, ""zh"", ""en"")"),"Good value price, eye color is also very positive, black is buying has been waiting for, and now there is no price protection policy a bit awkward, but it is worth having a toothbrush")</f>
        <v>Good value price, eye color is also very positive, black is buying has been waiting for, and now there is no price protection policy a bit awkward, but it is worth having a toothbrush</v>
      </c>
    </row>
    <row r="13934">
      <c r="A13934" s="1">
        <v>5.0</v>
      </c>
      <c r="B13934" s="1" t="s">
        <v>13791</v>
      </c>
      <c r="C13934" t="str">
        <f>IFERROR(__xludf.DUMMYFUNCTION("GOOGLETRANSLATE(B13934, ""zh"", ""en"")"),"Taste good do not know what effect, just started to eat, the taste is really good, if this is not a vitamin candy, my day probably will be able to eat. No smell, sweet and sour.")</f>
        <v>Taste good do not know what effect, just started to eat, the taste is really good, if this is not a vitamin candy, my day probably will be able to eat. No smell, sweet and sour.</v>
      </c>
    </row>
    <row r="13935">
      <c r="A13935" s="1">
        <v>5.0</v>
      </c>
      <c r="B13935" s="1" t="s">
        <v>13792</v>
      </c>
      <c r="C13935" t="str">
        <f>IFERROR(__xludf.DUMMYFUNCTION("GOOGLETRANSLATE(B13935, ""zh"", ""en"")"),"Relatively soft fabric is quite good, unlike the conventional Jackets fabrics tend to be hard, put under the tap rushed for a moment did not leave water stains, should see signs with feather, clothing sizes too large, in general, is still quite good.")</f>
        <v>Relatively soft fabric is quite good, unlike the conventional Jackets fabrics tend to be hard, put under the tap rushed for a moment did not leave water stains, should see signs with feather, clothing sizes too large, in general, is still quite good.</v>
      </c>
    </row>
    <row r="13936">
      <c r="A13936" s="1">
        <v>5.0</v>
      </c>
      <c r="B13936" s="1" t="s">
        <v>13793</v>
      </c>
      <c r="C13936" t="str">
        <f>IFERROR(__xludf.DUMMYFUNCTION("GOOGLETRANSLATE(B13936, ""zh"", ""en"")"),"Super good values, like love. Oh no fakes")</f>
        <v>Super good values, like love. Oh no fakes</v>
      </c>
    </row>
    <row r="13937">
      <c r="A13937" s="1">
        <v>5.0</v>
      </c>
      <c r="B13937" s="1" t="s">
        <v>13794</v>
      </c>
      <c r="C13937" t="str">
        <f>IFERROR(__xludf.DUMMYFUNCTION("GOOGLETRANSLATE(B13937, ""zh"", ""en"")"),"Worth having inexpensive, although the packaging is very simple, but there is no bump")</f>
        <v>Worth having inexpensive, although the packaging is very simple, but there is no bump</v>
      </c>
    </row>
    <row r="13938">
      <c r="A13938" s="1">
        <v>5.0</v>
      </c>
      <c r="B13938" s="1" t="s">
        <v>13795</v>
      </c>
      <c r="C13938" t="str">
        <f>IFERROR(__xludf.DUMMYFUNCTION("GOOGLETRANSLATE(B13938, ""zh"", ""en"")"),"Clasp strong, not raised waist 30W, 1 M buy clasp strong, not the projections 2, the material is very hard feeling ~~~~")</f>
        <v>Clasp strong, not raised waist 30W, 1 M buy clasp strong, not the projections 2, the material is very hard feeling ~~~~</v>
      </c>
    </row>
    <row r="13939">
      <c r="A13939" s="1">
        <v>5.0</v>
      </c>
      <c r="B13939" s="1" t="s">
        <v>13796</v>
      </c>
      <c r="C13939" t="str">
        <f>IFERROR(__xludf.DUMMYFUNCTION("GOOGLETRANSLATE(B13939, ""zh"", ""en"")"),"Gillette fans regarded as a good, nice, trust Amazon")</f>
        <v>Gillette fans regarded as a good, nice, trust Amazon</v>
      </c>
    </row>
    <row r="13940">
      <c r="A13940" s="1">
        <v>5.0</v>
      </c>
      <c r="B13940" s="1" t="s">
        <v>13797</v>
      </c>
      <c r="C13940" t="str">
        <f>IFERROR(__xludf.DUMMYFUNCTION("GOOGLETRANSLATE(B13940, ""zh"", ""en"")"),"Normal wear size 37.5 Nike, this pair of 6.5m most of the code, wear thick socks just right, sister who's wearing m of width can, do not worry about first. There is a certain color two shoes, foot feeling good. To Shenzhen 10 days")</f>
        <v>Normal wear size 37.5 Nike, this pair of 6.5m most of the code, wear thick socks just right, sister who's wearing m of width can, do not worry about first. There is a certain color two shoes, foot feeling good. To Shenzhen 10 days</v>
      </c>
    </row>
    <row r="13941">
      <c r="A13941" s="1">
        <v>2.0</v>
      </c>
      <c r="B13941" s="1" t="s">
        <v>9260</v>
      </c>
      <c r="C13941" t="str">
        <f>IFERROR(__xludf.DUMMYFUNCTION("GOOGLETRANSLATE(B13941, ""zh"", ""en"")"),"It is also generally very thin Ruannuo other is pilling serious")</f>
        <v>It is also generally very thin Ruannuo other is pilling serious</v>
      </c>
    </row>
    <row r="13942">
      <c r="A13942" s="1">
        <v>3.0</v>
      </c>
      <c r="B13942" s="1" t="s">
        <v>13798</v>
      </c>
      <c r="C13942" t="str">
        <f>IFERROR(__xludf.DUMMYFUNCTION("GOOGLETRANSLATE(B13942, ""zh"", ""en"")"),"A bit large, it is recommended to buy a little small, it is recommended to buy the trumpet, L code 40 feet can pour knees")</f>
        <v>A bit large, it is recommended to buy a little small, it is recommended to buy the trumpet, L code 40 feet can pour knees</v>
      </c>
    </row>
    <row r="13943">
      <c r="A13943" s="1">
        <v>3.0</v>
      </c>
      <c r="B13943" s="1" t="s">
        <v>13799</v>
      </c>
      <c r="C13943" t="str">
        <f>IFERROR(__xludf.DUMMYFUNCTION("GOOGLETRANSLATE(B13943, ""zh"", ""en"")"),"Bad love curling trousers, wear uncomfortable")</f>
        <v>Bad love curling trousers, wear uncomfortable</v>
      </c>
    </row>
    <row r="13944">
      <c r="A13944" s="1">
        <v>1.0</v>
      </c>
      <c r="B13944" s="1" t="s">
        <v>13800</v>
      </c>
      <c r="C13944" t="str">
        <f>IFERROR(__xludf.DUMMYFUNCTION("GOOGLETRANSLATE(B13944, ""zh"", ""en"")"),"Temporary interim product is not marked, Poor")</f>
        <v>Temporary interim product is not marked, Poor</v>
      </c>
    </row>
    <row r="13945">
      <c r="A13945" s="1">
        <v>1.0</v>
      </c>
      <c r="B13945" s="1" t="s">
        <v>13801</v>
      </c>
      <c r="C13945" t="str">
        <f>IFERROR(__xludf.DUMMYFUNCTION("GOOGLETRANSLATE(B13945, ""zh"", ""en"")"),"Workmanship is very rough, thread a lot, the slider did not sign lee workmanship is very rough, thread a lot, the slider did not sign lee after the bag is not a shield type, etc., serious doubts fakes, no more than a month to negotiate with Amazon fruit. "&amp;"Negative Ratings")</f>
        <v>Workmanship is very rough, thread a lot, the slider did not sign lee workmanship is very rough, thread a lot, the slider did not sign lee after the bag is not a shield type, etc., serious doubts fakes, no more than a month to negotiate with Amazon fruit. Negative Ratings</v>
      </c>
    </row>
    <row r="13946">
      <c r="A13946" s="1">
        <v>1.0</v>
      </c>
      <c r="B13946" s="1" t="s">
        <v>13802</v>
      </c>
      <c r="C13946" t="str">
        <f>IFERROR(__xludf.DUMMYFUNCTION("GOOGLETRANSLATE(B13946, ""zh"", ""en"")"),"Clothes, shoes and other site and then try to buy the best Chinese overseas purchase: Size lack many; style unclear about. No longer do I bother, or go to the official website of the United States and some US shopping malls to buy, and then shipped to Chi"&amp;"na. This really is a failure!")</f>
        <v>Clothes, shoes and other site and then try to buy the best Chinese overseas purchase: Size lack many; style unclear about. No longer do I bother, or go to the official website of the United States and some US shopping malls to buy, and then shipped to China. This really is a failure!</v>
      </c>
    </row>
    <row r="13947">
      <c r="A13947" s="1">
        <v>4.0</v>
      </c>
      <c r="B13947" s="1" t="s">
        <v>13803</v>
      </c>
      <c r="C13947" t="str">
        <f>IFERROR(__xludf.DUMMYFUNCTION("GOOGLETRANSLATE(B13947, ""zh"", ""en"")"),"Shirt is also good, a little loose, a little thicker than normal, suitable for spring wear, summer wear will be some heat")</f>
        <v>Shirt is also good, a little loose, a little thicker than normal, suitable for spring wear, summer wear will be some heat</v>
      </c>
    </row>
    <row r="13948">
      <c r="A13948" s="1">
        <v>4.0</v>
      </c>
      <c r="B13948" s="1" t="s">
        <v>13804</v>
      </c>
      <c r="C13948" t="str">
        <f>IFERROR(__xludf.DUMMYFUNCTION("GOOGLETRANSLATE(B13948, ""zh"", ""en"")"),"Size is important to buy big a yard of 40 feet, 5.5 is enough. Good quality shoe itself. Sea Amoy still do not fly, replacement too much trouble. Send comments yet Please try another name out of what the hell?")</f>
        <v>Size is important to buy big a yard of 40 feet, 5.5 is enough. Good quality shoe itself. Sea Amoy still do not fly, replacement too much trouble. Send comments yet Please try another name out of what the hell?</v>
      </c>
    </row>
    <row r="13949">
      <c r="A13949" s="1">
        <v>4.0</v>
      </c>
      <c r="B13949" s="1" t="s">
        <v>13805</v>
      </c>
      <c r="C13949" t="str">
        <f>IFERROR(__xludf.DUMMYFUNCTION("GOOGLETRANSLATE(B13949, ""zh"", ""en"")"),"Too much quality in general, no surprise, really big ah, buy this usually wear L s code on it")</f>
        <v>Too much quality in general, no surprise, really big ah, buy this usually wear L s code on it</v>
      </c>
    </row>
    <row r="13950">
      <c r="A13950" s="1">
        <v>4.0</v>
      </c>
      <c r="B13950" s="1" t="s">
        <v>13806</v>
      </c>
      <c r="C13950" t="str">
        <f>IFERROR(__xludf.DUMMYFUNCTION("GOOGLETRANSLATE(B13950, ""zh"", ""en"")"),"Suitable length, arm circumference 170,130 pounds wearing too broad s length is appropriate, but really thief wide arm circumference, it is also much thought holding up this dress wow")</f>
        <v>Suitable length, arm circumference 170,130 pounds wearing too broad s length is appropriate, but really thief wide arm circumference, it is also much thought holding up this dress wow</v>
      </c>
    </row>
    <row r="13951">
      <c r="A13951" s="1">
        <v>5.0</v>
      </c>
      <c r="B13951" s="1" t="s">
        <v>13807</v>
      </c>
      <c r="C13951" t="str">
        <f>IFERROR(__xludf.DUMMYFUNCTION("GOOGLETRANSLATE(B13951, ""zh"", ""en"")"),"Beautifully packaged packaging is very good, praise, good")</f>
        <v>Beautifully packaged packaging is very good, praise, good</v>
      </c>
    </row>
    <row r="13952">
      <c r="A13952" s="1">
        <v>5.0</v>
      </c>
      <c r="B13952" s="1" t="s">
        <v>13808</v>
      </c>
      <c r="C13952" t="str">
        <f>IFERROR(__xludf.DUMMYFUNCTION("GOOGLETRANSLATE(B13952, ""zh"", ""en"")"),"If you do not have flight jacket, consider this. Water has long been the heart of the clothes looked recommend buying the S code. I 174cm72kg, wearing a long-sleeved T bottoming short-sleeved T or just right, not too thick for hoodies and other clothing, "&amp;"if a little stronger than I am, it is recommended M code. Clothes have a certain thickness, composition should look synthetic cotton, just Ruchun late autumn or early winter is appropriate, can not cope with particularly cold weather, relatively wild. In "&amp;"addition, double-sided wear, no problem. Of course, my big manufacturing country. Z is the price spike time to buy, to meet the psychological expectations.")</f>
        <v>If you do not have flight jacket, consider this. Water has long been the heart of the clothes looked recommend buying the S code. I 174cm72kg, wearing a long-sleeved T bottoming short-sleeved T or just right, not too thick for hoodies and other clothing, if a little stronger than I am, it is recommended M code. Clothes have a certain thickness, composition should look synthetic cotton, just Ruchun late autumn or early winter is appropriate, can not cope with particularly cold weather, relatively wild. In addition, double-sided wear, no problem. Of course, my big manufacturing country. Z is the price spike time to buy, to meet the psychological expectations.</v>
      </c>
    </row>
    <row r="13953">
      <c r="A13953" s="1">
        <v>5.0</v>
      </c>
      <c r="B13953" s="1" t="s">
        <v>13809</v>
      </c>
      <c r="C13953" t="str">
        <f>IFERROR(__xludf.DUMMYFUNCTION("GOOGLETRANSLATE(B13953, ""zh"", ""en"")"),"Goods in good condition, filter out the normal function of the Amazon packaging, merchandise intact, has been used.")</f>
        <v>Goods in good condition, filter out the normal function of the Amazon packaging, merchandise intact, has been used.</v>
      </c>
    </row>
    <row r="13954">
      <c r="A13954" s="1">
        <v>5.0</v>
      </c>
      <c r="B13954" s="1" t="s">
        <v>13810</v>
      </c>
      <c r="C13954" t="str">
        <f>IFERROR(__xludf.DUMMYFUNCTION("GOOGLETRANSLATE(B13954, ""zh"", ""en"")"),"Comfortable and stylish too large, light and comfortable, cost-effective, wild section Martin boots")</f>
        <v>Comfortable and stylish too large, light and comfortable, cost-effective, wild section Martin boots</v>
      </c>
    </row>
    <row r="13955">
      <c r="A13955" s="1">
        <v>5.0</v>
      </c>
      <c r="B13955" s="1" t="s">
        <v>13811</v>
      </c>
      <c r="C13955" t="str">
        <f>IFERROR(__xludf.DUMMYFUNCTION("GOOGLETRANSLATE(B13955, ""zh"", ""en"")"),"Western style version good, looks also very nice. . Purple looks very cute, is a slightly larger number of M Diudiu")</f>
        <v>Western style version good, looks also very nice. . Purple looks very cute, is a slightly larger number of M Diudiu</v>
      </c>
    </row>
    <row r="13956">
      <c r="A13956" s="1">
        <v>5.0</v>
      </c>
      <c r="B13956" s="1" t="s">
        <v>13812</v>
      </c>
      <c r="C13956" t="str">
        <f>IFERROR(__xludf.DUMMYFUNCTION("GOOGLETRANSLATE(B13956, ""zh"", ""en"")"),"I bought a large number of domestic 40 to buy his 38 Grand")</f>
        <v>I bought a large number of domestic 40 to buy his 38 Grand</v>
      </c>
    </row>
    <row r="13957">
      <c r="A13957" s="1">
        <v>5.0</v>
      </c>
      <c r="B13957" s="1" t="s">
        <v>13813</v>
      </c>
      <c r="C13957" t="str">
        <f>IFERROR(__xludf.DUMMYFUNCTION("GOOGLETRANSLATE(B13957, ""zh"", ""en"")"),"Cute, practical one very cute mug, good insulation effect, to carry out, impermeable to water.")</f>
        <v>Cute, practical one very cute mug, good insulation effect, to carry out, impermeable to water.</v>
      </c>
    </row>
    <row r="13958">
      <c r="A13958" s="1">
        <v>5.0</v>
      </c>
      <c r="B13958" s="1" t="s">
        <v>13814</v>
      </c>
      <c r="C13958" t="str">
        <f>IFERROR(__xludf.DUMMYFUNCTION("GOOGLETRANSLATE(B13958, ""zh"", ""en"")"),"Table very good very good")</f>
        <v>Table very good very good</v>
      </c>
    </row>
    <row r="13959">
      <c r="A13959" s="1">
        <v>5.0</v>
      </c>
      <c r="B13959" s="1" t="s">
        <v>13815</v>
      </c>
      <c r="C13959" t="str">
        <f>IFERROR(__xludf.DUMMYFUNCTION("GOOGLETRANSLATE(B13959, ""zh"", ""en"")"),"Good quality, fade size in accordance with the above recommendation to buy enough. Good quality, soft foundation, is the biggest drawback of this shoe color fade fade away! ! ! The most serious black, hey, produced in Indonesia, Puma logo had black line, "&amp;"does not look good!")</f>
        <v>Good quality, fade size in accordance with the above recommendation to buy enough. Good quality, soft foundation, is the biggest drawback of this shoe color fade fade away! ! ! The most serious black, hey, produced in Indonesia, Puma logo had black line, does not look good!</v>
      </c>
    </row>
    <row r="13960">
      <c r="A13960" s="1">
        <v>5.0</v>
      </c>
      <c r="B13960" s="1" t="s">
        <v>13816</v>
      </c>
      <c r="C13960" t="str">
        <f>IFERROR(__xludf.DUMMYFUNCTION("GOOGLETRANSLATE(B13960, ""zh"", ""en"")"),"Genuine Authentic")</f>
        <v>Genuine Authentic</v>
      </c>
    </row>
    <row r="13961">
      <c r="A13961" s="1">
        <v>5.0</v>
      </c>
      <c r="B13961" s="1" t="s">
        <v>13817</v>
      </c>
      <c r="C13961" t="str">
        <f>IFERROR(__xludf.DUMMYFUNCTION("GOOGLETRANSLATE(B13961, ""zh"", ""en"")"),"Feel good weight, feel very good, automatically transfer features are also good. High cost")</f>
        <v>Feel good weight, feel very good, automatically transfer features are also good. High cost</v>
      </c>
    </row>
    <row r="13962">
      <c r="A13962" s="1">
        <v>5.0</v>
      </c>
      <c r="B13962" s="1" t="s">
        <v>13818</v>
      </c>
      <c r="C13962" t="str">
        <f>IFERROR(__xludf.DUMMYFUNCTION("GOOGLETRANSLATE(B13962, ""zh"", ""en"")"),"Dema comfortable T-shirt T-shirt quality is very good, very comfortable to wear! Dema still good!")</f>
        <v>Dema comfortable T-shirt T-shirt quality is very good, very comfortable to wear! Dema still good!</v>
      </c>
    </row>
    <row r="13963">
      <c r="A13963" s="1">
        <v>5.0</v>
      </c>
      <c r="B13963" s="1" t="s">
        <v>13819</v>
      </c>
      <c r="C13963" t="str">
        <f>IFERROR(__xludf.DUMMYFUNCTION("GOOGLETRANSLATE(B13963, ""zh"", ""en"")"),"Stockpile store goods, not use, for the first time to buy this segment")</f>
        <v>Stockpile store goods, not use, for the first time to buy this segment</v>
      </c>
    </row>
    <row r="13964">
      <c r="A13964" s="1">
        <v>5.0</v>
      </c>
      <c r="B13964" s="1" t="s">
        <v>13820</v>
      </c>
      <c r="C13964" t="str">
        <f>IFERROR(__xludf.DUMMYFUNCTION("GOOGLETRANSLATE(B13964, ""zh"", ""en"")"),"Good bomber jacket short paragraph jacket, wide sleeves, I wear L 182/85 code is also very relaxed, more suitable for the upper body muscular body type. Wear for two days by colleagues evaluated as motorcycle clothing, military uniforms and Captain Americ"&amp;"a _ ///")</f>
        <v>Good bomber jacket short paragraph jacket, wide sleeves, I wear L 182/85 code is also very relaxed, more suitable for the upper body muscular body type. Wear for two days by colleagues evaluated as motorcycle clothing, military uniforms and Captain America _ ///</v>
      </c>
    </row>
    <row r="13965">
      <c r="A13965" s="1">
        <v>5.0</v>
      </c>
      <c r="B13965" s="1" t="s">
        <v>13821</v>
      </c>
      <c r="C13965" t="str">
        <f>IFERROR(__xludf.DUMMYFUNCTION("GOOGLETRANSLATE(B13965, ""zh"", ""en"")"),"Amazon's overseas purchase or to force ah overseas shopping flow very fast, about a week on the hand, and shoes must be genuine, but in Thailand, then a little leather smell, the overall feeling is very good shopping experience.")</f>
        <v>Amazon's overseas purchase or to force ah overseas shopping flow very fast, about a week on the hand, and shoes must be genuine, but in Thailand, then a little leather smell, the overall feeling is very good shopping experience.</v>
      </c>
    </row>
    <row r="13966">
      <c r="A13966" s="1">
        <v>5.0</v>
      </c>
      <c r="B13966" s="1" t="s">
        <v>10073</v>
      </c>
      <c r="C13966" t="str">
        <f>IFERROR(__xludf.DUMMYFUNCTION("GOOGLETRANSLATE(B13966, ""zh"", ""en"")"),"Well OK, Ok")</f>
        <v>Well OK, Ok</v>
      </c>
    </row>
    <row r="13967">
      <c r="A13967" s="1">
        <v>5.0</v>
      </c>
      <c r="B13967" s="1" t="s">
        <v>13822</v>
      </c>
      <c r="C13967" t="str">
        <f>IFERROR(__xludf.DUMMYFUNCTION("GOOGLETRANSLATE(B13967, ""zh"", ""en"")"),"Received 178, 89 kg, L code is just the right size")</f>
        <v>Received 178, 89 kg, L code is just the right size</v>
      </c>
    </row>
    <row r="13968">
      <c r="A13968" s="1">
        <v>5.0</v>
      </c>
      <c r="B13968" s="1" t="s">
        <v>13823</v>
      </c>
      <c r="C13968" t="str">
        <f>IFERROR(__xludf.DUMMYFUNCTION("GOOGLETRANSLATE(B13968, ""zh"", ""en"")"),"Value for money is very fit to wear is the need to buy insoles. Shoe's tongue is always biased to one side.")</f>
        <v>Value for money is very fit to wear is the need to buy insoles. Shoe's tongue is always biased to one side.</v>
      </c>
    </row>
    <row r="13969">
      <c r="A13969" s="1">
        <v>5.0</v>
      </c>
      <c r="B13969" s="1" t="s">
        <v>13824</v>
      </c>
      <c r="C13969" t="str">
        <f>IFERROR(__xludf.DUMMYFUNCTION("GOOGLETRANSLATE(B13969, ""zh"", ""en"")"),"A perfect backup device Using windows server backup feature to perform VSS backup. Retrieved 130MB + trans rate through a USB3.0 interface. This is a perfect backup device.")</f>
        <v>A perfect backup device Using windows server backup feature to perform VSS backup. Retrieved 130MB + trans rate through a USB3.0 interface. This is a perfect backup device.</v>
      </c>
    </row>
    <row r="13970">
      <c r="A13970" s="1">
        <v>5.0</v>
      </c>
      <c r="B13970" s="1" t="s">
        <v>13825</v>
      </c>
      <c r="C13970" t="str">
        <f>IFERROR(__xludf.DUMMYFUNCTION("GOOGLETRANSLATE(B13970, ""zh"", ""en"")"),"Children enjoyed very good, is Made in China")</f>
        <v>Children enjoyed very good, is Made in China</v>
      </c>
    </row>
    <row r="13971">
      <c r="A13971" s="1">
        <v>5.0</v>
      </c>
      <c r="B13971" s="1" t="s">
        <v>7830</v>
      </c>
      <c r="C13971" t="str">
        <f>IFERROR(__xludf.DUMMYFUNCTION("GOOGLETRANSLATE(B13971, ""zh"", ""en"")"),"nice nice")</f>
        <v>nice nice</v>
      </c>
    </row>
    <row r="13972">
      <c r="A13972" s="1">
        <v>5.0</v>
      </c>
      <c r="B13972" s="1" t="s">
        <v>13826</v>
      </c>
      <c r="C13972" t="str">
        <f>IFERROR(__xludf.DUMMYFUNCTION("GOOGLETRANSLATE(B13972, ""zh"", ""en"")"),"Soft bottom of the right size is very good, the right size. Buy timberland appropriate than the last.")</f>
        <v>Soft bottom of the right size is very good, the right size. Buy timberland appropriate than the last.</v>
      </c>
    </row>
    <row r="13973">
      <c r="A13973" s="1">
        <v>2.0</v>
      </c>
      <c r="B13973" s="1" t="s">
        <v>13827</v>
      </c>
      <c r="C13973" t="str">
        <f>IFERROR(__xludf.DUMMYFUNCTION("GOOGLETRANSLATE(B13973, ""zh"", ""en"")"),"Disappointing compared to the same thing two years ago to buy a big change quality, fully spread the goods.")</f>
        <v>Disappointing compared to the same thing two years ago to buy a big change quality, fully spread the goods.</v>
      </c>
    </row>
    <row r="13974">
      <c r="A13974" s="1">
        <v>3.0</v>
      </c>
      <c r="B13974" s="1" t="s">
        <v>13828</v>
      </c>
      <c r="C13974" t="str">
        <f>IFERROR(__xludf.DUMMYFUNCTION("GOOGLETRANSLATE(B13974, ""zh"", ""en"")"),"Leather is it? Good shape, but difficult to get to wear too tight at the instep, outer seemingly not leather, I do not know whether durable. If thin legs were careful to buy.")</f>
        <v>Leather is it? Good shape, but difficult to get to wear too tight at the instep, outer seemingly not leather, I do not know whether durable. If thin legs were careful to buy.</v>
      </c>
    </row>
    <row r="13975">
      <c r="A13975" s="1">
        <v>3.0</v>
      </c>
      <c r="B13975" s="1" t="s">
        <v>13829</v>
      </c>
      <c r="C13975" t="str">
        <f>IFERROR(__xludf.DUMMYFUNCTION("GOOGLETRANSLATE(B13975, ""zh"", ""en"")"),"The wrong black hair brown color to buy, but also drunk")</f>
        <v>The wrong black hair brown color to buy, but also drunk</v>
      </c>
    </row>
    <row r="13976">
      <c r="A13976" s="1">
        <v>3.0</v>
      </c>
      <c r="B13976" s="1" t="s">
        <v>13830</v>
      </c>
      <c r="C13976" t="str">
        <f>IFERROR(__xludf.DUMMYFUNCTION("GOOGLETRANSLATE(B13976, ""zh"", ""en"")"),"General quality in general, hard, like overalls")</f>
        <v>General quality in general, hard, like overalls</v>
      </c>
    </row>
    <row r="13977">
      <c r="A13977" s="1">
        <v>1.0</v>
      </c>
      <c r="B13977" s="1" t="s">
        <v>13831</v>
      </c>
      <c r="C13977" t="str">
        <f>IFERROR(__xludf.DUMMYFUNCTION("GOOGLETRANSLATE(B13977, ""zh"", ""en"")"),"Do not buy cheap stuff is not good, eternal truth")</f>
        <v>Do not buy cheap stuff is not good, eternal truth</v>
      </c>
    </row>
    <row r="13978">
      <c r="A13978" s="1">
        <v>1.0</v>
      </c>
      <c r="B13978" s="1" t="s">
        <v>13832</v>
      </c>
      <c r="C13978" t="str">
        <f>IFERROR(__xludf.DUMMYFUNCTION("GOOGLETRANSLATE(B13978, ""zh"", ""en"")"),"Old is too old, too old style, in front of two-fold, at least not yet fifty years old to buy")</f>
        <v>Old is too old, too old style, in front of two-fold, at least not yet fifty years old to buy</v>
      </c>
    </row>
    <row r="13979">
      <c r="A13979" s="1">
        <v>4.0</v>
      </c>
      <c r="B13979" s="1" t="s">
        <v>13833</v>
      </c>
      <c r="C13979" t="str">
        <f>IFERROR(__xludf.DUMMYFUNCTION("GOOGLETRANSLATE(B13979, ""zh"", ""en"")"),"The bottle is too little, there are more than half empty. Bottle 80 installed only one third of the space. Bottle empty a bottle. The waste of packaging.")</f>
        <v>The bottle is too little, there are more than half empty. Bottle 80 installed only one third of the space. Bottle empty a bottle. The waste of packaging.</v>
      </c>
    </row>
    <row r="13980">
      <c r="A13980" s="1">
        <v>4.0</v>
      </c>
      <c r="B13980" s="1" t="s">
        <v>13834</v>
      </c>
      <c r="C13980" t="str">
        <f>IFERROR(__xludf.DUMMYFUNCTION("GOOGLETRANSLATE(B13980, ""zh"", ""en"")"),"Simply because the domestic selling your giant was bought to wear to play, and also good foot feeling okay, go to the store tried to buy later, sent the shoes are flat, that buy small, shoelaces release point on it . 42.5 sneakers bought the smallest code"&amp;", just the right length.")</f>
        <v>Simply because the domestic selling your giant was bought to wear to play, and also good foot feeling okay, go to the store tried to buy later, sent the shoes are flat, that buy small, shoelaces release point on it . 42.5 sneakers bought the smallest code, just the right length.</v>
      </c>
    </row>
    <row r="13981">
      <c r="A13981" s="1">
        <v>4.0</v>
      </c>
      <c r="B13981" s="1" t="s">
        <v>13835</v>
      </c>
      <c r="C13981" t="str">
        <f>IFERROR(__xludf.DUMMYFUNCTION("GOOGLETRANSLATE(B13981, ""zh"", ""en"")"),"Girl models more suitable for girls, there is no chest pad, the thickness for the summer.")</f>
        <v>Girl models more suitable for girls, there is no chest pad, the thickness for the summer.</v>
      </c>
    </row>
    <row r="13982">
      <c r="A13982" s="1">
        <v>4.0</v>
      </c>
      <c r="B13982" s="1" t="s">
        <v>13836</v>
      </c>
      <c r="C13982" t="str">
        <f>IFERROR(__xludf.DUMMYFUNCTION("GOOGLETRANSLATE(B13982, ""zh"", ""en"")"),"Rotary joints rotate a little leak when the joint work will drip out of 5.6, after the Amazon to reflect overseas shopping can not represent a replacement, only to retreat, or 10% of the purchase price back, first with a look, bad can return within 30 day"&amp;"s, something with up pretty good, hope to easy to use")</f>
        <v>Rotary joints rotate a little leak when the joint work will drip out of 5.6, after the Amazon to reflect overseas shopping can not represent a replacement, only to retreat, or 10% of the purchase price back, first with a look, bad can return within 30 days, something with up pretty good, hope to easy to use</v>
      </c>
    </row>
    <row r="13983">
      <c r="A13983" s="1">
        <v>4.0</v>
      </c>
      <c r="B13983" s="1" t="s">
        <v>13837</v>
      </c>
      <c r="C13983" t="str">
        <f>IFERROR(__xludf.DUMMYFUNCTION("GOOGLETRANSLATE(B13983, ""zh"", ""en"")"),"Why buy from the British-made, the result is written on the shoe is Made in China? so disappointed……")</f>
        <v>Why buy from the British-made, the result is written on the shoe is Made in China? so disappointed……</v>
      </c>
    </row>
    <row r="13984">
      <c r="A13984" s="1">
        <v>5.0</v>
      </c>
      <c r="B13984" s="1" t="s">
        <v>13838</v>
      </c>
      <c r="C13984" t="str">
        <f>IFERROR(__xludf.DUMMYFUNCTION("GOOGLETRANSLATE(B13984, ""zh"", ""en"")"),"Belts price good for general leisure")</f>
        <v>Belts price good for general leisure</v>
      </c>
    </row>
    <row r="13985">
      <c r="A13985" s="1">
        <v>5.0</v>
      </c>
      <c r="B13985" s="1" t="s">
        <v>13839</v>
      </c>
      <c r="C13985" t="str">
        <f>IFERROR(__xludf.DUMMYFUNCTION("GOOGLETRANSLATE(B13985, ""zh"", ""en"")"),"Slightly smaller number, but the service is great! Number too small, can not wear to send to friends. But Amazon sales service sincere praise, quickly gives a compromise that both sides can accept. (But international orders return freight themselves, righ"&amp;"t when everyone reminder.)")</f>
        <v>Slightly smaller number, but the service is great! Number too small, can not wear to send to friends. But Amazon sales service sincere praise, quickly gives a compromise that both sides can accept. (But international orders return freight themselves, right when everyone reminder.)</v>
      </c>
    </row>
    <row r="13986">
      <c r="A13986" s="1">
        <v>5.0</v>
      </c>
      <c r="B13986" s="1" t="s">
        <v>13840</v>
      </c>
      <c r="C13986" t="str">
        <f>IFERROR(__xludf.DUMMYFUNCTION("GOOGLETRANSLATE(B13986, ""zh"", ""en"")"),"In order to couple the shoe into the right size. Boys 41 yards, bought a 9.5 yards, just to wear!")</f>
        <v>In order to couple the shoe into the right size. Boys 41 yards, bought a 9.5 yards, just to wear!</v>
      </c>
    </row>
    <row r="13987">
      <c r="A13987" s="1">
        <v>5.0</v>
      </c>
      <c r="B13987" s="1" t="s">
        <v>13841</v>
      </c>
      <c r="C13987" t="str">
        <f>IFERROR(__xludf.DUMMYFUNCTION("GOOGLETRANSLATE(B13987, ""zh"", ""en"")"),"Cost-effective. Cost-effective than the mall more clothes than domestic large a number. We hope to have more goods")</f>
        <v>Cost-effective. Cost-effective than the mall more clothes than domestic large a number. We hope to have more goods</v>
      </c>
    </row>
    <row r="13988">
      <c r="A13988" s="1">
        <v>5.0</v>
      </c>
      <c r="B13988" s="1" t="s">
        <v>13842</v>
      </c>
      <c r="C13988" t="str">
        <f>IFERROR(__xludf.DUMMYFUNCTION("GOOGLETRANSLATE(B13988, ""zh"", ""en"")"),"An excellent cost-effective ultra-high insulation pot insulation effect, not cool appearance, large capacity, meet me three hours to play badminton in the water, worth having")</f>
        <v>An excellent cost-effective ultra-high insulation pot insulation effect, not cool appearance, large capacity, meet me three hours to play badminton in the water, worth having</v>
      </c>
    </row>
    <row r="13989">
      <c r="A13989" s="1">
        <v>5.0</v>
      </c>
      <c r="B13989" s="1" t="s">
        <v>13843</v>
      </c>
      <c r="C13989" t="str">
        <f>IFERROR(__xludf.DUMMYFUNCTION("GOOGLETRANSLATE(B13989, ""zh"", ""en"")"),"Pants are very suitable to wear very comfortable, that is a little big cuffs, overall okay")</f>
        <v>Pants are very suitable to wear very comfortable, that is a little big cuffs, overall okay</v>
      </c>
    </row>
    <row r="13990">
      <c r="A13990" s="1">
        <v>5.0</v>
      </c>
      <c r="B13990" s="1" t="s">
        <v>13844</v>
      </c>
      <c r="C13990" t="str">
        <f>IFERROR(__xludf.DUMMYFUNCTION("GOOGLETRANSLATE(B13990, ""zh"", ""en"")"),"Shoes quite appropriate to receive in-kind good-looking than the pictures, very much. Shoe size is positive, the selected 41 yards 7.5uk, super suitable.")</f>
        <v>Shoes quite appropriate to receive in-kind good-looking than the pictures, very much. Shoe size is positive, the selected 41 yards 7.5uk, super suitable.</v>
      </c>
    </row>
    <row r="13991">
      <c r="A13991" s="1">
        <v>5.0</v>
      </c>
      <c r="B13991" s="1" t="s">
        <v>13845</v>
      </c>
      <c r="C13991" t="str">
        <f>IFERROR(__xludf.DUMMYFUNCTION("GOOGLETRANSLATE(B13991, ""zh"", ""en"")"),"Baby supplements safe and effective! Value for money, worth buying!")</f>
        <v>Baby supplements safe and effective! Value for money, worth buying!</v>
      </c>
    </row>
    <row r="13992">
      <c r="A13992" s="1">
        <v>5.0</v>
      </c>
      <c r="B13992" s="1" t="s">
        <v>13846</v>
      </c>
      <c r="C13992" t="str">
        <f>IFERROR(__xludf.DUMMYFUNCTION("GOOGLETRANSLATE(B13992, ""zh"", ""en"")"),"Cheaper than the State Bank Negara cheaper than the store more than 100 Liu Jiadong, the US line value for money")</f>
        <v>Cheaper than the State Bank Negara cheaper than the store more than 100 Liu Jiadong, the US line value for money</v>
      </c>
    </row>
    <row r="13993">
      <c r="A13993" s="1">
        <v>5.0</v>
      </c>
      <c r="B13993" s="1" t="s">
        <v>13847</v>
      </c>
      <c r="C13993" t="str">
        <f>IFERROR(__xludf.DUMMYFUNCTION("GOOGLETRANSLATE(B13993, ""zh"", ""en"")"),"~~~~~~~~~~~~~~~~~~~~ good good good ~~~~~~~~~~~~~~~~~~~~ quasi-professional recommendation")</f>
        <v>~~~~~~~~~~~~~~~~~~~~ good good good ~~~~~~~~~~~~~~~~~~~~ quasi-professional recommendation</v>
      </c>
    </row>
    <row r="13994">
      <c r="A13994" s="1">
        <v>5.0</v>
      </c>
      <c r="B13994" s="1" t="s">
        <v>13848</v>
      </c>
      <c r="C13994" t="str">
        <f>IFERROR(__xludf.DUMMYFUNCTION("GOOGLETRANSLATE(B13994, ""zh"", ""en"")"),"Feeling to Japan to buy the cheaper feeling to go to Japan to buy cheaper than ever than before, light weight")</f>
        <v>Feeling to Japan to buy the cheaper feeling to go to Japan to buy cheaper than ever than before, light weight</v>
      </c>
    </row>
    <row r="13995">
      <c r="A13995" s="1">
        <v>5.0</v>
      </c>
      <c r="B13995" s="1" t="s">
        <v>13849</v>
      </c>
      <c r="C13995" t="str">
        <f>IFERROR(__xludf.DUMMYFUNCTION("GOOGLETRANSLATE(B13995, ""zh"", ""en"")"),"Code number is slightly larger, style and good-looking inside layer of velvet, in accordance with the intelligent recommendation to buy or slightly a little big. But the style looks good. Or recommendation to buy, wear just now.")</f>
        <v>Code number is slightly larger, style and good-looking inside layer of velvet, in accordance with the intelligent recommendation to buy or slightly a little big. But the style looks good. Or recommendation to buy, wear just now.</v>
      </c>
    </row>
    <row r="13996">
      <c r="A13996" s="1">
        <v>5.0</v>
      </c>
      <c r="B13996" s="1" t="s">
        <v>13850</v>
      </c>
      <c r="C13996" t="str">
        <f>IFERROR(__xludf.DUMMYFUNCTION("GOOGLETRANSLATE(B13996, ""zh"", ""en"")"),"Big brand trusted reduction is good, it really is a great brand.")</f>
        <v>Big brand trusted reduction is good, it really is a great brand.</v>
      </c>
    </row>
    <row r="13997">
      <c r="A13997" s="1">
        <v>5.0</v>
      </c>
      <c r="B13997" s="1" t="s">
        <v>13851</v>
      </c>
      <c r="C13997" t="str">
        <f>IFERROR(__xludf.DUMMYFUNCTION("GOOGLETRANSLATE(B13997, ""zh"", ""en"")"),"Very good volume big point. Hair dryer is very easy to use, smooth.")</f>
        <v>Very good volume big point. Hair dryer is very easy to use, smooth.</v>
      </c>
    </row>
    <row r="13998">
      <c r="A13998" s="1">
        <v>5.0</v>
      </c>
      <c r="B13998" s="1" t="s">
        <v>13852</v>
      </c>
      <c r="C13998" t="str">
        <f>IFERROR(__xludf.DUMMYFUNCTION("GOOGLETRANSLATE(B13998, ""zh"", ""en"")"),"like very much! Something very good, and expected the same! like very much! stand by! Ready to wear spring ~")</f>
        <v>like very much! Something very good, and expected the same! like very much! stand by! Ready to wear spring ~</v>
      </c>
    </row>
    <row r="13999">
      <c r="A13999" s="1">
        <v>5.0</v>
      </c>
      <c r="B13999" s="1" t="s">
        <v>13853</v>
      </c>
      <c r="C13999" t="str">
        <f>IFERROR(__xludf.DUMMYFUNCTION("GOOGLETRANSLATE(B13999, ""zh"", ""en"")"),"I feel pretty good I like a.")</f>
        <v>I feel pretty good I like a.</v>
      </c>
    </row>
    <row r="14000">
      <c r="A14000" s="1">
        <v>5.0</v>
      </c>
      <c r="B14000" s="1" t="s">
        <v>13854</v>
      </c>
      <c r="C14000" t="str">
        <f>IFERROR(__xludf.DUMMYFUNCTION("GOOGLETRANSLATE(B14000, ""zh"", ""en"")"),"Suitable for big chest big chest")</f>
        <v>Suitable for big chest big chest</v>
      </c>
    </row>
    <row r="14001">
      <c r="A14001" s="1">
        <v>5.0</v>
      </c>
      <c r="B14001" s="1" t="s">
        <v>13855</v>
      </c>
      <c r="C14001" t="str">
        <f>IFERROR(__xludf.DUMMYFUNCTION("GOOGLETRANSLATE(B14001, ""zh"", ""en"")"),"Classic essential in the country rarely buy this watch, buy in AZ feeling quite cost-effective.")</f>
        <v>Classic essential in the country rarely buy this watch, buy in AZ feeling quite cost-effective.</v>
      </c>
    </row>
    <row r="14002">
      <c r="A14002" s="1">
        <v>5.0</v>
      </c>
      <c r="B14002" s="1" t="s">
        <v>13856</v>
      </c>
      <c r="C14002" t="str">
        <f>IFERROR(__xludf.DUMMYFUNCTION("GOOGLETRANSLATE(B14002, ""zh"", ""en"")"),"Good, good style and do more activities! Very good, very good style good!")</f>
        <v>Good, good style and do more activities! Very good, very good style good!</v>
      </c>
    </row>
    <row r="14003">
      <c r="A14003" s="1">
        <v>5.0</v>
      </c>
      <c r="B14003" s="1" t="s">
        <v>13857</v>
      </c>
      <c r="C14003" t="str">
        <f>IFERROR(__xludf.DUMMYFUNCTION("GOOGLETRANSLATE(B14003, ""zh"", ""en"")"),"Style is also just the right size like the right size! Like normal wear 38 yards around 23.8 feet long that we chose to 24cm in size")</f>
        <v>Style is also just the right size like the right size! Like normal wear 38 yards around 23.8 feet long that we chose to 24cm in size</v>
      </c>
    </row>
    <row r="14004">
      <c r="A14004" s="1">
        <v>5.0</v>
      </c>
      <c r="B14004" s="1" t="s">
        <v>13858</v>
      </c>
      <c r="C14004" t="str">
        <f>IFERROR(__xludf.DUMMYFUNCTION("GOOGLETRANSLATE(B14004, ""zh"", ""en"")"),"Suitable size, light domestic sports shoes wear 42 yards, this is also true suitable to buy 42 yards, a little toe just empty but the width. Very light and very comfortable,")</f>
        <v>Suitable size, light domestic sports shoes wear 42 yards, this is also true suitable to buy 42 yards, a little toe just empty but the width. Very light and very comfortable,</v>
      </c>
    </row>
    <row r="14005">
      <c r="A14005" s="1">
        <v>5.0</v>
      </c>
      <c r="B14005" s="1" t="s">
        <v>13859</v>
      </c>
      <c r="C14005" t="str">
        <f>IFERROR(__xludf.DUMMYFUNCTION("GOOGLETRANSLATE(B14005, ""zh"", ""en"")"),"Helium disk, overall good good price, or helium reliable than perpendicular recording shingled, or put back cooling is a good choice nas")</f>
        <v>Helium disk, overall good good price, or helium reliable than perpendicular recording shingled, or put back cooling is a good choice nas</v>
      </c>
    </row>
    <row r="14006">
      <c r="A14006" s="1">
        <v>2.0</v>
      </c>
      <c r="B14006" s="1" t="s">
        <v>13860</v>
      </c>
      <c r="C14006" t="str">
        <f>IFERROR(__xludf.DUMMYFUNCTION("GOOGLETRANSLATE(B14006, ""zh"", ""en"")"),"Quality is not, there is a hole in a poor shopping experience, the first to buy the S number, the result of unexpected tight, because they have to wash it, it did not return. The second also bought this color, into M number, after receiving proper upper b"&amp;"ody, just to wash over and found the back broke a hole the size of soybean, new clothes holes, has applied for return. And some strange this section T-shirt fabric, unlike cotton, will be some hard, I want to buy friends to consider. The first, smaller nu"&amp;"mber than expected, it is recommended to buy the freshman code; second, the fabric is not very comfortable, think clearly; third, the quality is really not ye, the US version of the title does seem as good as the Japanese version of the quality, it seems "&amp;"to be common sense.")</f>
        <v>Quality is not, there is a hole in a poor shopping experience, the first to buy the S number, the result of unexpected tight, because they have to wash it, it did not return. The second also bought this color, into M number, after receiving proper upper body, just to wash over and found the back broke a hole the size of soybean, new clothes holes, has applied for return. And some strange this section T-shirt fabric, unlike cotton, will be some hard, I want to buy friends to consider. The first, smaller number than expected, it is recommended to buy the freshman code; second, the fabric is not very comfortable, think clearly; third, the quality is really not ye, the US version of the title does seem as good as the Japanese version of the quality, it seems to be common sense.</v>
      </c>
    </row>
    <row r="14007">
      <c r="A14007" s="1">
        <v>3.0</v>
      </c>
      <c r="B14007" s="1" t="s">
        <v>13861</v>
      </c>
      <c r="C14007" t="str">
        <f>IFERROR(__xludf.DUMMYFUNCTION("GOOGLETRANSLATE(B14007, ""zh"", ""en"")"),"Little cloth shoes are hard, there is no flexibility, high instep do not buy")</f>
        <v>Little cloth shoes are hard, there is no flexibility, high instep do not buy</v>
      </c>
    </row>
    <row r="14008">
      <c r="A14008" s="1">
        <v>3.0</v>
      </c>
      <c r="B14008" s="1" t="s">
        <v>13862</v>
      </c>
      <c r="C14008" t="str">
        <f>IFERROR(__xludf.DUMMYFUNCTION("GOOGLETRANSLATE(B14008, ""zh"", ""en"")"),"Code number is too small to buy only feel outgrown M code size is too small direct anyone")</f>
        <v>Code number is too small to buy only feel outgrown M code size is too small direct anyone</v>
      </c>
    </row>
    <row r="14009">
      <c r="A14009" s="1">
        <v>1.0</v>
      </c>
      <c r="B14009" s="1" t="s">
        <v>13863</v>
      </c>
      <c r="C14009" t="str">
        <f>IFERROR(__xludf.DUMMYFUNCTION("GOOGLETRANSLATE(B14009, ""zh"", ""en"")"),"To stimulate the taste buds after eating with no taste, drink bitter, feeling the taste buds harmful.")</f>
        <v>To stimulate the taste buds after eating with no taste, drink bitter, feeling the taste buds harmful.</v>
      </c>
    </row>
    <row r="14010">
      <c r="A14010" s="1">
        <v>1.0</v>
      </c>
      <c r="B14010" s="1" t="s">
        <v>13864</v>
      </c>
      <c r="C14010" t="str">
        <f>IFERROR(__xludf.DUMMYFUNCTION("GOOGLETRANSLATE(B14010, ""zh"", ""en"")"),"Yan leakage value is high, design work feel are very good, unfortunately, is leaking")</f>
        <v>Yan leakage value is high, design work feel are very good, unfortunately, is leaking</v>
      </c>
    </row>
    <row r="14011">
      <c r="A14011" s="1">
        <v>1.0</v>
      </c>
      <c r="B14011" s="1" t="s">
        <v>13865</v>
      </c>
      <c r="C14011" t="str">
        <f>IFERROR(__xludf.DUMMYFUNCTION("GOOGLETRANSLATE(B14011, ""zh"", ""en"")"),"Undershirt undershirt wife say they look like the old man, carefully turned a bit comment really is a pit, much worse than overdue")</f>
        <v>Undershirt undershirt wife say they look like the old man, carefully turned a bit comment really is a pit, much worse than overdue</v>
      </c>
    </row>
    <row r="14012">
      <c r="A14012" s="1">
        <v>4.0</v>
      </c>
      <c r="B14012" s="1" t="s">
        <v>13866</v>
      </c>
      <c r="C14012" t="str">
        <f>IFERROR(__xludf.DUMMYFUNCTION("GOOGLETRANSLATE(B14012, ""zh"", ""en"")"),"Also, you pay for! Also, you pay for!")</f>
        <v>Also, you pay for! Also, you pay for!</v>
      </c>
    </row>
    <row r="14013">
      <c r="A14013" s="1">
        <v>4.0</v>
      </c>
      <c r="B14013" s="1" t="s">
        <v>13867</v>
      </c>
      <c r="C14013" t="str">
        <f>IFERROR(__xludf.DUMMYFUNCTION("GOOGLETRANSLATE(B14013, ""zh"", ""en"")"),"Feel good I feel pretty good")</f>
        <v>Feel good I feel pretty good</v>
      </c>
    </row>
    <row r="14014">
      <c r="A14014" s="1">
        <v>4.0</v>
      </c>
      <c r="B14014" s="1" t="s">
        <v>13868</v>
      </c>
      <c r="C14014" t="str">
        <f>IFERROR(__xludf.DUMMYFUNCTION("GOOGLETRANSLATE(B14014, ""zh"", ""en"")"),"Some of the different styles and good quality domestic counter, a little heavier than the domestic counter cortex and also stiffer. Good quality, yak leather, less than 1000 hand, worth the price!")</f>
        <v>Some of the different styles and good quality domestic counter, a little heavier than the domestic counter cortex and also stiffer. Good quality, yak leather, less than 1000 hand, worth the price!</v>
      </c>
    </row>
    <row r="14015">
      <c r="A14015" s="1">
        <v>4.0</v>
      </c>
      <c r="B14015" s="1" t="s">
        <v>13869</v>
      </c>
      <c r="C14015" t="str">
        <f>IFERROR(__xludf.DUMMYFUNCTION("GOOGLETRANSLATE(B14015, ""zh"", ""en"")"),"The price of 1000 yuan also winter boots too")</f>
        <v>The price of 1000 yuan also winter boots too</v>
      </c>
    </row>
    <row r="14016">
      <c r="A14016" s="1">
        <v>4.0</v>
      </c>
      <c r="B14016" s="1" t="s">
        <v>13870</v>
      </c>
      <c r="C14016" t="str">
        <f>IFERROR(__xludf.DUMMYFUNCTION("GOOGLETRANSLATE(B14016, ""zh"", ""en"")"),"Size slightly larger size is too large, the general fabric, home wear good")</f>
        <v>Size slightly larger size is too large, the general fabric, home wear good</v>
      </c>
    </row>
    <row r="14017">
      <c r="A14017" s="1">
        <v>5.0</v>
      </c>
      <c r="B14017" s="1" t="s">
        <v>13871</v>
      </c>
      <c r="C14017" t="str">
        <f>IFERROR(__xludf.DUMMYFUNCTION("GOOGLETRANSLATE(B14017, ""zh"", ""en"")"),"Buy do not regret it easy to use, in addition to lunch boxes and cups every day to get used to eat")</f>
        <v>Buy do not regret it easy to use, in addition to lunch boxes and cups every day to get used to eat</v>
      </c>
    </row>
    <row r="14018">
      <c r="A14018" s="1">
        <v>5.0</v>
      </c>
      <c r="B14018" s="1" t="s">
        <v>13872</v>
      </c>
      <c r="C14018" t="str">
        <f>IFERROR(__xludf.DUMMYFUNCTION("GOOGLETRANSLATE(B14018, ""zh"", ""en"")"),"The dream of zero gravity very light small cup, it is convenient to carry")</f>
        <v>The dream of zero gravity very light small cup, it is convenient to carry</v>
      </c>
    </row>
    <row r="14019">
      <c r="A14019" s="1">
        <v>5.0</v>
      </c>
      <c r="B14019" s="1" t="s">
        <v>13873</v>
      </c>
      <c r="C14019" t="str">
        <f>IFERROR(__xludf.DUMMYFUNCTION("GOOGLETRANSLATE(B14019, ""zh"", ""en"")"),"I did not want to buy this nice color, but other colors Guia! ! ! ! ! Bought after the price increase. Wait for a decline in value with free shipping.")</f>
        <v>I did not want to buy this nice color, but other colors Guia! ! ! ! ! Bought after the price increase. Wait for a decline in value with free shipping.</v>
      </c>
    </row>
    <row r="14020">
      <c r="A14020" s="1">
        <v>5.0</v>
      </c>
      <c r="B14020" s="1" t="s">
        <v>13874</v>
      </c>
      <c r="C14020" t="str">
        <f>IFERROR(__xludf.DUMMYFUNCTION("GOOGLETRANSLATE(B14020, ""zh"", ""en"")"),"Good things worth having for the first time to buy overseas purchase on Amazon, cheaper stuff is not bad")</f>
        <v>Good things worth having for the first time to buy overseas purchase on Amazon, cheaper stuff is not bad</v>
      </c>
    </row>
    <row r="14021">
      <c r="A14021" s="1">
        <v>5.0</v>
      </c>
      <c r="B14021" s="1" t="s">
        <v>13875</v>
      </c>
      <c r="C14021" t="str">
        <f>IFERROR(__xludf.DUMMYFUNCTION("GOOGLETRANSLATE(B14021, ""zh"", ""en"")"),"Shoes are very light, very comfortable little worried before the next single, Look at the reviews said it was relatively hard soles, feeling put on the foot plate. Get the goods immediately tried on foot, all of a sudden all my concerns to dispel, shoes u"&amp;"ltra-light, very soft and very comfortable, choose shoe size is also just right, give yourself a big praise!")</f>
        <v>Shoes are very light, very comfortable little worried before the next single, Look at the reviews said it was relatively hard soles, feeling put on the foot plate. Get the goods immediately tried on foot, all of a sudden all my concerns to dispel, shoes ultra-light, very soft and very comfortable, choose shoe size is also just right, give yourself a big praise!</v>
      </c>
    </row>
    <row r="14022">
      <c r="A14022" s="1">
        <v>5.0</v>
      </c>
      <c r="B14022" s="1" t="s">
        <v>13876</v>
      </c>
      <c r="C14022" t="str">
        <f>IFERROR(__xludf.DUMMYFUNCTION("GOOGLETRANSLATE(B14022, ""zh"", ""en"")"),"Yes, it is worth buying is very convenient and very easy to wash, dry cover is a bit of trouble")</f>
        <v>Yes, it is worth buying is very convenient and very easy to wash, dry cover is a bit of trouble</v>
      </c>
    </row>
    <row r="14023">
      <c r="A14023" s="1">
        <v>5.0</v>
      </c>
      <c r="B14023" s="1" t="s">
        <v>13877</v>
      </c>
      <c r="C14023" t="str">
        <f>IFERROR(__xludf.DUMMYFUNCTION("GOOGLETRANSLATE(B14023, ""zh"", ""en"")"),"Good price Amazon shipping a lot faster than expected, the global purchase a week home, merchandise is brand new, very attractive price.")</f>
        <v>Good price Amazon shipping a lot faster than expected, the global purchase a week home, merchandise is brand new, very attractive price.</v>
      </c>
    </row>
    <row r="14024">
      <c r="A14024" s="1">
        <v>5.0</v>
      </c>
      <c r="B14024" s="1" t="s">
        <v>13878</v>
      </c>
      <c r="C14024" t="str">
        <f>IFERROR(__xludf.DUMMYFUNCTION("GOOGLETRANSLATE(B14024, ""zh"", ""en"")"),"Genuine sweater should be genuine, good")</f>
        <v>Genuine sweater should be genuine, good</v>
      </c>
    </row>
    <row r="14025">
      <c r="A14025" s="1">
        <v>5.0</v>
      </c>
      <c r="B14025" s="1" t="s">
        <v>13879</v>
      </c>
      <c r="C14025" t="str">
        <f>IFERROR(__xludf.DUMMYFUNCTION("GOOGLETRANSLATE(B14025, ""zh"", ""en"")"),"Good to wear very comfortable.")</f>
        <v>Good to wear very comfortable.</v>
      </c>
    </row>
    <row r="14026">
      <c r="A14026" s="1">
        <v>5.0</v>
      </c>
      <c r="B14026" s="1" t="s">
        <v>13880</v>
      </c>
      <c r="C14026" t="str">
        <f>IFERROR(__xludf.DUMMYFUNCTION("GOOGLETRANSLATE(B14026, ""zh"", ""en"")"),"Perfect perfect uk4 us6.5 with domestic 230cm wife's feet 37 yards too good-looking to buy a Jingdong 1200")</f>
        <v>Perfect perfect uk4 us6.5 with domestic 230cm wife's feet 37 yards too good-looking to buy a Jingdong 1200</v>
      </c>
    </row>
    <row r="14027">
      <c r="A14027" s="1">
        <v>5.0</v>
      </c>
      <c r="B14027" s="1" t="s">
        <v>13881</v>
      </c>
      <c r="C14027" t="str">
        <f>IFERROR(__xludf.DUMMYFUNCTION("GOOGLETRANSLATE(B14027, ""zh"", ""en"")"),"Genuine and counter the same, just like a facelift, and June to see are not the same")</f>
        <v>Genuine and counter the same, just like a facelift, and June to see are not the same</v>
      </c>
    </row>
    <row r="14028">
      <c r="A14028" s="1">
        <v>5.0</v>
      </c>
      <c r="B14028" s="1" t="s">
        <v>13882</v>
      </c>
      <c r="C14028" t="str">
        <f>IFERROR(__xludf.DUMMYFUNCTION("GOOGLETRANSLATE(B14028, ""zh"", ""en"")"),"Warm, very warm, direct some wearing tie, wearing pantyhose inside a thin point on the right, in short, it is good.")</f>
        <v>Warm, very warm, direct some wearing tie, wearing pantyhose inside a thin point on the right, in short, it is good.</v>
      </c>
    </row>
    <row r="14029">
      <c r="A14029" s="1">
        <v>5.0</v>
      </c>
      <c r="B14029" s="1" t="s">
        <v>13883</v>
      </c>
      <c r="C14029" t="str">
        <f>IFERROR(__xludf.DUMMYFUNCTION("GOOGLETRANSLATE(B14029, ""zh"", ""en"")"),"Pigeon nipple same brand, made in China and Japan really a gap, this better!")</f>
        <v>Pigeon nipple same brand, made in China and Japan really a gap, this better!</v>
      </c>
    </row>
    <row r="14030">
      <c r="A14030" s="1">
        <v>5.0</v>
      </c>
      <c r="B14030" s="1" t="s">
        <v>13884</v>
      </c>
      <c r="C14030" t="str">
        <f>IFERROR(__xludf.DUMMYFUNCTION("GOOGLETRANSLATE(B14030, ""zh"", ""en"")"),"Overseas buy a large jar, upon receipt of scared me, ha ha, this large jars to drink long.")</f>
        <v>Overseas buy a large jar, upon receipt of scared me, ha ha, this large jars to drink long.</v>
      </c>
    </row>
    <row r="14031">
      <c r="A14031" s="1">
        <v>5.0</v>
      </c>
      <c r="B14031" s="1" t="s">
        <v>13885</v>
      </c>
      <c r="C14031" t="str">
        <f>IFERROR(__xludf.DUMMYFUNCTION("GOOGLETRANSLATE(B14031, ""zh"", ""en"")"),"Overall good height 164, weight 125, Bust 94, bought the M code is appropriate, such as tailor-made general, thread and more, yet the water, I do not know whether fade badly ... for later reference to a friend")</f>
        <v>Overall good height 164, weight 125, Bust 94, bought the M code is appropriate, such as tailor-made general, thread and more, yet the water, I do not know whether fade badly ... for later reference to a friend</v>
      </c>
    </row>
    <row r="14032">
      <c r="A14032" s="1">
        <v>5.0</v>
      </c>
      <c r="B14032" s="1" t="s">
        <v>13886</v>
      </c>
      <c r="C14032" t="str">
        <f>IFERROR(__xludf.DUMMYFUNCTION("GOOGLETRANSLATE(B14032, ""zh"", ""en"")"),"30 years ago, feelings watch 30 years ago, with such an electronic form, it is a kind of how feelings. To commemorate the lost youth, purchased to pay tribute to their youth!")</f>
        <v>30 years ago, feelings watch 30 years ago, with such an electronic form, it is a kind of how feelings. To commemorate the lost youth, purchased to pay tribute to their youth!</v>
      </c>
    </row>
    <row r="14033">
      <c r="A14033" s="1">
        <v>5.0</v>
      </c>
      <c r="B14033" s="1" t="s">
        <v>13887</v>
      </c>
      <c r="C14033" t="str">
        <f>IFERROR(__xludf.DUMMYFUNCTION("GOOGLETRANSLATE(B14033, ""zh"", ""en"")"),"Usually sports shoes 43 yards, this just M9. Usually sports shoes 43 yards, this just M9.")</f>
        <v>Usually sports shoes 43 yards, this just M9. Usually sports shoes 43 yards, this just M9.</v>
      </c>
    </row>
    <row r="14034">
      <c r="A14034" s="1">
        <v>5.0</v>
      </c>
      <c r="B14034" s="1" t="s">
        <v>13888</v>
      </c>
      <c r="C14034" t="str">
        <f>IFERROR(__xludf.DUMMYFUNCTION("GOOGLETRANSLATE(B14034, ""zh"", ""en"")"),"Ah, good texture, pants type version is very good, relatively thick, suitable for winter 34 * 29 waist 88cm")</f>
        <v>Ah, good texture, pants type version is very good, relatively thick, suitable for winter 34 * 29 waist 88cm</v>
      </c>
    </row>
    <row r="14035">
      <c r="A14035" s="1">
        <v>5.0</v>
      </c>
      <c r="B14035" s="1" t="s">
        <v>13889</v>
      </c>
      <c r="C14035" t="str">
        <f>IFERROR(__xludf.DUMMYFUNCTION("GOOGLETRANSLATE(B14035, ""zh"", ""en"")"),"Satisfied with the comfortable fabric, quality, and imagination in the same, very satisfied!")</f>
        <v>Satisfied with the comfortable fabric, quality, and imagination in the same, very satisfied!</v>
      </c>
    </row>
    <row r="14036">
      <c r="A14036" s="1">
        <v>5.0</v>
      </c>
      <c r="B14036" s="1" t="s">
        <v>13890</v>
      </c>
      <c r="C14036" t="str">
        <f>IFERROR(__xludf.DUMMYFUNCTION("GOOGLETRANSLATE(B14036, ""zh"", ""en"")"),"Inexpensive, convenient and practical! Inexpensive, convenient and practical!")</f>
        <v>Inexpensive, convenient and practical! Inexpensive, convenient and practical!</v>
      </c>
    </row>
    <row r="14037">
      <c r="A14037" s="1">
        <v>5.0</v>
      </c>
      <c r="B14037" s="1" t="s">
        <v>13891</v>
      </c>
      <c r="C14037" t="str">
        <f>IFERROR(__xludf.DUMMYFUNCTION("GOOGLETRANSLATE(B14037, ""zh"", ""en"")"),"It has multiple gears, very good ten speed range can be adjusted, from small to large water pressure is also very easy to use all, but each time only two minutes a little bit of breath")</f>
        <v>It has multiple gears, very good ten speed range can be adjusted, from small to large water pressure is also very easy to use all, but each time only two minutes a little bit of breath</v>
      </c>
    </row>
    <row r="14038">
      <c r="A14038" s="1">
        <v>5.0</v>
      </c>
      <c r="B14038" s="1" t="s">
        <v>11397</v>
      </c>
      <c r="C14038" t="str">
        <f>IFERROR(__xludf.DUMMYFUNCTION("GOOGLETRANSLATE(B14038, ""zh"", ""en"")"),"Comfortable fabric, elastic good comfortable fabrics, good elasticity, thickness can also feel, leggings good.")</f>
        <v>Comfortable fabric, elastic good comfortable fabrics, good elasticity, thickness can also feel, leggings good.</v>
      </c>
    </row>
    <row r="14039">
      <c r="A14039" s="1">
        <v>2.0</v>
      </c>
      <c r="B14039" s="1" t="s">
        <v>13892</v>
      </c>
      <c r="C14039" t="str">
        <f>IFERROR(__xludf.DUMMYFUNCTION("GOOGLETRANSLATE(B14039, ""zh"", ""en"")"),"Not suitable for work wear wrong, the office can not wear,")</f>
        <v>Not suitable for work wear wrong, the office can not wear,</v>
      </c>
    </row>
    <row r="14040">
      <c r="A14040" s="1">
        <v>3.0</v>
      </c>
      <c r="B14040" s="1" t="s">
        <v>13893</v>
      </c>
      <c r="C14040" t="str">
        <f>IFERROR(__xludf.DUMMYFUNCTION("GOOGLETRANSLATE(B14040, ""zh"", ""en"")"),"1 bottle good, not flatulence.")</f>
        <v>1 bottle good, not flatulence.</v>
      </c>
    </row>
    <row r="14041">
      <c r="A14041" s="1">
        <v>3.0</v>
      </c>
      <c r="B14041" s="1" t="s">
        <v>13894</v>
      </c>
      <c r="C14041" t="str">
        <f>IFERROR(__xludf.DUMMYFUNCTION("GOOGLETRANSLATE(B14041, ""zh"", ""en"")"),"Inside this dress with hair loss really cheaper than domestic, but the quality is really bad enough Champion, Honduras production, severe hair loss inside! However, Amazon purchased overseas logistics really fast now, a week on the hand!")</f>
        <v>Inside this dress with hair loss really cheaper than domestic, but the quality is really bad enough Champion, Honduras production, severe hair loss inside! However, Amazon purchased overseas logistics really fast now, a week on the hand!</v>
      </c>
    </row>
    <row r="14042">
      <c r="A14042" s="1">
        <v>3.0</v>
      </c>
      <c r="B14042" s="1" t="s">
        <v>13895</v>
      </c>
      <c r="C14042" t="str">
        <f>IFERROR(__xludf.DUMMYFUNCTION("GOOGLETRANSLATE(B14042, ""zh"", ""en"")"),"Larger height 171, weight 55, buy a small code, or too big, and very long! Quality Well, more than 120 of the price out there, and just right.")</f>
        <v>Larger height 171, weight 55, buy a small code, or too big, and very long! Quality Well, more than 120 of the price out there, and just right.</v>
      </c>
    </row>
    <row r="14043">
      <c r="A14043" s="1">
        <v>1.0</v>
      </c>
      <c r="B14043" s="1" t="s">
        <v>13896</v>
      </c>
      <c r="C14043" t="str">
        <f>IFERROR(__xludf.DUMMYFUNCTION("GOOGLETRANSLATE(B14043, ""zh"", ""en"")"),"Packaging is very, very poor sent me from abroad, actually use this picture on the packaging, outside nothing to put a thin layer, sent to me this morning are rotten, clear plastic wrapped around a lot, too bad, in Asia Ma worst first overseas shopping ex"&amp;"perience")</f>
        <v>Packaging is very, very poor sent me from abroad, actually use this picture on the packaging, outside nothing to put a thin layer, sent to me this morning are rotten, clear plastic wrapped around a lot, too bad, in Asia Ma worst first overseas shopping experience</v>
      </c>
    </row>
    <row r="14044">
      <c r="A14044" s="1">
        <v>1.0</v>
      </c>
      <c r="B14044" s="1" t="s">
        <v>13897</v>
      </c>
      <c r="C14044" t="str">
        <f>IFERROR(__xludf.DUMMYFUNCTION("GOOGLETRANSLATE(B14044, ""zh"", ""en"")"),"May I ask how could this not only a band-absorbent disposable ink bladder bile, bile is not absorbent.")</f>
        <v>May I ask how could this not only a band-absorbent disposable ink bladder bile, bile is not absorbent.</v>
      </c>
    </row>
    <row r="14045">
      <c r="A14045" s="1">
        <v>4.0</v>
      </c>
      <c r="B14045" s="1" t="s">
        <v>13898</v>
      </c>
      <c r="C14045" t="str">
        <f>IFERROR(__xludf.DUMMYFUNCTION("GOOGLETRANSLATE(B14045, ""zh"", ""en"")"),"Simple, easy and effort a few years ago in Jingdong bought a Casio watch, with less than a month would not have gone, contact the customer service process rework, repair can not tell me the results, and finally returns processing. Did not know the essence"&amp;" of the series is the Casio G-SHOCK, and this really was not disappointed, very accurate.")</f>
        <v>Simple, easy and effort a few years ago in Jingdong bought a Casio watch, with less than a month would not have gone, contact the customer service process rework, repair can not tell me the results, and finally returns processing. Did not know the essence of the series is the Casio G-SHOCK, and this really was not disappointed, very accurate.</v>
      </c>
    </row>
    <row r="14046">
      <c r="A14046" s="1">
        <v>4.0</v>
      </c>
      <c r="B14046" s="1" t="s">
        <v>13899</v>
      </c>
      <c r="C14046" t="str">
        <f>IFERROR(__xludf.DUMMYFUNCTION("GOOGLETRANSLATE(B14046, ""zh"", ""en"")"),"CK fabric comfortable fabric is a first-class experience excellent, triangle cut feeling very fit. According waist size selection, basic and about the size of the domestic counter.")</f>
        <v>CK fabric comfortable fabric is a first-class experience excellent, triangle cut feeling very fit. According waist size selection, basic and about the size of the domestic counter.</v>
      </c>
    </row>
    <row r="14047">
      <c r="A14047" s="1">
        <v>4.0</v>
      </c>
      <c r="B14047" s="1" t="s">
        <v>13900</v>
      </c>
      <c r="C14047" t="str">
        <f>IFERROR(__xludf.DUMMYFUNCTION("GOOGLETRANSLATE(B14047, ""zh"", ""en"")"),"Pefect! PUMA according to the size of the domestic buy, the right length, although my feet slim, but the width D (M) or slightly narrower. But overall is very good, wear some hot, summer may not wear 😢 -------- --------- through the afternoon after a dec"&amp;"ision to cut a star, crowded toes painful, and very hot.")</f>
        <v>Pefect! PUMA according to the size of the domestic buy, the right length, although my feet slim, but the width D (M) or slightly narrower. But overall is very good, wear some hot, summer may not wear 😢 -------- --------- through the afternoon after a decision to cut a star, crowded toes painful, and very hot.</v>
      </c>
    </row>
    <row r="14048">
      <c r="A14048" s="1">
        <v>4.0</v>
      </c>
      <c r="B14048" s="1" t="s">
        <v>13901</v>
      </c>
      <c r="C14048" t="str">
        <f>IFERROR(__xludf.DUMMYFUNCTION("GOOGLETRANSLATE(B14048, ""zh"", ""en"")"),"Good quality shoes to buy his wife's shoes, usually wear 38, bought the 39 because foot wide, a little longer! But wearing feeling okay!")</f>
        <v>Good quality shoes to buy his wife's shoes, usually wear 38, bought the 39 because foot wide, a little longer! But wearing feeling okay!</v>
      </c>
    </row>
    <row r="14049">
      <c r="A14049" s="1">
        <v>4.0</v>
      </c>
      <c r="B14049" s="1" t="s">
        <v>13902</v>
      </c>
      <c r="C14049" t="str">
        <f>IFERROR(__xludf.DUMMYFUNCTION("GOOGLETRANSLATE(B14049, ""zh"", ""en"")"),"Good clothes can also be cost-effective, just the cold weather sport")</f>
        <v>Good clothes can also be cost-effective, just the cold weather sport</v>
      </c>
    </row>
    <row r="14050">
      <c r="A14050" s="1">
        <v>5.0</v>
      </c>
      <c r="B14050" s="1" t="s">
        <v>13903</v>
      </c>
      <c r="C14050" t="str">
        <f>IFERROR(__xludf.DUMMYFUNCTION("GOOGLETRANSLATE(B14050, ""zh"", ""en"")"),"This version is suitable or bought a few LEE, really cheap, usually more than 200, this version is very slim fit")</f>
        <v>This version is suitable or bought a few LEE, really cheap, usually more than 200, this version is very slim fit</v>
      </c>
    </row>
    <row r="14051">
      <c r="A14051" s="1">
        <v>5.0</v>
      </c>
      <c r="B14051" s="1" t="s">
        <v>13904</v>
      </c>
      <c r="C14051" t="str">
        <f>IFERROR(__xludf.DUMMYFUNCTION("GOOGLETRANSLATE(B14051, ""zh"", ""en"")"),"Early morning to buy to enjoy and evening to buy a discounted. Helium no doubt! Leather!")</f>
        <v>Early morning to buy to enjoy and evening to buy a discounted. Helium no doubt! Leather!</v>
      </c>
    </row>
    <row r="14052">
      <c r="A14052" s="1">
        <v>5.0</v>
      </c>
      <c r="B14052" s="1" t="s">
        <v>13905</v>
      </c>
      <c r="C14052" t="str">
        <f>IFERROR(__xludf.DUMMYFUNCTION("GOOGLETRANSLATE(B14052, ""zh"", ""en"")"),"Fit very fit, I just yards 172 63S")</f>
        <v>Fit very fit, I just yards 172 63S</v>
      </c>
    </row>
    <row r="14053">
      <c r="A14053" s="1">
        <v>5.0</v>
      </c>
      <c r="B14053" s="1" t="s">
        <v>13906</v>
      </c>
      <c r="C14053" t="str">
        <f>IFERROR(__xludf.DUMMYFUNCTION("GOOGLETRANSLATE(B14053, ""zh"", ""en"")"),"Life is really good life is really good. But easy to be disturbed in the office environment, because more wireless devices such as mobile phones and routers. Another 199 Bluetooth headset millet is no problem.")</f>
        <v>Life is really good life is really good. But easy to be disturbed in the office environment, because more wireless devices such as mobile phones and routers. Another 199 Bluetooth headset millet is no problem.</v>
      </c>
    </row>
    <row r="14054">
      <c r="A14054" s="1">
        <v>5.0</v>
      </c>
      <c r="B14054" s="1" t="s">
        <v>13907</v>
      </c>
      <c r="C14054" t="str">
        <f>IFERROR(__xludf.DUMMYFUNCTION("GOOGLETRANSLATE(B14054, ""zh"", ""en"")"),"Good quality size is too large, no color, good quality.")</f>
        <v>Good quality size is too large, no color, good quality.</v>
      </c>
    </row>
    <row r="14055">
      <c r="A14055" s="1">
        <v>5.0</v>
      </c>
      <c r="B14055" s="1" t="s">
        <v>13908</v>
      </c>
      <c r="C14055" t="str">
        <f>IFERROR(__xludf.DUMMYFUNCTION("GOOGLETRANSLATE(B14055, ""zh"", ""en"")"),"Good good quality, not the waist marked skin!")</f>
        <v>Good good quality, not the waist marked skin!</v>
      </c>
    </row>
    <row r="14056">
      <c r="A14056" s="1">
        <v>5.0</v>
      </c>
      <c r="B14056" s="1" t="s">
        <v>13909</v>
      </c>
      <c r="C14056" t="str">
        <f>IFERROR(__xludf.DUMMYFUNCTION("GOOGLETRANSLATE(B14056, ""zh"", ""en"")"),"Complete accessories, easy to install, easy to use and reliable hot water district do not fly, the temporary installation of the water heater and thermostat, this is my second purchase of a leader, very much.")</f>
        <v>Complete accessories, easy to install, easy to use and reliable hot water district do not fly, the temporary installation of the water heater and thermostat, this is my second purchase of a leader, very much.</v>
      </c>
    </row>
    <row r="14057">
      <c r="A14057" s="1">
        <v>5.0</v>
      </c>
      <c r="B14057" s="1" t="s">
        <v>13910</v>
      </c>
      <c r="C14057" t="str">
        <f>IFERROR(__xludf.DUMMYFUNCTION("GOOGLETRANSLATE(B14057, ""zh"", ""en"")"),"Essential goods at home with baby, Y-essential, to often change")</f>
        <v>Essential goods at home with baby, Y-essential, to often change</v>
      </c>
    </row>
    <row r="14058">
      <c r="A14058" s="1">
        <v>5.0</v>
      </c>
      <c r="B14058" s="1" t="s">
        <v>13911</v>
      </c>
      <c r="C14058" t="str">
        <f>IFERROR(__xludf.DUMMYFUNCTION("GOOGLETRANSLATE(B14058, ""zh"", ""en"")"),"pant very pretty, it is bought big, sad to say this European version control")</f>
        <v>pant very pretty, it is bought big, sad to say this European version control</v>
      </c>
    </row>
    <row r="14059">
      <c r="A14059" s="1">
        <v>5.0</v>
      </c>
      <c r="B14059" s="1" t="s">
        <v>12349</v>
      </c>
      <c r="C14059" t="str">
        <f>IFERROR(__xludf.DUMMYFUNCTION("GOOGLETRANSLATE(B14059, ""zh"", ""en"")"),"Received in time and physical match, to buy S code 160CM 50KG refer to everyone")</f>
        <v>Received in time and physical match, to buy S code 160CM 50KG refer to everyone</v>
      </c>
    </row>
    <row r="14060">
      <c r="A14060" s="1">
        <v>5.0</v>
      </c>
      <c r="B14060" s="1" t="s">
        <v>13912</v>
      </c>
      <c r="C14060" t="str">
        <f>IFERROR(__xludf.DUMMYFUNCTION("GOOGLETRANSLATE(B14060, ""zh"", ""en"")"),"Good, just the right length!")</f>
        <v>Good, just the right length!</v>
      </c>
    </row>
    <row r="14061">
      <c r="A14061" s="1">
        <v>5.0</v>
      </c>
      <c r="B14061" s="1" t="s">
        <v>13913</v>
      </c>
      <c r="C14061" t="str">
        <f>IFERROR(__xludf.DUMMYFUNCTION("GOOGLETRANSLATE(B14061, ""zh"", ""en"")"),"Yes, the right fabric is good, 161.120 pounds, m code fit, which is the winter can not wear, very fit")</f>
        <v>Yes, the right fabric is good, 161.120 pounds, m code fit, which is the winter can not wear, very fit</v>
      </c>
    </row>
    <row r="14062">
      <c r="A14062" s="1">
        <v>5.0</v>
      </c>
      <c r="B14062" s="1" t="s">
        <v>13914</v>
      </c>
      <c r="C14062" t="str">
        <f>IFERROR(__xludf.DUMMYFUNCTION("GOOGLETRANSLATE(B14062, ""zh"", ""en"")"),"Coolish summer wear for this note is to buy winter models")</f>
        <v>Coolish summer wear for this note is to buy winter models</v>
      </c>
    </row>
    <row r="14063">
      <c r="A14063" s="1">
        <v>5.0</v>
      </c>
      <c r="B14063" s="1" t="s">
        <v>13915</v>
      </c>
      <c r="C14063" t="str">
        <f>IFERROR(__xludf.DUMMYFUNCTION("GOOGLETRANSLATE(B14063, ""zh"", ""en"")"),"Very good food supplement used to fight every day for the baby, playing very delicate, sesame home is his fight, is currently only used a cup, after preparing all unlocked.")</f>
        <v>Very good food supplement used to fight every day for the baby, playing very delicate, sesame home is his fight, is currently only used a cup, after preparing all unlocked.</v>
      </c>
    </row>
    <row r="14064">
      <c r="A14064" s="1">
        <v>5.0</v>
      </c>
      <c r="B14064" s="1" t="s">
        <v>13916</v>
      </c>
      <c r="C14064" t="str">
        <f>IFERROR(__xludf.DUMMYFUNCTION("GOOGLETRANSLATE(B14064, ""zh"", ""en"")"),"Easy to use easy to use, never again to use a computer connected to the line")</f>
        <v>Easy to use easy to use, never again to use a computer connected to the line</v>
      </c>
    </row>
    <row r="14065">
      <c r="A14065" s="1">
        <v>5.0</v>
      </c>
      <c r="B14065" s="1" t="s">
        <v>13917</v>
      </c>
      <c r="C14065" t="str">
        <f>IFERROR(__xludf.DUMMYFUNCTION("GOOGLETRANSLATE(B14065, ""zh"", ""en"")"),"Health guarantee good use filtered water bottle")</f>
        <v>Health guarantee good use filtered water bottle</v>
      </c>
    </row>
    <row r="14066">
      <c r="A14066" s="1">
        <v>5.0</v>
      </c>
      <c r="B14066" s="1" t="s">
        <v>13918</v>
      </c>
      <c r="C14066" t="str">
        <f>IFERROR(__xludf.DUMMYFUNCTION("GOOGLETRANSLATE(B14066, ""zh"", ""en"")"),"Fortunately, the good yo. The last time he bought from the United States and Asia, two shoes are the result of his right foot, his own return also charged. Afraid of you, from Central Asia to buy plastic bags straight wear, shoes intact.")</f>
        <v>Fortunately, the good yo. The last time he bought from the United States and Asia, two shoes are the result of his right foot, his own return also charged. Afraid of you, from Central Asia to buy plastic bags straight wear, shoes intact.</v>
      </c>
    </row>
    <row r="14067">
      <c r="A14067" s="1">
        <v>5.0</v>
      </c>
      <c r="B14067" s="1" t="s">
        <v>13919</v>
      </c>
      <c r="C14067" t="str">
        <f>IFERROR(__xludf.DUMMYFUNCTION("GOOGLETRANSLATE(B14067, ""zh"", ""en"")"),"Buy when we pay attention to the size of pants is very good, but the United States and the country code size difference between a full and a half yards, waist fat is very, but very comfortable to wear")</f>
        <v>Buy when we pay attention to the size of pants is very good, but the United States and the country code size difference between a full and a half yards, waist fat is very, but very comfortable to wear</v>
      </c>
    </row>
    <row r="14068">
      <c r="A14068" s="1">
        <v>5.0</v>
      </c>
      <c r="B14068" s="1" t="s">
        <v>13920</v>
      </c>
      <c r="C14068" t="str">
        <f>IFERROR(__xludf.DUMMYFUNCTION("GOOGLETRANSLATE(B14068, ""zh"", ""en"")"),"Yes, it is genuine buy non-wholly new, no different with the new")</f>
        <v>Yes, it is genuine buy non-wholly new, no different with the new</v>
      </c>
    </row>
    <row r="14069">
      <c r="A14069" s="1">
        <v>5.0</v>
      </c>
      <c r="B14069" s="1" t="s">
        <v>13921</v>
      </c>
      <c r="C14069" t="str">
        <f>IFERROR(__xludf.DUMMYFUNCTION("GOOGLETRANSLATE(B14069, ""zh"", ""en"")"),"There are significant color shoes a little old, there is color, work in general")</f>
        <v>There are significant color shoes a little old, there is color, work in general</v>
      </c>
    </row>
    <row r="14070">
      <c r="A14070" s="1">
        <v>5.0</v>
      </c>
      <c r="B14070" s="1" t="s">
        <v>13922</v>
      </c>
      <c r="C14070" t="str">
        <f>IFERROR(__xludf.DUMMYFUNCTION("GOOGLETRANSLATE(B14070, ""zh"", ""en"")"),"Smooth and easy to use, affordable, smooth and easy to use, practical choice.")</f>
        <v>Smooth and easy to use, affordable, smooth and easy to use, practical choice.</v>
      </c>
    </row>
    <row r="14071">
      <c r="A14071" s="1">
        <v>2.0</v>
      </c>
      <c r="B14071" s="1" t="s">
        <v>13923</v>
      </c>
      <c r="C14071" t="str">
        <f>IFERROR(__xludf.DUMMYFUNCTION("GOOGLETRANSLATE(B14071, ""zh"", ""en"")"),"After Puff puff very annoying voice had energized the sound, turn off the sound source is useless, it should be a problem circuit. And after a return period, to see tomorrow telephone customer service can not solve.")</f>
        <v>After Puff puff very annoying voice had energized the sound, turn off the sound source is useless, it should be a problem circuit. And after a return period, to see tomorrow telephone customer service can not solve.</v>
      </c>
    </row>
    <row r="14072">
      <c r="A14072" s="1">
        <v>3.0</v>
      </c>
      <c r="B14072" s="1" t="s">
        <v>13924</v>
      </c>
      <c r="C14072" t="str">
        <f>IFERROR(__xludf.DUMMYFUNCTION("GOOGLETRANSLATE(B14072, ""zh"", ""en"")"),"Pick failure 173cm 66kg, M code too fat, not fit, given away.")</f>
        <v>Pick failure 173cm 66kg, M code too fat, not fit, given away.</v>
      </c>
    </row>
    <row r="14073">
      <c r="A14073" s="1">
        <v>1.0</v>
      </c>
      <c r="B14073" s="1" t="s">
        <v>13925</v>
      </c>
      <c r="C14073" t="str">
        <f>IFERROR(__xludf.DUMMYFUNCTION("GOOGLETRANSLATE(B14073, ""zh"", ""en"")"),"Bad hard drive of my travel photos did not get the goods ...... May 25 June the Japan Travel Photography filling into the June 26 re-plug in the computer hard drive inside discovered could not be read because there is noise ...... so scouring the sea ...."&amp;".. I do not know we supposed to 15G of travel photos and videos of my hard drive a few hundred dollars so far finished distressed ...... ......")</f>
        <v>Bad hard drive of my travel photos did not get the goods ...... May 25 June the Japan Travel Photography filling into the June 26 re-plug in the computer hard drive inside discovered could not be read because there is noise ...... so scouring the sea ...... I do not know we supposed to 15G of travel photos and videos of my hard drive a few hundred dollars so far finished distressed ...... ......</v>
      </c>
    </row>
    <row r="14074">
      <c r="A14074" s="1">
        <v>1.0</v>
      </c>
      <c r="B14074" s="1" t="s">
        <v>13926</v>
      </c>
      <c r="C14074" t="str">
        <f>IFERROR(__xludf.DUMMYFUNCTION("GOOGLETRANSLATE(B14074, ""zh"", ""en"")"),"Do not buy skinny 175 or less do not buy too much, this is the Japanese version of clothing s No. L No.")</f>
        <v>Do not buy skinny 175 or less do not buy too much, this is the Japanese version of clothing s No. L No.</v>
      </c>
    </row>
    <row r="14075">
      <c r="A14075" s="1">
        <v>1.0</v>
      </c>
      <c r="B14075" s="1" t="s">
        <v>13927</v>
      </c>
      <c r="C14075" t="str">
        <f>IFERROR(__xludf.DUMMYFUNCTION("GOOGLETRANSLATE(B14075, ""zh"", ""en"")"),"Others returned to me my food supplement within the packaging box it? Even the packaging boxes are tore up the. Obvious after someone else open return, I really worry about what others will not be passed on in the used. Because I also do not want to hurry"&amp;" with the toss, which is Amazon would ye not so reassuring consume it. It really suck. We are hoping to improve it. Irritability!")</f>
        <v>Others returned to me my food supplement within the packaging box it? Even the packaging boxes are tore up the. Obvious after someone else open return, I really worry about what others will not be passed on in the used. Because I also do not want to hurry with the toss, which is Amazon would ye not so reassuring consume it. It really suck. We are hoping to improve it. Irritability!</v>
      </c>
    </row>
    <row r="14076">
      <c r="A14076" s="1">
        <v>4.0</v>
      </c>
      <c r="B14076" s="1" t="s">
        <v>13928</v>
      </c>
      <c r="C14076" t="str">
        <f>IFERROR(__xludf.DUMMYFUNCTION("GOOGLETRANSLATE(B14076, ""zh"", ""en"")"),"It should be considered a standard size, material is a bit thick, not very suitable for summer wear. It should be considered a standard size, material is a bit thick, not very suitable for summer wear.")</f>
        <v>It should be considered a standard size, material is a bit thick, not very suitable for summer wear. It should be considered a standard size, material is a bit thick, not very suitable for summer wear.</v>
      </c>
    </row>
    <row r="14077">
      <c r="A14077" s="1">
        <v>4.0</v>
      </c>
      <c r="B14077" s="1" t="s">
        <v>13929</v>
      </c>
      <c r="C14077" t="str">
        <f>IFERROR(__xludf.DUMMYFUNCTION("GOOGLETRANSLATE(B14077, ""zh"", ""en"")"),"Quality is also good, worth buying good quality, buy fit,")</f>
        <v>Quality is also good, worth buying good quality, buy fit,</v>
      </c>
    </row>
    <row r="14078">
      <c r="A14078" s="1">
        <v>4.0</v>
      </c>
      <c r="B14078" s="1" t="s">
        <v>13930</v>
      </c>
      <c r="C14078" t="str">
        <f>IFERROR(__xludf.DUMMYFUNCTION("GOOGLETRANSLATE(B14078, ""zh"", ""en"")"),"Generally like okay, just think to change the ink cartridges in trouble")</f>
        <v>Generally like okay, just think to change the ink cartridges in trouble</v>
      </c>
    </row>
    <row r="14079">
      <c r="A14079" s="1">
        <v>4.0</v>
      </c>
      <c r="B14079" s="1" t="s">
        <v>13931</v>
      </c>
      <c r="C14079" t="str">
        <f>IFERROR(__xludf.DUMMYFUNCTION("GOOGLETRANSLATE(B14079, ""zh"", ""en"")"),"Also during double eleven orders, hand 1350, ten days with the arrival time, Swiss, available domestic power plug without conversion. No bump cabinet intact, praise. Tried it out of the box operation are OK, you can spend the next year production. After b"&amp;"uying this fly only to find rhyme also do activities, it is recommended to buy the set, just over one hundred and fifty, and four more Mummy package bottle of ice packs, very cost-effective. The comparison of the domestic price of 1800 activities (includi"&amp;"ng free bodice hand and a bunch of sample) is also fairly high price")</f>
        <v>Also during double eleven orders, hand 1350, ten days with the arrival time, Swiss, available domestic power plug without conversion. No bump cabinet intact, praise. Tried it out of the box operation are OK, you can spend the next year production. After buying this fly only to find rhyme also do activities, it is recommended to buy the set, just over one hundred and fifty, and four more Mummy package bottle of ice packs, very cost-effective. The comparison of the domestic price of 1800 activities (including free bodice hand and a bunch of sample) is also fairly high price</v>
      </c>
    </row>
    <row r="14080">
      <c r="A14080" s="1">
        <v>5.0</v>
      </c>
      <c r="B14080" s="1" t="s">
        <v>13932</v>
      </c>
      <c r="C14080" t="str">
        <f>IFERROR(__xludf.DUMMYFUNCTION("GOOGLETRANSLATE(B14080, ""zh"", ""en"")"),"A certain point of shipment by size to buy, like comfort, fit, good package!")</f>
        <v>A certain point of shipment by size to buy, like comfort, fit, good package!</v>
      </c>
    </row>
    <row r="14081">
      <c r="A14081" s="1">
        <v>5.0</v>
      </c>
      <c r="B14081" s="1" t="s">
        <v>13933</v>
      </c>
      <c r="C14081" t="str">
        <f>IFERROR(__xludf.DUMMYFUNCTION("GOOGLETRANSLATE(B14081, ""zh"", ""en"")"),"Is a new generation maxtra + see before someone says yes comments received is old, anyway, I received the latest generation. As with black residue unlike the domestic electricity business overseas or domestic purchase of direct mining. This looks than the"&amp;" domestic electricity supplier to sell a little safer.")</f>
        <v>Is a new generation maxtra + see before someone says yes comments received is old, anyway, I received the latest generation. As with black residue unlike the domestic electricity business overseas or domestic purchase of direct mining. This looks than the domestic electricity supplier to sell a little safer.</v>
      </c>
    </row>
    <row r="14082">
      <c r="A14082" s="1">
        <v>5.0</v>
      </c>
      <c r="B14082" s="1" t="s">
        <v>13934</v>
      </c>
      <c r="C14082" t="str">
        <f>IFERROR(__xludf.DUMMYFUNCTION("GOOGLETRANSLATE(B14082, ""zh"", ""en"")"),"Quality good times to buy the same size, this is too large, the quality is also good.")</f>
        <v>Quality good times to buy the same size, this is too large, the quality is also good.</v>
      </c>
    </row>
    <row r="14083">
      <c r="A14083" s="1">
        <v>5.0</v>
      </c>
      <c r="B14083" s="1" t="s">
        <v>13935</v>
      </c>
      <c r="C14083" t="str">
        <f>IFERROR(__xludf.DUMMYFUNCTION("GOOGLETRANSLATE(B14083, ""zh"", ""en"")"),"Shoes very good")</f>
        <v>Shoes very good</v>
      </c>
    </row>
    <row r="14084">
      <c r="A14084" s="1">
        <v>5.0</v>
      </c>
      <c r="B14084" s="1" t="s">
        <v>13936</v>
      </c>
      <c r="C14084" t="str">
        <f>IFERROR(__xludf.DUMMYFUNCTION("GOOGLETRANSLATE(B14084, ""zh"", ""en"")"),"Good workmanship, feeling really good Japanese champion, wife satisfaction")</f>
        <v>Good workmanship, feeling really good Japanese champion, wife satisfaction</v>
      </c>
    </row>
    <row r="14085">
      <c r="A14085" s="1">
        <v>5.0</v>
      </c>
      <c r="B14085" s="1" t="s">
        <v>13937</v>
      </c>
      <c r="C14085" t="str">
        <f>IFERROR(__xludf.DUMMYFUNCTION("GOOGLETRANSLATE(B14085, ""zh"", ""en"")"),"Amazon's worth having each buyer is very enthusiastic, very grateful. I refer to all the comments, choose the XL, just the right size (my height 181, weight 148), Japan's Slim Some clothes are biased. If one wanted to wear that special tight Xiushen Cai, "&amp;"L code may be. Be sure to order according to their chest, not watch intelligent size recommend.")</f>
        <v>Amazon's worth having each buyer is very enthusiastic, very grateful. I refer to all the comments, choose the XL, just the right size (my height 181, weight 148), Japan's Slim Some clothes are biased. If one wanted to wear that special tight Xiushen Cai, L code may be. Be sure to order according to their chest, not watch intelligent size recommend.</v>
      </c>
    </row>
    <row r="14086">
      <c r="A14086" s="1">
        <v>5.0</v>
      </c>
      <c r="B14086" s="1" t="s">
        <v>13938</v>
      </c>
      <c r="C14086" t="str">
        <f>IFERROR(__xludf.DUMMYFUNCTION("GOOGLETRANSLATE(B14086, ""zh"", ""en"")"),"Wearing feeling very delicate, atmospheric, apply.")</f>
        <v>Wearing feeling very delicate, atmospheric, apply.</v>
      </c>
    </row>
    <row r="14087">
      <c r="A14087" s="1">
        <v>5.0</v>
      </c>
      <c r="B14087" s="1" t="s">
        <v>13939</v>
      </c>
      <c r="C14087" t="str">
        <f>IFERROR(__xludf.DUMMYFUNCTION("GOOGLETRANSLATE(B14087, ""zh"", ""en"")"),"A good time shopping clothes very well, waist circumference of 2.5 feet fit M number is a little bit long, fabric is very comfortable, relaxed version of the Vietnamese")</f>
        <v>A good time shopping clothes very well, waist circumference of 2.5 feet fit M number is a little bit long, fabric is very comfortable, relaxed version of the Vietnamese</v>
      </c>
    </row>
    <row r="14088">
      <c r="A14088" s="1">
        <v>5.0</v>
      </c>
      <c r="B14088" s="1" t="s">
        <v>13940</v>
      </c>
      <c r="C14088" t="str">
        <f>IFERROR(__xludf.DUMMYFUNCTION("GOOGLETRANSLATE(B14088, ""zh"", ""en"")"),"Anything halfway decent product fabric is thin, suitable for summer and fall sports wear, pants really long, I have bought 174CM S numbers, the waist and crotch are more appropriate, or in the need to close long pants 8-10CM, I do not know the United Stat"&amp;"es friends legs are too long or my legs are too short.")</f>
        <v>Anything halfway decent product fabric is thin, suitable for summer and fall sports wear, pants really long, I have bought 174CM S numbers, the waist and crotch are more appropriate, or in the need to close long pants 8-10CM, I do not know the United States friends legs are too long or my legs are too short.</v>
      </c>
    </row>
    <row r="14089">
      <c r="A14089" s="1">
        <v>5.0</v>
      </c>
      <c r="B14089" s="1" t="s">
        <v>13941</v>
      </c>
      <c r="C14089" t="str">
        <f>IFERROR(__xludf.DUMMYFUNCTION("GOOGLETRANSLATE(B14089, ""zh"", ""en"")"),"Good quality and 10061 size slightly larger, good shoes compared with the leather very thin, wearing a northern winter will be cold")</f>
        <v>Good quality and 10061 size slightly larger, good shoes compared with the leather very thin, wearing a northern winter will be cold</v>
      </c>
    </row>
    <row r="14090">
      <c r="A14090" s="1">
        <v>5.0</v>
      </c>
      <c r="B14090" s="1" t="s">
        <v>13942</v>
      </c>
      <c r="C14090" t="str">
        <f>IFERROR(__xludf.DUMMYFUNCTION("GOOGLETRANSLATE(B14090, ""zh"", ""en"")"),"Worth buying exquisite workmanship, large shower than expected. TOTO flagship store in 2180 selling the same product, save much do the math. But thermostat button feel useless, according to the press can not be transferred, the flagship store of the same,"&amp;" I do not know yet whether or not to use. There are relatively hard hose confirmation. Overall satisfaction.")</f>
        <v>Worth buying exquisite workmanship, large shower than expected. TOTO flagship store in 2180 selling the same product, save much do the math. But thermostat button feel useless, according to the press can not be transferred, the flagship store of the same, I do not know yet whether or not to use. There are relatively hard hose confirmation. Overall satisfaction.</v>
      </c>
    </row>
    <row r="14091">
      <c r="A14091" s="1">
        <v>5.0</v>
      </c>
      <c r="B14091" s="1" t="s">
        <v>13943</v>
      </c>
      <c r="C14091" t="str">
        <f>IFERROR(__xludf.DUMMYFUNCTION("GOOGLETRANSLATE(B14091, ""zh"", ""en"")"),"Recommendation is to try to eat, the taste is very delicious, the effect is to be determined,")</f>
        <v>Recommendation is to try to eat, the taste is very delicious, the effect is to be determined,</v>
      </c>
    </row>
    <row r="14092">
      <c r="A14092" s="1">
        <v>5.0</v>
      </c>
      <c r="B14092" s="1" t="s">
        <v>13944</v>
      </c>
      <c r="C14092" t="str">
        <f>IFERROR(__xludf.DUMMYFUNCTION("GOOGLETRANSLATE(B14092, ""zh"", ""en"")"),"Good use high cost, to give as gifts, great grades, praise")</f>
        <v>Good use high cost, to give as gifts, great grades, praise</v>
      </c>
    </row>
    <row r="14093">
      <c r="A14093" s="1">
        <v>5.0</v>
      </c>
      <c r="B14093" s="1" t="s">
        <v>13945</v>
      </c>
      <c r="C14093" t="str">
        <f>IFERROR(__xludf.DUMMYFUNCTION("GOOGLETRANSLATE(B14093, ""zh"", ""en"")"),"Class to sleep sleep sleep wear nice clothes")</f>
        <v>Class to sleep sleep sleep wear nice clothes</v>
      </c>
    </row>
    <row r="14094">
      <c r="A14094" s="1">
        <v>5.0</v>
      </c>
      <c r="B14094" s="1" t="s">
        <v>13946</v>
      </c>
      <c r="C14094" t="str">
        <f>IFERROR(__xludf.DUMMYFUNCTION("GOOGLETRANSLATE(B14094, ""zh"", ""en"")"),"I liked it, very Fan children very handsome ah, belt buckles and leather textures are very weighty. Before looking commented that this belt is short, so simply buy the largest number. Indeed long enough that he played several eyes, long out of that period"&amp;" all out into the side. Plus a hand over two hundred different brand wallet, really a bargain.")</f>
        <v>I liked it, very Fan children very handsome ah, belt buckles and leather textures are very weighty. Before looking commented that this belt is short, so simply buy the largest number. Indeed long enough that he played several eyes, long out of that period all out into the side. Plus a hand over two hundred different brand wallet, really a bargain.</v>
      </c>
    </row>
    <row r="14095">
      <c r="A14095" s="1">
        <v>5.0</v>
      </c>
      <c r="B14095" s="1" t="s">
        <v>13947</v>
      </c>
      <c r="C14095" t="str">
        <f>IFERROR(__xludf.DUMMYFUNCTION("GOOGLETRANSLATE(B14095, ""zh"", ""en"")"),"Wear the pants for some time to evaluate the good, the version is better than what the domestic jeans I bought before, but the material is elastic band, comfortable to wear, size, then I 178,74KG, just wear 33W32L, of course I like a little bit loose, in "&amp;"fact, it should be just the 32W32L")</f>
        <v>Wear the pants for some time to evaluate the good, the version is better than what the domestic jeans I bought before, but the material is elastic band, comfortable to wear, size, then I 178,74KG, just wear 33W32L, of course I like a little bit loose, in fact, it should be just the 32W32L</v>
      </c>
    </row>
    <row r="14096">
      <c r="A14096" s="1">
        <v>5.0</v>
      </c>
      <c r="B14096" s="1" t="s">
        <v>13948</v>
      </c>
      <c r="C14096" t="str">
        <f>IFERROR(__xludf.DUMMYFUNCTION("GOOGLETRANSLATE(B14096, ""zh"", ""en"")"),"Quiet and clean with a come comment. Instructions and operating instructions are in English, easy to operate, very quiet operation, easy to clean rag, dragged floor cleaner than a human, ha ha. Two dogs at home, so the hair more, every time people Saowan "&amp;"then mopping robot, regret not buy sweeping machine. More than 140 m2 to 2 times completed, an electric charge to the intermediate. Very satisfied, now can see how long")</f>
        <v>Quiet and clean with a come comment. Instructions and operating instructions are in English, easy to operate, very quiet operation, easy to clean rag, dragged floor cleaner than a human, ha ha. Two dogs at home, so the hair more, every time people Saowan then mopping robot, regret not buy sweeping machine. More than 140 m2 to 2 times completed, an electric charge to the intermediate. Very satisfied, now can see how long</v>
      </c>
    </row>
    <row r="14097">
      <c r="A14097" s="1">
        <v>5.0</v>
      </c>
      <c r="B14097" s="1" t="s">
        <v>13949</v>
      </c>
      <c r="C14097" t="str">
        <f>IFERROR(__xludf.DUMMYFUNCTION("GOOGLETRANSLATE(B14097, ""zh"", ""en"")"),"Pretty good, very value. Buy early, nine days hand, good packaging! Very value!")</f>
        <v>Pretty good, very value. Buy early, nine days hand, good packaging! Very value!</v>
      </c>
    </row>
    <row r="14098">
      <c r="A14098" s="1">
        <v>5.0</v>
      </c>
      <c r="B14098" s="1" t="s">
        <v>13950</v>
      </c>
      <c r="C14098" t="str">
        <f>IFERROR(__xludf.DUMMYFUNCTION("GOOGLETRANSLATE(B14098, ""zh"", ""en"")"),"White shoes little red book of grass, really beautiful, which was small feet, the most satisfactory white shoes")</f>
        <v>White shoes little red book of grass, really beautiful, which was small feet, the most satisfactory white shoes</v>
      </c>
    </row>
    <row r="14099">
      <c r="A14099" s="1">
        <v>5.0</v>
      </c>
      <c r="B14099" s="1" t="s">
        <v>13951</v>
      </c>
      <c r="C14099" t="str">
        <f>IFERROR(__xludf.DUMMYFUNCTION("GOOGLETRANSLATE(B14099, ""zh"", ""en"")"),"Quick-drying T-shirt, sports recommend running a good quick-drying T-shirt, light breathable")</f>
        <v>Quick-drying T-shirt, sports recommend running a good quick-drying T-shirt, light breathable</v>
      </c>
    </row>
    <row r="14100">
      <c r="A14100" s="1">
        <v>5.0</v>
      </c>
      <c r="B14100" s="1" t="s">
        <v>13952</v>
      </c>
      <c r="C14100" t="str">
        <f>IFERROR(__xludf.DUMMYFUNCTION("GOOGLETRANSLATE(B14100, ""zh"", ""en"")"),"Very good very good pants, buy a rare size and length are just perfect pants, very suitable for my type legs, feet and thighs for short people are very fit, work a little rough, the nation street vendors that work bar, quality takes time to prove that, fo"&amp;"r the time being very satisfied")</f>
        <v>Very good very good pants, buy a rare size and length are just perfect pants, very suitable for my type legs, feet and thighs for short people are very fit, work a little rough, the nation street vendors that work bar, quality takes time to prove that, for the time being very satisfied</v>
      </c>
    </row>
    <row r="14101">
      <c r="A14101" s="1">
        <v>5.0</v>
      </c>
      <c r="B14101" s="1" t="s">
        <v>13953</v>
      </c>
      <c r="C14101" t="str">
        <f>IFERROR(__xludf.DUMMYFUNCTION("GOOGLETRANSLATE(B14101, ""zh"", ""en"")"),"Like the color of lead")</f>
        <v>Like the color of lead</v>
      </c>
    </row>
    <row r="14102">
      <c r="A14102" s="1">
        <v>2.0</v>
      </c>
      <c r="B14102" s="1" t="s">
        <v>13954</v>
      </c>
      <c r="C14102" t="str">
        <f>IFERROR(__xludf.DUMMYFUNCTION("GOOGLETRANSLATE(B14102, ""zh"", ""en"")"),"Get the goods purchased overseas shipment is damaged fast. But there are side has received the lid off! I do not know how to do? Or sale of a good treasure, you can contact the seller.")</f>
        <v>Get the goods purchased overseas shipment is damaged fast. But there are side has received the lid off! I do not know how to do? Or sale of a good treasure, you can contact the seller.</v>
      </c>
    </row>
    <row r="14103">
      <c r="A14103" s="1">
        <v>3.0</v>
      </c>
      <c r="B14103" s="1" t="s">
        <v>13955</v>
      </c>
      <c r="C14103" t="str">
        <f>IFERROR(__xludf.DUMMYFUNCTION("GOOGLETRANSLATE(B14103, ""zh"", ""en"")"),"Quality general quality in general, for the first time washed off much color")</f>
        <v>Quality general quality in general, for the first time washed off much color</v>
      </c>
    </row>
    <row r="14104">
      <c r="A14104" s="1">
        <v>3.0</v>
      </c>
      <c r="B14104" s="1" t="s">
        <v>13956</v>
      </c>
      <c r="C14104" t="str">
        <f>IFERROR(__xludf.DUMMYFUNCTION("GOOGLETRANSLATE(B14104, ""zh"", ""en"")"),"Amazon allowed in accordance with the size of my height (184cm) Weight (95kg) information, Amazon recommended size is XL code, combined with the feedback of other buyers, I chose L code, try it received the results still feel slightly larger, Fortunately,"&amp;" the body belongs to the sturdy type, but also to deal with; suitable for spring and autumn when the weather is cool when the jacket to wear.")</f>
        <v>Amazon allowed in accordance with the size of my height (184cm) Weight (95kg) information, Amazon recommended size is XL code, combined with the feedback of other buyers, I chose L code, try it received the results still feel slightly larger, Fortunately, the body belongs to the sturdy type, but also to deal with; suitable for spring and autumn when the weather is cool when the jacket to wear.</v>
      </c>
    </row>
    <row r="14105">
      <c r="A14105" s="1">
        <v>3.0</v>
      </c>
      <c r="B14105" s="1" t="s">
        <v>13957</v>
      </c>
      <c r="C14105" t="str">
        <f>IFERROR(__xludf.DUMMYFUNCTION("GOOGLETRANSLATE(B14105, ""zh"", ""en"")"),"It generally does not blow black, buy the M code actually a small, really poor quality, looks very old, worn for a few months really can not stand to throw, not worth it.")</f>
        <v>It generally does not blow black, buy the M code actually a small, really poor quality, looks very old, worn for a few months really can not stand to throw, not worth it.</v>
      </c>
    </row>
    <row r="14106">
      <c r="A14106" s="1">
        <v>1.0</v>
      </c>
      <c r="B14106" s="1" t="s">
        <v>13958</v>
      </c>
      <c r="C14106" t="str">
        <f>IFERROR(__xludf.DUMMYFUNCTION("GOOGLETRANSLATE(B14106, ""zh"", ""en"")"),"When did Lee have poor color quality becomes so poor. Super hard fabrics, but also serious color. Comments should refer to the time to buy, and this overseas purchase of a 125 store freight charges, the merger can not be returned. Really pit")</f>
        <v>When did Lee have poor color quality becomes so poor. Super hard fabrics, but also serious color. Comments should refer to the time to buy, and this overseas purchase of a 125 store freight charges, the merger can not be returned. Really pit</v>
      </c>
    </row>
    <row r="14107">
      <c r="A14107" s="1">
        <v>1.0</v>
      </c>
      <c r="B14107" s="1" t="s">
        <v>13959</v>
      </c>
      <c r="C14107" t="str">
        <f>IFERROR(__xludf.DUMMYFUNCTION("GOOGLETRANSLATE(B14107, ""zh"", ""en"")"),"bad quality! Poor quality is not, I will buy Ole Levi, lee price is a little expensive but the quality is better than too much! Serious doubts about the credibility of the Amazon China!")</f>
        <v>bad quality! Poor quality is not, I will buy Ole Levi, lee price is a little expensive but the quality is better than too much! Serious doubts about the credibility of the Amazon China!</v>
      </c>
    </row>
    <row r="14108">
      <c r="A14108" s="1">
        <v>4.0</v>
      </c>
      <c r="B14108" s="1" t="s">
        <v>13614</v>
      </c>
      <c r="C14108" t="str">
        <f>IFERROR(__xludf.DUMMYFUNCTION("GOOGLETRANSLATE(B14108, ""zh"", ""en"")"),"A sub-price for a half a sub-price for, a number of small")</f>
        <v>A sub-price for a half a sub-price for, a number of small</v>
      </c>
    </row>
    <row r="14109">
      <c r="A14109" s="1">
        <v>4.0</v>
      </c>
      <c r="B14109" s="1" t="s">
        <v>13960</v>
      </c>
      <c r="C14109" t="str">
        <f>IFERROR(__xludf.DUMMYFUNCTION("GOOGLETRANSLATE(B14109, ""zh"", ""en"")"),"Good quality, it is actually very sad too thin, really thin, so I can not think of what to wear when appropriate")</f>
        <v>Good quality, it is actually very sad too thin, really thin, so I can not think of what to wear when appropriate</v>
      </c>
    </row>
    <row r="14110">
      <c r="A14110" s="1">
        <v>4.0</v>
      </c>
      <c r="B14110" s="1" t="s">
        <v>13961</v>
      </c>
      <c r="C14110" t="str">
        <f>IFERROR(__xludf.DUMMYFUNCTION("GOOGLETRANSLATE(B14110, ""zh"", ""en"")"),"General General, muddy sound like a general, the sound is not wide, but also to the bass line")</f>
        <v>General General, muddy sound like a general, the sound is not wide, but also to the bass line</v>
      </c>
    </row>
    <row r="14111">
      <c r="A14111" s="1">
        <v>4.0</v>
      </c>
      <c r="B14111" s="1" t="s">
        <v>13962</v>
      </c>
      <c r="C14111" t="str">
        <f>IFERROR(__xludf.DUMMYFUNCTION("GOOGLETRANSLATE(B14111, ""zh"", ""en"")"),"Pants good, but unfortunately too fat! Buy 511 tactical pants here, only to find a treasure with brand pants thin a lot. Pants workmanship was exquisite, but really fat than usual wear pants should buy a smaller size better, I usually wear 36 very tight, "&amp;"because there are elastic, paragraph 36 big pants a lot, should buy 34.")</f>
        <v>Pants good, but unfortunately too fat! Buy 511 tactical pants here, only to find a treasure with brand pants thin a lot. Pants workmanship was exquisite, but really fat than usual wear pants should buy a smaller size better, I usually wear 36 very tight, because there are elastic, paragraph 36 big pants a lot, should buy 34.</v>
      </c>
    </row>
    <row r="14112">
      <c r="A14112" s="1">
        <v>4.0</v>
      </c>
      <c r="B14112" s="1" t="s">
        <v>13963</v>
      </c>
      <c r="C14112" t="str">
        <f>IFERROR(__xludf.DUMMYFUNCTION("GOOGLETRANSLATE(B14112, ""zh"", ""en"")"),"Low cost Chinese manufacturing, coarse written, smoothness and domestic oil pen almost")</f>
        <v>Low cost Chinese manufacturing, coarse written, smoothness and domestic oil pen almost</v>
      </c>
    </row>
    <row r="14113">
      <c r="A14113" s="1">
        <v>5.0</v>
      </c>
      <c r="B14113" s="1" t="s">
        <v>13964</v>
      </c>
      <c r="C14113" t="str">
        <f>IFERROR(__xludf.DUMMYFUNCTION("GOOGLETRANSLATE(B14113, ""zh"", ""en"")"),"Good bottle good, work well, easy to clean")</f>
        <v>Good bottle good, work well, easy to clean</v>
      </c>
    </row>
    <row r="14114">
      <c r="A14114" s="1">
        <v>5.0</v>
      </c>
      <c r="B14114" s="1" t="s">
        <v>13965</v>
      </c>
      <c r="C14114" t="str">
        <f>IFERROR(__xludf.DUMMYFUNCTION("GOOGLETRANSLATE(B14114, ""zh"", ""en"")"),"Good value for money when running with sufficient")</f>
        <v>Good value for money when running with sufficient</v>
      </c>
    </row>
    <row r="14115">
      <c r="A14115" s="1">
        <v>5.0</v>
      </c>
      <c r="B14115" s="1" t="s">
        <v>13966</v>
      </c>
      <c r="C14115" t="str">
        <f>IFERROR(__xludf.DUMMYFUNCTION("GOOGLETRANSLATE(B14115, ""zh"", ""en"")"),"Receipt 18-10, 20-01 expiration time very good, the product phase is also very good, taste good, a little cold weather advice when to buy candy like this")</f>
        <v>Receipt 18-10, 20-01 expiration time very good, the product phase is also very good, taste good, a little cold weather advice when to buy candy like this</v>
      </c>
    </row>
    <row r="14116">
      <c r="A14116" s="1">
        <v>5.0</v>
      </c>
      <c r="B14116" s="1" t="s">
        <v>13967</v>
      </c>
      <c r="C14116" t="str">
        <f>IFERROR(__xludf.DUMMYFUNCTION("GOOGLETRANSLATE(B14116, ""zh"", ""en"")"),"Genuine began to eat, do not know the effect, over a period of time to look at")</f>
        <v>Genuine began to eat, do not know the effect, over a period of time to look at</v>
      </c>
    </row>
    <row r="14117">
      <c r="A14117" s="1">
        <v>5.0</v>
      </c>
      <c r="B14117" s="1" t="s">
        <v>13968</v>
      </c>
      <c r="C14117" t="str">
        <f>IFERROR(__xludf.DUMMYFUNCTION("GOOGLETRANSLATE(B14117, ""zh"", ""en"")"),"Good order arrived the next day, his first as a watch or very satisfied with the instructions packaged with a set of things, and very accurate travel time, to wear for eight days now basically no error, looks good, just bring the bracelet is long, find a "&amp;"teacher cut down like a")</f>
        <v>Good order arrived the next day, his first as a watch or very satisfied with the instructions packaged with a set of things, and very accurate travel time, to wear for eight days now basically no error, looks good, just bring the bracelet is long, find a teacher cut down like a</v>
      </c>
    </row>
    <row r="14118">
      <c r="A14118" s="1">
        <v>5.0</v>
      </c>
      <c r="B14118" s="1" t="s">
        <v>13969</v>
      </c>
      <c r="C14118" t="str">
        <f>IFERROR(__xludf.DUMMYFUNCTION("GOOGLETRANSLATE(B14118, ""zh"", ""en"")"),"This is cold, please buy friends pay attention to two things: 1 This is the cold, and is not suitable for boiling water 2 large, low-grade children carrying heavy bottles full of water itself is no problem, meticulous workmanship")</f>
        <v>This is cold, please buy friends pay attention to two things: 1 This is the cold, and is not suitable for boiling water 2 large, low-grade children carrying heavy bottles full of water itself is no problem, meticulous workmanship</v>
      </c>
    </row>
    <row r="14119">
      <c r="A14119" s="1">
        <v>5.0</v>
      </c>
      <c r="B14119" s="1" t="s">
        <v>13970</v>
      </c>
      <c r="C14119" t="str">
        <f>IFERROR(__xludf.DUMMYFUNCTION("GOOGLETRANSLATE(B14119, ""zh"", ""en"")"),"In addition to the price nothing wrong! Size is also standard colors, buy my wife, it should be quite satisfactory. After buying on price, bad mood!")</f>
        <v>In addition to the price nothing wrong! Size is also standard colors, buy my wife, it should be quite satisfactory. After buying on price, bad mood!</v>
      </c>
    </row>
    <row r="14120">
      <c r="A14120" s="1">
        <v>5.0</v>
      </c>
      <c r="B14120" s="1" t="s">
        <v>13971</v>
      </c>
      <c r="C14120" t="str">
        <f>IFERROR(__xludf.DUMMYFUNCTION("GOOGLETRANSLATE(B14120, ""zh"", ""en"")"),"Very much like a hard disk! Overseas buy when engaging in activities, I had wanted to return, too much trouble, even if the. Something good, that is larger than the WD 2T of the circle, the trial without any problems. Used to store high-quality music, cou"&amp;"pled with this 4T, a dozen mobile hard drive. Amazon's service again to give praise!")</f>
        <v>Very much like a hard disk! Overseas buy when engaging in activities, I had wanted to return, too much trouble, even if the. Something good, that is larger than the WD 2T of the circle, the trial without any problems. Used to store high-quality music, coupled with this 4T, a dozen mobile hard drive. Amazon's service again to give praise!</v>
      </c>
    </row>
    <row r="14121">
      <c r="A14121" s="1">
        <v>5.0</v>
      </c>
      <c r="B14121" s="1" t="s">
        <v>13972</v>
      </c>
      <c r="C14121" t="str">
        <f>IFERROR(__xludf.DUMMYFUNCTION("GOOGLETRANSLATE(B14121, ""zh"", ""en"")"),"Good very good, very comfortable to wear")</f>
        <v>Good very good, very comfortable to wear</v>
      </c>
    </row>
    <row r="14122">
      <c r="A14122" s="1">
        <v>5.0</v>
      </c>
      <c r="B14122" s="1" t="s">
        <v>13973</v>
      </c>
      <c r="C14122" t="str">
        <f>IFERROR(__xludf.DUMMYFUNCTION("GOOGLETRANSLATE(B14122, ""zh"", ""en"")"),"Good buy on price, no way, continue to buy, pull low-cost, ha ha. Break up all the helium disk")</f>
        <v>Good buy on price, no way, continue to buy, pull low-cost, ha ha. Break up all the helium disk</v>
      </c>
    </row>
    <row r="14123">
      <c r="A14123" s="1">
        <v>5.0</v>
      </c>
      <c r="B14123" s="1" t="s">
        <v>13974</v>
      </c>
      <c r="C14123" t="str">
        <f>IFERROR(__xludf.DUMMYFUNCTION("GOOGLETRANSLATE(B14123, ""zh"", ""en"")"),"Basic fit 160cm59kg buy s, just personally feel fat, thin, clothes a little bit long sleeves and hem short on a 3 cm perfect")</f>
        <v>Basic fit 160cm59kg buy s, just personally feel fat, thin, clothes a little bit long sleeves and hem short on a 3 cm perfect</v>
      </c>
    </row>
    <row r="14124">
      <c r="A14124" s="1">
        <v>5.0</v>
      </c>
      <c r="B14124" s="1" t="s">
        <v>13975</v>
      </c>
      <c r="C14124" t="str">
        <f>IFERROR(__xludf.DUMMYFUNCTION("GOOGLETRANSLATE(B14124, ""zh"", ""en"")"),"Abdomen abdomen pressure can also effect can be, not curling, hot, uncomfortable or nurse wearing")</f>
        <v>Abdomen abdomen pressure can also effect can be, not curling, hot, uncomfortable or nurse wearing</v>
      </c>
    </row>
    <row r="14125">
      <c r="A14125" s="1">
        <v>5.0</v>
      </c>
      <c r="B14125" s="1" t="s">
        <v>13976</v>
      </c>
      <c r="C14125" t="str">
        <f>IFERROR(__xludf.DUMMYFUNCTION("GOOGLETRANSLATE(B14125, ""zh"", ""en"")"),"Inexpensive good good very quiet and very good value home movie put enough")</f>
        <v>Inexpensive good good very quiet and very good value home movie put enough</v>
      </c>
    </row>
    <row r="14126">
      <c r="A14126" s="1">
        <v>5.0</v>
      </c>
      <c r="B14126" s="1" t="s">
        <v>13977</v>
      </c>
      <c r="C14126" t="str">
        <f>IFERROR(__xludf.DUMMYFUNCTION("GOOGLETRANSLATE(B14126, ""zh"", ""en"")"),"Good use specially bought for the baby to use, fairly sharp")</f>
        <v>Good use specially bought for the baby to use, fairly sharp</v>
      </c>
    </row>
    <row r="14127">
      <c r="A14127" s="1">
        <v>5.0</v>
      </c>
      <c r="B14127" s="1" t="s">
        <v>13978</v>
      </c>
      <c r="C14127" t="str">
        <f>IFERROR(__xludf.DUMMYFUNCTION("GOOGLETRANSLATE(B14127, ""zh"", ""en"")"),"Quite used very good, after the son eat this, use the toilet time greatly reduced.")</f>
        <v>Quite used very good, after the son eat this, use the toilet time greatly reduced.</v>
      </c>
    </row>
    <row r="14128">
      <c r="A14128" s="1">
        <v>5.0</v>
      </c>
      <c r="B14128" s="1" t="s">
        <v>13979</v>
      </c>
      <c r="C14128" t="str">
        <f>IFERROR(__xludf.DUMMYFUNCTION("GOOGLETRANSLATE(B14128, ""zh"", ""en"")"),"Cost-effective very suitable husband likes to play quick-drying")</f>
        <v>Cost-effective very suitable husband likes to play quick-drying</v>
      </c>
    </row>
    <row r="14129">
      <c r="A14129" s="1">
        <v>5.0</v>
      </c>
      <c r="B14129" s="1" t="s">
        <v>13980</v>
      </c>
      <c r="C14129" t="str">
        <f>IFERROR(__xludf.DUMMYFUNCTION("GOOGLETRANSLATE(B14129, ""zh"", ""en"")"),"Comfortable comfortable, weighing just 132 buy XL")</f>
        <v>Comfortable comfortable, weighing just 132 buy XL</v>
      </c>
    </row>
    <row r="14130">
      <c r="A14130" s="1">
        <v>5.0</v>
      </c>
      <c r="B14130" s="1" t="s">
        <v>13981</v>
      </c>
      <c r="C14130" t="str">
        <f>IFERROR(__xludf.DUMMYFUNCTION("GOOGLETRANSLATE(B14130, ""zh"", ""en"")"),"Value plus ultra rapid rapidly oh, I received a few days, just do not know whether it was second-hand goods, the above film paste was rotten to death")</f>
        <v>Value plus ultra rapid rapidly oh, I received a few days, just do not know whether it was second-hand goods, the above film paste was rotten to death</v>
      </c>
    </row>
    <row r="14131">
      <c r="A14131" s="1">
        <v>5.0</v>
      </c>
      <c r="B14131" s="1" t="s">
        <v>13982</v>
      </c>
      <c r="C14131" t="str">
        <f>IFERROR(__xludf.DUMMYFUNCTION("GOOGLETRANSLATE(B14131, ""zh"", ""en"")"),"1 very satisfied with the shopping, logistics quickly, shoes very good, very comfortable, no pressure instep, leather soft and comfortable, do not wear foot")</f>
        <v>1 very satisfied with the shopping, logistics quickly, shoes very good, very comfortable, no pressure instep, leather soft and comfortable, do not wear foot</v>
      </c>
    </row>
    <row r="14132">
      <c r="A14132" s="1">
        <v>5.0</v>
      </c>
      <c r="B14132" s="1" t="s">
        <v>13983</v>
      </c>
      <c r="C14132" t="str">
        <f>IFERROR(__xludf.DUMMYFUNCTION("GOOGLETRANSLATE(B14132, ""zh"", ""en"")"),"167,57 wear very good fit, very thin, summer wear comfortable. Discount buy very appropriate!")</f>
        <v>167,57 wear very good fit, very thin, summer wear comfortable. Discount buy very appropriate!</v>
      </c>
    </row>
    <row r="14133">
      <c r="A14133" s="1">
        <v>5.0</v>
      </c>
      <c r="B14133" s="1" t="s">
        <v>13984</v>
      </c>
      <c r="C14133" t="str">
        <f>IFERROR(__xludf.DUMMYFUNCTION("GOOGLETRANSLATE(B14133, ""zh"", ""en"")"),"Good easy to install, great. After filtration to drink straight, better than the pot. A filter 4 months 1200 liters of water, well")</f>
        <v>Good easy to install, great. After filtration to drink straight, better than the pot. A filter 4 months 1200 liters of water, well</v>
      </c>
    </row>
    <row r="14134">
      <c r="A14134" s="1">
        <v>5.0</v>
      </c>
      <c r="B14134" s="1" t="s">
        <v>13985</v>
      </c>
      <c r="C14134" t="str">
        <f>IFERROR(__xludf.DUMMYFUNCTION("GOOGLETRANSLATE(B14134, ""zh"", ""en"")"),"Very practical large interior space, but also because it is the cloth, so there is a little malleable, plastic pencil case does not fit this no problem, and the color of dirt, not fancy will not divert the child's attention. In short very satisfied")</f>
        <v>Very practical large interior space, but also because it is the cloth, so there is a little malleable, plastic pencil case does not fit this no problem, and the color of dirt, not fancy will not divert the child's attention. In short very satisfied</v>
      </c>
    </row>
    <row r="14135">
      <c r="A14135" s="1">
        <v>2.0</v>
      </c>
      <c r="B14135" s="1" t="s">
        <v>13986</v>
      </c>
      <c r="C14135" t="str">
        <f>IFERROR(__xludf.DUMMYFUNCTION("GOOGLETRANSLATE(B14135, ""zh"", ""en"")"),"too big. too big. Found 144 xxl bust. You figure it out.")</f>
        <v>too big. too big. Found 144 xxl bust. You figure it out.</v>
      </c>
    </row>
    <row r="14136">
      <c r="A14136" s="1">
        <v>3.0</v>
      </c>
      <c r="B14136" s="1" t="s">
        <v>13987</v>
      </c>
      <c r="C14136" t="str">
        <f>IFERROR(__xludf.DUMMYFUNCTION("GOOGLETRANSLATE(B14136, ""zh"", ""en"")"),"True colors and businessmen keep their eyes open to the goods picture is very different, some good, think twice ah. In addition, time and goods to the scheduled time will be very different, so online shopping in general in advance, so drop the ball.")</f>
        <v>True colors and businessmen keep their eyes open to the goods picture is very different, some good, think twice ah. In addition, time and goods to the scheduled time will be very different, so online shopping in general in advance, so drop the ball.</v>
      </c>
    </row>
    <row r="14137">
      <c r="A14137" s="1">
        <v>3.0</v>
      </c>
      <c r="B14137" s="1" t="s">
        <v>13988</v>
      </c>
      <c r="C14137" t="str">
        <f>IFERROR(__xludf.DUMMYFUNCTION("GOOGLETRANSLATE(B14137, ""zh"", ""en"")"),"Why do the dishes taste particularly large? Wash very clean but the door was washing dishes should taste the pungent taste block")</f>
        <v>Why do the dishes taste particularly large? Wash very clean but the door was washing dishes should taste the pungent taste block</v>
      </c>
    </row>
    <row r="14138">
      <c r="A14138" s="1">
        <v>1.0</v>
      </c>
      <c r="B14138" s="1" t="s">
        <v>13989</v>
      </c>
      <c r="C14138" t="str">
        <f>IFERROR(__xludf.DUMMYFUNCTION("GOOGLETRANSLATE(B14138, ""zh"", ""en"")"),"Blatant refurbished machines as new machines sold! Obviously refurbished machines, specifically looking for someone out of the box with the money of the sun was read. The machines are not even a box! ! Refurbished too blatant. Amazon too disappointed! App"&amp;"lication for return! White looking forward to for so long! Figure One I received, there is no box, only one box. Figure II is scouring the sea Amazon others, with money, there is the box!")</f>
        <v>Blatant refurbished machines as new machines sold! Obviously refurbished machines, specifically looking for someone out of the box with the money of the sun was read. The machines are not even a box! ! Refurbished too blatant. Amazon too disappointed! Application for return! White looking forward to for so long! Figure One I received, there is no box, only one box. Figure II is scouring the sea Amazon others, with money, there is the box!</v>
      </c>
    </row>
    <row r="14139">
      <c r="A14139" s="1">
        <v>1.0</v>
      </c>
      <c r="B14139" s="1" t="s">
        <v>13990</v>
      </c>
      <c r="C14139" t="str">
        <f>IFERROR(__xludf.DUMMYFUNCTION("GOOGLETRANSLATE(B14139, ""zh"", ""en"")"),"Quality fakes too times, suspected to be fake")</f>
        <v>Quality fakes too times, suspected to be fake</v>
      </c>
    </row>
    <row r="14140">
      <c r="A14140" s="1">
        <v>1.0</v>
      </c>
      <c r="B14140" s="1" t="s">
        <v>13991</v>
      </c>
      <c r="C14140" t="str">
        <f>IFERROR(__xludf.DUMMYFUNCTION("GOOGLETRANSLATE(B14140, ""zh"", ""en"")"),"I do not know where repair inexplicable reason can not be used, the power light does not shine, did not respond, find the Seagate Customer Service Center, said that Amazon buy, no service, I have a lot of information here, how do ah?")</f>
        <v>I do not know where repair inexplicable reason can not be used, the power light does not shine, did not respond, find the Seagate Customer Service Center, said that Amazon buy, no service, I have a lot of information here, how do ah?</v>
      </c>
    </row>
    <row r="14141">
      <c r="A14141" s="1">
        <v>4.0</v>
      </c>
      <c r="B14141" s="1" t="s">
        <v>13992</v>
      </c>
      <c r="C14141" t="str">
        <f>IFERROR(__xludf.DUMMYFUNCTION("GOOGLETRANSLATE(B14141, ""zh"", ""en"")"),"Spike, spike to cut the hand to see and compare the price of Taobao, I feel okay, that is how it listening level. A result, over, indeed more detail, the sound field there, big volume not feel noisy, when the boot is muted, this is the advantages and disa"&amp;"dvantages to a not nice, high school low frequency are very common, yet M20W nice.")</f>
        <v>Spike, spike to cut the hand to see and compare the price of Taobao, I feel okay, that is how it listening level. A result, over, indeed more detail, the sound field there, big volume not feel noisy, when the boot is muted, this is the advantages and disadvantages to a not nice, high school low frequency are very common, yet M20W nice.</v>
      </c>
    </row>
    <row r="14142">
      <c r="A14142" s="1">
        <v>4.0</v>
      </c>
      <c r="B14142" s="1" t="s">
        <v>13993</v>
      </c>
      <c r="C14142" t="str">
        <f>IFERROR(__xludf.DUMMYFUNCTION("GOOGLETRANSLATE(B14142, ""zh"", ""en"")"),"Elderly knee pain help! Mom to eat every day, since he began to eat again last year heard her complain about knee pain, took to the streets with her have gone faster than me!")</f>
        <v>Elderly knee pain help! Mom to eat every day, since he began to eat again last year heard her complain about knee pain, took to the streets with her have gone faster than me!</v>
      </c>
    </row>
    <row r="14143">
      <c r="A14143" s="1">
        <v>4.0</v>
      </c>
      <c r="B14143" s="1" t="s">
        <v>13994</v>
      </c>
      <c r="C14143" t="str">
        <f>IFERROR(__xludf.DUMMYFUNCTION("GOOGLETRANSLATE(B14143, ""zh"", ""en"")"),"Oh workmanship the price just to buy a treasure store on a C-standard size embroidery asked customer service convenient point on the street and then want to add one yard")</f>
        <v>Oh workmanship the price just to buy a treasure store on a C-standard size embroidery asked customer service convenient point on the street and then want to add one yard</v>
      </c>
    </row>
    <row r="14144">
      <c r="A14144" s="1">
        <v>4.0</v>
      </c>
      <c r="B14144" s="1" t="s">
        <v>13995</v>
      </c>
      <c r="C14144" t="str">
        <f>IFERROR(__xludf.DUMMYFUNCTION("GOOGLETRANSLATE(B14144, ""zh"", ""en"")"),"A little older son 183, weight 189, previously bought xl large, and finally bought a change in the code, appropriate.")</f>
        <v>A little older son 183, weight 189, previously bought xl large, and finally bought a change in the code, appropriate.</v>
      </c>
    </row>
    <row r="14145">
      <c r="A14145" s="1">
        <v>4.0</v>
      </c>
      <c r="B14145" s="1" t="s">
        <v>13996</v>
      </c>
      <c r="C14145" t="str">
        <f>IFERROR(__xludf.DUMMYFUNCTION("GOOGLETRANSLATE(B14145, ""zh"", ""en"")"),"Toddler size comparison size buy fans, washing measured length is not 64, only 58 ...")</f>
        <v>Toddler size comparison size buy fans, washing measured length is not 64, only 58 ...</v>
      </c>
    </row>
    <row r="14146">
      <c r="A14146" s="1">
        <v>5.0</v>
      </c>
      <c r="B14146" s="1" t="s">
        <v>13997</v>
      </c>
      <c r="C14146" t="str">
        <f>IFERROR(__xludf.DUMMYFUNCTION("GOOGLETRANSLATE(B14146, ""zh"", ""en"")"),"TIMEX. The second block Timex, impressed by its price. Watch little big box installed, with a thick column of air, intact. No color deviation. To dial thick than expected, it seemed a bit thin strap. Overall very good, made him look like.")</f>
        <v>TIMEX. The second block Timex, impressed by its price. Watch little big box installed, with a thick column of air, intact. No color deviation. To dial thick than expected, it seemed a bit thin strap. Overall very good, made him look like.</v>
      </c>
    </row>
    <row r="14147">
      <c r="A14147" s="1">
        <v>5.0</v>
      </c>
      <c r="B14147" s="1" t="s">
        <v>13998</v>
      </c>
      <c r="C14147" t="str">
        <f>IFERROR(__xludf.DUMMYFUNCTION("GOOGLETRANSLATE(B14147, ""zh"", ""en"")"),"timberland belt 40mm wide, 34 inches long, can wear jeans and casual pants occupation, 2 feet 3-2 feet 4 waist is very fit.")</f>
        <v>timberland belt 40mm wide, 34 inches long, can wear jeans and casual pants occupation, 2 feet 3-2 feet 4 waist is very fit.</v>
      </c>
    </row>
    <row r="14148">
      <c r="A14148" s="1">
        <v>5.0</v>
      </c>
      <c r="B14148" s="1" t="s">
        <v>13999</v>
      </c>
      <c r="C14148" t="str">
        <f>IFERROR(__xludf.DUMMYFUNCTION("GOOGLETRANSLATE(B14148, ""zh"", ""en"")"),"Value for money! Orders they received less than a week, less than the original I Presonus R80 in a circle, but the overall sound is more balanced, the sound field is greater. Overall value for money, very much.")</f>
        <v>Value for money! Orders they received less than a week, less than the original I Presonus R80 in a circle, but the overall sound is more balanced, the sound field is greater. Overall value for money, very much.</v>
      </c>
    </row>
    <row r="14149">
      <c r="A14149" s="1">
        <v>5.0</v>
      </c>
      <c r="B14149" s="1" t="s">
        <v>14000</v>
      </c>
      <c r="C14149" t="str">
        <f>IFERROR(__xludf.DUMMYFUNCTION("GOOGLETRANSLATE(B14149, ""zh"", ""en"")"),"Love this German brand, quality did not have to say, cotton great, the price is half the domestic mall's favorite German brand, quality did not have to say, very good cotton")</f>
        <v>Love this German brand, quality did not have to say, cotton great, the price is half the domestic mall's favorite German brand, quality did not have to say, very good cotton</v>
      </c>
    </row>
    <row r="14150">
      <c r="A14150" s="1">
        <v>5.0</v>
      </c>
      <c r="B14150" s="1" t="s">
        <v>14001</v>
      </c>
      <c r="C14150" t="str">
        <f>IFERROR(__xludf.DUMMYFUNCTION("GOOGLETRANSLATE(B14150, ""zh"", ""en"")"),"Bags good use of very good, very light, just to load my t420s")</f>
        <v>Bags good use of very good, very light, just to load my t420s</v>
      </c>
    </row>
    <row r="14151">
      <c r="A14151" s="1">
        <v>5.0</v>
      </c>
      <c r="B14151" s="1" t="s">
        <v>14002</v>
      </c>
      <c r="C14151" t="str">
        <f>IFERROR(__xludf.DUMMYFUNCTION("GOOGLETRANSLATE(B14151, ""zh"", ""en"")"),"Very satisfied to wear very thin spirit, friends say good-looking. Material is not very thick, but not the coldest days of spring and autumn when wearing just right. Japan's version of the type and size compared to European and American models more suitab"&amp;"le for Chinese people. I have 166,120 pounds, L, for your reference")</f>
        <v>Very satisfied to wear very thin spirit, friends say good-looking. Material is not very thick, but not the coldest days of spring and autumn when wearing just right. Japan's version of the type and size compared to European and American models more suitable for Chinese people. I have 166,120 pounds, L, for your reference</v>
      </c>
    </row>
    <row r="14152">
      <c r="A14152" s="1">
        <v>5.0</v>
      </c>
      <c r="B14152" s="1" t="s">
        <v>14003</v>
      </c>
      <c r="C14152" t="str">
        <f>IFERROR(__xludf.DUMMYFUNCTION("GOOGLETRANSLATE(B14152, ""zh"", ""en"")"),"180,95kg, fat, L code fit 180,95kg, fat, L code bag body, just")</f>
        <v>180,95kg, fat, L code fit 180,95kg, fat, L code bag body, just</v>
      </c>
    </row>
    <row r="14153">
      <c r="A14153" s="1">
        <v>5.0</v>
      </c>
      <c r="B14153" s="1" t="s">
        <v>14004</v>
      </c>
      <c r="C14153" t="str">
        <f>IFERROR(__xludf.DUMMYFUNCTION("GOOGLETRANSLATE(B14153, ""zh"", ""en"")"),"It is praise is praise!")</f>
        <v>It is praise is praise!</v>
      </c>
    </row>
    <row r="14154">
      <c r="A14154" s="1">
        <v>5.0</v>
      </c>
      <c r="B14154" s="1" t="s">
        <v>14005</v>
      </c>
      <c r="C14154" t="str">
        <f>IFERROR(__xludf.DUMMYFUNCTION("GOOGLETRANSLATE(B14154, ""zh"", ""en"")"),"Oh nice arrival speed quickly on a treasure-effective price than many black gold color with a very good routine without error")</f>
        <v>Oh nice arrival speed quickly on a treasure-effective price than many black gold color with a very good routine without error</v>
      </c>
    </row>
    <row r="14155">
      <c r="A14155" s="1">
        <v>5.0</v>
      </c>
      <c r="B14155" s="1" t="s">
        <v>14006</v>
      </c>
      <c r="C14155" t="str">
        <f>IFERROR(__xludf.DUMMYFUNCTION("GOOGLETRANSLATE(B14155, ""zh"", ""en"")"),"Good quality made in China, jeans dense, good quality, size is standard size, in accordance with their usual buy pants size to buy.")</f>
        <v>Good quality made in China, jeans dense, good quality, size is standard size, in accordance with their usual buy pants size to buy.</v>
      </c>
    </row>
    <row r="14156">
      <c r="A14156" s="1">
        <v>5.0</v>
      </c>
      <c r="B14156" s="1" t="s">
        <v>14007</v>
      </c>
      <c r="C14156" t="str">
        <f>IFERROR(__xludf.DUMMYFUNCTION("GOOGLETRANSLATE(B14156, ""zh"", ""en"")"),"Like this color looks good, quality stuff, like")</f>
        <v>Like this color looks good, quality stuff, like</v>
      </c>
    </row>
    <row r="14157">
      <c r="A14157" s="1">
        <v>5.0</v>
      </c>
      <c r="B14157" s="1" t="s">
        <v>14008</v>
      </c>
      <c r="C14157" t="str">
        <f>IFERROR(__xludf.DUMMYFUNCTION("GOOGLETRANSLATE(B14157, ""zh"", ""en"")"),"And so on during the day time on a color chart overall satisfied with it. 260 feet long election 9M US, just the width. Also suitable length. Just on the feet, ankles a little Ge, and soon all right. Feeling a little slippery soles of the feet and shoes, "&amp;"not a sole (ground) slip. 8.5 may be worn. Shoes good. Feeling a slight color difference. Sign daylight color, etc. FIG.")</f>
        <v>And so on during the day time on a color chart overall satisfied with it. 260 feet long election 9M US, just the width. Also suitable length. Just on the feet, ankles a little Ge, and soon all right. Feeling a little slippery soles of the feet and shoes, not a sole (ground) slip. 8.5 may be worn. Shoes good. Feeling a slight color difference. Sign daylight color, etc. FIG.</v>
      </c>
    </row>
    <row r="14158">
      <c r="A14158" s="1">
        <v>5.0</v>
      </c>
      <c r="B14158" s="1" t="s">
        <v>14009</v>
      </c>
      <c r="C14158" t="str">
        <f>IFERROR(__xludf.DUMMYFUNCTION("GOOGLETRANSLATE(B14158, ""zh"", ""en"")"),"Very satisfied with a purchase! Fabric is very comfortable, the version is good, the color is like!")</f>
        <v>Very satisfied with a purchase! Fabric is very comfortable, the version is good, the color is like!</v>
      </c>
    </row>
    <row r="14159">
      <c r="A14159" s="1">
        <v>5.0</v>
      </c>
      <c r="B14159" s="1" t="s">
        <v>14010</v>
      </c>
      <c r="C14159" t="str">
        <f>IFERROR(__xludf.DUMMYFUNCTION("GOOGLETRANSLATE(B14159, ""zh"", ""en"")"),"Number too small! First, go to the mall I found the shoes, yak skin it is like, try it and found that the number is too small, the price is expensive. Then found in the Amazon, usually 38, he took 39 yards appropriate. great!")</f>
        <v>Number too small! First, go to the mall I found the shoes, yak skin it is like, try it and found that the number is too small, the price is expensive. Then found in the Amazon, usually 38, he took 39 yards appropriate. great!</v>
      </c>
    </row>
    <row r="14160">
      <c r="A14160" s="1">
        <v>5.0</v>
      </c>
      <c r="B14160" s="1" t="s">
        <v>14011</v>
      </c>
      <c r="C14160" t="str">
        <f>IFERROR(__xludf.DUMMYFUNCTION("GOOGLETRANSLATE(B14160, ""zh"", ""en"")"),"Good wear comfort is really good and comfortable to wear, the price is not bad")</f>
        <v>Good wear comfort is really good and comfortable to wear, the price is not bad</v>
      </c>
    </row>
    <row r="14161">
      <c r="A14161" s="1">
        <v>5.0</v>
      </c>
      <c r="B14161" s="1" t="s">
        <v>14012</v>
      </c>
      <c r="C14161" t="str">
        <f>IFERROR(__xludf.DUMMYFUNCTION("GOOGLETRANSLATE(B14161, ""zh"", ""en"")"),"Ecco shoes sold on Amazon.com are the most cost-effective Perfect! Beyond expectation!")</f>
        <v>Ecco shoes sold on Amazon.com are the most cost-effective Perfect! Beyond expectation!</v>
      </c>
    </row>
    <row r="14162">
      <c r="A14162" s="1">
        <v>5.0</v>
      </c>
      <c r="B14162" s="1" t="s">
        <v>14013</v>
      </c>
      <c r="C14162" t="str">
        <f>IFERROR(__xludf.DUMMYFUNCTION("GOOGLETRANSLATE(B14162, ""zh"", ""en"")"),"First time to buy this brand of pants pants good, added a pair of blue.")</f>
        <v>First time to buy this brand of pants pants good, added a pair of blue.</v>
      </c>
    </row>
    <row r="14163">
      <c r="A14163" s="1">
        <v>5.0</v>
      </c>
      <c r="B14163" s="1" t="s">
        <v>14014</v>
      </c>
      <c r="C14163" t="str">
        <f>IFERROR(__xludf.DUMMYFUNCTION("GOOGLETRANSLATE(B14163, ""zh"", ""en"")"),"Height 176 Weight 62 M fit just right fit very very satisfied with the positive")</f>
        <v>Height 176 Weight 62 M fit just right fit very very satisfied with the positive</v>
      </c>
    </row>
    <row r="14164">
      <c r="A14164" s="1">
        <v>5.0</v>
      </c>
      <c r="B14164" s="1" t="s">
        <v>14015</v>
      </c>
      <c r="C14164" t="str">
        <f>IFERROR(__xludf.DUMMYFUNCTION("GOOGLETRANSLATE(B14164, ""zh"", ""en"")"),"Light, very much like insulation, thermal insulation effect is good, will go out with. Tell a mother")</f>
        <v>Light, very much like insulation, thermal insulation effect is good, will go out with. Tell a mother</v>
      </c>
    </row>
    <row r="14165">
      <c r="A14165" s="1">
        <v>5.0</v>
      </c>
      <c r="B14165" s="1" t="s">
        <v>14016</v>
      </c>
      <c r="C14165" t="str">
        <f>IFERROR(__xludf.DUMMYFUNCTION("GOOGLETRANSLATE(B14165, ""zh"", ""en"")"),"Quality is good, but not particularly good quality and comfortable, but not particularly comfortable, not comfortable bravo")</f>
        <v>Quality is good, but not particularly good quality and comfortable, but not particularly comfortable, not comfortable bravo</v>
      </c>
    </row>
    <row r="14166">
      <c r="A14166" s="1">
        <v>5.0</v>
      </c>
      <c r="B14166" s="1" t="s">
        <v>14017</v>
      </c>
      <c r="C14166" t="str">
        <f>IFERROR(__xludf.DUMMYFUNCTION("GOOGLETRANSLATE(B14166, ""zh"", ""en"")"),"Want to buy, can be tax-free like Y (^ o ^) Y bottle well, direct mail is also very convenient, want to buy a do not know why now taxed in August to buy this, oh no taxes. 😱😱")</f>
        <v>Want to buy, can be tax-free like Y (^ o ^) Y bottle well, direct mail is also very convenient, want to buy a do not know why now taxed in August to buy this, oh no taxes. 😱😱</v>
      </c>
    </row>
    <row r="14167">
      <c r="A14167" s="1">
        <v>5.0</v>
      </c>
      <c r="B14167" s="1" t="s">
        <v>14018</v>
      </c>
      <c r="C14167" t="str">
        <f>IFERROR(__xludf.DUMMYFUNCTION("GOOGLETRANSLATE(B14167, ""zh"", ""en"")"),"The right size, 175cm70kg. , To buy less than 200 yuan, very cost-effective the right size, I 175cm70kg. , To buy less than 200 yuan, very cost-effective")</f>
        <v>The right size, 175cm70kg. , To buy less than 200 yuan, very cost-effective the right size, I 175cm70kg. , To buy less than 200 yuan, very cost-effective</v>
      </c>
    </row>
    <row r="14168">
      <c r="A14168" s="1">
        <v>2.0</v>
      </c>
      <c r="B14168" s="1" t="s">
        <v>14019</v>
      </c>
      <c r="C14168" t="str">
        <f>IFERROR(__xludf.DUMMYFUNCTION("GOOGLETRANSLATE(B14168, ""zh"", ""en"")"),"You like champion of fans bought the US version Please note, it is also trying to buy the Japanese version, but very disappointed 😔, T-shirt fabric is not bad in general, there is no flexibility in general clothes, tried twice after there are significant"&amp;" stretching, silent dare not buy the Japanese version")</f>
        <v>You like champion of fans bought the US version Please note, it is also trying to buy the Japanese version, but very disappointed 😔, T-shirt fabric is not bad in general, there is no flexibility in general clothes, tried twice after there are significant stretching, silent dare not buy the Japanese version</v>
      </c>
    </row>
    <row r="14169">
      <c r="A14169" s="1">
        <v>3.0</v>
      </c>
      <c r="B14169" s="1" t="s">
        <v>14020</v>
      </c>
      <c r="C14169" t="str">
        <f>IFERROR(__xludf.DUMMYFUNCTION("GOOGLETRANSLATE(B14169, ""zh"", ""en"")"),"Trifle generous clothing fabrics okay, but a lot longer than normal clothes")</f>
        <v>Trifle generous clothing fabrics okay, but a lot longer than normal clothes</v>
      </c>
    </row>
    <row r="14170">
      <c r="A14170" s="1">
        <v>3.0</v>
      </c>
      <c r="B14170" s="1" t="s">
        <v>14021</v>
      </c>
      <c r="C14170" t="str">
        <f>IFERROR(__xludf.DUMMYFUNCTION("GOOGLETRANSLATE(B14170, ""zh"", ""en"")"),"I feel pretty good, that is, partial fat size and Kazakhstan Bangle same, but due to the lee of the material is thick, relatively strong, it appears to hypertrophy. Opportunity to reduce wear.")</f>
        <v>I feel pretty good, that is, partial fat size and Kazakhstan Bangle same, but due to the lee of the material is thick, relatively strong, it appears to hypertrophy. Opportunity to reduce wear.</v>
      </c>
    </row>
    <row r="14171">
      <c r="A14171" s="1">
        <v>3.0</v>
      </c>
      <c r="B14171" s="1" t="s">
        <v>14022</v>
      </c>
      <c r="C14171" t="str">
        <f>IFERROR(__xludf.DUMMYFUNCTION("GOOGLETRANSLATE(B14171, ""zh"", ""en"")"),"And the size of China there are differences, there is no domestic convenience like to buy, but buy big, returns a lot of trouble")</f>
        <v>And the size of China there are differences, there is no domestic convenience like to buy, but buy big, returns a lot of trouble</v>
      </c>
    </row>
    <row r="14172">
      <c r="A14172" s="1">
        <v>1.0</v>
      </c>
      <c r="B14172" s="1" t="s">
        <v>14023</v>
      </c>
      <c r="C14172" t="str">
        <f>IFERROR(__xludf.DUMMYFUNCTION("GOOGLETRANSLATE(B14172, ""zh"", ""en"")"),"Poor little like fake na, thin-walled stainless steel, not one piece, not the quality of inner wall interface is fully Tiger na. Would have been to request a return, but to remind the freight is 160 yuan, but also more expensive than purchased, your websi"&amp;"te is to guide consumers to purchase free shipping forms, high overseas shipping costs prevent the occurrence of return is not it? Poor, Poor, Poor!")</f>
        <v>Poor little like fake na, thin-walled stainless steel, not one piece, not the quality of inner wall interface is fully Tiger na. Would have been to request a return, but to remind the freight is 160 yuan, but also more expensive than purchased, your website is to guide consumers to purchase free shipping forms, high overseas shipping costs prevent the occurrence of return is not it? Poor, Poor, Poor!</v>
      </c>
    </row>
    <row r="14173">
      <c r="A14173" s="1">
        <v>1.0</v>
      </c>
      <c r="B14173" s="1" t="s">
        <v>14024</v>
      </c>
      <c r="C14173" t="str">
        <f>IFERROR(__xludf.DUMMYFUNCTION("GOOGLETRANSLATE(B14173, ""zh"", ""en"")"),"We have received a return label, but no one to pick up the shoes ultra-small, can not wear, buy 41 feet of 7/8 code, but actually received 37 4/5 shoes, my God, how I wear")</f>
        <v>We have received a return label, but no one to pick up the shoes ultra-small, can not wear, buy 41 feet of 7/8 code, but actually received 37 4/5 shoes, my God, how I wear</v>
      </c>
    </row>
    <row r="14174">
      <c r="A14174" s="1">
        <v>4.0</v>
      </c>
      <c r="B14174" s="1" t="s">
        <v>14025</v>
      </c>
      <c r="C14174" t="str">
        <f>IFERROR(__xludf.DUMMYFUNCTION("GOOGLETRANSLATE(B14174, ""zh"", ""en"")"),"New look a bit small, so small ah, estimated that a family of four is not enough, the logistics very soon")</f>
        <v>New look a bit small, so small ah, estimated that a family of four is not enough, the logistics very soon</v>
      </c>
    </row>
    <row r="14175">
      <c r="A14175" s="1">
        <v>4.0</v>
      </c>
      <c r="B14175" s="1" t="s">
        <v>14026</v>
      </c>
      <c r="C14175" t="str">
        <f>IFERROR(__xludf.DUMMYFUNCTION("GOOGLETRANSLATE(B14175, ""zh"", ""en"")"),"Buy repeated toast carrying stick 32, have been bought by the")</f>
        <v>Buy repeated toast carrying stick 32, have been bought by the</v>
      </c>
    </row>
    <row r="14176">
      <c r="A14176" s="1">
        <v>4.0</v>
      </c>
      <c r="B14176" s="1" t="s">
        <v>14027</v>
      </c>
      <c r="C14176" t="str">
        <f>IFERROR(__xludf.DUMMYFUNCTION("GOOGLETRANSLATE(B14176, ""zh"", ""en"")"),"Under the single strap bought two, one black one brown, black, brown inside has made in USA is not strange.")</f>
        <v>Under the single strap bought two, one black one brown, black, brown inside has made in USA is not strange.</v>
      </c>
    </row>
    <row r="14177">
      <c r="A14177" s="1">
        <v>4.0</v>
      </c>
      <c r="B14177" s="1" t="s">
        <v>14028</v>
      </c>
      <c r="C14177" t="str">
        <f>IFERROR(__xludf.DUMMYFUNCTION("GOOGLETRANSLATE(B14177, ""zh"", ""en"")"),"Good quality and short legs sticking out a little longer as good as practical")</f>
        <v>Good quality and short legs sticking out a little longer as good as practical</v>
      </c>
    </row>
    <row r="14178">
      <c r="A14178" s="1">
        <v>4.0</v>
      </c>
      <c r="B14178" s="1" t="s">
        <v>14029</v>
      </c>
      <c r="C14178" t="str">
        <f>IFERROR(__xludf.DUMMYFUNCTION("GOOGLETRANSLATE(B14178, ""zh"", ""en"")"),"~ ~~~~~~~~~~~~~~~~~~~~~~~~~~~~~~~~~~~~~~~~~~~~~~~~~ ~~~~~~~~~~~~~~~~~~~~~~~~~~~~~~~~~~~~~~~~~~~~~~~~~~ ~~~~~~~~~~~~~~~~~~~~~~~~~~~~~~~~~~~~~~~~~~~~~~~~~~ ~~~~~~~~~~~~~~~~~~~~~~~~~~~~~~~~~~~~~~~~~~~~~~~~~~ ~~~~~~~~~~~~~~~~~~~~~~~~~~~~~~~~~~~~~~~~~~~~~~~~~~"&amp;" ~~~~~~~~~~~~~~~~~~~~~~~~~~~~~~~~~~~~~~~~~~~~~~~~~~ ~~~~~~~~~~~~~~~~~~~~~~~~~~~~~~~~~~~~~~~~~~~~~~~~~~ ~~~~~~~~~~~~~~~~~~~~~~~~~~~~~~~~~~~~~~~~~~~~~~~~~~ ~~~~~~~~~~~~~~~~~~~~~~~~~~~~~~~~~~~~~~~~~~~~~~~~~~ ~~~~~~~~~~~~~~~~~~~~~~~~~~~~~~~~~~~~~~~~~~~~~~~~~~"&amp;" ~~~~~~~~~~~~~~~~~~~~~~~~~~~~~~~~~~~~~~~~~~~~~~~~~~ ~~~~~~~~~~~~~~~~~~~~~~~~~~~~~~~~~~~~~~~~~~~~~~~~~~ ~~~~~~~~~~~~~~~~~~~~~~~~~~~~~~~~~~~~~~~~~~~~~~~~~~ ~~~~~~~~~~~~~~~~~~~~~~~~~~~~~~~~~~~~~~~~~~~~~~~~~~ ~~~~~~~~~~~~~~~~~~~~~~~~~~~~~~~~~~~~~~~~~~~~~~~~~~"&amp;" ~~~~~~~~~~~~~~~~~~~~~~~~~~~~~~~~~~~~~~~~~~~~~~~~~~ ~~~~~~~~~~~~~~~~~~~~~~~~~~~~~~~~~~~~~~~~~~~~~~~~~~ ~~~~~~~~~~~~~~~~~~~~~~~~~~~~~~~~~~~~~~~~~~~~~~~~~~ ~~~~~~~~~~~~~~~~~~~~~~~~~~~~~~~~~~~~~~~~~~~~~~~~~~ ~~~~~~~~~~~~~~~~~~~~~~~~~~~~~~~~~~~~~~~~~~~~~~~~~ "&amp;"~~~~~~~~~~~~~~~~~~~~~~~~~~~~~~~~~~~~~~~~~~~~~~~~~~ ~~~~~~~~~~~~~~~~~~~~~~~~~~~~~~~~~~~~~~~~~~~~~~~~~~ ~~~~~~~~~~~~~~~~~~~~~~~~~~~~~~~~~~~~~~~~~~~~~~~~~~ ~~~~~~~~~~~~~~~~~~~~~~~~~~~~~~~~~~~~~~~~~~~~~~~~~~ ~~~~~~~~~~~~~~~~~~~~~~~~~~~~~~~~~~~~~~~~~~~~~~~~~~ "&amp;"~~~~~~~~~~~~~~~~~~~~~~~~~~~~~~~~~~~~~~~~~~~~~~~~~~ ~~~~~~~~~~~~~~~~~~~~~~~~~~~~~~~~~~~~~~~~~~~~~~~~~~ ~~~~~~~~~~~~~~~~~~~~~~~~~~~~~~~~~~~~~~~~~~~~~~~~~~ ~~~~~~~~~~~~~~~~~~~~~~~~~~~~~~~~~~~~~~~~~~~~~~~~~~ ~~~~~~~~~~~~~~~~~~~~~~~~~~~~~~~~~~~~~~~~~~~~~~~~~~ "&amp;"~~~~~~~~~~~~~~~~~~~~~~~~~~~~~~~~~~~~~~~~~~~~~~~~~~ ~~~~~~~~~~~~~~~~~~~~~~~~~~~~~~~~~~~~~~~~~~~~~~~~~~ ~~~~~~~~~~~~~~~~~~~~~~~~~~~~~~~~~~~~~~~~~~~~~~~~~~ ~~~~~~~~~~~~~~~~")</f>
        <v>~ ~~~~~~~~~~~~~~~~~~~~~~~~~~~~~~~~~~~~~~~~~~~~~~~~~ ~~~~~~~~~~~~~~~~~~~~~~~~~~~~~~~~~~~~~~~~~~~~~~~~~~ ~~~~~~~~~~~~~~~~~~~~~~~~~~~~~~~~~~~~~~~~~~~~~~~~~~ ~~~~~~~~~~~~~~~~~~~~~~~~~~~~~~~~~~~~~~~~~~~~~~~~~~ ~~~~~~~~~~~~~~~~~~~~~~~~~~~~~~~~~~~~~~~~~~~~~~~~~~ ~~~~~~~~~~~~~~~~~~~~~~~~~~~~~~~~~~~~~~~~~~~~~~~~~~ ~~~~~~~~~~~~~~~~~~~~~~~~~~~~~~~~~~~~~~~~~~~~~~~~~~ ~~~~~~~~~~~~~~~~~~~~~~~~~~~~~~~~~~~~~~~~~~~~~~~~~~ ~~~~~~~~~~~~~~~~~~~~~~~~~~~~~~~~~~~~~~~~~~~~~~~~~~ ~~~~~~~~~~~~~~~~~~~~~~~~~~~~~~~~~~~~~~~~~~~~~~~~~~ ~~~~~~~~~~~~~~~~~~~~~~~~~~~~~~~~~~~~~~~~~~~~~~~~~~ ~~~~~~~~~~~~~~~~~~~~~~~~~~~~~~~~~~~~~~~~~~~~~~~~~~ ~~~~~~~~~~~~~~~~~~~~~~~~~~~~~~~~~~~~~~~~~~~~~~~~~~ ~~~~~~~~~~~~~~~~~~~~~~~~~~~~~~~~~~~~~~~~~~~~~~~~~~ ~~~~~~~~~~~~~~~~~~~~~~~~~~~~~~~~~~~~~~~~~~~~~~~~~~ ~~~~~~~~~~~~~~~~~~~~~~~~~~~~~~~~~~~~~~~~~~~~~~~~~~ ~~~~~~~~~~~~~~~~~~~~~~~~~~~~~~~~~~~~~~~~~~~~~~~~~~ ~~~~~~~~~~~~~~~~~~~~~~~~~~~~~~~~~~~~~~~~~~~~~~~~~~ ~~~~~~~~~~~~~~~~~~~~~~~~~~~~~~~~~~~~~~~~~~~~~~~~~~ ~~~~~~~~~~~~~~~~~~~~~~~~~~~~~~~~~~~~~~~~~~~~~~~~~ ~~~~~~~~~~~~~~~~~~~~~~~~~~~~~~~~~~~~~~~~~~~~~~~~~~ ~~~~~~~~~~~~~~~~~~~~~~~~~~~~~~~~~~~~~~~~~~~~~~~~~~ ~~~~~~~~~~~~~~~~~~~~~~~~~~~~~~~~~~~~~~~~~~~~~~~~~~ ~~~~~~~~~~~~~~~~~~~~~~~~~~~~~~~~~~~~~~~~~~~~~~~~~~ ~~~~~~~~~~~~~~~~~~~~~~~~~~~~~~~~~~~~~~~~~~~~~~~~~~ ~~~~~~~~~~~~~~~~~~~~~~~~~~~~~~~~~~~~~~~~~~~~~~~~~~ ~~~~~~~~~~~~~~~~~~~~~~~~~~~~~~~~~~~~~~~~~~~~~~~~~~ ~~~~~~~~~~~~~~~~~~~~~~~~~~~~~~~~~~~~~~~~~~~~~~~~~~ ~~~~~~~~~~~~~~~~~~~~~~~~~~~~~~~~~~~~~~~~~~~~~~~~~~ ~~~~~~~~~~~~~~~~~~~~~~~~~~~~~~~~~~~~~~~~~~~~~~~~~~ ~~~~~~~~~~~~~~~~~~~~~~~~~~~~~~~~~~~~~~~~~~~~~~~~~~ ~~~~~~~~~~~~~~~~~~~~~~~~~~~~~~~~~~~~~~~~~~~~~~~~~~ ~~~~~~~~~~~~~~~~~~~~~~~~~~~~~~~~~~~~~~~~~~~~~~~~~~ ~~~~~~~~~~~~~~~~</v>
      </c>
    </row>
    <row r="14179">
      <c r="A14179" s="1">
        <v>5.0</v>
      </c>
      <c r="B14179" s="1" t="s">
        <v>14030</v>
      </c>
      <c r="C14179" t="str">
        <f>IFERROR(__xludf.DUMMYFUNCTION("GOOGLETRANSLATE(B14179, ""zh"", ""en"")"),"I did not expect to become the highest utilization of a pot bought a small two, 20cm this may seem small, but tried it found parts of a person preparing food just right. 1. Because just a good size, it is easy to just the right weight, easy to eat there w"&amp;"ill be no burden. Originally a pot large size, often do more. Suitable meat, non-leafy green vegetables (e.g., mushrooms, asparagus, sweet pepper, etc. ..). Greens need a bigger pot for the job. 2. Because of the small size, the weight of the pot is very "&amp;"lightweight. Cooking becomes easier. And can be done directly on the table. Clean pot, hand hanging on hooks in the kitchen can be, and the large size of the pot completely different experience. 3. With more than a month, non-stick performance is very sat"&amp;"isfactory. Very little oil can finish cooking. 4. and one other person felt the same, think red dot pot discoloration is not obvious, almost useless. (Compared Supor discoloration is very easy to detect, the inventor tefal not the red one? Why)")</f>
        <v>I did not expect to become the highest utilization of a pot bought a small two, 20cm this may seem small, but tried it found parts of a person preparing food just right. 1. Because just a good size, it is easy to just the right weight, easy to eat there will be no burden. Originally a pot large size, often do more. Suitable meat, non-leafy green vegetables (e.g., mushrooms, asparagus, sweet pepper, etc. ..). Greens need a bigger pot for the job. 2. Because of the small size, the weight of the pot is very lightweight. Cooking becomes easier. And can be done directly on the table. Clean pot, hand hanging on hooks in the kitchen can be, and the large size of the pot completely different experience. 3. With more than a month, non-stick performance is very satisfactory. Very little oil can finish cooking. 4. and one other person felt the same, think red dot pot discoloration is not obvious, almost useless. (Compared Supor discoloration is very easy to detect, the inventor tefal not the red one? Why)</v>
      </c>
    </row>
    <row r="14180">
      <c r="A14180" s="1">
        <v>5.0</v>
      </c>
      <c r="B14180" s="1" t="s">
        <v>14031</v>
      </c>
      <c r="C14180" t="str">
        <f>IFERROR(__xludf.DUMMYFUNCTION("GOOGLETRANSLATE(B14180, ""zh"", ""en"")"),"Good November 26 order, the arrival of December 3, the table is good, take a look at the next wave function automatically, functions are normal for him")</f>
        <v>Good November 26 order, the arrival of December 3, the table is good, take a look at the next wave function automatically, functions are normal for him</v>
      </c>
    </row>
    <row r="14181">
      <c r="A14181" s="1">
        <v>5.0</v>
      </c>
      <c r="B14181" s="1" t="s">
        <v>14032</v>
      </c>
      <c r="C14181" t="str">
        <f>IFERROR(__xludf.DUMMYFUNCTION("GOOGLETRANSLATE(B14181, ""zh"", ""en"")"),"Is genuine satisfaction. Is genuine, I am very satisfied.")</f>
        <v>Is genuine satisfaction. Is genuine, I am very satisfied.</v>
      </c>
    </row>
    <row r="14182">
      <c r="A14182" s="1">
        <v>5.0</v>
      </c>
      <c r="B14182" s="1" t="s">
        <v>14033</v>
      </c>
      <c r="C14182" t="str">
        <f>IFERROR(__xludf.DUMMYFUNCTION("GOOGLETRANSLATE(B14182, ""zh"", ""en"")"),"Under Armor shirt Xia good 👍 commodity good, oh! Very much!")</f>
        <v>Under Armor shirt Xia good 👍 commodity good, oh! Very much!</v>
      </c>
    </row>
    <row r="14183">
      <c r="A14183" s="1">
        <v>5.0</v>
      </c>
      <c r="B14183" s="1" t="s">
        <v>14034</v>
      </c>
      <c r="C14183" t="str">
        <f>IFERROR(__xludf.DUMMYFUNCTION("GOOGLETRANSLATE(B14183, ""zh"", ""en"")"),"Children's electronic products children use, very convenient, hearing protection")</f>
        <v>Children's electronic products children use, very convenient, hearing protection</v>
      </c>
    </row>
    <row r="14184">
      <c r="A14184" s="1">
        <v>5.0</v>
      </c>
      <c r="B14184" s="1" t="s">
        <v>14035</v>
      </c>
      <c r="C14184" t="str">
        <f>IFERROR(__xludf.DUMMYFUNCTION("GOOGLETRANSLATE(B14184, ""zh"", ""en"")"),"Never go to a good evaluation before, I do not know how many points wasted, now we know that integration can change money necessary to properly evaluate, and then I put these words to copy to go, both to earn points, but also the easy way, where are copie"&amp;"d to which, most importantly, do not seriously review, do not think how much worse word, sent directly to it, recommend it to everyone")</f>
        <v>Never go to a good evaluation before, I do not know how many points wasted, now we know that integration can change money necessary to properly evaluate, and then I put these words to copy to go, both to earn points, but also the easy way, where are copied to which, most importantly, do not seriously review, do not think how much worse word, sent directly to it, recommend it to everyone</v>
      </c>
    </row>
    <row r="14185">
      <c r="A14185" s="1">
        <v>5.0</v>
      </c>
      <c r="B14185" s="1" t="s">
        <v>14036</v>
      </c>
      <c r="C14185" t="str">
        <f>IFERROR(__xludf.DUMMYFUNCTION("GOOGLETRANSLATE(B14185, ""zh"", ""en"")"),"Machine washable no deformation of good quality wearing a summer did not have to buy back from the ball")</f>
        <v>Machine washable no deformation of good quality wearing a summer did not have to buy back from the ball</v>
      </c>
    </row>
    <row r="14186">
      <c r="A14186" s="1">
        <v>5.0</v>
      </c>
      <c r="B14186" s="1" t="s">
        <v>14037</v>
      </c>
      <c r="C14186" t="str">
        <f>IFERROR(__xludf.DUMMYFUNCTION("GOOGLETRANSLATE(B14186, ""zh"", ""en"")"),"Normal use of electronic products, a hard disk have nothing to comment")</f>
        <v>Normal use of electronic products, a hard disk have nothing to comment</v>
      </c>
    </row>
    <row r="14187">
      <c r="A14187" s="1">
        <v>5.0</v>
      </c>
      <c r="B14187" s="1" t="s">
        <v>14038</v>
      </c>
      <c r="C14187" t="str">
        <f>IFERROR(__xludf.DUMMYFUNCTION("GOOGLETRANSLATE(B14187, ""zh"", ""en"")"),"Lions Cup was quite good, shipped quickly, the price can buy what I want Lions Cup, all kinds of happiness, Mody Mody da")</f>
        <v>Lions Cup was quite good, shipped quickly, the price can buy what I want Lions Cup, all kinds of happiness, Mody Mody da</v>
      </c>
    </row>
    <row r="14188">
      <c r="A14188" s="1">
        <v>5.0</v>
      </c>
      <c r="B14188" s="1" t="s">
        <v>14039</v>
      </c>
      <c r="C14188" t="str">
        <f>IFERROR(__xludf.DUMMYFUNCTION("GOOGLETRANSLATE(B14188, ""zh"", ""en"")"),"very suitable! Very sexy fit, 175-70! Body meat recommended freshman yards, I was sinew meat-type!")</f>
        <v>very suitable! Very sexy fit, 175-70! Body meat recommended freshman yards, I was sinew meat-type!</v>
      </c>
    </row>
    <row r="14189">
      <c r="A14189" s="1">
        <v>5.0</v>
      </c>
      <c r="B14189" s="1" t="s">
        <v>14040</v>
      </c>
      <c r="C14189" t="str">
        <f>IFERROR(__xludf.DUMMYFUNCTION("GOOGLETRANSLATE(B14189, ""zh"", ""en"")"),"According to comments by review recommended buy buy size, just right fit")</f>
        <v>According to comments by review recommended buy buy size, just right fit</v>
      </c>
    </row>
    <row r="14190">
      <c r="A14190" s="1">
        <v>5.0</v>
      </c>
      <c r="B14190" s="1" t="s">
        <v>14041</v>
      </c>
      <c r="C14190" t="str">
        <f>IFERROR(__xludf.DUMMYFUNCTION("GOOGLETRANSLATE(B14190, ""zh"", ""en"")"),"Received the goods cheap affordable, fancy key waterproof 200M, just received the goods, made in China, the follow-up began to say")</f>
        <v>Received the goods cheap affordable, fancy key waterproof 200M, just received the goods, made in China, the follow-up began to say</v>
      </c>
    </row>
    <row r="14191">
      <c r="A14191" s="1">
        <v>5.0</v>
      </c>
      <c r="B14191" s="1" t="s">
        <v>14042</v>
      </c>
      <c r="C14191" t="str">
        <f>IFERROR(__xludf.DUMMYFUNCTION("GOOGLETRANSLATE(B14191, ""zh"", ""en"")"),"Good to help my colleagues to buy, she said very good ...")</f>
        <v>Good to help my colleagues to buy, she said very good ...</v>
      </c>
    </row>
    <row r="14192">
      <c r="A14192" s="1">
        <v>5.0</v>
      </c>
      <c r="B14192" s="1" t="s">
        <v>14043</v>
      </c>
      <c r="C14192" t="str">
        <f>IFERROR(__xludf.DUMMYFUNCTION("GOOGLETRANSLATE(B14192, ""zh"", ""en"")"),"Slowly eat small particles than women dedicated point")</f>
        <v>Slowly eat small particles than women dedicated point</v>
      </c>
    </row>
    <row r="14193">
      <c r="A14193" s="1">
        <v>5.0</v>
      </c>
      <c r="B14193" s="1" t="s">
        <v>14044</v>
      </c>
      <c r="C14193" t="str">
        <f>IFERROR(__xludf.DUMMYFUNCTION("GOOGLETRANSLATE(B14193, ""zh"", ""en"")"),"BM7251-53L This watch is very good, with more than a month, virtually no time difference.")</f>
        <v>BM7251-53L This watch is very good, with more than a month, virtually no time difference.</v>
      </c>
    </row>
    <row r="14194">
      <c r="A14194" s="1">
        <v>5.0</v>
      </c>
      <c r="B14194" s="1" t="s">
        <v>14045</v>
      </c>
      <c r="C14194" t="str">
        <f>IFERROR(__xludf.DUMMYFUNCTION("GOOGLETRANSLATE(B14194, ""zh"", ""en"")"),"Fit, comfortable to wear good price, worth having, suitable for foot wear thin")</f>
        <v>Fit, comfortable to wear good price, worth having, suitable for foot wear thin</v>
      </c>
    </row>
    <row r="14195">
      <c r="A14195" s="1">
        <v>5.0</v>
      </c>
      <c r="B14195" s="1" t="s">
        <v>14046</v>
      </c>
      <c r="C14195" t="str">
        <f>IFERROR(__xludf.DUMMYFUNCTION("GOOGLETRANSLATE(B14195, ""zh"", ""en"")"),"Comfortable, durable super lightweight, very warm winter wear, fine workmanship, quality is a little long, if less than half the code even more perfect")</f>
        <v>Comfortable, durable super lightweight, very warm winter wear, fine workmanship, quality is a little long, if less than half the code even more perfect</v>
      </c>
    </row>
    <row r="14196">
      <c r="A14196" s="1">
        <v>5.0</v>
      </c>
      <c r="B14196" s="1" t="s">
        <v>14047</v>
      </c>
      <c r="C14196" t="str">
        <f>IFERROR(__xludf.DUMMYFUNCTION("GOOGLETRANSLATE(B14196, ""zh"", ""en"")"),"Good use really good quality, no color difference in kind, with the South will not mildew, the design is very user-friendly.")</f>
        <v>Good use really good quality, no color difference in kind, with the South will not mildew, the design is very user-friendly.</v>
      </c>
    </row>
    <row r="14197">
      <c r="A14197" s="1">
        <v>5.0</v>
      </c>
      <c r="B14197" s="1" t="s">
        <v>14048</v>
      </c>
      <c r="C14197" t="str">
        <f>IFERROR(__xludf.DUMMYFUNCTION("GOOGLETRANSLATE(B14197, ""zh"", ""en"")"),"Citizen watch my training. This table overall texture is very good, sapphire glass is also good, that is too thick too heavy, the bracelet has been scraped to die. The other is good.")</f>
        <v>Citizen watch my training. This table overall texture is very good, sapphire glass is also good, that is too thick too heavy, the bracelet has been scraped to die. The other is good.</v>
      </c>
    </row>
    <row r="14198">
      <c r="A14198" s="1">
        <v>5.0</v>
      </c>
      <c r="B14198" s="1" t="s">
        <v>14049</v>
      </c>
      <c r="C14198" t="str">
        <f>IFERROR(__xludf.DUMMYFUNCTION("GOOGLETRANSLATE(B14198, ""zh"", ""en"")"),"Good shoes, good shoes, and if men's cheaper just fine")</f>
        <v>Good shoes, good shoes, and if men's cheaper just fine</v>
      </c>
    </row>
    <row r="14199">
      <c r="A14199" s="1">
        <v>5.0</v>
      </c>
      <c r="B14199" s="1" t="s">
        <v>14050</v>
      </c>
      <c r="C14199" t="str">
        <f>IFERROR(__xludf.DUMMYFUNCTION("GOOGLETRANSLATE(B14199, ""zh"", ""en"")"),"Balanced tri-band really balanced, low-frequency qualitative, high-frequency light, medium frequency is not very concave, but thin, voice dry, hearing a lot will be uncomfortable, listen to good pure tone, a favorite at 880 DEPAPEPE guitar - wear should b"&amp;"e the level most praise, and a slight discomfort 650,701, 880 to 880 but well worth it!")</f>
        <v>Balanced tri-band really balanced, low-frequency qualitative, high-frequency light, medium frequency is not very concave, but thin, voice dry, hearing a lot will be uncomfortable, listen to good pure tone, a favorite at 880 DEPAPEPE guitar - wear should be the level most praise, and a slight discomfort 650,701, 880 to 880 but well worth it!</v>
      </c>
    </row>
    <row r="14200">
      <c r="A14200" s="1">
        <v>5.0</v>
      </c>
      <c r="B14200" s="1" t="s">
        <v>14051</v>
      </c>
      <c r="C14200" t="str">
        <f>IFERROR(__xludf.DUMMYFUNCTION("GOOGLETRANSLATE(B14200, ""zh"", ""en"")"),"Head a little rough quality is good, that is as big as the head EF and F heads.")</f>
        <v>Head a little rough quality is good, that is as big as the head EF and F heads.</v>
      </c>
    </row>
    <row r="14201">
      <c r="A14201" s="1">
        <v>2.0</v>
      </c>
      <c r="B14201" s="1" t="s">
        <v>14052</v>
      </c>
      <c r="C14201" t="str">
        <f>IFERROR(__xludf.DUMMYFUNCTION("GOOGLETRANSLATE(B14201, ""zh"", ""en"")"),"Taste great, the water is still great, do not know is not fake? Taste great, the water is still great, do not know is not fake?")</f>
        <v>Taste great, the water is still great, do not know is not fake? Taste great, the water is still great, do not know is not fake?</v>
      </c>
    </row>
    <row r="14202">
      <c r="A14202" s="1">
        <v>3.0</v>
      </c>
      <c r="B14202" s="1" t="s">
        <v>14053</v>
      </c>
      <c r="C14202" t="str">
        <f>IFERROR(__xludf.DUMMYFUNCTION("GOOGLETRANSLATE(B14202, ""zh"", ""en"")"),"Good in itself, but is somewhat smaller, the less should buy a bigger size.")</f>
        <v>Good in itself, but is somewhat smaller, the less should buy a bigger size.</v>
      </c>
    </row>
    <row r="14203">
      <c r="A14203" s="1">
        <v>3.0</v>
      </c>
      <c r="B14203" s="1" t="s">
        <v>14054</v>
      </c>
      <c r="C14203" t="str">
        <f>IFERROR(__xludf.DUMMYFUNCTION("GOOGLETRANSLATE(B14203, ""zh"", ""en"")"),"General will always be exposed to the cup's edge, very embarrassing.")</f>
        <v>General will always be exposed to the cup's edge, very embarrassing.</v>
      </c>
    </row>
    <row r="14204">
      <c r="A14204" s="1">
        <v>1.0</v>
      </c>
      <c r="B14204" s="1" t="s">
        <v>14055</v>
      </c>
      <c r="C14204" t="str">
        <f>IFERROR(__xludf.DUMMYFUNCTION("GOOGLETRANSLATE(B14204, ""zh"", ""en"")"),"No lid how to use? Actually received a pot without a lid, contact customer service, please send you a replacement lid actually said no, and then have to return remake. Let me run around so heavy, really served.")</f>
        <v>No lid how to use? Actually received a pot without a lid, contact customer service, please send you a replacement lid actually said no, and then have to return remake. Let me run around so heavy, really served.</v>
      </c>
    </row>
    <row r="14205">
      <c r="A14205" s="1">
        <v>1.0</v>
      </c>
      <c r="B14205" s="1" t="s">
        <v>14056</v>
      </c>
      <c r="C14205" t="str">
        <f>IFERROR(__xludf.DUMMYFUNCTION("GOOGLETRANSLATE(B14205, ""zh"", ""en"")"),"Too much, the actual size of a logo size serious discrepancies, the feeling is the old US size, medium wear clothing with a sense of oversized, ha ha ha, return postage and the price is almost clothes, forget")</f>
        <v>Too much, the actual size of a logo size serious discrepancies, the feeling is the old US size, medium wear clothing with a sense of oversized, ha ha ha, return postage and the price is almost clothes, forget</v>
      </c>
    </row>
    <row r="14206">
      <c r="A14206" s="1">
        <v>1.0</v>
      </c>
      <c r="B14206" s="1" t="s">
        <v>14057</v>
      </c>
      <c r="C14206" t="str">
        <f>IFERROR(__xludf.DUMMYFUNCTION("GOOGLETRANSLATE(B14206, ""zh"", ""en"")"),"Why why only add a photo to have a speaker box while the tape is cut! Open the power source line inside the bag is also dug a hole! This is obviously being split-off!")</f>
        <v>Why why only add a photo to have a speaker box while the tape is cut! Open the power source line inside the bag is also dug a hole! This is obviously being split-off!</v>
      </c>
    </row>
    <row r="14207">
      <c r="A14207" s="1">
        <v>4.0</v>
      </c>
      <c r="B14207" s="1" t="s">
        <v>14058</v>
      </c>
      <c r="C14207" t="str">
        <f>IFERROR(__xludf.DUMMYFUNCTION("GOOGLETRANSLATE(B14207, ""zh"", ""en"")"),"1.73, weight 75kg, just wear M code. 1.73, weight 75kg, just wear M code. Wind and water repellent effect is quite good.")</f>
        <v>1.73, weight 75kg, just wear M code. 1.73, weight 75kg, just wear M code. Wind and water repellent effect is quite good.</v>
      </c>
    </row>
    <row r="14208">
      <c r="A14208" s="1">
        <v>4.0</v>
      </c>
      <c r="B14208" s="1" t="s">
        <v>14059</v>
      </c>
      <c r="C14208" t="str">
        <f>IFERROR(__xludf.DUMMYFUNCTION("GOOGLETRANSLATE(B14208, ""zh"", ""en"")"),"Citizen Sao orange very satisfied, is genuine. Bring da cool feeling!")</f>
        <v>Citizen Sao orange very satisfied, is genuine. Bring da cool feeling!</v>
      </c>
    </row>
    <row r="14209">
      <c r="A14209" s="1">
        <v>4.0</v>
      </c>
      <c r="B14209" s="1" t="s">
        <v>14060</v>
      </c>
      <c r="C14209" t="str">
        <f>IFERROR(__xludf.DUMMYFUNCTION("GOOGLETRANSLATE(B14209, ""zh"", ""en"")"),"Free shipping on purchases 0 200 numbers 168,58m appropriate taxes. Neckline a little thread, is not obvious.")</f>
        <v>Free shipping on purchases 0 200 numbers 168,58m appropriate taxes. Neckline a little thread, is not obvious.</v>
      </c>
    </row>
    <row r="14210">
      <c r="A14210" s="1">
        <v>4.0</v>
      </c>
      <c r="B14210" s="1" t="s">
        <v>14061</v>
      </c>
      <c r="C14210" t="str">
        <f>IFERROR(__xludf.DUMMYFUNCTION("GOOGLETRANSLATE(B14210, ""zh"", ""en"")"),"Trousers a little wide I just 175,160 pounds W34L30 waist, a bit wide on the trouser leg.")</f>
        <v>Trousers a little wide I just 175,160 pounds W34L30 waist, a bit wide on the trouser leg.</v>
      </c>
    </row>
    <row r="14211">
      <c r="A14211" s="1">
        <v>4.0</v>
      </c>
      <c r="B14211" s="1" t="s">
        <v>14062</v>
      </c>
      <c r="C14211" t="str">
        <f>IFERROR(__xludf.DUMMYFUNCTION("GOOGLETRANSLATE(B14211, ""zh"", ""en"")"),"Getting it right size, fabric thick, work in general, Honduras production, the brand's worse than the Vietnamese.")</f>
        <v>Getting it right size, fabric thick, work in general, Honduras production, the brand's worse than the Vietnamese.</v>
      </c>
    </row>
    <row r="14212">
      <c r="A14212" s="1">
        <v>5.0</v>
      </c>
      <c r="B14212" s="1" t="s">
        <v>14063</v>
      </c>
      <c r="C14212" t="str">
        <f>IFERROR(__xludf.DUMMYFUNCTION("GOOGLETRANSLATE(B14212, ""zh"", ""en"")"),"Light and comfortable, recommended buy usually wear 4uk, because it is winter boots, so listen to the recommendations of a buyer, bought EU37.5, a little bit loose, but it is estimated to wear thick socks in winter will be more comfortable, shoes are very"&amp;" light, cortex is also very good, clarks shoes always live up the expectations, it is worth buying")</f>
        <v>Light and comfortable, recommended buy usually wear 4uk, because it is winter boots, so listen to the recommendations of a buyer, bought EU37.5, a little bit loose, but it is estimated to wear thick socks in winter will be more comfortable, shoes are very light, cortex is also very good, clarks shoes always live up the expectations, it is worth buying</v>
      </c>
    </row>
    <row r="14213">
      <c r="A14213" s="1">
        <v>5.0</v>
      </c>
      <c r="B14213" s="1" t="s">
        <v>14064</v>
      </c>
      <c r="C14213" t="str">
        <f>IFERROR(__xludf.DUMMYFUNCTION("GOOGLETRANSLATE(B14213, ""zh"", ""en"")"),"A better shopping experience things received, it took a while to write a review. Feeling well, packaging is also intact.")</f>
        <v>A better shopping experience things received, it took a while to write a review. Feeling well, packaging is also intact.</v>
      </c>
    </row>
    <row r="14214">
      <c r="A14214" s="1">
        <v>5.0</v>
      </c>
      <c r="B14214" s="1" t="s">
        <v>14065</v>
      </c>
      <c r="C14214" t="str">
        <f>IFERROR(__xludf.DUMMYFUNCTION("GOOGLETRANSLATE(B14214, ""zh"", ""en"")"),"Good clothes, value for money! The right size, very much!")</f>
        <v>Good clothes, value for money! The right size, very much!</v>
      </c>
    </row>
    <row r="14215">
      <c r="A14215" s="1">
        <v>5.0</v>
      </c>
      <c r="B14215" s="1" t="s">
        <v>14066</v>
      </c>
      <c r="C14215" t="str">
        <f>IFERROR(__xludf.DUMMYFUNCTION("GOOGLETRANSLATE(B14215, ""zh"", ""en"")"),"Chinese people to buy bargain friends United States Code, must get to a small number two, my husband high 168, shoulder 100, weight 152, wearing s number just right, clothes fit, slightly longer pants are still a little bit, you can refer to the buy yo, i"&amp;"t is recommended to buy s number.")</f>
        <v>Chinese people to buy bargain friends United States Code, must get to a small number two, my husband high 168, shoulder 100, weight 152, wearing s number just right, clothes fit, slightly longer pants are still a little bit, you can refer to the buy yo, it is recommended to buy s number.</v>
      </c>
    </row>
    <row r="14216">
      <c r="A14216" s="1">
        <v>5.0</v>
      </c>
      <c r="B14216" s="1" t="s">
        <v>14067</v>
      </c>
      <c r="C14216" t="str">
        <f>IFERROR(__xludf.DUMMYFUNCTION("GOOGLETRANSLATE(B14216, ""zh"", ""en"")"),"Very nice capsule coffee machine! ! ! Very nice capsule coffee machine! ! !")</f>
        <v>Very nice capsule coffee machine! ! ! Very nice capsule coffee machine! ! !</v>
      </c>
    </row>
    <row r="14217">
      <c r="A14217" s="1">
        <v>5.0</v>
      </c>
      <c r="B14217" s="1" t="s">
        <v>14068</v>
      </c>
      <c r="C14217" t="str">
        <f>IFERROR(__xludf.DUMMYFUNCTION("GOOGLETRANSLATE(B14217, ""zh"", ""en"")"),"Overseas shopping benefits early is not suitable to wear, just-ear sound quality that feels really rubbish, after listening to an hour has improved, I believe that the open burning will be good.")</f>
        <v>Overseas shopping benefits early is not suitable to wear, just-ear sound quality that feels really rubbish, after listening to an hour has improved, I believe that the open burning will be good.</v>
      </c>
    </row>
    <row r="14218">
      <c r="A14218" s="1">
        <v>5.0</v>
      </c>
      <c r="B14218" s="1" t="s">
        <v>14069</v>
      </c>
      <c r="C14218" t="str">
        <f>IFERROR(__xludf.DUMMYFUNCTION("GOOGLETRANSLATE(B14218, ""zh"", ""en"")"),"👌 very suitable for Chinese people")</f>
        <v>👌 very suitable for Chinese people</v>
      </c>
    </row>
    <row r="14219">
      <c r="A14219" s="1">
        <v>5.0</v>
      </c>
      <c r="B14219" s="1" t="s">
        <v>14070</v>
      </c>
      <c r="C14219" t="str">
        <f>IFERROR(__xludf.DUMMYFUNCTION("GOOGLETRANSLATE(B14219, ""zh"", ""en"")"),"My son is very good very like the deer size is suitable for a baby's hand holding the bite may facilitate the")</f>
        <v>My son is very good very like the deer size is suitable for a baby's hand holding the bite may facilitate the</v>
      </c>
    </row>
    <row r="14220">
      <c r="A14220" s="1">
        <v>5.0</v>
      </c>
      <c r="B14220" s="1" t="s">
        <v>14071</v>
      </c>
      <c r="C14220" t="str">
        <f>IFERROR(__xludf.DUMMYFUNCTION("GOOGLETRANSLATE(B14220, ""zh"", ""en"")"),"ecco hiking shoes outdoor merchandise really praise! ecco quality is so good, a little is narrow shoes, shoes are very light. The price is really invincible, the next will come back to buy.")</f>
        <v>ecco hiking shoes outdoor merchandise really praise! ecco quality is so good, a little is narrow shoes, shoes are very light. The price is really invincible, the next will come back to buy.</v>
      </c>
    </row>
    <row r="14221">
      <c r="A14221" s="1">
        <v>5.0</v>
      </c>
      <c r="B14221" s="1" t="s">
        <v>14072</v>
      </c>
      <c r="C14221" t="str">
        <f>IFERROR(__xludf.DUMMYFUNCTION("GOOGLETRANSLATE(B14221, ""zh"", ""en"")"),"Good shopping experience smaller size than usual, I 1.78 m, 70 kg, bought the M code, very comfortable to wear, cotton, just the right size, looks and feels large files, but to wear but found cut very good, very close there is no sense of tension, still f"&amp;"eel value for money! Logistics is also fairly acceptable, the origin of India 🇮🇳")</f>
        <v>Good shopping experience smaller size than usual, I 1.78 m, 70 kg, bought the M code, very comfortable to wear, cotton, just the right size, looks and feels large files, but to wear but found cut very good, very close there is no sense of tension, still feel value for money! Logistics is also fairly acceptable, the origin of India 🇮🇳</v>
      </c>
    </row>
    <row r="14222">
      <c r="A14222" s="1">
        <v>5.0</v>
      </c>
      <c r="B14222" s="1" t="s">
        <v>14073</v>
      </c>
      <c r="C14222" t="str">
        <f>IFERROR(__xludf.DUMMYFUNCTION("GOOGLETRANSLATE(B14222, ""zh"", ""en"")"),"Yes. Height 182cm, weight 69kg, s right code. Clothing materials in general, it is better to sell on Amazon is a little expensive nautica of good, bought a black and white two lee, the price is not an nautica expensive, but wins in the cheap, but really w"&amp;"hite dirt ah, black is still very good!")</f>
        <v>Yes. Height 182cm, weight 69kg, s right code. Clothing materials in general, it is better to sell on Amazon is a little expensive nautica of good, bought a black and white two lee, the price is not an nautica expensive, but wins in the cheap, but really white dirt ah, black is still very good!</v>
      </c>
    </row>
    <row r="14223">
      <c r="A14223" s="1">
        <v>5.0</v>
      </c>
      <c r="B14223" s="1" t="s">
        <v>14074</v>
      </c>
      <c r="C14223" t="str">
        <f>IFERROR(__xludf.DUMMYFUNCTION("GOOGLETRANSLATE(B14223, ""zh"", ""en"")"),"AIU Mobile Seagate hard drives good, cost-effective good, affordable, lightweight and portable, thin and light than other brands of the same capacity, cost-effective to buy cheaper than domestic, normal use.")</f>
        <v>AIU Mobile Seagate hard drives good, cost-effective good, affordable, lightweight and portable, thin and light than other brands of the same capacity, cost-effective to buy cheaper than domestic, normal use.</v>
      </c>
    </row>
    <row r="14224">
      <c r="A14224" s="1">
        <v>5.0</v>
      </c>
      <c r="B14224" s="1" t="s">
        <v>14075</v>
      </c>
      <c r="C14224" t="str">
        <f>IFERROR(__xludf.DUMMYFUNCTION("GOOGLETRANSLATE(B14224, ""zh"", ""en"")"),"Recommended average family enough, a must ground meat, vegetables and almost twisted the meaning of")</f>
        <v>Recommended average family enough, a must ground meat, vegetables and almost twisted the meaning of</v>
      </c>
    </row>
    <row r="14225">
      <c r="A14225" s="1">
        <v>5.0</v>
      </c>
      <c r="B14225" s="1" t="s">
        <v>14076</v>
      </c>
      <c r="C14225" t="str">
        <f>IFERROR(__xludf.DUMMYFUNCTION("GOOGLETRANSLATE(B14225, ""zh"", ""en"")"),"Baia style, good headset good headset, but better to take a good amp, the effect can come out")</f>
        <v>Baia style, good headset good headset, but better to take a good amp, the effect can come out</v>
      </c>
    </row>
    <row r="14226">
      <c r="A14226" s="1">
        <v>5.0</v>
      </c>
      <c r="B14226" s="1" t="s">
        <v>14077</v>
      </c>
      <c r="C14226" t="str">
        <f>IFERROR(__xludf.DUMMYFUNCTION("GOOGLETRANSLATE(B14226, ""zh"", ""en"")"),"Good material, the US version of the work is rough point the US version is too large, it is recommended to buy a smaller size.")</f>
        <v>Good material, the US version of the work is rough point the US version is too large, it is recommended to buy a smaller size.</v>
      </c>
    </row>
    <row r="14227">
      <c r="A14227" s="1">
        <v>5.0</v>
      </c>
      <c r="B14227" s="1" t="s">
        <v>14078</v>
      </c>
      <c r="C14227" t="str">
        <f>IFERROR(__xludf.DUMMYFUNCTION("GOOGLETRANSLATE(B14227, ""zh"", ""en"")"),"Very comfortable to wear very comfortable shoes, this is beyond my imagination")</f>
        <v>Very comfortable to wear very comfortable shoes, this is beyond my imagination</v>
      </c>
    </row>
    <row r="14228">
      <c r="A14228" s="1">
        <v>5.0</v>
      </c>
      <c r="B14228" s="1" t="s">
        <v>14079</v>
      </c>
      <c r="C14228" t="str">
        <f>IFERROR(__xludf.DUMMYFUNCTION("GOOGLETRANSLATE(B14228, ""zh"", ""en"")"),"Good shoes very good, very comfortable, size is also the whole good. Express fast, much earlier than expected to. Very satisfied with the shopping")</f>
        <v>Good shoes very good, very comfortable, size is also the whole good. Express fast, much earlier than expected to. Very satisfied with the shopping</v>
      </c>
    </row>
    <row r="14229">
      <c r="A14229" s="1">
        <v>5.0</v>
      </c>
      <c r="B14229" s="1" t="s">
        <v>14080</v>
      </c>
      <c r="C14229" t="str">
        <f>IFERROR(__xludf.DUMMYFUNCTION("GOOGLETRANSLATE(B14229, ""zh"", ""en"")"),"Good friends, and 9-year-old children to eat no problem")</f>
        <v>Good friends, and 9-year-old children to eat no problem</v>
      </c>
    </row>
    <row r="14230">
      <c r="A14230" s="1">
        <v>5.0</v>
      </c>
      <c r="B14230" s="1" t="s">
        <v>14081</v>
      </c>
      <c r="C14230" t="str">
        <f>IFERROR(__xludf.DUMMYFUNCTION("GOOGLETRANSLATE(B14230, ""zh"", ""en"")"),"Seagate Backup Plus Slim 1TB mobile hard drive a good, black is buying, so the price is cheaper than the domestic do not know how many! Speed ​​is also very satisfactory, with no problem so long")</f>
        <v>Seagate Backup Plus Slim 1TB mobile hard drive a good, black is buying, so the price is cheaper than the domestic do not know how many! Speed ​​is also very satisfactory, with no problem so long</v>
      </c>
    </row>
    <row r="14231">
      <c r="A14231" s="1">
        <v>5.0</v>
      </c>
      <c r="B14231" s="1" t="s">
        <v>14082</v>
      </c>
      <c r="C14231" t="str">
        <f>IFERROR(__xludf.DUMMYFUNCTION("GOOGLETRANSLATE(B14231, ""zh"", ""en"")"),"Try feeling great feeling, very appropriate size, the version is also good, no smell, leather is not very hard.")</f>
        <v>Try feeling great feeling, very appropriate size, the version is also good, no smell, leather is not very hard.</v>
      </c>
    </row>
    <row r="14232">
      <c r="A14232" s="1">
        <v>5.0</v>
      </c>
      <c r="B14232" s="1" t="s">
        <v>14083</v>
      </c>
      <c r="C14232" t="str">
        <f>IFERROR(__xludf.DUMMYFUNCTION("GOOGLETRANSLATE(B14232, ""zh"", ""en"")"),"Genuine definitely a good thing, not at all smell. Foreign goods. China and I bought exactly the same. And the price is half that of China, buy two, buy one in China.")</f>
        <v>Genuine definitely a good thing, not at all smell. Foreign goods. China and I bought exactly the same. And the price is half that of China, buy two, buy one in China.</v>
      </c>
    </row>
    <row r="14233">
      <c r="A14233" s="1">
        <v>2.0</v>
      </c>
      <c r="B14233" s="1" t="s">
        <v>14084</v>
      </c>
      <c r="C14233" t="str">
        <f>IFERROR(__xludf.DUMMYFUNCTION("GOOGLETRANSLATE(B14233, ""zh"", ""en"")"),"Price cheaper to buy a play, the high price is not recommended if in addition to the price did not much surprise, everything is the flagship machine looks like, to be on completely clean shaven or Gillette stylist, comfort is also trouble point. Formerly "&amp;"headed by Philips more than five hundred fourteen years and now can with the hope that this is also durable --------------------------- ----------- feel no two cleanly shaved, clean wash bucket is not very clean, in short, there is not much sense")</f>
        <v>Price cheaper to buy a play, the high price is not recommended if in addition to the price did not much surprise, everything is the flagship machine looks like, to be on completely clean shaven or Gillette stylist, comfort is also trouble point. Formerly headed by Philips more than five hundred fourteen years and now can with the hope that this is also durable --------------------------- ----------- feel no two cleanly shaved, clean wash bucket is not very clean, in short, there is not much sense</v>
      </c>
    </row>
    <row r="14234">
      <c r="A14234" s="1">
        <v>3.0</v>
      </c>
      <c r="B14234" s="1" t="s">
        <v>14085</v>
      </c>
      <c r="C14234" t="str">
        <f>IFERROR(__xludf.DUMMYFUNCTION("GOOGLETRANSLATE(B14234, ""zh"", ""en"")"),"US version is also good very good very appropriate clothes")</f>
        <v>US version is also good very good very appropriate clothes</v>
      </c>
    </row>
    <row r="14235">
      <c r="A14235" s="1">
        <v>3.0</v>
      </c>
      <c r="B14235" s="1" t="s">
        <v>14086</v>
      </c>
      <c r="C14235" t="str">
        <f>IFERROR(__xludf.DUMMYFUNCTION("GOOGLETRANSLATE(B14235, ""zh"", ""en"")"),"White white midsole portion of the midsole part of the skin from the skin since been")</f>
        <v>White white midsole portion of the midsole part of the skin from the skin since been</v>
      </c>
    </row>
    <row r="14236">
      <c r="A14236" s="1">
        <v>3.0</v>
      </c>
      <c r="B14236" s="1" t="s">
        <v>14087</v>
      </c>
      <c r="C14236" t="str">
        <f>IFERROR(__xludf.DUMMYFUNCTION("GOOGLETRANSLATE(B14236, ""zh"", ""en"")"),"It can only be said that he could also be right, cloth a little thin, not very stylish, make do wear it")</f>
        <v>It can only be said that he could also be right, cloth a little thin, not very stylish, make do wear it</v>
      </c>
    </row>
    <row r="14237">
      <c r="A14237" s="1">
        <v>1.0</v>
      </c>
      <c r="B14237" s="1" t="s">
        <v>14088</v>
      </c>
      <c r="C14237" t="str">
        <f>IFERROR(__xludf.DUMMYFUNCTION("GOOGLETRANSLATE(B14237, ""zh"", ""en"")"),"Garbage Garbage belt belt, a belt with a week full head of black out no more")</f>
        <v>Garbage Garbage belt belt, a belt with a week full head of black out no more</v>
      </c>
    </row>
    <row r="14238">
      <c r="A14238" s="1">
        <v>1.0</v>
      </c>
      <c r="B14238" s="1" t="s">
        <v>14089</v>
      </c>
      <c r="C14238" t="str">
        <f>IFERROR(__xludf.DUMMYFUNCTION("GOOGLETRANSLATE(B14238, ""zh"", ""en"")"),"Unglued wear for three months, unglued!")</f>
        <v>Unglued wear for three months, unglued!</v>
      </c>
    </row>
    <row r="14239">
      <c r="A14239" s="1">
        <v>1.0</v>
      </c>
      <c r="B14239" s="1" t="s">
        <v>14090</v>
      </c>
      <c r="C14239" t="str">
        <f>IFERROR(__xludf.DUMMYFUNCTION("GOOGLETRANSLATE(B14239, ""zh"", ""en"")"),"For conscience, my objective evaluation of regret too late. First, the pen thin, short and small, second, thick nose can not, simply can not be used to write daily, third, there's no pen ink absorber, only disposable cartridge, fourth, with 616 different "&amp;"hero not, of course, the price can buy 30 616, the fifth, the pen does not have any shiny, very significant level, sixth, express slow no, seventh, not superstition foreign manufacturing, now made great. In short, this is the root of the pen, who bought w"&amp;"ho fooled.")</f>
        <v>For conscience, my objective evaluation of regret too late. First, the pen thin, short and small, second, thick nose can not, simply can not be used to write daily, third, there's no pen ink absorber, only disposable cartridge, fourth, with 616 different hero not, of course, the price can buy 30 616, the fifth, the pen does not have any shiny, very significant level, sixth, express slow no, seventh, not superstition foreign manufacturing, now made great. In short, this is the root of the pen, who bought who fooled.</v>
      </c>
    </row>
    <row r="14240">
      <c r="A14240" s="1">
        <v>4.0</v>
      </c>
      <c r="B14240" s="1" t="s">
        <v>14091</v>
      </c>
      <c r="C14240" t="str">
        <f>IFERROR(__xludf.DUMMYFUNCTION("GOOGLETRANSLATE(B14240, ""zh"", ""en"")"),"Clothes too large clothes and other materials themselves are very good, size is too large serious domestic champion the store I bought xl, and this big buy xl direct several laps, not 200 pounds do not try this size.")</f>
        <v>Clothes too large clothes and other materials themselves are very good, size is too large serious domestic champion the store I bought xl, and this big buy xl direct several laps, not 200 pounds do not try this size.</v>
      </c>
    </row>
    <row r="14241">
      <c r="A14241" s="1">
        <v>4.0</v>
      </c>
      <c r="B14241" s="1" t="s">
        <v>14092</v>
      </c>
      <c r="C14241" t="str">
        <f>IFERROR(__xludf.DUMMYFUNCTION("GOOGLETRANSLATE(B14241, ""zh"", ""en"")"),"Worth buying saw physical and photos contrast the Japanese model was found effective and thin, much smaller package than expected and more space is not particularly large, put a cell phone wallet keys on the same subject, put more to look good, work Hardw"&amp;"are Accessories are also good, hope that a larger package than this, postage bit lower and lower taxes, do not go to a treasure purchasing, Amazon or direct mail is cheap, there are also a cheaper, regret did not go to the East saw a")</f>
        <v>Worth buying saw physical and photos contrast the Japanese model was found effective and thin, much smaller package than expected and more space is not particularly large, put a cell phone wallet keys on the same subject, put more to look good, work Hardware Accessories are also good, hope that a larger package than this, postage bit lower and lower taxes, do not go to a treasure purchasing, Amazon or direct mail is cheap, there are also a cheaper, regret did not go to the East saw a</v>
      </c>
    </row>
    <row r="14242">
      <c r="A14242" s="1">
        <v>4.0</v>
      </c>
      <c r="B14242" s="1" t="s">
        <v>14093</v>
      </c>
      <c r="C14242" t="str">
        <f>IFERROR(__xludf.DUMMYFUNCTION("GOOGLETRANSLATE(B14242, ""zh"", ""en"")"),"Waist size can not match the color and style, but the waist is too big! Buy Waist 33, the thought about 87cm. The hand was found to be 94cm. This poor little far.")</f>
        <v>Waist size can not match the color and style, but the waist is too big! Buy Waist 33, the thought about 87cm. The hand was found to be 94cm. This poor little far.</v>
      </c>
    </row>
    <row r="14243">
      <c r="A14243" s="1">
        <v>4.0</v>
      </c>
      <c r="B14243" s="1" t="s">
        <v>14094</v>
      </c>
      <c r="C14243" t="str">
        <f>IFERROR(__xludf.DUMMYFUNCTION("GOOGLETRANSLATE(B14243, ""zh"", ""en"")"),"The brush can also be washed inside a straw, can also be")</f>
        <v>The brush can also be washed inside a straw, can also be</v>
      </c>
    </row>
    <row r="14244">
      <c r="A14244" s="1">
        <v>5.0</v>
      </c>
      <c r="B14244" s="1" t="s">
        <v>14095</v>
      </c>
      <c r="C14244" t="str">
        <f>IFERROR(__xludf.DUMMYFUNCTION("GOOGLETRANSLATE(B14244, ""zh"", ""en"")"),"Comfort right size good comfort")</f>
        <v>Comfort right size good comfort</v>
      </c>
    </row>
    <row r="14245">
      <c r="A14245" s="1">
        <v>5.0</v>
      </c>
      <c r="B14245" s="1" t="s">
        <v>14096</v>
      </c>
      <c r="C14245" t="str">
        <f>IFERROR(__xludf.DUMMYFUNCTION("GOOGLETRANSLATE(B14245, ""zh"", ""en"")"),"Easy to blow dry hair quickly, low prices")</f>
        <v>Easy to blow dry hair quickly, low prices</v>
      </c>
    </row>
    <row r="14246">
      <c r="A14246" s="1">
        <v>5.0</v>
      </c>
      <c r="B14246" s="1" t="s">
        <v>14097</v>
      </c>
      <c r="C14246" t="str">
        <f>IFERROR(__xludf.DUMMYFUNCTION("GOOGLETRANSLATE(B14246, ""zh"", ""en"")"),"Nothing useful to say, the past few years to drink it every day.")</f>
        <v>Nothing useful to say, the past few years to drink it every day.</v>
      </c>
    </row>
    <row r="14247">
      <c r="A14247" s="1">
        <v>5.0</v>
      </c>
      <c r="B14247" s="1" t="s">
        <v>14098</v>
      </c>
      <c r="C14247" t="str">
        <f>IFERROR(__xludf.DUMMYFUNCTION("GOOGLETRANSLATE(B14247, ""zh"", ""en"")"),"Good authentic very good start already with a bottle slowly adapt just like the drink will now")</f>
        <v>Good authentic very good start already with a bottle slowly adapt just like the drink will now</v>
      </c>
    </row>
    <row r="14248">
      <c r="A14248" s="1">
        <v>5.0</v>
      </c>
      <c r="B14248" s="1" t="s">
        <v>14099</v>
      </c>
      <c r="C14248" t="str">
        <f>IFERROR(__xludf.DUMMYFUNCTION("GOOGLETRANSLATE(B14248, ""zh"", ""en"")"),"One big size and style are good quality, size is large, this time to buy 10 yards of size, big on the 1st")</f>
        <v>One big size and style are good quality, size is large, this time to buy 10 yards of size, big on the 1st</v>
      </c>
    </row>
    <row r="14249">
      <c r="A14249" s="1">
        <v>5.0</v>
      </c>
      <c r="B14249" s="1" t="s">
        <v>14100</v>
      </c>
      <c r="C14249" t="str">
        <f>IFERROR(__xludf.DUMMYFUNCTION("GOOGLETRANSLATE(B14249, ""zh"", ""en"")"),"Ya Sesi sneakers Ya Sesi comfortable to wear sneakers at affordable prices")</f>
        <v>Ya Sesi sneakers Ya Sesi comfortable to wear sneakers at affordable prices</v>
      </c>
    </row>
    <row r="14250">
      <c r="A14250" s="1">
        <v>5.0</v>
      </c>
      <c r="B14250" s="1" t="s">
        <v>14101</v>
      </c>
      <c r="C14250" t="str">
        <f>IFERROR(__xludf.DUMMYFUNCTION("GOOGLETRANSLATE(B14250, ""zh"", ""en"")"),"good very good! Sucker very strong! recommend!")</f>
        <v>good very good! Sucker very strong! recommend!</v>
      </c>
    </row>
    <row r="14251">
      <c r="A14251" s="1">
        <v>5.0</v>
      </c>
      <c r="B14251" s="1" t="s">
        <v>14102</v>
      </c>
      <c r="C14251" t="str">
        <f>IFERROR(__xludf.DUMMYFUNCTION("GOOGLETRANSLATE(B14251, ""zh"", ""en"")"),"Easy to use good use, the key is just in time to run into a single activity, the price is very beautiful, hand on the night of the trial. Deep Clean function also will not hurt the gums and teeth, bleeding gums before brushing the situation did not appear"&amp;" happy crazy")</f>
        <v>Easy to use good use, the key is just in time to run into a single activity, the price is very beautiful, hand on the night of the trial. Deep Clean function also will not hurt the gums and teeth, bleeding gums before brushing the situation did not appear happy crazy</v>
      </c>
    </row>
    <row r="14252">
      <c r="A14252" s="1">
        <v>5.0</v>
      </c>
      <c r="B14252" s="1" t="s">
        <v>14103</v>
      </c>
      <c r="C14252" t="str">
        <f>IFERROR(__xludf.DUMMYFUNCTION("GOOGLETRANSLATE(B14252, ""zh"", ""en"")"),"Perfect quality, good price")</f>
        <v>Perfect quality, good price</v>
      </c>
    </row>
    <row r="14253">
      <c r="A14253" s="1">
        <v>5.0</v>
      </c>
      <c r="B14253" s="1" t="s">
        <v>14104</v>
      </c>
      <c r="C14253" t="str">
        <f>IFERROR(__xludf.DUMMYFUNCTION("GOOGLETRANSLATE(B14253, ""zh"", ""en"")"),"It is strongly recommended to buy good widen! Unless you are doing lean into people! Shoes very good, very handsome!")</f>
        <v>It is strongly recommended to buy good widen! Unless you are doing lean into people! Shoes very good, very handsome!</v>
      </c>
    </row>
    <row r="14254">
      <c r="A14254" s="1">
        <v>5.0</v>
      </c>
      <c r="B14254" s="1" t="s">
        <v>14105</v>
      </c>
      <c r="C14254" t="str">
        <f>IFERROR(__xludf.DUMMYFUNCTION("GOOGLETRANSLATE(B14254, ""zh"", ""en"")"),"Fit the style a little old, but good quality, fit")</f>
        <v>Fit the style a little old, but good quality, fit</v>
      </c>
    </row>
    <row r="14255">
      <c r="A14255" s="1">
        <v>5.0</v>
      </c>
      <c r="B14255" s="1" t="s">
        <v>14106</v>
      </c>
      <c r="C14255" t="str">
        <f>IFERROR(__xludf.DUMMYFUNCTION("GOOGLETRANSLATE(B14255, ""zh"", ""en"")"),"Fast good right size good functionality at an affordable price good quality delivery speed in general.")</f>
        <v>Fast good right size good functionality at an affordable price good quality delivery speed in general.</v>
      </c>
    </row>
    <row r="14256">
      <c r="A14256" s="1">
        <v>5.0</v>
      </c>
      <c r="B14256" s="1" t="s">
        <v>14107</v>
      </c>
      <c r="C14256" t="str">
        <f>IFERROR(__xludf.DUMMYFUNCTION("GOOGLETRANSLATE(B14256, ""zh"", ""en"")"),"Very good cheapest Casio watches Casio Solar radio watch six innings, style atmosphere")</f>
        <v>Very good cheapest Casio watches Casio Solar radio watch six innings, style atmosphere</v>
      </c>
    </row>
    <row r="14257">
      <c r="A14257" s="1">
        <v>5.0</v>
      </c>
      <c r="B14257" s="1" t="s">
        <v>14108</v>
      </c>
      <c r="C14257" t="str">
        <f>IFERROR(__xludf.DUMMYFUNCTION("GOOGLETRANSLATE(B14257, ""zh"", ""en"")"),"Well, this brand is very good feel very good, very wearing surface.")</f>
        <v>Well, this brand is very good feel very good, very wearing surface.</v>
      </c>
    </row>
    <row r="14258">
      <c r="A14258" s="1">
        <v>5.0</v>
      </c>
      <c r="B14258" s="1" t="s">
        <v>14109</v>
      </c>
      <c r="C14258" t="str">
        <f>IFERROR(__xludf.DUMMYFUNCTION("GOOGLETRANSLATE(B14258, ""zh"", ""en"")"),"Is a good authentic taste, the children can accept. Before buying are directed to drink, save the day one now. We are hoping to effectively enhance immunity.")</f>
        <v>Is a good authentic taste, the children can accept. Before buying are directed to drink, save the day one now. We are hoping to effectively enhance immunity.</v>
      </c>
    </row>
    <row r="14259">
      <c r="A14259" s="1">
        <v>5.0</v>
      </c>
      <c r="B14259" s="1" t="s">
        <v>14110</v>
      </c>
      <c r="C14259" t="str">
        <f>IFERROR(__xludf.DUMMYFUNCTION("GOOGLETRANSLATE(B14259, ""zh"", ""en"")"),"Steel shoe soles look very good and very soft I was 225 feet long normal size to buy 36 of this buy 37 more pointed toe on a little extra length not bought 36 so I can not judge whether or not to buy a 36 foot rendezvous")</f>
        <v>Steel shoe soles look very good and very soft I was 225 feet long normal size to buy 36 of this buy 37 more pointed toe on a little extra length not bought 36 so I can not judge whether or not to buy a 36 foot rendezvous</v>
      </c>
    </row>
    <row r="14260">
      <c r="A14260" s="1">
        <v>5.0</v>
      </c>
      <c r="B14260" s="1" t="s">
        <v>14111</v>
      </c>
      <c r="C14260" t="str">
        <f>IFERROR(__xludf.DUMMYFUNCTION("GOOGLETRANSLATE(B14260, ""zh"", ""en"")"),"Really super bargain deal, or two loaded")</f>
        <v>Really super bargain deal, or two loaded</v>
      </c>
    </row>
    <row r="14261">
      <c r="A14261" s="1">
        <v>5.0</v>
      </c>
      <c r="B14261" s="1" t="s">
        <v>14112</v>
      </c>
      <c r="C14261" t="str">
        <f>IFERROR(__xludf.DUMMYFUNCTION("GOOGLETRANSLATE(B14261, ""zh"", ""en"")"),"Surprisingly, the effect would have been written earlier to buy ah, but still feel very expensive then, a few days before the results of the price to 90, with discount coupons Z, the last hand 75. Writing net assessment mixed results, this is the nature o"&amp;"f the decision of the pen, the same pen, different people to write, not the same feeling, everyone's requirements are different pen, not to mention now we get is not the same pen, just the same model only. My hands only very suitable for my taste, enough "&amp;"to slip nib, pen full weight slightly lighter, pen thickness agreeable to me, unexpectedly happy, feeling better than before Parker hundreds of pieces. Want to buy a dress in red ink to write, but the price to 140.")</f>
        <v>Surprisingly, the effect would have been written earlier to buy ah, but still feel very expensive then, a few days before the results of the price to 90, with discount coupons Z, the last hand 75. Writing net assessment mixed results, this is the nature of the decision of the pen, the same pen, different people to write, not the same feeling, everyone's requirements are different pen, not to mention now we get is not the same pen, just the same model only. My hands only very suitable for my taste, enough to slip nib, pen full weight slightly lighter, pen thickness agreeable to me, unexpectedly happy, feeling better than before Parker hundreds of pieces. Want to buy a dress in red ink to write, but the price to 140.</v>
      </c>
    </row>
    <row r="14262">
      <c r="A14262" s="1">
        <v>5.0</v>
      </c>
      <c r="B14262" s="1" t="s">
        <v>14113</v>
      </c>
      <c r="C14262" t="str">
        <f>IFERROR(__xludf.DUMMYFUNCTION("GOOGLETRANSLATE(B14262, ""zh"", ""en"")"),"Good value for money shopping experience, height 175 just wear L!")</f>
        <v>Good value for money shopping experience, height 175 just wear L!</v>
      </c>
    </row>
    <row r="14263">
      <c r="A14263" s="1">
        <v>5.0</v>
      </c>
      <c r="B14263" s="1" t="s">
        <v>14114</v>
      </c>
      <c r="C14263" t="str">
        <f>IFERROR(__xludf.DUMMYFUNCTION("GOOGLETRANSLATE(B14263, ""zh"", ""en"")"),"Yes very good, shaving strong, the sound is great. Laozhang Ren likes")</f>
        <v>Yes very good, shaving strong, the sound is great. Laozhang Ren likes</v>
      </c>
    </row>
    <row r="14264">
      <c r="A14264" s="1">
        <v>5.0</v>
      </c>
      <c r="B14264" s="1" t="s">
        <v>14115</v>
      </c>
      <c r="C14264" t="str">
        <f>IFERROR(__xludf.DUMMYFUNCTION("GOOGLETRANSLATE(B14264, ""zh"", ""en"")"),"Because the sad duty, missed a day of pick up, the results did not find, estimated to be taken away by others, good grief.")</f>
        <v>Because the sad duty, missed a day of pick up, the results did not find, estimated to be taken away by others, good grief.</v>
      </c>
    </row>
    <row r="14265">
      <c r="A14265" s="1">
        <v>5.0</v>
      </c>
      <c r="B14265" s="1" t="s">
        <v>14116</v>
      </c>
      <c r="C14265" t="str">
        <f>IFERROR(__xludf.DUMMYFUNCTION("GOOGLETRANSLATE(B14265, ""zh"", ""en"")"),"Very good good")</f>
        <v>Very good good</v>
      </c>
    </row>
    <row r="14266">
      <c r="A14266" s="1">
        <v>2.0</v>
      </c>
      <c r="B14266" s="1" t="s">
        <v>14117</v>
      </c>
      <c r="C14266" t="str">
        <f>IFERROR(__xludf.DUMMYFUNCTION("GOOGLETRANSLATE(B14266, ""zh"", ""en"")"),"Back back, fabric feel uncomfortable. My version is 150 pounds to wear S is appropriate.")</f>
        <v>Back back, fabric feel uncomfortable. My version is 150 pounds to wear S is appropriate.</v>
      </c>
    </row>
    <row r="14267">
      <c r="A14267" s="1">
        <v>3.0</v>
      </c>
      <c r="B14267" s="1" t="s">
        <v>14118</v>
      </c>
      <c r="C14267" t="str">
        <f>IFERROR(__xludf.DUMMYFUNCTION("GOOGLETRANSLATE(B14267, ""zh"", ""en"")"),"The sleeves a little long right size, that is a bit long sleeves, Pakistan produced, the quality is very general")</f>
        <v>The sleeves a little long right size, that is a bit long sleeves, Pakistan produced, the quality is very general</v>
      </c>
    </row>
    <row r="14268">
      <c r="A14268" s="1">
        <v>3.0</v>
      </c>
      <c r="B14268" s="1" t="s">
        <v>14119</v>
      </c>
      <c r="C14268" t="str">
        <f>IFERROR(__xludf.DUMMYFUNCTION("GOOGLETRANSLATE(B14268, ""zh"", ""en"")"),"Poland produced workmanship is very bad quality is very poor, almost thought it was fake refunds, later saw the same shoes as Poland's silent work at the counter, reluctantly accepted, can be regarded as so many years wearing ECCO work inside one of the w"&amp;"orst paragraph")</f>
        <v>Poland produced workmanship is very bad quality is very poor, almost thought it was fake refunds, later saw the same shoes as Poland's silent work at the counter, reluctantly accepted, can be regarded as so many years wearing ECCO work inside one of the worst paragraph</v>
      </c>
    </row>
    <row r="14269">
      <c r="A14269" s="1">
        <v>3.0</v>
      </c>
      <c r="B14269" s="1" t="s">
        <v>14120</v>
      </c>
      <c r="C14269" t="str">
        <f>IFERROR(__xludf.DUMMYFUNCTION("GOOGLETRANSLATE(B14269, ""zh"", ""en"")"),"Packaging unreasonable unhappy, packing too shabby, placed inside such a large box, a few air pockets, no crash protection, have imagined the outcome off the lead &amp; lt; 😡 &amp; gt; &amp; lt; 😡 &amp; gt; &amp; lt; 😡 &amp; gt ;")</f>
        <v>Packaging unreasonable unhappy, packing too shabby, placed inside such a large box, a few air pockets, no crash protection, have imagined the outcome off the lead &amp; lt; 😡 &amp; gt; &amp; lt; 😡 &amp; gt; &amp; lt; 😡 &amp; gt ;</v>
      </c>
    </row>
    <row r="14270">
      <c r="A14270" s="1">
        <v>1.0</v>
      </c>
      <c r="B14270" s="1" t="s">
        <v>14121</v>
      </c>
      <c r="C14270" t="str">
        <f>IFERROR(__xludf.DUMMYFUNCTION("GOOGLETRANSLATE(B14270, ""zh"", ""en"")"),"Invincible super bad! Size of irrelevant! It is certainly, definitely not authentic, it is the fake stuff! Full throw hundreds of pieces, no way to completely wear invincible super bad! Size of irrelevant! It is certainly, definitely not authentic, it is "&amp;"the fake stuff! Full throw hundreds of pieces, no way to completely wear")</f>
        <v>Invincible super bad! Size of irrelevant! It is certainly, definitely not authentic, it is the fake stuff! Full throw hundreds of pieces, no way to completely wear invincible super bad! Size of irrelevant! It is certainly, definitely not authentic, it is the fake stuff! Full throw hundreds of pieces, no way to completely wear</v>
      </c>
    </row>
    <row r="14271">
      <c r="A14271" s="1">
        <v>1.0</v>
      </c>
      <c r="B14271" s="1" t="s">
        <v>14122</v>
      </c>
      <c r="C14271" t="str">
        <f>IFERROR(__xludf.DUMMYFUNCTION("GOOGLETRANSLATE(B14271, ""zh"", ""en"")"),"Amazon selling fake shoes shoes tongue forever twisted to one side, the big thumb toe socks never rub the black! Fakes! Workshops of small factories to produce shoes. Very, very low levels of fraud!")</f>
        <v>Amazon selling fake shoes shoes tongue forever twisted to one side, the big thumb toe socks never rub the black! Fakes! Workshops of small factories to produce shoes. Very, very low levels of fraud!</v>
      </c>
    </row>
    <row r="14272">
      <c r="A14272" s="1">
        <v>4.0</v>
      </c>
      <c r="B14272" s="1" t="s">
        <v>14123</v>
      </c>
      <c r="C14272" t="str">
        <f>IFERROR(__xludf.DUMMYFUNCTION("GOOGLETRANSLATE(B14272, ""zh"", ""en"")"),"2-3 it suitable large Reeves pants 31, the waistband 32 uses the second eye, do not know how 34. Without belt loops, length 98cm")</f>
        <v>2-3 it suitable large Reeves pants 31, the waistband 32 uses the second eye, do not know how 34. Without belt loops, length 98cm</v>
      </c>
    </row>
    <row r="14273">
      <c r="A14273" s="1">
        <v>4.0</v>
      </c>
      <c r="B14273" s="1" t="s">
        <v>14124</v>
      </c>
      <c r="C14273" t="str">
        <f>IFERROR(__xludf.DUMMYFUNCTION("GOOGLETRANSLATE(B14273, ""zh"", ""en"")"),"Good buy is s No. Height 173 Weight 65 dress length is just slightly longer sleeves and some very comfortable fabric a little thick for spring and winter wear")</f>
        <v>Good buy is s No. Height 173 Weight 65 dress length is just slightly longer sleeves and some very comfortable fabric a little thick for spring and winter wear</v>
      </c>
    </row>
    <row r="14274">
      <c r="A14274" s="1">
        <v>4.0</v>
      </c>
      <c r="B14274" s="1" t="s">
        <v>14125</v>
      </c>
      <c r="C14274" t="str">
        <f>IFERROR(__xludf.DUMMYFUNCTION("GOOGLETRANSLATE(B14274, ""zh"", ""en"")"),"Good shoes, the foot is very comfortable Cambodia production, leather somewhat small flaws, even before you buy a pair of leather scratches, shoebox are damaged, packaging plastic bags are not, and particularly fast delivery, I suspect that the others ret"&amp;"urn, this pair is a chargeback, buy again. Get the goods looked nothing big problem, but the leather is still injured, but fortunately not too obvious, I put up, or else they have to wait two weeks. Shoes are very comfortable, not particularly sweltering,"&amp;" the sole is relatively soft, in short, not bad, but next time to buy a double brown classic wear.")</f>
        <v>Good shoes, the foot is very comfortable Cambodia production, leather somewhat small flaws, even before you buy a pair of leather scratches, shoebox are damaged, packaging plastic bags are not, and particularly fast delivery, I suspect that the others return, this pair is a chargeback, buy again. Get the goods looked nothing big problem, but the leather is still injured, but fortunately not too obvious, I put up, or else they have to wait two weeks. Shoes are very comfortable, not particularly sweltering, the sole is relatively soft, in short, not bad, but next time to buy a double brown classic wear.</v>
      </c>
    </row>
    <row r="14275">
      <c r="A14275" s="1">
        <v>4.0</v>
      </c>
      <c r="B14275" s="1" t="s">
        <v>14126</v>
      </c>
      <c r="C14275" t="str">
        <f>IFERROR(__xludf.DUMMYFUNCTION("GOOGLETRANSLATE(B14275, ""zh"", ""en"")"),"German quality, but also good like the minimalist design of the dial, but the dial again if the glass like a little anti-collision, accidentally touches the wall, took")</f>
        <v>German quality, but also good like the minimalist design of the dial, but the dial again if the glass like a little anti-collision, accidentally touches the wall, took</v>
      </c>
    </row>
    <row r="14276">
      <c r="A14276" s="1">
        <v>4.0</v>
      </c>
      <c r="B14276" s="1" t="s">
        <v>14127</v>
      </c>
      <c r="C14276" t="str">
        <f>IFERROR(__xludf.DUMMYFUNCTION("GOOGLETRANSLATE(B14276, ""zh"", ""en"")"),"Good quality and the right size, that is a bit long")</f>
        <v>Good quality and the right size, that is a bit long</v>
      </c>
    </row>
    <row r="14277">
      <c r="A14277" s="1">
        <v>5.0</v>
      </c>
      <c r="B14277" s="1" t="s">
        <v>14128</v>
      </c>
      <c r="C14277" t="str">
        <f>IFERROR(__xludf.DUMMYFUNCTION("GOOGLETRANSLATE(B14277, ""zh"", ""en"")"),"Good quality choice for Amazon Japan, because the packaging very wise, do not worry about not bump. I bought two, the late delivery, but still much earlier than expected time of receipt. In terms of quality, really great, stew beaker insulation effect has"&amp;" reached more than twelve hours. Cool colors! In short, very satisfied!")</f>
        <v>Good quality choice for Amazon Japan, because the packaging very wise, do not worry about not bump. I bought two, the late delivery, but still much earlier than expected time of receipt. In terms of quality, really great, stew beaker insulation effect has reached more than twelve hours. Cool colors! In short, very satisfied!</v>
      </c>
    </row>
    <row r="14278">
      <c r="A14278" s="1">
        <v>5.0</v>
      </c>
      <c r="B14278" s="1" t="s">
        <v>14129</v>
      </c>
      <c r="C14278" t="str">
        <f>IFERROR(__xludf.DUMMYFUNCTION("GOOGLETRANSLATE(B14278, ""zh"", ""en"")"),"Good looking shoes NB sneakers usually wear 41.5, the buy 8M, slightly loose, but not drag. Very heavy shoes, northern house wearing some hot, who told it looks cool it, put up the basic week later will adapt. In addition the surface layer of the shoe col"&amp;"or, easy to be scraped, perhaps layer of protective coloration? Soft leather shoes, pretty comfortable.")</f>
        <v>Good looking shoes NB sneakers usually wear 41.5, the buy 8M, slightly loose, but not drag. Very heavy shoes, northern house wearing some hot, who told it looks cool it, put up the basic week later will adapt. In addition the surface layer of the shoe color, easy to be scraped, perhaps layer of protective coloration? Soft leather shoes, pretty comfortable.</v>
      </c>
    </row>
    <row r="14279">
      <c r="A14279" s="1">
        <v>5.0</v>
      </c>
      <c r="B14279" s="1" t="s">
        <v>14130</v>
      </c>
      <c r="C14279" t="str">
        <f>IFERROR(__xludf.DUMMYFUNCTION("GOOGLETRANSLATE(B14279, ""zh"", ""en"")"),"Very good shoes, in considering whether or not to buy another color very comfortable, beautiful prices. Love the")</f>
        <v>Very good shoes, in considering whether or not to buy another color very comfortable, beautiful prices. Love the</v>
      </c>
    </row>
    <row r="14280">
      <c r="A14280" s="1">
        <v>5.0</v>
      </c>
      <c r="B14280" s="1" t="s">
        <v>14131</v>
      </c>
      <c r="C14280" t="str">
        <f>IFERROR(__xludf.DUMMYFUNCTION("GOOGLETRANSLATE(B14280, ""zh"", ""en"")"),"Long long pants really long.")</f>
        <v>Long long pants really long.</v>
      </c>
    </row>
    <row r="14281">
      <c r="A14281" s="1">
        <v>5.0</v>
      </c>
      <c r="B14281" s="1" t="s">
        <v>11018</v>
      </c>
      <c r="C14281" t="str">
        <f>IFERROR(__xludf.DUMMYFUNCTION("GOOGLETRANSLATE(B14281, ""zh"", ""en"")"),"GUNZE no rims bra gentle story-back comfort Seamless TB1048H VR beige B85 ... is genuine, wearing the right, I like it.")</f>
        <v>GUNZE no rims bra gentle story-back comfort Seamless TB1048H VR beige B85 ... is genuine, wearing the right, I like it.</v>
      </c>
    </row>
    <row r="14282">
      <c r="A14282" s="1">
        <v>5.0</v>
      </c>
      <c r="B14282" s="1" t="s">
        <v>14132</v>
      </c>
      <c r="C14282" t="str">
        <f>IFERROR(__xludf.DUMMYFUNCTION("GOOGLETRANSLATE(B14282, ""zh"", ""en"")"),"Good really good, fair prices, is recommended")</f>
        <v>Good really good, fair prices, is recommended</v>
      </c>
    </row>
    <row r="14283">
      <c r="A14283" s="1">
        <v>5.0</v>
      </c>
      <c r="B14283" s="1" t="s">
        <v>14133</v>
      </c>
      <c r="C14283" t="str">
        <f>IFERROR(__xludf.DUMMYFUNCTION("GOOGLETRANSLATE(B14283, ""zh"", ""en"")"),"31 good 173cm65kg usually slightly larger, this 30 waist hips perfect fit is not too tight very good. Fabrics can, work is also said unlike some poor reviews")</f>
        <v>31 good 173cm65kg usually slightly larger, this 30 waist hips perfect fit is not too tight very good. Fabrics can, work is also said unlike some poor reviews</v>
      </c>
    </row>
    <row r="14284">
      <c r="A14284" s="1">
        <v>5.0</v>
      </c>
      <c r="B14284" s="1" t="s">
        <v>14134</v>
      </c>
      <c r="C14284" t="str">
        <f>IFERROR(__xludf.DUMMYFUNCTION("GOOGLETRANSLATE(B14284, ""zh"", ""en"")"),"Good soft head spoon child with a practical recommendation")</f>
        <v>Good soft head spoon child with a practical recommendation</v>
      </c>
    </row>
    <row r="14285">
      <c r="A14285" s="1">
        <v>5.0</v>
      </c>
      <c r="B14285" s="1" t="s">
        <v>14135</v>
      </c>
      <c r="C14285" t="str">
        <f>IFERROR(__xludf.DUMMYFUNCTION("GOOGLETRANSLATE(B14285, ""zh"", ""en"")"),"By far the most satisfied with the mug has a color value, enough insulation. Despite being cold cup, or directed at brand to buy, use as insulation, the effect of leverage.")</f>
        <v>By far the most satisfied with the mug has a color value, enough insulation. Despite being cold cup, or directed at brand to buy, use as insulation, the effect of leverage.</v>
      </c>
    </row>
    <row r="14286">
      <c r="A14286" s="1">
        <v>5.0</v>
      </c>
      <c r="B14286" s="1" t="s">
        <v>14136</v>
      </c>
      <c r="C14286" t="str">
        <f>IFERROR(__xludf.DUMMYFUNCTION("GOOGLETRANSLATE(B14286, ""zh"", ""en"")"),"Slightly larger, slightly larger version of the loose, loose version")</f>
        <v>Slightly larger, slightly larger version of the loose, loose version</v>
      </c>
    </row>
    <row r="14287">
      <c r="A14287" s="1">
        <v>5.0</v>
      </c>
      <c r="B14287" s="1" t="s">
        <v>14137</v>
      </c>
      <c r="C14287" t="str">
        <f>IFERROR(__xludf.DUMMYFUNCTION("GOOGLETRANSLATE(B14287, ""zh"", ""en"")"),"Wumart cheap, it is worth buying a bold 2.7-foot waist, bought 36 just use the first buttonhole, the actual buy 34 also OK. Belt 35mm quality than the last to buy a lot of good, 160 yuan hand better than the four domestic five hundred.")</f>
        <v>Wumart cheap, it is worth buying a bold 2.7-foot waist, bought 36 just use the first buttonhole, the actual buy 34 also OK. Belt 35mm quality than the last to buy a lot of good, 160 yuan hand better than the four domestic five hundred.</v>
      </c>
    </row>
    <row r="14288">
      <c r="A14288" s="1">
        <v>5.0</v>
      </c>
      <c r="B14288" s="1" t="s">
        <v>14138</v>
      </c>
      <c r="C14288" t="str">
        <f>IFERROR(__xludf.DUMMYFUNCTION("GOOGLETRANSLATE(B14288, ""zh"", ""en"")"),"Nice shoes nice shoes, than the domestic counter to buy a lot cheaper.")</f>
        <v>Nice shoes nice shoes, than the domestic counter to buy a lot cheaper.</v>
      </c>
    </row>
    <row r="14289">
      <c r="A14289" s="1">
        <v>5.0</v>
      </c>
      <c r="B14289" s="1" t="s">
        <v>14139</v>
      </c>
      <c r="C14289" t="str">
        <f>IFERROR(__xludf.DUMMYFUNCTION("GOOGLETRANSLATE(B14289, ""zh"", ""en"")"),"Armpit too large too large, like a bat ,,,,,")</f>
        <v>Armpit too large too large, like a bat ,,,,,</v>
      </c>
    </row>
    <row r="14290">
      <c r="A14290" s="1">
        <v>5.0</v>
      </c>
      <c r="B14290" s="1" t="s">
        <v>14140</v>
      </c>
      <c r="C14290" t="str">
        <f>IFERROR(__xludf.DUMMYFUNCTION("GOOGLETRANSLATE(B14290, ""zh"", ""en"")"),"Less than 300RMB clothes, value. The first time you use Amazon to buy overseas, across the oceans actually as long as seven days of arrival, express fast yo. Less than 300RMB to buy this velvet dress, very good. Flagship store here is not 600RMB buy. Last"&amp;" clothes is actually made in China, bought a domestic revolution 😓 wash a little fade, the zipper is right, not very used to pull the rest are okay!")</f>
        <v>Less than 300RMB clothes, value. The first time you use Amazon to buy overseas, across the oceans actually as long as seven days of arrival, express fast yo. Less than 300RMB to buy this velvet dress, very good. Flagship store here is not 600RMB buy. Last clothes is actually made in China, bought a domestic revolution 😓 wash a little fade, the zipper is right, not very used to pull the rest are okay!</v>
      </c>
    </row>
    <row r="14291">
      <c r="A14291" s="1">
        <v>5.0</v>
      </c>
      <c r="B14291" s="1" t="s">
        <v>14141</v>
      </c>
      <c r="C14291" t="str">
        <f>IFERROR(__xludf.DUMMYFUNCTION("GOOGLETRANSLATE(B14291, ""zh"", ""en"")"),"Really nice feature is too strong, while the side steam jet cleaning. Let engage in health aunt amazing, ground reflection, ground kitchen grease all without it anyway.")</f>
        <v>Really nice feature is too strong, while the side steam jet cleaning. Let engage in health aunt amazing, ground reflection, ground kitchen grease all without it anyway.</v>
      </c>
    </row>
    <row r="14292">
      <c r="A14292" s="1">
        <v>5.0</v>
      </c>
      <c r="B14292" s="1" t="s">
        <v>14142</v>
      </c>
      <c r="C14292" t="str">
        <f>IFERROR(__xludf.DUMMYFUNCTION("GOOGLETRANSLATE(B14292, ""zh"", ""en"")"),"Filter powerful powerful package streaking over from the UK actually intact admire")</f>
        <v>Filter powerful powerful package streaking over from the UK actually intact admire</v>
      </c>
    </row>
    <row r="14293">
      <c r="A14293" s="1">
        <v>5.0</v>
      </c>
      <c r="B14293" s="1" t="s">
        <v>14143</v>
      </c>
      <c r="C14293" t="str">
        <f>IFERROR(__xludf.DUMMYFUNCTION("GOOGLETRANSLATE(B14293, ""zh"", ""en"")"),"Tiger Dream gravity mug things early, and faster than expected! Yes!")</f>
        <v>Tiger Dream gravity mug things early, and faster than expected! Yes!</v>
      </c>
    </row>
    <row r="14294">
      <c r="A14294" s="1">
        <v>5.0</v>
      </c>
      <c r="B14294" s="1" t="s">
        <v>14144</v>
      </c>
      <c r="C14294" t="str">
        <f>IFERROR(__xludf.DUMMYFUNCTION("GOOGLETRANSLATE(B14294, ""zh"", ""en"")"),"Very good shoes very comfortable, a friend bought, he had special shoes in Fujian, he said shoes than they do much better, no doubt genuine")</f>
        <v>Very good shoes very comfortable, a friend bought, he had special shoes in Fujian, he said shoes than they do much better, no doubt genuine</v>
      </c>
    </row>
    <row r="14295">
      <c r="A14295" s="1">
        <v>5.0</v>
      </c>
      <c r="B14295" s="1" t="s">
        <v>14145</v>
      </c>
      <c r="C14295" t="str">
        <f>IFERROR(__xludf.DUMMYFUNCTION("GOOGLETRANSLATE(B14295, ""zh"", ""en"")"),"Good kettle nice a travel kettle before looked out the hotel health emergencies should bring their own water bottle, before his wife bought a plastic folding but I always feel a Baidu hot water or metal is more reliable, 110 and 220 a voltage can be switc"&amp;"hed to foreign countries can also be used.")</f>
        <v>Good kettle nice a travel kettle before looked out the hotel health emergencies should bring their own water bottle, before his wife bought a plastic folding but I always feel a Baidu hot water or metal is more reliable, 110 and 220 a voltage can be switched to foreign countries can also be used.</v>
      </c>
    </row>
    <row r="14296">
      <c r="A14296" s="1">
        <v>5.0</v>
      </c>
      <c r="B14296" s="1" t="s">
        <v>14146</v>
      </c>
      <c r="C14296" t="str">
        <f>IFERROR(__xludf.DUMMYFUNCTION("GOOGLETRANSLATE(B14296, ""zh"", ""en"")"),"Fortunately Fortunately, not sweet is not sweet, taste good, two a day")</f>
        <v>Fortunately Fortunately, not sweet is not sweet, taste good, two a day</v>
      </c>
    </row>
    <row r="14297">
      <c r="A14297" s="1">
        <v>5.0</v>
      </c>
      <c r="B14297" s="1" t="s">
        <v>14147</v>
      </c>
      <c r="C14297" t="str">
        <f>IFERROR(__xludf.DUMMYFUNCTION("GOOGLETRANSLATE(B14297, ""zh"", ""en"")"),"Shoes code number is too large, hardcover or soft leather shoes big two yards. . . . It should be soft leather")</f>
        <v>Shoes code number is too large, hardcover or soft leather shoes big two yards. . . . It should be soft leather</v>
      </c>
    </row>
    <row r="14298">
      <c r="A14298" s="1">
        <v>5.0</v>
      </c>
      <c r="B14298" s="1" t="s">
        <v>14148</v>
      </c>
      <c r="C14298" t="str">
        <f>IFERROR(__xludf.DUMMYFUNCTION("GOOGLETRANSLATE(B14298, ""zh"", ""en"")"),"Good bowl spoon very cute, very thick, a lot of mothers are recommended this")</f>
        <v>Good bowl spoon very cute, very thick, a lot of mothers are recommended this</v>
      </c>
    </row>
    <row r="14299">
      <c r="A14299" s="1">
        <v>2.0</v>
      </c>
      <c r="B14299" s="1" t="s">
        <v>14149</v>
      </c>
      <c r="C14299" t="str">
        <f>IFERROR(__xludf.DUMMYFUNCTION("GOOGLETRANSLATE(B14299, ""zh"", ""en"")"),"Faster, but the workmanship is very general. Get our hands on the first feeling is that the work is very general, with the country cottage you win one, but do not want to return, and trouble. 120G write files to the U disk, takes about 25 minutes, the spe"&amp;"ed is very fast, very good. Used for some time, only to find the problem came, more slowly, when entered, copy files (tens of megabytes a), the speed is very unstable, there is the highest 60M, will be reduced to zero the lowest, often in a few Katherine "&amp;"hovering around. A 128G U disk, this speed is really too much garbage. If the rate continues to fall, I'll worry about data put there will be any security problems, maybe I should consider throw it, never to touch any of the product brand.")</f>
        <v>Faster, but the workmanship is very general. Get our hands on the first feeling is that the work is very general, with the country cottage you win one, but do not want to return, and trouble. 120G write files to the U disk, takes about 25 minutes, the speed is very fast, very good. Used for some time, only to find the problem came, more slowly, when entered, copy files (tens of megabytes a), the speed is very unstable, there is the highest 60M, will be reduced to zero the lowest, often in a few Katherine hovering around. A 128G U disk, this speed is really too much garbage. If the rate continues to fall, I'll worry about data put there will be any security problems, maybe I should consider throw it, never to touch any of the product brand.</v>
      </c>
    </row>
    <row r="14300">
      <c r="A14300" s="1">
        <v>3.0</v>
      </c>
      <c r="B14300" s="1" t="s">
        <v>14150</v>
      </c>
      <c r="C14300" t="str">
        <f>IFERROR(__xludf.DUMMYFUNCTION("GOOGLETRANSLATE(B14300, ""zh"", ""en"")"),"Snap at significant wear scar, much like the one used significant wear scar snap at people like to be used")</f>
        <v>Snap at significant wear scar, much like the one used significant wear scar snap at people like to be used</v>
      </c>
    </row>
    <row r="14301">
      <c r="A14301" s="1">
        <v>1.0</v>
      </c>
      <c r="B14301" s="1" t="s">
        <v>14151</v>
      </c>
      <c r="C14301" t="str">
        <f>IFERROR(__xludf.DUMMYFUNCTION("GOOGLETRANSLATE(B14301, ""zh"", ""en"")"),"Leather products are not the product is short, not leather, the smell.")</f>
        <v>Leather products are not the product is short, not leather, the smell.</v>
      </c>
    </row>
    <row r="14302">
      <c r="A14302" s="1">
        <v>1.0</v>
      </c>
      <c r="B14302" s="1" t="s">
        <v>14152</v>
      </c>
      <c r="C14302" t="str">
        <f>IFERROR(__xludf.DUMMYFUNCTION("GOOGLETRANSLATE(B14302, ""zh"", ""en"")"),"Fake fake! A brush-dimensional code, it is hundreds of dollars of goods!")</f>
        <v>Fake fake! A brush-dimensional code, it is hundreds of dollars of goods!</v>
      </c>
    </row>
    <row r="14303">
      <c r="A14303" s="1">
        <v>1.0</v>
      </c>
      <c r="B14303" s="1" t="s">
        <v>14153</v>
      </c>
      <c r="C14303" t="str">
        <f>IFERROR(__xludf.DUMMYFUNCTION("GOOGLETRANSLATE(B14303, ""zh"", ""en"")"),"Poor quality to wear rubber edge two weeks has turned up this quality is bad, right")</f>
        <v>Poor quality to wear rubber edge two weeks has turned up this quality is bad, right</v>
      </c>
    </row>
    <row r="14304">
      <c r="A14304" s="1">
        <v>4.0</v>
      </c>
      <c r="B14304" s="1" t="s">
        <v>14154</v>
      </c>
      <c r="C14304" t="str">
        <f>IFERROR(__xludf.DUMMYFUNCTION("GOOGLETRANSLATE(B14304, ""zh"", ""en"")"),"Can also be a little tight cuff, and other places, the quality is very general, not recommended to buy, especially for electricity suppliers")</f>
        <v>Can also be a little tight cuff, and other places, the quality is very general, not recommended to buy, especially for electricity suppliers</v>
      </c>
    </row>
    <row r="14305">
      <c r="A14305" s="1">
        <v>4.0</v>
      </c>
      <c r="B14305" s="1" t="s">
        <v>14155</v>
      </c>
      <c r="C14305" t="str">
        <f>IFERROR(__xludf.DUMMYFUNCTION("GOOGLETRANSLATE(B14305, ""zh"", ""en"")"),"Very noisy, and the rest are satisfied. Travel time is very accurate, the disadvantage is that the sound is too great, he had to sleep in a drawer to fall asleep. Substantially affected within three meters. The other is good.")</f>
        <v>Very noisy, and the rest are satisfied. Travel time is very accurate, the disadvantage is that the sound is too great, he had to sleep in a drawer to fall asleep. Substantially affected within three meters. The other is good.</v>
      </c>
    </row>
    <row r="14306">
      <c r="A14306" s="1">
        <v>4.0</v>
      </c>
      <c r="B14306" s="1" t="s">
        <v>14156</v>
      </c>
      <c r="C14306" t="str">
        <f>IFERROR(__xludf.DUMMYFUNCTION("GOOGLETRANSLATE(B14306, ""zh"", ""en"")"),"Very good size fit, very good upper body")</f>
        <v>Very good size fit, very good upper body</v>
      </c>
    </row>
    <row r="14307">
      <c r="A14307" s="1">
        <v>4.0</v>
      </c>
      <c r="B14307" s="1" t="s">
        <v>14157</v>
      </c>
      <c r="C14307" t="str">
        <f>IFERROR(__xludf.DUMMYFUNCTION("GOOGLETRANSLATE(B14307, ""zh"", ""en"")"),"Clothes do not quite fit the clothes very thin very thin. Only suitable for thin people wear.")</f>
        <v>Clothes do not quite fit the clothes very thin very thin. Only suitable for thin people wear.</v>
      </c>
    </row>
    <row r="14308">
      <c r="A14308" s="1">
        <v>4.0</v>
      </c>
      <c r="B14308" s="1" t="s">
        <v>14158</v>
      </c>
      <c r="C14308" t="str">
        <f>IFERROR(__xludf.DUMMYFUNCTION("GOOGLETRANSLATE(B14308, ""zh"", ""en"")"),"Barely can wear size just right, neither more nor less, 17760 but I like the loose points, but also more than a quick return, he had barely Chuan Chuan, I think this dress look good wearing loose points")</f>
        <v>Barely can wear size just right, neither more nor less, 17760 but I like the loose points, but also more than a quick return, he had barely Chuan Chuan, I think this dress look good wearing loose points</v>
      </c>
    </row>
    <row r="14309">
      <c r="A14309" s="1">
        <v>5.0</v>
      </c>
      <c r="B14309" s="1" t="s">
        <v>14159</v>
      </c>
      <c r="C14309" t="str">
        <f>IFERROR(__xludf.DUMMYFUNCTION("GOOGLETRANSLATE(B14309, ""zh"", ""en"")"),"Cole HAAN women's long down jacket quilted taffeta dress appropriate, quality feel good. Is the length of the ankle, because ad network model much better than me. Also can accept it. Legs warm is better")</f>
        <v>Cole HAAN women's long down jacket quilted taffeta dress appropriate, quality feel good. Is the length of the ankle, because ad network model much better than me. Also can accept it. Legs warm is better</v>
      </c>
    </row>
    <row r="14310">
      <c r="A14310" s="1">
        <v>5.0</v>
      </c>
      <c r="B14310" s="1" t="s">
        <v>14160</v>
      </c>
      <c r="C14310" t="str">
        <f>IFERROR(__xludf.DUMMYFUNCTION("GOOGLETRANSLATE(B14310, ""zh"", ""en"")"),"Good price to buy this brand, very good, this little boots will presser foot")</f>
        <v>Good price to buy this brand, very good, this little boots will presser foot</v>
      </c>
    </row>
    <row r="14311">
      <c r="A14311" s="1">
        <v>5.0</v>
      </c>
      <c r="B14311" s="1" t="s">
        <v>14161</v>
      </c>
      <c r="C14311" t="str">
        <f>IFERROR(__xludf.DUMMYFUNCTION("GOOGLETRANSLATE(B14311, ""zh"", ""en"")"),"Size mishandled. Clothes of good quality, the price is not expensive, that is, the size is not good grasp. 172.150 kg m wearing a large, mainly the sleeves and body are too long.")</f>
        <v>Size mishandled. Clothes of good quality, the price is not expensive, that is, the size is not good grasp. 172.150 kg m wearing a large, mainly the sleeves and body are too long.</v>
      </c>
    </row>
    <row r="14312">
      <c r="A14312" s="1">
        <v>5.0</v>
      </c>
      <c r="B14312" s="1" t="s">
        <v>14162</v>
      </c>
      <c r="C14312" t="str">
        <f>IFERROR(__xludf.DUMMYFUNCTION("GOOGLETRANSLATE(B14312, ""zh"", ""en"")"),"Short-sleeved T-shirt shirt to wear very comfortable than I expected")</f>
        <v>Short-sleeved T-shirt shirt to wear very comfortable than I expected</v>
      </c>
    </row>
    <row r="14313">
      <c r="A14313" s="1">
        <v>5.0</v>
      </c>
      <c r="B14313" s="1" t="s">
        <v>14163</v>
      </c>
      <c r="C14313" t="str">
        <f>IFERROR(__xludf.DUMMYFUNCTION("GOOGLETRANSLATE(B14313, ""zh"", ""en"")"),"it is good! recommend! Net red sleeping bag is not really worthy of the name, this two-day Shanxi cold start, the baby woke up several times a night, always thought it was a calcium deficiency or other reasons, yesterday to spend a sleeping bag, a motionl"&amp;"ess sleep through the night nurse did not wake up! Amazing! highly recommended!")</f>
        <v>it is good! recommend! Net red sleeping bag is not really worthy of the name, this two-day Shanxi cold start, the baby woke up several times a night, always thought it was a calcium deficiency or other reasons, yesterday to spend a sleeping bag, a motionless sleep through the night nurse did not wake up! Amazing! highly recommended!</v>
      </c>
    </row>
    <row r="14314">
      <c r="A14314" s="1">
        <v>5.0</v>
      </c>
      <c r="B14314" s="1" t="s">
        <v>14164</v>
      </c>
      <c r="C14314" t="str">
        <f>IFERROR(__xludf.DUMMYFUNCTION("GOOGLETRANSLATE(B14314, ""zh"", ""en"")"),"Such as jackets high cost heart's desire, is a padded jacket, cloth good, the key collar is comfortable!")</f>
        <v>Such as jackets high cost heart's desire, is a padded jacket, cloth good, the key collar is comfortable!</v>
      </c>
    </row>
    <row r="14315">
      <c r="A14315" s="1">
        <v>5.0</v>
      </c>
      <c r="B14315" s="1" t="s">
        <v>14165</v>
      </c>
      <c r="C14315" t="str">
        <f>IFERROR(__xludf.DUMMYFUNCTION("GOOGLETRANSLATE(B14315, ""zh"", ""en"")"),"Well right size, effective insulation, engage in activities to buy about two hundred a head.")</f>
        <v>Well right size, effective insulation, engage in activities to buy about two hundred a head.</v>
      </c>
    </row>
    <row r="14316">
      <c r="A14316" s="1">
        <v>5.0</v>
      </c>
      <c r="B14316" s="1" t="s">
        <v>14166</v>
      </c>
      <c r="C14316" t="str">
        <f>IFERROR(__xludf.DUMMYFUNCTION("GOOGLETRANSLATE(B14316, ""zh"", ""en"")"),"Very comfortable very comfortable, very soft foundation, no card ankle")</f>
        <v>Very comfortable very comfortable, very soft foundation, no card ankle</v>
      </c>
    </row>
    <row r="14317">
      <c r="A14317" s="1">
        <v>5.0</v>
      </c>
      <c r="B14317" s="1" t="s">
        <v>14167</v>
      </c>
      <c r="C14317" t="str">
        <f>IFERROR(__xludf.DUMMYFUNCTION("GOOGLETRANSLATE(B14317, ""zh"", ""en"")"),"Nice shoes inside the thread a little thorn feet")</f>
        <v>Nice shoes inside the thread a little thorn feet</v>
      </c>
    </row>
    <row r="14318">
      <c r="A14318" s="1">
        <v>5.0</v>
      </c>
      <c r="B14318" s="1" t="s">
        <v>14168</v>
      </c>
      <c r="C14318" t="str">
        <f>IFERROR(__xludf.DUMMYFUNCTION("GOOGLETRANSLATE(B14318, ""zh"", ""en"")"),"Something good something good, children like it, or taste")</f>
        <v>Something good something good, children like it, or taste</v>
      </c>
    </row>
    <row r="14319">
      <c r="A14319" s="1">
        <v>5.0</v>
      </c>
      <c r="B14319" s="1" t="s">
        <v>14169</v>
      </c>
      <c r="C14319" t="str">
        <f>IFERROR(__xludf.DUMMYFUNCTION("GOOGLETRANSLATE(B14319, ""zh"", ""en"")"),"L code is too small, relatively fit! Height 170, weight 148, through L code, the length of the fit, the right size!")</f>
        <v>L code is too small, relatively fit! Height 170, weight 148, through L code, the length of the fit, the right size!</v>
      </c>
    </row>
    <row r="14320">
      <c r="A14320" s="1">
        <v>5.0</v>
      </c>
      <c r="B14320" s="1" t="s">
        <v>14170</v>
      </c>
      <c r="C14320" t="str">
        <f>IFERROR(__xludf.DUMMYFUNCTION("GOOGLETRANSLATE(B14320, ""zh"", ""en"")"),"I spent a great stir-fried vegetables will not even people who've followed recipes made orange duck and pumpkin soup, and fried vegetables daily have also been handed over to the kitchen robot friends, going to find one day to do a challenge Maca Dragon. "&amp;"Instructions and recipes are German, it may still need to do a little German foundation; this type of specification with the same Amazon in the sale of the domestic version of the machine there are differences in the description official website in Chines"&amp;"e, German specification more detailed, The subroutine then also a little bit different.")</f>
        <v>I spent a great stir-fried vegetables will not even people who've followed recipes made orange duck and pumpkin soup, and fried vegetables daily have also been handed over to the kitchen robot friends, going to find one day to do a challenge Maca Dragon. Instructions and recipes are German, it may still need to do a little German foundation; this type of specification with the same Amazon in the sale of the domestic version of the machine there are differences in the description official website in Chinese, German specification more detailed, The subroutine then also a little bit different.</v>
      </c>
    </row>
    <row r="14321">
      <c r="A14321" s="1">
        <v>5.0</v>
      </c>
      <c r="B14321" s="1" t="s">
        <v>14171</v>
      </c>
      <c r="C14321" t="str">
        <f>IFERROR(__xludf.DUMMYFUNCTION("GOOGLETRANSLATE(B14321, ""zh"", ""en"")"),"Not very practical sense is not particularly practical, two small is too small, large okay, but without a lid, bring out is not particularly good. Compare recommended to buy his house that bowl with a lid")</f>
        <v>Not very practical sense is not particularly practical, two small is too small, large okay, but without a lid, bring out is not particularly good. Compare recommended to buy his house that bowl with a lid</v>
      </c>
    </row>
    <row r="14322">
      <c r="A14322" s="1">
        <v>5.0</v>
      </c>
      <c r="B14322" s="1" t="s">
        <v>14172</v>
      </c>
      <c r="C14322" t="str">
        <f>IFERROR(__xludf.DUMMYFUNCTION("GOOGLETRANSLATE(B14322, ""zh"", ""en"")"),"Overall praise, the right size. Speed ​​very quickly, a week to. Shoe size just right, the country almost 35.5 size, memory foam insole is just as good as the details found work abroad this country, some thread burr.")</f>
        <v>Overall praise, the right size. Speed ​​very quickly, a week to. Shoe size just right, the country almost 35.5 size, memory foam insole is just as good as the details found work abroad this country, some thread burr.</v>
      </c>
    </row>
    <row r="14323">
      <c r="A14323" s="1">
        <v>5.0</v>
      </c>
      <c r="B14323" s="1" t="s">
        <v>14173</v>
      </c>
      <c r="C14323" t="str">
        <f>IFERROR(__xludf.DUMMYFUNCTION("GOOGLETRANSLATE(B14323, ""zh"", ""en"")"),"Slightly harder and pictures as well. Puma codes is slightly larger, but the reference to the size of the table on it. He said that because of the small size of the table is the subject of yards and to buy time code display is beautiful it will buy a smal"&amp;"l error but not likely to cause consumer misunderstanding yards plus one is beautiful yards")</f>
        <v>Slightly harder and pictures as well. Puma codes is slightly larger, but the reference to the size of the table on it. He said that because of the small size of the table is the subject of yards and to buy time code display is beautiful it will buy a small error but not likely to cause consumer misunderstanding yards plus one is beautiful yards</v>
      </c>
    </row>
    <row r="14324">
      <c r="A14324" s="1">
        <v>5.0</v>
      </c>
      <c r="B14324" s="1" t="s">
        <v>14174</v>
      </c>
      <c r="C14324" t="str">
        <f>IFERROR(__xludf.DUMMYFUNCTION("GOOGLETRANSLATE(B14324, ""zh"", ""en"")"),"Good commodity helpful! It is to insist on!")</f>
        <v>Good commodity helpful! It is to insist on!</v>
      </c>
    </row>
    <row r="14325">
      <c r="A14325" s="1">
        <v>5.0</v>
      </c>
      <c r="B14325" s="1" t="s">
        <v>14175</v>
      </c>
      <c r="C14325" t="str">
        <f>IFERROR(__xludf.DUMMYFUNCTION("GOOGLETRANSLATE(B14325, ""zh"", ""en"")"),"A high 180 heavy 85K 32X32 just right, the very type of pants")</f>
        <v>A high 180 heavy 85K 32X32 just right, the very type of pants</v>
      </c>
    </row>
    <row r="14326">
      <c r="A14326" s="1">
        <v>5.0</v>
      </c>
      <c r="B14326" s="1" t="s">
        <v>14176</v>
      </c>
      <c r="C14326" t="str">
        <f>IFERROR(__xludf.DUMMYFUNCTION("GOOGLETRANSLATE(B14326, ""zh"", ""en"")"),"British-price good deal has been concerned about these shoes on the British sub has not yet caught up 5.5 yards a primer activity, simply bought six yards, but fortunately not too big, super like super deal, Amazon purchased abroad over to the edge")</f>
        <v>British-price good deal has been concerned about these shoes on the British sub has not yet caught up 5.5 yards a primer activity, simply bought six yards, but fortunately not too big, super like super deal, Amazon purchased abroad over to the edge</v>
      </c>
    </row>
    <row r="14327">
      <c r="A14327" s="1">
        <v>5.0</v>
      </c>
      <c r="B14327" s="1" t="s">
        <v>14177</v>
      </c>
      <c r="C14327" t="str">
        <f>IFERROR(__xludf.DUMMYFUNCTION("GOOGLETRANSLATE(B14327, ""zh"", ""en"")"),"very satisfied! well! Cheaper than Taobao. Fine workmanship, soft water")</f>
        <v>very satisfied! well! Cheaper than Taobao. Fine workmanship, soft water</v>
      </c>
    </row>
    <row r="14328">
      <c r="A14328" s="1">
        <v>5.0</v>
      </c>
      <c r="B14328" s="1" t="s">
        <v>14178</v>
      </c>
      <c r="C14328" t="str">
        <f>IFERROR(__xludf.DUMMYFUNCTION("GOOGLETRANSLATE(B14328, ""zh"", ""en"")"),"Champion is simply too great love love love the exceptionally good quality champion")</f>
        <v>Champion is simply too great love love love the exceptionally good quality champion</v>
      </c>
    </row>
    <row r="14329">
      <c r="A14329" s="1">
        <v>5.0</v>
      </c>
      <c r="B14329" s="1" t="s">
        <v>14179</v>
      </c>
      <c r="C14329" t="str">
        <f>IFERROR(__xludf.DUMMYFUNCTION("GOOGLETRANSLATE(B14329, ""zh"", ""en"")"),"Before a lot of noise is very small and very satisfied commented hesitant when noisy order, no problems at hand practical, very good!")</f>
        <v>Before a lot of noise is very small and very satisfied commented hesitant when noisy order, no problems at hand practical, very good!</v>
      </c>
    </row>
    <row r="14330">
      <c r="A14330" s="1">
        <v>5.0</v>
      </c>
      <c r="B14330" s="1" t="s">
        <v>14180</v>
      </c>
      <c r="C14330" t="str">
        <f>IFERROR(__xludf.DUMMYFUNCTION("GOOGLETRANSLATE(B14330, ""zh"", ""en"")"),"This is good this is very good, buy a big pad had a good insole. Very comfortable")</f>
        <v>This is good this is very good, buy a big pad had a good insole. Very comfortable</v>
      </c>
    </row>
    <row r="14331">
      <c r="A14331" s="1">
        <v>2.0</v>
      </c>
      <c r="B14331" s="1" t="s">
        <v>14181</v>
      </c>
      <c r="C14331" t="str">
        <f>IFERROR(__xludf.DUMMYFUNCTION("GOOGLETRANSLATE(B14331, ""zh"", ""en"")"),"Overseas purchase, so do not fly! Jeans color ridiculously large, obviously straight jeans, feeling like three-dimensional model on the photo! In short, so do not fly! And this pit father's return policy, you have to put things at their own expense return"&amp;" the United States! Wanted to give a star, taking into account the clothes very thick, I gave two stars. Then Tucao about ""wanted to send photos to prove noted above, there is not even upload options""! Amazon's service is too LOW up!")</f>
        <v>Overseas purchase, so do not fly! Jeans color ridiculously large, obviously straight jeans, feeling like three-dimensional model on the photo! In short, so do not fly! And this pit father's return policy, you have to put things at their own expense return the United States! Wanted to give a star, taking into account the clothes very thick, I gave two stars. Then Tucao about "wanted to send photos to prove noted above, there is not even upload options"! Amazon's service is too LOW up!</v>
      </c>
    </row>
    <row r="14332">
      <c r="A14332" s="1">
        <v>3.0</v>
      </c>
      <c r="B14332" s="1" t="s">
        <v>14182</v>
      </c>
      <c r="C14332" t="str">
        <f>IFERROR(__xludf.DUMMYFUNCTION("GOOGLETRANSLATE(B14332, ""zh"", ""en"")"),"Other lengths are too short are also, waist fit, just short of a length, with at the same time buy the other a length Wrangler lot worse.")</f>
        <v>Other lengths are too short are also, waist fit, just short of a length, with at the same time buy the other a length Wrangler lot worse.</v>
      </c>
    </row>
    <row r="14333">
      <c r="A14333" s="1">
        <v>3.0</v>
      </c>
      <c r="B14333" s="1" t="s">
        <v>14183</v>
      </c>
      <c r="C14333" t="str">
        <f>IFERROR(__xludf.DUMMYFUNCTION("GOOGLETRANSLATE(B14333, ""zh"", ""en"")"),"Dea buy a smaller size 162 / 110S fit, comfortable to wear for fall and winter")</f>
        <v>Dea buy a smaller size 162 / 110S fit, comfortable to wear for fall and winter</v>
      </c>
    </row>
    <row r="14334">
      <c r="A14334" s="1">
        <v>3.0</v>
      </c>
      <c r="B14334" s="1" t="s">
        <v>14184</v>
      </c>
      <c r="C14334" t="str">
        <f>IFERROR(__xludf.DUMMYFUNCTION("GOOGLETRANSLATE(B14334, ""zh"", ""en"")"),"More than a gas-eye defects have black spots, a lot of flaws, bottom of the pot black circle")</f>
        <v>More than a gas-eye defects have black spots, a lot of flaws, bottom of the pot black circle</v>
      </c>
    </row>
    <row r="14335">
      <c r="A14335" s="1">
        <v>1.0</v>
      </c>
      <c r="B14335" s="1" t="s">
        <v>14185</v>
      </c>
      <c r="C14335" t="str">
        <f>IFERROR(__xludf.DUMMYFUNCTION("GOOGLETRANSLATE(B14335, ""zh"", ""en"")"),"Orders 310S 300S hand What does it mean? Orders 310S 300S hand What does it mean? Amazon Diandaqike you, or I did not look to see orders?")</f>
        <v>Orders 310S 300S hand What does it mean? Orders 310S 300S hand What does it mean? Amazon Diandaqike you, or I did not look to see orders?</v>
      </c>
    </row>
    <row r="14336">
      <c r="A14336" s="1">
        <v>1.0</v>
      </c>
      <c r="B14336" s="1" t="s">
        <v>14186</v>
      </c>
      <c r="C14336" t="str">
        <f>IFERROR(__xludf.DUMMYFUNCTION("GOOGLETRANSLATE(B14336, ""zh"", ""en"")"),"At least most of the code number is too large, certainly less than half yards at least, I read all the comments in accordance with the underlying numbers to buy, sad reminder of the big half a yard, but you stayed")</f>
        <v>At least most of the code number is too large, certainly less than half yards at least, I read all the comments in accordance with the underlying numbers to buy, sad reminder of the big half a yard, but you stayed</v>
      </c>
    </row>
    <row r="14337">
      <c r="A14337" s="1">
        <v>4.0</v>
      </c>
      <c r="B14337" s="1" t="s">
        <v>14187</v>
      </c>
      <c r="C14337" t="str">
        <f>IFERROR(__xludf.DUMMYFUNCTION("GOOGLETRANSLATE(B14337, ""zh"", ""en"")"),"Nice big brands Samsung solid state drive, read and write speed test okay.")</f>
        <v>Nice big brands Samsung solid state drive, read and write speed test okay.</v>
      </c>
    </row>
    <row r="14338">
      <c r="A14338" s="1">
        <v>4.0</v>
      </c>
      <c r="B14338" s="1" t="s">
        <v>14188</v>
      </c>
      <c r="C14338" t="str">
        <f>IFERROR(__xludf.DUMMYFUNCTION("GOOGLETRANSLATE(B14338, ""zh"", ""en"")"),"People eat is also good, people eat calcium chant of good, calcium chant")</f>
        <v>People eat is also good, people eat calcium chant of good, calcium chant</v>
      </c>
    </row>
    <row r="14339">
      <c r="A14339" s="1">
        <v>4.0</v>
      </c>
      <c r="B14339" s="1" t="s">
        <v>14189</v>
      </c>
      <c r="C14339" t="str">
        <f>IFERROR(__xludf.DUMMYFUNCTION("GOOGLETRANSLATE(B14339, ""zh"", ""en"")"),"Ref 167 great taste, produced in India, Indian belt inside a dark, leather mark, but do not know is not leather. 36 long, but he smashed three eyes, two feet four waist estimated 32 appropriate.")</f>
        <v>Ref 167 great taste, produced in India, Indian belt inside a dark, leather mark, but do not know is not leather. 36 long, but he smashed three eyes, two feet four waist estimated 32 appropriate.</v>
      </c>
    </row>
    <row r="14340">
      <c r="A14340" s="1">
        <v>4.0</v>
      </c>
      <c r="B14340" s="1" t="s">
        <v>14190</v>
      </c>
      <c r="C14340" t="str">
        <f>IFERROR(__xludf.DUMMYFUNCTION("GOOGLETRANSLATE(B14340, ""zh"", ""en"")"),"Shoes good choice 8.5w enough to wear 43 yards, made in China, and turn a full circle good")</f>
        <v>Shoes good choice 8.5w enough to wear 43 yards, made in China, and turn a full circle good</v>
      </c>
    </row>
    <row r="14341">
      <c r="A14341" s="1">
        <v>4.0</v>
      </c>
      <c r="B14341" s="1" t="s">
        <v>14191</v>
      </c>
      <c r="C14341" t="str">
        <f>IFERROR(__xludf.DUMMYFUNCTION("GOOGLETRANSLATE(B14341, ""zh"", ""en"")"),"165cm, 60kg, clothes are a bit long, but you can plug into your pants, bust a little tight. Like Slim's no problem, like loose you can choose a larger size. Pretty good")</f>
        <v>165cm, 60kg, clothes are a bit long, but you can plug into your pants, bust a little tight. Like Slim's no problem, like loose you can choose a larger size. Pretty good</v>
      </c>
    </row>
    <row r="14342">
      <c r="A14342" s="1">
        <v>5.0</v>
      </c>
      <c r="B14342" s="1" t="s">
        <v>14192</v>
      </c>
      <c r="C14342" t="str">
        <f>IFERROR(__xludf.DUMMYFUNCTION("GOOGLETRANSLATE(B14342, ""zh"", ""en"")"),"Ironing is a very good home easy!")</f>
        <v>Ironing is a very good home easy!</v>
      </c>
    </row>
    <row r="14343">
      <c r="A14343" s="1">
        <v>5.0</v>
      </c>
      <c r="B14343" s="1" t="s">
        <v>14193</v>
      </c>
      <c r="C14343" t="str">
        <f>IFERROR(__xludf.DUMMYFUNCTION("GOOGLETRANSLATE(B14343, ""zh"", ""en"")"),"Very fond of handsome, increased, do activities to buy, more than 700, very much, normal wear United States Code 8.5 yards 7.5,26.5, this small one yard just!")</f>
        <v>Very fond of handsome, increased, do activities to buy, more than 700, very much, normal wear United States Code 8.5 yards 7.5,26.5, this small one yard just!</v>
      </c>
    </row>
    <row r="14344">
      <c r="A14344" s="1">
        <v>5.0</v>
      </c>
      <c r="B14344" s="1" t="s">
        <v>14194</v>
      </c>
      <c r="C14344" t="str">
        <f>IFERROR(__xludf.DUMMYFUNCTION("GOOGLETRANSLATE(B14344, ""zh"", ""en"")"),"Recommended it is really comfortable, value for money, express also to the force, expected in 20 days, 10 days to")</f>
        <v>Recommended it is really comfortable, value for money, express also to the force, expected in 20 days, 10 days to</v>
      </c>
    </row>
    <row r="14345">
      <c r="A14345" s="1">
        <v>5.0</v>
      </c>
      <c r="B14345" s="1" t="s">
        <v>14195</v>
      </c>
      <c r="C14345" t="str">
        <f>IFERROR(__xludf.DUMMYFUNCTION("GOOGLETRANSLATE(B14345, ""zh"", ""en"")"),"Need to buy accessories in addition to other outside water out of my house had to go buy a 4-inch ppr pipe. Supporting full 6 inch brass valve member, can not transfer.")</f>
        <v>Need to buy accessories in addition to other outside water out of my house had to go buy a 4-inch ppr pipe. Supporting full 6 inch brass valve member, can not transfer.</v>
      </c>
    </row>
    <row r="14346">
      <c r="A14346" s="1">
        <v>5.0</v>
      </c>
      <c r="B14346" s="1" t="s">
        <v>14196</v>
      </c>
      <c r="C14346" t="str">
        <f>IFERROR(__xludf.DUMMYFUNCTION("GOOGLETRANSLATE(B14346, ""zh"", ""en"")"),"Good very good, with a touch of flavor, very fond of her daughter.")</f>
        <v>Good very good, with a touch of flavor, very fond of her daughter.</v>
      </c>
    </row>
    <row r="14347">
      <c r="A14347" s="1">
        <v>5.0</v>
      </c>
      <c r="B14347" s="1" t="s">
        <v>14197</v>
      </c>
      <c r="C14347" t="str">
        <f>IFERROR(__xludf.DUMMYFUNCTION("GOOGLETRANSLATE(B14347, ""zh"", ""en"")"),"There are good-looking and comfortable feeling beautiful, ultra-like.")</f>
        <v>There are good-looking and comfortable feeling beautiful, ultra-like.</v>
      </c>
    </row>
    <row r="14348">
      <c r="A14348" s="1">
        <v>5.0</v>
      </c>
      <c r="B14348" s="1" t="s">
        <v>14198</v>
      </c>
      <c r="C14348" t="str">
        <f>IFERROR(__xludf.DUMMYFUNCTION("GOOGLETRANSLATE(B14348, ""zh"", ""en"")"),"Good quality color beautiful than the picture, wear very comfortable shoes, the soles of elasticity is very good, 40MEU domestic and 40 yards wearing a very appropriate size, like, shipped quickly.")</f>
        <v>Good quality color beautiful than the picture, wear very comfortable shoes, the soles of elasticity is very good, 40MEU domestic and 40 yards wearing a very appropriate size, like, shipped quickly.</v>
      </c>
    </row>
    <row r="14349">
      <c r="A14349" s="1">
        <v>5.0</v>
      </c>
      <c r="B14349" s="1" t="s">
        <v>14199</v>
      </c>
      <c r="C14349" t="str">
        <f>IFERROR(__xludf.DUMMYFUNCTION("GOOGLETRANSLATE(B14349, ""zh"", ""en"")"),"Value is very small, than my students to buy a small lot of other brands. A metal housing side is the side of the plastic. Metal surface that looks very high-grade, wine red no color, very nice. Using them is also good.")</f>
        <v>Value is very small, than my students to buy a small lot of other brands. A metal housing side is the side of the plastic. Metal surface that looks very high-grade, wine red no color, very nice. Using them is also good.</v>
      </c>
    </row>
    <row r="14350">
      <c r="A14350" s="1">
        <v>5.0</v>
      </c>
      <c r="B14350" s="1" t="s">
        <v>14200</v>
      </c>
      <c r="C14350" t="str">
        <f>IFERROR(__xludf.DUMMYFUNCTION("GOOGLETRANSLATE(B14350, ""zh"", ""en"")"),"Yes something good, very comfortable to wear, a little inadequate, easy to stick hair")</f>
        <v>Yes something good, very comfortable to wear, a little inadequate, easy to stick hair</v>
      </c>
    </row>
    <row r="14351">
      <c r="A14351" s="1">
        <v>5.0</v>
      </c>
      <c r="B14351" s="1" t="s">
        <v>14201</v>
      </c>
      <c r="C14351" t="str">
        <f>IFERROR(__xludf.DUMMYFUNCTION("GOOGLETRANSLATE(B14351, ""zh"", ""en"")"),"Good straw taste with vinegar washed up, still a little taste, and the rest are good, the baby also like")</f>
        <v>Good straw taste with vinegar washed up, still a little taste, and the rest are good, the baby also like</v>
      </c>
    </row>
    <row r="14352">
      <c r="A14352" s="1">
        <v>5.0</v>
      </c>
      <c r="B14352" s="1" t="s">
        <v>14202</v>
      </c>
      <c r="C14352" t="str">
        <f>IFERROR(__xludf.DUMMYFUNCTION("GOOGLETRANSLATE(B14352, ""zh"", ""en"")"),"A good a good men's underwear men's underwear")</f>
        <v>A good a good men's underwear men's underwear</v>
      </c>
    </row>
    <row r="14353">
      <c r="A14353" s="1">
        <v>5.0</v>
      </c>
      <c r="B14353" s="1" t="s">
        <v>14203</v>
      </c>
      <c r="C14353" t="str">
        <f>IFERROR(__xludf.DUMMYFUNCTION("GOOGLETRANSLATE(B14353, ""zh"", ""en"")"),"Some say it is a good product cold cup mug Japan are written, the effect is really very good, 12 hours a glass of water, the next day or hot, baby do not like to drink water, for a lot of the cup.")</f>
        <v>Some say it is a good product cold cup mug Japan are written, the effect is really very good, 12 hours a glass of water, the next day or hot, baby do not like to drink water, for a lot of the cup.</v>
      </c>
    </row>
    <row r="14354">
      <c r="A14354" s="1">
        <v>5.0</v>
      </c>
      <c r="B14354" s="1" t="s">
        <v>14204</v>
      </c>
      <c r="C14354" t="str">
        <f>IFERROR(__xludf.DUMMYFUNCTION("GOOGLETRANSLATE(B14354, ""zh"", ""en"")"),"Trust Seiko quality, buy before you pay for a Seiko small, big enough, but this clock comes with two batteries, the right part is very practical, cultivate children's sense of time, to facilitate the countdown, the timing is, time to select an alarm and f"&amp;"lashing lights can also, very good.")</f>
        <v>Trust Seiko quality, buy before you pay for a Seiko small, big enough, but this clock comes with two batteries, the right part is very practical, cultivate children's sense of time, to facilitate the countdown, the timing is, time to select an alarm and flashing lights can also, very good.</v>
      </c>
    </row>
    <row r="14355">
      <c r="A14355" s="1">
        <v>5.0</v>
      </c>
      <c r="B14355" s="1" t="s">
        <v>14205</v>
      </c>
      <c r="C14355" t="str">
        <f>IFERROR(__xludf.DUMMYFUNCTION("GOOGLETRANSLATE(B14355, ""zh"", ""en"")"),"yes I like")</f>
        <v>yes I like</v>
      </c>
    </row>
    <row r="14356">
      <c r="A14356" s="1">
        <v>5.0</v>
      </c>
      <c r="B14356" s="1" t="s">
        <v>14206</v>
      </c>
      <c r="C14356" t="str">
        <f>IFERROR(__xludf.DUMMYFUNCTION("GOOGLETRANSLATE(B14356, ""zh"", ""en"")"),"Well something good, the same size and domestic, Burnished Brown is 15551, deeper color than the picture, for reference.")</f>
        <v>Well something good, the same size and domestic, Burnished Brown is 15551, deeper color than the picture, for reference.</v>
      </c>
    </row>
    <row r="14357">
      <c r="A14357" s="1">
        <v>5.0</v>
      </c>
      <c r="B14357" s="1" t="s">
        <v>14207</v>
      </c>
      <c r="C14357" t="str">
        <f>IFERROR(__xludf.DUMMYFUNCTION("GOOGLETRANSLATE(B14357, ""zh"", ""en"")"),"Big brands, trusted. Dabao also using this new design, anti-flatulence, wait a second child to try")</f>
        <v>Big brands, trusted. Dabao also using this new design, anti-flatulence, wait a second child to try</v>
      </c>
    </row>
    <row r="14358">
      <c r="A14358" s="1">
        <v>5.0</v>
      </c>
      <c r="B14358" s="1" t="s">
        <v>14208</v>
      </c>
      <c r="C14358" t="str">
        <f>IFERROR(__xludf.DUMMYFUNCTION("GOOGLETRANSLATE(B14358, ""zh"", ""en"")"),"A big clothes clothes particularly large, 1 m 8,200 pounds of fat 3xl feel able to put into Sumo players think l estimate is enough")</f>
        <v>A big clothes clothes particularly large, 1 m 8,200 pounds of fat 3xl feel able to put into Sumo players think l estimate is enough</v>
      </c>
    </row>
    <row r="14359">
      <c r="A14359" s="1">
        <v>5.0</v>
      </c>
      <c r="B14359" s="1" t="s">
        <v>14209</v>
      </c>
      <c r="C14359" t="str">
        <f>IFERROR(__xludf.DUMMYFUNCTION("GOOGLETRANSLATE(B14359, ""zh"", ""en"")"),"176/122 M Height 176 Weight 122M code can be useful to ask 👍")</f>
        <v>176/122 M Height 176 Weight 122M code can be useful to ask 👍</v>
      </c>
    </row>
    <row r="14360">
      <c r="A14360" s="1">
        <v>5.0</v>
      </c>
      <c r="B14360" s="1" t="s">
        <v>14210</v>
      </c>
      <c r="C14360" t="str">
        <f>IFERROR(__xludf.DUMMYFUNCTION("GOOGLETRANSLATE(B14360, ""zh"", ""en"")"),"Very cheap very good, the price is very cheap ah ~")</f>
        <v>Very cheap very good, the price is very cheap ah ~</v>
      </c>
    </row>
    <row r="14361">
      <c r="A14361" s="1">
        <v>5.0</v>
      </c>
      <c r="B14361" s="1" t="s">
        <v>14211</v>
      </c>
      <c r="C14361" t="str">
        <f>IFERROR(__xludf.DUMMYFUNCTION("GOOGLETRANSLATE(B14361, ""zh"", ""en"")"),"Cheap fabric hard, very board, like uniforms")</f>
        <v>Cheap fabric hard, very board, like uniforms</v>
      </c>
    </row>
    <row r="14362">
      <c r="A14362" s="1">
        <v>5.0</v>
      </c>
      <c r="B14362" s="1" t="s">
        <v>14212</v>
      </c>
      <c r="C14362" t="str">
        <f>IFERROR(__xludf.DUMMYFUNCTION("GOOGLETRANSLATE(B14362, ""zh"", ""en"")"),"Shopping genuine something good, sealed packaging rigorous.")</f>
        <v>Shopping genuine something good, sealed packaging rigorous.</v>
      </c>
    </row>
    <row r="14363">
      <c r="A14363" s="1">
        <v>5.0</v>
      </c>
      <c r="B14363" s="1" t="s">
        <v>14213</v>
      </c>
      <c r="C14363" t="str">
        <f>IFERROR(__xludf.DUMMYFUNCTION("GOOGLETRANSLATE(B14363, ""zh"", ""en"")"),"Good Good genuine ah, cheap, ah, like")</f>
        <v>Good Good genuine ah, cheap, ah, like</v>
      </c>
    </row>
    <row r="14364">
      <c r="A14364" s="1">
        <v>2.0</v>
      </c>
      <c r="B14364" s="1" t="s">
        <v>14214</v>
      </c>
      <c r="C14364" t="str">
        <f>IFERROR(__xludf.DUMMYFUNCTION("GOOGLETRANSLATE(B14364, ""zh"", ""en"")"),"Suitable small jeans 3432 are not completely through this on, I do not know whether normal")</f>
        <v>Suitable small jeans 3432 are not completely through this on, I do not know whether normal</v>
      </c>
    </row>
    <row r="14365">
      <c r="A14365" s="1">
        <v>3.0</v>
      </c>
      <c r="B14365" s="1" t="s">
        <v>14215</v>
      </c>
      <c r="C14365" t="str">
        <f>IFERROR(__xludf.DUMMYFUNCTION("GOOGLETRANSLATE(B14365, ""zh"", ""en"")"),"General Overall, work in general, should be cotton, denim fabrics treated thigh with the wear of friction jacket hem easy to stick to something like velvet. Experience in general, hope buyers on the back of a little help. In addition, my height 172cm, wei"&amp;"ght 70kg, buy 32 * 32, just waist, legs a little longer, 32 * 31 may be just.")</f>
        <v>General Overall, work in general, should be cotton, denim fabrics treated thigh with the wear of friction jacket hem easy to stick to something like velvet. Experience in general, hope buyers on the back of a little help. In addition, my height 172cm, weight 70kg, buy 32 * 32, just waist, legs a little longer, 32 * 31 may be just.</v>
      </c>
    </row>
    <row r="14366">
      <c r="A14366" s="1">
        <v>3.0</v>
      </c>
      <c r="B14366" s="1" t="s">
        <v>14216</v>
      </c>
      <c r="C14366" t="str">
        <f>IFERROR(__xludf.DUMMYFUNCTION("GOOGLETRANSLATE(B14366, ""zh"", ""en"")"),"183.90 a tight waistline, accurate length, thigh leg are tight.")</f>
        <v>183.90 a tight waistline, accurate length, thigh leg are tight.</v>
      </c>
    </row>
    <row r="14367">
      <c r="A14367" s="1">
        <v>1.0</v>
      </c>
      <c r="B14367" s="1" t="s">
        <v>14217</v>
      </c>
      <c r="C14367" t="str">
        <f>IFERROR(__xludf.DUMMYFUNCTION("GOOGLETRANSLATE(B14367, ""zh"", ""en"")"),"Expired drugs expired goods gone bad wrong color cut capsule")</f>
        <v>Expired drugs expired goods gone bad wrong color cut capsule</v>
      </c>
    </row>
    <row r="14368">
      <c r="A14368" s="1">
        <v>1.0</v>
      </c>
      <c r="B14368" s="1" t="s">
        <v>14218</v>
      </c>
      <c r="C14368" t="str">
        <f>IFERROR(__xludf.DUMMYFUNCTION("GOOGLETRANSLATE(B14368, ""zh"", ""en"")"),"Buy new clothes have holes in them today, the first day of wearing amount actually found a small hole! ! ! Amazon library does not check it out?")</f>
        <v>Buy new clothes have holes in them today, the first day of wearing amount actually found a small hole! ! ! Amazon library does not check it out?</v>
      </c>
    </row>
    <row r="14369">
      <c r="A14369" s="1">
        <v>1.0</v>
      </c>
      <c r="B14369" s="1" t="s">
        <v>14219</v>
      </c>
      <c r="C14369" t="str">
        <f>IFERROR(__xludf.DUMMYFUNCTION("GOOGLETRANSLATE(B14369, ""zh"", ""en"")"),"There are four months expired immediately expired stuff, but still can not retire")</f>
        <v>There are four months expired immediately expired stuff, but still can not retire</v>
      </c>
    </row>
    <row r="14370">
      <c r="A14370" s="1">
        <v>4.0</v>
      </c>
      <c r="B14370" s="1" t="s">
        <v>14220</v>
      </c>
      <c r="C14370" t="str">
        <f>IFERROR(__xludf.DUMMYFUNCTION("GOOGLETRANSLATE(B14370, ""zh"", ""en"")"),"CK wallet checked the car line is not very neat, do not know in the end is not genuine. There are a total of 200 small ticket, but received 260 pieces, not very satisfied")</f>
        <v>CK wallet checked the car line is not very neat, do not know in the end is not genuine. There are a total of 200 small ticket, but received 260 pieces, not very satisfied</v>
      </c>
    </row>
    <row r="14371">
      <c r="A14371" s="1">
        <v>4.0</v>
      </c>
      <c r="B14371" s="1" t="s">
        <v>13130</v>
      </c>
      <c r="C14371" t="str">
        <f>IFERROR(__xludf.DUMMYFUNCTION("GOOGLETRANSLATE(B14371, ""zh"", ""en"")"),"Clothes okay, keep wearing, but back")</f>
        <v>Clothes okay, keep wearing, but back</v>
      </c>
    </row>
    <row r="14372">
      <c r="A14372" s="1">
        <v>4.0</v>
      </c>
      <c r="B14372" s="1" t="s">
        <v>14221</v>
      </c>
      <c r="C14372" t="str">
        <f>IFERROR(__xludf.DUMMYFUNCTION("GOOGLETRANSLATE(B14372, ""zh"", ""en"")"),"M code are bigger. 180,85KG, M can wear a little large, self estimate S, the fabric is thick, the color is slightly old-fashioned")</f>
        <v>M code are bigger. 180,85KG, M can wear a little large, self estimate S, the fabric is thick, the color is slightly old-fashioned</v>
      </c>
    </row>
    <row r="14373">
      <c r="A14373" s="1">
        <v>4.0</v>
      </c>
      <c r="B14373" s="1" t="s">
        <v>14222</v>
      </c>
      <c r="C14373" t="str">
        <f>IFERROR(__xludf.DUMMYFUNCTION("GOOGLETRANSLATE(B14373, ""zh"", ""en"")"),"Too thin is too thin material okay then there buy the wrong size too small")</f>
        <v>Too thin is too thin material okay then there buy the wrong size too small</v>
      </c>
    </row>
    <row r="14374">
      <c r="A14374" s="1">
        <v>4.0</v>
      </c>
      <c r="B14374" s="1" t="s">
        <v>14223</v>
      </c>
      <c r="C14374" t="str">
        <f>IFERROR(__xludf.DUMMYFUNCTION("GOOGLETRANSLATE(B14374, ""zh"", ""en"")"),"Well also it. Than the official website ah purchasing are cheap. I felt looked genuine. I played a lot. One can buy small. Chuan Chuan look. First time to buy")</f>
        <v>Well also it. Than the official website ah purchasing are cheap. I felt looked genuine. I played a lot. One can buy small. Chuan Chuan look. First time to buy</v>
      </c>
    </row>
    <row r="14375">
      <c r="A14375" s="1">
        <v>5.0</v>
      </c>
      <c r="B14375" s="1" t="s">
        <v>14224</v>
      </c>
      <c r="C14375" t="str">
        <f>IFERROR(__xludf.DUMMYFUNCTION("GOOGLETRANSLATE(B14375, ""zh"", ""en"")"),"Also to the next thought to arrive so quickly, Amazon's service is really good. Buy earn. Praise to a")</f>
        <v>Also to the next thought to arrive so quickly, Amazon's service is really good. Buy earn. Praise to a</v>
      </c>
    </row>
    <row r="14376">
      <c r="A14376" s="1">
        <v>5.0</v>
      </c>
      <c r="B14376" s="1" t="s">
        <v>14225</v>
      </c>
      <c r="C14376" t="str">
        <f>IFERROR(__xludf.DUMMYFUNCTION("GOOGLETRANSLATE(B14376, ""zh"", ""en"")"),"A little small, light, easy to carry")</f>
        <v>A little small, light, easy to carry</v>
      </c>
    </row>
    <row r="14377">
      <c r="A14377" s="1">
        <v>5.0</v>
      </c>
      <c r="B14377" s="1" t="s">
        <v>14226</v>
      </c>
      <c r="C14377" t="str">
        <f>IFERROR(__xludf.DUMMYFUNCTION("GOOGLETRANSLATE(B14377, ""zh"", ""en"")"),"Recommended child constipation constipation conditioning conditioning buy ready to eat children, but go to the Children's Hospital has opened a milk candy oral constipation are normal, this is no idle open to eat, but I believe Amazon")</f>
        <v>Recommended child constipation constipation conditioning conditioning buy ready to eat children, but go to the Children's Hospital has opened a milk candy oral constipation are normal, this is no idle open to eat, but I believe Amazon</v>
      </c>
    </row>
    <row r="14378">
      <c r="A14378" s="1">
        <v>5.0</v>
      </c>
      <c r="B14378" s="1" t="s">
        <v>14227</v>
      </c>
      <c r="C14378" t="str">
        <f>IFERROR(__xludf.DUMMYFUNCTION("GOOGLETRANSLATE(B14378, ""zh"", ""en"")"),"Cost-effective price tag four hundred to succeed, actually one hundred early start, very cost-effective. m symbols ck is suitable loose effect.")</f>
        <v>Cost-effective price tag four hundred to succeed, actually one hundred early start, very cost-effective. m symbols ck is suitable loose effect.</v>
      </c>
    </row>
    <row r="14379">
      <c r="A14379" s="1">
        <v>5.0</v>
      </c>
      <c r="B14379" s="1" t="s">
        <v>14228</v>
      </c>
      <c r="C14379" t="str">
        <f>IFERROR(__xludf.DUMMYFUNCTION("GOOGLETRANSLATE(B14379, ""zh"", ""en"")"),"Headphone good, I liked it, burn the headset is good, I liked it, burn in")</f>
        <v>Headphone good, I liked it, burn the headset is good, I liked it, burn in</v>
      </c>
    </row>
    <row r="14380">
      <c r="A14380" s="1">
        <v>5.0</v>
      </c>
      <c r="B14380" s="1" t="s">
        <v>14229</v>
      </c>
      <c r="C14380" t="str">
        <f>IFERROR(__xludf.DUMMYFUNCTION("GOOGLETRANSLATE(B14380, ""zh"", ""en"")"),"Good quality is good, I liked it, size is right!")</f>
        <v>Good quality is good, I liked it, size is right!</v>
      </c>
    </row>
    <row r="14381">
      <c r="A14381" s="1">
        <v>5.0</v>
      </c>
      <c r="B14381" s="1" t="s">
        <v>14230</v>
      </c>
      <c r="C14381" t="str">
        <f>IFERROR(__xludf.DUMMYFUNCTION("GOOGLETRANSLATE(B14381, ""zh"", ""en"")"),"While hearing a lot of cheap K3003i AKG, but the price of the DT240 or give me amazing, first of all to bring out the street is not easy to consider big headphones, Sennheiser and tried for the first time to buy akg Baia very satisfied. Voice or fly in th"&amp;"e ointment. Home delivery to light I think they have been transferred packet. Cheaper than twice as fast as the state line, out of warranty, the domestic agent really profiteers")</f>
        <v>While hearing a lot of cheap K3003i AKG, but the price of the DT240 or give me amazing, first of all to bring out the street is not easy to consider big headphones, Sennheiser and tried for the first time to buy akg Baia very satisfied. Voice or fly in the ointment. Home delivery to light I think they have been transferred packet. Cheaper than twice as fast as the state line, out of warranty, the domestic agent really profiteers</v>
      </c>
    </row>
    <row r="14382">
      <c r="A14382" s="1">
        <v>5.0</v>
      </c>
      <c r="B14382" s="1" t="s">
        <v>14231</v>
      </c>
      <c r="C14382" t="str">
        <f>IFERROR(__xludf.DUMMYFUNCTION("GOOGLETRANSLATE(B14382, ""zh"", ""en"")"),"Value for money is also good, very fast transmission speed stabilized at 160m / s or so - the key is a lot cheaper than domestic success to customer service - hit mainland China Warranty ~")</f>
        <v>Value for money is also good, very fast transmission speed stabilized at 160m / s or so - the key is a lot cheaper than domestic success to customer service - hit mainland China Warranty ~</v>
      </c>
    </row>
    <row r="14383">
      <c r="A14383" s="1">
        <v>5.0</v>
      </c>
      <c r="B14383" s="1" t="s">
        <v>14232</v>
      </c>
      <c r="C14383" t="str">
        <f>IFERROR(__xludf.DUMMYFUNCTION("GOOGLETRANSLATE(B14383, ""zh"", ""en"")"),"You need to recapture the filter paper? Thank you! Coffee maker is very easy to use, like!")</f>
        <v>You need to recapture the filter paper? Thank you! Coffee maker is very easy to use, like!</v>
      </c>
    </row>
    <row r="14384">
      <c r="A14384" s="1">
        <v>5.0</v>
      </c>
      <c r="B14384" s="1" t="s">
        <v>14233</v>
      </c>
      <c r="C14384" t="str">
        <f>IFERROR(__xludf.DUMMYFUNCTION("GOOGLETRANSLATE(B14384, ""zh"", ""en"")"),"Good-looking winter wear is relatively large but okay")</f>
        <v>Good-looking winter wear is relatively large but okay</v>
      </c>
    </row>
    <row r="14385">
      <c r="A14385" s="1">
        <v>5.0</v>
      </c>
      <c r="B14385" s="1" t="s">
        <v>14234</v>
      </c>
      <c r="C14385" t="str">
        <f>IFERROR(__xludf.DUMMYFUNCTION("GOOGLETRANSLATE(B14385, ""zh"", ""en"")"),"Good Goog")</f>
        <v>Good Goog</v>
      </c>
    </row>
    <row r="14386">
      <c r="A14386" s="1">
        <v>5.0</v>
      </c>
      <c r="B14386" s="1" t="s">
        <v>14235</v>
      </c>
      <c r="C14386" t="str">
        <f>IFERROR(__xludf.DUMMYFUNCTION("GOOGLETRANSLATE(B14386, ""zh"", ""en"")"),"General wear thigh is a little tight, micro Le buttocks, cloth good.")</f>
        <v>General wear thigh is a little tight, micro Le buttocks, cloth good.</v>
      </c>
    </row>
    <row r="14387">
      <c r="A14387" s="1">
        <v>5.0</v>
      </c>
      <c r="B14387" s="1" t="s">
        <v>14236</v>
      </c>
      <c r="C14387" t="str">
        <f>IFERROR(__xludf.DUMMYFUNCTION("GOOGLETRANSLATE(B14387, ""zh"", ""en"")"),"Classic style, practical function Casio's definitely a classic, from US astronauts to the principle of Jay are wearing, inexpensive functional and practical, not fancy just some of the good")</f>
        <v>Classic style, practical function Casio's definitely a classic, from US astronauts to the principle of Jay are wearing, inexpensive functional and practical, not fancy just some of the good</v>
      </c>
    </row>
    <row r="14388">
      <c r="A14388" s="1">
        <v>5.0</v>
      </c>
      <c r="B14388" s="1" t="s">
        <v>14237</v>
      </c>
      <c r="C14388" t="str">
        <f>IFERROR(__xludf.DUMMYFUNCTION("GOOGLETRANSLATE(B14388, ""zh"", ""en"")"),"Comfortable, breathable underwear comfortable soft, delicate and smooth")</f>
        <v>Comfortable, breathable underwear comfortable soft, delicate and smooth</v>
      </c>
    </row>
    <row r="14389">
      <c r="A14389" s="1">
        <v>5.0</v>
      </c>
      <c r="B14389" s="1" t="s">
        <v>14238</v>
      </c>
      <c r="C14389" t="str">
        <f>IFERROR(__xludf.DUMMYFUNCTION("GOOGLETRANSLATE(B14389, ""zh"", ""en"")"),"Belt buy some long! Buy a long, belt quality is also OK!")</f>
        <v>Belt buy some long! Buy a long, belt quality is also OK!</v>
      </c>
    </row>
    <row r="14390">
      <c r="A14390" s="1">
        <v>5.0</v>
      </c>
      <c r="B14390" s="1" t="s">
        <v>14239</v>
      </c>
      <c r="C14390" t="str">
        <f>IFERROR(__xludf.DUMMYFUNCTION("GOOGLETRANSLATE(B14390, ""zh"", ""en"")"),"Archive necessary a lot faster than expected rate, it must be received. Something good, speed is acceptable, it is suitable for use as an archive.")</f>
        <v>Archive necessary a lot faster than expected rate, it must be received. Something good, speed is acceptable, it is suitable for use as an archive.</v>
      </c>
    </row>
    <row r="14391">
      <c r="A14391" s="1">
        <v>5.0</v>
      </c>
      <c r="B14391" s="1" t="s">
        <v>14240</v>
      </c>
      <c r="C14391" t="str">
        <f>IFERROR(__xludf.DUMMYFUNCTION("GOOGLETRANSLATE(B14391, ""zh"", ""en"")"),"Feel easy fade fine lines effective than La Mer")</f>
        <v>Feel easy fade fine lines effective than La Mer</v>
      </c>
    </row>
    <row r="14392">
      <c r="A14392" s="1">
        <v>5.0</v>
      </c>
      <c r="B14392" s="1" t="s">
        <v>14241</v>
      </c>
      <c r="C14392" t="str">
        <f>IFERROR(__xludf.DUMMYFUNCTION("GOOGLETRANSLATE(B14392, ""zh"", ""en"")"),"Filter bought himself adapter, played two holes installed ok")</f>
        <v>Filter bought himself adapter, played two holes installed ok</v>
      </c>
    </row>
    <row r="14393">
      <c r="A14393" s="1">
        <v>5.0</v>
      </c>
      <c r="B14393" s="1" t="s">
        <v>14242</v>
      </c>
      <c r="C14393" t="str">
        <f>IFERROR(__xludf.DUMMYFUNCTION("GOOGLETRANSLATE(B14393, ""zh"", ""en"")"),"A nice easy to use, very satisfied, that is 220 to 110 rpm more transformers, accounting for place")</f>
        <v>A nice easy to use, very satisfied, that is 220 to 110 rpm more transformers, accounting for place</v>
      </c>
    </row>
    <row r="14394">
      <c r="A14394" s="1">
        <v>5.0</v>
      </c>
      <c r="B14394" s="1" t="s">
        <v>14243</v>
      </c>
      <c r="C14394" t="str">
        <f>IFERROR(__xludf.DUMMYFUNCTION("GOOGLETRANSLATE(B14394, ""zh"", ""en"")"),"High cost of sound straightforward, accurate imaging, great.")</f>
        <v>High cost of sound straightforward, accurate imaging, great.</v>
      </c>
    </row>
    <row r="14395">
      <c r="A14395" s="1">
        <v>5.0</v>
      </c>
      <c r="B14395" s="1" t="s">
        <v>14244</v>
      </c>
      <c r="C14395" t="str">
        <f>IFERROR(__xludf.DUMMYFUNCTION("GOOGLETRANSLATE(B14395, ""zh"", ""en"")"),"The American people really happy ah, dozens of money can buy such a good pot and as I expected, heavy in his hand, the pot is definitely a good mouth, should be passaged, non-stick frying things, the only regret there is a pot along two small gap")</f>
        <v>The American people really happy ah, dozens of money can buy such a good pot and as I expected, heavy in his hand, the pot is definitely a good mouth, should be passaged, non-stick frying things, the only regret there is a pot along two small gap</v>
      </c>
    </row>
    <row r="14396">
      <c r="A14396" s="1">
        <v>2.0</v>
      </c>
      <c r="B14396" s="1" t="s">
        <v>14245</v>
      </c>
      <c r="C14396" t="str">
        <f>IFERROR(__xludf.DUMMYFUNCTION("GOOGLETRANSLATE(B14396, ""zh"", ""en"")"),"Too much work is very general, fabric difference, unlike regular quality LEE, oversized, compared with the waist size of the counter is at least the 8CM, can not wear, trash")</f>
        <v>Too much work is very general, fabric difference, unlike regular quality LEE, oversized, compared with the waist size of the counter is at least the 8CM, can not wear, trash</v>
      </c>
    </row>
    <row r="14397">
      <c r="A14397" s="1">
        <v>3.0</v>
      </c>
      <c r="B14397" s="1" t="s">
        <v>14246</v>
      </c>
      <c r="C14397" t="str">
        <f>IFERROR(__xludf.DUMMYFUNCTION("GOOGLETRANSLATE(B14397, ""zh"", ""en"")"),"Vamp wear always liked clarks shoes, more comfortable to wear. However, this seems to be the double second-hand, the feeling of being returned, shoe wear, but also more serious. A little less cool. Could it be that some cheap and poor quality of some of t"&amp;"he will?")</f>
        <v>Vamp wear always liked clarks shoes, more comfortable to wear. However, this seems to be the double second-hand, the feeling of being returned, shoe wear, but also more serious. A little less cool. Could it be that some cheap and poor quality of some of the will?</v>
      </c>
    </row>
    <row r="14398">
      <c r="A14398" s="1">
        <v>3.0</v>
      </c>
      <c r="B14398" s="1" t="s">
        <v>14247</v>
      </c>
      <c r="C14398" t="str">
        <f>IFERROR(__xludf.DUMMYFUNCTION("GOOGLETRANSLATE(B14398, ""zh"", ""en"")"),"It does not look good. No work, looks like a mosaic of ... of course, skin, strong.")</f>
        <v>It does not look good. No work, looks like a mosaic of ... of course, skin, strong.</v>
      </c>
    </row>
    <row r="14399">
      <c r="A14399" s="1">
        <v>3.0</v>
      </c>
      <c r="B14399" s="1" t="s">
        <v>14248</v>
      </c>
      <c r="C14399" t="str">
        <f>IFERROR(__xludf.DUMMYFUNCTION("GOOGLETRANSLATE(B14399, ""zh"", ""en"")"),"Version does not, the color deviation headline tapered pants feet Slim waist straight jeans is actually the color and picture color big dim light colored, not very satisfied. LEE feeling before the brand is targeting high-end denim, now feeling low pricin"&amp;"g, fabric work is also what a lot worse than before, feel the high-end denim brand flavor")</f>
        <v>Version does not, the color deviation headline tapered pants feet Slim waist straight jeans is actually the color and picture color big dim light colored, not very satisfied. LEE feeling before the brand is targeting high-end denim, now feeling low pricing, fabric work is also what a lot worse than before, feel the high-end denim brand flavor</v>
      </c>
    </row>
    <row r="14400">
      <c r="A14400" s="1">
        <v>1.0</v>
      </c>
      <c r="B14400" s="1" t="s">
        <v>14249</v>
      </c>
      <c r="C14400" t="str">
        <f>IFERROR(__xludf.DUMMYFUNCTION("GOOGLETRANSLATE(B14400, ""zh"", ""en"")"),"Production date is applied. It is not because they can not return or return troubles gave me a undated product. Poor suspected expired products.")</f>
        <v>Production date is applied. It is not because they can not return or return troubles gave me a undated product. Poor suspected expired products.</v>
      </c>
    </row>
    <row r="14401">
      <c r="A14401" s="1">
        <v>1.0</v>
      </c>
      <c r="B14401" s="1" t="s">
        <v>14250</v>
      </c>
      <c r="C14401" t="str">
        <f>IFERROR(__xludf.DUMMYFUNCTION("GOOGLETRANSLATE(B14401, ""zh"", ""en"")"),"Obviously defective products! Goods have obvious flaws. Wear within the dead angle left exposed bags left rear mouth bags. Obviously defective products!")</f>
        <v>Obviously defective products! Goods have obvious flaws. Wear within the dead angle left exposed bags left rear mouth bags. Obviously defective products!</v>
      </c>
    </row>
    <row r="14402">
      <c r="A14402" s="1">
        <v>1.0</v>
      </c>
      <c r="B14402" s="1" t="s">
        <v>14251</v>
      </c>
      <c r="C14402" t="str">
        <f>IFERROR(__xludf.DUMMYFUNCTION("GOOGLETRANSLATE(B14402, ""zh"", ""en"")"),"Quality packaging worrying is bad, do not watch the second hand go, but the time is accurate, reclaim, and give a star encouraged. .")</f>
        <v>Quality packaging worrying is bad, do not watch the second hand go, but the time is accurate, reclaim, and give a star encouraged. .</v>
      </c>
    </row>
    <row r="14403">
      <c r="A14403" s="1">
        <v>4.0</v>
      </c>
      <c r="B14403" s="1" t="s">
        <v>14252</v>
      </c>
      <c r="C14403" t="str">
        <f>IFERROR(__xludf.DUMMYFUNCTION("GOOGLETRANSLATE(B14403, ""zh"", ""en"")"),"Finally arrived a too large one yard to keep it feeling too large a lot of soft Pei-ling is very soft color is not the picture of a dark tint")</f>
        <v>Finally arrived a too large one yard to keep it feeling too large a lot of soft Pei-ling is very soft color is not the picture of a dark tint</v>
      </c>
    </row>
    <row r="14404">
      <c r="A14404" s="1">
        <v>4.0</v>
      </c>
      <c r="B14404" s="1" t="s">
        <v>14253</v>
      </c>
      <c r="C14404" t="str">
        <f>IFERROR(__xludf.DUMMYFUNCTION("GOOGLETRANSLATE(B14404, ""zh"", ""en"")"),"Chicken parts machine very easy to use, is supporting and vegetable juice machines that are not used, the casing is plastic, not to say a semi-metal it? Meat grinder sort of a small hole, twist a large capacity, small meat cutter, was reprovision hole. Ve"&amp;"getable, potato, carrot, another cabbage, Oh, come pick up your knife! Who potatoes carrots every day! What the hell is that orange juice machine!")</f>
        <v>Chicken parts machine very easy to use, is supporting and vegetable juice machines that are not used, the casing is plastic, not to say a semi-metal it? Meat grinder sort of a small hole, twist a large capacity, small meat cutter, was reprovision hole. Vegetable, potato, carrot, another cabbage, Oh, come pick up your knife! Who potatoes carrots every day! What the hell is that orange juice machine!</v>
      </c>
    </row>
    <row r="14405">
      <c r="A14405" s="1">
        <v>4.0</v>
      </c>
      <c r="B14405" s="1" t="s">
        <v>14254</v>
      </c>
      <c r="C14405" t="str">
        <f>IFERROR(__xludf.DUMMYFUNCTION("GOOGLETRANSLATE(B14405, ""zh"", ""en"")"),"Good movie box music is not very good, bass heavy, crossover setting is not ideal. Watching movies is actually very appropriate, very low frequency enough. Quality worthy of the price.")</f>
        <v>Good movie box music is not very good, bass heavy, crossover setting is not ideal. Watching movies is actually very appropriate, very low frequency enough. Quality worthy of the price.</v>
      </c>
    </row>
    <row r="14406">
      <c r="A14406" s="1">
        <v>4.0</v>
      </c>
      <c r="B14406" s="1" t="s">
        <v>14255</v>
      </c>
      <c r="C14406" t="str">
        <f>IFERROR(__xludf.DUMMYFUNCTION("GOOGLETRANSLATE(B14406, ""zh"", ""en"")"),"Easy lid off the insulation effect, good material. The disadvantage is that straw cup lid is easy to fall off.")</f>
        <v>Easy lid off the insulation effect, good material. The disadvantage is that straw cup lid is easy to fall off.</v>
      </c>
    </row>
    <row r="14407">
      <c r="A14407" s="1">
        <v>5.0</v>
      </c>
      <c r="B14407" s="1" t="s">
        <v>14256</v>
      </c>
      <c r="C14407" t="str">
        <f>IFERROR(__xludf.DUMMYFUNCTION("GOOGLETRANSLATE(B14407, ""zh"", ""en"")"),"Three over 200 is good, than the domestic cost too much, good quality, the future will buy")</f>
        <v>Three over 200 is good, than the domestic cost too much, good quality, the future will buy</v>
      </c>
    </row>
    <row r="14408">
      <c r="A14408" s="1">
        <v>5.0</v>
      </c>
      <c r="B14408" s="1" t="s">
        <v>14257</v>
      </c>
      <c r="C14408" t="str">
        <f>IFERROR(__xludf.DUMMYFUNCTION("GOOGLETRANSLATE(B14408, ""zh"", ""en"")"),"Comfortable and very comfortable, good. . . . . .")</f>
        <v>Comfortable and very comfortable, good. . . . . .</v>
      </c>
    </row>
    <row r="14409">
      <c r="A14409" s="1">
        <v>5.0</v>
      </c>
      <c r="B14409" s="1" t="s">
        <v>14258</v>
      </c>
      <c r="C14409" t="str">
        <f>IFERROR(__xludf.DUMMYFUNCTION("GOOGLETRANSLATE(B14409, ""zh"", ""en"")"),"Very good very comfortable to wear, warm good results. 173,75kg naked wearing just right, outer wear a little bit small.")</f>
        <v>Very good very comfortable to wear, warm good results. 173,75kg naked wearing just right, outer wear a little bit small.</v>
      </c>
    </row>
    <row r="14410">
      <c r="A14410" s="1">
        <v>5.0</v>
      </c>
      <c r="B14410" s="1" t="s">
        <v>14259</v>
      </c>
      <c r="C14410" t="str">
        <f>IFERROR(__xludf.DUMMYFUNCTION("GOOGLETRANSLATE(B14410, ""zh"", ""en"")"),"Thick, comfortable, relaxed, normal size! 34w30l, 176cm / 78kg, just right! Cloth thick, but very comfortable to wear! Belong to loose money, the legs a little bit rough! The first sea Amoy buy jeans, satisfaction!")</f>
        <v>Thick, comfortable, relaxed, normal size! 34w30l, 176cm / 78kg, just right! Cloth thick, but very comfortable to wear! Belong to loose money, the legs a little bit rough! The first sea Amoy buy jeans, satisfaction!</v>
      </c>
    </row>
    <row r="14411">
      <c r="A14411" s="1">
        <v>5.0</v>
      </c>
      <c r="B14411" s="1" t="s">
        <v>14260</v>
      </c>
      <c r="C14411" t="str">
        <f>IFERROR(__xludf.DUMMYFUNCTION("GOOGLETRANSLATE(B14411, ""zh"", ""en"")"),"Training suit I've always liked this brand. Quality stuff, really good! Height 1.74, weight 68.5 kg. The right size.")</f>
        <v>Training suit I've always liked this brand. Quality stuff, really good! Height 1.74, weight 68.5 kg. The right size.</v>
      </c>
    </row>
    <row r="14412">
      <c r="A14412" s="1">
        <v>5.0</v>
      </c>
      <c r="B14412" s="1" t="s">
        <v>14261</v>
      </c>
      <c r="C14412" t="str">
        <f>IFERROR(__xludf.DUMMYFUNCTION("GOOGLETRANSLATE(B14412, ""zh"", ""en"")"),"Very, very good, clear the brush head before bought a lot of hard Jingdong, and this will not be as good as the original!")</f>
        <v>Very, very good, clear the brush head before bought a lot of hard Jingdong, and this will not be as good as the original!</v>
      </c>
    </row>
    <row r="14413">
      <c r="A14413" s="1">
        <v>5.0</v>
      </c>
      <c r="B14413" s="1" t="s">
        <v>14262</v>
      </c>
      <c r="C14413" t="str">
        <f>IFERROR(__xludf.DUMMYFUNCTION("GOOGLETRANSLATE(B14413, ""zh"", ""en"")"),"Good single 30 November, December 8th SF to, speed is also good. Express box as a whole is not broken, a little squeeze, product box intact, items in good condition. Hopefully, the Internet, said the top button do not fail in use")</f>
        <v>Good single 30 November, December 8th SF to, speed is also good. Express box as a whole is not broken, a little squeeze, product box intact, items in good condition. Hopefully, the Internet, said the top button do not fail in use</v>
      </c>
    </row>
    <row r="14414">
      <c r="A14414" s="1">
        <v>5.0</v>
      </c>
      <c r="B14414" s="1" t="s">
        <v>14263</v>
      </c>
      <c r="C14414" t="str">
        <f>IFERROR(__xludf.DUMMYFUNCTION("GOOGLETRANSLATE(B14414, ""zh"", ""en"")"),"Zojirushi bread Superman for the first time in the Amazon to buy things, or Japanese direct mail, really feel good fun, the key is to ensure genuine, I have been hesitant to buy Tiger or Zojirushi, and finally select the insulation effect Zojirushi is rea"&amp;"lly mug community in the first place, is really okay, that is some loose lid Oh, the baby will always be knocked down, but tiger seems, too, might the Japanese design issues, but too love this cup, the baby is very fond of drink plenty of water, breath Ba"&amp;"nhu drunk, like hard, give praise, hope that the next Amazon to Zojirushi contact the manufacturer to improve the link under the lid hardness, can it? Haha.")</f>
        <v>Zojirushi bread Superman for the first time in the Amazon to buy things, or Japanese direct mail, really feel good fun, the key is to ensure genuine, I have been hesitant to buy Tiger or Zojirushi, and finally select the insulation effect Zojirushi is really mug community in the first place, is really okay, that is some loose lid Oh, the baby will always be knocked down, but tiger seems, too, might the Japanese design issues, but too love this cup, the baby is very fond of drink plenty of water, breath Banhu drunk, like hard, give praise, hope that the next Amazon to Zojirushi contact the manufacturer to improve the link under the lid hardness, can it? Haha.</v>
      </c>
    </row>
    <row r="14415">
      <c r="A14415" s="1">
        <v>5.0</v>
      </c>
      <c r="B14415" s="1" t="s">
        <v>14264</v>
      </c>
      <c r="C14415" t="str">
        <f>IFERROR(__xludf.DUMMYFUNCTION("GOOGLETRANSLATE(B14415, ""zh"", ""en"")"),"Good use is also very convenient, quality is also very good!")</f>
        <v>Good use is also very convenient, quality is also very good!</v>
      </c>
    </row>
    <row r="14416">
      <c r="A14416" s="1">
        <v>5.0</v>
      </c>
      <c r="B14416" s="1" t="s">
        <v>14265</v>
      </c>
      <c r="C14416" t="str">
        <f>IFERROR(__xludf.DUMMYFUNCTION("GOOGLETRANSLATE(B14416, ""zh"", ""en"")"),"[Gunze] [lightweight coated bra full cup underwire bra None EB1229H very satisfied")</f>
        <v>[Gunze] [lightweight coated bra full cup underwire bra None EB1229H very satisfied</v>
      </c>
    </row>
    <row r="14417">
      <c r="A14417" s="1">
        <v>5.0</v>
      </c>
      <c r="B14417" s="1" t="s">
        <v>14266</v>
      </c>
      <c r="C14417" t="str">
        <f>IFERROR(__xludf.DUMMYFUNCTION("GOOGLETRANSLATE(B14417, ""zh"", ""en"")"),"Garbage &lt;div id = ""video-block-R2V760MI67AZ2F"" class = ""a-section a-spacing-small a-spacing-top-mini video-block""&gt; &lt;/ div&gt; &lt;input type = ""hidden"" name = """" value = ""https://images-cn.ssl-images-amazon.com/images/I/41RRyH02a+S.mp4"" class = ""vide"&amp;"o-url""&gt; &lt;input type = ""hidden"" name = """" value = ""https://images-cn.ssl-images-amazon.com/images/I/A1aSyUqni3S.png"" class = ""video-slate-img-url""&gt; &amp; nbsp; FIG have their tables with less than several even the back cover off, and it can not be ins"&amp;"talled on the hope that buyers cautious")</f>
        <v>Garbage &lt;div id = "video-block-R2V760MI67AZ2F" class = "a-section a-spacing-small a-spacing-top-mini video-block"&gt; &lt;/ div&gt; &lt;input type = "hidden" name = "" value = "https://images-cn.ssl-images-amazon.com/images/I/41RRyH02a+S.mp4" class = "video-url"&gt; &lt;input type = "hidden" name = "" value = "https://images-cn.ssl-images-amazon.com/images/I/A1aSyUqni3S.png" class = "video-slate-img-url"&gt; &amp; nbsp; FIG have their tables with less than several even the back cover off, and it can not be installed on the hope that buyers cautious</v>
      </c>
    </row>
    <row r="14418">
      <c r="A14418" s="1">
        <v>5.0</v>
      </c>
      <c r="B14418" s="1" t="s">
        <v>14267</v>
      </c>
      <c r="C14418" t="str">
        <f>IFERROR(__xludf.DUMMYFUNCTION("GOOGLETRANSLATE(B14418, ""zh"", ""en"")"),"Well satisfied with the quality, buy a set, very comfortable to wear")</f>
        <v>Well satisfied with the quality, buy a set, very comfortable to wear</v>
      </c>
    </row>
    <row r="14419">
      <c r="A14419" s="1">
        <v>5.0</v>
      </c>
      <c r="B14419" s="1" t="s">
        <v>14268</v>
      </c>
      <c r="C14419" t="str">
        <f>IFERROR(__xludf.DUMMYFUNCTION("GOOGLETRANSLATE(B14419, ""zh"", ""en"")"),"In addition to other better slow down quite cost-effective, removed the hard disk boxed cupboard.")</f>
        <v>In addition to other better slow down quite cost-effective, removed the hard disk boxed cupboard.</v>
      </c>
    </row>
    <row r="14420">
      <c r="A14420" s="1">
        <v>5.0</v>
      </c>
      <c r="B14420" s="1" t="s">
        <v>14269</v>
      </c>
      <c r="C14420" t="str">
        <f>IFERROR(__xludf.DUMMYFUNCTION("GOOGLETRANSLATE(B14420, ""zh"", ""en"")"),"Good buy for his son. Since the summer, so do not how to wear, fall to wear a catching comment.")</f>
        <v>Good buy for his son. Since the summer, so do not how to wear, fall to wear a catching comment.</v>
      </c>
    </row>
    <row r="14421">
      <c r="A14421" s="1">
        <v>5.0</v>
      </c>
      <c r="B14421" s="1" t="s">
        <v>14270</v>
      </c>
      <c r="C14421" t="str">
        <f>IFERROR(__xludf.DUMMYFUNCTION("GOOGLETRANSLATE(B14421, ""zh"", ""en"")"),"Length of relatively hard right size, that is too hard")</f>
        <v>Length of relatively hard right size, that is too hard</v>
      </c>
    </row>
    <row r="14422">
      <c r="A14422" s="1">
        <v>5.0</v>
      </c>
      <c r="B14422" s="1" t="s">
        <v>14271</v>
      </c>
      <c r="C14422" t="str">
        <f>IFERROR(__xludf.DUMMYFUNCTION("GOOGLETRANSLATE(B14422, ""zh"", ""en"")"),"Good very good, I have been to buy a Parker pen")</f>
        <v>Good very good, I have been to buy a Parker pen</v>
      </c>
    </row>
    <row r="14423">
      <c r="A14423" s="1">
        <v>5.0</v>
      </c>
      <c r="B14423" s="1" t="s">
        <v>14272</v>
      </c>
      <c r="C14423" t="str">
        <f>IFERROR(__xludf.DUMMYFUNCTION("GOOGLETRANSLATE(B14423, ""zh"", ""en"")"),"Very satisfied with less than two weeks received the goods, prime really rapidly. Something good very fine grinding, eat a variety of milkshakes a day, in the summer you can try flavored ice it!")</f>
        <v>Very satisfied with less than two weeks received the goods, prime really rapidly. Something good very fine grinding, eat a variety of milkshakes a day, in the summer you can try flavored ice it!</v>
      </c>
    </row>
    <row r="14424">
      <c r="A14424" s="1">
        <v>5.0</v>
      </c>
      <c r="B14424" s="1" t="s">
        <v>14273</v>
      </c>
      <c r="C14424" t="str">
        <f>IFERROR(__xludf.DUMMYFUNCTION("GOOGLETRANSLATE(B14424, ""zh"", ""en"")"),"Amazon UK fast delivery world single week, Monday shipped from the United Kingdom, on Saturday sent. Large and loose clothes, it 183/70, buy S code is enough.")</f>
        <v>Amazon UK fast delivery world single week, Monday shipped from the United Kingdom, on Saturday sent. Large and loose clothes, it 183/70, buy S code is enough.</v>
      </c>
    </row>
    <row r="14425">
      <c r="A14425" s="1">
        <v>5.0</v>
      </c>
      <c r="B14425" s="1" t="s">
        <v>14274</v>
      </c>
      <c r="C14425" t="str">
        <f>IFERROR(__xludf.DUMMYFUNCTION("GOOGLETRANSLATE(B14425, ""zh"", ""en"")"),"Fit, this product is really good this product is really good, very fit, the other only to the summer in order to know.")</f>
        <v>Fit, this product is really good this product is really good, very fit, the other only to the summer in order to know.</v>
      </c>
    </row>
    <row r="14426">
      <c r="A14426" s="1">
        <v>5.0</v>
      </c>
      <c r="B14426" s="1" t="s">
        <v>14275</v>
      </c>
      <c r="C14426" t="str">
        <f>IFERROR(__xludf.DUMMYFUNCTION("GOOGLETRANSLATE(B14426, ""zh"", ""en"")"),"Good fine, easy to use than the supermarket.")</f>
        <v>Good fine, easy to use than the supermarket.</v>
      </c>
    </row>
    <row r="14427">
      <c r="A14427" s="1">
        <v>5.0</v>
      </c>
      <c r="B14427" s="1" t="s">
        <v>14276</v>
      </c>
      <c r="C14427" t="str">
        <f>IFERROR(__xludf.DUMMYFUNCTION("GOOGLETRANSLATE(B14427, ""zh"", ""en"")"),"sony ok good, cheaper than domestic.")</f>
        <v>sony ok good, cheaper than domestic.</v>
      </c>
    </row>
    <row r="14428">
      <c r="A14428" s="1">
        <v>5.0</v>
      </c>
      <c r="B14428" s="1" t="s">
        <v>14277</v>
      </c>
      <c r="C14428" t="str">
        <f>IFERROR(__xludf.DUMMYFUNCTION("GOOGLETRANSLATE(B14428, ""zh"", ""en"")"),"Good quality, good quality and reasonable price, easy to use.")</f>
        <v>Good quality, good quality and reasonable price, easy to use.</v>
      </c>
    </row>
    <row r="14429">
      <c r="A14429" s="1">
        <v>2.0</v>
      </c>
      <c r="B14429" s="1" t="s">
        <v>14278</v>
      </c>
      <c r="C14429" t="str">
        <f>IFERROR(__xludf.DUMMYFUNCTION("GOOGLETRANSLATE(B14429, ""zh"", ""en"")"),"Worth worth. Bad, not good at all I")</f>
        <v>Worth worth. Bad, not good at all I</v>
      </c>
    </row>
    <row r="14430">
      <c r="A14430" s="1">
        <v>3.0</v>
      </c>
      <c r="B14430" s="1" t="s">
        <v>14279</v>
      </c>
      <c r="C14430" t="str">
        <f>IFERROR(__xludf.DUMMYFUNCTION("GOOGLETRANSLATE(B14430, ""zh"", ""en"")"),"Cover too, this section does not look good is not good-looking other models, the lid is too large, quilt cover color and color are quite different")</f>
        <v>Cover too, this section does not look good is not good-looking other models, the lid is too large, quilt cover color and color are quite different</v>
      </c>
    </row>
    <row r="14431">
      <c r="A14431" s="1">
        <v>3.0</v>
      </c>
      <c r="B14431" s="1" t="s">
        <v>14280</v>
      </c>
      <c r="C14431" t="str">
        <f>IFERROR(__xludf.DUMMYFUNCTION("GOOGLETRANSLATE(B14431, ""zh"", ""en"")"),"No previous buy American brands are buying in numbers, but it is recommended to buy to increase blowing website or queen, I am a little dissent, chose large, but fitting or big, long, feeling fooled.")</f>
        <v>No previous buy American brands are buying in numbers, but it is recommended to buy to increase blowing website or queen, I am a little dissent, chose large, but fitting or big, long, feeling fooled.</v>
      </c>
    </row>
    <row r="14432">
      <c r="A14432" s="1">
        <v>3.0</v>
      </c>
      <c r="B14432" s="1" t="s">
        <v>14281</v>
      </c>
      <c r="C14432" t="str">
        <f>IFERROR(__xludf.DUMMYFUNCTION("GOOGLETRANSLATE(B14432, ""zh"", ""en"")"),"U-390 detector glycidyl trusted? ? Not use, as tests showed 390 U. shrink disk, so embarrassed, ah, want to return?")</f>
        <v>U-390 detector glycidyl trusted? ? Not use, as tests showed 390 U. shrink disk, so embarrassed, ah, want to return?</v>
      </c>
    </row>
    <row r="14433">
      <c r="A14433" s="1">
        <v>1.0</v>
      </c>
      <c r="B14433" s="1" t="s">
        <v>14282</v>
      </c>
      <c r="C14433" t="str">
        <f>IFERROR(__xludf.DUMMYFUNCTION("GOOGLETRANSLATE(B14433, ""zh"", ""en"")"),"Not ye quilt relatively poor, uneven cup, outside scratches")</f>
        <v>Not ye quilt relatively poor, uneven cup, outside scratches</v>
      </c>
    </row>
    <row r="14434">
      <c r="A14434" s="1">
        <v>1.0</v>
      </c>
      <c r="B14434" s="1" t="s">
        <v>14283</v>
      </c>
      <c r="C14434" t="str">
        <f>IFERROR(__xludf.DUMMYFUNCTION("GOOGLETRANSLATE(B14434, ""zh"", ""en"")"),"The lack of standardization of the same brand ... the same style ... few months intervals of two different colors of the same size ... ... ... short by an inch! 174cn waist height ... 66 ... this color than the same brand in different colors a few months "&amp;"ago the same size short one inch! 6L code. The lack of standardization!")</f>
        <v>The lack of standardization of the same brand ... the same style ... few months intervals of two different colors of the same size ... ... ... short by an inch! 174cn waist height ... 66 ... this color than the same brand in different colors a few months ago the same size short one inch! 6L code. The lack of standardization!</v>
      </c>
    </row>
    <row r="14435">
      <c r="A14435" s="1">
        <v>4.0</v>
      </c>
      <c r="B14435" s="1" t="s">
        <v>14284</v>
      </c>
      <c r="C14435" t="str">
        <f>IFERROR(__xludf.DUMMYFUNCTION("GOOGLETRANSLATE(B14435, ""zh"", ""en"")"),"Fortunately, the price is good")</f>
        <v>Fortunately, the price is good</v>
      </c>
    </row>
    <row r="14436">
      <c r="A14436" s="1">
        <v>4.0</v>
      </c>
      <c r="B14436" s="1" t="s">
        <v>14285</v>
      </c>
      <c r="C14436" t="str">
        <f>IFERROR(__xludf.DUMMYFUNCTION("GOOGLETRANSLATE(B14436, ""zh"", ""en"")"),"Size is too big! 178/67, wearing L code is very fit Japanese version, US version of the selected M code actually have a big circle, the upper body with a very American giggle Hafan, I want to wear S Slim is estimated more appropriate. Work a little rough,"&amp;" serious hair wash machine, wins at cheaper prices.")</f>
        <v>Size is too big! 178/67, wearing L code is very fit Japanese version, US version of the selected M code actually have a big circle, the upper body with a very American giggle Hafan, I want to wear S Slim is estimated more appropriate. Work a little rough, serious hair wash machine, wins at cheaper prices.</v>
      </c>
    </row>
    <row r="14437">
      <c r="A14437" s="1">
        <v>4.0</v>
      </c>
      <c r="B14437" s="1" t="s">
        <v>14286</v>
      </c>
      <c r="C14437" t="str">
        <f>IFERROR(__xludf.DUMMYFUNCTION("GOOGLETRANSLATE(B14437, ""zh"", ""en"")"),"Also good to wear more comfortable, waterproof and easy care")</f>
        <v>Also good to wear more comfortable, waterproof and easy care</v>
      </c>
    </row>
    <row r="14438">
      <c r="A14438" s="1">
        <v>4.0</v>
      </c>
      <c r="B14438" s="1" t="s">
        <v>14287</v>
      </c>
      <c r="C14438" t="str">
        <f>IFERROR(__xludf.DUMMYFUNCTION("GOOGLETRANSLATE(B14438, ""zh"", ""en"")"),"Okay pot is pretty good too plus fried steak is what is not very practical")</f>
        <v>Okay pot is pretty good too plus fried steak is what is not very practical</v>
      </c>
    </row>
    <row r="14439">
      <c r="A14439" s="1">
        <v>4.0</v>
      </c>
      <c r="B14439" s="1" t="s">
        <v>14288</v>
      </c>
      <c r="C14439" t="str">
        <f>IFERROR(__xludf.DUMMYFUNCTION("GOOGLETRANSLATE(B14439, ""zh"", ""en"")"),"Too long to buy big, too long, height 160")</f>
        <v>Too long to buy big, too long, height 160</v>
      </c>
    </row>
    <row r="14440">
      <c r="A14440" s="1">
        <v>5.0</v>
      </c>
      <c r="B14440" s="1" t="s">
        <v>11499</v>
      </c>
      <c r="C14440" t="str">
        <f>IFERROR(__xludf.DUMMYFUNCTION("GOOGLETRANSLATE(B14440, ""zh"", ""en"")"),"Highly recommended is cheap and easy cheap and easy cost-effective than domestic")</f>
        <v>Highly recommended is cheap and easy cheap and easy cost-effective than domestic</v>
      </c>
    </row>
    <row r="14441">
      <c r="A14441" s="1">
        <v>5.0</v>
      </c>
      <c r="B14441" s="1" t="s">
        <v>14289</v>
      </c>
      <c r="C14441" t="str">
        <f>IFERROR(__xludf.DUMMYFUNCTION("GOOGLETRANSLATE(B14441, ""zh"", ""en"")"),"still alright! This short-sleeve good quality. Velvet quality is better than buying long-sleeved!")</f>
        <v>still alright! This short-sleeve good quality. Velvet quality is better than buying long-sleeved!</v>
      </c>
    </row>
    <row r="14442">
      <c r="A14442" s="1">
        <v>5.0</v>
      </c>
      <c r="B14442" s="1" t="s">
        <v>14290</v>
      </c>
      <c r="C14442" t="str">
        <f>IFERROR(__xludf.DUMMYFUNCTION("GOOGLETRANSLATE(B14442, ""zh"", ""en"")"),"Great great, with just a high school children.")</f>
        <v>Great great, with just a high school children.</v>
      </c>
    </row>
    <row r="14443">
      <c r="A14443" s="1">
        <v>5.0</v>
      </c>
      <c r="B14443" s="1" t="s">
        <v>14291</v>
      </c>
      <c r="C14443" t="str">
        <f>IFERROR(__xludf.DUMMYFUNCTION("GOOGLETRANSLATE(B14443, ""zh"", ""en"")"),"The first overseas purchase very good")</f>
        <v>The first overseas purchase very good</v>
      </c>
    </row>
    <row r="14444">
      <c r="A14444" s="1">
        <v>5.0</v>
      </c>
      <c r="B14444" s="1" t="s">
        <v>14292</v>
      </c>
      <c r="C14444" t="str">
        <f>IFERROR(__xludf.DUMMYFUNCTION("GOOGLETRANSLATE(B14444, ""zh"", ""en"")"),"After a few good wash slightly faded, fabric very comfortable to wear.")</f>
        <v>After a few good wash slightly faded, fabric very comfortable to wear.</v>
      </c>
    </row>
    <row r="14445">
      <c r="A14445" s="1">
        <v>5.0</v>
      </c>
      <c r="B14445" s="1" t="s">
        <v>14293</v>
      </c>
      <c r="C14445" t="str">
        <f>IFERROR(__xludf.DUMMYFUNCTION("GOOGLETRANSLATE(B14445, ""zh"", ""en"")"),"The first buying experience Zojirushi produced in the Amazon, the quality is really good")</f>
        <v>The first buying experience Zojirushi produced in the Amazon, the quality is really good</v>
      </c>
    </row>
    <row r="14446">
      <c r="A14446" s="1">
        <v>5.0</v>
      </c>
      <c r="B14446" s="1" t="s">
        <v>14294</v>
      </c>
      <c r="C14446" t="str">
        <f>IFERROR(__xludf.DUMMYFUNCTION("GOOGLETRANSLATE(B14446, ""zh"", ""en"")"),"Okay this dress is good, the material can be")</f>
        <v>Okay this dress is good, the material can be</v>
      </c>
    </row>
    <row r="14447">
      <c r="A14447" s="1">
        <v>5.0</v>
      </c>
      <c r="B14447" s="1" t="s">
        <v>14295</v>
      </c>
      <c r="C14447" t="str">
        <f>IFERROR(__xludf.DUMMYFUNCTION("GOOGLETRANSLATE(B14447, ""zh"", ""en"")"),"Foam outlet design features really good, adults and children are like, every time the children were squeezed into the hands of flowers, more cost hand sanitizer.")</f>
        <v>Foam outlet design features really good, adults and children are like, every time the children were squeezed into the hands of flowers, more cost hand sanitizer.</v>
      </c>
    </row>
    <row r="14448">
      <c r="A14448" s="1">
        <v>5.0</v>
      </c>
      <c r="B14448" s="1" t="s">
        <v>14296</v>
      </c>
      <c r="C14448" t="str">
        <f>IFERROR(__xludf.DUMMYFUNCTION("GOOGLETRANSLATE(B14448, ""zh"", ""en"")"),"Beautiful and relatively lightweight, easy to put the bag, the color workmanship did not have to say.")</f>
        <v>Beautiful and relatively lightweight, easy to put the bag, the color workmanship did not have to say.</v>
      </c>
    </row>
    <row r="14449">
      <c r="A14449" s="1">
        <v>5.0</v>
      </c>
      <c r="B14449" s="1" t="s">
        <v>14297</v>
      </c>
      <c r="C14449" t="str">
        <f>IFERROR(__xludf.DUMMYFUNCTION("GOOGLETRANSLATE(B14449, ""zh"", ""en"")"),"A lot of very good, or very good")</f>
        <v>A lot of very good, or very good</v>
      </c>
    </row>
    <row r="14450">
      <c r="A14450" s="1">
        <v>5.0</v>
      </c>
      <c r="B14450" s="1" t="s">
        <v>14298</v>
      </c>
      <c r="C14450" t="str">
        <f>IFERROR(__xludf.DUMMYFUNCTION("GOOGLETRANSLATE(B14450, ""zh"", ""en"")"),"Suitable dimensions of the right size, in particular resiliently elastic waist. Work is also good, the Mexican production. Intend to buy a 33x30 in")</f>
        <v>Suitable dimensions of the right size, in particular resiliently elastic waist. Work is also good, the Mexican production. Intend to buy a 33x30 in</v>
      </c>
    </row>
    <row r="14451">
      <c r="A14451" s="1">
        <v>5.0</v>
      </c>
      <c r="B14451" s="1" t="s">
        <v>14299</v>
      </c>
      <c r="C14451" t="str">
        <f>IFERROR(__xludf.DUMMYFUNCTION("GOOGLETRANSLATE(B14451, ""zh"", ""en"")"),"Satisfied very satisfied with my first overseas purchase")</f>
        <v>Satisfied very satisfied with my first overseas purchase</v>
      </c>
    </row>
    <row r="14452">
      <c r="A14452" s="1">
        <v>5.0</v>
      </c>
      <c r="B14452" s="1" t="s">
        <v>14300</v>
      </c>
      <c r="C14452" t="str">
        <f>IFERROR(__xludf.DUMMYFUNCTION("GOOGLETRANSLATE(B14452, ""zh"", ""en"")"),"Genuine good, is genuine. Packaging details and details can see that shoes")</f>
        <v>Genuine good, is genuine. Packaging details and details can see that shoes</v>
      </c>
    </row>
    <row r="14453">
      <c r="A14453" s="1">
        <v>5.0</v>
      </c>
      <c r="B14453" s="1" t="s">
        <v>14301</v>
      </c>
      <c r="C14453" t="str">
        <f>IFERROR(__xludf.DUMMYFUNCTION("GOOGLETRANSLATE(B14453, ""zh"", ""en"")"),"Fit, fabric thick, good quality. Fit, fabric thick, good quality.")</f>
        <v>Fit, fabric thick, good quality. Fit, fabric thick, good quality.</v>
      </c>
    </row>
    <row r="14454">
      <c r="A14454" s="1">
        <v>5.0</v>
      </c>
      <c r="B14454" s="1" t="s">
        <v>14302</v>
      </c>
      <c r="C14454" t="str">
        <f>IFERROR(__xludf.DUMMYFUNCTION("GOOGLETRANSLATE(B14454, ""zh"", ""en"")"),"nice slightly thinner fabric, for spring and summer wear. Pants was thin. Star said thick legs instantly put on pounds of lean. The premise is the right size.")</f>
        <v>nice slightly thinner fabric, for spring and summer wear. Pants was thin. Star said thick legs instantly put on pounds of lean. The premise is the right size.</v>
      </c>
    </row>
    <row r="14455">
      <c r="A14455" s="1">
        <v>5.0</v>
      </c>
      <c r="B14455" s="1" t="s">
        <v>14303</v>
      </c>
      <c r="C14455" t="str">
        <f>IFERROR(__xludf.DUMMYFUNCTION("GOOGLETRANSLATE(B14455, ""zh"", ""en"")"),"Can also do not know whether domestic or Nissan")</f>
        <v>Can also do not know whether domestic or Nissan</v>
      </c>
    </row>
    <row r="14456">
      <c r="A14456" s="1">
        <v>5.0</v>
      </c>
      <c r="B14456" s="1" t="s">
        <v>14304</v>
      </c>
      <c r="C14456" t="str">
        <f>IFERROR(__xludf.DUMMYFUNCTION("GOOGLETRANSLATE(B14456, ""zh"", ""en"")"),"Very satisfied with the shopping, this brand is really good! Read the reviews before buying, so choose the s number, height 170 weight 139 just right, indeed work fine, but look a little thin knew comment quilted Zhenggewoyi, ha ha! If the inner bag is zi"&amp;"pper would be perfect.")</f>
        <v>Very satisfied with the shopping, this brand is really good! Read the reviews before buying, so choose the s number, height 170 weight 139 just right, indeed work fine, but look a little thin knew comment quilted Zhenggewoyi, ha ha! If the inner bag is zipper would be perfect.</v>
      </c>
    </row>
    <row r="14457">
      <c r="A14457" s="1">
        <v>5.0</v>
      </c>
      <c r="B14457" s="1" t="s">
        <v>14305</v>
      </c>
      <c r="C14457" t="str">
        <f>IFERROR(__xludf.DUMMYFUNCTION("GOOGLETRANSLATE(B14457, ""zh"", ""en"")"),"Look at the reviews look very appropriate comment recommend to buy, size is appropriate. 34 yards, try next. Before trade accounts Ge quickly store a pair, winter wear. No comments generally can not buy chaos, fear not returned. But Amazon preceding parag"&amp;"raph too. TB are numerous and too expensive, in fact, own the store to try the best shopping. Unfortunately, this small feet difficult to buy shoes. The experience feels good! Give full marks.")</f>
        <v>Look at the reviews look very appropriate comment recommend to buy, size is appropriate. 34 yards, try next. Before trade accounts Ge quickly store a pair, winter wear. No comments generally can not buy chaos, fear not returned. But Amazon preceding paragraph too. TB are numerous and too expensive, in fact, own the store to try the best shopping. Unfortunately, this small feet difficult to buy shoes. The experience feels good! Give full marks.</v>
      </c>
    </row>
    <row r="14458">
      <c r="A14458" s="1">
        <v>5.0</v>
      </c>
      <c r="B14458" s="1" t="s">
        <v>13106</v>
      </c>
      <c r="C14458" t="str">
        <f>IFERROR(__xludf.DUMMYFUNCTION("GOOGLETRANSLATE(B14458, ""zh"", ""en"")"),"Good wife said well, the high cost.")</f>
        <v>Good wife said well, the high cost.</v>
      </c>
    </row>
    <row r="14459">
      <c r="A14459" s="1">
        <v>5.0</v>
      </c>
      <c r="B14459" s="1" t="s">
        <v>14306</v>
      </c>
      <c r="C14459" t="str">
        <f>IFERROR(__xludf.DUMMYFUNCTION("GOOGLETRANSLATE(B14459, ""zh"", ""en"")"),"A good choice to buy small, to his daughter")</f>
        <v>A good choice to buy small, to his daughter</v>
      </c>
    </row>
    <row r="14460">
      <c r="A14460" s="1">
        <v>5.0</v>
      </c>
      <c r="B14460" s="1" t="s">
        <v>14307</v>
      </c>
      <c r="C14460" t="str">
        <f>IFERROR(__xludf.DUMMYFUNCTION("GOOGLETRANSLATE(B14460, ""zh"", ""en"")"),"And they usually wear the same number quite right, that is not too thick, not bad on the inside cover quite comfortable, cotton feels good")</f>
        <v>And they usually wear the same number quite right, that is not too thick, not bad on the inside cover quite comfortable, cotton feels good</v>
      </c>
    </row>
    <row r="14461">
      <c r="A14461" s="1">
        <v>5.0</v>
      </c>
      <c r="B14461" s="1" t="s">
        <v>14308</v>
      </c>
      <c r="C14461" t="str">
        <f>IFERROR(__xludf.DUMMYFUNCTION("GOOGLETRANSLATE(B14461, ""zh"", ""en"")"),"The brush head is also good for the first time into this brush, the brush head is harder than sensitive. Each brush as well as independent small package, Tuen enough time for a long time.")</f>
        <v>The brush head is also good for the first time into this brush, the brush head is harder than sensitive. Each brush as well as independent small package, Tuen enough time for a long time.</v>
      </c>
    </row>
    <row r="14462">
      <c r="A14462" s="1">
        <v>2.0</v>
      </c>
      <c r="B14462" s="1" t="s">
        <v>14309</v>
      </c>
      <c r="C14462" t="str">
        <f>IFERROR(__xludf.DUMMYFUNCTION("GOOGLETRANSLATE(B14462, ""zh"", ""en"")"),"A general, a very cheap feel very light, feels a bit cheap ...... blue ballpoint pen, very thick, not very smooth to write, in short, is no wonder Parker redeem frequent visitor ...... This is really not worth it to spend money on quality")</f>
        <v>A general, a very cheap feel very light, feels a bit cheap ...... blue ballpoint pen, very thick, not very smooth to write, in short, is no wonder Parker redeem frequent visitor ...... This is really not worth it to spend money on quality</v>
      </c>
    </row>
    <row r="14463">
      <c r="A14463" s="1">
        <v>3.0</v>
      </c>
      <c r="B14463" s="1" t="s">
        <v>14310</v>
      </c>
      <c r="C14463" t="str">
        <f>IFERROR(__xludf.DUMMYFUNCTION("GOOGLETRANSLATE(B14463, ""zh"", ""en"")"),"Not very satisfied not cotton, not. But pants good, do not le")</f>
        <v>Not very satisfied not cotton, not. But pants good, do not le</v>
      </c>
    </row>
    <row r="14464">
      <c r="A14464" s="1">
        <v>3.0</v>
      </c>
      <c r="B14464" s="1" t="s">
        <v>14311</v>
      </c>
      <c r="C14464" t="str">
        <f>IFERROR(__xludf.DUMMYFUNCTION("GOOGLETRANSLATE(B14464, ""zh"", ""en"")"),"Choose to return! Clothes of good quality, but size is too large, wearing a transparent white color dew point ...... therefore choose to return.")</f>
        <v>Choose to return! Clothes of good quality, but size is too large, wearing a transparent white color dew point ...... therefore choose to return.</v>
      </c>
    </row>
    <row r="14465">
      <c r="A14465" s="1">
        <v>1.0</v>
      </c>
      <c r="B14465" s="1" t="s">
        <v>14312</v>
      </c>
      <c r="C14465" t="str">
        <f>IFERROR(__xludf.DUMMYFUNCTION("GOOGLETRANSLATE(B14465, ""zh"", ""en"")"),"Poor quality poor, the children used to use for a while, now charge did not respond, it can not be switched")</f>
        <v>Poor quality poor, the children used to use for a while, now charge did not respond, it can not be switched</v>
      </c>
    </row>
    <row r="14466">
      <c r="A14466" s="1">
        <v>1.0</v>
      </c>
      <c r="B14466" s="1" t="s">
        <v>14313</v>
      </c>
      <c r="C14466" t="str">
        <f>IFERROR(__xludf.DUMMYFUNCTION("GOOGLETRANSLATE(B14466, ""zh"", ""en"")"),"Large size is too large too")</f>
        <v>Large size is too large too</v>
      </c>
    </row>
    <row r="14467">
      <c r="A14467" s="1">
        <v>4.0</v>
      </c>
      <c r="B14467" s="1" t="s">
        <v>14314</v>
      </c>
      <c r="C14467" t="str">
        <f>IFERROR(__xludf.DUMMYFUNCTION("GOOGLETRANSLATE(B14467, ""zh"", ""en"")"),"Other big noise Fortunately, current and Zidoo boxes fit in with when PT. Is the big noise, relatively loud tapping sound. I do not know is not the transportation problems in the process.")</f>
        <v>Other big noise Fortunately, current and Zidoo boxes fit in with when PT. Is the big noise, relatively loud tapping sound. I do not know is not the transportation problems in the process.</v>
      </c>
    </row>
    <row r="14468">
      <c r="A14468" s="1">
        <v>4.0</v>
      </c>
      <c r="B14468" s="1" t="s">
        <v>14315</v>
      </c>
      <c r="C14468" t="str">
        <f>IFERROR(__xludf.DUMMYFUNCTION("GOOGLETRANSLATE(B14468, ""zh"", ""en"")"),"Well okay, very good light does not come back Japanese Shopping insulation effect")</f>
        <v>Well okay, very good light does not come back Japanese Shopping insulation effect</v>
      </c>
    </row>
    <row r="14469">
      <c r="A14469" s="1">
        <v>4.0</v>
      </c>
      <c r="B14469" s="1" t="s">
        <v>14316</v>
      </c>
      <c r="C14469" t="str">
        <f>IFERROR(__xludf.DUMMYFUNCTION("GOOGLETRANSLATE(B14469, ""zh"", ""en"")"),"There are flaws to buy No. 5 foot 38 is relatively low, the shoes will be longer than domestic long a little bit. Left shoe a piece of wrinkled skin, obviously not the same with other places. The other is glossy, can only keep so far, no rebate. Satisfact"&amp;"ion 70 now!")</f>
        <v>There are flaws to buy No. 5 foot 38 is relatively low, the shoes will be longer than domestic long a little bit. Left shoe a piece of wrinkled skin, obviously not the same with other places. The other is glossy, can only keep so far, no rebate. Satisfaction 70 now!</v>
      </c>
    </row>
    <row r="14470">
      <c r="A14470" s="1">
        <v>4.0</v>
      </c>
      <c r="B14470" s="1" t="s">
        <v>14317</v>
      </c>
      <c r="C14470" t="str">
        <f>IFERROR(__xludf.DUMMYFUNCTION("GOOGLETRANSLATE(B14470, ""zh"", ""en"")"),"The quality of instability, often become key blue flashing buttons are very unstable, received a few days each time whether to play hot milk foam or heat the milk, keys are often turned blue flashing light off and so had to pick up the cup re-operation, r"&amp;"epeated several times in order to play normal milk foam or heat the milk and then put out the lights. Very delicate milk froth, hot milk heating temperature may sometimes warm, because blue light flashing repeatedly reason, the temperature unstable. Expen"&amp;"sive products, look no problem, there is a problem on the quality, not a replacement. Products are made in China, the European version of the plug is round. Domestic flagship store selling the flat head bolt.")</f>
        <v>The quality of instability, often become key blue flashing buttons are very unstable, received a few days each time whether to play hot milk foam or heat the milk, keys are often turned blue flashing light off and so had to pick up the cup re-operation, repeated several times in order to play normal milk foam or heat the milk and then put out the lights. Very delicate milk froth, hot milk heating temperature may sometimes warm, because blue light flashing repeatedly reason, the temperature unstable. Expensive products, look no problem, there is a problem on the quality, not a replacement. Products are made in China, the European version of the plug is round. Domestic flagship store selling the flat head bolt.</v>
      </c>
    </row>
    <row r="14471">
      <c r="A14471" s="1">
        <v>4.0</v>
      </c>
      <c r="B14471" s="1" t="s">
        <v>14318</v>
      </c>
      <c r="C14471" t="str">
        <f>IFERROR(__xludf.DUMMYFUNCTION("GOOGLETRANSLATE(B14471, ""zh"", ""en"")"),"Too large a number, but my shoulders suitable height 1.85, the right shoulder, the giant long sleeves, long some clothes.")</f>
        <v>Too large a number, but my shoulders suitable height 1.85, the right shoulder, the giant long sleeves, long some clothes.</v>
      </c>
    </row>
    <row r="14472">
      <c r="A14472" s="1">
        <v>5.0</v>
      </c>
      <c r="B14472" s="1" t="s">
        <v>14319</v>
      </c>
      <c r="C14472" t="str">
        <f>IFERROR(__xludf.DUMMYFUNCTION("GOOGLETRANSLATE(B14472, ""zh"", ""en"")"),"Comfort is very good, wearing a very appropriate, stylish comfortable, very satisfied!")</f>
        <v>Comfort is very good, wearing a very appropriate, stylish comfortable, very satisfied!</v>
      </c>
    </row>
    <row r="14473">
      <c r="A14473" s="1">
        <v>5.0</v>
      </c>
      <c r="B14473" s="1" t="s">
        <v>14320</v>
      </c>
      <c r="C14473" t="str">
        <f>IFERROR(__xludf.DUMMYFUNCTION("GOOGLETRANSLATE(B14473, ""zh"", ""en"")"),"Through a little white dress and wearing the same color very comfortable if a flesh-colored the better")</f>
        <v>Through a little white dress and wearing the same color very comfortable if a flesh-colored the better</v>
      </c>
    </row>
    <row r="14474">
      <c r="A14474" s="1">
        <v>5.0</v>
      </c>
      <c r="B14474" s="1" t="s">
        <v>14321</v>
      </c>
      <c r="C14474" t="str">
        <f>IFERROR(__xludf.DUMMYFUNCTION("GOOGLETRANSLATE(B14474, ""zh"", ""en"")"),"Very good really good specifically looking for several platforms are not selling Taobao Jingdong not it has fully functional fashionable checked is genuine deserve the most praise yesterday to buy this morning sent too time a model of headphones packing i"&amp;"s like all good")</f>
        <v>Very good really good specifically looking for several platforms are not selling Taobao Jingdong not it has fully functional fashionable checked is genuine deserve the most praise yesterday to buy this morning sent too time a model of headphones packing is like all good</v>
      </c>
    </row>
    <row r="14475">
      <c r="A14475" s="1">
        <v>5.0</v>
      </c>
      <c r="B14475" s="1" t="s">
        <v>14322</v>
      </c>
      <c r="C14475" t="str">
        <f>IFERROR(__xludf.DUMMYFUNCTION("GOOGLETRANSLATE(B14475, ""zh"", ""en"")"),"Size 260mm feet long, the width of the length just right, it is appropriate")</f>
        <v>Size 260mm feet long, the width of the length just right, it is appropriate</v>
      </c>
    </row>
    <row r="14476">
      <c r="A14476" s="1">
        <v>5.0</v>
      </c>
      <c r="B14476" s="1" t="s">
        <v>14323</v>
      </c>
      <c r="C14476" t="str">
        <f>IFERROR(__xludf.DUMMYFUNCTION("GOOGLETRANSLATE(B14476, ""zh"", ""en"")"),"Very comfortable, very comfortable, Minato could have been a single, did not expect very satisfied")</f>
        <v>Very comfortable, very comfortable, Minato could have been a single, did not expect very satisfied</v>
      </c>
    </row>
    <row r="14477">
      <c r="A14477" s="1">
        <v>5.0</v>
      </c>
      <c r="B14477" s="1" t="s">
        <v>14324</v>
      </c>
      <c r="C14477" t="str">
        <f>IFERROR(__xludf.DUMMYFUNCTION("GOOGLETRANSLATE(B14477, ""zh"", ""en"")"),"Suitable for smaller wrists of people wearing! Personal wrist relatively small, deliberately chose a smaller dial, came back wearing just the right size! Work is also very good, praise!")</f>
        <v>Suitable for smaller wrists of people wearing! Personal wrist relatively small, deliberately chose a smaller dial, came back wearing just the right size! Work is also very good, praise!</v>
      </c>
    </row>
    <row r="14478">
      <c r="A14478" s="1">
        <v>5.0</v>
      </c>
      <c r="B14478" s="1" t="s">
        <v>14325</v>
      </c>
      <c r="C14478" t="str">
        <f>IFERROR(__xludf.DUMMYFUNCTION("GOOGLETRANSLATE(B14478, ""zh"", ""en"")"),"Recommended to buy out thin and very warm, very much. The future will always concerned about Nichia products")</f>
        <v>Recommended to buy out thin and very warm, very much. The future will always concerned about Nichia products</v>
      </c>
    </row>
    <row r="14479">
      <c r="A14479" s="1">
        <v>5.0</v>
      </c>
      <c r="B14479" s="1" t="s">
        <v>14326</v>
      </c>
      <c r="C14479" t="str">
        <f>IFERROR(__xludf.DUMMYFUNCTION("GOOGLETRANSLATE(B14479, ""zh"", ""en"")"),"Japan DEVICE bag of Japanese origin, bags work well, with good materials, like, admire the spirit of Japan's artisans,")</f>
        <v>Japan DEVICE bag of Japanese origin, bags work well, with good materials, like, admire the spirit of Japan's artisans,</v>
      </c>
    </row>
    <row r="14480">
      <c r="A14480" s="1">
        <v>5.0</v>
      </c>
      <c r="B14480" s="1" t="s">
        <v>14327</v>
      </c>
      <c r="C14480" t="str">
        <f>IFERROR(__xludf.DUMMYFUNCTION("GOOGLETRANSLATE(B14480, ""zh"", ""en"")"),"Alkylene is an alkylene code Product Size code, usually wear how much to buy")</f>
        <v>Alkylene is an alkylene code Product Size code, usually wear how much to buy</v>
      </c>
    </row>
    <row r="14481">
      <c r="A14481" s="1">
        <v>5.0</v>
      </c>
      <c r="B14481" s="1" t="s">
        <v>14328</v>
      </c>
      <c r="C14481" t="str">
        <f>IFERROR(__xludf.DUMMYFUNCTION("GOOGLETRANSLATE(B14481, ""zh"", ""en"")"),"Fortunately, prices, noise prices were little better, little noise, with direct formatting on Windows.")</f>
        <v>Fortunately, prices, noise prices were little better, little noise, with direct formatting on Windows.</v>
      </c>
    </row>
    <row r="14482">
      <c r="A14482" s="1">
        <v>5.0</v>
      </c>
      <c r="B14482" s="1" t="s">
        <v>14329</v>
      </c>
      <c r="C14482" t="str">
        <f>IFERROR(__xludf.DUMMYFUNCTION("GOOGLETRANSLATE(B14482, ""zh"", ""en"")"),"Heavy, weighty lucky that choice, then a larger size, I carry no more")</f>
        <v>Heavy, weighty lucky that choice, then a larger size, I carry no more</v>
      </c>
    </row>
    <row r="14483">
      <c r="A14483" s="1">
        <v>5.0</v>
      </c>
      <c r="B14483" s="1" t="s">
        <v>14330</v>
      </c>
      <c r="C14483" t="str">
        <f>IFERROR(__xludf.DUMMYFUNCTION("GOOGLETRANSLATE(B14483, ""zh"", ""en"")"),"Is a little 160cm, 58kg M number should be on it.")</f>
        <v>Is a little 160cm, 58kg M number should be on it.</v>
      </c>
    </row>
    <row r="14484">
      <c r="A14484" s="1">
        <v>5.0</v>
      </c>
      <c r="B14484" s="1" t="s">
        <v>14331</v>
      </c>
      <c r="C14484" t="str">
        <f>IFERROR(__xludf.DUMMYFUNCTION("GOOGLETRANSLATE(B14484, ""zh"", ""en"")"),"Satisfaction after May 8 Kusakabe single was originally expected to be served by the end of June and early July, one week after the surprise is that we can see the next one shipped, issued DHL transported from Miami via Hong Kong to Guangzhou Customs, dur"&amp;"ing weekends, which a not released until Monday finally released. Harvest went smoothly, two parcels two days hand. After receiving the 306 listened for some time, it is a time to evaluate. A few years ago had been using an older version of the 305, 306, "&amp;"306 contrast contrast 305,6 inch 5-inch 305 subwoofer that is very obvious improvement, a strong 6-inch subwoofer, the speaker has no need like 5-inch plus as needed subwoofer, so the 306 can be described as a complete cost-effective key to jump! 306 Darb"&amp;"y Braun sound with the size of 2030 is more dynamic. 306 out loud first impression is more crisp sound, voice voice sounds enough, did not find the treble Legacy 305 UHF scraping ears feel, bass dive and energy obviously much better than the 305, the worl"&amp;"d's best cinema is very, very energy big, all aspects of the sound is better than the old version 305! 306 treble low noise greater than 305.")</f>
        <v>Satisfaction after May 8 Kusakabe single was originally expected to be served by the end of June and early July, one week after the surprise is that we can see the next one shipped, issued DHL transported from Miami via Hong Kong to Guangzhou Customs, during weekends, which a not released until Monday finally released. Harvest went smoothly, two parcels two days hand. After receiving the 306 listened for some time, it is a time to evaluate. A few years ago had been using an older version of the 305, 306, 306 contrast contrast 305,6 inch 5-inch 305 subwoofer that is very obvious improvement, a strong 6-inch subwoofer, the speaker has no need like 5-inch plus as needed subwoofer, so the 306 can be described as a complete cost-effective key to jump! 306 Darby Braun sound with the size of 2030 is more dynamic. 306 out loud first impression is more crisp sound, voice voice sounds enough, did not find the treble Legacy 305 UHF scraping ears feel, bass dive and energy obviously much better than the 305, the world's best cinema is very, very energy big, all aspects of the sound is better than the old version 305! 306 treble low noise greater than 305.</v>
      </c>
    </row>
    <row r="14485">
      <c r="A14485" s="1">
        <v>5.0</v>
      </c>
      <c r="B14485" s="1" t="s">
        <v>14332</v>
      </c>
      <c r="C14485" t="str">
        <f>IFERROR(__xludf.DUMMYFUNCTION("GOOGLETRANSLATE(B14485, ""zh"", ""en"")"),"Shoes are very good, buy the right shoes is still quite beautiful, I really like timberland shoes, this pair is very comfortable, very good quality")</f>
        <v>Shoes are very good, buy the right shoes is still quite beautiful, I really like timberland shoes, this pair is very comfortable, very good quality</v>
      </c>
    </row>
    <row r="14486">
      <c r="A14486" s="1">
        <v>5.0</v>
      </c>
      <c r="B14486" s="1" t="s">
        <v>14333</v>
      </c>
      <c r="C14486" t="str">
        <f>IFERROR(__xludf.DUMMYFUNCTION("GOOGLETRANSLATE(B14486, ""zh"", ""en"")"),"No. 175/71 S 175 71KG S is suitable! Before buying can wear XS code, a little tight, this happens, you must not wear POLO shirt big big ugly!")</f>
        <v>No. 175/71 S 175 71KG S is suitable! Before buying can wear XS code, a little tight, this happens, you must not wear POLO shirt big big ugly!</v>
      </c>
    </row>
    <row r="14487">
      <c r="A14487" s="1">
        <v>5.0</v>
      </c>
      <c r="B14487" s="1" t="s">
        <v>14334</v>
      </c>
      <c r="C14487" t="str">
        <f>IFERROR(__xludf.DUMMYFUNCTION("GOOGLETRANSLATE(B14487, ""zh"", ""en"")"),"Great looking and comfortable")</f>
        <v>Great looking and comfortable</v>
      </c>
    </row>
    <row r="14488">
      <c r="A14488" s="1">
        <v>5.0</v>
      </c>
      <c r="B14488" s="1" t="s">
        <v>14335</v>
      </c>
      <c r="C14488" t="str">
        <f>IFERROR(__xludf.DUMMYFUNCTION("GOOGLETRANSLATE(B14488, ""zh"", ""en"")"),"Cost-effective standard size, fabric drape. Suitable for spring")</f>
        <v>Cost-effective standard size, fabric drape. Suitable for spring</v>
      </c>
    </row>
    <row r="14489">
      <c r="A14489" s="1">
        <v>5.0</v>
      </c>
      <c r="B14489" s="1" t="s">
        <v>14336</v>
      </c>
      <c r="C14489" t="str">
        <f>IFERROR(__xludf.DUMMYFUNCTION("GOOGLETRANSLATE(B14489, ""zh"", ""en"")"),"Raiders do a lot of bottles, bottle nipples and finally chose Pigeon, Amazon opened overseas purchase, really fast")</f>
        <v>Raiders do a lot of bottles, bottle nipples and finally chose Pigeon, Amazon opened overseas purchase, really fast</v>
      </c>
    </row>
    <row r="14490">
      <c r="A14490" s="1">
        <v>5.0</v>
      </c>
      <c r="B14490" s="1" t="s">
        <v>14337</v>
      </c>
      <c r="C14490" t="str">
        <f>IFERROR(__xludf.DUMMYFUNCTION("GOOGLETRANSLATE(B14490, ""zh"", ""en"")"),"Head + blade omentum omentum can used once, like the original")</f>
        <v>Head + blade omentum omentum can used once, like the original</v>
      </c>
    </row>
    <row r="14491">
      <c r="A14491" s="1">
        <v>5.0</v>
      </c>
      <c r="B14491" s="1" t="s">
        <v>14338</v>
      </c>
      <c r="C14491" t="str">
        <f>IFERROR(__xludf.DUMMYFUNCTION("GOOGLETRANSLATE(B14491, ""zh"", ""en"")"),"Very practical baby food supplement box to add complementary know very, very practical! Box sealing very good!")</f>
        <v>Very practical baby food supplement box to add complementary know very, very practical! Box sealing very good!</v>
      </c>
    </row>
    <row r="14492">
      <c r="A14492" s="1">
        <v>5.0</v>
      </c>
      <c r="B14492" s="1" t="s">
        <v>14339</v>
      </c>
      <c r="C14492" t="str">
        <f>IFERROR(__xludf.DUMMYFUNCTION("GOOGLETRANSLATE(B14492, ""zh"", ""en"")"),"Needless to say nice easy to use")</f>
        <v>Needless to say nice easy to use</v>
      </c>
    </row>
    <row r="14493">
      <c r="A14493" s="1">
        <v>5.0</v>
      </c>
      <c r="B14493" s="1" t="s">
        <v>14340</v>
      </c>
      <c r="C14493" t="str">
        <f>IFERROR(__xludf.DUMMYFUNCTION("GOOGLETRANSLATE(B14493, ""zh"", ""en"")"),"Good things good things with them at ease stainless steel")</f>
        <v>Good things good things with them at ease stainless steel</v>
      </c>
    </row>
    <row r="14494">
      <c r="A14494" s="1">
        <v>2.0</v>
      </c>
      <c r="B14494" s="1" t="s">
        <v>14341</v>
      </c>
      <c r="C14494" t="str">
        <f>IFERROR(__xludf.DUMMYFUNCTION("GOOGLETRANSLATE(B14494, ""zh"", ""en"")"),"Very good insulation effect is very general, not recommended to buy")</f>
        <v>Very good insulation effect is very general, not recommended to buy</v>
      </c>
    </row>
    <row r="14495">
      <c r="A14495" s="1">
        <v>3.0</v>
      </c>
      <c r="B14495" s="1" t="s">
        <v>14342</v>
      </c>
      <c r="C14495" t="str">
        <f>IFERROR(__xludf.DUMMYFUNCTION("GOOGLETRANSLATE(B14495, ""zh"", ""en"")"),"Cup good very good, worth buying! Very affordable")</f>
        <v>Cup good very good, worth buying! Very affordable</v>
      </c>
    </row>
    <row r="14496">
      <c r="A14496" s="1">
        <v>3.0</v>
      </c>
      <c r="B14496" s="1" t="s">
        <v>14343</v>
      </c>
      <c r="C14496" t="str">
        <f>IFERROR(__xludf.DUMMYFUNCTION("GOOGLETRANSLATE(B14496, ""zh"", ""en"")"),"There are open-line style is good, but the sleeves have a thread open, unhappy")</f>
        <v>There are open-line style is good, but the sleeves have a thread open, unhappy</v>
      </c>
    </row>
    <row r="14497">
      <c r="A14497" s="1">
        <v>1.0</v>
      </c>
      <c r="B14497" s="1" t="s">
        <v>14344</v>
      </c>
      <c r="C14497" t="str">
        <f>IFERROR(__xludf.DUMMYFUNCTION("GOOGLETRANSLATE(B14497, ""zh"", ""en"")"),"Not ye broken gadgets that is not worth the price or made in China")</f>
        <v>Not ye broken gadgets that is not worth the price or made in China</v>
      </c>
    </row>
    <row r="14498">
      <c r="A14498" s="1">
        <v>1.0</v>
      </c>
      <c r="B14498" s="1" t="s">
        <v>14345</v>
      </c>
      <c r="C14498" t="str">
        <f>IFERROR(__xludf.DUMMYFUNCTION("GOOGLETRANSLATE(B14498, ""zh"", ""en"")"),"Leak has been leaking! The above cover also old out! After comparing other people's cups I found this to be a little apron! Cushion between the cup and the lid!")</f>
        <v>Leak has been leaking! The above cover also old out! After comparing other people's cups I found this to be a little apron! Cushion between the cup and the lid!</v>
      </c>
    </row>
    <row r="14499">
      <c r="A14499" s="1">
        <v>1.0</v>
      </c>
      <c r="B14499" s="1" t="s">
        <v>14346</v>
      </c>
      <c r="C14499" t="str">
        <f>IFERROR(__xludf.DUMMYFUNCTION("GOOGLETRANSLATE(B14499, ""zh"", ""en"")"),"Not like a general ecco proud damping function, the actual price level will")</f>
        <v>Not like a general ecco proud damping function, the actual price level will</v>
      </c>
    </row>
    <row r="14500">
      <c r="A14500" s="1">
        <v>4.0</v>
      </c>
      <c r="B14500" s="1" t="s">
        <v>14347</v>
      </c>
      <c r="C14500" t="str">
        <f>IFERROR(__xludf.DUMMYFUNCTION("GOOGLETRANSLATE(B14500, ""zh"", ""en"")"),"[[ASIN: B01BYAX498 AKG K92 love Technology closed-ear headphones]] is not very portable headphone headphone cable 3M plus fully enclosed for use at home")</f>
        <v>[[ASIN: B01BYAX498 AKG K92 love Technology closed-ear headphones]] is not very portable headphone headphone cable 3M plus fully enclosed for use at home</v>
      </c>
    </row>
    <row r="14501">
      <c r="A14501" s="1">
        <v>4.0</v>
      </c>
      <c r="B14501" s="1" t="s">
        <v>14348</v>
      </c>
      <c r="C14501" t="str">
        <f>IFERROR(__xludf.DUMMYFUNCTION("GOOGLETRANSLATE(B14501, ""zh"", ""en"")"),"The right size, upper unglued usually wear 42, this time to buy is 8.5EE. The right size, the only downside is the upper bit unglued.")</f>
        <v>The right size, upper unglued usually wear 42, this time to buy is 8.5EE. The right size, the only downside is the upper bit unglued.</v>
      </c>
    </row>
    <row r="14502">
      <c r="A14502" s="1">
        <v>4.0</v>
      </c>
      <c r="B14502" s="1" t="s">
        <v>14349</v>
      </c>
      <c r="C14502" t="str">
        <f>IFERROR(__xludf.DUMMYFUNCTION("GOOGLETRANSLATE(B14502, ""zh"", ""en"")"),"Use has not been good, still looks just fine")</f>
        <v>Use has not been good, still looks just fine</v>
      </c>
    </row>
    <row r="14503">
      <c r="A14503" s="1">
        <v>4.0</v>
      </c>
      <c r="B14503" s="1" t="s">
        <v>14350</v>
      </c>
      <c r="C14503" t="str">
        <f>IFERROR(__xludf.DUMMYFUNCTION("GOOGLETRANSLATE(B14503, ""zh"", ""en"")"),"Accurate dimensioning and then some pretty good overall, Europe and code are too large to buy a small one yards")</f>
        <v>Accurate dimensioning and then some pretty good overall, Europe and code are too large to buy a small one yards</v>
      </c>
    </row>
    <row r="14504">
      <c r="A14504" s="1">
        <v>4.0</v>
      </c>
      <c r="B14504" s="1" t="s">
        <v>14351</v>
      </c>
      <c r="C14504" t="str">
        <f>IFERROR(__xludf.DUMMYFUNCTION("GOOGLETRANSLATE(B14504, ""zh"", ""en"")"),"Small fine. Not from the previous evaluation, I do not know how many wasted points, points can change money now know, they should look carefully evaluated, then I put these words to copy to go, both to earn points, but also save trouble, they go where cop"&amp;"y , sent directly to it, recommend it to everyone! !")</f>
        <v>Small fine. Not from the previous evaluation, I do not know how many wasted points, points can change money now know, they should look carefully evaluated, then I put these words to copy to go, both to earn points, but also save trouble, they go where copy , sent directly to it, recommend it to everyone! !</v>
      </c>
    </row>
    <row r="14505">
      <c r="A14505" s="1">
        <v>5.0</v>
      </c>
      <c r="B14505" s="1" t="s">
        <v>14352</v>
      </c>
      <c r="C14505" t="str">
        <f>IFERROR(__xludf.DUMMYFUNCTION("GOOGLETRANSLATE(B14505, ""zh"", ""en"")"),"Fit very well fit completely different too large to buy more appropriate appropriate 6.5 7.5")</f>
        <v>Fit very well fit completely different too large to buy more appropriate appropriate 6.5 7.5</v>
      </c>
    </row>
    <row r="14506">
      <c r="A14506" s="1">
        <v>5.0</v>
      </c>
      <c r="B14506" s="1" t="s">
        <v>14353</v>
      </c>
      <c r="C14506" t="str">
        <f>IFERROR(__xludf.DUMMYFUNCTION("GOOGLETRANSLATE(B14506, ""zh"", ""en"")"),"Good value quality, affordable. Four days received.")</f>
        <v>Good value quality, affordable. Four days received.</v>
      </c>
    </row>
    <row r="14507">
      <c r="A14507" s="1">
        <v>5.0</v>
      </c>
      <c r="B14507" s="1" t="s">
        <v>14354</v>
      </c>
      <c r="C14507" t="str">
        <f>IFERROR(__xludf.DUMMYFUNCTION("GOOGLETRANSLATE(B14507, ""zh"", ""en"")"),"High cost is compatible with my HX9111 / 21, and the price is the cheapest of all platforms, 8 heads can be used for a long time, it is strongly recommended to buy.")</f>
        <v>High cost is compatible with my HX9111 / 21, and the price is the cheapest of all platforms, 8 heads can be used for a long time, it is strongly recommended to buy.</v>
      </c>
    </row>
    <row r="14508">
      <c r="A14508" s="1">
        <v>5.0</v>
      </c>
      <c r="B14508" s="1" t="s">
        <v>14355</v>
      </c>
      <c r="C14508" t="str">
        <f>IFERROR(__xludf.DUMMYFUNCTION("GOOGLETRANSLATE(B14508, ""zh"", ""en"")"),"Good to send the feet of just 40.5 boyfriend")</f>
        <v>Good to send the feet of just 40.5 boyfriend</v>
      </c>
    </row>
    <row r="14509">
      <c r="A14509" s="1">
        <v>5.0</v>
      </c>
      <c r="B14509" s="1" t="s">
        <v>14356</v>
      </c>
      <c r="C14509" t="str">
        <f>IFERROR(__xludf.DUMMYFUNCTION("GOOGLETRANSLATE(B14509, ""zh"", ""en"")"),"PNY flash purchasing feel great, have 123GB capacity, cost-effective, worth buying!")</f>
        <v>PNY flash purchasing feel great, have 123GB capacity, cost-effective, worth buying!</v>
      </c>
    </row>
    <row r="14510">
      <c r="A14510" s="1">
        <v>5.0</v>
      </c>
      <c r="B14510" s="1" t="s">
        <v>14357</v>
      </c>
      <c r="C14510" t="str">
        <f>IFERROR(__xludf.DUMMYFUNCTION("GOOGLETRANSLATE(B14510, ""zh"", ""en"")"),"Good wearing nice white sell, but also good to wear good-looking, in accordance with the size of the table size is also very suitable to buy, perfect!")</f>
        <v>Good wearing nice white sell, but also good to wear good-looking, in accordance with the size of the table size is also very suitable to buy, perfect!</v>
      </c>
    </row>
    <row r="14511">
      <c r="A14511" s="1">
        <v>5.0</v>
      </c>
      <c r="B14511" s="1" t="s">
        <v>14358</v>
      </c>
      <c r="C14511" t="str">
        <f>IFERROR(__xludf.DUMMYFUNCTION("GOOGLETRANSLATE(B14511, ""zh"", ""en"")"),"Good domestic proliferation of counterfeit goods, Amazon or self-insured, although I do not win the price is cheap, fast to catch up counters. Further, I foot length 255.3mm, 10.8cm wide, suitable wear redwing 8d, Timberland typically 7.5w little tight sh"&amp;"oes, appropriate positive opening step. So, we still see the sea Amoy shoes Japanese code conversion, directly in cm most appropriate. As before 10061 Meyer also buy 7.5w, folder, it just can not walk, this time selecting 8w just right! AIU is basically t"&amp;"he Dominican production, relatively rough mad, but the quality is no problem.")</f>
        <v>Good domestic proliferation of counterfeit goods, Amazon or self-insured, although I do not win the price is cheap, fast to catch up counters. Further, I foot length 255.3mm, 10.8cm wide, suitable wear redwing 8d, Timberland typically 7.5w little tight shoes, appropriate positive opening step. So, we still see the sea Amoy shoes Japanese code conversion, directly in cm most appropriate. As before 10061 Meyer also buy 7.5w, folder, it just can not walk, this time selecting 8w just right! AIU is basically the Dominican production, relatively rough mad, but the quality is no problem.</v>
      </c>
    </row>
    <row r="14512">
      <c r="A14512" s="1">
        <v>5.0</v>
      </c>
      <c r="B14512" s="1" t="s">
        <v>14359</v>
      </c>
      <c r="C14512" t="str">
        <f>IFERROR(__xludf.DUMMYFUNCTION("GOOGLETRANSLATE(B14512, ""zh"", ""en"")"),"Very good foot long small or good Haha, 40 yards, bigkid7m just")</f>
        <v>Very good foot long small or good Haha, 40 yards, bigkid7m just</v>
      </c>
    </row>
    <row r="14513">
      <c r="A14513" s="1">
        <v>5.0</v>
      </c>
      <c r="B14513" s="1" t="s">
        <v>14360</v>
      </c>
      <c r="C14513" t="str">
        <f>IFERROR(__xludf.DUMMYFUNCTION("GOOGLETRANSLATE(B14513, ""zh"", ""en"")"),"Well handy, compact and good. Recommended to buy. But before hand, it is the price of dozens of pieces, distressed death of me 😭😭😭")</f>
        <v>Well handy, compact and good. Recommended to buy. But before hand, it is the price of dozens of pieces, distressed death of me 😭😭😭</v>
      </c>
    </row>
    <row r="14514">
      <c r="A14514" s="1">
        <v>5.0</v>
      </c>
      <c r="B14514" s="1" t="s">
        <v>14361</v>
      </c>
      <c r="C14514" t="str">
        <f>IFERROR(__xludf.DUMMYFUNCTION("GOOGLETRANSLATE(B14514, ""zh"", ""en"")"),"Simple style, simple style of the right size, the right size, color slightly darker blue jeans belonging to the sleeves rather long, but denim jacket sleeves can be rolled up, does not affect the wear, clothes length is not very long, just right. Medium t"&amp;"hickness, then, than the thick denim shirt, but not particularly thick, wear just about 20 degrees.")</f>
        <v>Simple style, simple style of the right size, the right size, color slightly darker blue jeans belonging to the sleeves rather long, but denim jacket sleeves can be rolled up, does not affect the wear, clothes length is not very long, just right. Medium thickness, then, than the thick denim shirt, but not particularly thick, wear just about 20 degrees.</v>
      </c>
    </row>
    <row r="14515">
      <c r="A14515" s="1">
        <v>5.0</v>
      </c>
      <c r="B14515" s="1" t="s">
        <v>14362</v>
      </c>
      <c r="C14515" t="str">
        <f>IFERROR(__xludf.DUMMYFUNCTION("GOOGLETRANSLATE(B14515, ""zh"", ""en"")"),"Genuine, good installation &lt;div id = ""video-block-R3B2N7WSW54X5Q"" class = ""a-section a-spacing-small a-spacing-top-mini video-block""&gt; &lt;/ div&gt; &lt;input type = ""hidden"" name = """" value = ""https://images-cn.ssl-images-amazon.com/images/I/91TsiXrcmgS.m"&amp;"p4"" class = ""video-url""&gt; &lt;input type = ""hidden"" name = """" value = ""https://images-cn.ssl-images-amazon.com/images/I/91FmhqW3m0S.png"" class = ""video-slate-img-url""&gt; &amp; nbsp;. 1 very good thing, is undoubtedly Japanese goods . 2. The first test a "&amp;"little, did not boil scale, no impurities, feeling the effect of the Bi Zander filter kettle almost, of course, because there is no testing tools can not provide specific data indicators, given that they sell in Japan, I believe that quality performance i"&amp;"s no problem because of the small Japan's food and drug supervision is very strict, it is by no means xenophilia. 3. Full instructions in Japanese, but the main index would be able to understand, there are Japanese kanji. After filtration 2000 liters of w"&amp;"ater, several substances can also filter out a nominal 80 percent. Filter can be used for four months. 4. said installation leaking, because not installed right. Must first connecting member is screwed onto the faucet comes, then the filter is screwed ont"&amp;"o the connecting member. The filter is screwed directly onto the faucet, screw head is less than the inevitable leaks, and the thread there are differences, strong screwing inevitable damage, this is kindly reminded, at the beginning I did not install rig"&amp;"ht, then study a little, get.")</f>
        <v>Genuine, good installation &lt;div id = "video-block-R3B2N7WSW54X5Q" class = "a-section a-spacing-small a-spacing-top-mini video-block"&gt; &lt;/ div&gt; &lt;input type = "hidden" name = "" value = "https://images-cn.ssl-images-amazon.com/images/I/91TsiXrcmgS.mp4" class = "video-url"&gt; &lt;input type = "hidden" name = "" value = "https://images-cn.ssl-images-amazon.com/images/I/91FmhqW3m0S.png" class = "video-slate-img-url"&gt; &amp; nbsp;. 1 very good thing, is undoubtedly Japanese goods . 2. The first test a little, did not boil scale, no impurities, feeling the effect of the Bi Zander filter kettle almost, of course, because there is no testing tools can not provide specific data indicators, given that they sell in Japan, I believe that quality performance is no problem because of the small Japan's food and drug supervision is very strict, it is by no means xenophilia. 3. Full instructions in Japanese, but the main index would be able to understand, there are Japanese kanji. After filtration 2000 liters of water, several substances can also filter out a nominal 80 percent. Filter can be used for four months. 4. said installation leaking, because not installed right. Must first connecting member is screwed onto the faucet comes, then the filter is screwed onto the connecting member. The filter is screwed directly onto the faucet, screw head is less than the inevitable leaks, and the thread there are differences, strong screwing inevitable damage, this is kindly reminded, at the beginning I did not install right, then study a little, get.</v>
      </c>
    </row>
    <row r="14516">
      <c r="A14516" s="1">
        <v>5.0</v>
      </c>
      <c r="B14516" s="1" t="s">
        <v>14363</v>
      </c>
      <c r="C14516" t="str">
        <f>IFERROR(__xludf.DUMMYFUNCTION("GOOGLETRANSLATE(B14516, ""zh"", ""en"")"),"Also into. The price to buy very good, just do not know the way to delivery a little long, a little pressure, a little wrinkled shoes, or put a long time so wrinkled.")</f>
        <v>Also into. The price to buy very good, just do not know the way to delivery a little long, a little pressure, a little wrinkled shoes, or put a long time so wrinkled.</v>
      </c>
    </row>
    <row r="14517">
      <c r="A14517" s="1">
        <v>5.0</v>
      </c>
      <c r="B14517" s="1" t="s">
        <v>14364</v>
      </c>
      <c r="C14517" t="str">
        <f>IFERROR(__xludf.DUMMYFUNCTION("GOOGLETRANSLATE(B14517, ""zh"", ""en"")"),"Bao natural than many expected arrival time in advance, packaging integrity, has been using this brand, dates to 2019, satisfaction")</f>
        <v>Bao natural than many expected arrival time in advance, packaging integrity, has been using this brand, dates to 2019, satisfaction</v>
      </c>
    </row>
    <row r="14518">
      <c r="A14518" s="1">
        <v>5.0</v>
      </c>
      <c r="B14518" s="1" t="s">
        <v>14365</v>
      </c>
      <c r="C14518" t="str">
        <f>IFERROR(__xludf.DUMMYFUNCTION("GOOGLETRANSLATE(B14518, ""zh"", ""en"")"),"Worth having bulky soft. Height 170 weight 75, M numbers just right length, waist a little thin, can be equipped with a T-shirt, sweater you nervous. Overall great!")</f>
        <v>Worth having bulky soft. Height 170 weight 75, M numbers just right length, waist a little thin, can be equipped with a T-shirt, sweater you nervous. Overall great!</v>
      </c>
    </row>
    <row r="14519">
      <c r="A14519" s="1">
        <v>5.0</v>
      </c>
      <c r="B14519" s="1" t="s">
        <v>14366</v>
      </c>
      <c r="C14519" t="str">
        <f>IFERROR(__xludf.DUMMYFUNCTION("GOOGLETRANSLATE(B14519, ""zh"", ""en"")"),"Good height 180, weight just 180 yards, good material, very satisfied")</f>
        <v>Good height 180, weight just 180 yards, good material, very satisfied</v>
      </c>
    </row>
    <row r="14520">
      <c r="A14520" s="1">
        <v>5.0</v>
      </c>
      <c r="B14520" s="1" t="s">
        <v>14367</v>
      </c>
      <c r="C14520" t="str">
        <f>IFERROR(__xludf.DUMMYFUNCTION("GOOGLETRANSLATE(B14520, ""zh"", ""en"")"),"Lightweight and easy to clean insulation very satisfied with lightweight insulation for easy cleaning")</f>
        <v>Lightweight and easy to clean insulation very satisfied with lightweight insulation for easy cleaning</v>
      </c>
    </row>
    <row r="14521">
      <c r="A14521" s="1">
        <v>5.0</v>
      </c>
      <c r="B14521" s="1" t="s">
        <v>14368</v>
      </c>
      <c r="C14521" t="str">
        <f>IFERROR(__xludf.DUMMYFUNCTION("GOOGLETRANSLATE(B14521, ""zh"", ""en"")"),"Good quality height 180 cm, weight 75 kg wear M just")</f>
        <v>Good quality height 180 cm, weight 75 kg wear M just</v>
      </c>
    </row>
    <row r="14522">
      <c r="A14522" s="1">
        <v>5.0</v>
      </c>
      <c r="B14522" s="1" t="s">
        <v>14369</v>
      </c>
      <c r="C14522" t="str">
        <f>IFERROR(__xludf.DUMMYFUNCTION("GOOGLETRANSLATE(B14522, ""zh"", ""en"")"),"Amazon is very good! Amazon trustworthy. Genuine, very good choice.")</f>
        <v>Amazon is very good! Amazon trustworthy. Genuine, very good choice.</v>
      </c>
    </row>
    <row r="14523">
      <c r="A14523" s="1">
        <v>5.0</v>
      </c>
      <c r="B14523" s="1" t="s">
        <v>14370</v>
      </c>
      <c r="C14523" t="str">
        <f>IFERROR(__xludf.DUMMYFUNCTION("GOOGLETRANSLATE(B14523, ""zh"", ""en"")"),"I'm not fat nor thin and worn a few pairs of shoes than ECCO, shoe a little bit thinner, there is a sense of the parcel, but do not feel crowded feet.")</f>
        <v>I'm not fat nor thin and worn a few pairs of shoes than ECCO, shoe a little bit thinner, there is a sense of the parcel, but do not feel crowded feet.</v>
      </c>
    </row>
    <row r="14524">
      <c r="A14524" s="1">
        <v>5.0</v>
      </c>
      <c r="B14524" s="1" t="s">
        <v>3958</v>
      </c>
      <c r="C14524" t="str">
        <f>IFERROR(__xludf.DUMMYFUNCTION("GOOGLETRANSLATE(B14524, ""zh"", ""en"")"),"Slim Straight jeans good, I like the way")</f>
        <v>Slim Straight jeans good, I like the way</v>
      </c>
    </row>
    <row r="14525">
      <c r="A14525" s="1">
        <v>5.0</v>
      </c>
      <c r="B14525" s="1" t="s">
        <v>14371</v>
      </c>
      <c r="C14525" t="str">
        <f>IFERROR(__xludf.DUMMYFUNCTION("GOOGLETRANSLATE(B14525, ""zh"", ""en"")"),"not bad. This set of colors painted children music is complete. not bad. This set of colors painted children music is complete. Baby likes.")</f>
        <v>not bad. This set of colors painted children music is complete. not bad. This set of colors painted children music is complete. Baby likes.</v>
      </c>
    </row>
    <row r="14526">
      <c r="A14526" s="1">
        <v>5.0</v>
      </c>
      <c r="B14526" s="1" t="s">
        <v>14372</v>
      </c>
      <c r="C14526" t="str">
        <f>IFERROR(__xludf.DUMMYFUNCTION("GOOGLETRANSLATE(B14526, ""zh"", ""en"")"),"Satisfied with the perfect shoes tendon at the end is my great love.")</f>
        <v>Satisfied with the perfect shoes tendon at the end is my great love.</v>
      </c>
    </row>
    <row r="14527">
      <c r="A14527" s="1">
        <v>2.0</v>
      </c>
      <c r="B14527" s="1" t="s">
        <v>14373</v>
      </c>
      <c r="C14527" t="str">
        <f>IFERROR(__xludf.DUMMYFUNCTION("GOOGLETRANSLATE(B14527, ""zh"", ""en"")"),"Not told that soon after the arrival of expired products found valid for only six months, this should not be explained in the description of goods it?")</f>
        <v>Not told that soon after the arrival of expired products found valid for only six months, this should not be explained in the description of goods it?</v>
      </c>
    </row>
    <row r="14528">
      <c r="A14528" s="1">
        <v>3.0</v>
      </c>
      <c r="B14528" s="1" t="s">
        <v>14374</v>
      </c>
      <c r="C14528" t="str">
        <f>IFERROR(__xludf.DUMMYFUNCTION("GOOGLETRANSLATE(B14528, ""zh"", ""en"")"),"This price also the general quality models in general, cotton, buy spike, also worth the price.")</f>
        <v>This price also the general quality models in general, cotton, buy spike, also worth the price.</v>
      </c>
    </row>
    <row r="14529">
      <c r="A14529" s="1">
        <v>3.0</v>
      </c>
      <c r="B14529" s="1" t="s">
        <v>14375</v>
      </c>
      <c r="C14529" t="str">
        <f>IFERROR(__xludf.DUMMYFUNCTION("GOOGLETRANSLATE(B14529, ""zh"", ""en"")"),"I bulky or bought the wrong height and weight were 180 buy L No. wearing a size small should buy xl something a little thin")</f>
        <v>I bulky or bought the wrong height and weight were 180 buy L No. wearing a size small should buy xl something a little thin</v>
      </c>
    </row>
    <row r="14530">
      <c r="A14530" s="1">
        <v>3.0</v>
      </c>
      <c r="B14530" s="1" t="s">
        <v>14376</v>
      </c>
      <c r="C14530" t="str">
        <f>IFERROR(__xludf.DUMMYFUNCTION("GOOGLETRANSLATE(B14530, ""zh"", ""en"")"),"General price and general quality of this price to buy something, do not be too finicky, but still have to say, a little more than lint. Wearing the general feeling.")</f>
        <v>General price and general quality of this price to buy something, do not be too finicky, but still have to say, a little more than lint. Wearing the general feeling.</v>
      </c>
    </row>
    <row r="14531">
      <c r="A14531" s="1">
        <v>1.0</v>
      </c>
      <c r="B14531" s="1" t="s">
        <v>14377</v>
      </c>
      <c r="C14531" t="str">
        <f>IFERROR(__xludf.DUMMYFUNCTION("GOOGLETRANSLATE(B14531, ""zh"", ""en"")"),"Ultra-low level of bottle &lt;div id = ""video-block-R3VV3QO2VOUDZF"" class = ""a-section a-spacing-small a-spacing-top-mini video-block""&gt; &lt;/ div&gt; &lt;input type = "" hidden ""name ="" ""value ="" https://images-cn.ssl-images-amazon.com/images/I/51ApSWW1OIS.mp"&amp;"4 ""class ="" video-url ""&gt; &lt;input type ="" hidden ""name = """" value = ""https://images-cn.ssl-images-amazon.com/images/I/91MVrC-UNdS.png"" class = ""video-slate-img-url""&gt; &amp; nbsp; to open new rub packaging , not open the lid, less than half the level. "&amp;". . .")</f>
        <v>Ultra-low level of bottle &lt;div id = "video-block-R3VV3QO2VOUDZF" class = "a-section a-spacing-small a-spacing-top-mini video-block"&gt; &lt;/ div&gt; &lt;input type = " hidden "name =" "value =" https://images-cn.ssl-images-amazon.com/images/I/51ApSWW1OIS.mp4 "class =" video-url "&gt; &lt;input type =" hidden "name = "" value = "https://images-cn.ssl-images-amazon.com/images/I/91MVrC-UNdS.png" class = "video-slate-img-url"&gt; &amp; nbsp; to open new rub packaging , not open the lid, less than half the level. . . .</v>
      </c>
    </row>
    <row r="14532">
      <c r="A14532" s="1">
        <v>1.0</v>
      </c>
      <c r="B14532" s="1" t="s">
        <v>14378</v>
      </c>
      <c r="C14532" t="str">
        <f>IFERROR(__xludf.DUMMYFUNCTION("GOOGLETRANSLATE(B14532, ""zh"", ""en"")"),"Hair loss, but also a change of mast wash really do not really do not know, bought bottoming, a sweating chest and belly are black scraps of cotton or something I do not know, that quality control is cheaper does not mean this, Amazon with the boss, no ma"&amp;"tter who is at fault, it is best not to sell merchandise")</f>
        <v>Hair loss, but also a change of mast wash really do not really do not know, bought bottoming, a sweating chest and belly are black scraps of cotton or something I do not know, that quality control is cheaper does not mean this, Amazon with the boss, no matter who is at fault, it is best not to sell merchandise</v>
      </c>
    </row>
    <row r="14533">
      <c r="A14533" s="1">
        <v>1.0</v>
      </c>
      <c r="B14533" s="1" t="s">
        <v>14379</v>
      </c>
      <c r="C14533" t="str">
        <f>IFERROR(__xludf.DUMMYFUNCTION("GOOGLETRANSLATE(B14533, ""zh"", ""en"")"),"The timer resets the middle button on the right side than the middle of the plastic card semicircle, he did not get out, go watch repair shop to make things right, the timer is reset poor three cells, the middle can not reset, and the table arrived batter"&amp;"y to die! It took another 80 to change batteries, to give as gifts table, really Zaoxin, it looks nice a ......")</f>
        <v>The timer resets the middle button on the right side than the middle of the plastic card semicircle, he did not get out, go watch repair shop to make things right, the timer is reset poor three cells, the middle can not reset, and the table arrived battery to die! It took another 80 to change batteries, to give as gifts table, really Zaoxin, it looks nice a ......</v>
      </c>
    </row>
    <row r="14534">
      <c r="A14534" s="1">
        <v>4.0</v>
      </c>
      <c r="B14534" s="1" t="s">
        <v>14380</v>
      </c>
      <c r="C14534" t="str">
        <f>IFERROR(__xludf.DUMMYFUNCTION("GOOGLETRANSLATE(B14534, ""zh"", ""en"")"),"162 may also be height, weight 98, just buy S. Quality in general, very thick cotton, but also lacks the required sixty dollars, still look nice.")</f>
        <v>162 may also be height, weight 98, just buy S. Quality in general, very thick cotton, but also lacks the required sixty dollars, still look nice.</v>
      </c>
    </row>
    <row r="14535">
      <c r="A14535" s="1">
        <v>4.0</v>
      </c>
      <c r="B14535" s="1" t="s">
        <v>14381</v>
      </c>
      <c r="C14535" t="str">
        <f>IFERROR(__xludf.DUMMYFUNCTION("GOOGLETRANSLATE(B14535, ""zh"", ""en"")"),"The color looks good, but relatively easy to scratch the surface of a small bowl, decorated only dry snacks and foods")</f>
        <v>The color looks good, but relatively easy to scratch the surface of a small bowl, decorated only dry snacks and foods</v>
      </c>
    </row>
    <row r="14536">
      <c r="A14536" s="1">
        <v>4.0</v>
      </c>
      <c r="B14536" s="1" t="s">
        <v>14382</v>
      </c>
      <c r="C14536" t="str">
        <f>IFERROR(__xludf.DUMMYFUNCTION("GOOGLETRANSLATE(B14536, ""zh"", ""en"")"),"Logistics is much faster than expected eight loaded enough for a long time, this is a small brush, toothbrush Philips sonicare series should basically fit, delivery is also very fast.")</f>
        <v>Logistics is much faster than expected eight loaded enough for a long time, this is a small brush, toothbrush Philips sonicare series should basically fit, delivery is also very fast.</v>
      </c>
    </row>
    <row r="14537">
      <c r="A14537" s="1">
        <v>4.0</v>
      </c>
      <c r="B14537" s="1" t="s">
        <v>14383</v>
      </c>
      <c r="C14537" t="str">
        <f>IFERROR(__xludf.DUMMYFUNCTION("GOOGLETRANSLATE(B14537, ""zh"", ""en"")"),"Beyerdynamic headphones worth eight days after receipt of the next single trust. I bought this headset is the most expensive a headset, the tri-band equalizer might sound, I think, personally feel that the headphone cable is long, and not very convenient."&amp;" I reached the pre-set expectations.")</f>
        <v>Beyerdynamic headphones worth eight days after receipt of the next single trust. I bought this headset is the most expensive a headset, the tri-band equalizer might sound, I think, personally feel that the headphone cable is long, and not very convenient. I reached the pre-set expectations.</v>
      </c>
    </row>
    <row r="14538">
      <c r="A14538" s="1">
        <v>5.0</v>
      </c>
      <c r="B14538" s="1" t="s">
        <v>14384</v>
      </c>
      <c r="C14538" t="str">
        <f>IFERROR(__xludf.DUMMYFUNCTION("GOOGLETRANSLATE(B14538, ""zh"", ""en"")"),"Pants pants just good quality, very comfortable to wear, a little more than domestic large size, good.")</f>
        <v>Pants pants just good quality, very comfortable to wear, a little more than domestic large size, good.</v>
      </c>
    </row>
    <row r="14539">
      <c r="A14539" s="1">
        <v>5.0</v>
      </c>
      <c r="B14539" s="1" t="s">
        <v>14385</v>
      </c>
      <c r="C14539" t="str">
        <f>IFERROR(__xludf.DUMMYFUNCTION("GOOGLETRANSLATE(B14539, ""zh"", ""en"")"),"Good quality easy to use")</f>
        <v>Good quality easy to use</v>
      </c>
    </row>
    <row r="14540">
      <c r="A14540" s="1">
        <v>5.0</v>
      </c>
      <c r="B14540" s="1" t="s">
        <v>14386</v>
      </c>
      <c r="C14540" t="str">
        <f>IFERROR(__xludf.DUMMYFUNCTION("GOOGLETRANSLATE(B14540, ""zh"", ""en"")"),"Comfortable to wear clarks43.5, this is ok 44")</f>
        <v>Comfortable to wear clarks43.5, this is ok 44</v>
      </c>
    </row>
    <row r="14541">
      <c r="A14541" s="1">
        <v>5.0</v>
      </c>
      <c r="B14541" s="1" t="s">
        <v>14387</v>
      </c>
      <c r="C14541" t="str">
        <f>IFERROR(__xludf.DUMMYFUNCTION("GOOGLETRANSLATE(B14541, ""zh"", ""en"")"),"Describe the texture of leather good wish to elaborate a good size, buy this shoe size is a bad pick. Good quality shoes, leather texture, the kind with the same picture, satisfaction, last year bought a pair of brown, because they bought a pair too fond "&amp;"of, really good this brand of shoes to wear.")</f>
        <v>Describe the texture of leather good wish to elaborate a good size, buy this shoe size is a bad pick. Good quality shoes, leather texture, the kind with the same picture, satisfaction, last year bought a pair of brown, because they bought a pair too fond of, really good this brand of shoes to wear.</v>
      </c>
    </row>
    <row r="14542">
      <c r="A14542" s="1">
        <v>5.0</v>
      </c>
      <c r="B14542" s="1" t="s">
        <v>14388</v>
      </c>
      <c r="C14542" t="str">
        <f>IFERROR(__xludf.DUMMYFUNCTION("GOOGLETRANSLATE(B14542, ""zh"", ""en"")"),"Ms. Dr. Martens Flora Leather Chelsea fashion casual boots, Ms. Cherry Red Arcadia Dr. Martens Flora Leather Chelsea fashion casual boots, Cherry Red Arcadia MADE IN THAILAND currently these shoes have worn for nearly a month, has been running quite well,"&amp;" and so to share the shopping experience. Arrival time: arrival time is very timely, almost exactly a week's time from order to delivery to the hands. Currently Amazon purchase domestic express segment seems to have been replaced with overseas SF butt, so"&amp;" very secure on the delivery time, delivery and no traces of violence has been dropped, shoebox very complete, almost no press out creases. Size selection: I foot fat, high arch, flat foot arch typically different from Europe; domestic usually wear shoes "&amp;"36, UK3 or 3.5, these boots select 3 F (M) UK / 5 B (M) US. Appropriate length, but the toe part of the foot circle is not so friendly. I do not know about or shoes asymmetrical foot asymmetry, just started to wear one week left instep was crazy pressure,"&amp;" pressure at every step, the day feet are blue, his right foot is not the case. But the second week running like a lot better now wear for a month, I have not pressed the instep. Color: Cherry Red Arcadia is a very dark cherry color, interior light pay at"&amp;"tention to see if it is easy to look black, outdoor lighting is easy to see cherry color. All in all, very nice low-key red, with clothes is also very easy. Incidentally, talk about, shoes are some Xuguang Ze cowhide leather, easy care, looks more advance"&amp;"d. Advantages: 1. High cost. The store tried similar models, the goods is certainly not identical, but the style is very similar to the color, the store's prices are a little reloading enough to buy two pairs on the Amazon; 2. Before go to the store tried"&amp;" to buy a similar section ( after the label color shoes are not the same, this section is purple label, the store is yellow on black mark), the store is similar to money more easily in the creases feet, a pair of shoes that look can slightly see, this wea"&amp;"ring month, instep creases look better, not so obvious; 3. a rubber bottom sole, a good anti-slip properties, but 8 holes 1460 in comparison with previous buying boots, shoe soles and thin point; 4. express transducer after the arrival time and goods to S"&amp;"F not let violence be treated with more confidence. Disadvantages: 1. fat feet, high arches, toes are flesh of children's shoes are not so friendly; 8 Holes of 1460, compared with 2. Before buying boots, shoe soles and thin point. * The above is the actua"&amp;"l use and share shopping experience for all our friends who are interested in the commercial reference section.")</f>
        <v>Ms. Dr. Martens Flora Leather Chelsea fashion casual boots, Ms. Cherry Red Arcadia Dr. Martens Flora Leather Chelsea fashion casual boots, Cherry Red Arcadia MADE IN THAILAND currently these shoes have worn for nearly a month, has been running quite well, and so to share the shopping experience. Arrival time: arrival time is very timely, almost exactly a week's time from order to delivery to the hands. Currently Amazon purchase domestic express segment seems to have been replaced with overseas SF butt, so very secure on the delivery time, delivery and no traces of violence has been dropped, shoebox very complete, almost no press out creases. Size selection: I foot fat, high arch, flat foot arch typically different from Europe; domestic usually wear shoes 36, UK3 or 3.5, these boots select 3 F (M) UK / 5 B (M) US. Appropriate length, but the toe part of the foot circle is not so friendly. I do not know about or shoes asymmetrical foot asymmetry, just started to wear one week left instep was crazy pressure, pressure at every step, the day feet are blue, his right foot is not the case. But the second week running like a lot better now wear for a month, I have not pressed the instep. Color: Cherry Red Arcadia is a very dark cherry color, interior light pay attention to see if it is easy to look black, outdoor lighting is easy to see cherry color. All in all, very nice low-key red, with clothes is also very easy. Incidentally, talk about, shoes are some Xuguang Ze cowhide leather, easy care, looks more advanced. Advantages: 1. High cost. The store tried similar models, the goods is certainly not identical, but the style is very similar to the color, the store's prices are a little reloading enough to buy two pairs on the Amazon; 2. Before go to the store tried to buy a similar section ( after the label color shoes are not the same, this section is purple label, the store is yellow on black mark), the store is similar to money more easily in the creases feet, a pair of shoes that look can slightly see, this wearing month, instep creases look better, not so obvious; 3. a rubber bottom sole, a good anti-slip properties, but 8 holes 1460 in comparison with previous buying boots, shoe soles and thin point; 4. express transducer after the arrival time and goods to SF not let violence be treated with more confidence. Disadvantages: 1. fat feet, high arches, toes are flesh of children's shoes are not so friendly; 8 Holes of 1460, compared with 2. Before buying boots, shoe soles and thin point. * The above is the actual use and share shopping experience for all our friends who are interested in the commercial reference section.</v>
      </c>
    </row>
    <row r="14543">
      <c r="A14543" s="1">
        <v>5.0</v>
      </c>
      <c r="B14543" s="1" t="s">
        <v>14389</v>
      </c>
      <c r="C14543" t="str">
        <f>IFERROR(__xludf.DUMMYFUNCTION("GOOGLETRANSLATE(B14543, ""zh"", ""en"")"),"Well now in the early stages of burning, MDAC5 + DT880 system, quite satisfied with the HD650 I felt like misted over, not bright, but very resistant to listen, after the switch DT880, the sound is brighter, the atmosphere is also very balanced. I do not "&amp;"want to toss, concentrate on enjoying music, give up HD650.")</f>
        <v>Well now in the early stages of burning, MDAC5 + DT880 system, quite satisfied with the HD650 I felt like misted over, not bright, but very resistant to listen, after the switch DT880, the sound is brighter, the atmosphere is also very balanced. I do not want to toss, concentrate on enjoying music, give up HD650.</v>
      </c>
    </row>
    <row r="14544">
      <c r="A14544" s="1">
        <v>5.0</v>
      </c>
      <c r="B14544" s="1" t="s">
        <v>14390</v>
      </c>
      <c r="C14544" t="str">
        <f>IFERROR(__xludf.DUMMYFUNCTION("GOOGLETRANSLATE(B14544, ""zh"", ""en"")"),"Wear comfortable, the right size. Very satisfied with the shopping, cheap, upper body comfortable to wear.")</f>
        <v>Wear comfortable, the right size. Very satisfied with the shopping, cheap, upper body comfortable to wear.</v>
      </c>
    </row>
    <row r="14545">
      <c r="A14545" s="1">
        <v>5.0</v>
      </c>
      <c r="B14545" s="1" t="s">
        <v>14391</v>
      </c>
      <c r="C14545" t="str">
        <f>IFERROR(__xludf.DUMMYFUNCTION("GOOGLETRANSLATE(B14545, ""zh"", ""en"")"),"Leading to new home decoration Tun, first bought Mizakae, although cheap, there are copper, very heavy. Although not yet installed, look better than the domestic")</f>
        <v>Leading to new home decoration Tun, first bought Mizakae, although cheap, there are copper, very heavy. Although not yet installed, look better than the domestic</v>
      </c>
    </row>
    <row r="14546">
      <c r="A14546" s="1">
        <v>5.0</v>
      </c>
      <c r="B14546" s="1" t="s">
        <v>14392</v>
      </c>
      <c r="C14546" t="str">
        <f>IFERROR(__xludf.DUMMYFUNCTION("GOOGLETRANSLATE(B14546, ""zh"", ""en"")"),"Buy suitable size according to the evaluation, but also suitable, if the reference to the size of the table is too large, the size of the table are not allowed ah.")</f>
        <v>Buy suitable size according to the evaluation, but also suitable, if the reference to the size of the table is too large, the size of the table are not allowed ah.</v>
      </c>
    </row>
    <row r="14547">
      <c r="A14547" s="1">
        <v>5.0</v>
      </c>
      <c r="B14547" s="1" t="s">
        <v>14393</v>
      </c>
      <c r="C14547" t="str">
        <f>IFERROR(__xludf.DUMMYFUNCTION("GOOGLETRANSLATE(B14547, ""zh"", ""en"")"),"Comfort just received the goods, very good value for money. Just received the goods, very good value for money. Just received the goods, very good value for money.")</f>
        <v>Comfort just received the goods, very good value for money. Just received the goods, very good value for money. Just received the goods, very good value for money.</v>
      </c>
    </row>
    <row r="14548">
      <c r="A14548" s="1">
        <v>5.0</v>
      </c>
      <c r="B14548" s="1" t="s">
        <v>14394</v>
      </c>
      <c r="C14548" t="str">
        <f>IFERROR(__xludf.DUMMYFUNCTION("GOOGLETRANSLATE(B14548, ""zh"", ""en"")"),"Twist the lid more difficult problem often occurs screw cap is not good leak milk, but as long as carefully closed it will not spill")</f>
        <v>Twist the lid more difficult problem often occurs screw cap is not good leak milk, but as long as carefully closed it will not spill</v>
      </c>
    </row>
    <row r="14549">
      <c r="A14549" s="1">
        <v>5.0</v>
      </c>
      <c r="B14549" s="1" t="s">
        <v>14395</v>
      </c>
      <c r="C14549" t="str">
        <f>IFERROR(__xludf.DUMMYFUNCTION("GOOGLETRANSLATE(B14549, ""zh"", ""en"")"),"Very good for the first time to buy this dress style, medium size, comfortable to wear")</f>
        <v>Very good for the first time to buy this dress style, medium size, comfortable to wear</v>
      </c>
    </row>
    <row r="14550">
      <c r="A14550" s="1">
        <v>5.0</v>
      </c>
      <c r="B14550" s="1" t="s">
        <v>14396</v>
      </c>
      <c r="C14550" t="str">
        <f>IFERROR(__xludf.DUMMYFUNCTION("GOOGLETRANSLATE(B14550, ""zh"", ""en"")"),"N times before the repurchase of the goods in the United States and Asia to buy a dozen bottles, and see there the stockpile. It is easy to use, does not stimulate the taste of cool, but it works well.")</f>
        <v>N times before the repurchase of the goods in the United States and Asia to buy a dozen bottles, and see there the stockpile. It is easy to use, does not stimulate the taste of cool, but it works well.</v>
      </c>
    </row>
    <row r="14551">
      <c r="A14551" s="1">
        <v>5.0</v>
      </c>
      <c r="B14551" s="1" t="s">
        <v>14397</v>
      </c>
      <c r="C14551" t="str">
        <f>IFERROR(__xludf.DUMMYFUNCTION("GOOGLETRANSLATE(B14551, ""zh"", ""en"")"),"Comfortable high waist, the fabric is very comfortable, hip 92 to buy a large size appropriate, a bit thick, abdomen effect is there, wanted to re-entry two")</f>
        <v>Comfortable high waist, the fabric is very comfortable, hip 92 to buy a large size appropriate, a bit thick, abdomen effect is there, wanted to re-entry two</v>
      </c>
    </row>
    <row r="14552">
      <c r="A14552" s="1">
        <v>5.0</v>
      </c>
      <c r="B14552" s="1" t="s">
        <v>14398</v>
      </c>
      <c r="C14552" t="str">
        <f>IFERROR(__xludf.DUMMYFUNCTION("GOOGLETRANSLATE(B14552, ""zh"", ""en"")"),"Good clothes very appropriate, affordable prices!")</f>
        <v>Good clothes very appropriate, affordable prices!</v>
      </c>
    </row>
    <row r="14553">
      <c r="A14553" s="1">
        <v>5.0</v>
      </c>
      <c r="B14553" s="1" t="s">
        <v>14399</v>
      </c>
      <c r="C14553" t="str">
        <f>IFERROR(__xludf.DUMMYFUNCTION("GOOGLETRANSLATE(B14553, ""zh"", ""en"")"),"Good comfortable shoes excellent, ecco really enough Cock")</f>
        <v>Good comfortable shoes excellent, ecco really enough Cock</v>
      </c>
    </row>
    <row r="14554">
      <c r="A14554" s="1">
        <v>5.0</v>
      </c>
      <c r="B14554" s="1" t="s">
        <v>14400</v>
      </c>
      <c r="C14554" t="str">
        <f>IFERROR(__xludf.DUMMYFUNCTION("GOOGLETRANSLATE(B14554, ""zh"", ""en"")"),"xiexing buy a small one yard, it is affixed to the foot, lightweight, wear two days just grinding feet, rest a few days after the fit. In general, style, comfort is very good, dress appropriate. By the way, james wing why twice as expensive?")</f>
        <v>xiexing buy a small one yard, it is affixed to the foot, lightweight, wear two days just grinding feet, rest a few days after the fit. In general, style, comfort is very good, dress appropriate. By the way, james wing why twice as expensive?</v>
      </c>
    </row>
    <row r="14555">
      <c r="A14555" s="1">
        <v>5.0</v>
      </c>
      <c r="B14555" s="1" t="s">
        <v>14401</v>
      </c>
      <c r="C14555" t="str">
        <f>IFERROR(__xludf.DUMMYFUNCTION("GOOGLETRANSLATE(B14555, ""zh"", ""en"")"),"Election usual small one yard just right height 168, weight 105 S election code a little bit big, very good material, feeling very comfortable, stores are more than double it, I feel very value buy, really like!")</f>
        <v>Election usual small one yard just right height 168, weight 105 S election code a little bit big, very good material, feeling very comfortable, stores are more than double it, I feel very value buy, really like!</v>
      </c>
    </row>
    <row r="14556">
      <c r="A14556" s="1">
        <v>5.0</v>
      </c>
      <c r="B14556" s="1" t="s">
        <v>5975</v>
      </c>
      <c r="C14556" t="str">
        <f>IFERROR(__xludf.DUMMYFUNCTION("GOOGLETRANSLATE(B14556, ""zh"", ""en"")"),"Good thermal effect is very good")</f>
        <v>Good thermal effect is very good</v>
      </c>
    </row>
    <row r="14557">
      <c r="A14557" s="1">
        <v>5.0</v>
      </c>
      <c r="B14557" s="1" t="s">
        <v>14402</v>
      </c>
      <c r="C14557" t="str">
        <f>IFERROR(__xludf.DUMMYFUNCTION("GOOGLETRANSLATE(B14557, ""zh"", ""en"")"),"Especially good-looking have not really done a very fine taste, worthy of the price, can hold normal specifications pen 14 (a little less compact)")</f>
        <v>Especially good-looking have not really done a very fine taste, worthy of the price, can hold normal specifications pen 14 (a little less compact)</v>
      </c>
    </row>
    <row r="14558">
      <c r="A14558" s="1">
        <v>5.0</v>
      </c>
      <c r="B14558" s="1" t="s">
        <v>14403</v>
      </c>
      <c r="C14558" t="str">
        <f>IFERROR(__xludf.DUMMYFUNCTION("GOOGLETRANSLATE(B14558, ""zh"", ""en"")"),"Right size the right size, good quality, the price of this high cost.")</f>
        <v>Right size the right size, good quality, the price of this high cost.</v>
      </c>
    </row>
    <row r="14559">
      <c r="A14559" s="1">
        <v>5.0</v>
      </c>
      <c r="B14559" s="1" t="s">
        <v>14404</v>
      </c>
      <c r="C14559" t="str">
        <f>IFERROR(__xludf.DUMMYFUNCTION("GOOGLETRANSLATE(B14559, ""zh"", ""en"")"),"Large one yards, good quality clothes of good quality very warm, usually wear l l actually buy is big, too drained away to re-shoot, but a few days time, prices have gone up three or four hundred let me how to do ...")</f>
        <v>Large one yards, good quality clothes of good quality very warm, usually wear l l actually buy is big, too drained away to re-shoot, but a few days time, prices have gone up three or four hundred let me how to do ...</v>
      </c>
    </row>
    <row r="14560">
      <c r="A14560" s="1">
        <v>2.0</v>
      </c>
      <c r="B14560" s="1" t="s">
        <v>14405</v>
      </c>
      <c r="C14560" t="str">
        <f>IFERROR(__xludf.DUMMYFUNCTION("GOOGLETRANSLATE(B14560, ""zh"", ""en"")"),"Walk creaking floor mats have abnormal sound, walking creak sound. Mat is thin cardboard, there is a walk friction sound, really embarrassed to wear.")</f>
        <v>Walk creaking floor mats have abnormal sound, walking creak sound. Mat is thin cardboard, there is a walk friction sound, really embarrassed to wear.</v>
      </c>
    </row>
    <row r="14561">
      <c r="A14561" s="1">
        <v>3.0</v>
      </c>
      <c r="B14561" s="1" t="s">
        <v>14406</v>
      </c>
      <c r="C14561" t="str">
        <f>IFERROR(__xludf.DUMMYFUNCTION("GOOGLETRANSLATE(B14561, ""zh"", ""en"")"),"Slow transmission speeds is a good price, but the transmission speed is very slow, 3.0 interface, transfer individual files 70-80m, was soon reduced to 20-30. Compare disappointed")</f>
        <v>Slow transmission speeds is a good price, but the transmission speed is very slow, 3.0 interface, transfer individual files 70-80m, was soon reduced to 20-30. Compare disappointed</v>
      </c>
    </row>
    <row r="14562">
      <c r="A14562" s="1">
        <v>3.0</v>
      </c>
      <c r="B14562" s="1" t="s">
        <v>14407</v>
      </c>
      <c r="C14562" t="str">
        <f>IFERROR(__xludf.DUMMYFUNCTION("GOOGLETRANSLATE(B14562, ""zh"", ""en"")"),"Cover design in question cover not buckle, it should be a matter of design, often a careless fall.")</f>
        <v>Cover design in question cover not buckle, it should be a matter of design, often a careless fall.</v>
      </c>
    </row>
    <row r="14563">
      <c r="A14563" s="1">
        <v>1.0</v>
      </c>
      <c r="B14563" s="1" t="s">
        <v>14408</v>
      </c>
      <c r="C14563" t="str">
        <f>IFERROR(__xludf.DUMMYFUNCTION("GOOGLETRANSLATE(B14563, ""zh"", ""en"")"),"Due to poor service too, the applicant returned, but had no one to talk to me, can not be returned.")</f>
        <v>Due to poor service too, the applicant returned, but had no one to talk to me, can not be returned.</v>
      </c>
    </row>
    <row r="14564">
      <c r="A14564" s="1">
        <v>1.0</v>
      </c>
      <c r="B14564" s="1" t="s">
        <v>14409</v>
      </c>
      <c r="C14564" t="str">
        <f>IFERROR(__xludf.DUMMYFUNCTION("GOOGLETRANSLATE(B14564, ""zh"", ""en"")"),"Work clothes in question did not check to wash the clothes do have a problem opening the line and asymmetry")</f>
        <v>Work clothes in question did not check to wash the clothes do have a problem opening the line and asymmetry</v>
      </c>
    </row>
    <row r="14565">
      <c r="A14565" s="1">
        <v>4.0</v>
      </c>
      <c r="B14565" s="1" t="s">
        <v>14410</v>
      </c>
      <c r="C14565" t="str">
        <f>IFERROR(__xludf.DUMMYFUNCTION("GOOGLETRANSLATE(B14565, ""zh"", ""en"")"),"Not so magical no big v are recommended so magical")</f>
        <v>Not so magical no big v are recommended so magical</v>
      </c>
    </row>
    <row r="14566">
      <c r="A14566" s="1">
        <v>4.0</v>
      </c>
      <c r="B14566" s="1" t="s">
        <v>14411</v>
      </c>
      <c r="C14566" t="str">
        <f>IFERROR(__xludf.DUMMYFUNCTION("GOOGLETRANSLATE(B14566, ""zh"", ""en"")"),"Good shopping good shopping, better quality, the price is still appropriate")</f>
        <v>Good shopping good shopping, better quality, the price is still appropriate</v>
      </c>
    </row>
    <row r="14567">
      <c r="A14567" s="1">
        <v>4.0</v>
      </c>
      <c r="B14567" s="1" t="s">
        <v>14412</v>
      </c>
      <c r="C14567" t="str">
        <f>IFERROR(__xludf.DUMMYFUNCTION("GOOGLETRANSLATE(B14567, ""zh"", ""en"")"),"Just like the Lee brand of pants to wear good.")</f>
        <v>Just like the Lee brand of pants to wear good.</v>
      </c>
    </row>
    <row r="14568">
      <c r="A14568" s="1">
        <v>4.0</v>
      </c>
      <c r="B14568" s="1" t="s">
        <v>14413</v>
      </c>
      <c r="C14568" t="str">
        <f>IFERROR(__xludf.DUMMYFUNCTION("GOOGLETRANSLATE(B14568, ""zh"", ""en"")"),"This size is not an ordinary size is too long is too long. But the material feels soft and very comfortable.")</f>
        <v>This size is not an ordinary size is too long is too long. But the material feels soft and very comfortable.</v>
      </c>
    </row>
    <row r="14569">
      <c r="A14569" s="1">
        <v>4.0</v>
      </c>
      <c r="B14569" s="1" t="s">
        <v>14414</v>
      </c>
      <c r="C14569" t="str">
        <f>IFERROR(__xludf.DUMMYFUNCTION("GOOGLETRANSLATE(B14569, ""zh"", ""en"")"),"Good height 180, weight 160, M code is very fit, relatively thin air-permeable.")</f>
        <v>Good height 180, weight 160, M code is very fit, relatively thin air-permeable.</v>
      </c>
    </row>
    <row r="14570">
      <c r="A14570" s="1">
        <v>5.0</v>
      </c>
      <c r="B14570" s="1" t="s">
        <v>14415</v>
      </c>
      <c r="C14570" t="str">
        <f>IFERROR(__xludf.DUMMYFUNCTION("GOOGLETRANSLATE(B14570, ""zh"", ""en"")"),"Good-looking, comfortable clothes and good quality, cheaper than domestic, good-looking.")</f>
        <v>Good-looking, comfortable clothes and good quality, cheaper than domestic, good-looking.</v>
      </c>
    </row>
    <row r="14571">
      <c r="A14571" s="1">
        <v>5.0</v>
      </c>
      <c r="B14571" s="1" t="s">
        <v>14416</v>
      </c>
      <c r="C14571" t="str">
        <f>IFERROR(__xludf.DUMMYFUNCTION("GOOGLETRANSLATE(B14571, ""zh"", ""en"")"),"Very good also good, especially the first time the effect is significant.")</f>
        <v>Very good also good, especially the first time the effect is significant.</v>
      </c>
    </row>
    <row r="14572">
      <c r="A14572" s="1">
        <v>5.0</v>
      </c>
      <c r="B14572" s="1" t="s">
        <v>14417</v>
      </c>
      <c r="C14572" t="str">
        <f>IFERROR(__xludf.DUMMYFUNCTION("GOOGLETRANSLATE(B14572, ""zh"", ""en"")"),"Economic and affordable very satisfied, very affordable")</f>
        <v>Economic and affordable very satisfied, very affordable</v>
      </c>
    </row>
    <row r="14573">
      <c r="A14573" s="1">
        <v>5.0</v>
      </c>
      <c r="B14573" s="1" t="s">
        <v>14418</v>
      </c>
      <c r="C14573" t="str">
        <f>IFERROR(__xludf.DUMMYFUNCTION("GOOGLETRANSLATE(B14573, ""zh"", ""en"")"),"So far more perfect baby-G tenacity, although not as good as before the date tips just put on the table a few days from time to time to see, want to know the date today = = but everything is perfect, solid shell, with a table, very it is good")</f>
        <v>So far more perfect baby-G tenacity, although not as good as before the date tips just put on the table a few days from time to time to see, want to know the date today = = but everything is perfect, solid shell, with a table, very it is good</v>
      </c>
    </row>
    <row r="14574">
      <c r="A14574" s="1">
        <v>5.0</v>
      </c>
      <c r="B14574" s="1" t="s">
        <v>14419</v>
      </c>
      <c r="C14574" t="str">
        <f>IFERROR(__xludf.DUMMYFUNCTION("GOOGLETRANSLATE(B14574, ""zh"", ""en"")"),"The right size, it is tailored to me through the most appropriate LEE, bought in Thailand, China bought the original, the most suitable in the Amazon! Super praise! ! ! The color looks very comfortable, just the size of the length of tailor-made, the most"&amp;" amazing is actually a micro-stretch. We must praise super star! Reference: height 179, weight 88KG, buy 34 * 32")</f>
        <v>The right size, it is tailored to me through the most appropriate LEE, bought in Thailand, China bought the original, the most suitable in the Amazon! Super praise! ! ! The color looks very comfortable, just the size of the length of tailor-made, the most amazing is actually a micro-stretch. We must praise super star! Reference: height 179, weight 88KG, buy 34 * 32</v>
      </c>
    </row>
    <row r="14575">
      <c r="A14575" s="1">
        <v>5.0</v>
      </c>
      <c r="B14575" s="1" t="s">
        <v>14420</v>
      </c>
      <c r="C14575" t="str">
        <f>IFERROR(__xludf.DUMMYFUNCTION("GOOGLETRANSLATE(B14575, ""zh"", ""en"")"),"Logistics very quickly, with the good with the bad")</f>
        <v>Logistics very quickly, with the good with the bad</v>
      </c>
    </row>
    <row r="14576">
      <c r="A14576" s="1">
        <v>5.0</v>
      </c>
      <c r="B14576" s="1" t="s">
        <v>14421</v>
      </c>
      <c r="C14576" t="str">
        <f>IFERROR(__xludf.DUMMYFUNCTION("GOOGLETRANSLATE(B14576, ""zh"", ""en"")"),"Starbucks can be handy handy capsule, with the store almost taste")</f>
        <v>Starbucks can be handy handy capsule, with the store almost taste</v>
      </c>
    </row>
    <row r="14577">
      <c r="A14577" s="1">
        <v>5.0</v>
      </c>
      <c r="B14577" s="1" t="s">
        <v>14422</v>
      </c>
      <c r="C14577" t="str">
        <f>IFERROR(__xludf.DUMMYFUNCTION("GOOGLETRANSLATE(B14577, ""zh"", ""en"")"),"Pants quality is like height 178 weight 76 kg 32 yards is very appropriate for the public body loose type, wear a little hot in the summer but still very comfortable fabric")</f>
        <v>Pants quality is like height 178 weight 76 kg 32 yards is very appropriate for the public body loose type, wear a little hot in the summer but still very comfortable fabric</v>
      </c>
    </row>
    <row r="14578">
      <c r="A14578" s="1">
        <v>5.0</v>
      </c>
      <c r="B14578" s="1" t="s">
        <v>14423</v>
      </c>
      <c r="C14578" t="str">
        <f>IFERROR(__xludf.DUMMYFUNCTION("GOOGLETRANSLATE(B14578, ""zh"", ""en"")"),"Worth having very beautiful, texture, exquisite workmanship, smooth writing, weighty, unique designs, the domestic rare!")</f>
        <v>Worth having very beautiful, texture, exquisite workmanship, smooth writing, weighty, unique designs, the domestic rare!</v>
      </c>
    </row>
    <row r="14579">
      <c r="A14579" s="1">
        <v>5.0</v>
      </c>
      <c r="B14579" s="1" t="s">
        <v>14424</v>
      </c>
      <c r="C14579" t="str">
        <f>IFERROR(__xludf.DUMMYFUNCTION("GOOGLETRANSLATE(B14579, ""zh"", ""en"")"),"Quality is very good except the sleeves a bit long, the version is great!")</f>
        <v>Quality is very good except the sleeves a bit long, the version is great!</v>
      </c>
    </row>
    <row r="14580">
      <c r="A14580" s="1">
        <v>5.0</v>
      </c>
      <c r="B14580" s="1" t="s">
        <v>14425</v>
      </c>
      <c r="C14580" t="str">
        <f>IFERROR(__xludf.DUMMYFUNCTION("GOOGLETRANSLATE(B14580, ""zh"", ""en"")"),"Kane 😊 retro atmosphere very good very satisfied is to wait a long time points.")</f>
        <v>Kane 😊 retro atmosphere very good very satisfied is to wait a long time points.</v>
      </c>
    </row>
    <row r="14581">
      <c r="A14581" s="1">
        <v>5.0</v>
      </c>
      <c r="B14581" s="1" t="s">
        <v>14426</v>
      </c>
      <c r="C14581" t="str">
        <f>IFERROR(__xludf.DUMMYFUNCTION("GOOGLETRANSLATE(B14581, ""zh"", ""en"")"),"Wild steady, formal, casual, sports can take")</f>
        <v>Wild steady, formal, casual, sports can take</v>
      </c>
    </row>
    <row r="14582">
      <c r="A14582" s="1">
        <v>5.0</v>
      </c>
      <c r="B14582" s="1" t="s">
        <v>8680</v>
      </c>
      <c r="C14582" t="str">
        <f>IFERROR(__xludf.DUMMYFUNCTION("GOOGLETRANSLATE(B14582, ""zh"", ""en"")"),"Cost-effective cost-effective")</f>
        <v>Cost-effective cost-effective</v>
      </c>
    </row>
    <row r="14583">
      <c r="A14583" s="1">
        <v>5.0</v>
      </c>
      <c r="B14583" s="1" t="s">
        <v>14427</v>
      </c>
      <c r="C14583" t="str">
        <f>IFERROR(__xludf.DUMMYFUNCTION("GOOGLETRANSLATE(B14583, ""zh"", ""en"")"),"Good product well worth buying!")</f>
        <v>Good product well worth buying!</v>
      </c>
    </row>
    <row r="14584">
      <c r="A14584" s="1">
        <v>5.0</v>
      </c>
      <c r="B14584" s="1" t="s">
        <v>14428</v>
      </c>
      <c r="C14584" t="str">
        <f>IFERROR(__xludf.DUMMYFUNCTION("GOOGLETRANSLATE(B14584, ""zh"", ""en"")"),"Good product plastic shell, the inner layer of stainless steel, to ensure the health and safety of children food. Although BPA-free plastic products safer, but stainless steel is obviously safer.")</f>
        <v>Good product plastic shell, the inner layer of stainless steel, to ensure the health and safety of children food. Although BPA-free plastic products safer, but stainless steel is obviously safer.</v>
      </c>
    </row>
    <row r="14585">
      <c r="A14585" s="1">
        <v>5.0</v>
      </c>
      <c r="B14585" s="1" t="s">
        <v>14429</v>
      </c>
      <c r="C14585" t="str">
        <f>IFERROR(__xludf.DUMMYFUNCTION("GOOGLETRANSLATE(B14585, ""zh"", ""en"")"),"Delicate appearance and practical, in-kind good-looking than the picture. Stable connection, small voice. usb charging not useful, connection to download treasure, no longer have to worry about can not play Kanla. Just do not know what else does not funct"&amp;"ion, the instructions are simple.")</f>
        <v>Delicate appearance and practical, in-kind good-looking than the picture. Stable connection, small voice. usb charging not useful, connection to download treasure, no longer have to worry about can not play Kanla. Just do not know what else does not function, the instructions are simple.</v>
      </c>
    </row>
    <row r="14586">
      <c r="A14586" s="1">
        <v>5.0</v>
      </c>
      <c r="B14586" s="1" t="s">
        <v>14430</v>
      </c>
      <c r="C14586" t="str">
        <f>IFERROR(__xludf.DUMMYFUNCTION("GOOGLETRANSLATE(B14586, ""zh"", ""en"")"),"Wife like my wife likes, comments need to be 10 words.")</f>
        <v>Wife like my wife likes, comments need to be 10 words.</v>
      </c>
    </row>
    <row r="14587">
      <c r="A14587" s="1">
        <v>5.0</v>
      </c>
      <c r="B14587" s="1" t="s">
        <v>14431</v>
      </c>
      <c r="C14587" t="str">
        <f>IFERROR(__xludf.DUMMYFUNCTION("GOOGLETRANSLATE(B14587, ""zh"", ""en"")"),"Affordable This is for her husband to buy, I eat good lady kept earmarking, the date to May 19, the date is good, but also with the time to buy calcium to eat, should be good.")</f>
        <v>Affordable This is for her husband to buy, I eat good lady kept earmarking, the date to May 19, the date is good, but also with the time to buy calcium to eat, should be good.</v>
      </c>
    </row>
    <row r="14588">
      <c r="A14588" s="1">
        <v>5.0</v>
      </c>
      <c r="B14588" s="1" t="s">
        <v>14432</v>
      </c>
      <c r="C14588" t="str">
        <f>IFERROR(__xludf.DUMMYFUNCTION("GOOGLETRANSLATE(B14588, ""zh"", ""en"")"),"good headset is very small, color value is also good, five-star")</f>
        <v>good headset is very small, color value is also good, five-star</v>
      </c>
    </row>
    <row r="14589">
      <c r="A14589" s="1">
        <v>5.0</v>
      </c>
      <c r="B14589" s="1" t="s">
        <v>14433</v>
      </c>
      <c r="C14589" t="str">
        <f>IFERROR(__xludf.DUMMYFUNCTION("GOOGLETRANSLATE(B14589, ""zh"", ""en"")"),"Pancakes weapon no obvious flaws, the overall light. Really good, pancakes could not be better, the whole cake bake very evenly, like pancakes at home is very recommended! Can not upload pictures")</f>
        <v>Pancakes weapon no obvious flaws, the overall light. Really good, pancakes could not be better, the whole cake bake very evenly, like pancakes at home is very recommended! Can not upload pictures</v>
      </c>
    </row>
    <row r="14590">
      <c r="A14590" s="1">
        <v>5.0</v>
      </c>
      <c r="B14590" s="1" t="s">
        <v>14434</v>
      </c>
      <c r="C14590" t="str">
        <f>IFERROR(__xludf.DUMMYFUNCTION("GOOGLETRANSLATE(B14590, ""zh"", ""en"")"),"Cheap good quality also bought on Taobao cheaper than the price before the line with the price of leather better then bigger is better shaped belt buckle days I prefer to buy my very annoying too long to use scissors to cut up the belt buckle buckle if no"&amp;"t be able to sew up the cut side of the belt buckle result I cut the hole in the side of the eye ugly dead")</f>
        <v>Cheap good quality also bought on Taobao cheaper than the price before the line with the price of leather better then bigger is better shaped belt buckle days I prefer to buy my very annoying too long to use scissors to cut up the belt buckle buckle if not be able to sew up the cut side of the belt buckle result I cut the hole in the side of the eye ugly dead</v>
      </c>
    </row>
    <row r="14591">
      <c r="A14591" s="1">
        <v>2.0</v>
      </c>
      <c r="B14591" s="1" t="s">
        <v>14435</v>
      </c>
      <c r="C14591" t="str">
        <f>IFERROR(__xludf.DUMMYFUNCTION("GOOGLETRANSLATE(B14591, ""zh"", ""en"")"),"Buy clothes to wear uncomfortable clothes freshman code than the other overseas. Slightly larger. Design of the back of the sutures did not even deal with. Slightly wearing flesh, feeling uncomfortable. I really do not know how to become the best-selling "&amp;"products. Obviously deceptive marketing")</f>
        <v>Buy clothes to wear uncomfortable clothes freshman code than the other overseas. Slightly larger. Design of the back of the sutures did not even deal with. Slightly wearing flesh, feeling uncomfortable. I really do not know how to become the best-selling products. Obviously deceptive marketing</v>
      </c>
    </row>
    <row r="14592">
      <c r="A14592" s="1">
        <v>3.0</v>
      </c>
      <c r="B14592" s="1" t="s">
        <v>14436</v>
      </c>
      <c r="C14592" t="str">
        <f>IFERROR(__xludf.DUMMYFUNCTION("GOOGLETRANSLATE(B14592, ""zh"", ""en"")"),"Quality thin, long sleeves overall size, that is some long sleeves, bias thinner!")</f>
        <v>Quality thin, long sleeves overall size, that is some long sleeves, bias thinner!</v>
      </c>
    </row>
    <row r="14593">
      <c r="A14593" s="1">
        <v>3.0</v>
      </c>
      <c r="B14593" s="1" t="s">
        <v>14437</v>
      </c>
      <c r="C14593" t="str">
        <f>IFERROR(__xludf.DUMMYFUNCTION("GOOGLETRANSLATE(B14593, ""zh"", ""en"")"),"General General can only speak like a general, nothing to feel good")</f>
        <v>General General can only speak like a general, nothing to feel good</v>
      </c>
    </row>
    <row r="14594">
      <c r="A14594" s="1">
        <v>1.0</v>
      </c>
      <c r="B14594" s="1" t="s">
        <v>14438</v>
      </c>
      <c r="C14594" t="str">
        <f>IFERROR(__xludf.DUMMYFUNCTION("GOOGLETRANSLATE(B14594, ""zh"", ""en"")"),"Piece Shiraz can not buy it, not me 19 dollars slippers comfortable to wear it! Leather slippers a pair, who bought who regret it!")</f>
        <v>Piece Shiraz can not buy it, not me 19 dollars slippers comfortable to wear it! Leather slippers a pair, who bought who regret it!</v>
      </c>
    </row>
    <row r="14595">
      <c r="A14595" s="1">
        <v>1.0</v>
      </c>
      <c r="B14595" s="1" t="s">
        <v>6174</v>
      </c>
      <c r="C14595" t="str">
        <f>IFERROR(__xludf.DUMMYFUNCTION("GOOGLETRANSLATE(B14595, ""zh"", ""en"")"),"Packaging is very good, but the goods are not recommended for yourself, feeling and pictures gap is too big, the material looks very low")</f>
        <v>Packaging is very good, but the goods are not recommended for yourself, feeling and pictures gap is too big, the material looks very low</v>
      </c>
    </row>
    <row r="14596">
      <c r="A14596" s="1">
        <v>4.0</v>
      </c>
      <c r="B14596" s="1" t="s">
        <v>14439</v>
      </c>
      <c r="C14596" t="str">
        <f>IFERROR(__xludf.DUMMYFUNCTION("GOOGLETRANSLATE(B14596, ""zh"", ""en"")"),"still alright. Color is also good, but not so pretty picture, sometimes a bit difficult to play dough hook. . But overall okay.")</f>
        <v>still alright. Color is also good, but not so pretty picture, sometimes a bit difficult to play dough hook. . But overall okay.</v>
      </c>
    </row>
    <row r="14597">
      <c r="A14597" s="1">
        <v>4.0</v>
      </c>
      <c r="B14597" s="1" t="s">
        <v>14440</v>
      </c>
      <c r="C14597" t="str">
        <f>IFERROR(__xludf.DUMMYFUNCTION("GOOGLETRANSLATE(B14597, ""zh"", ""en"")"),"Things received, expressed some twists and turns today finally received, notification to get DHL said it was because of a problem to be returned zip code, telephone and later the Amazon customer to change over Zip evacuation in contact DHL, very tortuous,"&amp;" but just right zip code but two can be, but the address is right. Ha ha ha, so leave me specifically took a drive past. Something good, but the foot feeling relatively small, the size of nice, yes, oh is made in China.")</f>
        <v>Things received, expressed some twists and turns today finally received, notification to get DHL said it was because of a problem to be returned zip code, telephone and later the Amazon customer to change over Zip evacuation in contact DHL, very tortuous, but just right zip code but two can be, but the address is right. Ha ha ha, so leave me specifically took a drive past. Something good, but the foot feeling relatively small, the size of nice, yes, oh is made in China.</v>
      </c>
    </row>
    <row r="14598">
      <c r="A14598" s="1">
        <v>4.0</v>
      </c>
      <c r="B14598" s="1" t="s">
        <v>14441</v>
      </c>
      <c r="C14598" t="str">
        <f>IFERROR(__xludf.DUMMYFUNCTION("GOOGLETRANSLATE(B14598, ""zh"", ""en"")"),"Smelly, India produced some hard, too many things can not be installed")</f>
        <v>Smelly, India produced some hard, too many things can not be installed</v>
      </c>
    </row>
    <row r="14599">
      <c r="A14599" s="1">
        <v>4.0</v>
      </c>
      <c r="B14599" s="1" t="s">
        <v>14442</v>
      </c>
      <c r="C14599" t="str">
        <f>IFERROR(__xludf.DUMMYFUNCTION("GOOGLETRANSLATE(B14599, ""zh"", ""en"")"),"Is not appropriate to go traveling with a feeling or a big point, all plastic, not very good, the domestic production, prices and domestic no advantage over")</f>
        <v>Is not appropriate to go traveling with a feeling or a big point, all plastic, not very good, the domestic production, prices and domestic no advantage over</v>
      </c>
    </row>
    <row r="14600">
      <c r="A14600" s="1">
        <v>4.0</v>
      </c>
      <c r="B14600" s="1" t="s">
        <v>14443</v>
      </c>
      <c r="C14600" t="str">
        <f>IFERROR(__xludf.DUMMYFUNCTION("GOOGLETRANSLATE(B14600, ""zh"", ""en"")"),"Sound slightly smaller sound slightly smaller, plug it back unstable, will move slightly off, the sound quality is better vocals, playing music in Europe and America a little better, there is a certain phase problem, a small space is enough, but also over"&amp;"all can,")</f>
        <v>Sound slightly smaller sound slightly smaller, plug it back unstable, will move slightly off, the sound quality is better vocals, playing music in Europe and America a little better, there is a certain phase problem, a small space is enough, but also overall can,</v>
      </c>
    </row>
    <row r="14601">
      <c r="A14601" s="1">
        <v>5.0</v>
      </c>
      <c r="B14601" s="1" t="s">
        <v>14444</v>
      </c>
      <c r="C14601" t="str">
        <f>IFERROR(__xludf.DUMMYFUNCTION("GOOGLETRANSLATE(B14601, ""zh"", ""en"")"),"Good quality cotton soft and comfortable to wear. Logistics fast, value for money 👍")</f>
        <v>Good quality cotton soft and comfortable to wear. Logistics fast, value for money 👍</v>
      </c>
    </row>
    <row r="14602">
      <c r="A14602" s="1">
        <v>5.0</v>
      </c>
      <c r="B14602" s="1" t="s">
        <v>14445</v>
      </c>
      <c r="C14602" t="str">
        <f>IFERROR(__xludf.DUMMYFUNCTION("GOOGLETRANSLATE(B14602, ""zh"", ""en"")"),"Good quality a little too large")</f>
        <v>Good quality a little too large</v>
      </c>
    </row>
    <row r="14603">
      <c r="A14603" s="1">
        <v>5.0</v>
      </c>
      <c r="B14603" s="1" t="s">
        <v>14446</v>
      </c>
      <c r="C14603" t="str">
        <f>IFERROR(__xludf.DUMMYFUNCTION("GOOGLETRANSLATE(B14603, ""zh"", ""en"")"),"At first glance I feel very good, need some time before we know very solid sense, that is, spend a half hour to learn how to use it")</f>
        <v>At first glance I feel very good, need some time before we know very solid sense, that is, spend a half hour to learn how to use it</v>
      </c>
    </row>
    <row r="14604">
      <c r="A14604" s="1">
        <v>5.0</v>
      </c>
      <c r="B14604" s="1" t="s">
        <v>14447</v>
      </c>
      <c r="C14604" t="str">
        <f>IFERROR(__xludf.DUMMYFUNCTION("GOOGLETRANSLATE(B14604, ""zh"", ""en"")"),"Did not pay attention to single sticks well, not from the previous evaluation, I do not know how many wasted points, points can change money now know, they should look carefully evaluated, then I put these words to copy to go, both to earn points, also sa"&amp;"ve, copy where they go, the most important thing is, do not seriously review, do not think how much worse word, sent directly to it, recommend it to everyone, passing through are evaluated.")</f>
        <v>Did not pay attention to single sticks well, not from the previous evaluation, I do not know how many wasted points, points can change money now know, they should look carefully evaluated, then I put these words to copy to go, both to earn points, also save, copy where they go, the most important thing is, do not seriously review, do not think how much worse word, sent directly to it, recommend it to everyone, passing through are evaluated.</v>
      </c>
    </row>
    <row r="14605">
      <c r="A14605" s="1">
        <v>5.0</v>
      </c>
      <c r="B14605" s="1" t="s">
        <v>14448</v>
      </c>
      <c r="C14605" t="str">
        <f>IFERROR(__xludf.DUMMYFUNCTION("GOOGLETRANSLATE(B14605, ""zh"", ""en"")"),"Yardage usually wear 37.5-38 difficult choice to buy a 6.5 m left feeling a little narrow, length just right, the right foot touches no problem, but I think that would be more appropriate to widen")</f>
        <v>Yardage usually wear 37.5-38 difficult choice to buy a 6.5 m left feeling a little narrow, length just right, the right foot touches no problem, but I think that would be more appropriate to widen</v>
      </c>
    </row>
    <row r="14606">
      <c r="A14606" s="1">
        <v>5.0</v>
      </c>
      <c r="B14606" s="1" t="s">
        <v>14449</v>
      </c>
      <c r="C14606" t="str">
        <f>IFERROR(__xludf.DUMMYFUNCTION("GOOGLETRANSLATE(B14606, ""zh"", ""en"")"),"Feichangbucuo very good I like want to buy a")</f>
        <v>Feichangbucuo very good I like want to buy a</v>
      </c>
    </row>
    <row r="14607">
      <c r="A14607" s="1">
        <v>5.0</v>
      </c>
      <c r="B14607" s="1" t="s">
        <v>14450</v>
      </c>
      <c r="C14607" t="str">
        <f>IFERROR(__xludf.DUMMYFUNCTION("GOOGLETRANSLATE(B14607, ""zh"", ""en"")"),"Price fast delivery, very good brush")</f>
        <v>Price fast delivery, very good brush</v>
      </c>
    </row>
    <row r="14608">
      <c r="A14608" s="1">
        <v>5.0</v>
      </c>
      <c r="B14608" s="1" t="s">
        <v>14451</v>
      </c>
      <c r="C14608" t="str">
        <f>IFERROR(__xludf.DUMMYFUNCTION("GOOGLETRANSLATE(B14608, ""zh"", ""en"")"),"Yes indeed will change, to buy the baby with the hope that the production of harmful substances with no spoon")</f>
        <v>Yes indeed will change, to buy the baby with the hope that the production of harmful substances with no spoon</v>
      </c>
    </row>
    <row r="14609">
      <c r="A14609" s="1">
        <v>5.0</v>
      </c>
      <c r="B14609" s="1" t="s">
        <v>3923</v>
      </c>
      <c r="C14609" t="str">
        <f>IFERROR(__xludf.DUMMYFUNCTION("GOOGLETRANSLATE(B14609, ""zh"", ""en"")"),"ok Slim was thin, remarkable temperament! it is good")</f>
        <v>ok Slim was thin, remarkable temperament! it is good</v>
      </c>
    </row>
    <row r="14610">
      <c r="A14610" s="1">
        <v>5.0</v>
      </c>
      <c r="B14610" s="1" t="s">
        <v>14452</v>
      </c>
      <c r="C14610" t="str">
        <f>IFERROR(__xludf.DUMMYFUNCTION("GOOGLETRANSLATE(B14610, ""zh"", ""en"")"),"Style is very fit people generally wear size L L just wear very appropriate")</f>
        <v>Style is very fit people generally wear size L L just wear very appropriate</v>
      </c>
    </row>
    <row r="14611">
      <c r="A14611" s="1">
        <v>5.0</v>
      </c>
      <c r="B14611" s="1" t="s">
        <v>14453</v>
      </c>
      <c r="C14611" t="str">
        <f>IFERROR(__xludf.DUMMYFUNCTION("GOOGLETRANSLATE(B14611, ""zh"", ""en"")"),"Good product very good stuff, my wife is very satisfied with the need to purchase British standard conversion head.")</f>
        <v>Good product very good stuff, my wife is very satisfied with the need to purchase British standard conversion head.</v>
      </c>
    </row>
    <row r="14612">
      <c r="A14612" s="1">
        <v>5.0</v>
      </c>
      <c r="B14612" s="1" t="s">
        <v>14454</v>
      </c>
      <c r="C14612" t="str">
        <f>IFERROR(__xludf.DUMMYFUNCTION("GOOGLETRANSLATE(B14612, ""zh"", ""en"")"),"Note pants one size larger than the outside! Warm and generally, is actually very soft, 177,68kg, L No. short, should buy the LL")</f>
        <v>Note pants one size larger than the outside! Warm and generally, is actually very soft, 177,68kg, L No. short, should buy the LL</v>
      </c>
    </row>
    <row r="14613">
      <c r="A14613" s="1">
        <v>5.0</v>
      </c>
      <c r="B14613" s="1" t="s">
        <v>14455</v>
      </c>
      <c r="C14613" t="str">
        <f>IFERROR(__xludf.DUMMYFUNCTION("GOOGLETRANSLATE(B14613, ""zh"", ""en"")"),"The real thing is a good thing good thing, say the elderly to eat good results")</f>
        <v>The real thing is a good thing good thing, say the elderly to eat good results</v>
      </c>
    </row>
    <row r="14614">
      <c r="A14614" s="1">
        <v>5.0</v>
      </c>
      <c r="B14614" s="1" t="s">
        <v>14456</v>
      </c>
      <c r="C14614" t="str">
        <f>IFERROR(__xludf.DUMMYFUNCTION("GOOGLETRANSLATE(B14614, ""zh"", ""en"")"),"Quality Quality is also OK.")</f>
        <v>Quality Quality is also OK.</v>
      </c>
    </row>
    <row r="14615">
      <c r="A14615" s="1">
        <v>5.0</v>
      </c>
      <c r="B14615" s="1" t="s">
        <v>14457</v>
      </c>
      <c r="C14615" t="str">
        <f>IFERROR(__xludf.DUMMYFUNCTION("GOOGLETRANSLATE(B14615, ""zh"", ""en"")"),"Good use like")</f>
        <v>Good use like</v>
      </c>
    </row>
    <row r="14616">
      <c r="A14616" s="1">
        <v>5.0</v>
      </c>
      <c r="B14616" s="1" t="s">
        <v>14458</v>
      </c>
      <c r="C14616" t="str">
        <f>IFERROR(__xludf.DUMMYFUNCTION("GOOGLETRANSLATE(B14616, ""zh"", ""en"")"),"10tb is displayed on the computer Win7 9.09TB, it is new.")</f>
        <v>10tb is displayed on the computer Win7 9.09TB, it is new.</v>
      </c>
    </row>
    <row r="14617">
      <c r="A14617" s="1">
        <v>5.0</v>
      </c>
      <c r="B14617" s="1" t="s">
        <v>14459</v>
      </c>
      <c r="C14617" t="str">
        <f>IFERROR(__xludf.DUMMYFUNCTION("GOOGLETRANSLATE(B14617, ""zh"", ""en"")"),"The cloth was made in Jordan. Chamipion pants as always, durable, comfortable and good thermal effects, is very worthwhile to start ..")</f>
        <v>The cloth was made in Jordan. Chamipion pants as always, durable, comfortable and good thermal effects, is very worthwhile to start ..</v>
      </c>
    </row>
    <row r="14618">
      <c r="A14618" s="1">
        <v>5.0</v>
      </c>
      <c r="B14618" s="1" t="s">
        <v>14460</v>
      </c>
      <c r="C14618" t="str">
        <f>IFERROR(__xludf.DUMMYFUNCTION("GOOGLETRANSLATE(B14618, ""zh"", ""en"")"),"Many may choose to provide different requirements of CK underwear to the customer has always been. good quality.")</f>
        <v>Many may choose to provide different requirements of CK underwear to the customer has always been. good quality.</v>
      </c>
    </row>
    <row r="14619">
      <c r="A14619" s="1">
        <v>5.0</v>
      </c>
      <c r="B14619" s="1" t="s">
        <v>14461</v>
      </c>
      <c r="C14619" t="str">
        <f>IFERROR(__xludf.DUMMYFUNCTION("GOOGLETRANSLATE(B14619, ""zh"", ""en"")"),"Good bought several times, good things")</f>
        <v>Good bought several times, good things</v>
      </c>
    </row>
    <row r="14620">
      <c r="A14620" s="1">
        <v>5.0</v>
      </c>
      <c r="B14620" s="1" t="s">
        <v>14462</v>
      </c>
      <c r="C14620" t="str">
        <f>IFERROR(__xludf.DUMMYFUNCTION("GOOGLETRANSLATE(B14620, ""zh"", ""en"")"),"Recommended to buy a smaller size good quality, I usually wear 27 to buy No. 4 was big, but you can wear pants warm winter jacket.")</f>
        <v>Recommended to buy a smaller size good quality, I usually wear 27 to buy No. 4 was big, but you can wear pants warm winter jacket.</v>
      </c>
    </row>
    <row r="14621">
      <c r="A14621" s="1">
        <v>5.0</v>
      </c>
      <c r="B14621" s="1" t="s">
        <v>14463</v>
      </c>
      <c r="C14621" t="str">
        <f>IFERROR(__xludf.DUMMYFUNCTION("GOOGLETRANSLATE(B14621, ""zh"", ""en"")"),"You can also buy longer, shorter, 2 feet 5 waist, bought 32 buckle to the second hole, and on more than just a little!")</f>
        <v>You can also buy longer, shorter, 2 feet 5 waist, bought 32 buckle to the second hole, and on more than just a little!</v>
      </c>
    </row>
    <row r="14622">
      <c r="A14622" s="1">
        <v>5.0</v>
      </c>
      <c r="B14622" s="1" t="s">
        <v>14464</v>
      </c>
      <c r="C14622" t="str">
        <f>IFERROR(__xludf.DUMMYFUNCTION("GOOGLETRANSLATE(B14622, ""zh"", ""en"")"),"Vitamin previously bought, he has been eating. . . .")</f>
        <v>Vitamin previously bought, he has been eating. . . .</v>
      </c>
    </row>
    <row r="14623">
      <c r="A14623" s="1">
        <v>2.0</v>
      </c>
      <c r="B14623" s="1" t="s">
        <v>14465</v>
      </c>
      <c r="C14623" t="str">
        <f>IFERROR(__xludf.DUMMYFUNCTION("GOOGLETRANSLATE(B14623, ""zh"", ""en"")"),"Above 30 cd-r to burn music performance quality problems began to use are satisfied, engraved speed of 4X, but about the use of the barrel cd-r around the bottom 20 are a problem, my two original Plextor burner type also PP1 PP2 type can not properly burn"&amp;" the blank CD can not be recognized, even if occasionally recognized after writing can not detect C1C2, players also have flaws.")</f>
        <v>Above 30 cd-r to burn music performance quality problems began to use are satisfied, engraved speed of 4X, but about the use of the barrel cd-r around the bottom 20 are a problem, my two original Plextor burner type also PP1 PP2 type can not properly burn the blank CD can not be recognized, even if occasionally recognized after writing can not detect C1C2, players also have flaws.</v>
      </c>
    </row>
    <row r="14624">
      <c r="A14624" s="1">
        <v>3.0</v>
      </c>
      <c r="B14624" s="1" t="s">
        <v>14466</v>
      </c>
      <c r="C14624" t="str">
        <f>IFERROR(__xludf.DUMMYFUNCTION("GOOGLETRANSLATE(B14624, ""zh"", ""en"")"),"Point slightly tight, wear slightly tight fit lean point for lean wear")</f>
        <v>Point slightly tight, wear slightly tight fit lean point for lean wear</v>
      </c>
    </row>
    <row r="14625">
      <c r="A14625" s="1">
        <v>3.0</v>
      </c>
      <c r="B14625" s="1" t="s">
        <v>14467</v>
      </c>
      <c r="C14625" t="str">
        <f>IFERROR(__xludf.DUMMYFUNCTION("GOOGLETRANSLATE(B14625, ""zh"", ""en"")"),"Do not want to write the title material can see that they are good, but this work? ? The traces how is it ugly Oh ... and a little 8 foot wear")</f>
        <v>Do not want to write the title material can see that they are good, but this work? ? The traces how is it ugly Oh ... and a little 8 foot wear</v>
      </c>
    </row>
    <row r="14626">
      <c r="A14626" s="1">
        <v>1.0</v>
      </c>
      <c r="B14626" s="1" t="s">
        <v>14468</v>
      </c>
      <c r="C14626" t="str">
        <f>IFERROR(__xludf.DUMMYFUNCTION("GOOGLETRANSLATE(B14626, ""zh"", ""en"")"),"Not smooth the store to buy friends, writing is very smooth, Well, Oh! Better not to buy!")</f>
        <v>Not smooth the store to buy friends, writing is very smooth, Well, Oh! Better not to buy!</v>
      </c>
    </row>
    <row r="14627">
      <c r="A14627" s="1">
        <v>1.0</v>
      </c>
      <c r="B14627" s="1" t="s">
        <v>14469</v>
      </c>
      <c r="C14627" t="str">
        <f>IFERROR(__xludf.DUMMYFUNCTION("GOOGLETRANSLATE(B14627, ""zh"", ""en"")"),"Complimentary get a hand found the head round buckle gone ... and now only looked")</f>
        <v>Complimentary get a hand found the head round buckle gone ... and now only looked</v>
      </c>
    </row>
    <row r="14628">
      <c r="A14628" s="1">
        <v>1.0</v>
      </c>
      <c r="B14628" s="1" t="s">
        <v>14470</v>
      </c>
      <c r="C14628" t="str">
        <f>IFERROR(__xludf.DUMMYFUNCTION("GOOGLETRANSLATE(B14628, ""zh"", ""en"")"),"Hand is not gone, and upon inspection of the old movement is no good cheap goods, this is the truth! Casio hit such a low price, then a heart, it won; behold, new two new tables to go on strike, came back into the repair shop, check the owner said, this i"&amp;"s a legacy of the movement, for a whole a movement (it plainly, is to watch for a core) can be used! Spent the money is not that also waste time ...")</f>
        <v>Hand is not gone, and upon inspection of the old movement is no good cheap goods, this is the truth! Casio hit such a low price, then a heart, it won; behold, new two new tables to go on strike, came back into the repair shop, check the owner said, this is a legacy of the movement, for a whole a movement (it plainly, is to watch for a core) can be used! Spent the money is not that also waste time ...</v>
      </c>
    </row>
    <row r="14629">
      <c r="A14629" s="1">
        <v>4.0</v>
      </c>
      <c r="B14629" s="1" t="s">
        <v>14471</v>
      </c>
      <c r="C14629" t="str">
        <f>IFERROR(__xludf.DUMMYFUNCTION("GOOGLETRANSLATE(B14629, ""zh"", ""en"")"),"Size small + logo printing or to buy L code wearing really large one yard are just a yard or two. I thought the chest logo is embroidered, alas, the result is printed, forget too lazy to back")</f>
        <v>Size small + logo printing or to buy L code wearing really large one yard are just a yard or two. I thought the chest logo is embroidered, alas, the result is printed, forget too lazy to back</v>
      </c>
    </row>
    <row r="14630">
      <c r="A14630" s="1">
        <v>4.0</v>
      </c>
      <c r="B14630" s="1" t="s">
        <v>14472</v>
      </c>
      <c r="C14630" t="str">
        <f>IFERROR(__xludf.DUMMYFUNCTION("GOOGLETRANSLATE(B14630, ""zh"", ""en"")"),"I feel very praise! Arrive soon! Will buy back! Praise! Ah before your friends to help with the championship thin cashmere sweater m from the broth a Taiwan duty-free shops like grass so determined to write all in. Asian champions Japan learned relatively"&amp;" affordable price but also trust so I came to buy it! From order to receipt, the waiting time is not very long! Shipped super-fast! Praise praise praise praise! Quality of goods, the Japanese version is fine. However, I do not know because different model"&amp;"s sake, before you buy thin velvet black sweater printed cursive champion look and buy a new coil gray sweater cursive is not the same, then the same is m code, new ash than the old black slightly larger longer. In short, it is strongly recommended Nichia"&amp;"! Pretty cool!")</f>
        <v>I feel very praise! Arrive soon! Will buy back! Praise! Ah before your friends to help with the championship thin cashmere sweater m from the broth a Taiwan duty-free shops like grass so determined to write all in. Asian champions Japan learned relatively affordable price but also trust so I came to buy it! From order to receipt, the waiting time is not very long! Shipped super-fast! Praise praise praise praise! Quality of goods, the Japanese version is fine. However, I do not know because different models sake, before you buy thin velvet black sweater printed cursive champion look and buy a new coil gray sweater cursive is not the same, then the same is m code, new ash than the old black slightly larger longer. In short, it is strongly recommended Nichia! Pretty cool!</v>
      </c>
    </row>
    <row r="14631">
      <c r="A14631" s="1">
        <v>4.0</v>
      </c>
      <c r="B14631" s="1" t="s">
        <v>14473</v>
      </c>
      <c r="C14631" t="str">
        <f>IFERROR(__xludf.DUMMYFUNCTION("GOOGLETRANSLATE(B14631, ""zh"", ""en"")"),"Nice texture to be improved, the general texture, the arch is not very appropriate, hold up the middle insufficient.")</f>
        <v>Nice texture to be improved, the general texture, the arch is not very appropriate, hold up the middle insufficient.</v>
      </c>
    </row>
    <row r="14632">
      <c r="A14632" s="1">
        <v>4.0</v>
      </c>
      <c r="B14632" s="1" t="s">
        <v>14474</v>
      </c>
      <c r="C14632" t="str">
        <f>IFERROR(__xludf.DUMMYFUNCTION("GOOGLETRANSLATE(B14632, ""zh"", ""en"")"),"Okay sound quality suitable for rock and roll, you need to open burning, noise control, it is convenient, the effect is not very obvious, is not a package with the ear can endure summer, received a second, the only downside is that the battery does not ta"&amp;"ke too long , also eight hours of it, put a few days, no electricity, will stand for leakage, it does not boot, need to be recharged")</f>
        <v>Okay sound quality suitable for rock and roll, you need to open burning, noise control, it is convenient, the effect is not very obvious, is not a package with the ear can endure summer, received a second, the only downside is that the battery does not take too long , also eight hours of it, put a few days, no electricity, will stand for leakage, it does not boot, need to be recharged</v>
      </c>
    </row>
    <row r="14633">
      <c r="A14633" s="1">
        <v>4.0</v>
      </c>
      <c r="B14633" s="1" t="s">
        <v>14475</v>
      </c>
      <c r="C14633" t="str">
        <f>IFERROR(__xludf.DUMMYFUNCTION("GOOGLETRANSLATE(B14633, ""zh"", ""en"")"),"Use Evaluation fabric a little hard, after all, not cotton, within the acceptable range. After washing no folds, Dali well, not just back pocket buttons, is not very accustomed to!")</f>
        <v>Use Evaluation fabric a little hard, after all, not cotton, within the acceptable range. After washing no folds, Dali well, not just back pocket buttons, is not very accustomed to!</v>
      </c>
    </row>
    <row r="14634">
      <c r="A14634" s="1">
        <v>5.0</v>
      </c>
      <c r="B14634" s="1" t="s">
        <v>14476</v>
      </c>
      <c r="C14634" t="str">
        <f>IFERROR(__xludf.DUMMYFUNCTION("GOOGLETRANSLATE(B14634, ""zh"", ""en"")"),"The two single belt, a black one brown, black engraved Made in usa not brown, but the wear-resistant than brown black.")</f>
        <v>The two single belt, a black one brown, black engraved Made in usa not brown, but the wear-resistant than brown black.</v>
      </c>
    </row>
    <row r="14635">
      <c r="A14635" s="1">
        <v>5.0</v>
      </c>
      <c r="B14635" s="1" t="s">
        <v>14477</v>
      </c>
      <c r="C14635" t="str">
        <f>IFERROR(__xludf.DUMMYFUNCTION("GOOGLETRANSLATE(B14635, ""zh"", ""en"")"),"In fact, very, very fond of the children do not want a big meal with some dried fruit after a meal like this is very appropriate and the capacity that is not very fond of little tasteless")</f>
        <v>In fact, very, very fond of the children do not want a big meal with some dried fruit after a meal like this is very appropriate and the capacity that is not very fond of little tasteless</v>
      </c>
    </row>
    <row r="14636">
      <c r="A14636" s="1">
        <v>5.0</v>
      </c>
      <c r="B14636" s="1" t="s">
        <v>14478</v>
      </c>
      <c r="C14636" t="str">
        <f>IFERROR(__xludf.DUMMYFUNCTION("GOOGLETRANSLATE(B14636, ""zh"", ""en"")"),"Too big, buy a small two yards was almost too big, what stuff")</f>
        <v>Too big, buy a small two yards was almost too big, what stuff</v>
      </c>
    </row>
    <row r="14637">
      <c r="A14637" s="1">
        <v>5.0</v>
      </c>
      <c r="B14637" s="1" t="s">
        <v>14479</v>
      </c>
      <c r="C14637" t="str">
        <f>IFERROR(__xludf.DUMMYFUNCTION("GOOGLETRANSLATE(B14637, ""zh"", ""en"")"),"Worth stretch bought two pairs, are very good, particularly comfortable")</f>
        <v>Worth stretch bought two pairs, are very good, particularly comfortable</v>
      </c>
    </row>
    <row r="14638">
      <c r="A14638" s="1">
        <v>5.0</v>
      </c>
      <c r="B14638" s="1" t="s">
        <v>14480</v>
      </c>
      <c r="C14638" t="str">
        <f>IFERROR(__xludf.DUMMYFUNCTION("GOOGLETRANSLATE(B14638, ""zh"", ""en"")"),"Yan high value super suction, suction, it is suitable for baby lift tableware stage")</f>
        <v>Yan high value super suction, suction, it is suitable for baby lift tableware stage</v>
      </c>
    </row>
    <row r="14639">
      <c r="A14639" s="1">
        <v>5.0</v>
      </c>
      <c r="B14639" s="1" t="s">
        <v>14481</v>
      </c>
      <c r="C14639" t="str">
        <f>IFERROR(__xludf.DUMMYFUNCTION("GOOGLETRANSLATE(B14639, ""zh"", ""en"")"),"Good quality packaging is the original shoe box, good quality, suitable for just a moment, personally like the shoes")</f>
        <v>Good quality packaging is the original shoe box, good quality, suitable for just a moment, personally like the shoes</v>
      </c>
    </row>
    <row r="14640">
      <c r="A14640" s="1">
        <v>5.0</v>
      </c>
      <c r="B14640" s="1" t="s">
        <v>14482</v>
      </c>
      <c r="C14640" t="str">
        <f>IFERROR(__xludf.DUMMYFUNCTION("GOOGLETRANSLATE(B14640, ""zh"", ""en"")"),"Insulation effect is very good! Very much like the insulation effect is very good! Also convenient to carry, also write the name of the brand, do not worry about the other children in the kindergarten with the wrong cup")</f>
        <v>Insulation effect is very good! Very much like the insulation effect is very good! Also convenient to carry, also write the name of the brand, do not worry about the other children in the kindergarten with the wrong cup</v>
      </c>
    </row>
    <row r="14641">
      <c r="A14641" s="1">
        <v>5.0</v>
      </c>
      <c r="B14641" s="1" t="s">
        <v>14483</v>
      </c>
      <c r="C14641" t="str">
        <f>IFERROR(__xludf.DUMMYFUNCTION("GOOGLETRANSLATE(B14641, ""zh"", ""en"")"),"Like the right, with T-shirts shirts are OK, shoes, running shoes can hold live, especially the waist like this. Not of cotton, mind Shenru.")</f>
        <v>Like the right, with T-shirts shirts are OK, shoes, running shoes can hold live, especially the waist like this. Not of cotton, mind Shenru.</v>
      </c>
    </row>
    <row r="14642">
      <c r="A14642" s="1">
        <v>5.0</v>
      </c>
      <c r="B14642" s="1" t="s">
        <v>14484</v>
      </c>
      <c r="C14642" t="str">
        <f>IFERROR(__xludf.DUMMYFUNCTION("GOOGLETRANSLATE(B14642, ""zh"", ""en"")"),"Indeed value for money than Lock Thermos of light weight, good insulation effect, put a night or warm. Fenfen very nice.")</f>
        <v>Indeed value for money than Lock Thermos of light weight, good insulation effect, put a night or warm. Fenfen very nice.</v>
      </c>
    </row>
    <row r="14643">
      <c r="A14643" s="1">
        <v>5.0</v>
      </c>
      <c r="B14643" s="1" t="s">
        <v>14485</v>
      </c>
      <c r="C14643" t="str">
        <f>IFERROR(__xludf.DUMMYFUNCTION("GOOGLETRANSLATE(B14643, ""zh"", ""en"")"),"Reasons for the high cost of automatic coffee machines need to buy First, Second, look at the domestic price difference with the province every day with pride more than ten thousand block. Very simple to use, transferred to English mode on the line. In ad"&amp;"dition to any combination of various flavors of coffee, hot milk and hot water are good. My kids love bubbles drink hot milk! In short, cost-effective, every morning it home to mixing with the aroma of coffee, worth buying.")</f>
        <v>Reasons for the high cost of automatic coffee machines need to buy First, Second, look at the domestic price difference with the province every day with pride more than ten thousand block. Very simple to use, transferred to English mode on the line. In addition to any combination of various flavors of coffee, hot milk and hot water are good. My kids love bubbles drink hot milk! In short, cost-effective, every morning it home to mixing with the aroma of coffee, worth buying.</v>
      </c>
    </row>
    <row r="14644">
      <c r="A14644" s="1">
        <v>5.0</v>
      </c>
      <c r="B14644" s="1" t="s">
        <v>14486</v>
      </c>
      <c r="C14644" t="str">
        <f>IFERROR(__xludf.DUMMYFUNCTION("GOOGLETRANSLATE(B14644, ""zh"", ""en"")"),"Not wear clothing loose type, but can also be 167 tall, thin type, want to wear clothing with loose type, but the men are still men s just right shoulder, bust waistline is relatively large. . . . Well, I love this color, s not a loose type but also can w"&amp;"ear it 90 points")</f>
        <v>Not wear clothing loose type, but can also be 167 tall, thin type, want to wear clothing with loose type, but the men are still men s just right shoulder, bust waistline is relatively large. . . . Well, I love this color, s not a loose type but also can wear it 90 points</v>
      </c>
    </row>
    <row r="14645">
      <c r="A14645" s="1">
        <v>5.0</v>
      </c>
      <c r="B14645" s="1" t="s">
        <v>14487</v>
      </c>
      <c r="C14645" t="str">
        <f>IFERROR(__xludf.DUMMYFUNCTION("GOOGLETRANSLATE(B14645, ""zh"", ""en"")"),"Beautiful baseball cap shipping quickly, and adjust the size, very nice baseball cap.")</f>
        <v>Beautiful baseball cap shipping quickly, and adjust the size, very nice baseball cap.</v>
      </c>
    </row>
    <row r="14646">
      <c r="A14646" s="1">
        <v>5.0</v>
      </c>
      <c r="B14646" s="1" t="s">
        <v>14488</v>
      </c>
      <c r="C14646" t="str">
        <f>IFERROR(__xludf.DUMMYFUNCTION("GOOGLETRANSLATE(B14646, ""zh"", ""en"")"),"In continuous use has been in use, do not know how effective, and so have the opportunity to test it!")</f>
        <v>In continuous use has been in use, do not know how effective, and so have the opportunity to test it!</v>
      </c>
    </row>
    <row r="14647">
      <c r="A14647" s="1">
        <v>5.0</v>
      </c>
      <c r="B14647" s="1" t="s">
        <v>14489</v>
      </c>
      <c r="C14647" t="str">
        <f>IFERROR(__xludf.DUMMYFUNCTION("GOOGLETRANSLATE(B14647, ""zh"", ""en"")"),"Cheap, accurate travel time can be considered like dw net red table, small fresh art Fan children, however cheap, this is probably the new, hot with that money purchasing less than the 12-point line following the English, the table with the family good se"&amp;"veral, slightly different, the main font is not the same, a little rough or spend a little thin body, relatively long time that this most delicate, that Amazon selling out of stock")</f>
        <v>Cheap, accurate travel time can be considered like dw net red table, small fresh art Fan children, however cheap, this is probably the new, hot with that money purchasing less than the 12-point line following the English, the table with the family good several, slightly different, the main font is not the same, a little rough or spend a little thin body, relatively long time that this most delicate, that Amazon selling out of stock</v>
      </c>
    </row>
    <row r="14648">
      <c r="A14648" s="1">
        <v>5.0</v>
      </c>
      <c r="B14648" s="1" t="s">
        <v>14490</v>
      </c>
      <c r="C14648" t="str">
        <f>IFERROR(__xludf.DUMMYFUNCTION("GOOGLETRANSLATE(B14648, ""zh"", ""en"")"),"Never go before the evaluation, I do not know how many wasted points, points can change money now know, they should look carefully evaluated, then I put these words to copy to go, both to earn points, but also save trouble, they go where copy the most imp"&amp;"ortant thing is, do not seriously review, do not think how much worse word, sent directly to it, recommend it to everyone! Never go before the evaluation, I do not know how many wasted points, points can change money now know, they should look carefully e"&amp;"valuated, then I put these words to copy to go, both to earn points, but also save trouble, they go where copy the most important thing is, do not seriously review, do not think how much worse word, sent directly to it, recommend it to everyone!")</f>
        <v>Never go before the evaluation, I do not know how many wasted points, points can change money now know, they should look carefully evaluated, then I put these words to copy to go, both to earn points, but also save trouble, they go where copy the most important thing is, do not seriously review, do not think how much worse word, sent directly to it, recommend it to everyone! Never go before the evaluation, I do not know how many wasted points, points can change money now know, they should look carefully evaluated, then I put these words to copy to go, both to earn points, but also save trouble, they go where copy the most important thing is, do not seriously review, do not think how much worse word, sent directly to it, recommend it to everyone!</v>
      </c>
    </row>
    <row r="14649">
      <c r="A14649" s="1">
        <v>5.0</v>
      </c>
      <c r="B14649" s="1" t="s">
        <v>14491</v>
      </c>
      <c r="C14649" t="str">
        <f>IFERROR(__xludf.DUMMYFUNCTION("GOOGLETRANSLATE(B14649, ""zh"", ""en"")"),"Like the Japanese version of the Japanese version of the title for the Asian body, not thin nor thick, just fine")</f>
        <v>Like the Japanese version of the Japanese version of the title for the Asian body, not thin nor thick, just fine</v>
      </c>
    </row>
    <row r="14650">
      <c r="A14650" s="1">
        <v>5.0</v>
      </c>
      <c r="B14650" s="1" t="s">
        <v>14492</v>
      </c>
      <c r="C14650" t="str">
        <f>IFERROR(__xludf.DUMMYFUNCTION("GOOGLETRANSLATE(B14650, ""zh"", ""en"")"),"Famous installed cadres directed orders, receive in-kind feel a little old-fashioned, especially leading cadres want, but this is their own choice, at that time, only black is available, wear a wear a try. Or should give the praise.")</f>
        <v>Famous installed cadres directed orders, receive in-kind feel a little old-fashioned, especially leading cadres want, but this is their own choice, at that time, only black is available, wear a wear a try. Or should give the praise.</v>
      </c>
    </row>
    <row r="14651">
      <c r="A14651" s="1">
        <v>5.0</v>
      </c>
      <c r="B14651" s="1" t="s">
        <v>14493</v>
      </c>
      <c r="C14651" t="str">
        <f>IFERROR(__xludf.DUMMYFUNCTION("GOOGLETRANSLATE(B14651, ""zh"", ""en"")"),"Okay prime very quickly, years ago, or six days to go. Boots okay, no damage to the surface, edge and some thread. A shoe ankle mismatch at the junction next to the place, did not handle, too hard, it will hit the foot, the other no problem. Sole just the"&amp;" right size, that is, the upper bit loose.")</f>
        <v>Okay prime very quickly, years ago, or six days to go. Boots okay, no damage to the surface, edge and some thread. A shoe ankle mismatch at the junction next to the place, did not handle, too hard, it will hit the foot, the other no problem. Sole just the right size, that is, the upper bit loose.</v>
      </c>
    </row>
    <row r="14652">
      <c r="A14652" s="1">
        <v>5.0</v>
      </c>
      <c r="B14652" s="1" t="s">
        <v>14494</v>
      </c>
      <c r="C14652" t="str">
        <f>IFERROR(__xludf.DUMMYFUNCTION("GOOGLETRANSLATE(B14652, ""zh"", ""en"")"),"There are plush fast, winter wear good, 177,136 pounds s appropriate, cost-effective, fast direct mail")</f>
        <v>There are plush fast, winter wear good, 177,136 pounds s appropriate, cost-effective, fast direct mail</v>
      </c>
    </row>
    <row r="14653">
      <c r="A14653" s="1">
        <v>5.0</v>
      </c>
      <c r="B14653" s="1" t="s">
        <v>14495</v>
      </c>
      <c r="C14653" t="str">
        <f>IFERROR(__xludf.DUMMYFUNCTION("GOOGLETRANSLATE(B14653, ""zh"", ""en"")"),"Red network products receive, satisfied. Not to the children to use it.")</f>
        <v>Red network products receive, satisfied. Not to the children to use it.</v>
      </c>
    </row>
    <row r="14654">
      <c r="A14654" s="1">
        <v>5.0</v>
      </c>
      <c r="B14654" s="1" t="s">
        <v>14496</v>
      </c>
      <c r="C14654" t="str">
        <f>IFERROR(__xludf.DUMMYFUNCTION("GOOGLETRANSLATE(B14654, ""zh"", ""en"")"),"Barely too small")</f>
        <v>Barely too small</v>
      </c>
    </row>
    <row r="14655">
      <c r="A14655" s="1">
        <v>5.0</v>
      </c>
      <c r="B14655" s="1" t="s">
        <v>14497</v>
      </c>
      <c r="C14655" t="str">
        <f>IFERROR(__xludf.DUMMYFUNCTION("GOOGLETRANSLATE(B14655, ""zh"", ""en"")"),"Great price too, something easy to use, where a friend brought back from the United States, as will buy again!")</f>
        <v>Great price too, something easy to use, where a friend brought back from the United States, as will buy again!</v>
      </c>
    </row>
    <row r="14656">
      <c r="A14656" s="1">
        <v>2.0</v>
      </c>
      <c r="B14656" s="1" t="s">
        <v>14498</v>
      </c>
      <c r="C14656" t="str">
        <f>IFERROR(__xludf.DUMMYFUNCTION("GOOGLETRANSLATE(B14656, ""zh"", ""en"")"),"Too big, better quality, style does not ruffle nice.")</f>
        <v>Too big, better quality, style does not ruffle nice.</v>
      </c>
    </row>
    <row r="14657">
      <c r="A14657" s="1">
        <v>3.0</v>
      </c>
      <c r="B14657" s="1" t="s">
        <v>14499</v>
      </c>
      <c r="C14657" t="str">
        <f>IFERROR(__xludf.DUMMYFUNCTION("GOOGLETRANSLATE(B14657, ""zh"", ""en"")"),"Clothes clothes goods with overall general also okay, code number is too large, not sure whether it is genuine, and the store there is a difference, a very thin material, and then look at the label, did not feel great, I thought would be self-employed abr"&amp;"oad sound, but ...... to see the evaluation before buying, Amazon's customer assessment is still very accurate, forget your reference.")</f>
        <v>Clothes clothes goods with overall general also okay, code number is too large, not sure whether it is genuine, and the store there is a difference, a very thin material, and then look at the label, did not feel great, I thought would be self-employed abroad sound, but ...... to see the evaluation before buying, Amazon's customer assessment is still very accurate, forget your reference.</v>
      </c>
    </row>
    <row r="14658">
      <c r="A14658" s="1">
        <v>3.0</v>
      </c>
      <c r="B14658" s="1" t="s">
        <v>14500</v>
      </c>
      <c r="C14658" t="str">
        <f>IFERROR(__xludf.DUMMYFUNCTION("GOOGLETRANSLATE(B14658, ""zh"", ""en"")"),"Comments cortex bit hard, but also with the quality of some time before we know")</f>
        <v>Comments cortex bit hard, but also with the quality of some time before we know</v>
      </c>
    </row>
    <row r="14659">
      <c r="A14659" s="1">
        <v>3.0</v>
      </c>
      <c r="B14659" s="1" t="s">
        <v>14501</v>
      </c>
      <c r="C14659" t="str">
        <f>IFERROR(__xludf.DUMMYFUNCTION("GOOGLETRANSLATE(B14659, ""zh"", ""en"")"),"He is not wearing a zipper zippers do not bite the half shoe repair not have to change zipper")</f>
        <v>He is not wearing a zipper zippers do not bite the half shoe repair not have to change zipper</v>
      </c>
    </row>
    <row r="14660">
      <c r="A14660" s="1">
        <v>1.0</v>
      </c>
      <c r="B14660" s="1" t="s">
        <v>14502</v>
      </c>
      <c r="C14660" t="str">
        <f>IFERROR(__xludf.DUMMYFUNCTION("GOOGLETRANSLATE(B14660, ""zh"", ""en"")"),"No price tag and label no price tag and no label, is not new clothes?")</f>
        <v>No price tag and label no price tag and no label, is not new clothes?</v>
      </c>
    </row>
    <row r="14661">
      <c r="A14661" s="1">
        <v>1.0</v>
      </c>
      <c r="B14661" s="1" t="s">
        <v>14503</v>
      </c>
      <c r="C14661" t="str">
        <f>IFERROR(__xludf.DUMMYFUNCTION("GOOGLETRANSLATE(B14661, ""zh"", ""en"")"),"Actual speed and the actual speed deceive consumers describe the speed difference too far, and speed off quickly, to more than 80 trillion, and after and on SanDisk's official website, found that the security code I can not find 18 on the product packagin"&amp;"g, extreme suspected to be fake, I do not want to have a heart")</f>
        <v>Actual speed and the actual speed deceive consumers describe the speed difference too far, and speed off quickly, to more than 80 trillion, and after and on SanDisk's official website, found that the security code I can not find 18 on the product packaging, extreme suspected to be fake, I do not want to have a heart</v>
      </c>
    </row>
    <row r="14662">
      <c r="A14662" s="1">
        <v>1.0</v>
      </c>
      <c r="B14662" s="1" t="s">
        <v>14504</v>
      </c>
      <c r="C14662" t="str">
        <f>IFERROR(__xludf.DUMMYFUNCTION("GOOGLETRANSLATE(B14662, ""zh"", ""en"")"),"Poor quality! ! ! Quality is very poor, very poor workmanship, very noisy. Start shaking very powerful! Such products children use it! ! ! ! ! ! ! !")</f>
        <v>Poor quality! ! ! Quality is very poor, very poor workmanship, very noisy. Start shaking very powerful! Such products children use it! ! ! ! ! ! ! !</v>
      </c>
    </row>
    <row r="14663">
      <c r="A14663" s="1">
        <v>4.0</v>
      </c>
      <c r="B14663" s="1" t="s">
        <v>14505</v>
      </c>
      <c r="C14663" t="str">
        <f>IFERROR(__xludf.DUMMYFUNCTION("GOOGLETRANSLATE(B14663, ""zh"", ""en"")"),"This fabric pants a good fit hard ah, with cardboard, like, do not know to wear for some time will not be soft")</f>
        <v>This fabric pants a good fit hard ah, with cardboard, like, do not know to wear for some time will not be soft</v>
      </c>
    </row>
    <row r="14664">
      <c r="A14664" s="1">
        <v>4.0</v>
      </c>
      <c r="B14664" s="1" t="s">
        <v>14506</v>
      </c>
      <c r="C14664" t="str">
        <f>IFERROR(__xludf.DUMMYFUNCTION("GOOGLETRANSLATE(B14664, ""zh"", ""en"")"),"Spoon it has received, but the spoon over there? After opening the lid to find a few laps I did not find a spoon")</f>
        <v>Spoon it has received, but the spoon over there? After opening the lid to find a few laps I did not find a spoon</v>
      </c>
    </row>
    <row r="14665">
      <c r="A14665" s="1">
        <v>4.0</v>
      </c>
      <c r="B14665" s="1" t="s">
        <v>14507</v>
      </c>
      <c r="C14665" t="str">
        <f>IFERROR(__xludf.DUMMYFUNCTION("GOOGLETRANSLATE(B14665, ""zh"", ""en"")"),"OK UK6, corresponding to the Chinese code 250, jp should be 255, usually wear soccer shoes jp255. To further dots may be very suitable. Some trace uppers, should be regarded as defective. Slightly rough, this price is also decent bar!")</f>
        <v>OK UK6, corresponding to the Chinese code 250, jp should be 255, usually wear soccer shoes jp255. To further dots may be very suitable. Some trace uppers, should be regarded as defective. Slightly rough, this price is also decent bar!</v>
      </c>
    </row>
    <row r="14666">
      <c r="A14666" s="1">
        <v>4.0</v>
      </c>
      <c r="B14666" s="1" t="s">
        <v>14508</v>
      </c>
      <c r="C14666" t="str">
        <f>IFERROR(__xludf.DUMMYFUNCTION("GOOGLETRANSLATE(B14666, ""zh"", ""en"")"),"Silent listening to buyers' opinions of you buy a small two yards, just the right color and the same picture, the other also. That is, the logistics is not ye fast, especially in the domestic logistics cooperation never contact you told me to look for a l"&amp;"ong time, from Tianjin to Shenyang, literally one day to a week and so on, are you really that yellow vest busy? Make a phone call you can die? From orders to finish off the country through eight days that put you in ten days. And domestic stores there ar"&amp;"e still gaps, after all, the price put in that.")</f>
        <v>Silent listening to buyers' opinions of you buy a small two yards, just the right color and the same picture, the other also. That is, the logistics is not ye fast, especially in the domestic logistics cooperation never contact you told me to look for a long time, from Tianjin to Shenyang, literally one day to a week and so on, are you really that yellow vest busy? Make a phone call you can die? From orders to finish off the country through eight days that put you in ten days. And domestic stores there are still gaps, after all, the price put in that.</v>
      </c>
    </row>
    <row r="14667">
      <c r="A14667" s="1">
        <v>4.0</v>
      </c>
      <c r="B14667" s="1" t="s">
        <v>14509</v>
      </c>
      <c r="C14667" t="str">
        <f>IFERROR(__xludf.DUMMYFUNCTION("GOOGLETRANSLATE(B14667, ""zh"", ""en"")"),"Headphone beginners use feeling because I do not believe that a set of headphones pot metaphysics. So this evaluation is after I get headphones with different musical experience, the first time to write out. Have not played other high-end headphones, the "&amp;"following description may not be accurate, I would like to join the headset fat faithful casual look I like this review. First, the low frequency of Pipa Sachs this song. Feel strong not muddy, dive like a general, but enough for me. Second, with the inte"&amp;"rmediate dabancheng girl. Soft feel real peace, not greasy soft female voice performance, male voice thick. Third, the high frequency Butterfly. At first the volume cranked up feeling somewhat harsh point, to reconcile the fact, not suitable for harsh nor"&amp;" diverge, treble kind of sense from the feet to the head of the stretch. Fourth, the resolution of bad love letters used. Because it is monitoring headphones so this performance was good, the singer ventilation, articulation, articulation of saliva can he"&amp;"ar the details. Fifth, the sound field with a California hotel. From this standard immersive to score from one to five, I give 4 points. The audience cheering, whistling, shouting so I kind of feel to listen to the scene. The band played the sounds layere"&amp;"d, can hear the different instruments of the position is not the same. Overall this headset their performance personally feel okay, it does not have excessive rendering, the song itself is how is how, it sounds nothing amazing feeling. Do not use mixer em"&amp;"phasized the function of the app, after a possible transfer professionals understand there is not the same performance of it ...... ah right to pursue bass vocals with special needs or other requirements students may not consider this a. I had wanted to g"&amp;"ive 5 stars, but just when I write evaluation of opening the merchandise actually found it down! price! Up! My heaven is really more than a hundred Amazon you either look at the customer service is very attentive responsible answer my question I will not "&amp;"give 4 stars hum (ha ha ha ha ha joke although only buy on price unhappy but still have to praise given)")</f>
        <v>Headphone beginners use feeling because I do not believe that a set of headphones pot metaphysics. So this evaluation is after I get headphones with different musical experience, the first time to write out. Have not played other high-end headphones, the following description may not be accurate, I would like to join the headset fat faithful casual look I like this review. First, the low frequency of Pipa Sachs this song. Feel strong not muddy, dive like a general, but enough for me. Second, with the intermediate dabancheng girl. Soft feel real peace, not greasy soft female voice performance, male voice thick. Third, the high frequency Butterfly. At first the volume cranked up feeling somewhat harsh point, to reconcile the fact, not suitable for harsh nor diverge, treble kind of sense from the feet to the head of the stretch. Fourth, the resolution of bad love letters used. Because it is monitoring headphones so this performance was good, the singer ventilation, articulation, articulation of saliva can hear the details. Fifth, the sound field with a California hotel. From this standard immersive to score from one to five, I give 4 points. The audience cheering, whistling, shouting so I kind of feel to listen to the scene. The band played the sounds layered, can hear the different instruments of the position is not the same. Overall this headset their performance personally feel okay, it does not have excessive rendering, the song itself is how is how, it sounds nothing amazing feeling. Do not use mixer emphasized the function of the app, after a possible transfer professionals understand there is not the same performance of it ...... ah right to pursue bass vocals with special needs or other requirements students may not consider this a. I had wanted to give 5 stars, but just when I write evaluation of opening the merchandise actually found it down! price! Up! My heaven is really more than a hundred Amazon you either look at the customer service is very attentive responsible answer my question I will not give 4 stars hum (ha ha ha ha ha joke although only buy on price unhappy but still have to praise given)</v>
      </c>
    </row>
    <row r="14668">
      <c r="A14668" s="1">
        <v>5.0</v>
      </c>
      <c r="B14668" s="1" t="s">
        <v>14510</v>
      </c>
      <c r="C14668" t="str">
        <f>IFERROR(__xludf.DUMMYFUNCTION("GOOGLETRANSLATE(B14668, ""zh"", ""en"")"),"Good good quality! Type, is a bit big!")</f>
        <v>Good good quality! Type, is a bit big!</v>
      </c>
    </row>
    <row r="14669">
      <c r="A14669" s="1">
        <v>5.0</v>
      </c>
      <c r="B14669" s="1" t="s">
        <v>14511</v>
      </c>
      <c r="C14669" t="str">
        <f>IFERROR(__xludf.DUMMYFUNCTION("GOOGLETRANSLATE(B14669, ""zh"", ""en"")"),"Partial fat. Read reviews say a little big to buy a minimum number (S code), as well as the result of a bit biased fat before you buy. My height 168, weight 70kg. The right length. Color is very positive, feel comfortable.")</f>
        <v>Partial fat. Read reviews say a little big to buy a minimum number (S code), as well as the result of a bit biased fat before you buy. My height 168, weight 70kg. The right length. Color is very positive, feel comfortable.</v>
      </c>
    </row>
    <row r="14670">
      <c r="A14670" s="1">
        <v>5.0</v>
      </c>
      <c r="B14670" s="1" t="s">
        <v>14512</v>
      </c>
      <c r="C14670" t="str">
        <f>IFERROR(__xludf.DUMMYFUNCTION("GOOGLETRANSLATE(B14670, ""zh"", ""en"")"),"This classic can not too much evaluation, ua classic, 173,63, s code suitable, the Spring and Autumn bottoming running.")</f>
        <v>This classic can not too much evaluation, ua classic, 173,63, s code suitable, the Spring and Autumn bottoming running.</v>
      </c>
    </row>
    <row r="14671">
      <c r="A14671" s="1">
        <v>5.0</v>
      </c>
      <c r="B14671" s="1" t="s">
        <v>14513</v>
      </c>
      <c r="C14671" t="str">
        <f>IFERROR(__xludf.DUMMYFUNCTION("GOOGLETRANSLATE(B14671, ""zh"", ""en"")"),"Not hard price advantage is not obvious, there are members to buy, afraid of bleeding gums, not with the brush too hard, this is very good")</f>
        <v>Not hard price advantage is not obvious, there are members to buy, afraid of bleeding gums, not with the brush too hard, this is very good</v>
      </c>
    </row>
    <row r="14672">
      <c r="A14672" s="1">
        <v>5.0</v>
      </c>
      <c r="B14672" s="1" t="s">
        <v>14514</v>
      </c>
      <c r="C14672" t="str">
        <f>IFERROR(__xludf.DUMMYFUNCTION("GOOGLETRANSLATE(B14672, ""zh"", ""en"")"),"Stretch, the overall cost is acceptable and the country is still acceptable than the overall cost. Materials, workmanship certainly not made in China. Feeling right leg calf crop may ramp. Such as cleaning the wear say. 176-80 33 kg buy code comparison ti"&amp;"ght appropriate. Pants are elastic, if not 33 yards stretch may not go through. I took a few pictures to later reference. Color and texture of the material workmanship domestic stores Compare slightly less. But overall acceptable. After washing trouser le"&amp;"g went to the middle of the seam! Return the forms, now almost February and still return, there is still no refund. . . Waiting. Although trust in the Amazon, but overseas purchase if the product in question is really a lot of trouble.")</f>
        <v>Stretch, the overall cost is acceptable and the country is still acceptable than the overall cost. Materials, workmanship certainly not made in China. Feeling right leg calf crop may ramp. Such as cleaning the wear say. 176-80 33 kg buy code comparison tight appropriate. Pants are elastic, if not 33 yards stretch may not go through. I took a few pictures to later reference. Color and texture of the material workmanship domestic stores Compare slightly less. But overall acceptable. After washing trouser leg went to the middle of the seam! Return the forms, now almost February and still return, there is still no refund. . . Waiting. Although trust in the Amazon, but overseas purchase if the product in question is really a lot of trouble.</v>
      </c>
    </row>
    <row r="14673">
      <c r="A14673" s="1">
        <v>5.0</v>
      </c>
      <c r="B14673" s="1" t="s">
        <v>14515</v>
      </c>
      <c r="C14673" t="str">
        <f>IFERROR(__xludf.DUMMYFUNCTION("GOOGLETRANSLATE(B14673, ""zh"", ""en"")"),"Is between, not very appropriate shoes sports shoes between casual shoes and dress shoes, athletic shoes is written but can be used as dress shoes.")</f>
        <v>Is between, not very appropriate shoes sports shoes between casual shoes and dress shoes, athletic shoes is written but can be used as dress shoes.</v>
      </c>
    </row>
    <row r="14674">
      <c r="A14674" s="1">
        <v>5.0</v>
      </c>
      <c r="B14674" s="1" t="s">
        <v>14516</v>
      </c>
      <c r="C14674" t="str">
        <f>IFERROR(__xludf.DUMMYFUNCTION("GOOGLETRANSLATE(B14674, ""zh"", ""en"")"),"Beijing winter bit cold in Jinan on it, very good, the third double. Well, not from the previous evaluation, I do not know how many wasted points, points can change money now know, they should look carefully evaluated, then I put these words to copy to go"&amp;", both to earn points, but also save trouble, where one copy where, most importantly, do not seriously review, do not think how much worse word, sent directly to it, recommend it to everyone! ,")</f>
        <v>Beijing winter bit cold in Jinan on it, very good, the third double. Well, not from the previous evaluation, I do not know how many wasted points, points can change money now know, they should look carefully evaluated, then I put these words to copy to go, both to earn points, but also save trouble, where one copy where, most importantly, do not seriously review, do not think how much worse word, sent directly to it, recommend it to everyone! ,</v>
      </c>
    </row>
    <row r="14675">
      <c r="A14675" s="1">
        <v>5.0</v>
      </c>
      <c r="B14675" s="1" t="s">
        <v>14517</v>
      </c>
      <c r="C14675" t="str">
        <f>IFERROR(__xludf.DUMMYFUNCTION("GOOGLETRANSLATE(B14675, ""zh"", ""en"")"),"Style and quality are very good style and good quality, but the size of trousers made longer than the standard 30 to grow a lot, Victoria will have to go into a standard 30-length trousers")</f>
        <v>Style and quality are very good style and good quality, but the size of trousers made longer than the standard 30 to grow a lot, Victoria will have to go into a standard 30-length trousers</v>
      </c>
    </row>
    <row r="14676">
      <c r="A14676" s="1">
        <v>5.0</v>
      </c>
      <c r="B14676" s="1" t="s">
        <v>14518</v>
      </c>
      <c r="C14676" t="str">
        <f>IFERROR(__xludf.DUMMYFUNCTION("GOOGLETRANSLATE(B14676, ""zh"", ""en"")"),"Very nice watches to buy some time, all the better! How in Nanning, Guangxi could not receive radio waves, to put window Liuzhou received a few minutes")</f>
        <v>Very nice watches to buy some time, all the better! How in Nanning, Guangxi could not receive radio waves, to put window Liuzhou received a few minutes</v>
      </c>
    </row>
    <row r="14677">
      <c r="A14677" s="1">
        <v>5.0</v>
      </c>
      <c r="B14677" s="1" t="s">
        <v>14519</v>
      </c>
      <c r="C14677" t="str">
        <f>IFERROR(__xludf.DUMMYFUNCTION("GOOGLETRANSLATE(B14677, ""zh"", ""en"")"),"Very good in Jingdong before buying this just the single change pacifier Cou")</f>
        <v>Very good in Jingdong before buying this just the single change pacifier Cou</v>
      </c>
    </row>
    <row r="14678">
      <c r="A14678" s="1">
        <v>5.0</v>
      </c>
      <c r="B14678" s="1" t="s">
        <v>14520</v>
      </c>
      <c r="C14678" t="str">
        <f>IFERROR(__xludf.DUMMYFUNCTION("GOOGLETRANSLATE(B14678, ""zh"", ""en"")"),"Value for money was excellent value for money, will go Service")</f>
        <v>Value for money was excellent value for money, will go Service</v>
      </c>
    </row>
    <row r="14679">
      <c r="A14679" s="1">
        <v>5.0</v>
      </c>
      <c r="B14679" s="1" t="s">
        <v>14521</v>
      </c>
      <c r="C14679" t="str">
        <f>IFERROR(__xludf.DUMMYFUNCTION("GOOGLETRANSLATE(B14679, ""zh"", ""en"")"),"Super love feet comfortable shoes comes with black laces, also prepared a white, super like, but foot wider at carefully choose")</f>
        <v>Super love feet comfortable shoes comes with black laces, also prepared a white, super like, but foot wider at carefully choose</v>
      </c>
    </row>
    <row r="14680">
      <c r="A14680" s="1">
        <v>5.0</v>
      </c>
      <c r="B14680" s="1" t="s">
        <v>14522</v>
      </c>
      <c r="C14680" t="str">
        <f>IFERROR(__xludf.DUMMYFUNCTION("GOOGLETRANSLATE(B14680, ""zh"", ""en"")"),"150 color perfect beauty Do not do it! The mood biling ~ biling ~! Open time can not help but wow -! It is never used child-like colored pencil! Just received their satisfaction with the gift that feeling, but actually buy their own!")</f>
        <v>150 color perfect beauty Do not do it! The mood biling ~ biling ~! Open time can not help but wow -! It is never used child-like colored pencil! Just received their satisfaction with the gift that feeling, but actually buy their own!</v>
      </c>
    </row>
    <row r="14681">
      <c r="A14681" s="1">
        <v>5.0</v>
      </c>
      <c r="B14681" s="1" t="s">
        <v>14523</v>
      </c>
      <c r="C14681" t="str">
        <f>IFERROR(__xludf.DUMMYFUNCTION("GOOGLETRANSLATE(B14681, ""zh"", ""en"")"),"Good quality, very heavy good quality, previously bought a small omelette outside and tender, worth buying")</f>
        <v>Good quality, very heavy good quality, previously bought a small omelette outside and tender, worth buying</v>
      </c>
    </row>
    <row r="14682">
      <c r="A14682" s="1">
        <v>5.0</v>
      </c>
      <c r="B14682" s="1" t="s">
        <v>14524</v>
      </c>
      <c r="C14682" t="str">
        <f>IFERROR(__xludf.DUMMYFUNCTION("GOOGLETRANSLATE(B14682, ""zh"", ""en"")"),"4 fold counter price to start, perfect alignment neat, solid materials, 60% off domestic counter price, perfect")</f>
        <v>4 fold counter price to start, perfect alignment neat, solid materials, 60% off domestic counter price, perfect</v>
      </c>
    </row>
    <row r="14683">
      <c r="A14683" s="1">
        <v>5.0</v>
      </c>
      <c r="B14683" s="1" t="s">
        <v>14525</v>
      </c>
      <c r="C14683" t="str">
        <f>IFERROR(__xludf.DUMMYFUNCTION("GOOGLETRANSLATE(B14683, ""zh"", ""en"")"),"Good scouring the sea for the first time, it was very successful. Great shoes, very comfortable")</f>
        <v>Good scouring the sea for the first time, it was very successful. Great shoes, very comfortable</v>
      </c>
    </row>
    <row r="14684">
      <c r="A14684" s="1">
        <v>5.0</v>
      </c>
      <c r="B14684" s="1" t="s">
        <v>14526</v>
      </c>
      <c r="C14684" t="str">
        <f>IFERROR(__xludf.DUMMYFUNCTION("GOOGLETRANSLATE(B14684, ""zh"", ""en"")"),"Cost-effective price can, too thick, thin cashmere, style wins in the price. 174cm, 68kg, only s code.")</f>
        <v>Cost-effective price can, too thick, thin cashmere, style wins in the price. 174cm, 68kg, only s code.</v>
      </c>
    </row>
    <row r="14685">
      <c r="A14685" s="1">
        <v>5.0</v>
      </c>
      <c r="B14685" s="1" t="s">
        <v>14527</v>
      </c>
      <c r="C14685" t="str">
        <f>IFERROR(__xludf.DUMMYFUNCTION("GOOGLETRANSLATE(B14685, ""zh"", ""en"")"),"Logistics praised, shoes are sure to refer first comment oh praise logistics, shipping 17, 28 is expected to say that the actual number 21 early in the morning to the Beijing ha ha. Besides shoes, the color is like oh, buy a size reference comments 6.5 (u"&amp;"sual sneakers 39-39.5), just try to squeeze a little before the right foot, left foot comfort. After a while a lot of wear, and overall awesome, produced in Indonesia, beautiful price!")</f>
        <v>Logistics praised, shoes are sure to refer first comment oh praise logistics, shipping 17, 28 is expected to say that the actual number 21 early in the morning to the Beijing ha ha. Besides shoes, the color is like oh, buy a size reference comments 6.5 (usual sneakers 39-39.5), just try to squeeze a little before the right foot, left foot comfort. After a while a lot of wear, and overall awesome, produced in Indonesia, beautiful price!</v>
      </c>
    </row>
    <row r="14686">
      <c r="A14686" s="1">
        <v>5.0</v>
      </c>
      <c r="B14686" s="1" t="s">
        <v>14528</v>
      </c>
      <c r="C14686" t="str">
        <f>IFERROR(__xludf.DUMMYFUNCTION("GOOGLETRANSLATE(B14686, ""zh"", ""en"")"),"Easy to use fruit and milk or yogurt to break out of juice very delicate, very good, easy to use. Overseas purchase displays to buy on Amazon Germany, but Germany is not clear, and no where is stated on the packaging production")</f>
        <v>Easy to use fruit and milk or yogurt to break out of juice very delicate, very good, easy to use. Overseas purchase displays to buy on Amazon Germany, but Germany is not clear, and no where is stated on the packaging production</v>
      </c>
    </row>
    <row r="14687">
      <c r="A14687" s="1">
        <v>5.0</v>
      </c>
      <c r="B14687" s="1" t="s">
        <v>14529</v>
      </c>
      <c r="C14687" t="str">
        <f>IFERROR(__xludf.DUMMYFUNCTION("GOOGLETRANSLATE(B14687, ""zh"", ""en"")"),"All look good, so why seiko words, like paint chips! !")</f>
        <v>All look good, so why seiko words, like paint chips! !</v>
      </c>
    </row>
    <row r="14688">
      <c r="A14688" s="1">
        <v>5.0</v>
      </c>
      <c r="B14688" s="1" t="s">
        <v>14530</v>
      </c>
      <c r="C14688" t="str">
        <f>IFERROR(__xludf.DUMMYFUNCTION("GOOGLETRANSLATE(B14688, ""zh"", ""en"")"),"Very good, very good. Good use, baby food with this kind of a norm.")</f>
        <v>Very good, very good. Good use, baby food with this kind of a norm.</v>
      </c>
    </row>
    <row r="14689">
      <c r="A14689" s="1">
        <v>5.0</v>
      </c>
      <c r="B14689" s="1" t="s">
        <v>14531</v>
      </c>
      <c r="C14689" t="str">
        <f>IFERROR(__xludf.DUMMYFUNCTION("GOOGLETRANSLATE(B14689, ""zh"", ""en"")"),"Very good something good, worth the price, that is such a long time")</f>
        <v>Very good something good, worth the price, that is such a long time</v>
      </c>
    </row>
    <row r="14690">
      <c r="A14690" s="1">
        <v>2.0</v>
      </c>
      <c r="B14690" s="1" t="s">
        <v>14532</v>
      </c>
      <c r="C14690" t="str">
        <f>IFERROR(__xludf.DUMMYFUNCTION("GOOGLETRANSLATE(B14690, ""zh"", ""en"")"),"Size and theme version is entirely male version of the version, straight up and down, not self, wearing her boyfriend")</f>
        <v>Size and theme version is entirely male version of the version, straight up and down, not self, wearing her boyfriend</v>
      </c>
    </row>
    <row r="14691">
      <c r="A14691" s="1">
        <v>3.0</v>
      </c>
      <c r="B14691" s="1" t="s">
        <v>14533</v>
      </c>
      <c r="C14691" t="str">
        <f>IFERROR(__xludf.DUMMYFUNCTION("GOOGLETRANSLATE(B14691, ""zh"", ""en"")"),"Too big too big, do not sweat, love sweating careful to buy")</f>
        <v>Too big too big, do not sweat, love sweating careful to buy</v>
      </c>
    </row>
    <row r="14692">
      <c r="A14692" s="1">
        <v>3.0</v>
      </c>
      <c r="B14692" s="1" t="s">
        <v>14534</v>
      </c>
      <c r="C14692" t="str">
        <f>IFERROR(__xludf.DUMMYFUNCTION("GOOGLETRANSLATE(B14692, ""zh"", ""en"")"),"Capacity big break so the mouse can only be commented on, poor workmanship, speed too stuffy, 3.0 is a feel meaningless, I have not been aware of what I lost in the")</f>
        <v>Capacity big break so the mouse can only be commented on, poor workmanship, speed too stuffy, 3.0 is a feel meaningless, I have not been aware of what I lost in the</v>
      </c>
    </row>
    <row r="14693">
      <c r="A14693" s="1">
        <v>3.0</v>
      </c>
      <c r="B14693" s="1" t="s">
        <v>14535</v>
      </c>
      <c r="C14693" t="str">
        <f>IFERROR(__xludf.DUMMYFUNCTION("GOOGLETRANSLATE(B14693, ""zh"", ""en"")"),"Will not only fat, but also the material under the general bias is not recommended to buy No one has suggested XXL and XX-LARGE in the end what is the difference, do not buy -LARGE, thoracolumbar too fat!")</f>
        <v>Will not only fat, but also the material under the general bias is not recommended to buy No one has suggested XXL and XX-LARGE in the end what is the difference, do not buy -LARGE, thoracolumbar too fat!</v>
      </c>
    </row>
    <row r="14694">
      <c r="A14694" s="1">
        <v>1.0</v>
      </c>
      <c r="B14694" s="1" t="s">
        <v>14536</v>
      </c>
      <c r="C14694" t="str">
        <f>IFERROR(__xludf.DUMMYFUNCTION("GOOGLETRANSLATE(B14694, ""zh"", ""en"")"),"Garbage, buy different color with the color received orders also change")</f>
        <v>Garbage, buy different color with the color received orders also change</v>
      </c>
    </row>
    <row r="14695">
      <c r="A14695" s="1">
        <v>1.0</v>
      </c>
      <c r="B14695" s="1" t="s">
        <v>14537</v>
      </c>
      <c r="C14695" t="str">
        <f>IFERROR(__xludf.DUMMYFUNCTION("GOOGLETRANSLATE(B14695, ""zh"", ""en"")"),"Taste just arrived yesterday, to open the taste, after Shuitang still taste it, feel like the oil taste, taste very heavy, the seller explained how ah?")</f>
        <v>Taste just arrived yesterday, to open the taste, after Shuitang still taste it, feel like the oil taste, taste very heavy, the seller explained how ah?</v>
      </c>
    </row>
    <row r="14696">
      <c r="A14696" s="1">
        <v>4.0</v>
      </c>
      <c r="B14696" s="1" t="s">
        <v>14538</v>
      </c>
      <c r="C14696" t="str">
        <f>IFERROR(__xludf.DUMMYFUNCTION("GOOGLETRANSLATE(B14696, ""zh"", ""en"")"),"Medium size, cotton, Made in China. I thought it was made in Japan, but wear comfortable, breathable! Medium size, cotton, Made in China. I thought it was made in Japan, but wear comfortable, breathable!")</f>
        <v>Medium size, cotton, Made in China. I thought it was made in Japan, but wear comfortable, breathable! Medium size, cotton, Made in China. I thought it was made in Japan, but wear comfortable, breathable!</v>
      </c>
    </row>
    <row r="14697">
      <c r="A14697" s="1">
        <v>4.0</v>
      </c>
      <c r="B14697" s="1" t="s">
        <v>14539</v>
      </c>
      <c r="C14697" t="str">
        <f>IFERROR(__xludf.DUMMYFUNCTION("GOOGLETRANSLATE(B14697, ""zh"", ""en"")"),"Generally, more than two hundred buy the good work")</f>
        <v>Generally, more than two hundred buy the good work</v>
      </c>
    </row>
    <row r="14698">
      <c r="A14698" s="1">
        <v>4.0</v>
      </c>
      <c r="B14698" s="1" t="s">
        <v>14540</v>
      </c>
      <c r="C14698" t="str">
        <f>IFERROR(__xludf.DUMMYFUNCTION("GOOGLETRANSLATE(B14698, ""zh"", ""en"")"),"Before my first time to buy 1000 yuan level just bought Sennheiser PX200 headphones under relatively high real MP3 format has not listened to.")</f>
        <v>Before my first time to buy 1000 yuan level just bought Sennheiser PX200 headphones under relatively high real MP3 format has not listened to.</v>
      </c>
    </row>
    <row r="14699">
      <c r="A14699" s="1">
        <v>4.0</v>
      </c>
      <c r="B14699" s="1" t="s">
        <v>14541</v>
      </c>
      <c r="C14699" t="str">
        <f>IFERROR(__xludf.DUMMYFUNCTION("GOOGLETRANSLATE(B14699, ""zh"", ""en"")"),"A little hard a little bit above some small, I hope a long time can wear a little soft, I usually just wear shoes is 39 yards, 40 yards more relaxed. The results buy 39.5 yards a little tight, suggest that you choose most of the code of")</f>
        <v>A little hard a little bit above some small, I hope a long time can wear a little soft, I usually just wear shoes is 39 yards, 40 yards more relaxed. The results buy 39.5 yards a little tight, suggest that you choose most of the code of</v>
      </c>
    </row>
    <row r="14700">
      <c r="A14700" s="1">
        <v>5.0</v>
      </c>
      <c r="B14700" s="1" t="s">
        <v>14542</v>
      </c>
      <c r="C14700" t="str">
        <f>IFERROR(__xludf.DUMMYFUNCTION("GOOGLETRANSLATE(B14700, ""zh"", ""en"")"),"Very soft and comfortable like socks, soft and comfortable")</f>
        <v>Very soft and comfortable like socks, soft and comfortable</v>
      </c>
    </row>
    <row r="14701">
      <c r="A14701" s="1">
        <v>5.0</v>
      </c>
      <c r="B14701" s="1" t="s">
        <v>14543</v>
      </c>
      <c r="C14701" t="str">
        <f>IFERROR(__xludf.DUMMYFUNCTION("GOOGLETRANSLATE(B14701, ""zh"", ""en"")"),"Rainbow Rainbow toothpaste toothpaste friends, and kids say taste like yogurt.")</f>
        <v>Rainbow Rainbow toothpaste toothpaste friends, and kids say taste like yogurt.</v>
      </c>
    </row>
    <row r="14702">
      <c r="A14702" s="1">
        <v>5.0</v>
      </c>
      <c r="B14702" s="1" t="s">
        <v>14544</v>
      </c>
      <c r="C14702" t="str">
        <f>IFERROR(__xludf.DUMMYFUNCTION("GOOGLETRANSLATE(B14702, ""zh"", ""en"")"),"Good quality, meet the needs of the right size, comfortable, very warm, breathable, very appropriate personal level.")</f>
        <v>Good quality, meet the needs of the right size, comfortable, very warm, breathable, very appropriate personal level.</v>
      </c>
    </row>
    <row r="14703">
      <c r="A14703" s="1">
        <v>5.0</v>
      </c>
      <c r="B14703" s="1" t="s">
        <v>14545</v>
      </c>
      <c r="C14703" t="str">
        <f>IFERROR(__xludf.DUMMYFUNCTION("GOOGLETRANSLATE(B14703, ""zh"", ""en"")"),"Write very smooth for the first time with an expensive pen, I feel tall on a lot. The large water pen, a little rough but very smooth ~")</f>
        <v>Write very smooth for the first time with an expensive pen, I feel tall on a lot. The large water pen, a little rough but very smooth ~</v>
      </c>
    </row>
    <row r="14704">
      <c r="A14704" s="1">
        <v>5.0</v>
      </c>
      <c r="B14704" s="1" t="s">
        <v>14546</v>
      </c>
      <c r="C14704" t="str">
        <f>IFERROR(__xludf.DUMMYFUNCTION("GOOGLETRANSLATE(B14704, ""zh"", ""en"")"),"Good quality good quality, attention to detail, very fond of her husband.")</f>
        <v>Good quality good quality, attention to detail, very fond of her husband.</v>
      </c>
    </row>
    <row r="14705">
      <c r="A14705" s="1">
        <v>5.0</v>
      </c>
      <c r="B14705" s="1" t="s">
        <v>14547</v>
      </c>
      <c r="C14705" t="str">
        <f>IFERROR(__xludf.DUMMYFUNCTION("GOOGLETRANSLATE(B14705, ""zh"", ""en"")"),"Also can ah! Cheap, rough work. .")</f>
        <v>Also can ah! Cheap, rough work. .</v>
      </c>
    </row>
    <row r="14706">
      <c r="A14706" s="1">
        <v>5.0</v>
      </c>
      <c r="B14706" s="1" t="s">
        <v>14548</v>
      </c>
      <c r="C14706" t="str">
        <f>IFERROR(__xludf.DUMMYFUNCTION("GOOGLETRANSLATE(B14706, ""zh"", ""en"")"),"Good good, very good use, spike, eighty few dollars, not expensive! pretty good. Recommend it!")</f>
        <v>Good good, very good use, spike, eighty few dollars, not expensive! pretty good. Recommend it!</v>
      </c>
    </row>
    <row r="14707">
      <c r="A14707" s="1">
        <v>5.0</v>
      </c>
      <c r="B14707" s="1" t="s">
        <v>3287</v>
      </c>
      <c r="C14707" t="str">
        <f>IFERROR(__xludf.DUMMYFUNCTION("GOOGLETRANSLATE(B14707, ""zh"", ""en"")"),"Good quality, worth buying! Good quality, worth buying!")</f>
        <v>Good quality, worth buying! Good quality, worth buying!</v>
      </c>
    </row>
    <row r="14708">
      <c r="A14708" s="1">
        <v>5.0</v>
      </c>
      <c r="B14708" s="1" t="s">
        <v>14549</v>
      </c>
      <c r="C14708" t="str">
        <f>IFERROR(__xludf.DUMMYFUNCTION("GOOGLETRANSLATE(B14708, ""zh"", ""en"")"),"Ye Hao beautiful walk pretty cost-effective price")</f>
        <v>Ye Hao beautiful walk pretty cost-effective price</v>
      </c>
    </row>
    <row r="14709">
      <c r="A14709" s="1">
        <v>5.0</v>
      </c>
      <c r="B14709" s="1" t="s">
        <v>14550</v>
      </c>
      <c r="C14709" t="str">
        <f>IFERROR(__xludf.DUMMYFUNCTION("GOOGLETRANSLATE(B14709, ""zh"", ""en"")"),"Pen is good, I liked it, but the courier or to professional. Pen is good, is this, under the full protection of free air, cartons, outer carton pen, pencil quadruple, the inside of the ink reservoir or heroic sacrifice, the status of the ink bladder get a"&amp;" look that is handling , the thermal expansion and contraction is not a problem, because the ink bladder inside full of foaming. And the ink bladder beads is very powerful, but still perfect pencil through the blockade (pencil zipper closure is good), wen"&amp;"t to the pen in the outer carton, really admire admire.")</f>
        <v>Pen is good, I liked it, but the courier or to professional. Pen is good, is this, under the full protection of free air, cartons, outer carton pen, pencil quadruple, the inside of the ink reservoir or heroic sacrifice, the status of the ink bladder get a look that is handling , the thermal expansion and contraction is not a problem, because the ink bladder inside full of foaming. And the ink bladder beads is very powerful, but still perfect pencil through the blockade (pencil zipper closure is good), went to the pen in the outer carton, really admire admire.</v>
      </c>
    </row>
    <row r="14710">
      <c r="A14710" s="1">
        <v>5.0</v>
      </c>
      <c r="B14710" s="1" t="s">
        <v>14551</v>
      </c>
      <c r="C14710" t="str">
        <f>IFERROR(__xludf.DUMMYFUNCTION("GOOGLETRANSLATE(B14710, ""zh"", ""en"")"),"Thermal effect is not very thick, not thin, warm effect good, very good quality")</f>
        <v>Thermal effect is not very thick, not thin, warm effect good, very good quality</v>
      </c>
    </row>
    <row r="14711">
      <c r="A14711" s="1">
        <v>5.0</v>
      </c>
      <c r="B14711" s="1" t="s">
        <v>14552</v>
      </c>
      <c r="C14711" t="str">
        <f>IFERROR(__xludf.DUMMYFUNCTION("GOOGLETRANSLATE(B14711, ""zh"", ""en"")"),"The high cost of high cost")</f>
        <v>The high cost of high cost</v>
      </c>
    </row>
    <row r="14712">
      <c r="A14712" s="1">
        <v>5.0</v>
      </c>
      <c r="B14712" s="1" t="s">
        <v>14553</v>
      </c>
      <c r="C14712" t="str">
        <f>IFERROR(__xludf.DUMMYFUNCTION("GOOGLETRANSLATE(B14712, ""zh"", ""en"")"),"Or satisfactory receipt looks very clean 1. 2. version is very fit, adjust shoulder straps look more fit. Tried thin section cardigan, really no trace, good breast shape and size 3. domestic counter to buy a little piece 4. CK as a little less than the co"&amp;"unter a little bit individual, details such as cable head, not memory foam and so on, but not affect the wear (not into the water) can be a casual Chuan Chuan usually commute underwear")</f>
        <v>Or satisfactory receipt looks very clean 1. 2. version is very fit, adjust shoulder straps look more fit. Tried thin section cardigan, really no trace, good breast shape and size 3. domestic counter to buy a little piece 4. CK as a little less than the counter a little bit individual, details such as cable head, not memory foam and so on, but not affect the wear (not into the water) can be a casual Chuan Chuan usually commute underwear</v>
      </c>
    </row>
    <row r="14713">
      <c r="A14713" s="1">
        <v>5.0</v>
      </c>
      <c r="B14713" s="1" t="s">
        <v>14554</v>
      </c>
      <c r="C14713" t="str">
        <f>IFERROR(__xludf.DUMMYFUNCTION("GOOGLETRANSLATE(B14713, ""zh"", ""en"")"),"perfect! Bought for her husband put the car easy to drink too praised perfect!")</f>
        <v>perfect! Bought for her husband put the car easy to drink too praised perfect!</v>
      </c>
    </row>
    <row r="14714">
      <c r="A14714" s="1">
        <v>5.0</v>
      </c>
      <c r="B14714" s="1" t="s">
        <v>14555</v>
      </c>
      <c r="C14714" t="str">
        <f>IFERROR(__xludf.DUMMYFUNCTION("GOOGLETRANSLATE(B14714, ""zh"", ""en"")"),"Almost worth buying feel good, not what they say is too small, with almost the same domestic ordinary underwear Size")</f>
        <v>Almost worth buying feel good, not what they say is too small, with almost the same domestic ordinary underwear Size</v>
      </c>
    </row>
    <row r="14715">
      <c r="A14715" s="1">
        <v>5.0</v>
      </c>
      <c r="B14715" s="1" t="s">
        <v>14556</v>
      </c>
      <c r="C14715" t="str">
        <f>IFERROR(__xludf.DUMMYFUNCTION("GOOGLETRANSLATE(B14715, ""zh"", ""en"")"),"Insulation, and very lightweight. Before there is a cup like India, very good use. The breath buy three to his family, good quality, price is very affordable, Bang Bang da!")</f>
        <v>Insulation, and very lightweight. Before there is a cup like India, very good use. The breath buy three to his family, good quality, price is very affordable, Bang Bang da!</v>
      </c>
    </row>
    <row r="14716">
      <c r="A14716" s="1">
        <v>5.0</v>
      </c>
      <c r="B14716" s="1" t="s">
        <v>14557</v>
      </c>
      <c r="C14716" t="str">
        <f>IFERROR(__xludf.DUMMYFUNCTION("GOOGLETRANSLATE(B14716, ""zh"", ""en"")"),"Comfortable comfortable, and the movement will not fall shoulder strap!")</f>
        <v>Comfortable comfortable, and the movement will not fall shoulder strap!</v>
      </c>
    </row>
    <row r="14717">
      <c r="A14717" s="1">
        <v>5.0</v>
      </c>
      <c r="B14717" s="1" t="s">
        <v>14558</v>
      </c>
      <c r="C14717" t="str">
        <f>IFERROR(__xludf.DUMMYFUNCTION("GOOGLETRANSLATE(B14717, ""zh"", ""en"")"),"Recommended to buy transmission speed is good, the price can be. Introduction convenient.")</f>
        <v>Recommended to buy transmission speed is good, the price can be. Introduction convenient.</v>
      </c>
    </row>
    <row r="14718">
      <c r="A14718" s="1">
        <v>5.0</v>
      </c>
      <c r="B14718" s="1" t="s">
        <v>14559</v>
      </c>
      <c r="C14718" t="str">
        <f>IFERROR(__xludf.DUMMYFUNCTION("GOOGLETRANSLATE(B14718, ""zh"", ""en"")"),"Is more suitable than the popular symphony has just started listening to not more than 100 hours, and pretty high frequency compare with solo and did not feel the feeling of everyone legend IF concave, feeling listening to musical instruments, classic mor"&amp;"e suitable, but it is generally popular, especially vocal another treble treble with part ...... not so high gain amp is better to wear pretty comfortable for a long time not to listen to chuck")</f>
        <v>Is more suitable than the popular symphony has just started listening to not more than 100 hours, and pretty high frequency compare with solo and did not feel the feeling of everyone legend IF concave, feeling listening to musical instruments, classic more suitable, but it is generally popular, especially vocal another treble treble with part ...... not so high gain amp is better to wear pretty comfortable for a long time not to listen to chuck</v>
      </c>
    </row>
    <row r="14719">
      <c r="A14719" s="1">
        <v>5.0</v>
      </c>
      <c r="B14719" s="1" t="s">
        <v>14560</v>
      </c>
      <c r="C14719" t="str">
        <f>IFERROR(__xludf.DUMMYFUNCTION("GOOGLETRANSLATE(B14719, ""zh"", ""en"")"),"Good very comfortable and cheap")</f>
        <v>Good very comfortable and cheap</v>
      </c>
    </row>
    <row r="14720">
      <c r="A14720" s="1">
        <v>5.0</v>
      </c>
      <c r="B14720" s="1" t="s">
        <v>14561</v>
      </c>
      <c r="C14720" t="str">
        <f>IFERROR(__xludf.DUMMYFUNCTION("GOOGLETRANSLATE(B14720, ""zh"", ""en"")"),"For a friend's daughter tableware tableware for a friend's daughter, pink looks good, with their baby is green, this advantage is required cooking time can separate the liner and the outer cover, the use of stainless steel also facilitate more at ease, dr"&amp;"ink from a cup, the other has a lid, easy to use")</f>
        <v>For a friend's daughter tableware tableware for a friend's daughter, pink looks good, with their baby is green, this advantage is required cooking time can separate the liner and the outer cover, the use of stainless steel also facilitate more at ease, drink from a cup, the other has a lid, easy to use</v>
      </c>
    </row>
    <row r="14721">
      <c r="A14721" s="1">
        <v>5.0</v>
      </c>
      <c r="B14721" s="1" t="s">
        <v>14562</v>
      </c>
      <c r="C14721" t="str">
        <f>IFERROR(__xludf.DUMMYFUNCTION("GOOGLETRANSLATE(B14721, ""zh"", ""en"")"),"Taste good, mint flavors, not described so much better than what Li Lin, not bitter, rinse after completion of the entire mouth throat cool very comfortable")</f>
        <v>Taste good, mint flavors, not described so much better than what Li Lin, not bitter, rinse after completion of the entire mouth throat cool very comfortable</v>
      </c>
    </row>
    <row r="14722">
      <c r="A14722" s="1">
        <v>2.0</v>
      </c>
      <c r="B14722" s="1" t="s">
        <v>14563</v>
      </c>
      <c r="C14722" t="str">
        <f>IFERROR(__xludf.DUMMYFUNCTION("GOOGLETRANSLATE(B14722, ""zh"", ""en"")"),"Not to wear the marking on the cracking worse than the quality of white, not to wear, there is a washing several marking cracked, 170.125 M recommended looser, S the length of the tight enough but some")</f>
        <v>Not to wear the marking on the cracking worse than the quality of white, not to wear, there is a washing several marking cracked, 170.125 M recommended looser, S the length of the tight enough but some</v>
      </c>
    </row>
    <row r="14723">
      <c r="A14723" s="1">
        <v>3.0</v>
      </c>
      <c r="B14723" s="1" t="s">
        <v>14564</v>
      </c>
      <c r="C14723" t="str">
        <f>IFERROR(__xludf.DUMMYFUNCTION("GOOGLETRANSLATE(B14723, ""zh"", ""en"")"),"Just received the goods. Just received the goods. I feel there is a difference in kind. And the table is small, as if the child table size, a little disappointed. Not very fond of.")</f>
        <v>Just received the goods. Just received the goods. I feel there is a difference in kind. And the table is small, as if the child table size, a little disappointed. Not very fond of.</v>
      </c>
    </row>
    <row r="14724">
      <c r="A14724" s="1">
        <v>3.0</v>
      </c>
      <c r="B14724" s="1" t="s">
        <v>14565</v>
      </c>
      <c r="C14724" t="str">
        <f>IFERROR(__xludf.DUMMYFUNCTION("GOOGLETRANSLATE(B14724, ""zh"", ""en"")"),"Good quality product can not retreat goods, feel very good. But the model is not an ordinary large. Return four days and no one contact me?")</f>
        <v>Good quality product can not retreat goods, feel very good. But the model is not an ordinary large. Return four days and no one contact me?</v>
      </c>
    </row>
    <row r="14725">
      <c r="A14725" s="1">
        <v>1.0</v>
      </c>
      <c r="B14725" s="1" t="s">
        <v>14566</v>
      </c>
      <c r="C14725" t="str">
        <f>IFERROR(__xludf.DUMMYFUNCTION("GOOGLETRANSLATE(B14725, ""zh"", ""en"")"),"Fake Is this authentic? Clothing logo 3 Jian not here in the same position, then the next one, even a crooked")</f>
        <v>Fake Is this authentic? Clothing logo 3 Jian not here in the same position, then the next one, even a crooked</v>
      </c>
    </row>
    <row r="14726">
      <c r="A14726" s="1">
        <v>1.0</v>
      </c>
      <c r="B14726" s="1" t="s">
        <v>14567</v>
      </c>
      <c r="C14726" t="str">
        <f>IFERROR(__xludf.DUMMYFUNCTION("GOOGLETRANSLATE(B14726, ""zh"", ""en"")"),"Renovation of old clothes with the picture is not at a most egregious is the ""old"" clothes, washing instructions have been blurred!")</f>
        <v>Renovation of old clothes with the picture is not at a most egregious is the "old" clothes, washing instructions have been blurred!</v>
      </c>
    </row>
    <row r="14727">
      <c r="A14727" s="1">
        <v>4.0</v>
      </c>
      <c r="B14727" s="1" t="s">
        <v>14568</v>
      </c>
      <c r="C14727" t="str">
        <f>IFERROR(__xludf.DUMMYFUNCTION("GOOGLETRANSLATE(B14727, ""zh"", ""en"")"),"Sugar Bear daughter likes, 2 a day. Personally I feel a little sweet.")</f>
        <v>Sugar Bear daughter likes, 2 a day. Personally I feel a little sweet.</v>
      </c>
    </row>
    <row r="14728">
      <c r="A14728" s="1">
        <v>4.0</v>
      </c>
      <c r="B14728" s="1" t="s">
        <v>14569</v>
      </c>
      <c r="C14728" t="str">
        <f>IFERROR(__xludf.DUMMYFUNCTION("GOOGLETRANSLATE(B14728, ""zh"", ""en"")"),"Toe toe a little flaw, taste a little big, but fairly satisfied")</f>
        <v>Toe toe a little flaw, taste a little big, but fairly satisfied</v>
      </c>
    </row>
    <row r="14729">
      <c r="A14729" s="1">
        <v>4.0</v>
      </c>
      <c r="B14729" s="1" t="s">
        <v>14570</v>
      </c>
      <c r="C14729" t="str">
        <f>IFERROR(__xludf.DUMMYFUNCTION("GOOGLETRANSLATE(B14729, ""zh"", ""en"")"),"Yes, winter will come back, though, still wearing socks, but the foot feeling great! And the country code, as very positive. like!")</f>
        <v>Yes, winter will come back, though, still wearing socks, but the foot feeling great! And the country code, as very positive. like!</v>
      </c>
    </row>
    <row r="14730">
      <c r="A14730" s="1">
        <v>4.0</v>
      </c>
      <c r="B14730" s="1" t="s">
        <v>14571</v>
      </c>
      <c r="C14730" t="str">
        <f>IFERROR(__xludf.DUMMYFUNCTION("GOOGLETRANSLATE(B14730, ""zh"", ""en"")"),"Cost can walking in front clip instep, foot fat is not suitable, it has been given away! More than 1000 points at hand, like the store over 2500.")</f>
        <v>Cost can walking in front clip instep, foot fat is not suitable, it has been given away! More than 1000 points at hand, like the store over 2500.</v>
      </c>
    </row>
    <row r="14731">
      <c r="A14731" s="1">
        <v>4.0</v>
      </c>
      <c r="B14731" s="1" t="s">
        <v>14572</v>
      </c>
      <c r="C14731" t="str">
        <f>IFERROR(__xludf.DUMMYFUNCTION("GOOGLETRANSLATE(B14731, ""zh"", ""en"")"),"Good things took two weeks, and keeps good time, that is, thick strap points")</f>
        <v>Good things took two weeks, and keeps good time, that is, thick strap points</v>
      </c>
    </row>
    <row r="14732">
      <c r="A14732" s="1">
        <v>5.0</v>
      </c>
      <c r="B14732" s="1" t="s">
        <v>14573</v>
      </c>
      <c r="C14732" t="str">
        <f>IFERROR(__xludf.DUMMYFUNCTION("GOOGLETRANSLATE(B14732, ""zh"", ""en"")"),"Genuine authentic, purchased abroad was picking thirteen days, a little long, pen is good, that is, the tip hard, not easy to write Bifeng")</f>
        <v>Genuine authentic, purchased abroad was picking thirteen days, a little long, pen is good, that is, the tip hard, not easy to write Bifeng</v>
      </c>
    </row>
    <row r="14733">
      <c r="A14733" s="1">
        <v>5.0</v>
      </c>
      <c r="B14733" s="1" t="s">
        <v>14574</v>
      </c>
      <c r="C14733" t="str">
        <f>IFERROR(__xludf.DUMMYFUNCTION("GOOGLETRANSLATE(B14733, ""zh"", ""en"")"),"Store goods, not yet put into trying on a bit, there is no pressure, comfortable to wear, store goods, not yet confirmed efficacy. Price is not bad.")</f>
        <v>Store goods, not yet put into trying on a bit, there is no pressure, comfortable to wear, store goods, not yet confirmed efficacy. Price is not bad.</v>
      </c>
    </row>
    <row r="14734">
      <c r="A14734" s="1">
        <v>5.0</v>
      </c>
      <c r="B14734" s="1" t="s">
        <v>14575</v>
      </c>
      <c r="C14734" t="str">
        <f>IFERROR(__xludf.DUMMYFUNCTION("GOOGLETRANSLATE(B14734, ""zh"", ""en"")"),"Although cotton is not very good, but good clothes, like")</f>
        <v>Although cotton is not very good, but good clothes, like</v>
      </c>
    </row>
    <row r="14735">
      <c r="A14735" s="1">
        <v>5.0</v>
      </c>
      <c r="B14735" s="1" t="s">
        <v>14576</v>
      </c>
      <c r="C14735" t="str">
        <f>IFERROR(__xludf.DUMMYFUNCTION("GOOGLETRANSLATE(B14735, ""zh"", ""en"")"),"Overall good very comfortable to wear thick socks at the end of the summer to be hot")</f>
        <v>Overall good very comfortable to wear thick socks at the end of the summer to be hot</v>
      </c>
    </row>
    <row r="14736">
      <c r="A14736" s="1">
        <v>5.0</v>
      </c>
      <c r="B14736" s="1" t="s">
        <v>14577</v>
      </c>
      <c r="C14736" t="str">
        <f>IFERROR(__xludf.DUMMYFUNCTION("GOOGLETRANSLATE(B14736, ""zh"", ""en"")"),"Burn just hand. Currently look remarkable treble, bass mess, the human voice can still be. Burn, the bass slightly changed.")</f>
        <v>Burn just hand. Currently look remarkable treble, bass mess, the human voice can still be. Burn, the bass slightly changed.</v>
      </c>
    </row>
    <row r="14737">
      <c r="A14737" s="1">
        <v>5.0</v>
      </c>
      <c r="B14737" s="1" t="s">
        <v>14578</v>
      </c>
      <c r="C14737" t="str">
        <f>IFERROR(__xludf.DUMMYFUNCTION("GOOGLETRANSLATE(B14737, ""zh"", ""en"")"),"The value of good quality, the price is right, comfortable to wear. value")</f>
        <v>The value of good quality, the price is right, comfortable to wear. value</v>
      </c>
    </row>
    <row r="14738">
      <c r="A14738" s="1">
        <v>5.0</v>
      </c>
      <c r="B14738" s="1" t="s">
        <v>14579</v>
      </c>
      <c r="C14738" t="str">
        <f>IFERROR(__xludf.DUMMYFUNCTION("GOOGLETRANSLATE(B14738, ""zh"", ""en"")"),"Quality is very good height 176 cm, weight 92 kg. Just wear 38w30L. good quality.")</f>
        <v>Quality is very good height 176 cm, weight 92 kg. Just wear 38w30L. good quality.</v>
      </c>
    </row>
    <row r="14739">
      <c r="A14739" s="1">
        <v>5.0</v>
      </c>
      <c r="B14739" s="1" t="s">
        <v>14580</v>
      </c>
      <c r="C14739" t="str">
        <f>IFERROR(__xludf.DUMMYFUNCTION("GOOGLETRANSLATE(B14739, ""zh"", ""en"")"),"Like pretty smooth writing, beautiful atmosphere, smooth writing. F sharp little rough spots can be written in normal use, Bi Zhuoer tip slightly harder point, but the writing feels good.")</f>
        <v>Like pretty smooth writing, beautiful atmosphere, smooth writing. F sharp little rough spots can be written in normal use, Bi Zhuoer tip slightly harder point, but the writing feels good.</v>
      </c>
    </row>
    <row r="14740">
      <c r="A14740" s="1">
        <v>5.0</v>
      </c>
      <c r="B14740" s="1" t="s">
        <v>14581</v>
      </c>
      <c r="C14740" t="str">
        <f>IFERROR(__xludf.DUMMYFUNCTION("GOOGLETRANSLATE(B14740, ""zh"", ""en"")"),"Genuine, good quality and I 181cm, 97kg, just wear XXXL. Good quality, fade-free and odor, genuine")</f>
        <v>Genuine, good quality and I 181cm, 97kg, just wear XXXL. Good quality, fade-free and odor, genuine</v>
      </c>
    </row>
    <row r="14741">
      <c r="A14741" s="1">
        <v>5.0</v>
      </c>
      <c r="B14741" s="1" t="s">
        <v>14582</v>
      </c>
      <c r="C14741" t="str">
        <f>IFERROR(__xludf.DUMMYFUNCTION("GOOGLETRANSLATE(B14741, ""zh"", ""en"")"),"Very light, very light and comfortable fit, comfortable fit, generous style. In addition can be worn with trousers")</f>
        <v>Very light, very light and comfortable fit, comfortable fit, generous style. In addition can be worn with trousers</v>
      </c>
    </row>
    <row r="14742">
      <c r="A14742" s="1">
        <v>5.0</v>
      </c>
      <c r="B14742" s="1" t="s">
        <v>14583</v>
      </c>
      <c r="C14742" t="str">
        <f>IFERROR(__xludf.DUMMYFUNCTION("GOOGLETRANSLATE(B14742, ""zh"", ""en"")"),"Good stew beaker also good, the price is lower than the price plus a discount East, porridge is a failure, soup okay. Pour into the pot a little longer")</f>
        <v>Good stew beaker also good, the price is lower than the price plus a discount East, porridge is a failure, soup okay. Pour into the pot a little longer</v>
      </c>
    </row>
    <row r="14743">
      <c r="A14743" s="1">
        <v>5.0</v>
      </c>
      <c r="B14743" s="1" t="s">
        <v>14584</v>
      </c>
      <c r="C14743" t="str">
        <f>IFERROR(__xludf.DUMMYFUNCTION("GOOGLETRANSLATE(B14743, ""zh"", ""en"")"),"Suitable right length dress fit")</f>
        <v>Suitable right length dress fit</v>
      </c>
    </row>
    <row r="14744">
      <c r="A14744" s="1">
        <v>5.0</v>
      </c>
      <c r="B14744" s="1" t="s">
        <v>14585</v>
      </c>
      <c r="C14744" t="str">
        <f>IFERROR(__xludf.DUMMYFUNCTION("GOOGLETRANSLATE(B14744, ""zh"", ""en"")"),"Big bucket! So big bucket, fast finish, and is effective, drinking after exercise, weight increased")</f>
        <v>Big bucket! So big bucket, fast finish, and is effective, drinking after exercise, weight increased</v>
      </c>
    </row>
    <row r="14745">
      <c r="A14745" s="1">
        <v>5.0</v>
      </c>
      <c r="B14745" s="1" t="s">
        <v>14586</v>
      </c>
      <c r="C14745" t="str">
        <f>IFERROR(__xludf.DUMMYFUNCTION("GOOGLETRANSLATE(B14745, ""zh"", ""en"")"),"Thick shirt also can not wash, do not know the iron-free, relatively thick material, a little hard for autumn and winter wear")</f>
        <v>Thick shirt also can not wash, do not know the iron-free, relatively thick material, a little hard for autumn and winter wear</v>
      </c>
    </row>
    <row r="14746">
      <c r="A14746" s="1">
        <v>5.0</v>
      </c>
      <c r="B14746" s="1" t="s">
        <v>14587</v>
      </c>
      <c r="C14746" t="str">
        <f>IFERROR(__xludf.DUMMYFUNCTION("GOOGLETRANSLATE(B14746, ""zh"", ""en"")"),"B aluminum alloy frame is very, very strong. But really great, plug in the mac pro when will curl up a little bit.")</f>
        <v>B aluminum alloy frame is very, very strong. But really great, plug in the mac pro when will curl up a little bit.</v>
      </c>
    </row>
    <row r="14747">
      <c r="A14747" s="1">
        <v>5.0</v>
      </c>
      <c r="B14747" s="1" t="s">
        <v>14588</v>
      </c>
      <c r="C14747" t="str">
        <f>IFERROR(__xludf.DUMMYFUNCTION("GOOGLETRANSLATE(B14747, ""zh"", ""en"")"),"Yes cheaper than a treasure, currently 34 weeks, a month and a half pubic pain, the doctor mentioned by the pelvic girdle, investigate some feel Indian dogs fly. Spend after feeling a slight relief, but the best is walking or bed time, and therefore had l"&amp;"ittle chance to use, but still a little worried crowded third trimester baby, birth and then going to stick with.")</f>
        <v>Yes cheaper than a treasure, currently 34 weeks, a month and a half pubic pain, the doctor mentioned by the pelvic girdle, investigate some feel Indian dogs fly. Spend after feeling a slight relief, but the best is walking or bed time, and therefore had little chance to use, but still a little worried crowded third trimester baby, birth and then going to stick with.</v>
      </c>
    </row>
    <row r="14748">
      <c r="A14748" s="1">
        <v>5.0</v>
      </c>
      <c r="B14748" s="1" t="s">
        <v>14589</v>
      </c>
      <c r="C14748" t="str">
        <f>IFERROR(__xludf.DUMMYFUNCTION("GOOGLETRANSLATE(B14748, ""zh"", ""en"")"),"Very good for children to buy a friend's house, very good, affordable")</f>
        <v>Very good for children to buy a friend's house, very good, affordable</v>
      </c>
    </row>
    <row r="14749">
      <c r="A14749" s="1">
        <v>5.0</v>
      </c>
      <c r="B14749" s="1" t="s">
        <v>14590</v>
      </c>
      <c r="C14749" t="str">
        <f>IFERROR(__xludf.DUMMYFUNCTION("GOOGLETRANSLATE(B14749, ""zh"", ""en"")"),"MDRV6 1. Delivery is very fast. 2. The sound is nice, exceeded expectations, easing the bit with the price. 3. However, earmuffs do not feel durable, but should be able to change. 4. itself is not suitable for commuting, you can not be expected. 5. Overal"&amp;"l very recommended. And in theory, and 7506 is a thing.")</f>
        <v>MDRV6 1. Delivery is very fast. 2. The sound is nice, exceeded expectations, easing the bit with the price. 3. However, earmuffs do not feel durable, but should be able to change. 4. itself is not suitable for commuting, you can not be expected. 5. Overall very recommended. And in theory, and 7506 is a thing.</v>
      </c>
    </row>
    <row r="14750">
      <c r="A14750" s="1">
        <v>5.0</v>
      </c>
      <c r="B14750" s="1" t="s">
        <v>14591</v>
      </c>
      <c r="C14750" t="str">
        <f>IFERROR(__xludf.DUMMYFUNCTION("GOOGLETRANSLATE(B14750, ""zh"", ""en"")"),"1t transmission speed can also be right enough! Seagate choice for home office!")</f>
        <v>1t transmission speed can also be right enough! Seagate choice for home office!</v>
      </c>
    </row>
    <row r="14751">
      <c r="A14751" s="1">
        <v>5.0</v>
      </c>
      <c r="B14751" s="1" t="s">
        <v>14592</v>
      </c>
      <c r="C14751" t="str">
        <f>IFERROR(__xludf.DUMMYFUNCTION("GOOGLETRANSLATE(B14751, ""zh"", ""en"")"),"Like 👍 something good, worth buying.")</f>
        <v>Like 👍 something good, worth buying.</v>
      </c>
    </row>
    <row r="14752">
      <c r="A14752" s="1">
        <v>5.0</v>
      </c>
      <c r="B14752" s="1" t="s">
        <v>14593</v>
      </c>
      <c r="C14752" t="str">
        <f>IFERROR(__xludf.DUMMYFUNCTION("GOOGLETRANSLATE(B14752, ""zh"", ""en"")"),"Before going to bed I put a meter in the morning really out of gruel. That is, put a little too much rice, less water, out of the thick porridge good, heated water will dilute the drink, the two of us can not finish. Not from the previous evaluation, I do"&amp;" not know how many wasted points, points can change money now know, they should look carefully evaluated, then I put these words to copy to go, both to earn points, but also save trouble, they go where copy , sent directly to it, recommend it to everyone!"&amp;" !")</f>
        <v>Before going to bed I put a meter in the morning really out of gruel. That is, put a little too much rice, less water, out of the thick porridge good, heated water will dilute the drink, the two of us can not finish. Not from the previous evaluation, I do not know how many wasted points, points can change money now know, they should look carefully evaluated, then I put these words to copy to go, both to earn points, but also save trouble, they go where copy , sent directly to it, recommend it to everyone! !</v>
      </c>
    </row>
    <row r="14753">
      <c r="A14753" s="1">
        <v>2.0</v>
      </c>
      <c r="B14753" s="1" t="s">
        <v>6461</v>
      </c>
      <c r="C14753" t="str">
        <f>IFERROR(__xludf.DUMMYFUNCTION("GOOGLETRANSLATE(B14753, ""zh"", ""en"")"),"Hand general feeling in general, not worth buying")</f>
        <v>Hand general feeling in general, not worth buying</v>
      </c>
    </row>
    <row r="14754">
      <c r="A14754" s="1">
        <v>3.0</v>
      </c>
      <c r="B14754" s="1" t="s">
        <v>14594</v>
      </c>
      <c r="C14754" t="str">
        <f>IFERROR(__xludf.DUMMYFUNCTION("GOOGLETRANSLATE(B14754, ""zh"", ""en"")"),"The version is good, wrinkled pants, like new clothes objectively say good quality clothes, the version is very good, the right size. Is not satisfied with the clothes came special wrinkle, but also a similar liquid detergent scent, question the old and n"&amp;"ew clothes. Consider overseas purchase return is more complicated, so be it.")</f>
        <v>The version is good, wrinkled pants, like new clothes objectively say good quality clothes, the version is very good, the right size. Is not satisfied with the clothes came special wrinkle, but also a similar liquid detergent scent, question the old and new clothes. Consider overseas purchase return is more complicated, so be it.</v>
      </c>
    </row>
    <row r="14755">
      <c r="A14755" s="1">
        <v>3.0</v>
      </c>
      <c r="B14755" s="1" t="s">
        <v>14595</v>
      </c>
      <c r="C14755" t="str">
        <f>IFERROR(__xludf.DUMMYFUNCTION("GOOGLETRANSLATE(B14755, ""zh"", ""en"")"),"Poor quality, poor service first comment in the Amazon, the Amazon overseas purchase completely disappointed. Product quality is very poor, commodity only three months, there have been quality problems, it will start automatically boot, somehow to spray a"&amp;" stream of water surge, and later developed to not shut down, now completely broken. Contact Amazon sale, said that after a month of receipt only provide warranty service, own more than one month to contact Chinese aftermarket. Chinese Say No sale offer o"&amp;"verseas purchase of maintenance services, suggested that I myself find someone to repair. That's why I spent three months of the product, to spend a few hundred pieces to repair themselves, a process might as well buy the National Bank, have 2-year warran"&amp;"ty, the bad new ones directly. Serious doubts purchased overseas sales of refurbished machines, poor quality, poor service, you do not buy in order to save money here, spend a few hundred pieces repair might as well buy the National Bank.")</f>
        <v>Poor quality, poor service first comment in the Amazon, the Amazon overseas purchase completely disappointed. Product quality is very poor, commodity only three months, there have been quality problems, it will start automatically boot, somehow to spray a stream of water surge, and later developed to not shut down, now completely broken. Contact Amazon sale, said that after a month of receipt only provide warranty service, own more than one month to contact Chinese aftermarket. Chinese Say No sale offer overseas purchase of maintenance services, suggested that I myself find someone to repair. That's why I spent three months of the product, to spend a few hundred pieces to repair themselves, a process might as well buy the National Bank, have 2-year warranty, the bad new ones directly. Serious doubts purchased overseas sales of refurbished machines, poor quality, poor service, you do not buy in order to save money here, spend a few hundred pieces repair might as well buy the National Bank.</v>
      </c>
    </row>
    <row r="14756">
      <c r="A14756" s="1">
        <v>1.0</v>
      </c>
      <c r="B14756" s="1" t="s">
        <v>14596</v>
      </c>
      <c r="C14756" t="str">
        <f>IFERROR(__xludf.DUMMYFUNCTION("GOOGLETRANSLATE(B14756, ""zh"", ""en"")"),"Too hard soles fake, poor quality, buy fake it?")</f>
        <v>Too hard soles fake, poor quality, buy fake it?</v>
      </c>
    </row>
    <row r="14757">
      <c r="A14757" s="1">
        <v>1.0</v>
      </c>
      <c r="B14757" s="1" t="s">
        <v>14597</v>
      </c>
      <c r="C14757" t="str">
        <f>IFERROR(__xludf.DUMMYFUNCTION("GOOGLETRANSLATE(B14757, ""zh"", ""en"")"),"Please do not buy too much, I 193cm, weight 100kg, wear xl actually look like fat, no problem length, photos and in-kind system version is completely different to my body did not wear law, only idle the")</f>
        <v>Please do not buy too much, I 193cm, weight 100kg, wear xl actually look like fat, no problem length, photos and in-kind system version is completely different to my body did not wear law, only idle the</v>
      </c>
    </row>
    <row r="14758">
      <c r="A14758" s="1">
        <v>1.0</v>
      </c>
      <c r="B14758" s="1" t="s">
        <v>14598</v>
      </c>
      <c r="C14758" t="str">
        <f>IFERROR(__xludf.DUMMYFUNCTION("GOOGLETRANSLATE(B14758, ""zh"", ""en"")"),"Box damaged packaging damage, visual table no major problems")</f>
        <v>Box damaged packaging damage, visual table no major problems</v>
      </c>
    </row>
    <row r="14759">
      <c r="A14759" s="1">
        <v>4.0</v>
      </c>
      <c r="B14759" s="1" t="s">
        <v>14599</v>
      </c>
      <c r="C14759" t="str">
        <f>IFERROR(__xludf.DUMMYFUNCTION("GOOGLETRANSLATE(B14759, ""zh"", ""en"")"),"Japanese Menu broken heart how disturbed, waiting orders, used as received, good taste waxy.")</f>
        <v>Japanese Menu broken heart how disturbed, waiting orders, used as received, good taste waxy.</v>
      </c>
    </row>
    <row r="14760">
      <c r="A14760" s="1">
        <v>4.0</v>
      </c>
      <c r="B14760" s="1" t="s">
        <v>14600</v>
      </c>
      <c r="C14760" t="str">
        <f>IFERROR(__xludf.DUMMYFUNCTION("GOOGLETRANSLATE(B14760, ""zh"", ""en"")"),"Color color is too bright pink, as page images so foreign flavor, color yellow should pay attention to - height 175 weight 61 election XL, relatively fit, after all, is shorter styles")</f>
        <v>Color color is too bright pink, as page images so foreign flavor, color yellow should pay attention to - height 175 weight 61 election XL, relatively fit, after all, is shorter styles</v>
      </c>
    </row>
    <row r="14761">
      <c r="A14761" s="1">
        <v>4.0</v>
      </c>
      <c r="B14761" s="1" t="s">
        <v>14601</v>
      </c>
      <c r="C14761" t="str">
        <f>IFERROR(__xludf.DUMMYFUNCTION("GOOGLETRANSLATE(B14761, ""zh"", ""en"")"),"Overall satisfaction with color pictures as comments by the beauties. Just wear foot feeling unwell, then I feel so comfortable. Plus shipping more than 6 million, I feel very good. 2017, old.")</f>
        <v>Overall satisfaction with color pictures as comments by the beauties. Just wear foot feeling unwell, then I feel so comfortable. Plus shipping more than 6 million, I feel very good. 2017, old.</v>
      </c>
    </row>
    <row r="14762">
      <c r="A14762" s="1">
        <v>4.0</v>
      </c>
      <c r="B14762" s="1" t="s">
        <v>14602</v>
      </c>
      <c r="C14762" t="str">
        <f>IFERROR(__xludf.DUMMYFUNCTION("GOOGLETRANSLATE(B14762, ""zh"", ""en"")"),"Also wear, 176cm, 60kg, m may also be just wearing, 176cm, 60kg, m just")</f>
        <v>Also wear, 176cm, 60kg, m may also be just wearing, 176cm, 60kg, m just</v>
      </c>
    </row>
    <row r="14763">
      <c r="A14763" s="1">
        <v>4.0</v>
      </c>
      <c r="B14763" s="1" t="s">
        <v>14603</v>
      </c>
      <c r="C14763" t="str">
        <f>IFERROR(__xludf.DUMMYFUNCTION("GOOGLETRANSLATE(B14763, ""zh"", ""en"")"),"There are other remote access issues are good, there is no problem using a LAN, remote access but without success, when the backup is good, cost-effective.")</f>
        <v>There are other remote access issues are good, there is no problem using a LAN, remote access but without success, when the backup is good, cost-effective.</v>
      </c>
    </row>
    <row r="14764">
      <c r="A14764" s="1">
        <v>5.0</v>
      </c>
      <c r="B14764" s="1" t="s">
        <v>14604</v>
      </c>
      <c r="C14764" t="str">
        <f>IFERROR(__xludf.DUMMYFUNCTION("GOOGLETRANSLATE(B14764, ""zh"", ""en"")"),"Goods very good, overseas purchase a good and convenient. Goods very good, overseas purchase a good and convenient.")</f>
        <v>Goods very good, overseas purchase a good and convenient. Goods very good, overseas purchase a good and convenient.</v>
      </c>
    </row>
    <row r="14765">
      <c r="A14765" s="1">
        <v>5.0</v>
      </c>
      <c r="B14765" s="1" t="s">
        <v>14605</v>
      </c>
      <c r="C14765" t="str">
        <f>IFERROR(__xludf.DUMMYFUNCTION("GOOGLETRANSLATE(B14765, ""zh"", ""en"")"),"Overall satisfaction more relaxed, comfortable to wear. Last 30 short, this time 32 has a longer length, looks not up to standard.")</f>
        <v>Overall satisfaction more relaxed, comfortable to wear. Last 30 short, this time 32 has a longer length, looks not up to standard.</v>
      </c>
    </row>
    <row r="14766">
      <c r="A14766" s="1">
        <v>5.0</v>
      </c>
      <c r="B14766" s="1" t="s">
        <v>14606</v>
      </c>
      <c r="C14766" t="str">
        <f>IFERROR(__xludf.DUMMYFUNCTION("GOOGLETRANSLATE(B14766, ""zh"", ""en"")"),"Taste good easy to accept super. Much better than a treasure.")</f>
        <v>Taste good easy to accept super. Much better than a treasure.</v>
      </c>
    </row>
    <row r="14767">
      <c r="A14767" s="1">
        <v>5.0</v>
      </c>
      <c r="B14767" s="1" t="s">
        <v>14607</v>
      </c>
      <c r="C14767" t="str">
        <f>IFERROR(__xludf.DUMMYFUNCTION("GOOGLETRANSLATE(B14767, ""zh"", ""en"")"),"Cute very cute, is feeling the handle is too thick, the baby may not hold")</f>
        <v>Cute very cute, is feeling the handle is too thick, the baby may not hold</v>
      </c>
    </row>
    <row r="14768">
      <c r="A14768" s="1">
        <v>5.0</v>
      </c>
      <c r="B14768" s="1" t="s">
        <v>14608</v>
      </c>
      <c r="C14768" t="str">
        <f>IFERROR(__xludf.DUMMYFUNCTION("GOOGLETRANSLATE(B14768, ""zh"", ""en"")"),"Cost-effective than tax increases domestic prices, the price of Nichia's true conscience, but fortunately there is the Amazon platform, the price is very comfortable, burn 100 hours +, listening to a really good time, for the Japanese to buy the new versi"&amp;"on of Costa Rica sets, just the amount of bass, flexible, full tenor, the human voice is still on the list, the relative price of considerable value, and usually do not how to burn, many years alone ear receipt, the ear is indeed satisfied, the exact , th"&amp;"e ear in the hands of a few, this pair is the most omnivorous, what type of performance can be good, this is cost-effective.")</f>
        <v>Cost-effective than tax increases domestic prices, the price of Nichia's true conscience, but fortunately there is the Amazon platform, the price is very comfortable, burn 100 hours +, listening to a really good time, for the Japanese to buy the new version of Costa Rica sets, just the amount of bass, flexible, full tenor, the human voice is still on the list, the relative price of considerable value, and usually do not how to burn, many years alone ear receipt, the ear is indeed satisfied, the exact , the ear in the hands of a few, this pair is the most omnivorous, what type of performance can be good, this is cost-effective.</v>
      </c>
    </row>
    <row r="14769">
      <c r="A14769" s="1">
        <v>5.0</v>
      </c>
      <c r="B14769" s="1" t="s">
        <v>14609</v>
      </c>
      <c r="C14769" t="str">
        <f>IFERROR(__xludf.DUMMYFUNCTION("GOOGLETRANSLATE(B14769, ""zh"", ""en"")"),"Table is pretty much a good table is very beautiful, look great worn on the hand, is too big but still very satisfied")</f>
        <v>Table is pretty much a good table is very beautiful, look great worn on the hand, is too big but still very satisfied</v>
      </c>
    </row>
    <row r="14770">
      <c r="A14770" s="1">
        <v>5.0</v>
      </c>
      <c r="B14770" s="1" t="s">
        <v>14610</v>
      </c>
      <c r="C14770" t="str">
        <f>IFERROR(__xludf.DUMMYFUNCTION("GOOGLETRANSLATE(B14770, ""zh"", ""en"")"),"Buy gifts appropriate gift, feel good")</f>
        <v>Buy gifts appropriate gift, feel good</v>
      </c>
    </row>
    <row r="14771">
      <c r="A14771" s="1">
        <v>5.0</v>
      </c>
      <c r="B14771" s="1" t="s">
        <v>14611</v>
      </c>
      <c r="C14771" t="str">
        <f>IFERROR(__xludf.DUMMYFUNCTION("GOOGLETRANSLATE(B14771, ""zh"", ""en"")"),"1264 Aunt good hard drive. Good price. And everyone else is available 9.09T. It has been stabilized at between 190 to 200. Get off successfully.")</f>
        <v>1264 Aunt good hard drive. Good price. And everyone else is available 9.09T. It has been stabilized at between 190 to 200. Get off successfully.</v>
      </c>
    </row>
    <row r="14772">
      <c r="A14772" s="1">
        <v>5.0</v>
      </c>
      <c r="B14772" s="1" t="s">
        <v>14612</v>
      </c>
      <c r="C14772" t="str">
        <f>IFERROR(__xludf.DUMMYFUNCTION("GOOGLETRANSLATE(B14772, ""zh"", ""en"")"),"Workout clothes light, close-fitting but not feel bound. Is preferably washed with brine soak into the first, preventing discoloration. Scarlet color is very nice. Cost is very high.")</f>
        <v>Workout clothes light, close-fitting but not feel bound. Is preferably washed with brine soak into the first, preventing discoloration. Scarlet color is very nice. Cost is very high.</v>
      </c>
    </row>
    <row r="14773">
      <c r="A14773" s="1">
        <v>5.0</v>
      </c>
      <c r="B14773" s="1" t="s">
        <v>14613</v>
      </c>
      <c r="C14773" t="str">
        <f>IFERROR(__xludf.DUMMYFUNCTION("GOOGLETRANSLATE(B14773, ""zh"", ""en"")"),"Cost-effective price, buy the correct size to the mother, 165cm. 65kg just to wear, which also added sweater thin member, spring and autumn wear suitable, relatively thin liner, hand 400 is a bargain")</f>
        <v>Cost-effective price, buy the correct size to the mother, 165cm. 65kg just to wear, which also added sweater thin member, spring and autumn wear suitable, relatively thin liner, hand 400 is a bargain</v>
      </c>
    </row>
    <row r="14774">
      <c r="A14774" s="1">
        <v>5.0</v>
      </c>
      <c r="B14774" s="1" t="s">
        <v>14614</v>
      </c>
      <c r="C14774" t="str">
        <f>IFERROR(__xludf.DUMMYFUNCTION("GOOGLETRANSLATE(B14774, ""zh"", ""en"")"),"Very very good shoes fit, the box is a bit rotten")</f>
        <v>Very very good shoes fit, the box is a bit rotten</v>
      </c>
    </row>
    <row r="14775">
      <c r="A14775" s="1">
        <v>5.0</v>
      </c>
      <c r="B14775" s="1" t="s">
        <v>14615</v>
      </c>
      <c r="C14775" t="str">
        <f>IFERROR(__xludf.DUMMYFUNCTION("GOOGLETRANSLATE(B14775, ""zh"", ""en"")"),"very good! Well installation, as long as it would not have to spend with the pads of water, just was not ready at the beginning of the study, according to the instructions and then under his own fiddle on it, easy to use!")</f>
        <v>very good! Well installation, as long as it would not have to spend with the pads of water, just was not ready at the beginning of the study, according to the instructions and then under his own fiddle on it, easy to use!</v>
      </c>
    </row>
    <row r="14776">
      <c r="A14776" s="1">
        <v>5.0</v>
      </c>
      <c r="B14776" s="1" t="s">
        <v>14616</v>
      </c>
      <c r="C14776" t="str">
        <f>IFERROR(__xludf.DUMMYFUNCTION("GOOGLETRANSLATE(B14776, ""zh"", ""en"")"),"Trouser pants good shape good buy again.")</f>
        <v>Trouser pants good shape good buy again.</v>
      </c>
    </row>
    <row r="14777">
      <c r="A14777" s="1">
        <v>5.0</v>
      </c>
      <c r="B14777" s="1" t="s">
        <v>14617</v>
      </c>
      <c r="C14777" t="str">
        <f>IFERROR(__xludf.DUMMYFUNCTION("GOOGLETRANSLATE(B14777, ""zh"", ""en"")"),"The higher cost of high cost, good quality")</f>
        <v>The higher cost of high cost, good quality</v>
      </c>
    </row>
    <row r="14778">
      <c r="A14778" s="1">
        <v>5.0</v>
      </c>
      <c r="B14778" s="1" t="s">
        <v>14618</v>
      </c>
      <c r="C14778" t="str">
        <f>IFERROR(__xludf.DUMMYFUNCTION("GOOGLETRANSLATE(B14778, ""zh"", ""en"")"),"Easy to buy a friend, a friend's house the child has been using this bottle")</f>
        <v>Easy to buy a friend, a friend's house the child has been using this bottle</v>
      </c>
    </row>
    <row r="14779">
      <c r="A14779" s="1">
        <v>5.0</v>
      </c>
      <c r="B14779" s="1" t="s">
        <v>14619</v>
      </c>
      <c r="C14779" t="str">
        <f>IFERROR(__xludf.DUMMYFUNCTION("GOOGLETRANSLATE(B14779, ""zh"", ""en"")"),"Good price beautiful fabric is also good fit")</f>
        <v>Good price beautiful fabric is also good fit</v>
      </c>
    </row>
    <row r="14780">
      <c r="A14780" s="1">
        <v>5.0</v>
      </c>
      <c r="B14780" s="1" t="s">
        <v>14620</v>
      </c>
      <c r="C14780" t="str">
        <f>IFERROR(__xludf.DUMMYFUNCTION("GOOGLETRANSLATE(B14780, ""zh"", ""en"")"),"Highly cost-effective to buy a few pieces, the price is good, the quality is not bad, I 170 high, 75 kilos belong partial sturdy body type, wear appropriate S number. Amazon also logistics speed super fast, three days arrival. Do not ask too much clothes "&amp;"as a whole, the championship is still very good value for money.")</f>
        <v>Highly cost-effective to buy a few pieces, the price is good, the quality is not bad, I 170 high, 75 kilos belong partial sturdy body type, wear appropriate S number. Amazon also logistics speed super fast, three days arrival. Do not ask too much clothes as a whole, the championship is still very good value for money.</v>
      </c>
    </row>
    <row r="14781">
      <c r="A14781" s="1">
        <v>5.0</v>
      </c>
      <c r="B14781" s="1" t="s">
        <v>14621</v>
      </c>
      <c r="C14781" t="str">
        <f>IFERROR(__xludf.DUMMYFUNCTION("GOOGLETRANSLATE(B14781, ""zh"", ""en"")"),"The texture of cotton, cotton cost-effective first-class, cost-effective not have to say! The store than domestic prices are much cheaper, I 180 high 130 heavy. American wearing M code just right. Great clothes!")</f>
        <v>The texture of cotton, cotton cost-effective first-class, cost-effective not have to say! The store than domestic prices are much cheaper, I 180 high 130 heavy. American wearing M code just right. Great clothes!</v>
      </c>
    </row>
    <row r="14782">
      <c r="A14782" s="1">
        <v>5.0</v>
      </c>
      <c r="B14782" s="1" t="s">
        <v>14622</v>
      </c>
      <c r="C14782" t="str">
        <f>IFERROR(__xludf.DUMMYFUNCTION("GOOGLETRANSLATE(B14782, ""zh"", ""en"")"),"Praise workmanship is very good. Capital is also more appropriate.")</f>
        <v>Praise workmanship is very good. Capital is also more appropriate.</v>
      </c>
    </row>
    <row r="14783">
      <c r="A14783" s="1">
        <v>5.0</v>
      </c>
      <c r="B14783" s="1" t="s">
        <v>14623</v>
      </c>
      <c r="C14783" t="str">
        <f>IFERROR(__xludf.DUMMYFUNCTION("GOOGLETRANSLATE(B14783, ""zh"", ""en"")"),"Shoes recommended to buy freshman yards, foot feeling too small and the store tried, like, work is also good, should be genuine, Indonesia production")</f>
        <v>Shoes recommended to buy freshman yards, foot feeling too small and the store tried, like, work is also good, should be genuine, Indonesia production</v>
      </c>
    </row>
    <row r="14784">
      <c r="A14784" s="1">
        <v>5.0</v>
      </c>
      <c r="B14784" s="1" t="s">
        <v>14624</v>
      </c>
      <c r="C14784" t="str">
        <f>IFERROR(__xludf.DUMMYFUNCTION("GOOGLETRANSLATE(B14784, ""zh"", ""en"")"),"like the very texture is also good value for money high price volatility less than when I bought three hundred")</f>
        <v>like the very texture is also good value for money high price volatility less than when I bought three hundred</v>
      </c>
    </row>
    <row r="14785">
      <c r="A14785" s="1">
        <v>5.0</v>
      </c>
      <c r="B14785" s="1" t="s">
        <v>14625</v>
      </c>
      <c r="C14785" t="str">
        <f>IFERROR(__xludf.DUMMYFUNCTION("GOOGLETRANSLATE(B14785, ""zh"", ""en"")"),"It bought the best jeans pants Cock burst, the version material models are very praise, the key is very thick, than I had bought plus velvet jeans have a lot of thick, who might wear trousers inside outside wearing jeans shorts worn alone this late at nig"&amp;"ht walking in the streets of Hulun Buir now feel a trace of the cold season, 5 star praise")</f>
        <v>It bought the best jeans pants Cock burst, the version material models are very praise, the key is very thick, than I had bought plus velvet jeans have a lot of thick, who might wear trousers inside outside wearing jeans shorts worn alone this late at night walking in the streets of Hulun Buir now feel a trace of the cold season, 5 star praise</v>
      </c>
    </row>
    <row r="14786">
      <c r="A14786" s="1">
        <v>2.0</v>
      </c>
      <c r="B14786" s="1" t="s">
        <v>14626</v>
      </c>
      <c r="C14786" t="str">
        <f>IFERROR(__xludf.DUMMYFUNCTION("GOOGLETRANSLATE(B14786, ""zh"", ""en"")"),"Shipments slow, uncomfortable super slow delivery, poor comfort shoes, soles hard, very unlike ecco style, not worth trying")</f>
        <v>Shipments slow, uncomfortable super slow delivery, poor comfort shoes, soles hard, very unlike ecco style, not worth trying</v>
      </c>
    </row>
    <row r="14787">
      <c r="A14787" s="1">
        <v>3.0</v>
      </c>
      <c r="B14787" s="1" t="s">
        <v>14627</v>
      </c>
      <c r="C14787" t="str">
        <f>IFERROR(__xludf.DUMMYFUNCTION("GOOGLETRANSLATE(B14787, ""zh"", ""en"")"),"Size with domestic counter are not the same size do not press the domestic counter options, the cup is too large, at least a large cup, around the end of the same, only little freshman, does not affect the wear, but the cup is not really control")</f>
        <v>Size with domestic counter are not the same size do not press the domestic counter options, the cup is too large, at least a large cup, around the end of the same, only little freshman, does not affect the wear, but the cup is not really control</v>
      </c>
    </row>
    <row r="14788">
      <c r="A14788" s="1">
        <v>3.0</v>
      </c>
      <c r="B14788" s="1" t="s">
        <v>14628</v>
      </c>
      <c r="C14788" t="str">
        <f>IFERROR(__xludf.DUMMYFUNCTION("GOOGLETRANSLATE(B14788, ""zh"", ""en"")"),"Genuine wild beautiful, but, at the heel of the shoe heel embarrassing, always feeling out. He gave sister.")</f>
        <v>Genuine wild beautiful, but, at the heel of the shoe heel embarrassing, always feeling out. He gave sister.</v>
      </c>
    </row>
    <row r="14789">
      <c r="A14789" s="1">
        <v>1.0</v>
      </c>
      <c r="B14789" s="1" t="s">
        <v>14629</v>
      </c>
      <c r="C14789" t="str">
        <f>IFERROR(__xludf.DUMMYFUNCTION("GOOGLETRANSLATE(B14789, ""zh"", ""en"")"),"Or domestic support it! Open feel dirty clothes to get a good feeling")</f>
        <v>Or domestic support it! Open feel dirty clothes to get a good feeling</v>
      </c>
    </row>
    <row r="14790">
      <c r="A14790" s="1">
        <v>1.0</v>
      </c>
      <c r="B14790" s="1" t="s">
        <v>14630</v>
      </c>
      <c r="C14790" t="str">
        <f>IFERROR(__xludf.DUMMYFUNCTION("GOOGLETRANSLATE(B14790, ""zh"", ""en"")"),"Poor quality of the worst ever once shopping experience. Poor product quality, the belt has cracks. Apply for return, has yet to contact. I do not know why.")</f>
        <v>Poor quality of the worst ever once shopping experience. Poor product quality, the belt has cracks. Apply for return, has yet to contact. I do not know why.</v>
      </c>
    </row>
    <row r="14791">
      <c r="A14791" s="1">
        <v>1.0</v>
      </c>
      <c r="B14791" s="1" t="s">
        <v>14631</v>
      </c>
      <c r="C14791" t="str">
        <f>IFERROR(__xludf.DUMMYFUNCTION("GOOGLETRANSLATE(B14791, ""zh"", ""en"")"),"The lid is not bad to seal completely worth the price cap is bad to buy a lot of goods this is the most dissatisfied with a")</f>
        <v>The lid is not bad to seal completely worth the price cap is bad to buy a lot of goods this is the most dissatisfied with a</v>
      </c>
    </row>
    <row r="14792">
      <c r="A14792" s="1">
        <v>4.0</v>
      </c>
      <c r="B14792" s="1" t="s">
        <v>14632</v>
      </c>
      <c r="C14792" t="str">
        <f>IFERROR(__xludf.DUMMYFUNCTION("GOOGLETRANSLATE(B14792, ""zh"", ""en"")"),"👌 wearing a very appropriate, you can plug behind a finger, but will walk back foot thumb pain, because it is the first time to buy a puma, do not know is not the foot-shaped shoes and unworthy,")</f>
        <v>👌 wearing a very appropriate, you can plug behind a finger, but will walk back foot thumb pain, because it is the first time to buy a puma, do not know is not the foot-shaped shoes and unworthy,</v>
      </c>
    </row>
    <row r="14793">
      <c r="A14793" s="1">
        <v>4.0</v>
      </c>
      <c r="B14793" s="1" t="s">
        <v>14633</v>
      </c>
      <c r="C14793" t="str">
        <f>IFERROR(__xludf.DUMMYFUNCTION("GOOGLETRANSLATE(B14793, ""zh"", ""en"")"),"This shirt is to be a reference, very common. First of all that, the fabric is 70% cotton, 30% polyester, to tell the truth some thin, fine hair sometimes bared out. Workmanship is acceptable, Bangladesh produced. Talk about size, I 175 height, 76KG weigh"&amp;"t, Shoulder 48-49 appropriate, domestic shirt is 41 yards. 175 / 96A. This dress I chose the M number, very fit, especially the sleeves, with the same effect on the picture. To be honest, the price plus shipping you can buy in the domestic cotton shirt, i"&amp;"s to try and see the shirt section of M Lee in the end what kind of number. Overall Fortunately, fabrics resist.")</f>
        <v>This shirt is to be a reference, very common. First of all that, the fabric is 70% cotton, 30% polyester, to tell the truth some thin, fine hair sometimes bared out. Workmanship is acceptable, Bangladesh produced. Talk about size, I 175 height, 76KG weight, Shoulder 48-49 appropriate, domestic shirt is 41 yards. 175 / 96A. This dress I chose the M number, very fit, especially the sleeves, with the same effect on the picture. To be honest, the price plus shipping you can buy in the domestic cotton shirt, is to try and see the shirt section of M Lee in the end what kind of number. Overall Fortunately, fabrics resist.</v>
      </c>
    </row>
    <row r="14794">
      <c r="A14794" s="1">
        <v>4.0</v>
      </c>
      <c r="B14794" s="1" t="s">
        <v>14634</v>
      </c>
      <c r="C14794" t="str">
        <f>IFERROR(__xludf.DUMMYFUNCTION("GOOGLETRANSLATE(B14794, ""zh"", ""en"")"),"Beautiful, slightly harder bit color quality is very nice, quality is the kind of slightly harder, the role of rain, the feeling is pretty raincoat ah 😄")</f>
        <v>Beautiful, slightly harder bit color quality is very nice, quality is the kind of slightly harder, the role of rain, the feeling is pretty raincoat ah 😄</v>
      </c>
    </row>
    <row r="14795">
      <c r="A14795" s="1">
        <v>4.0</v>
      </c>
      <c r="B14795" s="1" t="s">
        <v>14635</v>
      </c>
      <c r="C14795" t="str">
        <f>IFERROR(__xludf.DUMMYFUNCTION("GOOGLETRANSLATE(B14795, ""zh"", ""en"")"),"One is too large or big on the 1st, attention,")</f>
        <v>One is too large or big on the 1st, attention,</v>
      </c>
    </row>
    <row r="14796">
      <c r="A14796" s="1">
        <v>4.0</v>
      </c>
      <c r="B14796" s="1" t="s">
        <v>14636</v>
      </c>
      <c r="C14796" t="str">
        <f>IFERROR(__xludf.DUMMYFUNCTION("GOOGLETRANSLATE(B14796, ""zh"", ""en"")"),"Packing a first-class product quality problems, very heavy. But multinational logistics, packaging or original packaging, it is difficult to ensure quality. Upon receipt of the goods, the bubble has been broken, the angle variations, and had to return.")</f>
        <v>Packing a first-class product quality problems, very heavy. But multinational logistics, packaging or original packaging, it is difficult to ensure quality. Upon receipt of the goods, the bubble has been broken, the angle variations, and had to return.</v>
      </c>
    </row>
    <row r="14797">
      <c r="A14797" s="1">
        <v>5.0</v>
      </c>
      <c r="B14797" s="1" t="s">
        <v>14637</v>
      </c>
      <c r="C14797" t="str">
        <f>IFERROR(__xludf.DUMMYFUNCTION("GOOGLETRANSLATE(B14797, ""zh"", ""en"")"),"Always good, cheap and always good, cheap")</f>
        <v>Always good, cheap and always good, cheap</v>
      </c>
    </row>
    <row r="14798">
      <c r="A14798" s="1">
        <v>5.0</v>
      </c>
      <c r="B14798" s="1" t="s">
        <v>14638</v>
      </c>
      <c r="C14798" t="str">
        <f>IFERROR(__xludf.DUMMYFUNCTION("GOOGLETRANSLATE(B14798, ""zh"", ""en"")"),"Why do not I start with the warranty card, the first five-star it barely")</f>
        <v>Why do not I start with the warranty card, the first five-star it barely</v>
      </c>
    </row>
    <row r="14799">
      <c r="A14799" s="1">
        <v>5.0</v>
      </c>
      <c r="B14799" s="1" t="s">
        <v>14639</v>
      </c>
      <c r="C14799" t="str">
        <f>IFERROR(__xludf.DUMMYFUNCTION("GOOGLETRANSLATE(B14799, ""zh"", ""en"")"),"Like already bought this brand of shoes, because they like to buy ,,,,,")</f>
        <v>Like already bought this brand of shoes, because they like to buy ,,,,,</v>
      </c>
    </row>
    <row r="14800">
      <c r="A14800" s="1">
        <v>5.0</v>
      </c>
      <c r="B14800" s="1" t="s">
        <v>14640</v>
      </c>
      <c r="C14800" t="str">
        <f>IFERROR(__xludf.DUMMYFUNCTION("GOOGLETRANSLATE(B14800, ""zh"", ""en"")"),"The importance of calcium supplementation Chinese women generally calcium deficiency, because dietary factors and lifestyle. Therefore, we need to be replenished through dietary supplements. Calcium supplement at the same time the activity of vitamin D, t"&amp;"ake full advantage of calcium. 250 a bottle, you can eat more than three months. very good. United States shipped over, but still not broken, satisfaction")</f>
        <v>The importance of calcium supplementation Chinese women generally calcium deficiency, because dietary factors and lifestyle. Therefore, we need to be replenished through dietary supplements. Calcium supplement at the same time the activity of vitamin D, take full advantage of calcium. 250 a bottle, you can eat more than three months. very good. United States shipped over, but still not broken, satisfaction</v>
      </c>
    </row>
    <row r="14801">
      <c r="A14801" s="1">
        <v>5.0</v>
      </c>
      <c r="B14801" s="1" t="s">
        <v>14641</v>
      </c>
      <c r="C14801" t="str">
        <f>IFERROR(__xludf.DUMMYFUNCTION("GOOGLETRANSLATE(B14801, ""zh"", ""en"")"),"Casio digital watches quality is very good, very satisfied.")</f>
        <v>Casio digital watches quality is very good, very satisfied.</v>
      </c>
    </row>
    <row r="14802">
      <c r="A14802" s="1">
        <v>5.0</v>
      </c>
      <c r="B14802" s="1" t="s">
        <v>14642</v>
      </c>
      <c r="C14802" t="str">
        <f>IFERROR(__xludf.DUMMYFUNCTION("GOOGLETRANSLATE(B14802, ""zh"", ""en"")"),"Some loose, may also be a loose-type models, not self-cultivation.")</f>
        <v>Some loose, may also be a loose-type models, not self-cultivation.</v>
      </c>
    </row>
    <row r="14803">
      <c r="A14803" s="1">
        <v>5.0</v>
      </c>
      <c r="B14803" s="1" t="s">
        <v>14643</v>
      </c>
      <c r="C14803" t="str">
        <f>IFERROR(__xludf.DUMMYFUNCTION("GOOGLETRANSLATE(B14803, ""zh"", ""en"")"),"Affordable something good, affordable")</f>
        <v>Affordable something good, affordable</v>
      </c>
    </row>
    <row r="14804">
      <c r="A14804" s="1">
        <v>5.0</v>
      </c>
      <c r="B14804" s="1" t="s">
        <v>14644</v>
      </c>
      <c r="C14804" t="str">
        <f>IFERROR(__xludf.DUMMYFUNCTION("GOOGLETRANSLATE(B14804, ""zh"", ""en"")"),"Very good thermal insulation effect is very good")</f>
        <v>Very good thermal insulation effect is very good</v>
      </c>
    </row>
    <row r="14805">
      <c r="A14805" s="1">
        <v>5.0</v>
      </c>
      <c r="B14805" s="1" t="s">
        <v>14645</v>
      </c>
      <c r="C14805" t="str">
        <f>IFERROR(__xludf.DUMMYFUNCTION("GOOGLETRANSLATE(B14805, ""zh"", ""en"")"),"Full capacity, the new disc, looks good, noise is acceptable, the price is moderate, relatively recently after testing is cost-effective electricity 0 hours of the new disc, the size of 8000GB, speed is good, I plugged directly into the router to do the s"&amp;"hared disk, even on wifi be able to use. Not loud, but still able to hear the tabletop. Basically put next to the router far enough away not hear the noise, the noise exceeds the range of about 2 meters were inarticulate. Notebook directly linked disk can"&amp;" be used as a local disk, no longer have to worry about stretched the capacity of the disk. Families with basic enough.")</f>
        <v>Full capacity, the new disc, looks good, noise is acceptable, the price is moderate, relatively recently after testing is cost-effective electricity 0 hours of the new disc, the size of 8000GB, speed is good, I plugged directly into the router to do the shared disk, even on wifi be able to use. Not loud, but still able to hear the tabletop. Basically put next to the router far enough away not hear the noise, the noise exceeds the range of about 2 meters were inarticulate. Notebook directly linked disk can be used as a local disk, no longer have to worry about stretched the capacity of the disk. Families with basic enough.</v>
      </c>
    </row>
    <row r="14806">
      <c r="A14806" s="1">
        <v>5.0</v>
      </c>
      <c r="B14806" s="1" t="s">
        <v>14646</v>
      </c>
      <c r="C14806" t="str">
        <f>IFERROR(__xludf.DUMMYFUNCTION("GOOGLETRANSLATE(B14806, ""zh"", ""en"")"),"Product is very good, very satisfied")</f>
        <v>Product is very good, very satisfied</v>
      </c>
    </row>
    <row r="14807">
      <c r="A14807" s="1">
        <v>5.0</v>
      </c>
      <c r="B14807" s="1" t="s">
        <v>14647</v>
      </c>
      <c r="C14807" t="str">
        <f>IFERROR(__xludf.DUMMYFUNCTION("GOOGLETRANSLATE(B14807, ""zh"", ""en"")"),"Yes, there are good texture, texture, time is not a long time will not change color")</f>
        <v>Yes, there are good texture, texture, time is not a long time will not change color</v>
      </c>
    </row>
    <row r="14808">
      <c r="A14808" s="1">
        <v>5.0</v>
      </c>
      <c r="B14808" s="1" t="s">
        <v>14648</v>
      </c>
      <c r="C14808" t="str">
        <f>IFERROR(__xludf.DUMMYFUNCTION("GOOGLETRANSLATE(B14808, ""zh"", ""en"")"),"Two-eleven and buy beauty instrument with particularly good price - Bang Bang da! With up ~")</f>
        <v>Two-eleven and buy beauty instrument with particularly good price - Bang Bang da! With up ~</v>
      </c>
    </row>
    <row r="14809">
      <c r="A14809" s="1">
        <v>5.0</v>
      </c>
      <c r="B14809" s="1" t="s">
        <v>14649</v>
      </c>
      <c r="C14809" t="str">
        <f>IFERROR(__xludf.DUMMYFUNCTION("GOOGLETRANSLATE(B14809, ""zh"", ""en"")"),"The color is not pure white like the smaller than expected but very nice fit to wear No. M 16 396 for reference")</f>
        <v>The color is not pure white like the smaller than expected but very nice fit to wear No. M 16 396 for reference</v>
      </c>
    </row>
    <row r="14810">
      <c r="A14810" s="1">
        <v>5.0</v>
      </c>
      <c r="B14810" s="1" t="s">
        <v>14650</v>
      </c>
      <c r="C14810" t="str">
        <f>IFERROR(__xludf.DUMMYFUNCTION("GOOGLETRANSLATE(B14810, ""zh"", ""en"")"),"Good Chinese watch good, looks beautiful, Chinese rare this style, however, the watch went home, returned to his birthplace.")</f>
        <v>Good Chinese watch good, looks beautiful, Chinese rare this style, however, the watch went home, returned to his birthplace.</v>
      </c>
    </row>
    <row r="14811">
      <c r="A14811" s="1">
        <v>5.0</v>
      </c>
      <c r="B14811" s="1" t="s">
        <v>14651</v>
      </c>
      <c r="C14811" t="str">
        <f>IFERROR(__xludf.DUMMYFUNCTION("GOOGLETRANSLATE(B14811, ""zh"", ""en"")"),"2017 last chop hands when their own Christmas gift a good headset, this headset is also just out soon, is not afraid of what is refurbished, but the headphone cable heads have a lot of dust, maybe it is not showing machine, but paraelectric quality is sti"&amp;"ll possible, trustworthy, five-star praise")</f>
        <v>2017 last chop hands when their own Christmas gift a good headset, this headset is also just out soon, is not afraid of what is refurbished, but the headphone cable heads have a lot of dust, maybe it is not showing machine, but paraelectric quality is still possible, trustworthy, five-star praise</v>
      </c>
    </row>
    <row r="14812">
      <c r="A14812" s="1">
        <v>5.0</v>
      </c>
      <c r="B14812" s="1" t="s">
        <v>14652</v>
      </c>
      <c r="C14812" t="str">
        <f>IFERROR(__xludf.DUMMYFUNCTION("GOOGLETRANSLATE(B14812, ""zh"", ""en"")"),"Satisfaction is very good, the store price of 2000 +")</f>
        <v>Satisfaction is very good, the store price of 2000 +</v>
      </c>
    </row>
    <row r="14813">
      <c r="A14813" s="1">
        <v>5.0</v>
      </c>
      <c r="B14813" s="1" t="s">
        <v>14653</v>
      </c>
      <c r="C14813" t="str">
        <f>IFERROR(__xludf.DUMMYFUNCTION("GOOGLETRANSLATE(B14813, ""zh"", ""en"")"),"Great, shooting stick with the product is really a sub-price goods, better goods are not cheap ah!")</f>
        <v>Great, shooting stick with the product is really a sub-price goods, better goods are not cheap ah!</v>
      </c>
    </row>
    <row r="14814">
      <c r="A14814" s="1">
        <v>5.0</v>
      </c>
      <c r="B14814" s="1" t="s">
        <v>14654</v>
      </c>
      <c r="C14814" t="str">
        <f>IFERROR(__xludf.DUMMYFUNCTION("GOOGLETRANSLATE(B14814, ""zh"", ""en"")"),"Good bottle! Give the child a gift, the amount sufficient insulation effect 👍")</f>
        <v>Good bottle! Give the child a gift, the amount sufficient insulation effect 👍</v>
      </c>
    </row>
    <row r="14815">
      <c r="A14815" s="1">
        <v>5.0</v>
      </c>
      <c r="B14815" s="1" t="s">
        <v>14655</v>
      </c>
      <c r="C14815" t="str">
        <f>IFERROR(__xludf.DUMMYFUNCTION("GOOGLETRANSLATE(B14815, ""zh"", ""en"")"),"Very comfortable very comfortable, fabric with elastic, relatively soft. Upper body is very good. I 170-75Kg 33-30 right size")</f>
        <v>Very comfortable very comfortable, fabric with elastic, relatively soft. Upper body is very good. I 170-75Kg 33-30 right size</v>
      </c>
    </row>
    <row r="14816">
      <c r="A14816" s="1">
        <v>5.0</v>
      </c>
      <c r="B14816" s="1" t="s">
        <v>14656</v>
      </c>
      <c r="C14816" t="str">
        <f>IFERROR(__xludf.DUMMYFUNCTION("GOOGLETRANSLATE(B14816, ""zh"", ""en"")"),"Truly quite small monitor speakers speakers, the sound is quite surging, only satisfied. Logistics Soon, Germany to China 10 days of arrival, exceeded expectations.")</f>
        <v>Truly quite small monitor speakers speakers, the sound is quite surging, only satisfied. Logistics Soon, Germany to China 10 days of arrival, exceeded expectations.</v>
      </c>
    </row>
    <row r="14817">
      <c r="A14817" s="1">
        <v>5.0</v>
      </c>
      <c r="B14817" s="1" t="s">
        <v>14657</v>
      </c>
      <c r="C14817" t="str">
        <f>IFERROR(__xludf.DUMMYFUNCTION("GOOGLETRANSLATE(B14817, ""zh"", ""en"")"),"Not bad! Belt thick, shorter than expected, I suggest that you buy a bigger size")</f>
        <v>Not bad! Belt thick, shorter than expected, I suggest that you buy a bigger size</v>
      </c>
    </row>
    <row r="14818">
      <c r="A14818" s="1">
        <v>5.0</v>
      </c>
      <c r="B14818" s="1" t="s">
        <v>14658</v>
      </c>
      <c r="C14818" t="str">
        <f>IFERROR(__xludf.DUMMYFUNCTION("GOOGLETRANSLATE(B14818, ""zh"", ""en"")"),"Season can be said to be perfect for spring and autumn wear")</f>
        <v>Season can be said to be perfect for spring and autumn wear</v>
      </c>
    </row>
    <row r="14819">
      <c r="A14819" s="1">
        <v>2.0</v>
      </c>
      <c r="B14819" s="1" t="s">
        <v>14659</v>
      </c>
      <c r="C14819" t="str">
        <f>IFERROR(__xludf.DUMMYFUNCTION("GOOGLETRANSLATE(B14819, ""zh"", ""en"")"),"It's bad. The exterior is good. The body is more tiny than other mobile disk. The sliver surface is shining. But quality is not good. The speed is more slow than other mobile disks I have bought before. The one I bought always said can not read source fil"&amp;"es when I first copy files from my pc to it. I think I unlucky to buy a trash one. I am disappointed about the SEAGATE. So I give it only two stars.")</f>
        <v>It's bad. The exterior is good. The body is more tiny than other mobile disk. The sliver surface is shining. But quality is not good. The speed is more slow than other mobile disks I have bought before. The one I bought always said can not read source files when I first copy files from my pc to it. I think I unlucky to buy a trash one. I am disappointed about the SEAGATE. So I give it only two stars.</v>
      </c>
    </row>
    <row r="14820">
      <c r="A14820" s="1">
        <v>3.0</v>
      </c>
      <c r="B14820" s="1" t="s">
        <v>14660</v>
      </c>
      <c r="C14820" t="str">
        <f>IFERROR(__xludf.DUMMYFUNCTION("GOOGLETRANSLATE(B14820, ""zh"", ""en"")"),"Bristles brush too hard too hard, the children do not want to use, noise is also getting bigger, too lazy to back, with the adults, fairly clean brush")</f>
        <v>Bristles brush too hard too hard, the children do not want to use, noise is also getting bigger, too lazy to back, with the adults, fairly clean brush</v>
      </c>
    </row>
    <row r="14821">
      <c r="A14821" s="1">
        <v>3.0</v>
      </c>
      <c r="B14821" s="1" t="s">
        <v>14661</v>
      </c>
      <c r="C14821" t="str">
        <f>IFERROR(__xludf.DUMMYFUNCTION("GOOGLETRANSLATE(B14821, ""zh"", ""en"")"),"Something good, logistics not been using this brand of stuff, very good this price spike. But I do not know why the last downwind is sent over a bag a loaded wrong, even the packaging boxes are not, for fear of the inside of the cartridge is broken, but w"&amp;"ith up to find better.")</f>
        <v>Something good, logistics not been using this brand of stuff, very good this price spike. But I do not know why the last downwind is sent over a bag a loaded wrong, even the packaging boxes are not, for fear of the inside of the cartridge is broken, but with up to find better.</v>
      </c>
    </row>
    <row r="14822">
      <c r="A14822" s="1">
        <v>3.0</v>
      </c>
      <c r="B14822" s="1" t="s">
        <v>14662</v>
      </c>
      <c r="C14822" t="str">
        <f>IFERROR(__xludf.DUMMYFUNCTION("GOOGLETRANSLATE(B14822, ""zh"", ""en"")"),"To what title overall very good shoes, but I do not understand why wearing only a few days inside the toe was worn so vulnerable to it")</f>
        <v>To what title overall very good shoes, but I do not understand why wearing only a few days inside the toe was worn so vulnerable to it</v>
      </c>
    </row>
    <row r="14823">
      <c r="A14823" s="1">
        <v>1.0</v>
      </c>
      <c r="B14823" s="1" t="s">
        <v>14663</v>
      </c>
      <c r="C14823" t="str">
        <f>IFERROR(__xludf.DUMMYFUNCTION("GOOGLETRANSLATE(B14823, ""zh"", ""en"")"),"Not good with the bad, the gap between the brush head design flaws, bristles and the handle is too big, a few days on black")</f>
        <v>Not good with the bad, the gap between the brush head design flaws, bristles and the handle is too big, a few days on black</v>
      </c>
    </row>
    <row r="14824">
      <c r="A14824" s="1">
        <v>1.0</v>
      </c>
      <c r="B14824" s="1" t="s">
        <v>14664</v>
      </c>
      <c r="C14824" t="str">
        <f>IFERROR(__xludf.DUMMYFUNCTION("GOOGLETRANSLATE(B14824, ""zh"", ""en"")"),"Paste the code number is really no problem? Buy 7.5 yards shoes, even as big as my bought from British-style olive green to another place with 8.5, is really no way out")</f>
        <v>Paste the code number is really no problem? Buy 7.5 yards shoes, even as big as my bought from British-style olive green to another place with 8.5, is really no way out</v>
      </c>
    </row>
    <row r="14825">
      <c r="A14825" s="1">
        <v>4.0</v>
      </c>
      <c r="B14825" s="1" t="s">
        <v>14665</v>
      </c>
      <c r="C14825" t="str">
        <f>IFERROR(__xludf.DUMMYFUNCTION("GOOGLETRANSLATE(B14825, ""zh"", ""en"")"),"Good quality filter courier directly with the original packaging, so far away no one packaging tape wrapped around too little, when you receive the goods packaging is broken, there is water. To use more cleaning cartridge before several times, so basicall"&amp;"y there is no leakage of powder. Water quality detected by the detection pen is more than 40, in the country before buying measured out is 70-80, it is quite good. The filtered water Qinglie no smell.")</f>
        <v>Good quality filter courier directly with the original packaging, so far away no one packaging tape wrapped around too little, when you receive the goods packaging is broken, there is water. To use more cleaning cartridge before several times, so basically there is no leakage of powder. Water quality detected by the detection pen is more than 40, in the country before buying measured out is 70-80, it is quite good. The filtered water Qinglie no smell.</v>
      </c>
    </row>
    <row r="14826">
      <c r="A14826" s="1">
        <v>4.0</v>
      </c>
      <c r="B14826" s="1" t="s">
        <v>14666</v>
      </c>
      <c r="C14826" t="str">
        <f>IFERROR(__xludf.DUMMYFUNCTION("GOOGLETRANSLATE(B14826, ""zh"", ""en"")"),"slim straight version is like I am very thin, 17 053 kilograms, 29 pants suitable almost as if tailor tailored the same! Fabric is very hard, it should be tooling positioning, I just bought as work clothes, ha ha ha. Version is slim straight, Slim straigh"&amp;"t trousers no small income, I am very satisfied!")</f>
        <v>slim straight version is like I am very thin, 17 053 kilograms, 29 pants suitable almost as if tailor tailored the same! Fabric is very hard, it should be tooling positioning, I just bought as work clothes, ha ha ha. Version is slim straight, Slim straight trousers no small income, I am very satisfied!</v>
      </c>
    </row>
    <row r="14827">
      <c r="A14827" s="1">
        <v>4.0</v>
      </c>
      <c r="B14827" s="1" t="s">
        <v>14667</v>
      </c>
      <c r="C14827" t="str">
        <f>IFERROR(__xludf.DUMMYFUNCTION("GOOGLETRANSLATE(B14827, ""zh"", ""en"")"),"A little Height 162cm Weight 73 kg election xl a little too large, north of the country are wearing clothes xl code, foreign l if the election is certainly appropriate. Good quality is very thin, no pictures of black color, a little dark gray. Return ship"&amp;"ping is too expensive. So casually Chuan Chuan it")</f>
        <v>A little Height 162cm Weight 73 kg election xl a little too large, north of the country are wearing clothes xl code, foreign l if the election is certainly appropriate. Good quality is very thin, no pictures of black color, a little dark gray. Return shipping is too expensive. So casually Chuan Chuan it</v>
      </c>
    </row>
    <row r="14828">
      <c r="A14828" s="1">
        <v>4.0</v>
      </c>
      <c r="B14828" s="1" t="s">
        <v>14668</v>
      </c>
      <c r="C14828" t="str">
        <f>IFERROR(__xludf.DUMMYFUNCTION("GOOGLETRANSLATE(B14828, ""zh"", ""en"")"),"Gray toothpaste toothpaste ... this ... is this sweet smell a little color ... gray ...")</f>
        <v>Gray toothpaste toothpaste ... this ... is this sweet smell a little color ... gray ...</v>
      </c>
    </row>
    <row r="14829">
      <c r="A14829" s="1">
        <v>5.0</v>
      </c>
      <c r="B14829" s="1" t="s">
        <v>14669</v>
      </c>
      <c r="C14829" t="str">
        <f>IFERROR(__xludf.DUMMYFUNCTION("GOOGLETRANSLATE(B14829, ""zh"", ""en"")"),"Good quality, cost-effective 170,60kg, 30w * 30l waist size appropriate, is slightly longer legs. Soft fabric")</f>
        <v>Good quality, cost-effective 170,60kg, 30w * 30l waist size appropriate, is slightly longer legs. Soft fabric</v>
      </c>
    </row>
    <row r="14830">
      <c r="A14830" s="1">
        <v>5.0</v>
      </c>
      <c r="B14830" s="1" t="s">
        <v>14670</v>
      </c>
      <c r="C14830" t="str">
        <f>IFERROR(__xludf.DUMMYFUNCTION("GOOGLETRANSLATE(B14830, ""zh"", ""en"")"),"I purchased overseas orders placed No. 25, No. 3 did not expect it to friends! French direct mail from the clarks, is my favorite style, good quality, the key is super cheap ah! Like overseas purchase, after scouring the sea it is not ready")</f>
        <v>I purchased overseas orders placed No. 25, No. 3 did not expect it to friends! French direct mail from the clarks, is my favorite style, good quality, the key is super cheap ah! Like overseas purchase, after scouring the sea it is not ready</v>
      </c>
    </row>
    <row r="14831">
      <c r="A14831" s="1">
        <v>5.0</v>
      </c>
      <c r="B14831" s="1" t="s">
        <v>14671</v>
      </c>
      <c r="C14831" t="str">
        <f>IFERROR(__xludf.DUMMYFUNCTION("GOOGLETRANSLATE(B14831, ""zh"", ""en"")"),"Followed by a narrow heel a little bit narrow, the other is good.")</f>
        <v>Followed by a narrow heel a little bit narrow, the other is good.</v>
      </c>
    </row>
    <row r="14832">
      <c r="A14832" s="1">
        <v>5.0</v>
      </c>
      <c r="B14832" s="1" t="s">
        <v>14672</v>
      </c>
      <c r="C14832" t="str">
        <f>IFERROR(__xludf.DUMMYFUNCTION("GOOGLETRANSLATE(B14832, ""zh"", ""en"")"),"Run very quiet quiet operation, better access to the back of the computer a USB cable, and provides an interface directly connected to the motherboard.")</f>
        <v>Run very quiet quiet operation, better access to the back of the computer a USB cable, and provides an interface directly connected to the motherboard.</v>
      </c>
    </row>
    <row r="14833">
      <c r="A14833" s="1">
        <v>5.0</v>
      </c>
      <c r="B14833" s="1" t="s">
        <v>14673</v>
      </c>
      <c r="C14833" t="str">
        <f>IFERROR(__xludf.DUMMYFUNCTION("GOOGLETRANSLATE(B14833, ""zh"", ""en"")"),"Good quality, good plate of good quality, plate is not bad.")</f>
        <v>Good quality, good plate of good quality, plate is not bad.</v>
      </c>
    </row>
    <row r="14834">
      <c r="A14834" s="1">
        <v>5.0</v>
      </c>
      <c r="B14834" s="1" t="s">
        <v>14674</v>
      </c>
      <c r="C14834" t="str">
        <f>IFERROR(__xludf.DUMMYFUNCTION("GOOGLETRANSLATE(B14834, ""zh"", ""en"")"),"Praise praise than 178,146 just right. Lint particularly serious. Overall workmanship and made in China far worse. Like the subject alone could be considered")</f>
        <v>Praise praise than 178,146 just right. Lint particularly serious. Overall workmanship and made in China far worse. Like the subject alone could be considered</v>
      </c>
    </row>
    <row r="14835">
      <c r="A14835" s="1">
        <v>5.0</v>
      </c>
      <c r="B14835" s="1" t="s">
        <v>14675</v>
      </c>
      <c r="C14835" t="str">
        <f>IFERROR(__xludf.DUMMYFUNCTION("GOOGLETRANSLATE(B14835, ""zh"", ""en"")"),"Good good shoes, usually sneakers 42. To reference it")</f>
        <v>Good good shoes, usually sneakers 42. To reference it</v>
      </c>
    </row>
    <row r="14836">
      <c r="A14836" s="1">
        <v>5.0</v>
      </c>
      <c r="B14836" s="1" t="s">
        <v>14676</v>
      </c>
      <c r="C14836" t="str">
        <f>IFERROR(__xludf.DUMMYFUNCTION("GOOGLETRANSLATE(B14836, ""zh"", ""en"")"),"ck always, good quality, comfortable to wear, worth having")</f>
        <v>ck always, good quality, comfortable to wear, worth having</v>
      </c>
    </row>
    <row r="14837">
      <c r="A14837" s="1">
        <v>5.0</v>
      </c>
      <c r="B14837" s="1" t="s">
        <v>14677</v>
      </c>
      <c r="C14837" t="str">
        <f>IFERROR(__xludf.DUMMYFUNCTION("GOOGLETRANSLATE(B14837, ""zh"", ""en"")"),"This relatively satisfied with the price coming to an end this resolve the basic low-frequency texture good elastic certain amount of sound field is relatively closed not bad overall comparison, peaceful sound does not stain neither cold nor warm instrume"&amp;"ntal outstanding drawback is wearing a little ear clip ear cartilage prominent place to the top ear to the inside part of a long hard wear a little uncomfortable")</f>
        <v>This relatively satisfied with the price coming to an end this resolve the basic low-frequency texture good elastic certain amount of sound field is relatively closed not bad overall comparison, peaceful sound does not stain neither cold nor warm instrumental outstanding drawback is wearing a little ear clip ear cartilage prominent place to the top ear to the inside part of a long hard wear a little uncomfortable</v>
      </c>
    </row>
    <row r="14838">
      <c r="A14838" s="1">
        <v>5.0</v>
      </c>
      <c r="B14838" s="1" t="s">
        <v>14678</v>
      </c>
      <c r="C14838" t="str">
        <f>IFERROR(__xludf.DUMMYFUNCTION("GOOGLETRANSLATE(B14838, ""zh"", ""en"")"),"Very nice, brisk enough. Took nearly a month, I feel pretty good, that is, the pointer will sometimes block the digital display.")</f>
        <v>Very nice, brisk enough. Took nearly a month, I feel pretty good, that is, the pointer will sometimes block the digital display.</v>
      </c>
    </row>
    <row r="14839">
      <c r="A14839" s="1">
        <v>5.0</v>
      </c>
      <c r="B14839" s="1" t="s">
        <v>14679</v>
      </c>
      <c r="C14839" t="str">
        <f>IFERROR(__xludf.DUMMYFUNCTION("GOOGLETRANSLATE(B14839, ""zh"", ""en"")"),"Very comfortable pants've always liked this brand, very comfortable, but also to buy")</f>
        <v>Very comfortable pants've always liked this brand, very comfortable, but also to buy</v>
      </c>
    </row>
    <row r="14840">
      <c r="A14840" s="1">
        <v>5.0</v>
      </c>
      <c r="B14840" s="1" t="s">
        <v>14680</v>
      </c>
      <c r="C14840" t="str">
        <f>IFERROR(__xludf.DUMMYFUNCTION("GOOGLETRANSLATE(B14840, ""zh"", ""en"")"),"Yes, with a very comfortable feeling good, feeling very comfortable with")</f>
        <v>Yes, with a very comfortable feeling good, feeling very comfortable with</v>
      </c>
    </row>
    <row r="14841">
      <c r="A14841" s="1">
        <v>5.0</v>
      </c>
      <c r="B14841" s="1" t="s">
        <v>14681</v>
      </c>
      <c r="C14841" t="str">
        <f>IFERROR(__xludf.DUMMYFUNCTION("GOOGLETRANSLATE(B14841, ""zh"", ""en"")"),"35.5 yards feet may also be to buy 36 yards appropriate, weight may be worn, the buckle may be adjusted")</f>
        <v>35.5 yards feet may also be to buy 36 yards appropriate, weight may be worn, the buckle may be adjusted</v>
      </c>
    </row>
    <row r="14842">
      <c r="A14842" s="1">
        <v>5.0</v>
      </c>
      <c r="B14842" s="1" t="s">
        <v>14682</v>
      </c>
      <c r="C14842" t="str">
        <f>IFERROR(__xludf.DUMMYFUNCTION("GOOGLETRANSLATE(B14842, ""zh"", ""en"")"),"Zojirushi good stew beaker, mug would be worse than the insulation effect of the same capacity, but the mouth is so big, it could do that insulation has been very good.")</f>
        <v>Zojirushi good stew beaker, mug would be worse than the insulation effect of the same capacity, but the mouth is so big, it could do that insulation has been very good.</v>
      </c>
    </row>
    <row r="14843">
      <c r="A14843" s="1">
        <v>5.0</v>
      </c>
      <c r="B14843" s="1" t="s">
        <v>14683</v>
      </c>
      <c r="C14843" t="str">
        <f>IFERROR(__xludf.DUMMYFUNCTION("GOOGLETRANSLATE(B14843, ""zh"", ""en"")"),"Suitable ha, great, the small pile, is not thick section, 168,54kg, buy s / m, as a suitable model for reference.")</f>
        <v>Suitable ha, great, the small pile, is not thick section, 168,54kg, buy s / m, as a suitable model for reference.</v>
      </c>
    </row>
    <row r="14844">
      <c r="A14844" s="1">
        <v>5.0</v>
      </c>
      <c r="B14844" s="1" t="s">
        <v>14684</v>
      </c>
      <c r="C14844" t="str">
        <f>IFERROR(__xludf.DUMMYFUNCTION("GOOGLETRANSLATE(B14844, ""zh"", ""en"")"),"Okay the price is right, okay")</f>
        <v>Okay the price is right, okay</v>
      </c>
    </row>
    <row r="14845">
      <c r="A14845" s="1">
        <v>5.0</v>
      </c>
      <c r="B14845" s="1" t="s">
        <v>14685</v>
      </c>
      <c r="C14845" t="str">
        <f>IFERROR(__xludf.DUMMYFUNCTION("GOOGLETRANSLATE(B14845, ""zh"", ""en"")"),"Comfortable to wear, but sent a widened section selected regular edition, sent a widened version, comfortable but not so fat Asian feet. But good customer service attitude, called to fold on fold, we all save trouble. Hope that shipped carefully check, th"&amp;"ank you.")</f>
        <v>Comfortable to wear, but sent a widened section selected regular edition, sent a widened version, comfortable but not so fat Asian feet. But good customer service attitude, called to fold on fold, we all save trouble. Hope that shipped carefully check, thank you.</v>
      </c>
    </row>
    <row r="14846">
      <c r="A14846" s="1">
        <v>5.0</v>
      </c>
      <c r="B14846" s="1" t="s">
        <v>14686</v>
      </c>
      <c r="C14846" t="str">
        <f>IFERROR(__xludf.DUMMYFUNCTION("GOOGLETRANSLATE(B14846, ""zh"", ""en"")"),"The best Di jar with useful, Germany design is really convenient and reasonable. When the switch is some taste. Ground meat if the meat and tendons sometimes difficult to wash.")</f>
        <v>The best Di jar with useful, Germany design is really convenient and reasonable. When the switch is some taste. Ground meat if the meat and tendons sometimes difficult to wash.</v>
      </c>
    </row>
    <row r="14847">
      <c r="A14847" s="1">
        <v>5.0</v>
      </c>
      <c r="B14847" s="1" t="s">
        <v>14687</v>
      </c>
      <c r="C14847" t="str">
        <f>IFERROR(__xludf.DUMMYFUNCTION("GOOGLETRANSLATE(B14847, ""zh"", ""en"")"),"Replace a smaller size clothes very good! Is a big number, XL. Could the smaller size? Thank you")</f>
        <v>Replace a smaller size clothes very good! Is a big number, XL. Could the smaller size? Thank you</v>
      </c>
    </row>
    <row r="14848">
      <c r="A14848" s="1">
        <v>5.0</v>
      </c>
      <c r="B14848" s="1" t="s">
        <v>14688</v>
      </c>
      <c r="C14848" t="str">
        <f>IFERROR(__xludf.DUMMYFUNCTION("GOOGLETRANSLATE(B14848, ""zh"", ""en"")"),"It took satisfaction measured through water, but very satisfied")</f>
        <v>It took satisfaction measured through water, but very satisfied</v>
      </c>
    </row>
    <row r="14849">
      <c r="A14849" s="1">
        <v>5.0</v>
      </c>
      <c r="B14849" s="1" t="s">
        <v>14689</v>
      </c>
      <c r="C14849" t="str">
        <f>IFERROR(__xludf.DUMMYFUNCTION("GOOGLETRANSLATE(B14849, ""zh"", ""en"")"),"Belt fine point for me in this belt also make a hole")</f>
        <v>Belt fine point for me in this belt also make a hole</v>
      </c>
    </row>
    <row r="14850">
      <c r="A14850" s="1">
        <v>5.0</v>
      </c>
      <c r="B14850" s="1" t="s">
        <v>14690</v>
      </c>
      <c r="C14850" t="str">
        <f>IFERROR(__xludf.DUMMYFUNCTION("GOOGLETRANSLATE(B14850, ""zh"", ""en"")"),"Very good very small. Hand is not tired, still looks very fine workmanship. Although not wash before buying this for more tangled, in fact, quite a good cleaning. No December 7 orders, 9 shipments, No. 11 clearance process ends (do not know why No. 12 als"&amp;"o showed that the clearance process, then end clearance processing) No. 12 post postal, No. 13 pay distributors to close 14 pm to. A total of seven days, five days. There are a large lump of grease on the box do not know how it ... 9 thinnest file translu"&amp;"cent pressed out, do wonton skin without pressure.")</f>
        <v>Very good very small. Hand is not tired, still looks very fine workmanship. Although not wash before buying this for more tangled, in fact, quite a good cleaning. No December 7 orders, 9 shipments, No. 11 clearance process ends (do not know why No. 12 also showed that the clearance process, then end clearance processing) No. 12 post postal, No. 13 pay distributors to close 14 pm to. A total of seven days, five days. There are a large lump of grease on the box do not know how it ... 9 thinnest file translucent pressed out, do wonton skin without pressure.</v>
      </c>
    </row>
    <row r="14851">
      <c r="A14851" s="1">
        <v>2.0</v>
      </c>
      <c r="B14851" s="1" t="s">
        <v>14691</v>
      </c>
      <c r="C14851" t="str">
        <f>IFERROR(__xludf.DUMMYFUNCTION("GOOGLETRANSLATE(B14851, ""zh"", ""en"")"),"Particularly thin thin, and as T-shirts. No sweater texture, which is not the kind of thread texture. Very general, work can be, after all, the Japanese version.")</f>
        <v>Particularly thin thin, and as T-shirts. No sweater texture, which is not the kind of thread texture. Very general, work can be, after all, the Japanese version.</v>
      </c>
    </row>
    <row r="14852">
      <c r="A14852" s="1">
        <v>3.0</v>
      </c>
      <c r="B14852" s="1" t="s">
        <v>14692</v>
      </c>
      <c r="C14852" t="str">
        <f>IFERROR(__xludf.DUMMYFUNCTION("GOOGLETRANSLATE(B14852, ""zh"", ""en"")"),"Cap the bottle more than the middle layer of the Hong Kong and Shenzhen supermarkets and supermarket that is not the same, inside the cover inside out, see pictures, I do not know whether to improve leak-proof models, but it really does not look good.")</f>
        <v>Cap the bottle more than the middle layer of the Hong Kong and Shenzhen supermarkets and supermarket that is not the same, inside the cover inside out, see pictures, I do not know whether to improve leak-proof models, but it really does not look good.</v>
      </c>
    </row>
    <row r="14853">
      <c r="A14853" s="1">
        <v>3.0</v>
      </c>
      <c r="B14853" s="1" t="s">
        <v>14693</v>
      </c>
      <c r="C14853" t="str">
        <f>IFERROR(__xludf.DUMMYFUNCTION("GOOGLETRANSLATE(B14853, ""zh"", ""en"")"),"Make do wear okay, I had wanted to start with black, the result of the time to buy stock. And other autumn buy it. Number or too small, fat legs, or the right to buy than they usually wear freshman code.")</f>
        <v>Make do wear okay, I had wanted to start with black, the result of the time to buy stock. And other autumn buy it. Number or too small, fat legs, or the right to buy than they usually wear freshman code.</v>
      </c>
    </row>
    <row r="14854">
      <c r="A14854" s="1">
        <v>1.0</v>
      </c>
      <c r="B14854" s="1" t="s">
        <v>14694</v>
      </c>
      <c r="C14854" t="str">
        <f>IFERROR(__xludf.DUMMYFUNCTION("GOOGLETRANSLATE(B14854, ""zh"", ""en"")"),"Do not buy uncomfortable to wear, wearing really uncomfortable, that there is a ass in the joint, has been run to the middle")</f>
        <v>Do not buy uncomfortable to wear, wearing really uncomfortable, that there is a ass in the joint, has been run to the middle</v>
      </c>
    </row>
    <row r="14855">
      <c r="A14855" s="1">
        <v>1.0</v>
      </c>
      <c r="B14855" s="1" t="s">
        <v>14695</v>
      </c>
      <c r="C14855" t="str">
        <f>IFERROR(__xludf.DUMMYFUNCTION("GOOGLETRANSLATE(B14855, ""zh"", ""en"")"),"Poor quality junk like quality ...... ...... return received on the broken back for a year")</f>
        <v>Poor quality junk like quality ...... ...... return received on the broken back for a year</v>
      </c>
    </row>
    <row r="14856">
      <c r="A14856" s="1">
        <v>1.0</v>
      </c>
      <c r="B14856" s="1" t="s">
        <v>14696</v>
      </c>
      <c r="C14856" t="str">
        <f>IFERROR(__xludf.DUMMYFUNCTION("GOOGLETRANSLATE(B14856, ""zh"", ""en"")"),"The new unused filter with water droplets is normal? Why does the new filter open the package, the outermost surface of the filter cartridge can be clearly seen a lot of water drops. Buy this kind of filter for several years, and this phenomenon on the sh"&amp;"ipment. I worry about the recovery process after cleaning product used to sell. And not long before there is a filter, filter out of the water very sour.")</f>
        <v>The new unused filter with water droplets is normal? Why does the new filter open the package, the outermost surface of the filter cartridge can be clearly seen a lot of water drops. Buy this kind of filter for several years, and this phenomenon on the shipment. I worry about the recovery process after cleaning product used to sell. And not long before there is a filter, filter out of the water very sour.</v>
      </c>
    </row>
    <row r="14857">
      <c r="A14857" s="1">
        <v>4.0</v>
      </c>
      <c r="B14857" s="1" t="s">
        <v>14697</v>
      </c>
      <c r="C14857" t="str">
        <f>IFERROR(__xludf.DUMMYFUNCTION("GOOGLETRANSLATE(B14857, ""zh"", ""en"")"),"Waist strap tether easily broken long enough, but and thin. Belt wear on the first day of off-line, is now completely worn-out")</f>
        <v>Waist strap tether easily broken long enough, but and thin. Belt wear on the first day of off-line, is now completely worn-out</v>
      </c>
    </row>
    <row r="14858">
      <c r="A14858" s="1">
        <v>4.0</v>
      </c>
      <c r="B14858" s="1" t="s">
        <v>14698</v>
      </c>
      <c r="C14858" t="str">
        <f>IFERROR(__xludf.DUMMYFUNCTION("GOOGLETRANSLATE(B14858, ""zh"", ""en"")"),"Fat thinner than imagined, quite large")</f>
        <v>Fat thinner than imagined, quite large</v>
      </c>
    </row>
    <row r="14859">
      <c r="A14859" s="1">
        <v>4.0</v>
      </c>
      <c r="B14859" s="1" t="s">
        <v>14699</v>
      </c>
      <c r="C14859" t="str">
        <f>IFERROR(__xludf.DUMMYFUNCTION("GOOGLETRANSLATE(B14859, ""zh"", ""en"")"),"Okay the goods received and pictures online is not the same, ask the merchant, did not answer.")</f>
        <v>Okay the goods received and pictures online is not the same, ask the merchant, did not answer.</v>
      </c>
    </row>
    <row r="14860">
      <c r="A14860" s="1">
        <v>4.0</v>
      </c>
      <c r="B14860" s="1" t="s">
        <v>14700</v>
      </c>
      <c r="C14860" t="str">
        <f>IFERROR(__xludf.DUMMYFUNCTION("GOOGLETRANSLATE(B14860, ""zh"", ""en"")"),"Dema dress sleeves too long. Not particularly fat people really small enough, this dress can not pull up the zipper to sports, like polo shirt pulling off the same. Quite long sleeves, to be altered.")</f>
        <v>Dema dress sleeves too long. Not particularly fat people really small enough, this dress can not pull up the zipper to sports, like polo shirt pulling off the same. Quite long sleeves, to be altered.</v>
      </c>
    </row>
    <row r="14861">
      <c r="A14861" s="1">
        <v>4.0</v>
      </c>
      <c r="B14861" s="1" t="s">
        <v>14701</v>
      </c>
      <c r="C14861" t="str">
        <f>IFERROR(__xludf.DUMMYFUNCTION("GOOGLETRANSLATE(B14861, ""zh"", ""en"")"),"Very wild wild belt belt, looks very retro nostalgia, work in general. Generally acceptable.")</f>
        <v>Very wild wild belt belt, looks very retro nostalgia, work in general. Generally acceptable.</v>
      </c>
    </row>
    <row r="14862">
      <c r="A14862" s="1">
        <v>5.0</v>
      </c>
      <c r="B14862" s="1" t="s">
        <v>14702</v>
      </c>
      <c r="C14862" t="str">
        <f>IFERROR(__xludf.DUMMYFUNCTION("GOOGLETRANSLATE(B14862, ""zh"", ""en"")"),"Trusted Philips brand. Packaging can reassure customers, difficult to damage. Housing and infrared lamps trustworthy!")</f>
        <v>Trusted Philips brand. Packaging can reassure customers, difficult to damage. Housing and infrared lamps trustworthy!</v>
      </c>
    </row>
    <row r="14863">
      <c r="A14863" s="1">
        <v>5.0</v>
      </c>
      <c r="B14863" s="1" t="s">
        <v>14703</v>
      </c>
      <c r="C14863" t="str">
        <f>IFERROR(__xludf.DUMMYFUNCTION("GOOGLETRANSLATE(B14863, ""zh"", ""en"")"),"Satisfaction very good! To help a friend buy, she liked 😊")</f>
        <v>Satisfaction very good! To help a friend buy, she liked 😊</v>
      </c>
    </row>
    <row r="14864">
      <c r="A14864" s="1">
        <v>5.0</v>
      </c>
      <c r="B14864" s="1" t="s">
        <v>14704</v>
      </c>
      <c r="C14864" t="str">
        <f>IFERROR(__xludf.DUMMYFUNCTION("GOOGLETRANSLATE(B14864, ""zh"", ""en"")"),"Very easy to use, high value color I am happy with this thing, very useful for me to clean my teeth, I do not know what I buy is not self-employed, but are primes free mail, but I believe it is genuine, the use of transformer is too much trouble but this "&amp;"factor can not comment on his good or bad, because after all, is the US version, more than 300 dollars to buy the very values, like, color value is also high, do not want to fail like")</f>
        <v>Very easy to use, high value color I am happy with this thing, very useful for me to clean my teeth, I do not know what I buy is not self-employed, but are primes free mail, but I believe it is genuine, the use of transformer is too much trouble but this factor can not comment on his good or bad, because after all, is the US version, more than 300 dollars to buy the very values, like, color value is also high, do not want to fail like</v>
      </c>
    </row>
    <row r="14865">
      <c r="A14865" s="1">
        <v>5.0</v>
      </c>
      <c r="B14865" s="1" t="s">
        <v>14705</v>
      </c>
      <c r="C14865" t="str">
        <f>IFERROR(__xludf.DUMMYFUNCTION("GOOGLETRANSLATE(B14865, ""zh"", ""en"")"),"Really really cheaper than domestic goods cheaper. worth buying.")</f>
        <v>Really really cheaper than domestic goods cheaper. worth buying.</v>
      </c>
    </row>
    <row r="14866">
      <c r="A14866" s="1">
        <v>5.0</v>
      </c>
      <c r="B14866" s="1" t="s">
        <v>14706</v>
      </c>
      <c r="C14866" t="str">
        <f>IFERROR(__xludf.DUMMYFUNCTION("GOOGLETRANSLATE(B14866, ""zh"", ""en"")"),"Useful volume of the large brush head, with a good feeling")</f>
        <v>Useful volume of the large brush head, with a good feeling</v>
      </c>
    </row>
    <row r="14867">
      <c r="A14867" s="1">
        <v>5.0</v>
      </c>
      <c r="B14867" s="1" t="s">
        <v>14707</v>
      </c>
      <c r="C14867" t="str">
        <f>IFERROR(__xludf.DUMMYFUNCTION("GOOGLETRANSLATE(B14867, ""zh"", ""en"")"),"Real detail-rich sound quality with this every day for half an hour listening to the song watching videos is also very good detail-rich real. And slightly more comfortable to wear ear clip. Appearance is good.")</f>
        <v>Real detail-rich sound quality with this every day for half an hour listening to the song watching videos is also very good detail-rich real. And slightly more comfortable to wear ear clip. Appearance is good.</v>
      </c>
    </row>
    <row r="14868">
      <c r="A14868" s="1">
        <v>5.0</v>
      </c>
      <c r="B14868" s="1" t="s">
        <v>14708</v>
      </c>
      <c r="C14868" t="str">
        <f>IFERROR(__xludf.DUMMYFUNCTION("GOOGLETRANSLATE(B14868, ""zh"", ""en"")"),"Very good very good mobile hard disk, quality is good, particularly fast delivery, particularly affordable price, cheaper than other mall, very good shopping experience")</f>
        <v>Very good very good mobile hard disk, quality is good, particularly fast delivery, particularly affordable price, cheaper than other mall, very good shopping experience</v>
      </c>
    </row>
    <row r="14869">
      <c r="A14869" s="1">
        <v>5.0</v>
      </c>
      <c r="B14869" s="1" t="s">
        <v>14709</v>
      </c>
      <c r="C14869" t="str">
        <f>IFERROR(__xludf.DUMMYFUNCTION("GOOGLETRANSLATE(B14869, ""zh"", ""en"")"),"Good just started a little pressure foot, back just fine")</f>
        <v>Good just started a little pressure foot, back just fine</v>
      </c>
    </row>
    <row r="14870">
      <c r="A14870" s="1">
        <v>5.0</v>
      </c>
      <c r="B14870" s="1" t="s">
        <v>14710</v>
      </c>
      <c r="C14870" t="str">
        <f>IFERROR(__xludf.DUMMYFUNCTION("GOOGLETRANSLATE(B14870, ""zh"", ""en"")"),"Soft and comfortable next to the skin soft and comfortable next to the skin, breathe freely.")</f>
        <v>Soft and comfortable next to the skin soft and comfortable next to the skin, breathe freely.</v>
      </c>
    </row>
    <row r="14871">
      <c r="A14871" s="1">
        <v>5.0</v>
      </c>
      <c r="B14871" s="1" t="s">
        <v>14711</v>
      </c>
      <c r="C14871" t="str">
        <f>IFERROR(__xludf.DUMMYFUNCTION("GOOGLETRANSLATE(B14871, ""zh"", ""en"")"),"Suitable, comfortable. 38.5 feet, 5.5uk very appropriate, very comfortable to wear, comfortable to walk on foot. After that dirty hard to take care of, who would take care of it? Ooo, ooo ...")</f>
        <v>Suitable, comfortable. 38.5 feet, 5.5uk very appropriate, very comfortable to wear, comfortable to walk on foot. After that dirty hard to take care of, who would take care of it? Ooo, ooo ...</v>
      </c>
    </row>
    <row r="14872">
      <c r="A14872" s="1">
        <v>5.0</v>
      </c>
      <c r="B14872" s="1" t="s">
        <v>14712</v>
      </c>
      <c r="C14872" t="str">
        <f>IFERROR(__xludf.DUMMYFUNCTION("GOOGLETRANSLATE(B14872, ""zh"", ""en"")"),"Clean dishes in line with the promotion of goods, the future will again patronize.")</f>
        <v>Clean dishes in line with the promotion of goods, the future will again patronize.</v>
      </c>
    </row>
    <row r="14873">
      <c r="A14873" s="1">
        <v>5.0</v>
      </c>
      <c r="B14873" s="1" t="s">
        <v>14713</v>
      </c>
      <c r="C14873" t="str">
        <f>IFERROR(__xludf.DUMMYFUNCTION("GOOGLETRANSLATE(B14873, ""zh"", ""en"")"),"Amazon is really too much to force the headset to force, quality prices were more than I expected, the price spike even 999, checked all the shops in the lowest price, decisive shot, Amazon to force too, has now tend to buy things here.")</f>
        <v>Amazon is really too much to force the headset to force, quality prices were more than I expected, the price spike even 999, checked all the shops in the lowest price, decisive shot, Amazon to force too, has now tend to buy things here.</v>
      </c>
    </row>
    <row r="14874">
      <c r="A14874" s="1">
        <v>5.0</v>
      </c>
      <c r="B14874" s="1" t="s">
        <v>14714</v>
      </c>
      <c r="C14874" t="str">
        <f>IFERROR(__xludf.DUMMYFUNCTION("GOOGLETRANSLATE(B14874, ""zh"", ""en"")"),"Shuai fried very easy to use, ultra-high lattice! Handsome fried!")</f>
        <v>Shuai fried very easy to use, ultra-high lattice! Handsome fried!</v>
      </c>
    </row>
    <row r="14875">
      <c r="A14875" s="1">
        <v>5.0</v>
      </c>
      <c r="B14875" s="1" t="s">
        <v>14715</v>
      </c>
      <c r="C14875" t="str">
        <f>IFERROR(__xludf.DUMMYFUNCTION("GOOGLETRANSLATE(B14875, ""zh"", ""en"")"),"Very good very good, the right size, in fact, is almost too large one yard.")</f>
        <v>Very good very good, the right size, in fact, is almost too large one yard.</v>
      </c>
    </row>
    <row r="14876">
      <c r="A14876" s="1">
        <v>5.0</v>
      </c>
      <c r="B14876" s="1" t="s">
        <v>14716</v>
      </c>
      <c r="C14876" t="str">
        <f>IFERROR(__xludf.DUMMYFUNCTION("GOOGLETRANSLATE(B14876, ""zh"", ""en"")"),"I love my shoes ASICS Jingdong and Lynx supermarket, bought a pair respectively by the United States mail, ASICS Men's Gel-Venture 5 running shoes, good quality. The Amazon has bought a pair of mailing by the United States, ASICS Men's Gel-Venture 6 runni"&amp;"ng shoes, very comfortable to wear, I like ASICS shoes, now a total of six pairs.")</f>
        <v>I love my shoes ASICS Jingdong and Lynx supermarket, bought a pair respectively by the United States mail, ASICS Men's Gel-Venture 5 running shoes, good quality. The Amazon has bought a pair of mailing by the United States, ASICS Men's Gel-Venture 6 running shoes, very comfortable to wear, I like ASICS shoes, now a total of six pairs.</v>
      </c>
    </row>
    <row r="14877">
      <c r="A14877" s="1">
        <v>5.0</v>
      </c>
      <c r="B14877" s="1" t="s">
        <v>14717</v>
      </c>
      <c r="C14877" t="str">
        <f>IFERROR(__xludf.DUMMYFUNCTION("GOOGLETRANSLATE(B14877, ""zh"", ""en"")"),"Amazon trustworthy. &lt;Div id = ""video-block-R3QZTY9JOUKWFR"" class = ""a-section a-spacing-small a-spacing-top-mini video-block""&gt; &lt;/ div&gt; &lt;input type = ""hidden"" name = """" value = ""https://images-cn.ssl-images-amazon.com/images/I/91EnzzFlCZS.mp4"" cl"&amp;"ass = ""video-url""&gt; &lt;input type = ""hidden"" name = """" value = ""https: //images-cn.ssl-images-amazon.com/images/I/81crRgReScS.png ""class ="" video-slate-img-url ""&gt; &amp; nbsp; to wear very comfortable, cost-effective, cheaper than Taobao and Jingdong a "&amp;"lot of. Classic shoes worth having.")</f>
        <v>Amazon trustworthy. &lt;Div id = "video-block-R3QZTY9JOUKWFR" class = "a-section a-spacing-small a-spacing-top-mini video-block"&gt; &lt;/ div&gt; &lt;input type = "hidden" name = "" value = "https://images-cn.ssl-images-amazon.com/images/I/91EnzzFlCZS.mp4" class = "video-url"&gt; &lt;input type = "hidden" name = "" value = "https: //images-cn.ssl-images-amazon.com/images/I/81crRgReScS.png "class =" video-slate-img-url "&gt; &amp; nbsp; to wear very comfortable, cost-effective, cheaper than Taobao and Jingdong a lot of. Classic shoes worth having.</v>
      </c>
    </row>
    <row r="14878">
      <c r="A14878" s="1">
        <v>5.0</v>
      </c>
      <c r="B14878" s="1" t="s">
        <v>14718</v>
      </c>
      <c r="C14878" t="str">
        <f>IFERROR(__xludf.DUMMYFUNCTION("GOOGLETRANSLATE(B14878, ""zh"", ""en"")"),"nice material a little hard, but quite the other hand type. 82cm waist 32L fit.")</f>
        <v>nice material a little hard, but quite the other hand type. 82cm waist 32L fit.</v>
      </c>
    </row>
    <row r="14879">
      <c r="A14879" s="1">
        <v>5.0</v>
      </c>
      <c r="B14879" s="1" t="s">
        <v>14719</v>
      </c>
      <c r="C14879" t="str">
        <f>IFERROR(__xludf.DUMMYFUNCTION("GOOGLETRANSLATE(B14879, ""zh"", ""en"")"),"Slightly larger head circumference can choose to purchase overseas, for the domestic specification is inappropriate better experience")</f>
        <v>Slightly larger head circumference can choose to purchase overseas, for the domestic specification is inappropriate better experience</v>
      </c>
    </row>
    <row r="14880">
      <c r="A14880" s="1">
        <v>5.0</v>
      </c>
      <c r="B14880" s="1" t="s">
        <v>14720</v>
      </c>
      <c r="C14880" t="str">
        <f>IFERROR(__xludf.DUMMYFUNCTION("GOOGLETRANSLATE(B14880, ""zh"", ""en"")"),"Yan good value online, they are worthy of the lift rod fitted with good water pressure up really comfortable Dayong")</f>
        <v>Yan good value online, they are worthy of the lift rod fitted with good water pressure up really comfortable Dayong</v>
      </c>
    </row>
    <row r="14881">
      <c r="A14881" s="1">
        <v>5.0</v>
      </c>
      <c r="B14881" s="1" t="s">
        <v>14721</v>
      </c>
      <c r="C14881" t="str">
        <f>IFERROR(__xludf.DUMMYFUNCTION("GOOGLETRANSLATE(B14881, ""zh"", ""en"")"),"Rapidly improve the quality of life health artifact &lt;div id = ""video-block-R10MQWA02DID2X"" class = ""a-section a-spacing-small a-spacing-top-mini video-block""&gt; &lt;div tabindex = ""0"" class = ""airy airy-svg vmin-unsupported airy-skin-beacon"" style = """&amp;"background-color: rgb (0, 0, 0); position: relative; width: 100%; height: 100%; font-size: 0px; overflow: hidden; outline: none; ""&gt; &lt;div class ="" airy-renderer-container ""style ="" position: relative; height: 100%; width: 100%; ""&gt; &lt;video id ="" 7 ""pr"&amp;"eload ="" auto ""src ="" https://images-cn.ssl-images-amazon.com/images/I/91PbTlfegJS.mp4 ""style ="" position: absolute; left: 0px; top: 0px; overflow: hidden; height: 1px; width: 1px; ""&gt; &lt;/ video&gt; &lt;/ div&gt; &lt;div id ="" airy-slate-preload ""style ="" back"&amp;"ground-color: rgb (0, 0, 0); background-image: url (&amp; quot ; https: //images-cn.ssl-images-amazon.com/images/I/81xT0PUxSkS.png&amp;quot;); background-size: contain; background-position: center center; background-repeat: no-repeat; position: absolute; top: 0px"&amp;"; left: 0px; visibility: visible; width: 100%; height: 100%; "" &gt; &lt;/ Div&gt; &lt;iframe scrolling = ""no"" frameborder = ""0"" src = ""about: blank"" style = ""display: none;""&gt; &lt;/ iframe&gt; &lt;div tabindex = ""- 1"" class = ""airy- controls-container ""style ="" o"&amp;"pacity: 0; visibility: hidden; ""&gt; &lt;div tabindex ="" - 1 ""class ="" airy-screen-size-toggle airy-fullscreen ""&gt; &lt;/ div&gt; &lt;div tabindex ="" - 1 ""class ="" airy-container-bottom ""&gt; &lt;div tabindex ="" - 1 ""class ="" airy-track-bar-spacer-left ""style ="" w"&amp;"idth: 11px; ""&gt; &lt;/ div&gt; &lt;div tabindex = ""-1"" class = ""airy-play-toggle airy-play"" style = ""width: 12px; margin-right: 12px;""&gt; &lt;/ div&gt; &lt;div tabindex = ""- 1"" class = ""airy-audio- elements ""style ="" float: right; width: 34px; ""&gt; &lt;div tabindex ="""&amp;" - 1 ""class ="" airy-audio-toggle airy-on ""&gt; &lt;/ div&gt; &lt;div tabindex ="" - 1 ""class = ""airy-audio-container"" style = ""opacity: 0; visibility: hidden;""&gt; &lt;div tabindex = ""- 1"" class = ""airy-audio-track-bar"" style = ""height: 80%;""&gt; &lt; div tabindex "&amp;"= ""- 1"" class = ""airy-audio-scrubber-bar"" style = ""height: 85%;""&gt; &lt;/ div&gt; &lt;div tabindex = ""- 1"" class = ""airy-audio-scrubber"" style = ""height: 12px; bottom: 85%;""&gt; &lt;/ div&gt; &lt;/ div&gt; &lt;/ div&gt; &lt;/ div&gt; &lt;div tabindex = ""- 1"" class = ""a iry-duratio"&amp;"n-label ""style ="" float: right; width: 26px; margin-right: 4px; text-align: center; ""&gt; 0:10 &lt;/ div&gt; &lt;div tabindex ="" - 1 ""class ="" airy -track-bar-spacer-right ""style ="" float: right; width: 11px; ""&gt; &lt;/ div&gt; &lt;div tabindex ="" - 1 ""class ="" airy"&amp;"-track-bar-container ""style ="" margin- left: 35px; margin-right: 75px; ""&gt; &lt;div tabindex ="" - 1 ""class ="" airy-track-bar airy-vertical-centering-table ""&gt; &lt;div tabindex ="" - 1 ""class ="" airy- vertical-centering-table-cell ""&gt; &lt;div tabindex ="" - 1"&amp;" ""class ="" airy-track-bar-elements ""&gt; &lt;div tabindex ="" - 1 ""class ="" airy-progress-bar ""style ="" width : 12.7898%; ""&gt; &lt;/ div&gt; &lt;div tabindex ="" - 1 ""class ="" airy-scrubber-bar ""&gt; &lt;/ div&gt; &lt;div tabindex ="" - 1 ""class ="" airy-scrubber ""&gt; &lt;div"&amp;" tabindex = ""- 1"" class = ""airy-scrubber-icon""&gt; &lt;/ div&gt; &lt;div tabindex = ""- 1"" class = ""airy-adjusted-aui-tooltip"" style = ""opacity: 0; visibility: hidden; ""&gt; &lt;div tabindex ="" - 1 ""class ="" airy-adjusted-aui-tooltip-inner ""&gt; &lt;div tabindex ="""&amp;" - 1 ""class ="" airy-current-time-label ""&gt; 0:00 &lt;/ div &gt; &lt;/ div&gt; &lt;div tabindex = ""- 1"" class = ""airy-adjusted-aui-arrow-border""&gt; &lt;div tabindex = ""- 1"" class = ""airy-adjusted-aui-arrow""&gt; &lt;/ div&gt; &lt;/ div&gt; &lt;/ div&gt; &lt;/ div&gt; &lt;/ div&gt; &lt;/ div&gt; &lt;/ div&gt; &lt;/ "&amp;"div&gt; &lt;/ div&gt; &lt;/ div&gt; &lt;div tabindex = ""- 1"" class = ""airy-age-gate airy-stage airy-vertical-centering-table airy-dialog"" style = ""opacity: 0; visibility: hidden;""&gt; &lt;div tabindex = "" -1 ""class ="" airy-age-gate-vertical-centering-table-cell airy-ver"&amp;"tical-centering-table-cell ""&gt; &lt;div tabindex ="" - 1 ""class ="" airy-vertical-centering-wrapper airy- age-gate-elements-wrapper ""&gt; &lt;div tabindex ="" - 1 ""class ="" airy-age-gate-elements airy-dialog-elements ""&gt; &lt;div tabindex ="" - 1 ""class ="" airy-a"&amp;"ge-gate -prompt ""&gt; This video is not intended for all audiences What date were you born &lt;/ div&gt; &lt;div tabindex =.?"" - 1 ""class ="" airy-age-gate-inputs airy-dialog-inner-elements ""&gt; &lt;select tabindex = ""- 1"" class = ""airy-age-gate-month""&gt; &lt;option va"&amp;"lue = ""1""&gt; January &lt;/ option&gt; &lt;option value = ""2""&gt; February &lt;/ option&gt; &lt;option value = ""3""&gt; March &lt;/ option&gt; &lt;option value = ""4""&gt; April &lt;/ option&gt; &lt;option value = ""5""&gt; May &lt;/ option&gt; &lt;option value = ""6""&gt; June &lt;/ option&gt; &lt;option value = ""7""&gt; "&amp;"July &lt;/ option&gt; &lt;option value = ""8""&gt; August &lt;/ option&gt; &lt;Option value = ""9""&gt; September &lt;/ option&gt; &lt;option value = ""10""&gt; October &lt;/ option&gt; &lt;option value = ""11""&gt; November &lt;/ option&gt; &lt;option value = ""12""&gt; December &lt;/ option&gt; &lt;/ select&gt; &lt;select tabi"&amp;"ndex = ""- 1"" class = ""airy-age-gate-day""&gt; &lt;option value = ""1""&gt; 1 &lt;/ option&gt; &lt;option value = ""2""&gt; 2 &lt;/ option&gt; &lt;option value = ""3""&gt; 3 &lt;/ option&gt; &lt;option value = ""4""&gt; 4 &lt;/ option&gt; &lt;option value = ""5""&gt; 5 &lt;/ option&gt; &lt;option value = ""6""&gt; 6 &lt;/ o"&amp;"ption&gt; &lt;option value = ""7""&gt; 7 &lt;/ option&gt; &lt;option value = ""8""&gt; 8 &lt;/ option&gt; &lt;option value = ""9""&gt; 9 &lt;/ option&gt; &lt;option value = ""10"" &gt; 10 &lt;/ option&gt; &lt;option value = ""11""&gt; 11 &lt;/ option&gt; &lt;option value = ""12""&gt; 12 &lt;/ option&gt; &lt;option value = ""13""&gt; 1"&amp;"3 &lt;/ option&gt; &lt;option value = "" 14 ""&gt; 14 &lt;/ option&gt; &lt;option value ="" 15 ""&gt; 15 &lt;/ option&gt; &lt;option value ="" 16 ""&gt; 16 &lt;/ option&gt; &lt;option value ="" 17 ""&gt; 17 &lt;/ option&gt; &lt;option value = ""18""&gt; 18 &lt;/ option&gt; &lt;option value = ""19""&gt; 19 &lt;/ option&gt; &lt;option v"&amp;"alue = ""20""&gt; 20 &lt;/ option&gt; &lt;option value = ""21""&gt; 21 &lt;/ option&gt; &lt; option value = ""22""&gt; 22 &lt;/ option&gt; &lt;option value = ""23""&gt; 23 &lt;/ option&gt; &lt;option value = ""24""&gt; 24 &lt;/ option&gt; &lt;option value = ""25""&gt; 25 &lt;/ option &gt; &lt;option value = ""26""&gt; 26 &lt;/ opti"&amp;"on&gt; &lt;option value = ""27""&gt; 27 &lt;/ option&gt; &lt;option value = ""28""&gt; 28 &lt;/ option&gt; &lt;option value = ""29""&gt; 29 &lt;/ option&gt; &lt;option value = ""30""&gt; 30 &lt;/ option&gt; &lt;option value = ""31""&gt; 31 &lt;/ option&gt; &lt;/ select&gt; &lt;select tabindex = ""- 1"" class = ""airy-age-gate"&amp;"-year""&gt; &lt;option value = ""2019""&gt; 2019 &lt;/ option&gt; &lt;option value = ""2018""&gt; 2018 &lt;/ option&gt; &lt;option value = ""2017""&gt; 2017 &lt;/ option&gt; &lt;option value = ""2016""&gt; ​​2016 &lt;/ option&gt; &lt;option value = ""2015""&gt; 2015 &lt;/ option&gt; &lt;option value = ""2014""&gt; 2014 &lt;/ "&amp;"option&gt; &lt;option value = ""2013""&gt; 2013 &lt;/ option&gt; &lt;option value = ""2012""&gt; 2012 &lt;/ option&gt; &lt;option value = ""2011""&gt; 2011 &lt;/ option&gt; &lt;option value = ""2010""&gt; 2010 &lt;/ option&gt; &lt;option value = ""2009""&gt; 2009 &lt;/ option&gt; &lt;option value = ""2008""&gt; 2008 &lt;/ opt"&amp;"ion&gt; &lt;option value = ""2007""&gt; 2007 &lt;/ option&gt; &lt;option value = ""2006"" &gt; 2006 &lt;/ option&gt; &lt;option value = ""2005""&gt; 2005 &lt;/ option&gt; &lt;option value = ""2004""&gt; 2004 &lt;/ option&gt; &lt;option value = ""2003""&gt; 2003 &lt;/ option&gt; &lt;option value = "" 2002 ""&gt; 2002 &lt;/ opt"&amp;"ion&gt; &lt;option value ="" 2001 ""&gt; 2001 &lt;/ option&gt; &lt;option value ="" 2000 ""&gt; 2000 &lt;/ option&gt; &lt;option value ="" 1999 ""&gt; 1999 &lt;/ option&gt; &lt;option value = ""1998""&gt; 1998 &lt;/ option&gt; &lt;option value = ""1997""&gt; 1997 &lt;/ option&gt; &lt;option value = ""1996""&gt; 1996 &lt;/ opt"&amp;"ion&gt; &lt;option value = ""1995""&gt; 1995 &lt;/ option&gt; &lt;option value = ""1994""&gt; 1994 &lt;/ option&gt; &lt;option value = ""1993""&gt; 1993 &lt;/ option&gt; &lt;option value = ""1992""&gt; 1992 &lt;/ option&gt; &lt;option value = ""1991""&gt; 1991 &lt;/ option&gt; &lt;option value = ""1990""&gt; 1990 &lt;/ option"&amp;"&gt; &lt;option value = ""1989""&gt; 1989 &lt;/ option&gt; &lt;option value = ""1988""&gt; 1988 &lt;/ option&gt; &lt;option value = ""1987""&gt; 1987 &lt;/ option&gt; &lt;option value = ""1986""&gt; 1986 &lt;/ option&gt; &lt;option value = ""1985""&gt; 1985 &lt;/ option&gt; &lt;option value = ""1984""&gt; 1984 &lt;/ option&gt; &lt;"&amp;"option value = ""1983""&gt; 1983 &lt;/ option&gt; &lt;option value = ""1982""&gt; 1982 &lt;/ option&gt; &lt;option value = ""1981""&gt; 1981 &lt;/ option&gt; &lt;option value = ""1980""&gt; 1980 &lt;/ option&gt; &lt;option value = ""1979""&gt; 1979 &lt;/ option&gt; &lt;option value = ""1978""&gt; 1978 &lt;/ option&gt; &lt;opt"&amp;"ion value = ""1977""&gt; 1977 &lt;/ option&gt; &lt;option value = ""1976"" &gt; 1976 &lt;/ option&gt; &lt;option value = ""1975""&gt; 1975 &lt;/ option&gt; &lt;option value = ""1974""&gt; 1974 &lt;/ option&gt; &lt;option value = ""1973""&gt; 1973 &lt;/ option&gt; &lt;option value = "" 1972 ""&gt; 1972 &lt;/ option&gt; &lt;opt"&amp;"ion value ="" 1971 ""&gt; 1971 &lt;/ option&gt; &lt;option value ="" 1970 ""&gt; 1970 &lt;/ option&gt; &lt;option value ="" 1969 ""&gt; 1969 &lt;/ option&gt; &lt;option value = ""1968""&gt; 1968 &lt;/ option&gt; &lt;option value = ""1967""&gt; 1967 &lt;/ option&gt; &lt;option value = ""1966""&gt; 1966 &lt;/ o ption&gt; &lt;op"&amp;"tion value = ""1965""&gt; 1965 &lt;/ option&gt; &lt;option value = ""1964""&gt; 1964 &lt;/ option&gt; &lt;option value = ""1963""&gt; 1963 &lt;/ option&gt; &lt;option value = ""1962""&gt; 1962 &lt;/ option&gt; &lt;option value = ""1961""&gt; 1961 &lt;/ option&gt; &lt;option value = ""1960""&gt; 1960 &lt;/ option&gt; &lt;optio"&amp;"n value = ""1959""&gt; 1959 &lt;/ option&gt; &lt;option value = ""1958"" &gt; 1958 &lt;/ option&gt; &lt;option value = ""1957""&gt; 1957 &lt;/ option&gt; &lt;option value = ""1956""&gt; 1956 &lt;/ option&gt; &lt;option value = ""1955""&gt; 1955 &lt;/ option&gt; &lt;option value = "" 1954 ""&gt; 1954 &lt;/ option&gt; &lt;optio"&amp;"n value ="" 1953 ""&gt; 1953 &lt;/ option&gt; &lt;option value ="" 1952 ""&gt; 1952 &lt;/ option&gt; &lt;option value ="" 1951 ""&gt; 1951 &lt;/ option&gt; &lt;option value = ""1950""&gt; 1950 &lt;/ option&gt; &lt;option value = ""1949""&gt; 1949 &lt;/ option&gt; &lt;option value = ""1948""&gt; 1948 &lt;/ option&gt; &lt;optio"&amp;"n value = ""1947""&gt; 1947 &lt;/ option&gt; &lt; option value = ""1946""&gt; 1946 &lt;/ option&gt; &lt;option value = ""1945""&gt; 1945 &lt;/ option&gt; &lt;option value = ""1944""&gt; 1944 &lt;/ option&gt; &lt;option value = ""1943""&gt; 1943 &lt;/ option &gt; &lt;option value = ""1942""&gt; 1942 &lt;/ option&gt; &lt;option"&amp;" value = ""1941""&gt; 1941 &lt;/ option&gt; &lt;option value = ""1940""&gt; 1940 &lt;/ option&gt; &lt;option value = ""1939""&gt; 1939 &lt; / option&gt; &lt;option value = ""1938""&gt; 1938 &lt;/ option&gt; &lt;option value = ""1937""&gt; 1937 &lt;/ option&gt; &lt;option value = ""1936""&gt; 1936 &lt;/ option&gt; &lt;option v"&amp;"alue = ""1935""&gt; 1935 &lt;/ option&gt; &lt;option value = ""1934""&gt; 1934 &lt;/ option&gt; &lt;option value = ""1933""&gt; 1933 &lt;/ option&gt; &lt;option value = ""1932""&gt; 1932 &lt;/ option&gt; &lt;option value = ""1931""&gt; 1931 &lt;/ option&gt; &lt;option value = ""1930""&gt; 1930 &lt;/ option&gt; &lt;option valu"&amp;"e = ""1929""&gt; 1929 &lt;/ option&gt; &lt;option value = ""1928""&gt; 1928 &lt;/ option&gt; &lt;option value = ""1927""&gt; 1927 &lt;/ option&gt; &lt;option value = ""1926""&gt; 1926 &lt;/ option&gt; &lt;option value = ""1925""&gt; 1925 &lt;/ option&gt; &lt;option value = ""1924""&gt; 1924 &lt;/ option&gt; &lt;option value ="&amp;" ""1923""&gt; 1923 &lt;/ option&gt; &lt;option value = ""1922""&gt; 1922 &lt;/ option&gt; &lt;option value = ""1921"" &gt; 1921 &lt;/ option&gt; &lt;option value = ""1920""&gt; 1920 &lt;/ option&gt; &lt;option value = ""1919""&gt; 1919 &lt;/ option&gt; &lt;option value = ""1918""&gt; 1918 &lt;/ option&gt; &lt;option value = "&amp;""" 1917 ""&gt; 1917 &lt;/ option&gt; &lt;option value ="" 1916 ""&gt; 1916 &lt;/ option&gt; &lt;option value ="" 1915 ""&gt; 1915 &lt;/ option&gt; &lt;option value ="" 1914 ""&gt; 1914 &lt;/ option&gt; &lt;option value = ""1913""&gt; 1913 &lt;/ option&gt; &lt;option value = ""1912""&gt; 1912 &lt;/ option&gt; &lt;option value "&amp;"= ""1911""&gt; 1911 &lt;/ option&gt; &lt;option value = ""1910""&gt; 1910 &lt;/ option&gt; &lt; option value = ""1909""&gt; 1909 &lt;/ option&gt; &lt;option value = ""1908""&gt; 1908 &lt;/ option&gt; &lt;option value = ""1907""&gt; 1 907 &lt;/ option&gt; &lt;option value = ""1906""&gt; 1906 &lt;/ option&gt; &lt;option value ="&amp;" ""1905""&gt; 1905 &lt;/ option&gt; &lt;option value = ""1904""&gt; 1904 &lt;/ option&gt; &lt;option value = ""1903 ""&gt; 1903 &lt;/ option&gt; &lt;option value ="" 1902 ""&gt; 1902 &lt;/ option&gt; &lt;option value ="" 1901 ""&gt; 1901 &lt;/ option&gt; &lt;option value ="" 1900 ""&gt; 1900 &lt;/ option&gt; &lt;/ select&gt; &lt;di"&amp;"v tabindex = ""- 1"" class = ""airy-age-gate-submit airy-submit airy-button airy-submit-disabled""&gt; Submit &lt;/ div&gt; &lt;/ div&gt; &lt;/ div&gt; &lt;/ div&gt; &lt;/ div&gt; &lt;/ div&gt; &lt;div tabindex = ""- 1"" class = ""airy-install-flash-dialog airy-stage airy-vertical-centering-table"&amp;" airy-dialog airy-denied"" style = ""opacity: 0; visibility: hidden; ""&gt; &lt;div tabindex ="" - 1 ""class ="" airy-install-flash-vertical-centering-table-cell airy-vertical-centering-table-cell ""&gt; &lt;div tabindex ="" - 1 ""class ="" airy-vertical-centering-wr"&amp;"apper airy-install-flash-elements-wrapper ""&gt; &lt;div tabindex ="" - 1 ""class ="" airy-install-flash-elements airy-dialog-elements ""&gt; &lt;div tabindex ="" - 1 ""class ="" airy-install-flash-prompt ""&gt; Adobe Flash Player is required to watch this video &lt;/ div&gt;"&amp;" &lt;div tabindex =."" - 1 ""class ="" airy-install-flash-button-wrap per airy-dialog-inner-elements ""&gt; &lt;div tabindex ="" - 1 ""class ="" airy-install-flash-button airy-button ""&gt; Install Flash Player &lt;/ div&gt; &lt;/ div&gt; &lt;/ div&gt; &lt;/ div&gt; &lt;/ div&gt; &lt;/ div&gt; &lt;div tab"&amp;"index = ""- 1"" class = ""airy-video-unsupported-dialog airy-stage airy-vertical-centering-table airy-dialog airy-denied"" style = ""opacity: 0; visibility: hidden; ""&gt; &lt;div tabindex ="" - 1 ""class ="" airy-video-unsupported-vertical-centering-table-cell"&amp;" airy-vertical-centering-table-cell ""&gt; &lt;div tabindex ="" - 1 ""class ="" airy-vertical-centering-wrapper airy-video-unsupported-elements-wrapper ""&gt; &lt;div tabindex ="" - 1 ""class ="" airy-video-unsupported-elements airy-dialog-elements ""&gt; &lt;div tabindex "&amp;"= ""- 1"" class = ""airy-video-unsupported-prompt""&gt; &lt;/ div&gt; &lt;/ div&gt; &lt;/ div&gt; &lt;/ div&gt; &lt;/ div&gt; &lt;div tabindex = ""- 1"" class = ""airy- loading-spinner-stage airy-stage ""&gt; &lt;div tabindex ="" - 1 ""class ="" airy-loading-spinner-vertical-centering-table-cell "&amp;"airy-vertical-centering-table-cell ""&gt; &lt;div tabindex ="" -1 ""class ="" airy-loading-spinner-container airy-scalable-hint-container ""&gt; &lt;div tabindex ="" - 1 ""class ="" airy-loading- spinner-dummy airy-scalable-dummy ""&gt; &lt;/ div&gt; &lt;div tabindex ="" - 1 ""c"&amp;"lass ="" airy-loading-spinner airy-hint ""style ="" visibility: hidden; ""&gt; &lt;/ div&gt; &lt;/ div &gt; &lt;/ div&gt; &lt;/ div&gt; &lt;div tabindex = ""- 1"" class = ""airy-ads-screen-size-toggle airy-screen-size-toggle airy-fullscreen"" style = ""visibility: hidden;""&gt; &lt; / div&gt; "&amp;"&lt;div tabindex = ""- 1"" class = ""airy-ad-prompt-container"" style = ""visibility: hidden;""&gt; &lt;div tabindex = ""- 1"" class = ""airy-ad-prompt-vertical- centering-table airy-vertical-centering-table ""&gt; &lt;div tabindex ="" - 1 ""class ="" airy-ad-prompt-ver"&amp;"tical-centering-table-cell airy-vertical-centering-table-cell ""&gt; &lt;div tabindex = ""- 1"" class = ""airy-ad-prompt-label""&gt; &lt;/ div&gt; &lt;/ div&gt; &lt;/ div&gt; &lt;/ div&gt; &lt;div tabindex = ""- 1"" class = ""airy-ads-controls- hidden; ""&gt; &lt;div tabindex ="" - 1 ""class ="" "&amp;"airy-ads-audio-toggle airy-audio-toggle airy-on ""style ="" visibility:: container visibility ""style ="" hidden; ""&gt; &lt;/ div &gt; &lt;div tabindex = ""- 1"" class = ""airy-time-remaining-label-container""&gt; &lt;div tabindex = ""- 1"" class = ""airy-time-remaining-v"&amp;"ertical-centering-table airy-vertical-centering -table ""&gt; &lt;div ta bindex = ""- 1"" class = ""airy-time-remaining-vertical-centering-table-cell airy-vertical-centering-table-cell""&gt; &lt;div tabindex = ""- 1"" class = ""airy-vertical-centering- wrapper airy-t"&amp;"ime-remaining-label-wrapper ""&gt; &lt;div tabindex ="" - 1 ""class ="" airy-time-remaining-label ""style ="" visibility: hidden; ""&gt; &lt;/ div&gt; &lt;div tabindex ="" - 1 ""class ="" airy-ad-skip ""style ="" visibility: hidden; ""&gt; &lt;/ div&gt; &lt;div tabindex ="" - 1 ""clas"&amp;"s ="" airy-ad-end ""style ="" visibility: hidden; ""&gt; &lt;/ div&gt; &lt;/ div&gt; &lt;/ div&gt; &lt;/ div&gt; &lt;/ div&gt; &lt;div tabindex = ""- 1"" class = ""airy-learn-more"" style = ""visibility: hidden;""&gt; &lt;/ div&gt; &lt;/ div&gt; &lt;div tabindex = ""- 1"" class = ""airy-play-toggle-hint-stag"&amp;"e airy-stage airy-cursor""&gt; &lt;div tabindex = ""- 1"" class = ""airy-play-toggle-hint -vertical-centering-table-cell airy-vertical-centering-table-cell airy-cursor ""&gt; &lt;div tabindex ="" - 1 ""class ="" airy-play-toggle-hint-container airy-scalable-hint-cont"&amp;"ainer "" &gt; &lt;div tabindex = ""- 1"" class = ""airy-play-toggle-hint-dummy airy-scalable-dummy""&gt; &lt;/ div&gt; &lt;div tabindex = ""- 1"" class = ""airy-play-toggle-hint airy-hint airy-play-hint ""style ="" opacity : 1; visibility: visible; ""&gt; &lt;/ div&gt; &lt;/ div&gt; &lt;/ d"&amp;"iv&gt; &lt;/ div&gt; &lt;div tabindex ="" - 1 ""class ="" airy-replay-hint-stage airy-stage ""style ="" visibility: hidden; ""&gt; &lt;div tabindex ="" - 1 ""class ="" airy-replay-hint-vertical-centering-table-cell airy-vertical-centering-table-cell airy-cursor ""&gt; &lt;div ta"&amp;"bindex ="" - 1 ""class ="" airy-replay-hint-container airy-scalable-hint-container ""&gt; &lt;div tabindex ="" - 1 ""class ="" airy-replay-hint-dummy airy-scalable-dummy ""&gt; &lt;/ div&gt; &lt;div tabindex = ""- 1"" class = ""airy-replay-hint airy-hint""&gt; &lt;/ div&gt; &lt;/ div&gt;"&amp;" &lt;/ div&gt; &lt;/ div&gt; &lt;div tabindex = ""- 1"" class = ""airy- autoplay-hint-stage airy-stage ""style ="" visibility: hidden; ""&gt; &lt;div tabindex ="" - 1 ""class ="" airy-autoplay-hint-vertical-centering-table-cell airy-vertical-centering-table- cell airy-cursor "&amp;"""&gt; &lt;div tabindex ="" - 1 ""class ="" airy-autoplay-hint-container airy-scalable-hint-container ""&gt; &lt;div tabindex ="" - 1 ""class ="" airy-autoplay-hint- dummy airy-scalable-dummy ""&gt; &lt;/ div&gt; &lt;/ div&gt; &lt;/ div&gt; &lt;/ div&gt; &lt;/ div&gt; &lt;/ div&gt; &lt;input type ="" hidden "&amp;"""name ="" ""value ="" https: // images-cn.ssl-images-amazon.com/images/I/91PbTlfegJ S.mp4 ""class ="" video-url ""&gt; &lt;input type ="" hidden ""name ="" ""value ="" https://images-cn.ssl-images-amazon.com/images/I/81xT0PUxSkS.png "" class = ""video-slate-im"&amp;"g-url""&gt; &amp; nbsp; after filtration significantly change the taste, but also significantly less dirt and more, it should be good results. But probably because of China's tap water standard is very low, so the filter can not be used for three months. 4 filte"&amp;"r: most use for a whole two months, with at least a full month, and two are about one and a half, it did not reach three months. Overall, both filter harmful substances, but also retains the minerals, healthier than pure water, cleaner than tap water. wor"&amp;"th having.")</f>
        <v>Rapidly improve the quality of life health artifact &lt;div id = "video-block-R10MQWA02DID2X" class = "a-section a-spacing-small a-spacing-top-mini video-block"&gt; &lt;div tabindex = "0" class = "airy airy-svg vmin-unsupported airy-skin-beacon" style = "background-color: rgb (0, 0, 0); position: relative; width: 100%; height: 100%; font-size: 0px; overflow: hidden; outline: none; "&gt; &lt;div class =" airy-renderer-container "style =" position: relative; height: 100%; width: 100%; "&gt; &lt;video id =" 7 "preload =" auto "src =" https://images-cn.ssl-images-amazon.com/images/I/91PbTlfegJS.mp4 "style =" position: absolute; left: 0px; top: 0px; overflow: hidden; height: 1px; width: 1px; "&gt; &lt;/ video&gt; &lt;/ div&gt; &lt;div id =" airy-slate-preload "style =" background-color: rgb (0, 0, 0); background-image: url (&amp; quot ; https: //images-cn.ssl-images-amazon.com/images/I/81xT0PUxSkS.png&amp;quot;); background-size: contain; background-position: center center; background-repeat: no-repeat; position: absolute; top: 0px; left: 0px; visibility: visible; width: 100%; height: 100%; " &gt; &lt;/ Div&gt; &lt;iframe scrolling = "no" frameborder = "0" src = "about: blank" style = "display: none;"&gt; &lt;/ iframe&gt; &lt;div tabindex = "- 1" class = "airy- controls-container "style =" opacity: 0; visibility: hidden; "&gt; &lt;div tabindex =" - 1 "class =" airy-screen-size-toggle airy-fullscreen "&gt; &lt;/ div&gt; &lt;div tabindex =" - 1 "class =" airy-container-bottom "&gt; &lt;div tabindex =" - 1 "class =" airy-track-bar-spacer-left "style =" width: 11px; "&gt; &lt;/ div&gt; &lt;div tabindex = "-1" class = "airy-play-toggle airy-play" style = "width: 12px; margin-right: 12px;"&gt; &lt;/ div&gt; &lt;div tabindex = "- 1" class = "airy-audio- elements "style =" float: right; width: 34px; "&gt; &lt;div tabindex =" - 1 "class =" airy-audio-toggle airy-on "&gt; &lt;/ div&gt; &lt;div tabindex =" - 1 "class = "airy-audio-container" style = "opacity: 0; visibility: hidden;"&gt; &lt;div tabindex = "- 1" class = "airy-audio-track-bar" style = "height: 80%;"&gt; &lt; div tabindex = "- 1" class = "airy-audio-scrubber-bar" style = "height: 85%;"&gt; &lt;/ div&gt; &lt;div tabindex = "- 1" class = "airy-audio-scrubber" style = "height: 12px; bottom: 85%;"&gt; &lt;/ div&gt; &lt;/ div&gt; &lt;/ div&gt; &lt;/ div&gt; &lt;div tabindex = "- 1" class = "a iry-duration-label "style =" float: right; width: 26px; margin-right: 4px; text-align: center; "&gt; 0:10 &lt;/ div&gt; &lt;div tabindex =" - 1 "class =" airy -track-bar-spacer-right "style =" float: right; width: 11px; "&gt; &lt;/ div&gt; &lt;div tabindex =" - 1 "class =" airy-track-bar-container "style =" margin- left: 35px; margin-right: 75px; "&gt; &lt;div tabindex =" - 1 "class =" airy-track-bar airy-vertical-centering-table "&gt; &lt;div tabindex =" - 1 "class =" airy- vertical-centering-table-cell "&gt; &lt;div tabindex =" - 1 "class =" airy-track-bar-elements "&gt; &lt;div tabindex =" - 1 "class =" airy-progress-bar "style =" width : 12.7898%; "&gt; &lt;/ div&gt; &lt;div tabindex =" - 1 "class =" airy-scrubber-bar "&gt; &lt;/ div&gt; &lt;div tabindex =" - 1 "class =" airy-scrubber "&gt; &lt;div tabindex = "- 1" class = "airy-scrubber-icon"&gt; &lt;/ div&gt; &lt;div tabindex = "- 1" class = "airy-adjusted-aui-tooltip" style = "opacity: 0; visibility: hidden; "&gt; &lt;div tabindex =" - 1 "class =" airy-adjusted-aui-tooltip-inner "&gt; &lt;div tabindex =" - 1 "class =" airy-current-time-label "&gt; 0:00 &lt;/ div &gt; &lt;/ div&gt; &lt;div tabindex = "- 1" class = "airy-adjusted-aui-arrow-border"&gt; &lt;div tabindex = "- 1" class = "airy-adjusted-aui-arrow"&gt; &lt;/ div&gt; &lt;/ div&gt; &lt;/ div&gt; &lt;/ div&gt; &lt;/ div&gt; &lt;/ div&gt; &lt;/ div&gt; &lt;/ div&gt; &lt;/ div&gt; &lt;/ div&gt; &lt;div tabindex = "- 1" class = "airy-age-gate airy-stage airy-vertical-centering-table airy-dialog" style = "opacity: 0; visibility: hidden;"&gt; &lt;div tabindex = " -1 "class =" airy-age-gate-vertical-centering-table-cell airy-vertical-centering-table-cell "&gt; &lt;div tabindex =" - 1 "class =" airy-vertical-centering-wrapper airy- age-gate-elements-wrapper "&gt; &lt;div tabindex =" - 1 "class =" airy-age-gate-elements airy-dialog-elements "&gt; &lt;div tabindex =" - 1 "class =" airy-age-gate -prompt "&gt; This video is not intended for all audiences What date were you born &lt;/ div&gt; &lt;div tabindex =.?" - 1 "class =" airy-age-gate-inputs airy-dialog-inner-elements "&gt; &lt;select tabindex = "- 1" class = "airy-age-gate-month"&gt; &lt;option value = "1"&gt; January &lt;/ option&gt; &lt;option value = "2"&gt; February &lt;/ option&gt; &lt;option value = "3"&gt; March &lt;/ option&gt; &lt;option value = "4"&gt; April &lt;/ option&gt; &lt;option value = "5"&gt; May &lt;/ option&gt; &lt;option value = "6"&gt; June &lt;/ option&gt; &lt;option value = "7"&gt;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&lt;option value = "1"&gt; 1 &lt;/ option&gt; &lt;option value = "2"&gt; 2 &lt;/ option&gt; &lt;option value = "3"&gt; 3 &lt;/ option&gt; &lt;option value = "4"&gt; 4 &lt;/ option&gt; &lt;option value = "5"&gt; 5 &lt;/ option&gt; &lt;option value = "6"&gt; 6 &lt;/ option&gt; &lt;option value = "7"&gt; 7 &lt;/ option&gt; &lt;option value = "8"&gt; 8 &lt;/ option&gt; &lt;option value = "9"&gt; 9 &lt;/ option&gt; &lt;option value = "10" &gt; 10 &lt;/ option&gt; &lt;option value = "11"&gt; 11 &lt;/ option&gt; &lt;option value = "12"&gt; 12 &lt;/ option&gt; &lt;option value = "13"&gt; 13 &lt;/ option&gt; &lt;option value = " 14 "&gt; 14 &lt;/ option&gt; &lt;option value =" 15 "&gt; 15 &lt;/ option&gt; &lt;option value =" 16 "&gt; 16 &lt;/ option&gt; &lt;option value =" 17 "&gt; 17 &lt;/ option&gt; &lt;option value = "18"&gt; 18 &lt;/ option&gt; &lt;option value = "19"&gt; 19 &lt;/ option&gt; &lt;option value = "20"&gt; 20 &lt;/ option&gt; &lt;option value = "21"&gt; 21 &lt;/ option&gt; &lt; option value = "22"&gt; 22 &lt;/ option&gt; &lt;option value = "23"&gt; 23 &lt;/ option&gt; &lt;option value = "24"&gt; 24 &lt;/ option&gt; &lt;option value = "25"&gt; 25 &lt;/ option &gt; &lt;option value = "26"&gt; 26 &lt;/ option&gt; &lt;option value = "27"&gt; 27 &lt;/ option&gt; &lt;option value = "28"&gt; 28 &lt;/ option&gt; &lt;option value = "29"&gt; 29 &lt;/ option&gt; &lt;option value = "30"&gt; 30 &lt;/ option&gt; &lt;option value = "31"&gt; 31 &lt;/ option&gt; &lt;/ select&gt; &lt;select tabindex = "- 1" class = "airy-age-gate-year"&gt; &lt;option value = "2019"&gt; 2019 &lt;/ option&gt; &lt;option value = "2018"&gt; 2018 &lt;/ option&gt; &lt;option value = "2017"&gt; 2017 &lt;/ option&gt; &lt;option value = "2016"&gt; ​​2016 &lt;/ option&gt; &lt;option value = "2015"&gt; 2015 &lt;/ option&gt; &lt;option value = "2014"&gt; 2014 &lt;/ option&gt; &lt;option value = "2013"&gt; 2013 &lt;/ option&gt; &lt;option value = "2012"&gt; 2012 &lt;/ option&gt; &lt;option value = "2011"&gt; 2011 &lt;/ option&gt; &lt;option value = "2010"&gt; 2010 &lt;/ option&gt; &lt;option value = "2009"&gt; 2009 &lt;/ option&gt; &lt;option value = "2008"&gt; 2008 &lt;/ option&gt; &lt;option value = "2007"&gt; 2007 &lt;/ option&gt; &lt;option value = "2006" &gt; 2006 &lt;/ option&gt; &lt;option value = "2005"&gt; 2005 &lt;/ option&gt; &lt;option value = "2004"&gt; 2004 &lt;/ option&gt; &lt;option value = "2003"&gt; 2003 &lt;/ option&gt; &lt;option value = " 2002 "&gt; 2002 &lt;/ option&gt; &lt;option value =" 2001 "&gt; 2001 &lt;/ option&gt; &lt;option value =" 2000 "&gt; 2000 &lt;/ option&gt; &lt;option value =" 1999 "&gt;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"1989"&gt; 1989 &lt;/ option&gt; &lt;option value = "1988"&gt; 1988 &lt;/ option&gt; &lt;option value = "1987"&gt; 1987 &lt;/ option&gt; &lt;option value = "1986"&gt; 1986 &lt;/ option&gt; &lt;option value = "1985"&gt; 1985 &lt;/ option&gt; &lt;option value = "1984"&gt; 1984 &lt;/ option&gt; &lt;option value = "1983"&gt; 1983 &lt;/ option&gt; &lt;option value = "1982"&gt; 1982 &lt;/ option&gt; &lt;option value = "1981"&gt; 1981 &lt;/ option&gt; &lt;option value = "1980"&gt; 1980 &lt;/ option&gt; &lt;option value = "1979"&gt; 1979 &lt;/ option&gt; &lt;option value = "1978"&gt; 1978 &lt;/ option&gt; &lt;option value = "1977"&gt; 1977 &lt;/ option&gt; &lt;option value = "1976" &gt; 1976 &lt;/ option&gt; &lt;option value = "1975"&gt; 1975 &lt;/ option&gt; &lt;option value = "1974"&gt; 1974 &lt;/ option&gt; &lt;option value = "1973"&gt; 1973 &lt;/ option&gt; &lt;option value = " 1972 "&gt; 1972 &lt;/ option&gt; &lt;option value =" 1971 "&gt; 1971 &lt;/ option&gt; &lt;option value =" 1970 "&gt; 1970 &lt;/ option&gt; &lt;option value =" 1969 "&gt; 1969 &lt;/ option&gt; &lt;option value = "1968"&gt; 1968 &lt;/ option&gt; &lt;option value = "1967"&gt; 1967 &lt;/ option&gt; &lt;option value = "1966"&gt; 1966 &lt;/ o ption&gt; &lt;option value = "1965"&gt; 1965 &lt;/ option&gt; &lt;option value = "1964"&gt; 1964 &lt;/ option&gt; &lt;option value = "1963"&gt; 1963 &lt;/ option&gt; &lt;option value = "1962"&gt; 1962 &lt;/ option&gt; &lt;option value = "1961"&gt; 1961 &lt;/ option&gt; &lt;option value = "1960"&gt; 1960 &lt;/ option&gt; &lt;option value = "1959"&gt; 1959 &lt;/ option&gt; &lt;option value = "1958" &gt; 1958 &lt;/ option&gt; &lt;option value = "1957"&gt; 1957 &lt;/ option&gt; &lt;option value = "1956"&gt; 1956 &lt;/ option&gt; &lt;option value = "1955"&gt; 1955 &lt;/ option&gt; &lt;option value = " 1954 "&gt; 1954 &lt;/ option&gt; &lt;option value =" 1953 "&gt; 1953 &lt;/ option&gt; &lt;option value =" 1952 "&gt; 1952 &lt;/ option&gt; &lt;option value =" 1951 "&gt; 1951 &lt;/ option&gt; &lt;option value = "1950"&gt; 1950 &lt;/ option&gt; &lt;option value = "1949"&gt; 1949 &lt;/ option&gt; &lt;option value = "1948"&gt; 1948 &lt;/ option&gt; &lt;option value = "1947"&gt; 1947 &lt;/ option&gt; &lt; option value = "1946"&gt; 1946 &lt;/ option&gt; &lt;option value = "1945"&gt; 1945 &lt;/ option&gt; &lt;option value = "1944"&gt; 1944 &lt;/ option&gt; &lt;option value = "1943"&gt; 1943 &lt;/ option &gt; &lt;option value = "1942"&gt; 1942 &lt;/ option&gt; &lt;option value = "1941"&gt; 1941 &lt;/ option&gt; &lt;option value = "1940"&gt; 1940 &lt;/ option&gt; &lt;option value = "1939"&gt; 1939 &lt; / option&gt; &lt;option value = "1938"&gt; 1938 &lt;/ option&gt; &lt;option value = "1937"&gt; 1937 &lt;/ option&gt; &lt;option value = "1936"&gt; 1936 &lt;/ option&gt; &lt;option value = "1935"&gt; 1935 &lt;/ option&gt; &lt;option value = "1934"&gt; 1934 &lt;/ option&gt; &lt;option value = "1933"&gt; 1933 &lt;/ option&gt; &lt;option value = "1932"&gt; 1932 &lt;/ option&gt; &lt;option value = "1931"&gt; 1931 &lt;/ option&gt; &lt;option value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 &gt; 1921 &lt;/ option&gt; &lt;option value = "1920"&gt; 1920 &lt;/ option&gt; &lt;option value = "1919"&gt; 1919 &lt;/ option&gt; &lt;option value = "1918"&gt; 1918 &lt;/ option&gt; &lt;option value = " 1917 "&gt; 1917 &lt;/ option&gt; &lt;option value =" 1916 "&gt; 1916 &lt;/ option&gt; &lt;option value =" 1915 "&gt; 1915 &lt;/ option&gt; &lt;option value =" 1914 "&gt; 1914 &lt;/ option&gt; &lt;option value = "1913"&gt; 1913 &lt;/ option&gt; &lt;option value = "1912"&gt; 1912 &lt;/ option&gt; &lt;option value = "1911"&gt; 1911 &lt;/ option&gt; &lt;option value = "1910"&gt; 1910 &lt;/ option&gt; &lt; option value = "1909"&gt; 1909 &lt;/ option&gt; &lt;option value = "1908"&gt; 1908 &lt;/ option&gt; &lt;option value = "1907"&gt; 1 907 &lt;/ option&gt; &lt;option value = "1906"&gt; 1906 &lt;/ option&gt; &lt;option value = "1905"&gt; 1905 &lt;/ option&gt; &lt;option value = "1904"&gt; 1904 &lt;/ option&gt; &lt;option value = "1903 "&gt; 1903 &lt;/ option&gt; &lt;option value =" 1902 "&gt; 1902 &lt;/ option&gt; &lt;option value =" 1901 "&gt; 1901 &lt;/ option&gt; &lt;option value =" 1900 "&gt; 1900 &lt;/ option&gt; &lt;/ select&gt; &lt;div tabindex = "- 1" class = "airy-age-gate-submit airy-submit airy-button airy-submit-disabled"&gt; Submit &lt;/ div&gt; &lt;/ div&gt; &lt;/ div&gt; &lt;/ div&gt; &lt;/ div&gt; &lt;/ div&gt; &lt;div tabindex = "- 1" class = "airy-install-flash-dialog airy-stage airy-vertical-centering-table airy-dialog airy-denied" style = "opacity: 0; visibility: hidden; "&gt; &lt;div tabindex =" - 1 "class =" airy-install-flash-vertical-centering-table-cell airy-vertical-centering-table-cell "&gt; &lt;div tabindex =" - 1 "class =" airy-vertical-centering-wrapper airy-install-flash-elements-wrapper "&gt; &lt;div tabindex =" - 1 "class =" airy-install-flash-elements airy-dialog-elements "&gt; &lt;div tabindex =" - 1 "class =" airy-install-flash-prompt "&gt; Adobe Flash Player is required to watch this video &lt;/ div&gt; &lt;div tabindex =." - 1 "class =" airy-install-flash-button-wrap per airy-dialog-inner-elements "&gt; &lt;div tabindex =" - 1 "class =" airy-install-flash-button airy-button "&gt; Install Flash Player &lt;/ div&gt; &lt;/ div&gt; &lt;/ div&gt; &lt;/ div&gt; &lt;/ div&gt; &lt;/ div&gt; &lt;div tabindex = "- 1" class = "airy-video-unsupported-dialog airy-stage airy-vertical-centering-table airy-dialog airy-denied" style = "opacity: 0; visibility: hidden; "&gt; &lt;div tabindex =" - 1 "class =" airy-video-unsupported-vertical-centering-table-cell airy-vertical-centering-table-cell "&gt; &lt;div tabindex =" - 1 "class =" airy-vertical-centering-wrapper airy-video-unsupported-elements-wrapper "&gt; &lt;div tabindex =" - 1 "class =" airy-video-unsupported-elements airy-dialog-elements "&gt; &lt;div tabindex = "- 1" class = "airy-video-unsupported-prompt"&gt; &lt;/ div&gt; &lt;/ div&gt; &lt;/ div&gt; &lt;/ div&gt; &lt;/ div&gt; &lt;div tabindex = "- 1" class = "airy- loading-spinner-stage airy-stage "&gt; &lt;div tabindex =" - 1 "class =" airy-loading-spinner-vertical-centering-table-cell airy-vertical-centering-table-cell "&gt; &lt;div tabindex =" -1 "class =" airy-loading-spinner-container airy-scalable-hint-container "&gt; &lt;div tabindex =" - 1 "class =" airy-loading- spinner-dummy airy-scalable-dummy "&gt; &lt;/ div&gt; &lt;div tabindex =" - 1 "class =" airy-loading-spinner airy-hint "style =" visibility: hidden; "&gt; &lt;/ div&gt; &lt;/ div &gt; &lt;/ div&gt; &lt;/ div&gt; &lt;div tabindex = "- 1" class = "airy-ads-screen-size-toggle airy-screen-size-toggle airy-fullscreen" style = "visibility: hidden;"&gt; &lt; / div&gt; &lt;div tabindex = "- 1" class = "airy-ad-prompt-container" style = "visibility: hidden;"&gt; &lt;div tabindex = "- 1" class = "airy-ad-prompt-vertical- centering-table airy-vertical-centering-table "&gt; &lt;div tabindex =" - 1 "class =" airy-ad-prompt-vertical-centering-table-cell airy-vertical-centering-table-cell "&gt; &lt;div tabindex = "- 1" class = "airy-ad-prompt-label"&gt; &lt;/ div&gt; &lt;/ div&gt; &lt;/ div&gt; &lt;/ div&gt; &lt;div tabindex = "- 1" class = "airy-ads-controls- hidden; "&gt; &lt;div tabindex =" - 1 "class =" airy-ads-audio-toggle airy-audio-toggle airy-on "style =" visibility:: container visibility "style =" hidden; "&gt; &lt;/ div &gt; &lt;div tabindex = "- 1" class = "airy-time-remaining-label-container"&gt; &lt;div tabindex = "- 1" class = "airy-time-remaining-vertical-centering-table airy-vertical-centering -table "&gt; &lt;div ta bindex = "- 1" class = "airy-time-remaining-vertical-centering-table-cell airy-vertical-centering-table-cell"&gt; &lt;div tabindex = "- 1" class = "airy-vertical-centering- wrapper airy-time-remaining-label-wrapper "&gt; &lt;div tabindex =" - 1 "class =" airy-time-remaining-label "style =" visibility: hidden; "&gt; &lt;/ div&gt; &lt;div tabindex =" - 1 "class =" airy-ad-skip "style =" visibility: hidden; "&gt; &lt;/ div&gt; &lt;div tabindex =" - 1 "class =" airy-ad-end "style =" visibility: hidden; "&gt; &lt;/ div&gt; &lt;/ div&gt; &lt;/ div&gt; &lt;/ div&gt; &lt;/ div&gt; &lt;div tabindex = "- 1" class = "airy-learn-more" style = "visibility: hidden;"&gt; &lt;/ div&gt; &lt;/ div&gt; &lt;div tabindex = "- 1" class = "airy-play-toggle-hint-stage airy-stage airy-cursor"&gt; &lt;div tabindex = "- 1" class = "airy-play-toggle-hint -vertical-centering-table-cell airy-vertical-centering-table-cell airy-cursor "&gt; &lt;div tabindex =" - 1 "class =" airy-play-toggle-hint-container airy-scalable-hint-container " &gt; &lt;div tabindex = "- 1" class = "airy-play-toggle-hint-dummy airy-scalable-dummy"&gt; &lt;/ div&gt; &lt;div tabindex = "- 1" class = "airy-play-toggle-hint airy-hint airy-play-hint "style =" opacity : 1; visibility: visible; "&gt; &lt;/ div&gt; &lt;/ div&gt; &lt;/ div&gt; &lt;/ div&gt; &lt;div tabindex =" - 1 "class =" airy-replay-hint-stage airy-stage "style =" visibility: hidden; "&gt; &lt;div tabindex =" - 1 "class =" airy-replay-hint-vertical-centering-table-cell airy-vertical-centering-table-cell airy-cursor "&gt; &lt;div tabindex =" - 1 "class =" airy-replay-hint-container airy-scalable-hint-container "&gt; &lt;div tabindex =" - 1 "class =" airy-replay-hint-dummy airy-scalable-dummy "&gt; &lt;/ div&gt; &lt;div tabindex = "- 1" class = "airy-replay-hint airy-hint"&gt; &lt;/ div&gt; &lt;/ div&gt; &lt;/ div&gt; &lt;/ div&gt; &lt;div tabindex = "- 1" class = "airy- autoplay-hint-stage airy-stage "style =" visibility: hidden; "&gt; &lt;div tabindex =" - 1 "class =" airy-autoplay-hint-vertical-centering-table-cell airy-vertical-centering-table- cell airy-cursor "&gt; &lt;div tabindex =" - 1 "class =" airy-autoplay-hint-container airy-scalable-hint-container "&gt; &lt;div tabindex =" - 1 "class =" airy-autoplay-hint- dummy airy-scalable-dummy "&gt; &lt;/ div&gt; &lt;/ div&gt; &lt;/ div&gt; &lt;/ div&gt; &lt;/ div&gt; &lt;/ div&gt; &lt;input type =" hidden "name =" "value =" https: // images-cn.ssl-images-amazon.com/images/I/91PbTlfegJ S.mp4 "class =" video-url "&gt; &lt;input type =" hidden "name =" "value =" https://images-cn.ssl-images-amazon.com/images/I/81xT0PUxSkS.png " class = "video-slate-img-url"&gt; &amp; nbsp; after filtration significantly change the taste, but also significantly less dirt and more, it should be good results. But probably because of China's tap water standard is very low, so the filter can not be used for three months. 4 filter: most use for a whole two months, with at least a full month, and two are about one and a half, it did not reach three months. Overall, both filter harmful substances, but also retains the minerals, healthier than pure water, cleaner than tap water. worth having.</v>
      </c>
    </row>
    <row r="14882">
      <c r="A14882" s="1">
        <v>5.0</v>
      </c>
      <c r="B14882" s="1" t="s">
        <v>14722</v>
      </c>
      <c r="C14882" t="str">
        <f>IFERROR(__xludf.DUMMYFUNCTION("GOOGLETRANSLATE(B14882, ""zh"", ""en"")"),"5 star reviews from the packaging to the fabric, as well as the zipper is indeed a foreign producer, as well as elastic belts, very satisfied.")</f>
        <v>5 star reviews from the packaging to the fabric, as well as the zipper is indeed a foreign producer, as well as elastic belts, very satisfied.</v>
      </c>
    </row>
    <row r="14883">
      <c r="A14883" s="1">
        <v>5.0</v>
      </c>
      <c r="B14883" s="1" t="s">
        <v>14723</v>
      </c>
      <c r="C14883" t="str">
        <f>IFERROR(__xludf.DUMMYFUNCTION("GOOGLETRANSLATE(B14883, ""zh"", ""en"")"),"Praise from not evaluated before, do not know how many wasted points, points can change money now know, they should look carefully evaluated, then I put these words to copy to go, both to earn points, but also the easy way, where are copied to which, most"&amp;" importantly, do not seriously review, do not think how much worse word, sent directly to it, recommend it to everyone")</f>
        <v>Praise from not evaluated before, do not know how many wasted points, points can change money now know, they should look carefully evaluated, then I put these words to copy to go, both to earn points, but also the easy way, where are copied to which, most importantly, do not seriously review, do not think how much worse word, sent directly to it, recommend it to everyone</v>
      </c>
    </row>
    <row r="14884">
      <c r="A14884" s="1">
        <v>2.0</v>
      </c>
      <c r="B14884" s="1" t="s">
        <v>14724</v>
      </c>
      <c r="C14884" t="str">
        <f>IFERROR(__xludf.DUMMYFUNCTION("GOOGLETRANSLATE(B14884, ""zh"", ""en"")"),"Bad design flaw or wear inappropriate Asians wear it? !")</f>
        <v>Bad design flaw or wear inappropriate Asians wear it? !</v>
      </c>
    </row>
    <row r="14885">
      <c r="A14885" s="1">
        <v>3.0</v>
      </c>
      <c r="B14885" s="1" t="s">
        <v>14725</v>
      </c>
      <c r="C14885" t="str">
        <f>IFERROR(__xludf.DUMMYFUNCTION("GOOGLETRANSLATE(B14885, ""zh"", ""en"")"),"Coating is easy to fall with it just fine with a little stick is not very good lock cleaning smell was also very effective is this coat is too easy to scratch it fry a duck so the estimate can not fry shellfish do not know that section of red will make do"&amp;" with it strong points")</f>
        <v>Coating is easy to fall with it just fine with a little stick is not very good lock cleaning smell was also very effective is this coat is too easy to scratch it fry a duck so the estimate can not fry shellfish do not know that section of red will make do with it strong points</v>
      </c>
    </row>
    <row r="14886">
      <c r="A14886" s="1">
        <v>3.0</v>
      </c>
      <c r="B14886" s="1" t="s">
        <v>14726</v>
      </c>
      <c r="C14886" t="str">
        <f>IFERROR(__xludf.DUMMYFUNCTION("GOOGLETRANSLATE(B14886, ""zh"", ""en"")"),"Very soft soft like a belt, is the second layer of skin to do a little disappointed")</f>
        <v>Very soft soft like a belt, is the second layer of skin to do a little disappointed</v>
      </c>
    </row>
    <row r="14887">
      <c r="A14887" s="1">
        <v>3.0</v>
      </c>
      <c r="B14887" s="1" t="s">
        <v>14727</v>
      </c>
      <c r="C14887" t="str">
        <f>IFERROR(__xludf.DUMMYFUNCTION("GOOGLETRANSLATE(B14887, ""zh"", ""en"")"),"The design of the touch panel on the subway minor defects easily met the person next to, the music was paused, the designer might imagine crowding less than Beijing subway. The sound quality is very good, soft, slightly muddy, Bluetooth occasional serious"&amp;" off.")</f>
        <v>The design of the touch panel on the subway minor defects easily met the person next to, the music was paused, the designer might imagine crowding less than Beijing subway. The sound quality is very good, soft, slightly muddy, Bluetooth occasional serious off.</v>
      </c>
    </row>
    <row r="14888">
      <c r="A14888" s="1">
        <v>1.0</v>
      </c>
      <c r="B14888" s="1" t="s">
        <v>14728</v>
      </c>
      <c r="C14888" t="str">
        <f>IFERROR(__xludf.DUMMYFUNCTION("GOOGLETRANSLATE(B14888, ""zh"", ""en"")"),"Fakes! Insulation that is not fake! That is not insulation. Amazon too bad, is already a platform do not fly.")</f>
        <v>Fakes! Insulation that is not fake! That is not insulation. Amazon too bad, is already a platform do not fly.</v>
      </c>
    </row>
    <row r="14889">
      <c r="A14889" s="1">
        <v>1.0</v>
      </c>
      <c r="B14889" s="1" t="s">
        <v>14729</v>
      </c>
      <c r="C14889" t="str">
        <f>IFERROR(__xludf.DUMMYFUNCTION("GOOGLETRANSLATE(B14889, ""zh"", ""en"")"),"Wash all washed away the sour taste wash all washed away sour taste, bought into which no liquid other than water, but every time you open has a sour taste, wash several times, wash off")</f>
        <v>Wash all washed away the sour taste wash all washed away sour taste, bought into which no liquid other than water, but every time you open has a sour taste, wash several times, wash off</v>
      </c>
    </row>
    <row r="14890">
      <c r="A14890" s="1">
        <v>4.0</v>
      </c>
      <c r="B14890" s="1" t="s">
        <v>14730</v>
      </c>
      <c r="C14890" t="str">
        <f>IFERROR(__xludf.DUMMYFUNCTION("GOOGLETRANSLATE(B14890, ""zh"", ""en"")"),"Okay satisfied very satisfied with the right size")</f>
        <v>Okay satisfied very satisfied with the right size</v>
      </c>
    </row>
    <row r="14891">
      <c r="A14891" s="1">
        <v>4.0</v>
      </c>
      <c r="B14891" s="1" t="s">
        <v>14731</v>
      </c>
      <c r="C14891" t="str">
        <f>IFERROR(__xludf.DUMMYFUNCTION("GOOGLETRANSLATE(B14891, ""zh"", ""en"")"),"Yes, the design is very user-friendly to buy a new home, safe and sound go up but not in normal use, but this shower has been used before, felt very good use.")</f>
        <v>Yes, the design is very user-friendly to buy a new home, safe and sound go up but not in normal use, but this shower has been used before, felt very good use.</v>
      </c>
    </row>
    <row r="14892">
      <c r="A14892" s="1">
        <v>4.0</v>
      </c>
      <c r="B14892" s="1" t="s">
        <v>14732</v>
      </c>
      <c r="C14892" t="str">
        <f>IFERROR(__xludf.DUMMYFUNCTION("GOOGLETRANSLATE(B14892, ""zh"", ""en"")"),"165 is too large, buy s number, the sleeves a bit long.")</f>
        <v>165 is too large, buy s number, the sleeves a bit long.</v>
      </c>
    </row>
    <row r="14893">
      <c r="A14893" s="1">
        <v>4.0</v>
      </c>
      <c r="B14893" s="1" t="s">
        <v>14733</v>
      </c>
      <c r="C14893" t="str">
        <f>IFERROR(__xludf.DUMMYFUNCTION("GOOGLETRANSLATE(B14893, ""zh"", ""en"")"),"Speed ​​okay easily slide down the cover, USB plug to another position")</f>
        <v>Speed ​​okay easily slide down the cover, USB plug to another position</v>
      </c>
    </row>
    <row r="14894">
      <c r="A14894" s="1">
        <v>4.0</v>
      </c>
      <c r="B14894" s="1" t="s">
        <v>14734</v>
      </c>
      <c r="C14894" t="str">
        <f>IFERROR(__xludf.DUMMYFUNCTION("GOOGLETRANSLATE(B14894, ""zh"", ""en"")"),"Law-abiding style, purchase index 2.5 stars on comfort, I really can not compare domestic brands on price, too expensive. Style quite satisfactory. Overall not recommended to buy. If the size of a small country, can choose this, really, is the right size,"&amp;" the size of the country have actually achieve this is not a few sizes.")</f>
        <v>Law-abiding style, purchase index 2.5 stars on comfort, I really can not compare domestic brands on price, too expensive. Style quite satisfactory. Overall not recommended to buy. If the size of a small country, can choose this, really, is the right size, the size of the country have actually achieve this is not a few sizes.</v>
      </c>
    </row>
    <row r="14895">
      <c r="A14895" s="1">
        <v>5.0</v>
      </c>
      <c r="B14895" s="1" t="s">
        <v>14735</v>
      </c>
      <c r="C14895" t="str">
        <f>IFERROR(__xludf.DUMMYFUNCTION("GOOGLETRANSLATE(B14895, ""zh"", ""en"")"),"OK, so the feet of course, is a genuine Jiabu Zhu handsome dermabrasion also wear ah Beautiful Life the logistics very fast")</f>
        <v>OK, so the feet of course, is a genuine Jiabu Zhu handsome dermabrasion also wear ah Beautiful Life the logistics very fast</v>
      </c>
    </row>
    <row r="14896">
      <c r="A14896" s="1">
        <v>5.0</v>
      </c>
      <c r="B14896" s="1" t="s">
        <v>14736</v>
      </c>
      <c r="C14896" t="str">
        <f>IFERROR(__xludf.DUMMYFUNCTION("GOOGLETRANSLATE(B14896, ""zh"", ""en"")"),"Good good")</f>
        <v>Good good</v>
      </c>
    </row>
    <row r="14897">
      <c r="A14897" s="1">
        <v>5.0</v>
      </c>
      <c r="B14897" s="1" t="s">
        <v>14737</v>
      </c>
      <c r="C14897" t="str">
        <f>IFERROR(__xludf.DUMMYFUNCTION("GOOGLETRANSLATE(B14897, ""zh"", ""en"")"),"Affordable Affordable")</f>
        <v>Affordable Affordable</v>
      </c>
    </row>
    <row r="14898">
      <c r="A14898" s="1">
        <v>5.0</v>
      </c>
      <c r="B14898" s="1" t="s">
        <v>14738</v>
      </c>
      <c r="C14898" t="str">
        <f>IFERROR(__xludf.DUMMYFUNCTION("GOOGLETRANSLATE(B14898, ""zh"", ""en"")"),"Knitting vertical stripes money, soft money knitting vertical stripes, soft, TB will be a lot of tights dozens of pieces of oil that chemical smell, this is not")</f>
        <v>Knitting vertical stripes money, soft money knitting vertical stripes, soft, TB will be a lot of tights dozens of pieces of oil that chemical smell, this is not</v>
      </c>
    </row>
    <row r="14899">
      <c r="A14899" s="1">
        <v>5.0</v>
      </c>
      <c r="B14899" s="1" t="s">
        <v>14739</v>
      </c>
      <c r="C14899" t="str">
        <f>IFERROR(__xludf.DUMMYFUNCTION("GOOGLETRANSLATE(B14899, ""zh"", ""en"")"),"Value high 175,80 kg, collar just fine, anyway, do not buckle, perfect")</f>
        <v>Value high 175,80 kg, collar just fine, anyway, do not buckle, perfect</v>
      </c>
    </row>
    <row r="14900">
      <c r="A14900" s="1">
        <v>5.0</v>
      </c>
      <c r="B14900" s="1" t="s">
        <v>14740</v>
      </c>
      <c r="C14900" t="str">
        <f>IFERROR(__xludf.DUMMYFUNCTION("GOOGLETRANSLATE(B14900, ""zh"", ""en"")"),"Good quality, comfortable and good quality, comfortable, spring and autumn the most appropriate size and the same as ordinary shoes, nike shoes freshman than code")</f>
        <v>Good quality, comfortable and good quality, comfortable, spring and autumn the most appropriate size and the same as ordinary shoes, nike shoes freshman than code</v>
      </c>
    </row>
    <row r="14901">
      <c r="A14901" s="1">
        <v>5.0</v>
      </c>
      <c r="B14901" s="1" t="s">
        <v>14741</v>
      </c>
      <c r="C14901" t="str">
        <f>IFERROR(__xludf.DUMMYFUNCTION("GOOGLETRANSLATE(B14901, ""zh"", ""en"")"),"Little effect. . Logistics arrive about a week or so, my mother has been eating this medicine, listen to her little effect, bought last finished, this time back to buy, where to buy and cheaper to buy than her own point, yes")</f>
        <v>Little effect. . Logistics arrive about a week or so, my mother has been eating this medicine, listen to her little effect, bought last finished, this time back to buy, where to buy and cheaper to buy than her own point, yes</v>
      </c>
    </row>
    <row r="14902">
      <c r="A14902" s="1">
        <v>5.0</v>
      </c>
      <c r="B14902" s="1" t="s">
        <v>14742</v>
      </c>
      <c r="C14902" t="str">
        <f>IFERROR(__xludf.DUMMYFUNCTION("GOOGLETRANSLATE(B14902, ""zh"", ""en"")"),"Plastic Mmm good, very good to eat for a month, every day will be on the toilet")</f>
        <v>Plastic Mmm good, very good to eat for a month, every day will be on the toilet</v>
      </c>
    </row>
    <row r="14903">
      <c r="A14903" s="1">
        <v>5.0</v>
      </c>
      <c r="B14903" s="1" t="s">
        <v>14743</v>
      </c>
      <c r="C14903" t="str">
        <f>IFERROR(__xludf.DUMMYFUNCTION("GOOGLETRANSLATE(B14903, ""zh"", ""en"")"),"This seems very much like a lot lighter than the other classic models, and leather will not be too hard, more comfortable, usually because of high instep Martin boots to buy freshman code, this should be the normal code, the code can be added insoles to w"&amp;"ear freshman thick socks")</f>
        <v>This seems very much like a lot lighter than the other classic models, and leather will not be too hard, more comfortable, usually because of high instep Martin boots to buy freshman code, this should be the normal code, the code can be added insoles to wear freshman thick socks</v>
      </c>
    </row>
    <row r="14904">
      <c r="A14904" s="1">
        <v>5.0</v>
      </c>
      <c r="B14904" s="1" t="s">
        <v>14744</v>
      </c>
      <c r="C14904" t="str">
        <f>IFERROR(__xludf.DUMMYFUNCTION("GOOGLETRANSLATE(B14904, ""zh"", ""en"")"),"Receipt is also good for too long I feel good taste, fine drink. Like milkshake")</f>
        <v>Receipt is also good for too long I feel good taste, fine drink. Like milkshake</v>
      </c>
    </row>
    <row r="14905">
      <c r="A14905" s="1">
        <v>5.0</v>
      </c>
      <c r="B14905" s="1" t="s">
        <v>14745</v>
      </c>
      <c r="C14905" t="str">
        <f>IFERROR(__xludf.DUMMYFUNCTION("GOOGLETRANSLATE(B14905, ""zh"", ""en"")"),"This is particularly good storage box is also particularly good store food supplement tears did not taste")</f>
        <v>This is particularly good storage box is also particularly good store food supplement tears did not taste</v>
      </c>
    </row>
    <row r="14906">
      <c r="A14906" s="1">
        <v>5.0</v>
      </c>
      <c r="B14906" s="1" t="s">
        <v>14746</v>
      </c>
      <c r="C14906" t="str">
        <f>IFERROR(__xludf.DUMMYFUNCTION("GOOGLETRANSLATE(B14906, ""zh"", ""en"")"),"Bought a few years before to evaluate, very good in all aspects of shoes to wear ten years is absolutely no problem, ha ha! Bought a few years before to evaluate, very good in all aspects of shoes to wear ten years is absolutely no problem, ha ha!")</f>
        <v>Bought a few years before to evaluate, very good in all aspects of shoes to wear ten years is absolutely no problem, ha ha! Bought a few years before to evaluate, very good in all aspects of shoes to wear ten years is absolutely no problem, ha ha!</v>
      </c>
    </row>
    <row r="14907">
      <c r="A14907" s="1">
        <v>5.0</v>
      </c>
      <c r="B14907" s="1" t="s">
        <v>14747</v>
      </c>
      <c r="C14907" t="str">
        <f>IFERROR(__xludf.DUMMYFUNCTION("GOOGLETRANSLATE(B14907, ""zh"", ""en"")"),"I do not know with a high temperature of the water will not deform good quality, girlfriends to buy a breast pump hot milk to the baby's pacifier is Avent, online search over the next, AVENT reputation is very good, two cups are cute, though cheaper than "&amp;"a treasure, if there is one large and one small club this combination even more friends")</f>
        <v>I do not know with a high temperature of the water will not deform good quality, girlfriends to buy a breast pump hot milk to the baby's pacifier is Avent, online search over the next, AVENT reputation is very good, two cups are cute, though cheaper than a treasure, if there is one large and one small club this combination even more friends</v>
      </c>
    </row>
    <row r="14908">
      <c r="A14908" s="1">
        <v>5.0</v>
      </c>
      <c r="B14908" s="1" t="s">
        <v>14748</v>
      </c>
      <c r="C14908" t="str">
        <f>IFERROR(__xludf.DUMMYFUNCTION("GOOGLETRANSLATE(B14908, ""zh"", ""en"")"),"Worth buying good, high cost")</f>
        <v>Worth buying good, high cost</v>
      </c>
    </row>
    <row r="14909">
      <c r="A14909" s="1">
        <v>5.0</v>
      </c>
      <c r="B14909" s="1" t="s">
        <v>14749</v>
      </c>
      <c r="C14909" t="str">
        <f>IFERROR(__xludf.DUMMYFUNCTION("GOOGLETRANSLATE(B14909, ""zh"", ""en"")"),"There are cheap assured purchase on Taobao flagship store purchasing, but do not worry, Amazon to buy the rest assured, and the price is pretty good compared with up well with the hand can go directly into his scrub, but said he was weaned artifact exagge"&amp;"rated, not like a bottle of baby is definitely not used. Another baby touches can hold their own milk a ~ Express also can be it, about half a month to the packaging is very simple, the courier is very cute ~")</f>
        <v>There are cheap assured purchase on Taobao flagship store purchasing, but do not worry, Amazon to buy the rest assured, and the price is pretty good compared with up well with the hand can go directly into his scrub, but said he was weaned artifact exaggerated, not like a bottle of baby is definitely not used. Another baby touches can hold their own milk a ~ Express also can be it, about half a month to the packaging is very simple, the courier is very cute ~</v>
      </c>
    </row>
    <row r="14910">
      <c r="A14910" s="1">
        <v>5.0</v>
      </c>
      <c r="B14910" s="1" t="s">
        <v>14750</v>
      </c>
      <c r="C14910" t="str">
        <f>IFERROR(__xludf.DUMMYFUNCTION("GOOGLETRANSLATE(B14910, ""zh"", ""en"")"),"Fortunately, not use, give love to buy")</f>
        <v>Fortunately, not use, give love to buy</v>
      </c>
    </row>
    <row r="14911">
      <c r="A14911" s="1">
        <v>5.0</v>
      </c>
      <c r="B14911" s="1" t="s">
        <v>14751</v>
      </c>
      <c r="C14911" t="str">
        <f>IFERROR(__xludf.DUMMYFUNCTION("GOOGLETRANSLATE(B14911, ""zh"", ""en"")"),"Before about this shoe size to buy shoes, looked content for a long time sizes in the comments. After the goods to the just. I am slim, slim feet, his own impression is wearing 42 yards shoes. This time bought his list 8M (41 yards), the right size. Shoe "&amp;"size think this thing is really a mess, different brands are not the same feeling. So statistics under their own several pairs of shoes. When you give us a reference to it (see picture). In the picture, the size of the shoes are marked ""Timberland US"".")</f>
        <v>Before about this shoe size to buy shoes, looked content for a long time sizes in the comments. After the goods to the just. I am slim, slim feet, his own impression is wearing 42 yards shoes. This time bought his list 8M (41 yards), the right size. Shoe size think this thing is really a mess, different brands are not the same feeling. So statistics under their own several pairs of shoes. When you give us a reference to it (see picture). In the picture, the size of the shoes are marked "Timberland US".</v>
      </c>
    </row>
    <row r="14912">
      <c r="A14912" s="1">
        <v>5.0</v>
      </c>
      <c r="B14912" s="1" t="s">
        <v>14752</v>
      </c>
      <c r="C14912" t="str">
        <f>IFERROR(__xludf.DUMMYFUNCTION("GOOGLETRANSLATE(B14912, ""zh"", ""en"")"),"Express lovely bottle was opened, but there is no open, very cute I like")</f>
        <v>Express lovely bottle was opened, but there is no open, very cute I like</v>
      </c>
    </row>
    <row r="14913">
      <c r="A14913" s="1">
        <v>5.0</v>
      </c>
      <c r="B14913" s="1" t="s">
        <v>14753</v>
      </c>
      <c r="C14913" t="str">
        <f>IFERROR(__xludf.DUMMYFUNCTION("GOOGLETRANSLATE(B14913, ""zh"", ""en"")"),"Easy installation Yes, standard-star hotel, the family night worth having.")</f>
        <v>Easy installation Yes, standard-star hotel, the family night worth having.</v>
      </c>
    </row>
    <row r="14914">
      <c r="A14914" s="1">
        <v>5.0</v>
      </c>
      <c r="B14914" s="1" t="s">
        <v>14754</v>
      </c>
      <c r="C14914" t="str">
        <f>IFERROR(__xludf.DUMMYFUNCTION("GOOGLETRANSLATE(B14914, ""zh"", ""en"")"),"Watches look good for the first time in the Amazon shopping, watch very satisfied, good looks and generous introduction, like this one, it should be genuine")</f>
        <v>Watches look good for the first time in the Amazon shopping, watch very satisfied, good looks and generous introduction, like this one, it should be genuine</v>
      </c>
    </row>
    <row r="14915">
      <c r="A14915" s="1">
        <v>5.0</v>
      </c>
      <c r="B14915" s="1" t="s">
        <v>14755</v>
      </c>
      <c r="C14915" t="str">
        <f>IFERROR(__xludf.DUMMYFUNCTION("GOOGLETRANSLATE(B14915, ""zh"", ""en"")"),"Good cotton soft and comfortable, 170,62 kg, wide shoulders, narrow shoulder wear S code, other ok")</f>
        <v>Good cotton soft and comfortable, 170,62 kg, wide shoulders, narrow shoulder wear S code, other ok</v>
      </c>
    </row>
    <row r="14916">
      <c r="A14916" s="1">
        <v>2.0</v>
      </c>
      <c r="B14916" s="1" t="s">
        <v>14756</v>
      </c>
      <c r="C14916" t="str">
        <f>IFERROR(__xludf.DUMMYFUNCTION("GOOGLETRANSLATE(B14916, ""zh"", ""en"")"),"How maintenance problems have not been solved for a year to buy how to use the right side of the switch so bad now, where repairs can not find, because it is overseas shopping, Post to the US side is impossible, so the warranty can not be solved.")</f>
        <v>How maintenance problems have not been solved for a year to buy how to use the right side of the switch so bad now, where repairs can not find, because it is overseas shopping, Post to the US side is impossible, so the warranty can not be solved.</v>
      </c>
    </row>
    <row r="14917">
      <c r="A14917" s="1">
        <v>3.0</v>
      </c>
      <c r="B14917" s="1" t="s">
        <v>14757</v>
      </c>
      <c r="C14917" t="str">
        <f>IFERROR(__xludf.DUMMYFUNCTION("GOOGLETRANSLATE(B14917, ""zh"", ""en"")"),"The feeling is good size is quite suitable for them, no rims feel more comfortable, just in front of the chest pad is not feeling very soft! The back is also more personal comfort! No underwire style is relatively effective steel ring is not so good, not "&amp;"good breast shape, but not uncomfortable bondage!")</f>
        <v>The feeling is good size is quite suitable for them, no rims feel more comfortable, just in front of the chest pad is not feeling very soft! The back is also more personal comfort! No underwire style is relatively effective steel ring is not so good, not good breast shape, but not uncomfortable bondage!</v>
      </c>
    </row>
    <row r="14918">
      <c r="A14918" s="1">
        <v>3.0</v>
      </c>
      <c r="B14918" s="1" t="s">
        <v>14758</v>
      </c>
      <c r="C14918" t="str">
        <f>IFERROR(__xludf.DUMMYFUNCTION("GOOGLETRANSLATE(B14918, ""zh"", ""en"")"),"Size obviously does not match the size is too large, inconsistent with the size of the table, above the waist exceeds the maximum 2cm")</f>
        <v>Size obviously does not match the size is too large, inconsistent with the size of the table, above the waist exceeds the maximum 2cm</v>
      </c>
    </row>
    <row r="14919">
      <c r="A14919" s="1">
        <v>1.0</v>
      </c>
      <c r="B14919" s="1" t="s">
        <v>14759</v>
      </c>
      <c r="C14919" t="str">
        <f>IFERROR(__xludf.DUMMYFUNCTION("GOOGLETRANSLATE(B14919, ""zh"", ""en"")"),"Noise, does not support the return, a large cargo Amazon deceptive noise, music ah, it is not as good iron triangle 2 million, the money thrown, not to return. Too pit.")</f>
        <v>Noise, does not support the return, a large cargo Amazon deceptive noise, music ah, it is not as good iron triangle 2 million, the money thrown, not to return. Too pit.</v>
      </c>
    </row>
    <row r="14920">
      <c r="A14920" s="1">
        <v>1.0</v>
      </c>
      <c r="B14920" s="1" t="s">
        <v>14760</v>
      </c>
      <c r="C14920" t="str">
        <f>IFERROR(__xludf.DUMMYFUNCTION("GOOGLETRANSLATE(B14920, ""zh"", ""en"")"),"Too small to wear very tight and uncomfortable.")</f>
        <v>Too small to wear very tight and uncomfortable.</v>
      </c>
    </row>
    <row r="14921">
      <c r="A14921" s="1">
        <v>1.0</v>
      </c>
      <c r="B14921" s="1" t="s">
        <v>14761</v>
      </c>
      <c r="C14921" t="str">
        <f>IFERROR(__xludf.DUMMYFUNCTION("GOOGLETRANSLATE(B14921, ""zh"", ""en"")"),"Worth just to scrape together to buy a single, domestic goods than ten 3,4 spread the good quality, plus customs duties too pit.")</f>
        <v>Worth just to scrape together to buy a single, domestic goods than ten 3,4 spread the good quality, plus customs duties too pit.</v>
      </c>
    </row>
    <row r="14922">
      <c r="A14922" s="1">
        <v>4.0</v>
      </c>
      <c r="B14922" s="1" t="s">
        <v>14762</v>
      </c>
      <c r="C14922" t="str">
        <f>IFERROR(__xludf.DUMMYFUNCTION("GOOGLETRANSLATE(B14922, ""zh"", ""en"")"),"Suggestions 183,82, l number is too large")</f>
        <v>Suggestions 183,82, l number is too large</v>
      </c>
    </row>
    <row r="14923">
      <c r="A14923" s="1">
        <v>4.0</v>
      </c>
      <c r="B14923" s="1" t="s">
        <v>14763</v>
      </c>
      <c r="C14923" t="str">
        <f>IFERROR(__xludf.DUMMYFUNCTION("GOOGLETRANSLATE(B14923, ""zh"", ""en"")"),"Clothes of good quality fabric is very soft, which add thin cashmere, 158,90 pounds to wear the sleeves a little long, the quality is good")</f>
        <v>Clothes of good quality fabric is very soft, which add thin cashmere, 158,90 pounds to wear the sleeves a little long, the quality is good</v>
      </c>
    </row>
    <row r="14924">
      <c r="A14924" s="1">
        <v>4.0</v>
      </c>
      <c r="B14924" s="1" t="s">
        <v>14764</v>
      </c>
      <c r="C14924" t="str">
        <f>IFERROR(__xludf.DUMMYFUNCTION("GOOGLETRANSLATE(B14924, ""zh"", ""en"")"),"Mauritius produce clothes too small, but some clothes too small. Wranger denim clothing usually wear M code, ck is the L symbols selected from this point or small, and some long sleeves, the upper body of the person is estimated to be overweight large one"&amp;" code selected from the job.")</f>
        <v>Mauritius produce clothes too small, but some clothes too small. Wranger denim clothing usually wear M code, ck is the L symbols selected from this point or small, and some long sleeves, the upper body of the person is estimated to be overweight large one code selected from the job.</v>
      </c>
    </row>
    <row r="14925">
      <c r="A14925" s="1">
        <v>4.0</v>
      </c>
      <c r="B14925" s="1" t="s">
        <v>14765</v>
      </c>
      <c r="C14925" t="str">
        <f>IFERROR(__xludf.DUMMYFUNCTION("GOOGLETRANSLATE(B14925, ""zh"", ""en"")"),"Good quality winter wear in the gym running, good ventilation, good quality")</f>
        <v>Good quality winter wear in the gym running, good ventilation, good quality</v>
      </c>
    </row>
    <row r="14926">
      <c r="A14926" s="1">
        <v>4.0</v>
      </c>
      <c r="B14926" s="1" t="s">
        <v>14766</v>
      </c>
      <c r="C14926" t="str">
        <f>IFERROR(__xludf.DUMMYFUNCTION("GOOGLETRANSLATE(B14926, ""zh"", ""en"")"),"Generally this bra general, the lower edge of a little loose, always run up")</f>
        <v>Generally this bra general, the lower edge of a little loose, always run up</v>
      </c>
    </row>
    <row r="14927">
      <c r="A14927" s="1">
        <v>5.0</v>
      </c>
      <c r="B14927" s="1" t="s">
        <v>14767</v>
      </c>
      <c r="C14927" t="str">
        <f>IFERROR(__xludf.DUMMYFUNCTION("GOOGLETRANSLATE(B14927, ""zh"", ""en"")"),"Praise very easy to use a spoon, just very suitable for complementary feeding baby")</f>
        <v>Praise very easy to use a spoon, just very suitable for complementary feeding baby</v>
      </c>
    </row>
    <row r="14928">
      <c r="A14928" s="1">
        <v>5.0</v>
      </c>
      <c r="B14928" s="1" t="s">
        <v>14768</v>
      </c>
      <c r="C14928" t="str">
        <f>IFERROR(__xludf.DUMMYFUNCTION("GOOGLETRANSLATE(B14928, ""zh"", ""en"")"),"Good feet comfortable shoes, usually 40 yards feet, UK6.5 the right a little margin, more handsome")</f>
        <v>Good feet comfortable shoes, usually 40 yards feet, UK6.5 the right a little margin, more handsome</v>
      </c>
    </row>
    <row r="14929">
      <c r="A14929" s="1">
        <v>5.0</v>
      </c>
      <c r="B14929" s="1" t="s">
        <v>14769</v>
      </c>
      <c r="C14929" t="str">
        <f>IFERROR(__xludf.DUMMYFUNCTION("GOOGLETRANSLATE(B14929, ""zh"", ""en"")"),"M code 185 height, wear M just right")</f>
        <v>M code 185 height, wear M just right</v>
      </c>
    </row>
    <row r="14930">
      <c r="A14930" s="1">
        <v>5.0</v>
      </c>
      <c r="B14930" s="1" t="s">
        <v>14770</v>
      </c>
      <c r="C14930" t="str">
        <f>IFERROR(__xludf.DUMMYFUNCTION("GOOGLETRANSLATE(B14930, ""zh"", ""en"")"),"Headphones good, cost-effective, up to a week, slightly shabby packaging, the box is broken")</f>
        <v>Headphones good, cost-effective, up to a week, slightly shabby packaging, the box is broken</v>
      </c>
    </row>
    <row r="14931">
      <c r="A14931" s="1">
        <v>5.0</v>
      </c>
      <c r="B14931" s="1" t="s">
        <v>14771</v>
      </c>
      <c r="C14931" t="str">
        <f>IFERROR(__xludf.DUMMYFUNCTION("GOOGLETRANSLATE(B14931, ""zh"", ""en"")"),"Not bad, like a good good, like this one, very comfortable.")</f>
        <v>Not bad, like a good good, like this one, very comfortable.</v>
      </c>
    </row>
    <row r="14932">
      <c r="A14932" s="1">
        <v>5.0</v>
      </c>
      <c r="B14932" s="1" t="s">
        <v>14772</v>
      </c>
      <c r="C14932" t="str">
        <f>IFERROR(__xludf.DUMMYFUNCTION("GOOGLETRANSLATE(B14932, ""zh"", ""en"")"),"Just the right shoe size comfortable breathable, wild gray")</f>
        <v>Just the right shoe size comfortable breathable, wild gray</v>
      </c>
    </row>
    <row r="14933">
      <c r="A14933" s="1">
        <v>5.0</v>
      </c>
      <c r="B14933" s="1" t="s">
        <v>14773</v>
      </c>
      <c r="C14933" t="str">
        <f>IFERROR(__xludf.DUMMYFUNCTION("GOOGLETRANSLATE(B14933, ""zh"", ""en"")"),"1 177cm 85kg integer number m Good")</f>
        <v>1 177cm 85kg integer number m Good</v>
      </c>
    </row>
    <row r="14934">
      <c r="A14934" s="1">
        <v>5.0</v>
      </c>
      <c r="B14934" s="1" t="s">
        <v>14774</v>
      </c>
      <c r="C14934" t="str">
        <f>IFERROR(__xludf.DUMMYFUNCTION("GOOGLETRANSLATE(B14934, ""zh"", ""en"")"),"This is true this may be a good buy")</f>
        <v>This is true this may be a good buy</v>
      </c>
    </row>
    <row r="14935">
      <c r="A14935" s="1">
        <v>5.0</v>
      </c>
      <c r="B14935" s="1" t="s">
        <v>14775</v>
      </c>
      <c r="C14935" t="str">
        <f>IFERROR(__xludf.DUMMYFUNCTION("GOOGLETRANSLATE(B14935, ""zh"", ""en"")"),"Perfect style can only be described as perfect, comfortable, linen trouser pocket lining turned out to be")</f>
        <v>Perfect style can only be described as perfect, comfortable, linen trouser pocket lining turned out to be</v>
      </c>
    </row>
    <row r="14936">
      <c r="A14936" s="1">
        <v>5.0</v>
      </c>
      <c r="B14936" s="1" t="s">
        <v>14776</v>
      </c>
      <c r="C14936" t="str">
        <f>IFERROR(__xludf.DUMMYFUNCTION("GOOGLETRANSLATE(B14936, ""zh"", ""en"")"),"Clothing sizes too small clothes quality is still possible, with the European and American version is not the same size, to buy their own size in the country")</f>
        <v>Clothing sizes too small clothes quality is still possible, with the European and American version is not the same size, to buy their own size in the country</v>
      </c>
    </row>
    <row r="14937">
      <c r="A14937" s="1">
        <v>5.0</v>
      </c>
      <c r="B14937" s="1" t="s">
        <v>14777</v>
      </c>
      <c r="C14937" t="str">
        <f>IFERROR(__xludf.DUMMYFUNCTION("GOOGLETRANSLATE(B14937, ""zh"", ""en"")"),"Large yard, work somewhat less positive version of the US version of the big yards, long sleeves, M No. L code phase Chanyu Asia. 172cm, 85kg, M number of suitable, if the number is S, should be relatively slim. US version did not work and meticulous dome"&amp;"stic OEM, slightly rough, but the price is affordable, positive version.")</f>
        <v>Large yard, work somewhat less positive version of the US version of the big yards, long sleeves, M No. L code phase Chanyu Asia. 172cm, 85kg, M number of suitable, if the number is S, should be relatively slim. US version did not work and meticulous domestic OEM, slightly rough, but the price is affordable, positive version.</v>
      </c>
    </row>
    <row r="14938">
      <c r="A14938" s="1">
        <v>5.0</v>
      </c>
      <c r="B14938" s="1" t="s">
        <v>14778</v>
      </c>
      <c r="C14938" t="str">
        <f>IFERROR(__xludf.DUMMYFUNCTION("GOOGLETRANSLATE(B14938, ""zh"", ""en"")"),"Something good, not something good packaging, but packaging is too simple, a plastic bag on my banana gutta box was almost broke. And there is a hole in the packaging above, there are serious unpacking suspect.")</f>
        <v>Something good, not something good packaging, but packaging is too simple, a plastic bag on my banana gutta box was almost broke. And there is a hole in the packaging above, there are serious unpacking suspect.</v>
      </c>
    </row>
    <row r="14939">
      <c r="A14939" s="1">
        <v>5.0</v>
      </c>
      <c r="B14939" s="1" t="s">
        <v>14779</v>
      </c>
      <c r="C14939" t="str">
        <f>IFERROR(__xludf.DUMMYFUNCTION("GOOGLETRANSLATE(B14939, ""zh"", ""en"")"),"Not consistent with the description, wearing after a period of time, good product quality, fine workmanship. Praise.")</f>
        <v>Not consistent with the description, wearing after a period of time, good product quality, fine workmanship. Praise.</v>
      </c>
    </row>
    <row r="14940">
      <c r="A14940" s="1">
        <v>5.0</v>
      </c>
      <c r="B14940" s="1" t="s">
        <v>14780</v>
      </c>
      <c r="C14940" t="str">
        <f>IFERROR(__xludf.DUMMYFUNCTION("GOOGLETRANSLATE(B14940, ""zh"", ""en"")"),"Meanwhile workmanship is very good and easy to carry easy to use a razor, travel is very convenient to carry")</f>
        <v>Meanwhile workmanship is very good and easy to carry easy to use a razor, travel is very convenient to carry</v>
      </c>
    </row>
    <row r="14941">
      <c r="A14941" s="1">
        <v>5.0</v>
      </c>
      <c r="B14941" s="1" t="s">
        <v>14781</v>
      </c>
      <c r="C14941" t="str">
        <f>IFERROR(__xludf.DUMMYFUNCTION("GOOGLETRANSLATE(B14941, ""zh"", ""en"")"),"Austrian pretty good pretty good, very good, we like money")</f>
        <v>Austrian pretty good pretty good, very good, we like money</v>
      </c>
    </row>
    <row r="14942">
      <c r="A14942" s="1">
        <v>5.0</v>
      </c>
      <c r="B14942" s="1" t="s">
        <v>14782</v>
      </c>
      <c r="C14942" t="str">
        <f>IFERROR(__xludf.DUMMYFUNCTION("GOOGLETRANSLATE(B14942, ""zh"", ""en"")"),"Very good shipping quickly, feel good, video clips need a headphone listening level.")</f>
        <v>Very good shipping quickly, feel good, video clips need a headphone listening level.</v>
      </c>
    </row>
    <row r="14943">
      <c r="A14943" s="1">
        <v>5.0</v>
      </c>
      <c r="B14943" s="1" t="s">
        <v>14783</v>
      </c>
      <c r="C14943" t="str">
        <f>IFERROR(__xludf.DUMMYFUNCTION("GOOGLETRANSLATE(B14943, ""zh"", ""en"")"),"Great shoes most comfortable casual shoes, wear-resistant rubber soles, the four seasons can wear not cover their feet")</f>
        <v>Great shoes most comfortable casual shoes, wear-resistant rubber soles, the four seasons can wear not cover their feet</v>
      </c>
    </row>
    <row r="14944">
      <c r="A14944" s="1">
        <v>5.0</v>
      </c>
      <c r="B14944" s="1" t="s">
        <v>14784</v>
      </c>
      <c r="C14944" t="str">
        <f>IFERROR(__xludf.DUMMYFUNCTION("GOOGLETRANSLATE(B14944, ""zh"", ""en"")"),"When the store is very good pregnancy, baby more than two months now, it has been in use.")</f>
        <v>When the store is very good pregnancy, baby more than two months now, it has been in use.</v>
      </c>
    </row>
    <row r="14945">
      <c r="A14945" s="1">
        <v>5.0</v>
      </c>
      <c r="B14945" s="1" t="s">
        <v>14785</v>
      </c>
      <c r="C14945" t="str">
        <f>IFERROR(__xludf.DUMMYFUNCTION("GOOGLETRANSLATE(B14945, ""zh"", ""en"")"),"Thermal insulation effect is very good, large capacity")</f>
        <v>Thermal insulation effect is very good, large capacity</v>
      </c>
    </row>
    <row r="14946">
      <c r="A14946" s="1">
        <v>5.0</v>
      </c>
      <c r="B14946" s="1" t="s">
        <v>14786</v>
      </c>
      <c r="C14946" t="str">
        <f>IFERROR(__xludf.DUMMYFUNCTION("GOOGLETRANSLATE(B14946, ""zh"", ""en"")"),"Good Excellent quality brands trusted")</f>
        <v>Good Excellent quality brands trusted</v>
      </c>
    </row>
    <row r="14947">
      <c r="A14947" s="1">
        <v>5.0</v>
      </c>
      <c r="B14947" s="1" t="s">
        <v>9208</v>
      </c>
      <c r="C14947" t="str">
        <f>IFERROR(__xludf.DUMMYFUNCTION("GOOGLETRANSLATE(B14947, ""zh"", ""en"")"),"Worth buying the arrival of a lot faster, Magimix 5200XL Food Processor is very good, definitely the kitchen artifact, the price is the United States, it is easy to operate, it is worth buying.")</f>
        <v>Worth buying the arrival of a lot faster, Magimix 5200XL Food Processor is very good, definitely the kitchen artifact, the price is the United States, it is easy to operate, it is worth buying.</v>
      </c>
    </row>
    <row r="14948">
      <c r="A14948" s="1">
        <v>5.0</v>
      </c>
      <c r="B14948" s="1" t="s">
        <v>14787</v>
      </c>
      <c r="C14948" t="str">
        <f>IFERROR(__xludf.DUMMYFUNCTION("GOOGLETRANSLATE(B14948, ""zh"", ""en"")"),"Comfort is very comfortable, great help for jogging")</f>
        <v>Comfort is very comfortable, great help for jogging</v>
      </c>
    </row>
    <row r="14949">
      <c r="A14949" s="1">
        <v>2.0</v>
      </c>
      <c r="B14949" s="1" t="s">
        <v>14788</v>
      </c>
      <c r="C14949" t="str">
        <f>IFERROR(__xludf.DUMMYFUNCTION("GOOGLETRANSLATE(B14949, ""zh"", ""en"")"),"Small size, fade sizes too small, a little tight waist, crotch Le uncomfortable. In the country to buy 504 of the same section 28w waistline is not so small. Hand wash today to get serious over the water fade, wash out of the water Haohei 😟")</f>
        <v>Small size, fade sizes too small, a little tight waist, crotch Le uncomfortable. In the country to buy 504 of the same section 28w waistline is not so small. Hand wash today to get serious over the water fade, wash out of the water Haohei 😟</v>
      </c>
    </row>
    <row r="14950">
      <c r="A14950" s="1">
        <v>3.0</v>
      </c>
      <c r="B14950" s="1" t="s">
        <v>14789</v>
      </c>
      <c r="C14950" t="str">
        <f>IFERROR(__xludf.DUMMYFUNCTION("GOOGLETRANSLATE(B14950, ""zh"", ""en"")"),"Too big 1.5-inch waist shorts")</f>
        <v>Too big 1.5-inch waist shorts</v>
      </c>
    </row>
    <row r="14951">
      <c r="A14951" s="1">
        <v>3.0</v>
      </c>
      <c r="B14951" s="1" t="s">
        <v>14790</v>
      </c>
      <c r="C14951" t="str">
        <f>IFERROR(__xludf.DUMMYFUNCTION("GOOGLETRANSLATE(B14951, ""zh"", ""en"")"),"Tooooo big for the size is also a big M code, but this may be because this is the section trademark loose is 165 / 70A in fact a ruler is 80cm +")</f>
        <v>Tooooo big for the size is also a big M code, but this may be because this is the section trademark loose is 165 / 70A in fact a ruler is 80cm +</v>
      </c>
    </row>
    <row r="14952">
      <c r="A14952" s="1">
        <v>3.0</v>
      </c>
      <c r="B14952" s="1" t="s">
        <v>14791</v>
      </c>
      <c r="C14952" t="str">
        <f>IFERROR(__xludf.DUMMYFUNCTION("GOOGLETRANSLATE(B14952, ""zh"", ""en"")"),"Very warm, buy big do not know whether to buy big, not very attached to foot part of the foot. Warm and good, Guangzhou cool these days, you can wear a skirt. Only to see I bought the L, in fact, most of the sister paper S is enough")</f>
        <v>Very warm, buy big do not know whether to buy big, not very attached to foot part of the foot. Warm and good, Guangzhou cool these days, you can wear a skirt. Only to see I bought the L, in fact, most of the sister paper S is enough</v>
      </c>
    </row>
    <row r="14953">
      <c r="A14953" s="1">
        <v>1.0</v>
      </c>
      <c r="B14953" s="1" t="s">
        <v>14792</v>
      </c>
      <c r="C14953" t="str">
        <f>IFERROR(__xludf.DUMMYFUNCTION("GOOGLETRANSLATE(B14953, ""zh"", ""en"")"),"chiff Move Free Glucosamine Glucosamine Chondroitin Glucosamine dimension goods received on the case, the box rotten, packing too bad. Negative Ratings! ! !")</f>
        <v>chiff Move Free Glucosamine Glucosamine Chondroitin Glucosamine dimension goods received on the case, the box rotten, packing too bad. Negative Ratings! ! !</v>
      </c>
    </row>
    <row r="14954">
      <c r="A14954" s="1">
        <v>1.0</v>
      </c>
      <c r="B14954" s="1" t="s">
        <v>14793</v>
      </c>
      <c r="C14954" t="str">
        <f>IFERROR(__xludf.DUMMYFUNCTION("GOOGLETRANSLATE(B14954, ""zh"", ""en"")"),"The wrong goods sent the wrong goods, and made not buy this one")</f>
        <v>The wrong goods sent the wrong goods, and made not buy this one</v>
      </c>
    </row>
    <row r="14955">
      <c r="A14955" s="1">
        <v>1.0</v>
      </c>
      <c r="B14955" s="1" t="s">
        <v>14794</v>
      </c>
      <c r="C14955" t="str">
        <f>IFERROR(__xludf.DUMMYFUNCTION("GOOGLETRANSLATE(B14955, ""zh"", ""en"")"),"Packaging is not good pot pot collision, when ears are unfortunately received a knocked. Parcel to put a few air bag crash, useless")</f>
        <v>Packaging is not good pot pot collision, when ears are unfortunately received a knocked. Parcel to put a few air bag crash, useless</v>
      </c>
    </row>
    <row r="14956">
      <c r="A14956" s="1">
        <v>4.0</v>
      </c>
      <c r="B14956" s="1" t="s">
        <v>14795</v>
      </c>
      <c r="C14956" t="str">
        <f>IFERROR(__xludf.DUMMYFUNCTION("GOOGLETRANSLATE(B14956, ""zh"", ""en"")"),"still alright. The disadvantage is: after burning the water, do not touch her skin, burnt to death you!")</f>
        <v>still alright. The disadvantage is: after burning the water, do not touch her skin, burnt to death you!</v>
      </c>
    </row>
    <row r="14957">
      <c r="A14957" s="1">
        <v>4.0</v>
      </c>
      <c r="B14957" s="1" t="s">
        <v>14796</v>
      </c>
      <c r="C14957" t="str">
        <f>IFERROR(__xludf.DUMMYFUNCTION("GOOGLETRANSLATE(B14957, ""zh"", ""en"")"),"Very satisfied 8EE, my feet wide, but this does not seem to squeeze the foot. Simple packaging, no insole, does not affect the wear. Overall quite satisfactory")</f>
        <v>Very satisfied 8EE, my feet wide, but this does not seem to squeeze the foot. Simple packaging, no insole, does not affect the wear. Overall quite satisfactory</v>
      </c>
    </row>
    <row r="14958">
      <c r="A14958" s="1">
        <v>4.0</v>
      </c>
      <c r="B14958" s="1" t="s">
        <v>14797</v>
      </c>
      <c r="C14958" t="str">
        <f>IFERROR(__xludf.DUMMYFUNCTION("GOOGLETRANSLATE(B14958, ""zh"", ""en"")"),"Thin feet long or more accurate, but a little thin")</f>
        <v>Thin feet long or more accurate, but a little thin</v>
      </c>
    </row>
    <row r="14959">
      <c r="A14959" s="1">
        <v>4.0</v>
      </c>
      <c r="B14959" s="1" t="s">
        <v>14798</v>
      </c>
      <c r="C14959" t="str">
        <f>IFERROR(__xludf.DUMMYFUNCTION("GOOGLETRANSLATE(B14959, ""zh"", ""en"")"),"Ddrops Baby 400 IU Vitamin D3 drops has not yet begun to use, shipping logistics speed is a bit slow, Amazon's customer service work or to do good, good overall assessment!")</f>
        <v>Ddrops Baby 400 IU Vitamin D3 drops has not yet begun to use, shipping logistics speed is a bit slow, Amazon's customer service work or to do good, good overall assessment!</v>
      </c>
    </row>
    <row r="14960">
      <c r="A14960" s="1">
        <v>4.0</v>
      </c>
      <c r="B14960" s="1" t="s">
        <v>14799</v>
      </c>
      <c r="C14960" t="str">
        <f>IFERROR(__xludf.DUMMYFUNCTION("GOOGLETRANSLATE(B14960, ""zh"", ""en"")"),"A large bag big bag, no zipper on the bag mouth only a dark button. It can hold, easy to travel with clothes")</f>
        <v>A large bag big bag, no zipper on the bag mouth only a dark button. It can hold, easy to travel with clothes</v>
      </c>
    </row>
    <row r="14961">
      <c r="A14961" s="1">
        <v>5.0</v>
      </c>
      <c r="B14961" s="1" t="s">
        <v>14800</v>
      </c>
      <c r="C14961" t="str">
        <f>IFERROR(__xludf.DUMMYFUNCTION("GOOGLETRANSLATE(B14961, ""zh"", ""en"")"),"Pakistan produced for the first time to buy LEE LEE produced in Pakistan, size, length just right, very slim, comfortable, good version, suitable for spring and autumn wear")</f>
        <v>Pakistan produced for the first time to buy LEE LEE produced in Pakistan, size, length just right, very slim, comfortable, good version, suitable for spring and autumn wear</v>
      </c>
    </row>
    <row r="14962">
      <c r="A14962" s="1">
        <v>5.0</v>
      </c>
      <c r="B14962" s="1" t="s">
        <v>14801</v>
      </c>
      <c r="C14962" t="str">
        <f>IFERROR(__xludf.DUMMYFUNCTION("GOOGLETRANSLATE(B14962, ""zh"", ""en"")"),"Thermal insulation effect, a large volume of insulation little effect, two cups out with a relatively easy and convenient. Slightly large volume")</f>
        <v>Thermal insulation effect, a large volume of insulation little effect, two cups out with a relatively easy and convenient. Slightly large volume</v>
      </c>
    </row>
    <row r="14963">
      <c r="A14963" s="1">
        <v>5.0</v>
      </c>
      <c r="B14963" s="1" t="s">
        <v>14802</v>
      </c>
      <c r="C14963" t="str">
        <f>IFERROR(__xludf.DUMMYFUNCTION("GOOGLETRANSLATE(B14963, ""zh"", ""en"")"),"German shipping WMF very easy to buy a second, to help students buy, own the year before to buy, easy to use, recommended to the students. If there is a need will continue to buy. Juicer juice is very delicate, excluding time to prepare fruit juice formal"&amp;"ly pressed to come up with complete wash, do not for a minute. very useful.")</f>
        <v>German shipping WMF very easy to buy a second, to help students buy, own the year before to buy, easy to use, recommended to the students. If there is a need will continue to buy. Juicer juice is very delicate, excluding time to prepare fruit juice formally pressed to come up with complete wash, do not for a minute. very useful.</v>
      </c>
    </row>
    <row r="14964">
      <c r="A14964" s="1">
        <v>5.0</v>
      </c>
      <c r="B14964" s="1" t="s">
        <v>14803</v>
      </c>
      <c r="C14964" t="str">
        <f>IFERROR(__xludf.DUMMYFUNCTION("GOOGLETRANSLATE(B14964, ""zh"", ""en"")"),"WMF quality should be good 215 plus tax, 230 purchase, the price better, thick, stainless steel pots supermarket good point, whether you tens, a. Drawing money compared to the bright side is not likely to have signs of water damage. Magnet can absorb, I d"&amp;"o not know what material? Can not find another place of origin, this is not very good. Even if the British did not dismantle it, as long as the quality of clearance on the line.")</f>
        <v>WMF quality should be good 215 plus tax, 230 purchase, the price better, thick, stainless steel pots supermarket good point, whether you tens, a. Drawing money compared to the bright side is not likely to have signs of water damage. Magnet can absorb, I do not know what material? Can not find another place of origin, this is not very good. Even if the British did not dismantle it, as long as the quality of clearance on the line.</v>
      </c>
    </row>
    <row r="14965">
      <c r="A14965" s="1">
        <v>5.0</v>
      </c>
      <c r="B14965" s="1" t="s">
        <v>14804</v>
      </c>
      <c r="C14965" t="str">
        <f>IFERROR(__xludf.DUMMYFUNCTION("GOOGLETRANSLATE(B14965, ""zh"", ""en"")"),"Japan imported whether the value for money")</f>
        <v>Japan imported whether the value for money</v>
      </c>
    </row>
    <row r="14966">
      <c r="A14966" s="1">
        <v>5.0</v>
      </c>
      <c r="B14966" s="1" t="s">
        <v>14805</v>
      </c>
      <c r="C14966" t="str">
        <f>IFERROR(__xludf.DUMMYFUNCTION("GOOGLETRANSLATE(B14966, ""zh"", ""en"")"),"Yes, the second purchase of a size just good, the second purchase just the size")</f>
        <v>Yes, the second purchase of a size just good, the second purchase just the size</v>
      </c>
    </row>
    <row r="14967">
      <c r="A14967" s="1">
        <v>5.0</v>
      </c>
      <c r="B14967" s="1" t="s">
        <v>14806</v>
      </c>
      <c r="C14967" t="str">
        <f>IFERROR(__xludf.DUMMYFUNCTION("GOOGLETRANSLATE(B14967, ""zh"", ""en"")"),"The clothes have to say some long sleeves, the US version of the clothes is still very loose, long clothing, sleeves to cover all the fingers, but also to accept, it is to loose this feeling of")</f>
        <v>The clothes have to say some long sleeves, the US version of the clothes is still very loose, long clothing, sleeves to cover all the fingers, but also to accept, it is to loose this feeling of</v>
      </c>
    </row>
    <row r="14968">
      <c r="A14968" s="1">
        <v>5.0</v>
      </c>
      <c r="B14968" s="1" t="s">
        <v>14807</v>
      </c>
      <c r="C14968" t="str">
        <f>IFERROR(__xludf.DUMMYFUNCTION("GOOGLETRANSLATE(B14968, ""zh"", ""en"")"),"Very fit, cost-effective work slightly rough, origin Mexico, very fit, a little more than 2 feet 4. Especially in domestic long, difficult to buy 29 of the high cost")</f>
        <v>Very fit, cost-effective work slightly rough, origin Mexico, very fit, a little more than 2 feet 4. Especially in domestic long, difficult to buy 29 of the high cost</v>
      </c>
    </row>
    <row r="14969">
      <c r="A14969" s="1">
        <v>5.0</v>
      </c>
      <c r="B14969" s="1" t="s">
        <v>14808</v>
      </c>
      <c r="C14969" t="str">
        <f>IFERROR(__xludf.DUMMYFUNCTION("GOOGLETRANSLATE(B14969, ""zh"", ""en"")"),"Yes Max and Max filter Adv interfaces actually not the same, but the chief 2500cn can be better")</f>
        <v>Yes Max and Max filter Adv interfaces actually not the same, but the chief 2500cn can be better</v>
      </c>
    </row>
    <row r="14970">
      <c r="A14970" s="1">
        <v>5.0</v>
      </c>
      <c r="B14970" s="1" t="s">
        <v>14809</v>
      </c>
      <c r="C14970" t="str">
        <f>IFERROR(__xludf.DUMMYFUNCTION("GOOGLETRANSLATE(B14970, ""zh"", ""en"")"),"Great commute to work packages feature-rich, reasonable design, the commute to work it can hold. Unfortunately, there is little small, long strap, easily slipping when worn on the shoulder.")</f>
        <v>Great commute to work packages feature-rich, reasonable design, the commute to work it can hold. Unfortunately, there is little small, long strap, easily slipping when worn on the shoulder.</v>
      </c>
    </row>
    <row r="14971">
      <c r="A14971" s="1">
        <v>5.0</v>
      </c>
      <c r="B14971" s="1" t="s">
        <v>14810</v>
      </c>
      <c r="C14971" t="str">
        <f>IFERROR(__xludf.DUMMYFUNCTION("GOOGLETRANSLATE(B14971, ""zh"", ""en"")"),"Not recommended fabrics like jersey vest ~ thin work in general over 70 to buy Liu Waner wear it.")</f>
        <v>Not recommended fabrics like jersey vest ~ thin work in general over 70 to buy Liu Waner wear it.</v>
      </c>
    </row>
    <row r="14972">
      <c r="A14972" s="1">
        <v>5.0</v>
      </c>
      <c r="B14972" s="1" t="s">
        <v>14811</v>
      </c>
      <c r="C14972" t="str">
        <f>IFERROR(__xludf.DUMMYFUNCTION("GOOGLETRANSLATE(B14972, ""zh"", ""en"")"),"A lot of special things very affordable accessories, affordable, is the British standard three-prong plug large, the need for additional purchase an adapter to use at home, but compared to its price, has been very good")</f>
        <v>A lot of special things very affordable accessories, affordable, is the British standard three-prong plug large, the need for additional purchase an adapter to use at home, but compared to its price, has been very good</v>
      </c>
    </row>
    <row r="14973">
      <c r="A14973" s="1">
        <v>5.0</v>
      </c>
      <c r="B14973" s="1" t="s">
        <v>14812</v>
      </c>
      <c r="C14973" t="str">
        <f>IFERROR(__xludf.DUMMYFUNCTION("GOOGLETRANSLATE(B14973, ""zh"", ""en"")"),"Tony is your one hundred one hundred faint faint perfect addition to a little bit heavy but blowing Come a half minutes plus drying modeling Please call me Tony teacher")</f>
        <v>Tony is your one hundred one hundred faint faint perfect addition to a little bit heavy but blowing Come a half minutes plus drying modeling Please call me Tony teacher</v>
      </c>
    </row>
    <row r="14974">
      <c r="A14974" s="1">
        <v>5.0</v>
      </c>
      <c r="B14974" s="1" t="s">
        <v>14813</v>
      </c>
      <c r="C14974" t="str">
        <f>IFERROR(__xludf.DUMMYFUNCTION("GOOGLETRANSLATE(B14974, ""zh"", ""en"")"),"The right shoe size shoe soles pretty comfortable right size good")</f>
        <v>The right shoe size shoe soles pretty comfortable right size good</v>
      </c>
    </row>
    <row r="14975">
      <c r="A14975" s="1">
        <v>5.0</v>
      </c>
      <c r="B14975" s="1" t="s">
        <v>14814</v>
      </c>
      <c r="C14975" t="str">
        <f>IFERROR(__xludf.DUMMYFUNCTION("GOOGLETRANSLATE(B14975, ""zh"", ""en"")"),"Brand recommended by a friend of a friend recommended brand! Pretty good")</f>
        <v>Brand recommended by a friend of a friend recommended brand! Pretty good</v>
      </c>
    </row>
    <row r="14976">
      <c r="A14976" s="1">
        <v>5.0</v>
      </c>
      <c r="B14976" s="1" t="s">
        <v>14815</v>
      </c>
      <c r="C14976" t="str">
        <f>IFERROR(__xludf.DUMMYFUNCTION("GOOGLETRANSLATE(B14976, ""zh"", ""en"")"),"Very good size of this package is appropriate, wallet, cell phone, cups, umbrellas just right.")</f>
        <v>Very good size of this package is appropriate, wallet, cell phone, cups, umbrellas just right.</v>
      </c>
    </row>
    <row r="14977">
      <c r="A14977" s="1">
        <v>5.0</v>
      </c>
      <c r="B14977" s="1" t="s">
        <v>14816</v>
      </c>
      <c r="C14977" t="str">
        <f>IFERROR(__xludf.DUMMYFUNCTION("GOOGLETRANSLATE(B14977, ""zh"", ""en"")"),"Good things fit, waist and length are good.")</f>
        <v>Good things fit, waist and length are good.</v>
      </c>
    </row>
    <row r="14978">
      <c r="A14978" s="1">
        <v>5.0</v>
      </c>
      <c r="B14978" s="1" t="s">
        <v>14817</v>
      </c>
      <c r="C14978" t="str">
        <f>IFERROR(__xludf.DUMMYFUNCTION("GOOGLETRANSLATE(B14978, ""zh"", ""en"")"),"Amazon has been very good quality self-confidence merchandise, pants quality is very good, very fit, very satisfied!")</f>
        <v>Amazon has been very good quality self-confidence merchandise, pants quality is very good, very fit, very satisfied!</v>
      </c>
    </row>
    <row r="14979">
      <c r="A14979" s="1">
        <v>5.0</v>
      </c>
      <c r="B14979" s="1" t="s">
        <v>14818</v>
      </c>
      <c r="C14979" t="str">
        <f>IFERROR(__xludf.DUMMYFUNCTION("GOOGLETRANSLATE(B14979, ""zh"", ""en"")"),"perfect! A good shopping experience, attention to the pot for a long time, just to see a good price including tax 811, from order to receipt of a total of 10 days. With no signs of bruising, in short, perfect.")</f>
        <v>perfect! A good shopping experience, attention to the pot for a long time, just to see a good price including tax 811, from order to receipt of a total of 10 days. With no signs of bruising, in short, perfect.</v>
      </c>
    </row>
    <row r="14980">
      <c r="A14980" s="1">
        <v>5.0</v>
      </c>
      <c r="B14980" s="1" t="s">
        <v>14819</v>
      </c>
      <c r="C14980" t="str">
        <f>IFERROR(__xludf.DUMMYFUNCTION("GOOGLETRANSLATE(B14980, ""zh"", ""en"")"),"Good hard to describe clothes of good quality, is the color looked dirty, as pure white mix")</f>
        <v>Good hard to describe clothes of good quality, is the color looked dirty, as pure white mix</v>
      </c>
    </row>
    <row r="14981">
      <c r="A14981" s="1">
        <v>5.0</v>
      </c>
      <c r="B14981" s="1" t="s">
        <v>14820</v>
      </c>
      <c r="C14981" t="str">
        <f>IFERROR(__xludf.DUMMYFUNCTION("GOOGLETRANSLATE(B14981, ""zh"", ""en"")"),"Much cheaper than purchasing Yen value is high, bigger than I imagined. fair price")</f>
        <v>Much cheaper than purchasing Yen value is high, bigger than I imagined. fair price</v>
      </c>
    </row>
    <row r="14982">
      <c r="A14982" s="1">
        <v>5.0</v>
      </c>
      <c r="B14982" s="1" t="s">
        <v>14821</v>
      </c>
      <c r="C14982" t="str">
        <f>IFERROR(__xludf.DUMMYFUNCTION("GOOGLETRANSLATE(B14982, ""zh"", ""en"")"),"Value affordable sea Amoy back, when a week, great value affordable, Mexico manufacturing, very comfortable, recommended to buy.")</f>
        <v>Value affordable sea Amoy back, when a week, great value affordable, Mexico manufacturing, very comfortable, recommended to buy.</v>
      </c>
    </row>
    <row r="14983">
      <c r="A14983" s="1">
        <v>2.0</v>
      </c>
      <c r="B14983" s="1" t="s">
        <v>14822</v>
      </c>
      <c r="C14983" t="str">
        <f>IFERROR(__xludf.DUMMYFUNCTION("GOOGLETRANSLATE(B14983, ""zh"", ""en"")"),"Breast shape breast shape is very strange very strange")</f>
        <v>Breast shape breast shape is very strange very strange</v>
      </c>
    </row>
    <row r="14984">
      <c r="A14984" s="1">
        <v>3.0</v>
      </c>
      <c r="B14984" s="1" t="s">
        <v>14823</v>
      </c>
      <c r="C14984" t="str">
        <f>IFERROR(__xludf.DUMMYFUNCTION("GOOGLETRANSLATE(B14984, ""zh"", ""en"")"),"Buy 8UK issued 9UK But lest changed like")</f>
        <v>Buy 8UK issued 9UK But lest changed like</v>
      </c>
    </row>
    <row r="14985">
      <c r="A14985" s="1">
        <v>3.0</v>
      </c>
      <c r="B14985" s="1" t="s">
        <v>14824</v>
      </c>
      <c r="C14985" t="str">
        <f>IFERROR(__xludf.DUMMYFUNCTION("GOOGLETRANSLATE(B14985, ""zh"", ""en"")"),"Packaging packaging too bad ... too bad ... trouble next time you take packaging ...")</f>
        <v>Packaging packaging too bad ... too bad ... trouble next time you take packaging ...</v>
      </c>
    </row>
    <row r="14986">
      <c r="A14986" s="1">
        <v>3.0</v>
      </c>
      <c r="B14986" s="1" t="s">
        <v>14825</v>
      </c>
      <c r="C14986" t="str">
        <f>IFERROR(__xludf.DUMMYFUNCTION("GOOGLETRANSLATE(B14986, ""zh"", ""en"")"),"Oversized pants too large find many, is pressing on the waist size recommendation to buy, the results came back a lot bigger, but not easy for a foreign purchase, only given away. 170,130 pounds, M number is much larger.")</f>
        <v>Oversized pants too large find many, is pressing on the waist size recommendation to buy, the results came back a lot bigger, but not easy for a foreign purchase, only given away. 170,130 pounds, M number is much larger.</v>
      </c>
    </row>
    <row r="14987">
      <c r="A14987" s="1">
        <v>1.0</v>
      </c>
      <c r="B14987" s="1" t="s">
        <v>14826</v>
      </c>
      <c r="C14987" t="str">
        <f>IFERROR(__xludf.DUMMYFUNCTION("GOOGLETRANSLATE(B14987, ""zh"", ""en"")"),"Aftermarket Amazon really bad, acclimatized. Defeated Chinese market is inevitable.")</f>
        <v>Aftermarket Amazon really bad, acclimatized. Defeated Chinese market is inevitable.</v>
      </c>
    </row>
    <row r="14988">
      <c r="A14988" s="1">
        <v>1.0</v>
      </c>
      <c r="B14988" s="1" t="s">
        <v>14827</v>
      </c>
      <c r="C14988" t="str">
        <f>IFERROR(__xludf.DUMMYFUNCTION("GOOGLETRANSLATE(B14988, ""zh"", ""en"")"),"Very very thin lid is not good cover, super small bowl. Also thin. A failure of shopping, have already thrown open the packaging")</f>
        <v>Very very thin lid is not good cover, super small bowl. Also thin. A failure of shopping, have already thrown open the packaging</v>
      </c>
    </row>
    <row r="14989">
      <c r="A14989" s="1">
        <v>4.0</v>
      </c>
      <c r="B14989" s="1" t="s">
        <v>14828</v>
      </c>
      <c r="C14989" t="str">
        <f>IFERROR(__xludf.DUMMYFUNCTION("GOOGLETRANSLATE(B14989, ""zh"", ""en"")"),"Yes, very good right size, material is also very comfortable")</f>
        <v>Yes, very good right size, material is also very comfortable</v>
      </c>
    </row>
    <row r="14990">
      <c r="A14990" s="1">
        <v>4.0</v>
      </c>
      <c r="B14990" s="1" t="s">
        <v>14829</v>
      </c>
      <c r="C14990" t="str">
        <f>IFERROR(__xludf.DUMMYFUNCTION("GOOGLETRANSLATE(B14990, ""zh"", ""en"")"),"Workmanship is very good regular edition, fit, work is also very good")</f>
        <v>Workmanship is very good regular edition, fit, work is also very good</v>
      </c>
    </row>
    <row r="14991">
      <c r="A14991" s="1">
        <v>4.0</v>
      </c>
      <c r="B14991" s="1" t="s">
        <v>14830</v>
      </c>
      <c r="C14991" t="str">
        <f>IFERROR(__xludf.DUMMYFUNCTION("GOOGLETRANSLATE(B14991, ""zh"", ""en"")"),"Suitable belts of good quality, according to the waist size of the code good +2")</f>
        <v>Suitable belts of good quality, according to the waist size of the code good +2</v>
      </c>
    </row>
    <row r="14992">
      <c r="A14992" s="1">
        <v>4.0</v>
      </c>
      <c r="B14992" s="1" t="s">
        <v>14831</v>
      </c>
      <c r="C14992" t="str">
        <f>IFERROR(__xludf.DUMMYFUNCTION("GOOGLETRANSLATE(B14992, ""zh"", ""en"")"),"Children do not like the child is not for the pacifier nipple. Not as good as Pigeon")</f>
        <v>Children do not like the child is not for the pacifier nipple. Not as good as Pigeon</v>
      </c>
    </row>
    <row r="14993">
      <c r="A14993" s="1">
        <v>5.0</v>
      </c>
      <c r="B14993" s="1" t="s">
        <v>14832</v>
      </c>
      <c r="C14993" t="str">
        <f>IFERROR(__xludf.DUMMYFUNCTION("GOOGLETRANSLATE(B14993, ""zh"", ""en"")"),"Fleece back good 176 Height 67 kg, M number. well. A very lightweight clothes. Fabrics novel, in short, was a good shopping experience. The only drawback is the express package bad points.")</f>
        <v>Fleece back good 176 Height 67 kg, M number. well. A very lightweight clothes. Fabrics novel, in short, was a good shopping experience. The only drawback is the express package bad points.</v>
      </c>
    </row>
    <row r="14994">
      <c r="A14994" s="1">
        <v>5.0</v>
      </c>
      <c r="B14994" s="1" t="s">
        <v>14833</v>
      </c>
      <c r="C14994" t="str">
        <f>IFERROR(__xludf.DUMMYFUNCTION("GOOGLETRANSLATE(B14994, ""zh"", ""en"")"),"Liked very fit very fit underwear liked haha")</f>
        <v>Liked very fit very fit underwear liked haha</v>
      </c>
    </row>
    <row r="14995">
      <c r="A14995" s="1">
        <v>5.0</v>
      </c>
      <c r="B14995" s="1" t="s">
        <v>14834</v>
      </c>
      <c r="C14995" t="str">
        <f>IFERROR(__xludf.DUMMYFUNCTION("GOOGLETRANSLATE(B14995, ""zh"", ""en"")"),"A little big, good material for my father to buy a large size is also good than domestic color")</f>
        <v>A little big, good material for my father to buy a large size is also good than domestic color</v>
      </c>
    </row>
    <row r="14996">
      <c r="A14996" s="1">
        <v>5.0</v>
      </c>
      <c r="B14996" s="1" t="s">
        <v>14835</v>
      </c>
      <c r="C14996" t="str">
        <f>IFERROR(__xludf.DUMMYFUNCTION("GOOGLETRANSLATE(B14996, ""zh"", ""en"")"),"Ukrainian producer of flavors and simple operation. Shipping packaging is damaged, but fortunately there okay.")</f>
        <v>Ukrainian producer of flavors and simple operation. Shipping packaging is damaged, but fortunately there okay.</v>
      </c>
    </row>
    <row r="14997">
      <c r="A14997" s="1">
        <v>5.0</v>
      </c>
      <c r="B14997" s="1" t="s">
        <v>14836</v>
      </c>
      <c r="C14997" t="str">
        <f>IFERROR(__xludf.DUMMYFUNCTION("GOOGLETRANSLATE(B14997, ""zh"", ""en"")"),"Very satisfied with this has been to buy a juicer, like many domestic quality is not good looking, or purchased abroad Amazon let me get the Heart of things, although buying on the price of the bar. Amazon Logistics is awesome")</f>
        <v>Very satisfied with this has been to buy a juicer, like many domestic quality is not good looking, or purchased abroad Amazon let me get the Heart of things, although buying on the price of the bar. Amazon Logistics is awesome</v>
      </c>
    </row>
    <row r="14998">
      <c r="A14998" s="1">
        <v>5.0</v>
      </c>
      <c r="B14998" s="1" t="s">
        <v>14837</v>
      </c>
      <c r="C14998" t="str">
        <f>IFERROR(__xludf.DUMMYFUNCTION("GOOGLETRANSLATE(B14998, ""zh"", ""en"")"),"Size is very appropriate size is not very clear, let the store recommended, 170cm-60KG, just right to buy 31 * 30, the fabric is very comfortable, very satisfied")</f>
        <v>Size is very appropriate size is not very clear, let the store recommended, 170cm-60KG, just right to buy 31 * 30, the fabric is very comfortable, very satisfied</v>
      </c>
    </row>
    <row r="14999">
      <c r="A14999" s="1">
        <v>5.0</v>
      </c>
      <c r="B14999" s="1" t="s">
        <v>14838</v>
      </c>
      <c r="C14999" t="str">
        <f>IFERROR(__xludf.DUMMYFUNCTION("GOOGLETRANSLATE(B14999, ""zh"", ""en"")"),"Good quality, long delivery time from order to receipt of this took 20 days, after clearance SF Express hand, foreign transportation for far too long. Shoes quality did not have to say, size is also very accurate.")</f>
        <v>Good quality, long delivery time from order to receipt of this took 20 days, after clearance SF Express hand, foreign transportation for far too long. Shoes quality did not have to say, size is also very accurate.</v>
      </c>
    </row>
    <row r="15000">
      <c r="A15000" s="1">
        <v>5.0</v>
      </c>
      <c r="B15000" s="1" t="s">
        <v>14839</v>
      </c>
      <c r="C15000" t="str">
        <f>IFERROR(__xludf.DUMMYFUNCTION("GOOGLETRANSLATE(B15000, ""zh"", ""en"")"),"Cozy comfort comfortable cotton")</f>
        <v>Cozy comfort comfortable cotton</v>
      </c>
    </row>
    <row r="15001">
      <c r="A15001" s="1">
        <v>5.0</v>
      </c>
      <c r="B15001" s="1" t="s">
        <v>14840</v>
      </c>
      <c r="C15001" t="str">
        <f>IFERROR(__xludf.DUMMYFUNCTION("GOOGLETRANSLATE(B15001, ""zh"", ""en"")"),"Very thick, very beautiful flat fork, children with a safe, handle is also very thick, baby liked")</f>
        <v>Very thick, very beautiful flat fork, children with a safe, handle is also very thick, baby liked</v>
      </c>
    </row>
    <row r="15002">
      <c r="A15002" s="1">
        <v>5.0</v>
      </c>
      <c r="B15002" s="1" t="s">
        <v>14841</v>
      </c>
      <c r="C15002" t="str">
        <f>IFERROR(__xludf.DUMMYFUNCTION("GOOGLETRANSLATE(B15002, ""zh"", ""en"")"),"Good toothbrush, toothbrush will buy good use, than the domestic selling toothbrush head of the brush is much cleaner and soft brush, cleaning effect Bang Bang, very satisfied.")</f>
        <v>Good toothbrush, toothbrush will buy good use, than the domestic selling toothbrush head of the brush is much cleaner and soft brush, cleaning effect Bang Bang, very satisfied.</v>
      </c>
    </row>
    <row r="15003">
      <c r="A15003" s="1">
        <v>5.0</v>
      </c>
      <c r="B15003" s="1" t="s">
        <v>14842</v>
      </c>
      <c r="C15003" t="str">
        <f>IFERROR(__xludf.DUMMYFUNCTION("GOOGLETRANSLATE(B15003, ""zh"", ""en"")"),"Very, very good, very satisfied! Always trust!")</f>
        <v>Very, very good, very satisfied! Always trust!</v>
      </c>
    </row>
    <row r="15004">
      <c r="A15004" s="1">
        <v>5.0</v>
      </c>
      <c r="B15004" s="1" t="s">
        <v>14843</v>
      </c>
      <c r="C15004" t="str">
        <f>IFERROR(__xludf.DUMMYFUNCTION("GOOGLETRANSLATE(B15004, ""zh"", ""en"")"),"Yes, install the master was looking for a good present with a very good, installation requires pre-test level, or difficult to install the Japanese stuff, design is still very good, the whole is a tax that occur over invoice, has not been made")</f>
        <v>Yes, install the master was looking for a good present with a very good, installation requires pre-test level, or difficult to install the Japanese stuff, design is still very good, the whole is a tax that occur over invoice, has not been made</v>
      </c>
    </row>
    <row r="15005">
      <c r="A15005" s="1">
        <v>5.0</v>
      </c>
      <c r="B15005" s="1" t="s">
        <v>14844</v>
      </c>
      <c r="C15005" t="str">
        <f>IFERROR(__xludf.DUMMYFUNCTION("GOOGLETRANSLATE(B15005, ""zh"", ""en"")"),"Dea orders 4.10, 4.17 SF to 3.63TB capacity, the average speed of about 110, a hand cheaper than East more than 100 dollars, barely audible sound is very small, the stability with the use of look")</f>
        <v>Dea orders 4.10, 4.17 SF to 3.63TB capacity, the average speed of about 110, a hand cheaper than East more than 100 dollars, barely audible sound is very small, the stability with the use of look</v>
      </c>
    </row>
    <row r="15006">
      <c r="A15006" s="1">
        <v>5.0</v>
      </c>
      <c r="B15006" s="1" t="s">
        <v>14845</v>
      </c>
      <c r="C15006" t="str">
        <f>IFERROR(__xludf.DUMMYFUNCTION("GOOGLETRANSLATE(B15006, ""zh"", ""en"")"),"Appearance is being used is the atmosphere, the transmission speed is good 3.0, an apple and carrying a usb3.0 usb-c line")</f>
        <v>Appearance is being used is the atmosphere, the transmission speed is good 3.0, an apple and carrying a usb3.0 usb-c line</v>
      </c>
    </row>
    <row r="15007">
      <c r="A15007" s="1">
        <v>5.0</v>
      </c>
      <c r="B15007" s="1" t="s">
        <v>14846</v>
      </c>
      <c r="C15007" t="str">
        <f>IFERROR(__xludf.DUMMYFUNCTION("GOOGLETRANSLATE(B15007, ""zh"", ""en"")"),"Belt with the price of goods, the quality is good")</f>
        <v>Belt with the price of goods, the quality is good</v>
      </c>
    </row>
    <row r="15008">
      <c r="A15008" s="1">
        <v>5.0</v>
      </c>
      <c r="B15008" s="1" t="s">
        <v>14847</v>
      </c>
      <c r="C15008" t="str">
        <f>IFERROR(__xludf.DUMMYFUNCTION("GOOGLETRANSLATE(B15008, ""zh"", ""en"")"),"Satisfaction because baby is breastfeeding, so about six months Tim complementary began with this cup. Inside three months without access to the nipple available. Baby very much like holding a small hand holding the cup to play, now using a nozzle that fi"&amp;"ve months he learned to drink water absorption. Cup workmanship is very fine, very cute yellow ducklings.")</f>
        <v>Satisfaction because baby is breastfeeding, so about six months Tim complementary began with this cup. Inside three months without access to the nipple available. Baby very much like holding a small hand holding the cup to play, now using a nozzle that five months he learned to drink water absorption. Cup workmanship is very fine, very cute yellow ducklings.</v>
      </c>
    </row>
    <row r="15009">
      <c r="A15009" s="1">
        <v>5.0</v>
      </c>
      <c r="B15009" s="1" t="s">
        <v>14848</v>
      </c>
      <c r="C15009" t="str">
        <f>IFERROR(__xludf.DUMMYFUNCTION("GOOGLETRANSLATE(B15009, ""zh"", ""en"")"),"Filter used for a long time, but sometimes there will be tiny black particles, people uncomfortable. Other better.")</f>
        <v>Filter used for a long time, but sometimes there will be tiny black particles, people uncomfortable. Other better.</v>
      </c>
    </row>
    <row r="15010">
      <c r="A15010" s="1">
        <v>5.0</v>
      </c>
      <c r="B15010" s="1" t="s">
        <v>14849</v>
      </c>
      <c r="C15010" t="str">
        <f>IFERROR(__xludf.DUMMYFUNCTION("GOOGLETRANSLATE(B15010, ""zh"", ""en"")"),"Good quality German manufacturing, quality assurance. Worthy of the letter lazy.")</f>
        <v>Good quality German manufacturing, quality assurance. Worthy of the letter lazy.</v>
      </c>
    </row>
    <row r="15011">
      <c r="A15011" s="1">
        <v>5.0</v>
      </c>
      <c r="B15011" s="1" t="s">
        <v>14850</v>
      </c>
      <c r="C15011" t="str">
        <f>IFERROR(__xludf.DUMMYFUNCTION("GOOGLETRANSLATE(B15011, ""zh"", ""en"")"),"Non-stick, cooking fragrant, the weight of the pot for girls Britain last week's spike Z, arrive soon. After the box was found 1.2 mm thick. Also 1.6 mm thick on Nichia, may be slightly better heat conduction and heat storage properties, but not very stro"&amp;"ng as a sister, think 1.2 mm is more suitable. Then follow the instructions is hard to boil. Manufacturers say that first burned black and gray, you can turn off the heat. Pro-test process takes at least half an hour, and in order to make the edge of the "&amp;"pot also burn evenly, this girl sweating in the summer, a large kitchen, by the way exercise the biceps. This process proved very worthwhile, with three times after lard oil, really non-stick cooking, also successfully completed the first time Britain pot"&amp;"! About fume problem of concern to everyone, pro-test if the wok with the fire, soot larger than a small hot pot. Large non-stick fumes than normal, but still within the entire acceptable range. Fried dishes more fragrant than the non-stick pan.")</f>
        <v>Non-stick, cooking fragrant, the weight of the pot for girls Britain last week's spike Z, arrive soon. After the box was found 1.2 mm thick. Also 1.6 mm thick on Nichia, may be slightly better heat conduction and heat storage properties, but not very strong as a sister, think 1.2 mm is more suitable. Then follow the instructions is hard to boil. Manufacturers say that first burned black and gray, you can turn off the heat. Pro-test process takes at least half an hour, and in order to make the edge of the pot also burn evenly, this girl sweating in the summer, a large kitchen, by the way exercise the biceps. This process proved very worthwhile, with three times after lard oil, really non-stick cooking, also successfully completed the first time Britain pot! About fume problem of concern to everyone, pro-test if the wok with the fire, soot larger than a small hot pot. Large non-stick fumes than normal, but still within the entire acceptable range. Fried dishes more fragrant than the non-stick pan.</v>
      </c>
    </row>
    <row r="15012">
      <c r="A15012" s="1">
        <v>5.0</v>
      </c>
      <c r="B15012" s="1" t="s">
        <v>14851</v>
      </c>
      <c r="C15012" t="str">
        <f>IFERROR(__xludf.DUMMYFUNCTION("GOOGLETRANSLATE(B15012, ""zh"", ""en"")"),"Baby do not quite love bite from previous reviews, I do not know how many wasted points, points can change money now know, they should look carefully evaluated, then I put these words to copy to go, both to earn points, but also save trouble, went to whic"&amp;"h copy where, most importantly, do not seriously review, do not think how much worse word, made directly on it, try")</f>
        <v>Baby do not quite love bite from previous reviews, I do not know how many wasted points, points can change money now know, they should look carefully evaluated, then I put these words to copy to go, both to earn points, but also save trouble, went to which copy where, most importantly, do not seriously review, do not think how much worse word, made directly on it, try</v>
      </c>
    </row>
    <row r="15013">
      <c r="A15013" s="1">
        <v>5.0</v>
      </c>
      <c r="B15013" s="1" t="s">
        <v>14852</v>
      </c>
      <c r="C15013" t="str">
        <f>IFERROR(__xludf.DUMMYFUNCTION("GOOGLETRANSLATE(B15013, ""zh"", ""en"")"),"Satisfactory thin section, 175cm80kg selected from just 33 * 32, 200 may also be one of Lee")</f>
        <v>Satisfactory thin section, 175cm80kg selected from just 33 * 32, 200 may also be one of Lee</v>
      </c>
    </row>
    <row r="15014">
      <c r="A15014" s="1">
        <v>5.0</v>
      </c>
      <c r="B15014" s="1" t="s">
        <v>14853</v>
      </c>
      <c r="C15014" t="str">
        <f>IFERROR(__xludf.DUMMYFUNCTION("GOOGLETRANSLATE(B15014, ""zh"", ""en"")"),"Recommend cost-effective to buy a big bottle, very satisfied, the price is to force, adult models")</f>
        <v>Recommend cost-effective to buy a big bottle, very satisfied, the price is to force, adult models</v>
      </c>
    </row>
    <row r="15015">
      <c r="A15015" s="1">
        <v>2.0</v>
      </c>
      <c r="B15015" s="1" t="s">
        <v>14854</v>
      </c>
      <c r="C15015" t="str">
        <f>IFERROR(__xludf.DUMMYFUNCTION("GOOGLETRANSLATE(B15015, ""zh"", ""en"")"),"Color difference is too big stuff pretty good, is kind and color pictures too large. Date useless a few days will not move")</f>
        <v>Color difference is too big stuff pretty good, is kind and color pictures too large. Date useless a few days will not move</v>
      </c>
    </row>
    <row r="15016">
      <c r="A15016" s="1">
        <v>3.0</v>
      </c>
      <c r="B15016" s="1" t="s">
        <v>14855</v>
      </c>
      <c r="C15016" t="str">
        <f>IFERROR(__xludf.DUMMYFUNCTION("GOOGLETRANSLATE(B15016, ""zh"", ""en"")"),"Bottle too much, too little 7 days of receipt, 30 pieces, one-fifth of it to the bottle. Look, said this product has not been reviewed by the US Food and Drug Administration, real to the enemy. Not eating, the effect to be evaluated.")</f>
        <v>Bottle too much, too little 7 days of receipt, 30 pieces, one-fifth of it to the bottle. Look, said this product has not been reviewed by the US Food and Drug Administration, real to the enemy. Not eating, the effect to be evaluated.</v>
      </c>
    </row>
    <row r="15017">
      <c r="A15017" s="1">
        <v>1.0</v>
      </c>
      <c r="B15017" s="1" t="s">
        <v>14856</v>
      </c>
      <c r="C15017" t="str">
        <f>IFERROR(__xludf.DUMMYFUNCTION("GOOGLETRANSLATE(B15017, ""zh"", ""en"")"),"Amazon Amazon disappointed disappointed, a good website, engage in any acts of splitting China and hurt Chinese people's feelings, but fortunately did not buy membership this year")</f>
        <v>Amazon Amazon disappointed disappointed, a good website, engage in any acts of splitting China and hurt Chinese people's feelings, but fortunately did not buy membership this year</v>
      </c>
    </row>
    <row r="15018">
      <c r="A15018" s="1">
        <v>1.0</v>
      </c>
      <c r="B15018" s="1" t="s">
        <v>14857</v>
      </c>
      <c r="C15018" t="str">
        <f>IFERROR(__xludf.DUMMYFUNCTION("GOOGLETRANSLATE(B15018, ""zh"", ""en"")"),"Like the regeneration of plastic, has a few lines such as cracked relatively poor workmanship, do not know is not fake, but did not return for two months refunds arrival, poor service.")</f>
        <v>Like the regeneration of plastic, has a few lines such as cracked relatively poor workmanship, do not know is not fake, but did not return for two months refunds arrival, poor service.</v>
      </c>
    </row>
    <row r="15019">
      <c r="A15019" s="1">
        <v>4.0</v>
      </c>
      <c r="B15019" s="1" t="s">
        <v>14858</v>
      </c>
      <c r="C15019" t="str">
        <f>IFERROR(__xludf.DUMMYFUNCTION("GOOGLETRANSLATE(B15019, ""zh"", ""en"")"),"In fact, it so happened it happened - in fact a pair of shoes still look brand quality")</f>
        <v>In fact, it so happened it happened - in fact a pair of shoes still look brand quality</v>
      </c>
    </row>
    <row r="15020">
      <c r="A15020" s="1">
        <v>4.0</v>
      </c>
      <c r="B15020" s="1" t="s">
        <v>14859</v>
      </c>
      <c r="C15020" t="str">
        <f>IFERROR(__xludf.DUMMYFUNCTION("GOOGLETRANSLATE(B15020, ""zh"", ""en"")"),"172 / 72kg, S code, waist 80, slightly longer than the right leg, there are thin cashmere, for spring 5 to 20 degrees worn, Slim, which can add a compression pants, soft and comfortable fabric")</f>
        <v>172 / 72kg, S code, waist 80, slightly longer than the right leg, there are thin cashmere, for spring 5 to 20 degrees worn, Slim, which can add a compression pants, soft and comfortable fabric</v>
      </c>
    </row>
    <row r="15021">
      <c r="A15021" s="1">
        <v>4.0</v>
      </c>
      <c r="B15021" s="1" t="s">
        <v>14860</v>
      </c>
      <c r="C15021" t="str">
        <f>IFERROR(__xludf.DUMMYFUNCTION("GOOGLETRANSLATE(B15021, ""zh"", ""en"")"),"4 points okay! There is an inexplicable taste over")</f>
        <v>4 points okay! There is an inexplicable taste over</v>
      </c>
    </row>
    <row r="15022">
      <c r="A15022" s="1">
        <v>4.0</v>
      </c>
      <c r="B15022" s="1" t="s">
        <v>14861</v>
      </c>
      <c r="C15022" t="str">
        <f>IFERROR(__xludf.DUMMYFUNCTION("GOOGLETRANSLATE(B15022, ""zh"", ""en"")"),"Very narrow sleeves tight. . High 160, 106 pounds, wearing m size almost touches, the sleeve is too tight. . Want to roll up its sleeves is not possible, get to wear also racked. . Still feel than the recommended size One big buy it, buy L feeling, then i"&amp;"t should be just, and good wear loose points, but really tight sleeves a little uncomfortable")</f>
        <v>Very narrow sleeves tight. . High 160, 106 pounds, wearing m size almost touches, the sleeve is too tight. . Want to roll up its sleeves is not possible, get to wear also racked. . Still feel than the recommended size One big buy it, buy L feeling, then it should be just, and good wear loose points, but really tight sleeves a little uncomfortable</v>
      </c>
    </row>
    <row r="15023">
      <c r="A15023" s="1">
        <v>4.0</v>
      </c>
      <c r="B15023" s="1" t="s">
        <v>14862</v>
      </c>
      <c r="C15023" t="str">
        <f>IFERROR(__xludf.DUMMYFUNCTION("GOOGLETRANSLATE(B15023, ""zh"", ""en"")"),"Consistency is not a good volume of two speakers at the same scale, the sound of different sizes")</f>
        <v>Consistency is not a good volume of two speakers at the same scale, the sound of different sizes</v>
      </c>
    </row>
    <row r="15024">
      <c r="A15024" s="1">
        <v>5.0</v>
      </c>
      <c r="B15024" s="1" t="s">
        <v>14863</v>
      </c>
      <c r="C15024" t="str">
        <f>IFERROR(__xludf.DUMMYFUNCTION("GOOGLETRANSLATE(B15024, ""zh"", ""en"")"),"Good Good, comfortable")</f>
        <v>Good Good, comfortable</v>
      </c>
    </row>
    <row r="15025">
      <c r="A15025" s="1">
        <v>5.0</v>
      </c>
      <c r="B15025" s="1" t="s">
        <v>14864</v>
      </c>
      <c r="C15025" t="str">
        <f>IFERROR(__xludf.DUMMYFUNCTION("GOOGLETRANSLATE(B15025, ""zh"", ""en"")"),"Suitable 17,366 appropriate size and then one yards may feel")</f>
        <v>Suitable 17,366 appropriate size and then one yards may feel</v>
      </c>
    </row>
    <row r="15026">
      <c r="A15026" s="1">
        <v>5.0</v>
      </c>
      <c r="B15026" s="1" t="s">
        <v>14865</v>
      </c>
      <c r="C15026" t="str">
        <f>IFERROR(__xludf.DUMMYFUNCTION("GOOGLETRANSLATE(B15026, ""zh"", ""en"")"),"big kid wearing a 5.5 foot length 240cm very appropriate, good quality, good workmanship big kid wearing a 5.5 foot long 240cm very appropriate, good quality, good workmanship. Speed ​​is very fast")</f>
        <v>big kid wearing a 5.5 foot length 240cm very appropriate, good quality, good workmanship big kid wearing a 5.5 foot long 240cm very appropriate, good quality, good workmanship. Speed ​​is very fast</v>
      </c>
    </row>
    <row r="15027">
      <c r="A15027" s="1">
        <v>5.0</v>
      </c>
      <c r="B15027" s="1" t="s">
        <v>14866</v>
      </c>
      <c r="C15027" t="str">
        <f>IFERROR(__xludf.DUMMYFUNCTION("GOOGLETRANSLATE(B15027, ""zh"", ""en"")"),"Not uncomfortable wearing a relatively thin, good ventilation, not curling")</f>
        <v>Not uncomfortable wearing a relatively thin, good ventilation, not curling</v>
      </c>
    </row>
    <row r="15028">
      <c r="A15028" s="1">
        <v>5.0</v>
      </c>
      <c r="B15028" s="1" t="s">
        <v>14867</v>
      </c>
      <c r="C15028" t="str">
        <f>IFERROR(__xludf.DUMMYFUNCTION("GOOGLETRANSLATE(B15028, ""zh"", ""en"")"),"Good little big okay to wear very comfortable")</f>
        <v>Good little big okay to wear very comfortable</v>
      </c>
    </row>
    <row r="15029">
      <c r="A15029" s="1">
        <v>5.0</v>
      </c>
      <c r="B15029" s="1" t="s">
        <v>14868</v>
      </c>
      <c r="C15029" t="str">
        <f>IFERROR(__xludf.DUMMYFUNCTION("GOOGLETRANSLATE(B15029, ""zh"", ""en"")"),"Evaluation is appropriate, ECCO shoes quality has always been good.")</f>
        <v>Evaluation is appropriate, ECCO shoes quality has always been good.</v>
      </c>
    </row>
    <row r="15030">
      <c r="A15030" s="1">
        <v>5.0</v>
      </c>
      <c r="B15030" s="1" t="s">
        <v>14869</v>
      </c>
      <c r="C15030" t="str">
        <f>IFERROR(__xludf.DUMMYFUNCTION("GOOGLETRANSLATE(B15030, ""zh"", ""en"")"),"Very comfortable praise! Together, Amazon Zhennai conscience business!")</f>
        <v>Very comfortable praise! Together, Amazon Zhennai conscience business!</v>
      </c>
    </row>
    <row r="15031">
      <c r="A15031" s="1">
        <v>5.0</v>
      </c>
      <c r="B15031" s="1" t="s">
        <v>14870</v>
      </c>
      <c r="C15031" t="str">
        <f>IFERROR(__xludf.DUMMYFUNCTION("GOOGLETRANSLATE(B15031, ""zh"", ""en"")"),"! Shoe size is not allowed, ECCO 43 just to wear, the music began to buy the 43, the result of shoes freshman fingers. 42 change, there are some small. This is a no 42.5. Shoes are very light, foot feeling good, good midsole cushioning. But shoes taste gr"&amp;"eat, sense of smell")</f>
        <v>! Shoe size is not allowed, ECCO 43 just to wear, the music began to buy the 43, the result of shoes freshman fingers. 42 change, there are some small. This is a no 42.5. Shoes are very light, foot feeling good, good midsole cushioning. But shoes taste great, sense of smell</v>
      </c>
    </row>
    <row r="15032">
      <c r="A15032" s="1">
        <v>5.0</v>
      </c>
      <c r="B15032" s="1" t="s">
        <v>14871</v>
      </c>
      <c r="C15032" t="str">
        <f>IFERROR(__xludf.DUMMYFUNCTION("GOOGLETRANSLATE(B15032, ""zh"", ""en"")"),"This box of low-cost high, in fact, closer to the level of 4-inch speakers. In general, the sound of the starting price, it is value.")</f>
        <v>This box of low-cost high, in fact, closer to the level of 4-inch speakers. In general, the sound of the starting price, it is value.</v>
      </c>
    </row>
    <row r="15033">
      <c r="A15033" s="1">
        <v>5.0</v>
      </c>
      <c r="B15033" s="1" t="s">
        <v>14872</v>
      </c>
      <c r="C15033" t="str">
        <f>IFERROR(__xludf.DUMMYFUNCTION("GOOGLETRANSLATE(B15033, ""zh"", ""en"")"),"Good little big, the other good.")</f>
        <v>Good little big, the other good.</v>
      </c>
    </row>
    <row r="15034">
      <c r="A15034" s="1">
        <v>5.0</v>
      </c>
      <c r="B15034" s="1" t="s">
        <v>14873</v>
      </c>
      <c r="C15034" t="str">
        <f>IFERROR(__xludf.DUMMYFUNCTION("GOOGLETRANSLATE(B15034, ""zh"", ""en"")"),"Razor also good to see the resistance is not durable")</f>
        <v>Razor also good to see the resistance is not durable</v>
      </c>
    </row>
    <row r="15035">
      <c r="A15035" s="1">
        <v>5.0</v>
      </c>
      <c r="B15035" s="1" t="s">
        <v>14874</v>
      </c>
      <c r="C15035" t="str">
        <f>IFERROR(__xludf.DUMMYFUNCTION("GOOGLETRANSLATE(B15035, ""zh"", ""en"")"),"First time to buy LEE jeans overall pretty satisfied with it because there are profound lessons to buy Nautica Jeans and CK know in the United States and Asia size is a little too large to buy a smaller size so it fails to fit pretty satisfied with it")</f>
        <v>First time to buy LEE jeans overall pretty satisfied with it because there are profound lessons to buy Nautica Jeans and CK know in the United States and Asia size is a little too large to buy a smaller size so it fails to fit pretty satisfied with it</v>
      </c>
    </row>
    <row r="15036">
      <c r="A15036" s="1">
        <v>5.0</v>
      </c>
      <c r="B15036" s="1" t="s">
        <v>2790</v>
      </c>
      <c r="C15036" t="str">
        <f>IFERROR(__xludf.DUMMYFUNCTION("GOOGLETRANSLATE(B15036, ""zh"", ""en"")"),"Comfortable fabrics belong to the spring and autumn wear sweater with velvet fabric is very comfortable, good size")</f>
        <v>Comfortable fabrics belong to the spring and autumn wear sweater with velvet fabric is very comfortable, good size</v>
      </c>
    </row>
    <row r="15037">
      <c r="A15037" s="1">
        <v>5.0</v>
      </c>
      <c r="B15037" s="1" t="s">
        <v>14875</v>
      </c>
      <c r="C15037" t="str">
        <f>IFERROR(__xludf.DUMMYFUNCTION("GOOGLETRANSLATE(B15037, ""zh"", ""en"")"),"Large capacity, the price can work something not very good, with the okay, after all, a large capacity.")</f>
        <v>Large capacity, the price can work something not very good, with the okay, after all, a large capacity.</v>
      </c>
    </row>
    <row r="15038">
      <c r="A15038" s="1">
        <v>5.0</v>
      </c>
      <c r="B15038" s="1" t="s">
        <v>14876</v>
      </c>
      <c r="C15038" t="str">
        <f>IFERROR(__xludf.DUMMYFUNCTION("GOOGLETRANSLATE(B15038, ""zh"", ""en"")"),"Good thick chocolate smell fragrant, and taste is not sweet, good packaging")</f>
        <v>Good thick chocolate smell fragrant, and taste is not sweet, good packaging</v>
      </c>
    </row>
    <row r="15039">
      <c r="A15039" s="1">
        <v>5.0</v>
      </c>
      <c r="B15039" s="1" t="s">
        <v>14877</v>
      </c>
      <c r="C15039" t="str">
        <f>IFERROR(__xludf.DUMMYFUNCTION("GOOGLETRANSLATE(B15039, ""zh"", ""en"")"),"Brush the price is cheap, but not a good wife. Soft brush")</f>
        <v>Brush the price is cheap, but not a good wife. Soft brush</v>
      </c>
    </row>
    <row r="15040">
      <c r="A15040" s="1">
        <v>5.0</v>
      </c>
      <c r="B15040" s="1" t="s">
        <v>14878</v>
      </c>
      <c r="C15040" t="str">
        <f>IFERROR(__xludf.DUMMYFUNCTION("GOOGLETRANSLATE(B15040, ""zh"", ""en"")"),"Just like the goods received is very beautiful strap too hard like the other are good")</f>
        <v>Just like the goods received is very beautiful strap too hard like the other are good</v>
      </c>
    </row>
    <row r="15041">
      <c r="A15041" s="1">
        <v>5.0</v>
      </c>
      <c r="B15041" s="1" t="s">
        <v>11420</v>
      </c>
      <c r="C15041" t="str">
        <f>IFERROR(__xludf.DUMMYFUNCTION("GOOGLETRANSLATE(B15041, ""zh"", ""en"")"),"Good comfort right size, the right size, the price like some more space, but already much cheaper than a broad-brimmed money")</f>
        <v>Good comfort right size, the right size, the price like some more space, but already much cheaper than a broad-brimmed money</v>
      </c>
    </row>
    <row r="15042">
      <c r="A15042" s="1">
        <v>5.0</v>
      </c>
      <c r="B15042" s="1" t="s">
        <v>14879</v>
      </c>
      <c r="C15042" t="str">
        <f>IFERROR(__xludf.DUMMYFUNCTION("GOOGLETRANSLATE(B15042, ""zh"", ""en"")"),"Not use, I believe should be good. Erbao to buy a small kettle. I hope she likes")</f>
        <v>Not use, I believe should be good. Erbao to buy a small kettle. I hope she likes</v>
      </c>
    </row>
    <row r="15043">
      <c r="A15043" s="1">
        <v>5.0</v>
      </c>
      <c r="B15043" s="1" t="s">
        <v>14880</v>
      </c>
      <c r="C15043" t="str">
        <f>IFERROR(__xludf.DUMMYFUNCTION("GOOGLETRANSLATE(B15043, ""zh"", ""en"")"),"ecco perfect shoes, very comfortable, that is, high-top to wear off more demanding. Just the right size, I Nike42.5, this buy 42, slightly larger point, I like to wear loose points, do not like too tight.")</f>
        <v>ecco perfect shoes, very comfortable, that is, high-top to wear off more demanding. Just the right size, I Nike42.5, this buy 42, slightly larger point, I like to wear loose points, do not like too tight.</v>
      </c>
    </row>
    <row r="15044">
      <c r="A15044" s="1">
        <v>5.0</v>
      </c>
      <c r="B15044" s="1" t="s">
        <v>14881</v>
      </c>
      <c r="C15044" t="str">
        <f>IFERROR(__xludf.DUMMYFUNCTION("GOOGLETRANSLATE(B15044, ""zh"", ""en"")"),"Amazon kids liked the price is cheaper, shape and volume limit function from the shackles of the line very well designed for children, plus a Bluetooth microphone.")</f>
        <v>Amazon kids liked the price is cheaper, shape and volume limit function from the shackles of the line very well designed for children, plus a Bluetooth microphone.</v>
      </c>
    </row>
    <row r="15045">
      <c r="A15045" s="1">
        <v>5.0</v>
      </c>
      <c r="B15045" s="1" t="s">
        <v>14882</v>
      </c>
      <c r="C15045" t="str">
        <f>IFERROR(__xludf.DUMMYFUNCTION("GOOGLETRANSLATE(B15045, ""zh"", ""en"")"),"Very good right size shoes lightweight breathable nap, first shoes a little flaw, after the exchange Bang Bang da")</f>
        <v>Very good right size shoes lightweight breathable nap, first shoes a little flaw, after the exchange Bang Bang da</v>
      </c>
    </row>
    <row r="15046">
      <c r="A15046" s="1">
        <v>2.0</v>
      </c>
      <c r="B15046" s="1" t="s">
        <v>14883</v>
      </c>
      <c r="C15046" t="str">
        <f>IFERROR(__xludf.DUMMYFUNCTION("GOOGLETRANSLATE(B15046, ""zh"", ""en"")"),"Too large a scented shoes code number is too large, I seem to wear feet long, some slip soles, but the foot feeling really comfortable")</f>
        <v>Too large a scented shoes code number is too large, I seem to wear feet long, some slip soles, but the foot feeling really comfortable</v>
      </c>
    </row>
    <row r="15047">
      <c r="A15047" s="1">
        <v>3.0</v>
      </c>
      <c r="B15047" s="1" t="s">
        <v>14884</v>
      </c>
      <c r="C15047" t="str">
        <f>IFERROR(__xludf.DUMMYFUNCTION("GOOGLETRANSLATE(B15047, ""zh"", ""en"")"),"After made in China used a few times and found that read, made in China, not really scripts, you can look on the charger is not there")</f>
        <v>After made in China used a few times and found that read, made in China, not really scripts, you can look on the charger is not there</v>
      </c>
    </row>
    <row r="15048">
      <c r="A15048" s="1">
        <v>3.0</v>
      </c>
      <c r="B15048" s="1" t="s">
        <v>14885</v>
      </c>
      <c r="C15048" t="str">
        <f>IFERROR(__xludf.DUMMYFUNCTION("GOOGLETRANSLATE(B15048, ""zh"", ""en"")"),"I do not think leather is not leather, like the wet cardboard.")</f>
        <v>I do not think leather is not leather, like the wet cardboard.</v>
      </c>
    </row>
    <row r="15049">
      <c r="A15049" s="1">
        <v>1.0</v>
      </c>
      <c r="B15049" s="1" t="s">
        <v>14886</v>
      </c>
      <c r="C15049" t="str">
        <f>IFERROR(__xludf.DUMMYFUNCTION("GOOGLETRANSLATE(B15049, ""zh"", ""en"")"),"What is genuine, poor quality! Amazon no zuo no die poor quality! Stitch thread, it is not genuine style. Amazon This is not a rhythm thing. Smashing sign it. Sadly. There is photographic evidence.")</f>
        <v>What is genuine, poor quality! Amazon no zuo no die poor quality! Stitch thread, it is not genuine style. Amazon This is not a rhythm thing. Smashing sign it. Sadly. There is photographic evidence.</v>
      </c>
    </row>
    <row r="15050">
      <c r="A15050" s="1">
        <v>1.0</v>
      </c>
      <c r="B15050" s="1" t="s">
        <v>14887</v>
      </c>
      <c r="C15050" t="str">
        <f>IFERROR(__xludf.DUMMYFUNCTION("GOOGLETRANSLATE(B15050, ""zh"", ""en"")"),"I read your comments do not buy. Thank you, ah man. I fancy imported original. I read your comments do not buy.")</f>
        <v>I read your comments do not buy. Thank you, ah man. I fancy imported original. I read your comments do not buy.</v>
      </c>
    </row>
    <row r="15051">
      <c r="A15051" s="1">
        <v>1.0</v>
      </c>
      <c r="B15051" s="1" t="s">
        <v>14888</v>
      </c>
      <c r="C15051" t="str">
        <f>IFERROR(__xludf.DUMMYFUNCTION("GOOGLETRANSLATE(B15051, ""zh"", ""en"")"),"Trash to buy back the third day appeared to stop stealing phenomenon, woke up put on the watch discovered slowly for two hours, and electronic clock control, on average one minute slower a few seconds! ! Su no bump or artificially damaged too! ! ! Very di"&amp;"ssatisfied! ! ! !")</f>
        <v>Trash to buy back the third day appeared to stop stealing phenomenon, woke up put on the watch discovered slowly for two hours, and electronic clock control, on average one minute slower a few seconds! ! Su no bump or artificially damaged too! ! ! Very dissatisfied! ! ! !</v>
      </c>
    </row>
    <row r="15052">
      <c r="A15052" s="1">
        <v>4.0</v>
      </c>
      <c r="B15052" s="1" t="s">
        <v>14889</v>
      </c>
      <c r="C15052" t="str">
        <f>IFERROR(__xludf.DUMMYFUNCTION("GOOGLETRANSLATE(B15052, ""zh"", ""en"")"),"The pants just buy second pants right size, type pants suggest that you ask before you buy")</f>
        <v>The pants just buy second pants right size, type pants suggest that you ask before you buy</v>
      </c>
    </row>
    <row r="15053">
      <c r="A15053" s="1">
        <v>4.0</v>
      </c>
      <c r="B15053" s="1" t="s">
        <v>14890</v>
      </c>
      <c r="C15053" t="str">
        <f>IFERROR(__xludf.DUMMYFUNCTION("GOOGLETRANSLATE(B15053, ""zh"", ""en"")"),"Under ECCO Men casual shoes single uk9.5, sent uk10, a little big, returns too much trouble. ECCO shoes, whether at home or abroad, there should be no half yards shoe size, the overseas purchase of goods should be on the wrong page size selection, should "&amp;"pay attention when ordering. Light shoes are leather, leather slightly harder, sent one foot have tried to draw small creases and scars. Comfort is acceptable. Codons think we chose the country to wear a few yards a few yards.")</f>
        <v>Under ECCO Men casual shoes single uk9.5, sent uk10, a little big, returns too much trouble. ECCO shoes, whether at home or abroad, there should be no half yards shoe size, the overseas purchase of goods should be on the wrong page size selection, should pay attention when ordering. Light shoes are leather, leather slightly harder, sent one foot have tried to draw small creases and scars. Comfort is acceptable. Codons think we chose the country to wear a few yards a few yards.</v>
      </c>
    </row>
    <row r="15054">
      <c r="A15054" s="1">
        <v>4.0</v>
      </c>
      <c r="B15054" s="1" t="s">
        <v>14891</v>
      </c>
      <c r="C15054" t="str">
        <f>IFERROR(__xludf.DUMMYFUNCTION("GOOGLETRANSLATE(B15054, ""zh"", ""en"")"),"Okay hold up and feel good, not very smooth, but do not hang paper.")</f>
        <v>Okay hold up and feel good, not very smooth, but do not hang paper.</v>
      </c>
    </row>
    <row r="15055">
      <c r="A15055" s="1">
        <v>4.0</v>
      </c>
      <c r="B15055" s="1" t="s">
        <v>14892</v>
      </c>
      <c r="C15055" t="str">
        <f>IFERROR(__xludf.DUMMYFUNCTION("GOOGLETRANSLATE(B15055, ""zh"", ""en"")"),"Good times repurchase, speaking as a multi-vitamin is also good, friends say better than the Cubs sugar.")</f>
        <v>Good times repurchase, speaking as a multi-vitamin is also good, friends say better than the Cubs sugar.</v>
      </c>
    </row>
    <row r="15056">
      <c r="A15056" s="1">
        <v>4.0</v>
      </c>
      <c r="B15056" s="1" t="s">
        <v>14893</v>
      </c>
      <c r="C15056" t="str">
        <f>IFERROR(__xludf.DUMMYFUNCTION("GOOGLETRANSLATE(B15056, ""zh"", ""en"")"),"174 cm tall and thin fabric 68 kg, wearing s code just right. Fabric is very soft, but some thin, suitable for spring and autumn days are not cold when wearing.")</f>
        <v>174 cm tall and thin fabric 68 kg, wearing s code just right. Fabric is very soft, but some thin, suitable for spring and autumn days are not cold when wearing.</v>
      </c>
    </row>
    <row r="15057">
      <c r="A15057" s="1">
        <v>5.0</v>
      </c>
      <c r="B15057" s="1" t="s">
        <v>14894</v>
      </c>
      <c r="C15057" t="str">
        <f>IFERROR(__xludf.DUMMYFUNCTION("GOOGLETRANSLATE(B15057, ""zh"", ""en"")"),"Good cheap, no taste, fast delivery speed.")</f>
        <v>Good cheap, no taste, fast delivery speed.</v>
      </c>
    </row>
    <row r="15058">
      <c r="A15058" s="1">
        <v>5.0</v>
      </c>
      <c r="B15058" s="1" t="s">
        <v>14895</v>
      </c>
      <c r="C15058" t="str">
        <f>IFERROR(__xludf.DUMMYFUNCTION("GOOGLETRANSLATE(B15058, ""zh"", ""en"")"),"Good color actually pretty good, not use, personally I feel that the models are more suitable for a child with, before a lid broke and bought a")</f>
        <v>Good color actually pretty good, not use, personally I feel that the models are more suitable for a child with, before a lid broke and bought a</v>
      </c>
    </row>
    <row r="15059">
      <c r="A15059" s="1">
        <v>5.0</v>
      </c>
      <c r="B15059" s="1" t="s">
        <v>14896</v>
      </c>
      <c r="C15059" t="str">
        <f>IFERROR(__xludf.DUMMYFUNCTION("GOOGLETRANSLATE(B15059, ""zh"", ""en"")"),"Armagh Johnson trustworthy good shopping experience. On time, at reasonable prices. Very satisfied")</f>
        <v>Armagh Johnson trustworthy good shopping experience. On time, at reasonable prices. Very satisfied</v>
      </c>
    </row>
    <row r="15060">
      <c r="A15060" s="1">
        <v>5.0</v>
      </c>
      <c r="B15060" s="1" t="s">
        <v>14897</v>
      </c>
      <c r="C15060" t="str">
        <f>IFERROR(__xludf.DUMMYFUNCTION("GOOGLETRANSLATE(B15060, ""zh"", ""en"")"),"Very good quality, technology is really very good, the insulation effect is also very good, 12 hours after the water is still hot.")</f>
        <v>Very good quality, technology is really very good, the insulation effect is also very good, 12 hours after the water is still hot.</v>
      </c>
    </row>
    <row r="15061">
      <c r="A15061" s="1">
        <v>5.0</v>
      </c>
      <c r="B15061" s="1" t="s">
        <v>14898</v>
      </c>
      <c r="C15061" t="str">
        <f>IFERROR(__xludf.DUMMYFUNCTION("GOOGLETRANSLATE(B15061, ""zh"", ""en"")"),"Good experience warm and fit")</f>
        <v>Good experience warm and fit</v>
      </c>
    </row>
    <row r="15062">
      <c r="A15062" s="1">
        <v>5.0</v>
      </c>
      <c r="B15062" s="1" t="s">
        <v>14899</v>
      </c>
      <c r="C15062" t="str">
        <f>IFERROR(__xludf.DUMMYFUNCTION("GOOGLETRANSLATE(B15062, ""zh"", ""en"")"),"Very good very good, very detailed work, handwriting thickness is also very good, packaging is also very good, express delivery about a week or so.")</f>
        <v>Very good very good, very detailed work, handwriting thickness is also very good, packaging is also very good, express delivery about a week or so.</v>
      </c>
    </row>
    <row r="15063">
      <c r="A15063" s="1">
        <v>5.0</v>
      </c>
      <c r="B15063" s="1" t="s">
        <v>14900</v>
      </c>
      <c r="C15063" t="str">
        <f>IFERROR(__xludf.DUMMYFUNCTION("GOOGLETRANSLATE(B15063, ""zh"", ""en"")"),"Strongly recommended Strongly recommended, 185/72, m code, less than 200 buy discount period")</f>
        <v>Strongly recommended Strongly recommended, 185/72, m code, less than 200 buy discount period</v>
      </c>
    </row>
    <row r="15064">
      <c r="A15064" s="1">
        <v>5.0</v>
      </c>
      <c r="B15064" s="1" t="s">
        <v>14901</v>
      </c>
      <c r="C15064" t="str">
        <f>IFERROR(__xludf.DUMMYFUNCTION("GOOGLETRANSLATE(B15064, ""zh"", ""en"")"),"More cost-effective than the domestic cost-effective, high value color, easy to clean")</f>
        <v>More cost-effective than the domestic cost-effective, high value color, easy to clean</v>
      </c>
    </row>
    <row r="15065">
      <c r="A15065" s="1">
        <v>5.0</v>
      </c>
      <c r="B15065" s="1" t="s">
        <v>14902</v>
      </c>
      <c r="C15065" t="str">
        <f>IFERROR(__xludf.DUMMYFUNCTION("GOOGLETRANSLATE(B15065, ""zh"", ""en"")"),"Good shoes, a few years, and comfortable to wear good shoes, cheap!")</f>
        <v>Good shoes, a few years, and comfortable to wear good shoes, cheap!</v>
      </c>
    </row>
    <row r="15066">
      <c r="A15066" s="1">
        <v>5.0</v>
      </c>
      <c r="B15066" s="1" t="s">
        <v>14903</v>
      </c>
      <c r="C15066" t="str">
        <f>IFERROR(__xludf.DUMMYFUNCTION("GOOGLETRANSLATE(B15066, ""zh"", ""en"")"),"Waist 83 cm very good, buy the belt 32, in the middle of summer just buckle belt eye, very good! Paper quality can also be right, after all, the price in this arrayed!")</f>
        <v>Waist 83 cm very good, buy the belt 32, in the middle of summer just buckle belt eye, very good! Paper quality can also be right, after all, the price in this arrayed!</v>
      </c>
    </row>
    <row r="15067">
      <c r="A15067" s="1">
        <v>5.0</v>
      </c>
      <c r="B15067" s="1" t="s">
        <v>14904</v>
      </c>
      <c r="C15067" t="str">
        <f>IFERROR(__xludf.DUMMYFUNCTION("GOOGLETRANSLATE(B15067, ""zh"", ""en"")"),"Ok, Ok")</f>
        <v>Ok, Ok</v>
      </c>
    </row>
    <row r="15068">
      <c r="A15068" s="1">
        <v>5.0</v>
      </c>
      <c r="B15068" s="1" t="s">
        <v>14905</v>
      </c>
      <c r="C15068" t="str">
        <f>IFERROR(__xludf.DUMMYFUNCTION("GOOGLETRANSLATE(B15068, ""zh"", ""en"")"),"Skechers Sport Women's D'lites Biggest Fan ... tangle for a long time do not know how the election code, this is equivalent to Chinese yards 6.5 yards 37 yards, give us a reference. Cushion money, very comfortable, express orders to receive a total of 12 "&amp;"days, much faster than imagined, like this one")</f>
        <v>Skechers Sport Women's D'lites Biggest Fan ... tangle for a long time do not know how the election code, this is equivalent to Chinese yards 6.5 yards 37 yards, give us a reference. Cushion money, very comfortable, express orders to receive a total of 12 days, much faster than imagined, like this one</v>
      </c>
    </row>
    <row r="15069">
      <c r="A15069" s="1">
        <v>5.0</v>
      </c>
      <c r="B15069" s="1" t="s">
        <v>14906</v>
      </c>
      <c r="C15069" t="str">
        <f>IFERROR(__xludf.DUMMYFUNCTION("GOOGLETRANSLATE(B15069, ""zh"", ""en"")"),"Breast milk have to eat, do not eat milk and lack of breast milk d have to eat, do not eat on the lack of d, Chinese pollution too, there is also sun than the sun, so we eat")</f>
        <v>Breast milk have to eat, do not eat milk and lack of breast milk d have to eat, do not eat on the lack of d, Chinese pollution too, there is also sun than the sun, so we eat</v>
      </c>
    </row>
    <row r="15070">
      <c r="A15070" s="1">
        <v>5.0</v>
      </c>
      <c r="B15070" s="1" t="s">
        <v>14907</v>
      </c>
      <c r="C15070" t="str">
        <f>IFERROR(__xludf.DUMMYFUNCTION("GOOGLETRANSLATE(B15070, ""zh"", ""en"")"),"Electric toothbrush head very high level of more advanced models, GM said the online search 6 Series, although there is little use to see if I felt the brush head Advanced")</f>
        <v>Electric toothbrush head very high level of more advanced models, GM said the online search 6 Series, although there is little use to see if I felt the brush head Advanced</v>
      </c>
    </row>
    <row r="15071">
      <c r="A15071" s="1">
        <v>5.0</v>
      </c>
      <c r="B15071" s="1" t="s">
        <v>14908</v>
      </c>
      <c r="C15071" t="str">
        <f>IFERROR(__xludf.DUMMYFUNCTION("GOOGLETRANSLATE(B15071, ""zh"", ""en"")"),"Very good quality and comfortable to wear, is a bit too long")</f>
        <v>Very good quality and comfortable to wear, is a bit too long</v>
      </c>
    </row>
    <row r="15072">
      <c r="A15072" s="1">
        <v>5.0</v>
      </c>
      <c r="B15072" s="1" t="s">
        <v>14909</v>
      </c>
      <c r="C15072" t="str">
        <f>IFERROR(__xludf.DUMMYFUNCTION("GOOGLETRANSLATE(B15072, ""zh"", ""en"")"),"Comfortable non-cotton, produced in India, we must first wash before wearing. Close, not too tight Le, style Ye Hao.")</f>
        <v>Comfortable non-cotton, produced in India, we must first wash before wearing. Close, not too tight Le, style Ye Hao.</v>
      </c>
    </row>
    <row r="15073">
      <c r="A15073" s="1">
        <v>5.0</v>
      </c>
      <c r="B15073" s="1" t="s">
        <v>14910</v>
      </c>
      <c r="C15073" t="str">
        <f>IFERROR(__xludf.DUMMYFUNCTION("GOOGLETRANSLATE(B15073, ""zh"", ""en"")"),"comfortable to wear. Height 170, weight 70, wearing s number just right and comfortable to wear. Height 170, weight 70, wear s number is appropriate")</f>
        <v>comfortable to wear. Height 170, weight 70, wearing s number just right and comfortable to wear. Height 170, weight 70, wear s number is appropriate</v>
      </c>
    </row>
    <row r="15074">
      <c r="A15074" s="1">
        <v>5.0</v>
      </c>
      <c r="B15074" s="1" t="s">
        <v>14911</v>
      </c>
      <c r="C15074" t="str">
        <f>IFERROR(__xludf.DUMMYFUNCTION("GOOGLETRANSLATE(B15074, ""zh"", ""en"")"),"It sounds great to battery power. It sounds great to battery power. satisfaction")</f>
        <v>It sounds great to battery power. It sounds great to battery power. satisfaction</v>
      </c>
    </row>
    <row r="15075">
      <c r="A15075" s="1">
        <v>5.0</v>
      </c>
      <c r="B15075" s="1" t="s">
        <v>14912</v>
      </c>
      <c r="C15075" t="str">
        <f>IFERROR(__xludf.DUMMYFUNCTION("GOOGLETRANSLATE(B15075, ""zh"", ""en"")"),"To add warm socks 180D Article fever of 3 degrees can be worn at 0 to die, you can consider buying the southern city, nice thread")</f>
        <v>To add warm socks 180D Article fever of 3 degrees can be worn at 0 to die, you can consider buying the southern city, nice thread</v>
      </c>
    </row>
    <row r="15076">
      <c r="A15076" s="1">
        <v>5.0</v>
      </c>
      <c r="B15076" s="1" t="s">
        <v>14913</v>
      </c>
      <c r="C15076" t="str">
        <f>IFERROR(__xludf.DUMMYFUNCTION("GOOGLETRANSLATE(B15076, ""zh"", ""en"")"),"Good package goods is relatively small, casual type. The courier is too slow, Amazon needs to be improved.")</f>
        <v>Good package goods is relatively small, casual type. The courier is too slow, Amazon needs to be improved.</v>
      </c>
    </row>
    <row r="15077">
      <c r="A15077" s="1">
        <v>5.0</v>
      </c>
      <c r="B15077" s="1" t="s">
        <v>14914</v>
      </c>
      <c r="C15077" t="str">
        <f>IFERROR(__xludf.DUMMYFUNCTION("GOOGLETRANSLATE(B15077, ""zh"", ""en"")"),"Good quality logistics fast")</f>
        <v>Good quality logistics fast</v>
      </c>
    </row>
    <row r="15078">
      <c r="A15078" s="1">
        <v>2.0</v>
      </c>
      <c r="B15078" s="1" t="s">
        <v>14915</v>
      </c>
      <c r="C15078" t="str">
        <f>IFERROR(__xludf.DUMMYFUNCTION("GOOGLETRANSLATE(B15078, ""zh"", ""en"")"),"Small little")</f>
        <v>Small little</v>
      </c>
    </row>
    <row r="15079">
      <c r="A15079" s="1">
        <v>3.0</v>
      </c>
      <c r="B15079" s="1" t="s">
        <v>14916</v>
      </c>
      <c r="C15079" t="str">
        <f>IFERROR(__xludf.DUMMYFUNCTION("GOOGLETRANSLATE(B15079, ""zh"", ""en"")"),"Shipping soon, the texture is generally more than yesterday 16:00 the next single, the next day 12 they received the goods, fast, probably because I am here from the Guangzhou Huangpu warehouse near. Watch general, perhaps HD series are like this. . . .")</f>
        <v>Shipping soon, the texture is generally more than yesterday 16:00 the next single, the next day 12 they received the goods, fast, probably because I am here from the Guangzhou Huangpu warehouse near. Watch general, perhaps HD series are like this. . . .</v>
      </c>
    </row>
    <row r="15080">
      <c r="A15080" s="1">
        <v>3.0</v>
      </c>
      <c r="B15080" s="1" t="s">
        <v>14917</v>
      </c>
      <c r="C15080" t="str">
        <f>IFERROR(__xludf.DUMMYFUNCTION("GOOGLETRANSLATE(B15080, ""zh"", ""en"")"),"9 points evaluation comfort shoes, leather shoes just smell too")</f>
        <v>9 points evaluation comfort shoes, leather shoes just smell too</v>
      </c>
    </row>
    <row r="15081">
      <c r="A15081" s="1">
        <v>3.0</v>
      </c>
      <c r="B15081" s="1" t="s">
        <v>14918</v>
      </c>
      <c r="C15081" t="str">
        <f>IFERROR(__xludf.DUMMYFUNCTION("GOOGLETRANSLATE(B15081, ""zh"", ""en"")"),"Used to doing it, dig applesauce praise only this role. . . no others. . . . .")</f>
        <v>Used to doing it, dig applesauce praise only this role. . . no others. . . . .</v>
      </c>
    </row>
    <row r="15082">
      <c r="A15082" s="1">
        <v>1.0</v>
      </c>
      <c r="B15082" s="1" t="s">
        <v>14919</v>
      </c>
      <c r="C15082" t="str">
        <f>IFERROR(__xludf.DUMMYFUNCTION("GOOGLETRANSLATE(B15082, ""zh"", ""en"")"),"Packaging damaged during transport was inside the U disk outside packaging is damaged, it should not be a few more foam board What thing? Stuffed inside directly to send over very irresponsible")</f>
        <v>Packaging damaged during transport was inside the U disk outside packaging is damaged, it should not be a few more foam board What thing? Stuffed inside directly to send over very irresponsible</v>
      </c>
    </row>
    <row r="15083">
      <c r="A15083" s="1">
        <v>1.0</v>
      </c>
      <c r="B15083" s="1" t="s">
        <v>14920</v>
      </c>
      <c r="C15083" t="str">
        <f>IFERROR(__xludf.DUMMYFUNCTION("GOOGLETRANSLATE(B15083, ""zh"", ""en"")"),"Poor quality bad! Washing or serious sour! fade! ck in quality? Serious doubt is not genuine!")</f>
        <v>Poor quality bad! Washing or serious sour! fade! ck in quality? Serious doubt is not genuine!</v>
      </c>
    </row>
    <row r="15084">
      <c r="A15084" s="1">
        <v>1.0</v>
      </c>
      <c r="B15084" s="1" t="s">
        <v>14921</v>
      </c>
      <c r="C15084" t="str">
        <f>IFERROR(__xludf.DUMMYFUNCTION("GOOGLETRANSLATE(B15084, ""zh"", ""en"")"),"Expire product shelf life to 19 years in November and did not say a bad review Product Description Advent goods")</f>
        <v>Expire product shelf life to 19 years in November and did not say a bad review Product Description Advent goods</v>
      </c>
    </row>
    <row r="15085">
      <c r="A15085" s="1">
        <v>4.0</v>
      </c>
      <c r="B15085" s="1" t="s">
        <v>14922</v>
      </c>
      <c r="C15085" t="str">
        <f>IFERROR(__xludf.DUMMYFUNCTION("GOOGLETRANSLATE(B15085, ""zh"", ""en"")"),"Packaging Intuit province. Something no problem. Packing too simple, original packaging sent me, did not add a layer of boxes on the outside. When the hand outside the box do not know which part of a re-tape the edges and corners of the place has been all"&amp;" bad. Fortunately, the stuff inside is no problem.")</f>
        <v>Packaging Intuit province. Something no problem. Packing too simple, original packaging sent me, did not add a layer of boxes on the outside. When the hand outside the box do not know which part of a re-tape the edges and corners of the place has been all bad. Fortunately, the stuff inside is no problem.</v>
      </c>
    </row>
    <row r="15086">
      <c r="A15086" s="1">
        <v>4.0</v>
      </c>
      <c r="B15086" s="1" t="s">
        <v>14923</v>
      </c>
      <c r="C15086" t="str">
        <f>IFERROR(__xludf.DUMMYFUNCTION("GOOGLETRANSLATE(B15086, ""zh"", ""en"")"),"Just buy pens can also be used with, read the previous review helpful. I am not fond of writing people, so not a lot of requirements for pen. Write out the handwriting feeling no comments say so thick, the thickness of the individual may not the same as u"&amp;"nderstanding it. Grip is good, it is estimated by the hands of people uncomfortable.")</f>
        <v>Just buy pens can also be used with, read the previous review helpful. I am not fond of writing people, so not a lot of requirements for pen. Write out the handwriting feeling no comments say so thick, the thickness of the individual may not the same as understanding it. Grip is good, it is estimated by the hands of people uncomfortable.</v>
      </c>
    </row>
    <row r="15087">
      <c r="A15087" s="1">
        <v>4.0</v>
      </c>
      <c r="B15087" s="1" t="s">
        <v>14924</v>
      </c>
      <c r="C15087" t="str">
        <f>IFERROR(__xludf.DUMMYFUNCTION("GOOGLETRANSLATE(B15087, ""zh"", ""en"")"),"Be sure to purchase overseas determine a good size, the important thing to say three times! This is no small ah W33 waist, CK marked this size is intentional. In fact, work okay, very thin fabric, not wear in the northern winter. I am now looking for disk"&amp;" access.")</f>
        <v>Be sure to purchase overseas determine a good size, the important thing to say three times! This is no small ah W33 waist, CK marked this size is intentional. In fact, work okay, very thin fabric, not wear in the northern winter. I am now looking for disk access.</v>
      </c>
    </row>
    <row r="15088">
      <c r="A15088" s="1">
        <v>4.0</v>
      </c>
      <c r="B15088" s="1" t="s">
        <v>14925</v>
      </c>
      <c r="C15088" t="str">
        <f>IFERROR(__xludf.DUMMYFUNCTION("GOOGLETRANSLATE(B15088, ""zh"", ""en"")"),"Yes, that is plastic watches are all good, that watches are all plastic surfaces are even")</f>
        <v>Yes, that is plastic watches are all good, that watches are all plastic surfaces are even</v>
      </c>
    </row>
    <row r="15089">
      <c r="A15089" s="1">
        <v>4.0</v>
      </c>
      <c r="B15089" s="1" t="s">
        <v>14926</v>
      </c>
      <c r="C15089" t="str">
        <f>IFERROR(__xludf.DUMMYFUNCTION("GOOGLETRANSLATE(B15089, ""zh"", ""en"")"),"Nice comfortable cotton, thick, winter wear very good!")</f>
        <v>Nice comfortable cotton, thick, winter wear very good!</v>
      </c>
    </row>
    <row r="15090">
      <c r="A15090" s="1">
        <v>5.0</v>
      </c>
      <c r="B15090" s="1" t="s">
        <v>14927</v>
      </c>
      <c r="C15090" t="str">
        <f>IFERROR(__xludf.DUMMYFUNCTION("GOOGLETRANSLATE(B15090, ""zh"", ""en"")"),"Good quality, good taste is no quality, no taste, yet did not give the baby")</f>
        <v>Good quality, good taste is no quality, no taste, yet did not give the baby</v>
      </c>
    </row>
    <row r="15091">
      <c r="A15091" s="1">
        <v>5.0</v>
      </c>
      <c r="B15091" s="1" t="s">
        <v>14928</v>
      </c>
      <c r="C15091" t="str">
        <f>IFERROR(__xludf.DUMMYFUNCTION("GOOGLETRANSLATE(B15091, ""zh"", ""en"")"),"Praise good work, good-looking than the picture looks like, half a yard larger than the other sports shoes. The sole is not soft, but it is also characteristic of shoes.")</f>
        <v>Praise good work, good-looking than the picture looks like, half a yard larger than the other sports shoes. The sole is not soft, but it is also characteristic of shoes.</v>
      </c>
    </row>
    <row r="15092">
      <c r="A15092" s="1">
        <v>5.0</v>
      </c>
      <c r="B15092" s="1" t="s">
        <v>14929</v>
      </c>
      <c r="C15092" t="str">
        <f>IFERROR(__xludf.DUMMYFUNCTION("GOOGLETRANSLATE(B15092, ""zh"", ""en"")"),"Shoes pretty quickly express, arrived less than a week, very good quality shoes, very comfortable")</f>
        <v>Shoes pretty quickly express, arrived less than a week, very good quality shoes, very comfortable</v>
      </c>
    </row>
    <row r="15093">
      <c r="A15093" s="1">
        <v>5.0</v>
      </c>
      <c r="B15093" s="1" t="s">
        <v>14930</v>
      </c>
      <c r="C15093" t="str">
        <f>IFERROR(__xludf.DUMMYFUNCTION("GOOGLETRANSLATE(B15093, ""zh"", ""en"")"),"Size Press sports shoes size buy on line lined, wear sneakers 40 to 40.5 7dm us just, I 169,53kg, just wear this, my feet long 245mm, this should be smaller than the same size desert boots in the shoe, buy normal sneakers size on the line, the hand 520.")</f>
        <v>Size Press sports shoes size buy on line lined, wear sneakers 40 to 40.5 7dm us just, I 169,53kg, just wear this, my feet long 245mm, this should be smaller than the same size desert boots in the shoe, buy normal sneakers size on the line, the hand 520.</v>
      </c>
    </row>
    <row r="15094">
      <c r="A15094" s="1">
        <v>5.0</v>
      </c>
      <c r="B15094" s="1" t="s">
        <v>14931</v>
      </c>
      <c r="C15094" t="str">
        <f>IFERROR(__xludf.DUMMYFUNCTION("GOOGLETRANSLATE(B15094, ""zh"", ""en"")"),"Indeed 8 affordable equipment, logistics very quickly, received Portuguese production, work like a general")</f>
        <v>Indeed 8 affordable equipment, logistics very quickly, received Portuguese production, work like a general</v>
      </c>
    </row>
    <row r="15095">
      <c r="A15095" s="1">
        <v>5.0</v>
      </c>
      <c r="B15095" s="1" t="s">
        <v>14932</v>
      </c>
      <c r="C15095" t="str">
        <f>IFERROR(__xludf.DUMMYFUNCTION("GOOGLETRANSLATE(B15095, ""zh"", ""en"")"),"Yes it is worth buying sound, good sound quality.")</f>
        <v>Yes it is worth buying sound, good sound quality.</v>
      </c>
    </row>
    <row r="15096">
      <c r="A15096" s="1">
        <v>5.0</v>
      </c>
      <c r="B15096" s="1" t="s">
        <v>14933</v>
      </c>
      <c r="C15096" t="str">
        <f>IFERROR(__xludf.DUMMYFUNCTION("GOOGLETRANSLATE(B15096, ""zh"", ""en"")"),"Easy to use, we recommended to buy ~")</f>
        <v>Easy to use, we recommended to buy ~</v>
      </c>
    </row>
    <row r="15097">
      <c r="A15097" s="1">
        <v>5.0</v>
      </c>
      <c r="B15097" s="1" t="s">
        <v>14934</v>
      </c>
      <c r="C15097" t="str">
        <f>IFERROR(__xludf.DUMMYFUNCTION("GOOGLETRANSLATE(B15097, ""zh"", ""en"")"),"No smell, very soft bottle has been seen comments comotomo, and actually get our hands feel even better, to drink milk when the baby is more at ease, not afraid to fall, not broken. US direct mail some more confidence")</f>
        <v>No smell, very soft bottle has been seen comments comotomo, and actually get our hands feel even better, to drink milk when the baby is more at ease, not afraid to fall, not broken. US direct mail some more confidence</v>
      </c>
    </row>
    <row r="15098">
      <c r="A15098" s="1">
        <v>5.0</v>
      </c>
      <c r="B15098" s="1" t="s">
        <v>14935</v>
      </c>
      <c r="C15098" t="str">
        <f>IFERROR(__xludf.DUMMYFUNCTION("GOOGLETRANSLATE(B15098, ""zh"", ""en"")"),"Very satisfied genuine. Packaging more primitive.")</f>
        <v>Very satisfied genuine. Packaging more primitive.</v>
      </c>
    </row>
    <row r="15099">
      <c r="A15099" s="1">
        <v>5.0</v>
      </c>
      <c r="B15099" s="1" t="s">
        <v>14936</v>
      </c>
      <c r="C15099" t="str">
        <f>IFERROR(__xludf.DUMMYFUNCTION("GOOGLETRANSLATE(B15099, ""zh"", ""en"")"),"Clarks very satisfied with the very accurate shoe size is relatively full, both domestic and abroad are basically the same size, color is maroon very pure, natural light is very beautiful, comfortable on the feet, very no good")</f>
        <v>Clarks very satisfied with the very accurate shoe size is relatively full, both domestic and abroad are basically the same size, color is maroon very pure, natural light is very beautiful, comfortable on the feet, very no good</v>
      </c>
    </row>
    <row r="15100">
      <c r="A15100" s="1">
        <v>5.0</v>
      </c>
      <c r="B15100" s="1" t="s">
        <v>14937</v>
      </c>
      <c r="C15100" t="str">
        <f>IFERROR(__xludf.DUMMYFUNCTION("GOOGLETRANSLATE(B15100, ""zh"", ""en"")"),"Something good something good, color is very positive writing")</f>
        <v>Something good something good, color is very positive writing</v>
      </c>
    </row>
    <row r="15101">
      <c r="A15101" s="1">
        <v>5.0</v>
      </c>
      <c r="B15101" s="1" t="s">
        <v>14938</v>
      </c>
      <c r="C15101" t="str">
        <f>IFERROR(__xludf.DUMMYFUNCTION("GOOGLETRANSLATE(B15101, ""zh"", ""en"")"),"Comfortable size is appropriate to wear more comfortable")</f>
        <v>Comfortable size is appropriate to wear more comfortable</v>
      </c>
    </row>
    <row r="15102">
      <c r="A15102" s="1">
        <v>5.0</v>
      </c>
      <c r="B15102" s="1" t="s">
        <v>14939</v>
      </c>
      <c r="C15102" t="str">
        <f>IFERROR(__xludf.DUMMYFUNCTION("GOOGLETRANSLATE(B15102, ""zh"", ""en"")"),"Size is too big and my previous comment same.")</f>
        <v>Size is too big and my previous comment same.</v>
      </c>
    </row>
    <row r="15103">
      <c r="A15103" s="1">
        <v>5.0</v>
      </c>
      <c r="B15103" s="1" t="s">
        <v>6086</v>
      </c>
      <c r="C15103" t="str">
        <f>IFERROR(__xludf.DUMMYFUNCTION("GOOGLETRANSLATE(B15103, ""zh"", ""en"")"),"nice umm")</f>
        <v>nice umm</v>
      </c>
    </row>
    <row r="15104">
      <c r="A15104" s="1">
        <v>5.0</v>
      </c>
      <c r="B15104" s="1" t="s">
        <v>14940</v>
      </c>
      <c r="C15104" t="str">
        <f>IFERROR(__xludf.DUMMYFUNCTION("GOOGLETRANSLATE(B15104, ""zh"", ""en"")"),"Recommended to buy super like this, good workmanship, good texture")</f>
        <v>Recommended to buy super like this, good workmanship, good texture</v>
      </c>
    </row>
    <row r="15105">
      <c r="A15105" s="1">
        <v>5.0</v>
      </c>
      <c r="B15105" s="1" t="s">
        <v>14941</v>
      </c>
      <c r="C15105" t="str">
        <f>IFERROR(__xludf.DUMMYFUNCTION("GOOGLETRANSLATE(B15105, ""zh"", ""en"")"),"Quality Assurance high bid letter received baby is very pleasant surprise! Nana will 👌 good buy to the father's shoes. General General contemptuous style - simply did not wear law. Low-key luxury back shoes upgraded version: On this material, excellent! "&amp;"Look at the workmanship, exquisite! Big brands, okay? Again I say, ah, the old neighbor told Tan Lu pick up the ocean less than hey hey hey had a choice experience. Failure is the mother of success. Figure words: name shoe on the foot of eighty ......")</f>
        <v>Quality Assurance high bid letter received baby is very pleasant surprise! Nana will 👌 good buy to the father's shoes. General General contemptuous style - simply did not wear law. Low-key luxury back shoes upgraded version: On this material, excellent! Look at the workmanship, exquisite! Big brands, okay? Again I say, ah, the old neighbor told Tan Lu pick up the ocean less than hey hey hey had a choice experience. Failure is the mother of success. Figure words: name shoe on the foot of eighty ......</v>
      </c>
    </row>
    <row r="15106">
      <c r="A15106" s="1">
        <v>5.0</v>
      </c>
      <c r="B15106" s="1" t="s">
        <v>14942</v>
      </c>
      <c r="C15106" t="str">
        <f>IFERROR(__xludf.DUMMYFUNCTION("GOOGLETRANSLATE(B15106, ""zh"", ""en"")"),"Good shoes, good, fit, rain, too.")</f>
        <v>Good shoes, good, fit, rain, too.</v>
      </c>
    </row>
    <row r="15107">
      <c r="A15107" s="1">
        <v>5.0</v>
      </c>
      <c r="B15107" s="1" t="s">
        <v>14943</v>
      </c>
      <c r="C15107" t="str">
        <f>IFERROR(__xludf.DUMMYFUNCTION("GOOGLETRANSLATE(B15107, ""zh"", ""en"")"),"Satisfied with the right size zip-designed somewhat less")</f>
        <v>Satisfied with the right size zip-designed somewhat less</v>
      </c>
    </row>
    <row r="15108">
      <c r="A15108" s="1">
        <v>5.0</v>
      </c>
      <c r="B15108" s="1" t="s">
        <v>14944</v>
      </c>
      <c r="C15108" t="str">
        <f>IFERROR(__xludf.DUMMYFUNCTION("GOOGLETRANSLATE(B15108, ""zh"", ""en"")"),"Good 2l 3l just too small so I was 90c yuan 3l")</f>
        <v>Good 2l 3l just too small so I was 90c yuan 3l</v>
      </c>
    </row>
    <row r="15109">
      <c r="A15109" s="1">
        <v>5.0</v>
      </c>
      <c r="B15109" s="1" t="s">
        <v>14945</v>
      </c>
      <c r="C15109" t="str">
        <f>IFERROR(__xludf.DUMMYFUNCTION("GOOGLETRANSLATE(B15109, ""zh"", ""en"")"),"Good value for money table, good texture, dial concise, calm")</f>
        <v>Good value for money table, good texture, dial concise, calm</v>
      </c>
    </row>
    <row r="15110">
      <c r="A15110" s="1">
        <v>5.0</v>
      </c>
      <c r="B15110" s="1" t="s">
        <v>14946</v>
      </c>
      <c r="C15110" t="str">
        <f>IFERROR(__xludf.DUMMYFUNCTION("GOOGLETRANSLATE(B15110, ""zh"", ""en"")"),"10 10 buy, waist circumference measured 80cm, pants length 106cm, good flexibility, soft fabrics, comfortable")</f>
        <v>10 10 buy, waist circumference measured 80cm, pants length 106cm, good flexibility, soft fabrics, comfortable</v>
      </c>
    </row>
    <row r="15111">
      <c r="A15111" s="1">
        <v>5.0</v>
      </c>
      <c r="B15111" s="1" t="s">
        <v>14947</v>
      </c>
      <c r="C15111" t="str">
        <f>IFERROR(__xludf.DUMMYFUNCTION("GOOGLETRANSLATE(B15111, ""zh"", ""en"")"),"Good to go out and play with the children food supplement good insulation effect, but the general point to eat just to eat like Thermos will be very hot haha")</f>
        <v>Good to go out and play with the children food supplement good insulation effect, but the general point to eat just to eat like Thermos will be very hot haha</v>
      </c>
    </row>
    <row r="15112">
      <c r="A15112" s="1">
        <v>2.0</v>
      </c>
      <c r="B15112" s="1" t="s">
        <v>14948</v>
      </c>
      <c r="C15112" t="str">
        <f>IFERROR(__xludf.DUMMYFUNCTION("GOOGLETRANSLATE(B15112, ""zh"", ""en"")"),"Second time to buy a second buy, the first time to buy big, big point of pants off the action, this is a large movement will feel bursting point")</f>
        <v>Second time to buy a second buy, the first time to buy big, big point of pants off the action, this is a large movement will feel bursting point</v>
      </c>
    </row>
    <row r="15113">
      <c r="A15113" s="1">
        <v>3.0</v>
      </c>
      <c r="B15113" s="1" t="s">
        <v>14949</v>
      </c>
      <c r="C15113" t="str">
        <f>IFERROR(__xludf.DUMMYFUNCTION("GOOGLETRANSLATE(B15113, ""zh"", ""en"")"),"Not bad for the size")</f>
        <v>Not bad for the size</v>
      </c>
    </row>
    <row r="15114">
      <c r="A15114" s="1">
        <v>3.0</v>
      </c>
      <c r="B15114" s="1" t="s">
        <v>14950</v>
      </c>
      <c r="C15114" t="str">
        <f>IFERROR(__xludf.DUMMYFUNCTION("GOOGLETRANSLATE(B15114, ""zh"", ""en"")"),"Size okay. Very thin, okay.")</f>
        <v>Size okay. Very thin, okay.</v>
      </c>
    </row>
    <row r="15115">
      <c r="A15115" s="1">
        <v>3.0</v>
      </c>
      <c r="B15115" s="1" t="s">
        <v>14951</v>
      </c>
      <c r="C15115" t="str">
        <f>IFERROR(__xludf.DUMMYFUNCTION("GOOGLETRANSLATE(B15115, ""zh"", ""en"")"),"The watch strap is too hard to buy for almost half a year, I feel okay other strap is very hard. Especially dissatisfied with the strap of this watch.")</f>
        <v>The watch strap is too hard to buy for almost half a year, I feel okay other strap is very hard. Especially dissatisfied with the strap of this watch.</v>
      </c>
    </row>
    <row r="15116">
      <c r="A15116" s="1">
        <v>1.0</v>
      </c>
      <c r="B15116" s="1" t="s">
        <v>14952</v>
      </c>
      <c r="C15116" t="str">
        <f>IFERROR(__xludf.DUMMYFUNCTION("GOOGLETRANSLATE(B15116, ""zh"", ""en"")"),"And product description does not match! The weight of models in different colors texture very different! Seriously inconsistent with the known pounds! Customer First, undertake to reply to resolve the complaint, then I did not follow, this is Amazon custo"&amp;"mer service to do the most disappointing one.")</f>
        <v>And product description does not match! The weight of models in different colors texture very different! Seriously inconsistent with the known pounds! Customer First, undertake to reply to resolve the complaint, then I did not follow, this is Amazon customer service to do the most disappointing one.</v>
      </c>
    </row>
    <row r="15117">
      <c r="A15117" s="1">
        <v>1.0</v>
      </c>
      <c r="B15117" s="1" t="s">
        <v>14953</v>
      </c>
      <c r="C15117" t="str">
        <f>IFERROR(__xludf.DUMMYFUNCTION("GOOGLETRANSLATE(B15117, ""zh"", ""en"")"),"Very disappointing time to buy, hoping to receive compensation complaints packaging too simple pull, you know plastic bags are not even a box, outside of bowl plastic packaging are bad, like old or someone else return the goods to go")</f>
        <v>Very disappointing time to buy, hoping to receive compensation complaints packaging too simple pull, you know plastic bags are not even a box, outside of bowl plastic packaging are bad, like old or someone else return the goods to go</v>
      </c>
    </row>
    <row r="15118">
      <c r="A15118" s="1">
        <v>4.0</v>
      </c>
      <c r="B15118" s="1" t="s">
        <v>14954</v>
      </c>
      <c r="C15118" t="str">
        <f>IFERROR(__xludf.DUMMYFUNCTION("GOOGLETRANSLATE(B15118, ""zh"", ""en"")"),"Fortunately, a little loose leg produced in the country Meng pull, 164cm, 64kg can wear, leg slightly loose, straight, flexible fabric, relatively thick, suitable for winter")</f>
        <v>Fortunately, a little loose leg produced in the country Meng pull, 164cm, 64kg can wear, leg slightly loose, straight, flexible fabric, relatively thick, suitable for winter</v>
      </c>
    </row>
    <row r="15119">
      <c r="A15119" s="1">
        <v>4.0</v>
      </c>
      <c r="B15119" s="1" t="s">
        <v>14955</v>
      </c>
      <c r="C15119" t="str">
        <f>IFERROR(__xludf.DUMMYFUNCTION("GOOGLETRANSLATE(B15119, ""zh"", ""en"")"),"A little heavy overall okay, that is a bit heavy")</f>
        <v>A little heavy overall okay, that is a bit heavy</v>
      </c>
    </row>
    <row r="15120">
      <c r="A15120" s="1">
        <v>4.0</v>
      </c>
      <c r="B15120" s="1" t="s">
        <v>14956</v>
      </c>
      <c r="C15120" t="str">
        <f>IFERROR(__xludf.DUMMYFUNCTION("GOOGLETRANSLATE(B15120, ""zh"", ""en"")"),"T-shirt full of good clothes, very relaxed, good-looking color, very good, I like, I give praise!")</f>
        <v>T-shirt full of good clothes, very relaxed, good-looking color, very good, I like, I give praise!</v>
      </c>
    </row>
    <row r="15121">
      <c r="A15121" s="1">
        <v>4.0</v>
      </c>
      <c r="B15121" s="1" t="s">
        <v>14957</v>
      </c>
      <c r="C15121" t="str">
        <f>IFERROR(__xludf.DUMMYFUNCTION("GOOGLETRANSLATE(B15121, ""zh"", ""en"")"),"Insulation effect is great, Yan line insulation value is also very good, that cap has been worried about the aging of the rubber will")</f>
        <v>Insulation effect is great, Yan line insulation value is also very good, that cap has been worried about the aging of the rubber will</v>
      </c>
    </row>
    <row r="15122">
      <c r="A15122" s="1">
        <v>5.0</v>
      </c>
      <c r="B15122" s="1" t="s">
        <v>14958</v>
      </c>
      <c r="C15122" t="str">
        <f>IFERROR(__xludf.DUMMYFUNCTION("GOOGLETRANSLATE(B15122, ""zh"", ""en"")"),"11.11 to buy, value for money! Very good, full-bodied sound quality Sennheiser headphones, transparent, resolution is also high!")</f>
        <v>11.11 to buy, value for money! Very good, full-bodied sound quality Sennheiser headphones, transparent, resolution is also high!</v>
      </c>
    </row>
    <row r="15123">
      <c r="A15123" s="1">
        <v>5.0</v>
      </c>
      <c r="B15123" s="1" t="s">
        <v>14959</v>
      </c>
      <c r="C15123" t="str">
        <f>IFERROR(__xludf.DUMMYFUNCTION("GOOGLETRANSLATE(B15123, ""zh"", ""en"")"),"Good a capsule coffee machine compact, elegant and easy to use. Cost-effective. If a few more features the better.")</f>
        <v>Good a capsule coffee machine compact, elegant and easy to use. Cost-effective. If a few more features the better.</v>
      </c>
    </row>
    <row r="15124">
      <c r="A15124" s="1">
        <v>5.0</v>
      </c>
      <c r="B15124" s="1" t="s">
        <v>14960</v>
      </c>
      <c r="C15124" t="str">
        <f>IFERROR(__xludf.DUMMYFUNCTION("GOOGLETRANSLATE(B15124, ""zh"", ""en"")"),"Comfortable fabric, can be attached in addition to wearing long sleeves a bit, the size are appropriate. Comfortable fabric, can be attached to wearing.")</f>
        <v>Comfortable fabric, can be attached in addition to wearing long sleeves a bit, the size are appropriate. Comfortable fabric, can be attached to wearing.</v>
      </c>
    </row>
    <row r="15125">
      <c r="A15125" s="1">
        <v>5.0</v>
      </c>
      <c r="B15125" s="1" t="s">
        <v>14961</v>
      </c>
      <c r="C15125" t="str">
        <f>IFERROR(__xludf.DUMMYFUNCTION("GOOGLETRANSLATE(B15125, ""zh"", ""en"")"),"Good color is very soft good use. Six months ago, bought, see the discount, continue to start")</f>
        <v>Good color is very soft good use. Six months ago, bought, see the discount, continue to start</v>
      </c>
    </row>
    <row r="15126">
      <c r="A15126" s="1">
        <v>5.0</v>
      </c>
      <c r="B15126" s="1" t="s">
        <v>14962</v>
      </c>
      <c r="C15126" t="str">
        <f>IFERROR(__xludf.DUMMYFUNCTION("GOOGLETRANSLATE(B15126, ""zh"", ""en"")"),"Good fit! Really like! I would also like! I height 170cm, weight 90 kg, L code is very fit! Since long, long time, I buy the right jacket in the county and surrounding cities, I hate the Korean version, the standard version! Ah you do the sleeves short po"&amp;"int will you? This version is chunky fell gospel, do not hesitate to order it! The only kink is that it is produced from china.")</f>
        <v>Good fit! Really like! I would also like! I height 170cm, weight 90 kg, L code is very fit! Since long, long time, I buy the right jacket in the county and surrounding cities, I hate the Korean version, the standard version! Ah you do the sleeves short point will you? This version is chunky fell gospel, do not hesitate to order it! The only kink is that it is produced from china.</v>
      </c>
    </row>
    <row r="15127">
      <c r="A15127" s="1">
        <v>5.0</v>
      </c>
      <c r="B15127" s="1" t="s">
        <v>14963</v>
      </c>
      <c r="C15127" t="str">
        <f>IFERROR(__xludf.DUMMYFUNCTION("GOOGLETRANSLATE(B15127, ""zh"", ""en"")"),"Good, a little bar close")</f>
        <v>Good, a little bar close</v>
      </c>
    </row>
    <row r="15128">
      <c r="A15128" s="1">
        <v>5.0</v>
      </c>
      <c r="B15128" s="1" t="s">
        <v>14964</v>
      </c>
      <c r="C15128" t="str">
        <f>IFERROR(__xludf.DUMMYFUNCTION("GOOGLETRANSLATE(B15128, ""zh"", ""en"")"),"Awesome pencil pencil writing very comfortable very good worth buying")</f>
        <v>Awesome pencil pencil writing very comfortable very good worth buying</v>
      </c>
    </row>
    <row r="15129">
      <c r="A15129" s="1">
        <v>5.0</v>
      </c>
      <c r="B15129" s="1" t="s">
        <v>14965</v>
      </c>
      <c r="C15129" t="str">
        <f>IFERROR(__xludf.DUMMYFUNCTION("GOOGLETRANSLATE(B15129, ""zh"", ""en"")"),"Not easy to take pictures, receive it with a scrub outside oven microwave and an electric kettle, it is not out of oil.")</f>
        <v>Not easy to take pictures, receive it with a scrub outside oven microwave and an electric kettle, it is not out of oil.</v>
      </c>
    </row>
    <row r="15130">
      <c r="A15130" s="1">
        <v>5.0</v>
      </c>
      <c r="B15130" s="1" t="s">
        <v>14966</v>
      </c>
      <c r="C15130" t="str">
        <f>IFERROR(__xludf.DUMMYFUNCTION("GOOGLETRANSLATE(B15130, ""zh"", ""en"")"),"As always, good comfortable fabrics, the version punctuality.")</f>
        <v>As always, good comfortable fabrics, the version punctuality.</v>
      </c>
    </row>
    <row r="15131">
      <c r="A15131" s="1">
        <v>5.0</v>
      </c>
      <c r="B15131" s="1" t="s">
        <v>14967</v>
      </c>
      <c r="C15131" t="str">
        <f>IFERROR(__xludf.DUMMYFUNCTION("GOOGLETRANSLATE(B15131, ""zh"", ""en"")"),"Overall satisfaction &lt;div id = ""video-block-R1HRC9I5DT9HM2"" class = ""a-section a-spacing-small a-spacing-top-mini video-block""&gt; &lt;/ div&gt; &lt;input type = ""hidden"" name = "" ""value ="" https://images-cn.ssl-images-amazon.com/images/I/81qksNe8BBS.mp4 ""c"&amp;"lass ="" video-url ""&gt; &lt;input type ="" hidden ""name ="" ""value ="" https://images-cn.ssl-images-amazon.com/images/I/91anJbB7bvS.png ""class ="" video-slate-img-url ""&gt; &amp; nbsp; something good, buy a converter plug British subject can be used a. K is the "&amp;"word oar and pictures are not the same. Quality stainless steel material is highlighted on the picture, get the goods is not stainless steel. And the hook not face the kind of common with layers of Kenwood, but a thick stainless steel curved up. Things ha"&amp;"ve not sent the seal, only one layer of packaging.")</f>
        <v>Overall satisfaction &lt;div id = "video-block-R1HRC9I5DT9HM2" class = "a-section a-spacing-small a-spacing-top-mini video-block"&gt; &lt;/ div&gt; &lt;input type = "hidden" name = " "value =" https://images-cn.ssl-images-amazon.com/images/I/81qksNe8BBS.mp4 "class =" video-url "&gt; &lt;input type =" hidden "name =" "value =" https://images-cn.ssl-images-amazon.com/images/I/91anJbB7bvS.png "class =" video-slate-img-url "&gt; &amp; nbsp; something good, buy a converter plug British subject can be used a. K is the word oar and pictures are not the same. Quality stainless steel material is highlighted on the picture, get the goods is not stainless steel. And the hook not face the kind of common with layers of Kenwood, but a thick stainless steel curved up. Things have not sent the seal, only one layer of packaging.</v>
      </c>
    </row>
    <row r="15132">
      <c r="A15132" s="1">
        <v>5.0</v>
      </c>
      <c r="B15132" s="1" t="s">
        <v>14968</v>
      </c>
      <c r="C15132" t="str">
        <f>IFERROR(__xludf.DUMMYFUNCTION("GOOGLETRANSLATE(B15132, ""zh"", ""en"")"),"Comfortable underwear has been to buy this brand of clothes will then buy")</f>
        <v>Comfortable underwear has been to buy this brand of clothes will then buy</v>
      </c>
    </row>
    <row r="15133">
      <c r="A15133" s="1">
        <v>5.0</v>
      </c>
      <c r="B15133" s="1" t="s">
        <v>14969</v>
      </c>
      <c r="C15133" t="str">
        <f>IFERROR(__xludf.DUMMYFUNCTION("GOOGLETRANSLATE(B15133, ""zh"", ""en"")"),"Good professional-grade tables and expensive Swiss watch compared Casio is inexpensive and more professional timing tool, light, strong, comfortable, precise movements, and, to be honest, quite nice. And compared to Casio, Swiss watch is a toy, reflects a"&amp;" man's love of precision machinery, or have psychological satisfaction expensive items brought in. The metal Casio watch styling Founder and concise. And plastic table in comparison, more suitable for dress occasions, more suitable for autumn and winter ("&amp;"because the plastic case of the table is thick, wear long-sleeved clothes to wear is not convenient).")</f>
        <v>Good professional-grade tables and expensive Swiss watch compared Casio is inexpensive and more professional timing tool, light, strong, comfortable, precise movements, and, to be honest, quite nice. And compared to Casio, Swiss watch is a toy, reflects a man's love of precision machinery, or have psychological satisfaction expensive items brought in. The metal Casio watch styling Founder and concise. And plastic table in comparison, more suitable for dress occasions, more suitable for autumn and winter (because the plastic case of the table is thick, wear long-sleeved clothes to wear is not convenient).</v>
      </c>
    </row>
    <row r="15134">
      <c r="A15134" s="1">
        <v>5.0</v>
      </c>
      <c r="B15134" s="1" t="s">
        <v>14970</v>
      </c>
      <c r="C15134" t="str">
        <f>IFERROR(__xludf.DUMMYFUNCTION("GOOGLETRANSLATE(B15134, ""zh"", ""en"")"),"Good quality good quality, switch feel very light, agile, unlike the domestic Toggle dead, Shen.")</f>
        <v>Good quality good quality, switch feel very light, agile, unlike the domestic Toggle dead, Shen.</v>
      </c>
    </row>
    <row r="15135">
      <c r="A15135" s="1">
        <v>5.0</v>
      </c>
      <c r="B15135" s="1" t="s">
        <v>14971</v>
      </c>
      <c r="C15135" t="str">
        <f>IFERROR(__xludf.DUMMYFUNCTION("GOOGLETRANSLATE(B15135, ""zh"", ""en"")"),"Love Technology AKG K240S highest rates worldwide studio headphones AKG K240S science and technology around the world love the studio liked highest rates of headphones")</f>
        <v>Love Technology AKG K240S highest rates worldwide studio headphones AKG K240S science and technology around the world love the studio liked highest rates of headphones</v>
      </c>
    </row>
    <row r="15136">
      <c r="A15136" s="1">
        <v>5.0</v>
      </c>
      <c r="B15136" s="1" t="s">
        <v>14972</v>
      </c>
      <c r="C15136" t="str">
        <f>IFERROR(__xludf.DUMMYFUNCTION("GOOGLETRANSLATE(B15136, ""zh"", ""en"")"),"The right size, comfort usually 41, according to the general election 260CM, this pair is also very suitable and comfortable for a long time not so cool shoes bought, a lot cheaper than domestic, like this one, the shoes just started to see a little ugly,"&amp;" but very engaging")</f>
        <v>The right size, comfort usually 41, according to the general election 260CM, this pair is also very suitable and comfortable for a long time not so cool shoes bought, a lot cheaper than domestic, like this one, the shoes just started to see a little ugly, but very engaging</v>
      </c>
    </row>
    <row r="15137">
      <c r="A15137" s="1">
        <v>5.0</v>
      </c>
      <c r="B15137" s="1" t="s">
        <v>14973</v>
      </c>
      <c r="C15137" t="str">
        <f>IFERROR(__xludf.DUMMYFUNCTION("GOOGLETRANSLATE(B15137, ""zh"", ""en"")"),"Good very good very good")</f>
        <v>Good very good very good</v>
      </c>
    </row>
    <row r="15138">
      <c r="A15138" s="1">
        <v>5.0</v>
      </c>
      <c r="B15138" s="1" t="s">
        <v>14974</v>
      </c>
      <c r="C15138" t="str">
        <f>IFERROR(__xludf.DUMMYFUNCTION("GOOGLETRANSLATE(B15138, ""zh"", ""en"")"),"Like 178 87kg buy the XL is just right, the version is fine, the only collar is a little big, the overall effect is good")</f>
        <v>Like 178 87kg buy the XL is just right, the version is fine, the only collar is a little big, the overall effect is good</v>
      </c>
    </row>
    <row r="15139">
      <c r="A15139" s="1">
        <v>5.0</v>
      </c>
      <c r="B15139" s="1" t="s">
        <v>14975</v>
      </c>
      <c r="C15139" t="str">
        <f>IFERROR(__xludf.DUMMYFUNCTION("GOOGLETRANSLATE(B15139, ""zh"", ""en"")"),"Foot feeling comfortable foot feeling very comfortable, size is also prospective comparison")</f>
        <v>Foot feeling comfortable foot feeling very comfortable, size is also prospective comparison</v>
      </c>
    </row>
    <row r="15140">
      <c r="A15140" s="1">
        <v>5.0</v>
      </c>
      <c r="B15140" s="1" t="s">
        <v>14976</v>
      </c>
      <c r="C15140" t="str">
        <f>IFERROR(__xludf.DUMMYFUNCTION("GOOGLETRANSLATE(B15140, ""zh"", ""en"")"),"Good, cost-effective inexpensive, come back two packets of 😄")</f>
        <v>Good, cost-effective inexpensive, come back two packets of 😄</v>
      </c>
    </row>
    <row r="15141">
      <c r="A15141" s="1">
        <v>5.0</v>
      </c>
      <c r="B15141" s="1" t="s">
        <v>14977</v>
      </c>
      <c r="C15141" t="str">
        <f>IFERROR(__xludf.DUMMYFUNCTION("GOOGLETRANSLATE(B15141, ""zh"", ""en"")"),"Dema tights buy xxl size 185_104 sleeves a bit long, I height 178 cm bust 110. Just right")</f>
        <v>Dema tights buy xxl size 185_104 sleeves a bit long, I height 178 cm bust 110. Just right</v>
      </c>
    </row>
    <row r="15142">
      <c r="A15142" s="1">
        <v>5.0</v>
      </c>
      <c r="B15142" s="1" t="s">
        <v>14978</v>
      </c>
      <c r="C15142" t="str">
        <f>IFERROR(__xludf.DUMMYFUNCTION("GOOGLETRANSLATE(B15142, ""zh"", ""en"")"),"High-capacity backup is useful, capacity, speed is good, that is a little big noise a little, very good.")</f>
        <v>High-capacity backup is useful, capacity, speed is good, that is a little big noise a little, very good.</v>
      </c>
    </row>
    <row r="15143">
      <c r="A15143" s="1">
        <v>5.0</v>
      </c>
      <c r="B15143" s="1" t="s">
        <v>14979</v>
      </c>
      <c r="C15143" t="str">
        <f>IFERROR(__xludf.DUMMYFUNCTION("GOOGLETRANSLATE(B15143, ""zh"", ""en"")"),"Very, very good value for money, but also easy to clean")</f>
        <v>Very, very good value for money, but also easy to clean</v>
      </c>
    </row>
    <row r="15144">
      <c r="A15144" s="1">
        <v>2.0</v>
      </c>
      <c r="B15144" s="1" t="s">
        <v>14980</v>
      </c>
      <c r="C15144" t="str">
        <f>IFERROR(__xludf.DUMMYFUNCTION("GOOGLETRANSLATE(B15144, ""zh"", ""en"")"),"Solidifying the liquid did not drink a few times, which solidified")</f>
        <v>Solidifying the liquid did not drink a few times, which solidified</v>
      </c>
    </row>
    <row r="15145">
      <c r="A15145" s="1">
        <v>3.0</v>
      </c>
      <c r="B15145" s="1" t="s">
        <v>14981</v>
      </c>
      <c r="C15145" t="str">
        <f>IFERROR(__xludf.DUMMYFUNCTION("GOOGLETRANSLATE(B15145, ""zh"", ""en"")"),"A clear understanding of the use of capsule re-start, do not believe that the recommendation overseas purchase price is still very good, but this coffee machine supporting the capsule to seriously understand the next, so as not to buy the wrong can not be"&amp;" used. Amazon is a very bad experience would you recommend to buy goods with others, this recommendation is nonsense, not to believe. Buy more fun, cool thinking coffee machine, Nespresso capsules recommend it to you, if not done its homework buy back is "&amp;"waste.")</f>
        <v>A clear understanding of the use of capsule re-start, do not believe that the recommendation overseas purchase price is still very good, but this coffee machine supporting the capsule to seriously understand the next, so as not to buy the wrong can not be used. Amazon is a very bad experience would you recommend to buy goods with others, this recommendation is nonsense, not to believe. Buy more fun, cool thinking coffee machine, Nespresso capsules recommend it to you, if not done its homework buy back is waste.</v>
      </c>
    </row>
    <row r="15146">
      <c r="A15146" s="1">
        <v>3.0</v>
      </c>
      <c r="B15146" s="1" t="s">
        <v>14982</v>
      </c>
      <c r="C15146" t="str">
        <f>IFERROR(__xludf.DUMMYFUNCTION("GOOGLETRANSLATE(B15146, ""zh"", ""en"")"),"Said to be satisfied with the fine tip, the results with thick,")</f>
        <v>Said to be satisfied with the fine tip, the results with thick,</v>
      </c>
    </row>
    <row r="15147">
      <c r="A15147" s="1">
        <v>1.0</v>
      </c>
      <c r="B15147" s="1" t="s">
        <v>14983</v>
      </c>
      <c r="C15147" t="str">
        <f>IFERROR(__xludf.DUMMYFUNCTION("GOOGLETRANSLATE(B15147, ""zh"", ""en"")"),"The sound quality will not speak, why the patch will be out? November 2017 to buy a headset with a frequency not high, yesterday found the right ear patch out. . . Such a small thing also easy to find out what the, suck ah, how this stuff sale. Images als"&amp;"o can not add. . What ghost ah ah ah ah ah ah ah &amp; nbsp; &lt;a data-hook = ""product-link-linked"" class = ""a-link-normal"" href = ""/ Marshall- Marshall -Mode- EQ- ear HiFi rock bass In-line ergonomic ear headphones -? black gold / dp / B00OHVT2SO / ref = "&amp;"cm_cr_arp_d_rvw_txt ie = UTF8 ""&gt; Marshall Marshall Mode EQ-ear HiFi rock bass In-line ergonomic ear headphones black golden &lt;/a&gt;")</f>
        <v>The sound quality will not speak, why the patch will be out? November 2017 to buy a headset with a frequency not high, yesterday found the right ear patch out. . . Such a small thing also easy to find out what the, suck ah, how this stuff sale. Images also can not add. . What ghost ah ah ah ah ah ah ah &amp; nbsp; &lt;a data-hook = "product-link-linked" class = "a-link-normal" href = "/ Marshall- Marshall -Mode- EQ- ear HiFi rock bass In-line ergonomic ear headphones -? black gold / dp / B00OHVT2SO / ref = cm_cr_arp_d_rvw_txt ie = UTF8 "&gt; Marshall Marshall Mode EQ-ear HiFi rock bass In-line ergonomic ear headphones black golden &lt;/a&gt;</v>
      </c>
    </row>
    <row r="15148">
      <c r="A15148" s="1">
        <v>1.0</v>
      </c>
      <c r="B15148" s="1" t="s">
        <v>14984</v>
      </c>
      <c r="C15148" t="str">
        <f>IFERROR(__xludf.DUMMYFUNCTION("GOOGLETRANSLATE(B15148, ""zh"", ""en"")"),"Like goods can not be understood but microwave heating oil food joint can not hold? That it why buy it")</f>
        <v>Like goods can not be understood but microwave heating oil food joint can not hold? That it why buy it</v>
      </c>
    </row>
    <row r="15149">
      <c r="A15149" s="1">
        <v>4.0</v>
      </c>
      <c r="B15149" s="1" t="s">
        <v>14985</v>
      </c>
      <c r="C15149" t="str">
        <f>IFERROR(__xludf.DUMMYFUNCTION("GOOGLETRANSLATE(B15149, ""zh"", ""en"")"),"Very good two and a half to get the goods, okay. Table wearing very comfortable, feel good. The dial is not pure white, but it does not matter. A few good friends to buy this, and look at the top! !")</f>
        <v>Very good two and a half to get the goods, okay. Table wearing very comfortable, feel good. The dial is not pure white, but it does not matter. A few good friends to buy this, and look at the top! !</v>
      </c>
    </row>
    <row r="15150">
      <c r="A15150" s="1">
        <v>4.0</v>
      </c>
      <c r="B15150" s="1" t="s">
        <v>14986</v>
      </c>
      <c r="C15150" t="str">
        <f>IFERROR(__xludf.DUMMYFUNCTION("GOOGLETRANSLATE(B15150, ""zh"", ""en"")"),"Both are used to wear before wearing flawed, I feel pretty good, then stare at this for a long time, found that wearing a good price is really sad, not after the ear design, the equivalent of platygonus mouth design, so sound effects in general, relativel"&amp;"y heavy unit, resulting in pain have little bit longer cochlea. The sound quality to meet this price, no APTX environment, the future for mobile phones to see if there are no surprises.")</f>
        <v>Both are used to wear before wearing flawed, I feel pretty good, then stare at this for a long time, found that wearing a good price is really sad, not after the ear design, the equivalent of platygonus mouth design, so sound effects in general, relatively heavy unit, resulting in pain have little bit longer cochlea. The sound quality to meet this price, no APTX environment, the future for mobile phones to see if there are no surprises.</v>
      </c>
    </row>
    <row r="15151">
      <c r="A15151" s="1">
        <v>4.0</v>
      </c>
      <c r="B15151" s="1" t="s">
        <v>14987</v>
      </c>
      <c r="C15151" t="str">
        <f>IFERROR(__xludf.DUMMYFUNCTION("GOOGLETRANSLATE(B15151, ""zh"", ""en"")"),"Size is too large to fit inside the store did not")</f>
        <v>Size is too large to fit inside the store did not</v>
      </c>
    </row>
    <row r="15152">
      <c r="A15152" s="1">
        <v>4.0</v>
      </c>
      <c r="B15152" s="1" t="s">
        <v>14988</v>
      </c>
      <c r="C15152" t="str">
        <f>IFERROR(__xludf.DUMMYFUNCTION("GOOGLETRANSLATE(B15152, ""zh"", ""en"")"),"Card can not put too much good, that is one hundred yuan ticket a little leak")</f>
        <v>Card can not put too much good, that is one hundred yuan ticket a little leak</v>
      </c>
    </row>
    <row r="15153">
      <c r="A15153" s="1">
        <v>4.0</v>
      </c>
      <c r="B15153" s="1" t="s">
        <v>14989</v>
      </c>
      <c r="C15153" t="str">
        <f>IFERROR(__xludf.DUMMYFUNCTION("GOOGLETRANSLATE(B15153, ""zh"", ""en"")"),"Size large I 170,58kg, buy is 36s, the result was big, pants with a 29, the upper body a little better big, big pants legs and feet grew exaggerated, hope to buy useful")</f>
        <v>Size large I 170,58kg, buy is 36s, the result was big, pants with a 29, the upper body a little better big, big pants legs and feet grew exaggerated, hope to buy useful</v>
      </c>
    </row>
    <row r="15154">
      <c r="A15154" s="1">
        <v>5.0</v>
      </c>
      <c r="B15154" s="1" t="s">
        <v>14990</v>
      </c>
      <c r="C15154" t="str">
        <f>IFERROR(__xludf.DUMMYFUNCTION("GOOGLETRANSLATE(B15154, ""zh"", ""en"")"),"Shoes are very beautiful very accurate yardage, 6BM, just 230 feet long, if partial foot thick and wide, it is recommended to buy most of the code or 1 code")</f>
        <v>Shoes are very beautiful very accurate yardage, 6BM, just 230 feet long, if partial foot thick and wide, it is recommended to buy most of the code or 1 code</v>
      </c>
    </row>
    <row r="15155">
      <c r="A15155" s="1">
        <v>5.0</v>
      </c>
      <c r="B15155" s="1" t="s">
        <v>14991</v>
      </c>
      <c r="C15155" t="str">
        <f>IFERROR(__xludf.DUMMYFUNCTION("GOOGLETRANSLATE(B15155, ""zh"", ""en"")"),"Ecco shoes working-class workmanship super good, hard leather, feel very wearable, a little bit bigger than the standard 42 yards, still a little hard soles, the next offer again.")</f>
        <v>Ecco shoes working-class workmanship super good, hard leather, feel very wearable, a little bit bigger than the standard 42 yards, still a little hard soles, the next offer again.</v>
      </c>
    </row>
    <row r="15156">
      <c r="A15156" s="1">
        <v>5.0</v>
      </c>
      <c r="B15156" s="1" t="s">
        <v>14992</v>
      </c>
      <c r="C15156" t="str">
        <f>IFERROR(__xludf.DUMMYFUNCTION("GOOGLETRANSLATE(B15156, ""zh"", ""en"")"),"English version more suitable for people of ordinary stature normal size to buy British version is generally not a problem.")</f>
        <v>English version more suitable for people of ordinary stature normal size to buy British version is generally not a problem.</v>
      </c>
    </row>
    <row r="15157">
      <c r="A15157" s="1">
        <v>5.0</v>
      </c>
      <c r="B15157" s="1" t="s">
        <v>14993</v>
      </c>
      <c r="C15157" t="str">
        <f>IFERROR(__xludf.DUMMYFUNCTION("GOOGLETRANSLATE(B15157, ""zh"", ""en"")"),"It should be genuine genuine, good insulation effect")</f>
        <v>It should be genuine genuine, good insulation effect</v>
      </c>
    </row>
    <row r="15158">
      <c r="A15158" s="1">
        <v>5.0</v>
      </c>
      <c r="B15158" s="1" t="s">
        <v>14994</v>
      </c>
      <c r="C15158" t="str">
        <f>IFERROR(__xludf.DUMMYFUNCTION("GOOGLETRANSLATE(B15158, ""zh"", ""en"")"),"Good color and durability to his son to buy, good color is not easy to break, it is estimated can be used for a long time")</f>
        <v>Good color and durability to his son to buy, good color is not easy to break, it is estimated can be used for a long time</v>
      </c>
    </row>
    <row r="15159">
      <c r="A15159" s="1">
        <v>5.0</v>
      </c>
      <c r="B15159" s="1" t="s">
        <v>14995</v>
      </c>
      <c r="C15159" t="str">
        <f>IFERROR(__xludf.DUMMYFUNCTION("GOOGLETRANSLATE(B15159, ""zh"", ""en"")"),"Price concessions bring up pretty good, inexpensive")</f>
        <v>Price concessions bring up pretty good, inexpensive</v>
      </c>
    </row>
    <row r="15160">
      <c r="A15160" s="1">
        <v>5.0</v>
      </c>
      <c r="B15160" s="1" t="s">
        <v>14996</v>
      </c>
      <c r="C15160" t="str">
        <f>IFERROR(__xludf.DUMMYFUNCTION("GOOGLETRANSLATE(B15160, ""zh"", ""en"")"),"Whether logistics and goods are great! I did not expect so fast, and served longer than five days earlier prompted, Terrific, watching the colorful pencil so happy 😄")</f>
        <v>Whether logistics and goods are great! I did not expect so fast, and served longer than five days earlier prompted, Terrific, watching the colorful pencil so happy 😄</v>
      </c>
    </row>
    <row r="15161">
      <c r="A15161" s="1">
        <v>5.0</v>
      </c>
      <c r="B15161" s="1" t="s">
        <v>14997</v>
      </c>
      <c r="C15161" t="str">
        <f>IFERROR(__xludf.DUMMYFUNCTION("GOOGLETRANSLATE(B15161, ""zh"", ""en"")"),"Rapid sea Amoy! ! Six days later, from Japan to Beijing, too praised, this speed beyond imagination. Try, quiet new hard disk capacity within the normal range.")</f>
        <v>Rapid sea Amoy! ! Six days later, from Japan to Beijing, too praised, this speed beyond imagination. Try, quiet new hard disk capacity within the normal range.</v>
      </c>
    </row>
    <row r="15162">
      <c r="A15162" s="1">
        <v>5.0</v>
      </c>
      <c r="B15162" s="1" t="s">
        <v>14998</v>
      </c>
      <c r="C15162" t="str">
        <f>IFERROR(__xludf.DUMMYFUNCTION("GOOGLETRANSLATE(B15162, ""zh"", ""en"")"),"Good packaging, received intact, cheddar, good packaging, received intact, cheddar,")</f>
        <v>Good packaging, received intact, cheddar, good packaging, received intact, cheddar,</v>
      </c>
    </row>
    <row r="15163">
      <c r="A15163" s="1">
        <v>5.0</v>
      </c>
      <c r="B15163" s="1" t="s">
        <v>14999</v>
      </c>
      <c r="C15163" t="str">
        <f>IFERROR(__xludf.DUMMYFUNCTION("GOOGLETRANSLATE(B15163, ""zh"", ""en"")"),"Recommended to buy the pen color was like, clean pink. Write very comfortable, we recommended to buy. Together with the purchase of ink bag easy to use.")</f>
        <v>Recommended to buy the pen color was like, clean pink. Write very comfortable, we recommended to buy. Together with the purchase of ink bag easy to use.</v>
      </c>
    </row>
    <row r="15164">
      <c r="A15164" s="1">
        <v>5.0</v>
      </c>
      <c r="B15164" s="1" t="s">
        <v>15000</v>
      </c>
      <c r="C15164" t="str">
        <f>IFERROR(__xludf.DUMMYFUNCTION("GOOGLETRANSLATE(B15164, ""zh"", ""en"")"),"Good color of lead from the United States to China's direct mail, packaging good quality pens can be, easy to color, soft cartridge")</f>
        <v>Good color of lead from the United States to China's direct mail, packaging good quality pens can be, easy to color, soft cartridge</v>
      </c>
    </row>
    <row r="15165">
      <c r="A15165" s="1">
        <v>5.0</v>
      </c>
      <c r="B15165" s="1" t="s">
        <v>15001</v>
      </c>
      <c r="C15165" t="str">
        <f>IFERROR(__xludf.DUMMYFUNCTION("GOOGLETRANSLATE(B15165, ""zh"", ""en"")"),"Waist pants good things affordable 30, buy 32 just")</f>
        <v>Waist pants good things affordable 30, buy 32 just</v>
      </c>
    </row>
    <row r="15166">
      <c r="A15166" s="1">
        <v>5.0</v>
      </c>
      <c r="B15166" s="1" t="s">
        <v>15002</v>
      </c>
      <c r="C15166" t="str">
        <f>IFERROR(__xludf.DUMMYFUNCTION("GOOGLETRANSLATE(B15166, ""zh"", ""en"")"),"Very good baby is very good, receiving fast, soft and comfortable fabric, or very like, wearing just a very comfortable fabric, is indeed the big brands, yet is shoes and clothing can also try, in short, is very like, like, very good.")</f>
        <v>Very good baby is very good, receiving fast, soft and comfortable fabric, or very like, wearing just a very comfortable fabric, is indeed the big brands, yet is shoes and clothing can also try, in short, is very like, like, very good.</v>
      </c>
    </row>
    <row r="15167">
      <c r="A15167" s="1">
        <v>5.0</v>
      </c>
      <c r="B15167" s="1" t="s">
        <v>15003</v>
      </c>
      <c r="C15167" t="str">
        <f>IFERROR(__xludf.DUMMYFUNCTION("GOOGLETRANSLATE(B15167, ""zh"", ""en"")"),"Buy once a year, pitchers filter pitcher filter life and legacy amount of filtered water is 1.5 times the 40 gallons a month I filter, cartridge or 100%. This thing is to see your water quality, time count, then 3 months of life, oh.")</f>
        <v>Buy once a year, pitchers filter pitcher filter life and legacy amount of filtered water is 1.5 times the 40 gallons a month I filter, cartridge or 100%. This thing is to see your water quality, time count, then 3 months of life, oh.</v>
      </c>
    </row>
    <row r="15168">
      <c r="A15168" s="1">
        <v>5.0</v>
      </c>
      <c r="B15168" s="1" t="s">
        <v>15004</v>
      </c>
      <c r="C15168" t="str">
        <f>IFERROR(__xludf.DUMMYFUNCTION("GOOGLETRANSLATE(B15168, ""zh"", ""en"")"),"A big big one, can be used for a long time. It smells good, like a child.")</f>
        <v>A big big one, can be used for a long time. It smells good, like a child.</v>
      </c>
    </row>
    <row r="15169">
      <c r="A15169" s="1">
        <v>5.0</v>
      </c>
      <c r="B15169" s="1" t="s">
        <v>15005</v>
      </c>
      <c r="C15169" t="str">
        <f>IFERROR(__xludf.DUMMYFUNCTION("GOOGLETRANSLATE(B15169, ""zh"", ""en"")"),"Very fit, good clothes! Very appropriate, very good clothes, a pleasant shopping.")</f>
        <v>Very fit, good clothes! Very appropriate, very good clothes, a pleasant shopping.</v>
      </c>
    </row>
    <row r="15170">
      <c r="A15170" s="1">
        <v>5.0</v>
      </c>
      <c r="B15170" s="1" t="s">
        <v>15006</v>
      </c>
      <c r="C15170" t="str">
        <f>IFERROR(__xludf.DUMMYFUNCTION("GOOGLETRANSLATE(B15170, ""zh"", ""en"")"),"Good good")</f>
        <v>Good good</v>
      </c>
    </row>
    <row r="15171">
      <c r="A15171" s="1">
        <v>5.0</v>
      </c>
      <c r="B15171" s="1" t="s">
        <v>15007</v>
      </c>
      <c r="C15171" t="str">
        <f>IFERROR(__xludf.DUMMYFUNCTION("GOOGLETRANSLATE(B15171, ""zh"", ""en"")"),"Easy to use good use, playing cream very quickly!")</f>
        <v>Easy to use good use, playing cream very quickly!</v>
      </c>
    </row>
    <row r="15172">
      <c r="A15172" s="1">
        <v>5.0</v>
      </c>
      <c r="B15172" s="1" t="s">
        <v>15008</v>
      </c>
      <c r="C15172" t="str">
        <f>IFERROR(__xludf.DUMMYFUNCTION("GOOGLETRANSLATE(B15172, ""zh"", ""en"")"),"Very good usually wear sneakers 36 This just 5.5")</f>
        <v>Very good usually wear sneakers 36 This just 5.5</v>
      </c>
    </row>
    <row r="15173">
      <c r="A15173" s="1">
        <v>5.0</v>
      </c>
      <c r="B15173" s="1" t="s">
        <v>15009</v>
      </c>
      <c r="C15173" t="str">
        <f>IFERROR(__xludf.DUMMYFUNCTION("GOOGLETRANSLATE(B15173, ""zh"", ""en"")"),"Purchase and use experience and other goods brought about a week, though the instructions are in English, but very easy to use, with seven brush head can be replaced for different needs, this is the US version, as long as certain spend 50 to buy a transfo"&amp;"rmer on a treasure can be used, beginning 1st 2nd adapt, red is very clean, very comfortable, every time rushed out a lot of food hidden in his teeth slag slag. The price is very beautiful and cheaper than the domestic version of the nearly half, praise")</f>
        <v>Purchase and use experience and other goods brought about a week, though the instructions are in English, but very easy to use, with seven brush head can be replaced for different needs, this is the US version, as long as certain spend 50 to buy a transformer on a treasure can be used, beginning 1st 2nd adapt, red is very clean, very comfortable, every time rushed out a lot of food hidden in his teeth slag slag. The price is very beautiful and cheaper than the domestic version of the nearly half, praise</v>
      </c>
    </row>
    <row r="15174">
      <c r="A15174" s="1">
        <v>5.0</v>
      </c>
      <c r="B15174" s="1" t="s">
        <v>15010</v>
      </c>
      <c r="C15174" t="str">
        <f>IFERROR(__xludf.DUMMYFUNCTION("GOOGLETRANSLATE(B15174, ""zh"", ""en"")"),"I can change a little big like it")</f>
        <v>I can change a little big like it</v>
      </c>
    </row>
    <row r="15175">
      <c r="A15175" s="1">
        <v>5.0</v>
      </c>
      <c r="B15175" s="1" t="s">
        <v>15011</v>
      </c>
      <c r="C15175" t="str">
        <f>IFERROR(__xludf.DUMMYFUNCTION("GOOGLETRANSLATE(B15175, ""zh"", ""en"")"),"Although there is no good students should be soft rubber-soled, but also quite comfortable, if a comfort shoes to horizontal contrast words. The weight is also a lot lighter than Geox.")</f>
        <v>Although there is no good students should be soft rubber-soled, but also quite comfortable, if a comfort shoes to horizontal contrast words. The weight is also a lot lighter than Geox.</v>
      </c>
    </row>
    <row r="15176">
      <c r="A15176" s="1">
        <v>2.0</v>
      </c>
      <c r="B15176" s="1" t="s">
        <v>15012</v>
      </c>
      <c r="C15176" t="str">
        <f>IFERROR(__xludf.DUMMYFUNCTION("GOOGLETRANSLATE(B15176, ""zh"", ""en"")"),"Not skin-friendly fabrics, clothes are quite rough rough type, but the fabric feels thick and summer wear skin friction, particularly where the cuff wrapped too tightly, then looked under the cotton fabric is actually, I have to buy cotton is comfortable "&amp;"skin-friendly, serious doubts about the fabric, after all, the first time to buy this brand, I 170,65kg wear m very fit, fabric is very uncomfortable, my wife said I wear a watch uncomfortable right, call me to check under the fabric, so I buy clothes to "&amp;"look after the fabric, woman and she bought a lot of clothes, only to see that the vision of how the clothes, fast hardware")</f>
        <v>Not skin-friendly fabrics, clothes are quite rough rough type, but the fabric feels thick and summer wear skin friction, particularly where the cuff wrapped too tightly, then looked under the cotton fabric is actually, I have to buy cotton is comfortable skin-friendly, serious doubts about the fabric, after all, the first time to buy this brand, I 170,65kg wear m very fit, fabric is very uncomfortable, my wife said I wear a watch uncomfortable right, call me to check under the fabric, so I buy clothes to look after the fabric, woman and she bought a lot of clothes, only to see that the vision of how the clothes, fast hardware</v>
      </c>
    </row>
    <row r="15177">
      <c r="A15177" s="1">
        <v>3.0</v>
      </c>
      <c r="B15177" s="1" t="s">
        <v>15013</v>
      </c>
      <c r="C15177" t="str">
        <f>IFERROR(__xludf.DUMMYFUNCTION("GOOGLETRANSLATE(B15177, ""zh"", ""en"")"),"Fortunately, the basic feeling like a general, but the fabric a bit worse. Wear more comfortable, but also easy baggy.")</f>
        <v>Fortunately, the basic feeling like a general, but the fabric a bit worse. Wear more comfortable, but also easy baggy.</v>
      </c>
    </row>
    <row r="15178">
      <c r="A15178" s="1">
        <v>3.0</v>
      </c>
      <c r="B15178" s="1" t="s">
        <v>15014</v>
      </c>
      <c r="C15178" t="str">
        <f>IFERROR(__xludf.DUMMYFUNCTION("GOOGLETRANSLATE(B15178, ""zh"", ""en"")"),"Hope Amazon can strengthen the protective effect of commodity packages! Outer box is not filled with airbags, merchandise packaging badly damaged, the inside of the instructions booklet was exposed a few pages, the process of transportation imaginable exp"&amp;"erienced how bumpy, very worried about damage to goods, pending trial examination. Hope Amazon can strengthen the protective effect of commodity packages!")</f>
        <v>Hope Amazon can strengthen the protective effect of commodity packages! Outer box is not filled with airbags, merchandise packaging badly damaged, the inside of the instructions booklet was exposed a few pages, the process of transportation imaginable experienced how bumpy, very worried about damage to goods, pending trial examination. Hope Amazon can strengthen the protective effect of commodity packages!</v>
      </c>
    </row>
    <row r="15179">
      <c r="A15179" s="1">
        <v>1.0</v>
      </c>
      <c r="B15179" s="1" t="s">
        <v>15015</v>
      </c>
      <c r="C15179" t="str">
        <f>IFERROR(__xludf.DUMMYFUNCTION("GOOGLETRANSLATE(B15179, ""zh"", ""en"")"),"Do not buy junk stuff. Bought after replacing the filter cartridge with a new discovery simply can not use the middle leaking. Since then replace with the original found quality problems, the Amazon is not accepted. Do not be fooled.")</f>
        <v>Do not buy junk stuff. Bought after replacing the filter cartridge with a new discovery simply can not use the middle leaking. Since then replace with the original found quality problems, the Amazon is not accepted. Do not be fooled.</v>
      </c>
    </row>
    <row r="15180">
      <c r="A15180" s="1">
        <v>1.0</v>
      </c>
      <c r="B15180" s="1" t="s">
        <v>15016</v>
      </c>
      <c r="C15180" t="str">
        <f>IFERROR(__xludf.DUMMYFUNCTION("GOOGLETRANSLATE(B15180, ""zh"", ""en"")"),"Yet there are damaged, there are pockets of sand, Amazon detrimental to the image in my mind for the first time to comment on the Amazon, I did not pay attention to those who put the tag removed the next day only to find the rear end damage, yet there are"&amp;" still pockets sand, wanted to return, think of trouble even, the shopping experience the difference! !")</f>
        <v>Yet there are damaged, there are pockets of sand, Amazon detrimental to the image in my mind for the first time to comment on the Amazon, I did not pay attention to those who put the tag removed the next day only to find the rear end damage, yet there are still pockets sand, wanted to return, think of trouble even, the shopping experience the difference! !</v>
      </c>
    </row>
    <row r="15181">
      <c r="A15181" s="1">
        <v>1.0</v>
      </c>
      <c r="B15181" s="1" t="s">
        <v>15017</v>
      </c>
      <c r="C15181" t="str">
        <f>IFERROR(__xludf.DUMMYFUNCTION("GOOGLETRANSLATE(B15181, ""zh"", ""en"")"),"Poor quality, not the material, a first thin water permeable deformed collar long poor quality, not the material, a first water-permeable thin long deformed collar")</f>
        <v>Poor quality, not the material, a first thin water permeable deformed collar long poor quality, not the material, a first water-permeable thin long deformed collar</v>
      </c>
    </row>
    <row r="15182">
      <c r="A15182" s="1">
        <v>4.0</v>
      </c>
      <c r="B15182" s="1" t="s">
        <v>15018</v>
      </c>
      <c r="C15182" t="str">
        <f>IFERROR(__xludf.DUMMYFUNCTION("GOOGLETRANSLATE(B15182, ""zh"", ""en"")"),"share! 1, pick the size, see reviews have said is too large have just said, is the W, I usually choose 35, 36, 36, 230 feet long foot section is not normal foot, wear very appropriate, Chuan Chuan loose will be more comfortable, 3 then will small 2, shipp"&amp;"ing and receiving cycle, February 28 beat No. 3 rounds of goods, 15 received, neither fast nor slow, customs clearance took 3, origin and packaging for two hours, Bangladesh, like expected, very happy not Vietnam; packaging is very suck, the bag has clear"&amp;"ly been open signs, packaging, too simple, shoe boxes have been broken, but fortunately the shoes look okay, there are flaws in the shoes customer Service to a solution. Overall pretty good, no trial membership postage,")</f>
        <v>share! 1, pick the size, see reviews have said is too large have just said, is the W, I usually choose 35, 36, 36, 230 feet long foot section is not normal foot, wear very appropriate, Chuan Chuan loose will be more comfortable, 3 then will small 2, shipping and receiving cycle, February 28 beat No. 3 rounds of goods, 15 received, neither fast nor slow, customs clearance took 3, origin and packaging for two hours, Bangladesh, like expected, very happy not Vietnam; packaging is very suck, the bag has clearly been open signs, packaging, too simple, shoe boxes have been broken, but fortunately the shoes look okay, there are flaws in the shoes customer Service to a solution. Overall pretty good, no trial membership postage,</v>
      </c>
    </row>
    <row r="15183">
      <c r="A15183" s="1">
        <v>4.0</v>
      </c>
      <c r="B15183" s="1" t="s">
        <v>15019</v>
      </c>
      <c r="C15183" t="str">
        <f>IFERROR(__xludf.DUMMYFUNCTION("GOOGLETRANSLATE(B15183, ""zh"", ""en"")"),"Just the right size, good quality, good quality when the pajamas to wear, when to wear pajamas L size option is buying just black, over a black five on prices. . It seems the US electricity supplier also learned that a heavenly to wear a neck label after "&amp;"two months out you dare to believe? If the heavenly sell I think is a fake")</f>
        <v>Just the right size, good quality, good quality when the pajamas to wear, when to wear pajamas L size option is buying just black, over a black five on prices. . It seems the US electricity supplier also learned that a heavenly to wear a neck label after two months out you dare to believe? If the heavenly sell I think is a fake</v>
      </c>
    </row>
    <row r="15184">
      <c r="A15184" s="1">
        <v>4.0</v>
      </c>
      <c r="B15184" s="1" t="s">
        <v>15020</v>
      </c>
      <c r="C15184" t="str">
        <f>IFERROR(__xludf.DUMMYFUNCTION("GOOGLETRANSLATE(B15184, ""zh"", ""en"")"),"A little big a little bit big, like wearing bell-bottoms, like tight money these days, and is not suitable for Asian aesthetic, to buy time or pay attention to what")</f>
        <v>A little big a little bit big, like wearing bell-bottoms, like tight money these days, and is not suitable for Asian aesthetic, to buy time or pay attention to what</v>
      </c>
    </row>
    <row r="15185">
      <c r="A15185" s="1">
        <v>4.0</v>
      </c>
      <c r="B15185" s="1" t="s">
        <v>15021</v>
      </c>
      <c r="C15185" t="str">
        <f>IFERROR(__xludf.DUMMYFUNCTION("GOOGLETRANSLATE(B15185, ""zh"", ""en"")"),"Women's shoes are usually 37.5, this time to buy 5 yards, feet a little crowded, return cost is too high, it is now Chuan Chuan")</f>
        <v>Women's shoes are usually 37.5, this time to buy 5 yards, feet a little crowded, return cost is too high, it is now Chuan Chuan</v>
      </c>
    </row>
    <row r="15186">
      <c r="A15186" s="1">
        <v>4.0</v>
      </c>
      <c r="B15186" s="1" t="s">
        <v>15022</v>
      </c>
      <c r="C15186" t="str">
        <f>IFERROR(__xludf.DUMMYFUNCTION("GOOGLETRANSLATE(B15186, ""zh"", ""en"")"),"No utility prompts ah okay with it, may filter the water acidic finish, this home canteens of water after the original scale automatically fall off. But this does not filter failure prompted ah, can only be a day to drink sour feeling, to know you are rep"&amp;"lacing the filter, depends on taste experience ...")</f>
        <v>No utility prompts ah okay with it, may filter the water acidic finish, this home canteens of water after the original scale automatically fall off. But this does not filter failure prompted ah, can only be a day to drink sour feeling, to know you are replacing the filter, depends on taste experience ...</v>
      </c>
    </row>
    <row r="15187">
      <c r="A15187" s="1">
        <v>5.0</v>
      </c>
      <c r="B15187" s="1" t="s">
        <v>15023</v>
      </c>
      <c r="C15187" t="str">
        <f>IFERROR(__xludf.DUMMYFUNCTION("GOOGLETRANSLATE(B15187, ""zh"", ""en"")"),"Shaving skin comfortable I always buy low-priced Chinese-made Philips, fly in the ointment is necessary to wash your face after shaving just feel comfortable, this product can not wash, so trustworthy in Germany,")</f>
        <v>Shaving skin comfortable I always buy low-priced Chinese-made Philips, fly in the ointment is necessary to wash your face after shaving just feel comfortable, this product can not wash, so trustworthy in Germany,</v>
      </c>
    </row>
    <row r="15188">
      <c r="A15188" s="1">
        <v>5.0</v>
      </c>
      <c r="B15188" s="1" t="s">
        <v>15024</v>
      </c>
      <c r="C15188" t="str">
        <f>IFERROR(__xludf.DUMMYFUNCTION("GOOGLETRANSLATE(B15188, ""zh"", ""en"")"),"Cheaper than purchasing expensive than cheaper Lynx 37 yards wide instep through just the right big kid 6M")</f>
        <v>Cheaper than purchasing expensive than cheaper Lynx 37 yards wide instep through just the right big kid 6M</v>
      </c>
    </row>
    <row r="15189">
      <c r="A15189" s="1">
        <v>5.0</v>
      </c>
      <c r="B15189" s="1" t="s">
        <v>15025</v>
      </c>
      <c r="C15189" t="str">
        <f>IFERROR(__xludf.DUMMYFUNCTION("GOOGLETRANSLATE(B15189, ""zh"", ""en"")"),"The first overseas purchase for the first time overseas purchase, good quality belt. Now spent a month now, useless quality problems. But the relatively narrow belt!")</f>
        <v>The first overseas purchase for the first time overseas purchase, good quality belt. Now spent a month now, useless quality problems. But the relatively narrow belt!</v>
      </c>
    </row>
    <row r="15190">
      <c r="A15190" s="1">
        <v>5.0</v>
      </c>
      <c r="B15190" s="1" t="s">
        <v>15026</v>
      </c>
      <c r="C15190" t="str">
        <f>IFERROR(__xludf.DUMMYFUNCTION("GOOGLETRANSLATE(B15190, ""zh"", ""en"")"),"I can feel, but do not like the baby, exercise your fingers can feel, but the baby does not like to practice the finger")</f>
        <v>I can feel, but do not like the baby, exercise your fingers can feel, but the baby does not like to practice the finger</v>
      </c>
    </row>
    <row r="15191">
      <c r="A15191" s="1">
        <v>5.0</v>
      </c>
      <c r="B15191" s="1" t="s">
        <v>15027</v>
      </c>
      <c r="C15191" t="str">
        <f>IFERROR(__xludf.DUMMYFUNCTION("GOOGLETRANSLATE(B15191, ""zh"", ""en"")"),"Fortunately, look beautiful, but there are problems now everything is normal, but there is a common problem with other comments, the agitator is too far from the pelvic floor, a small amount of flour if they would not stir")</f>
        <v>Fortunately, look beautiful, but there are problems now everything is normal, but there is a common problem with other comments, the agitator is too far from the pelvic floor, a small amount of flour if they would not stir</v>
      </c>
    </row>
    <row r="15192">
      <c r="A15192" s="1">
        <v>5.0</v>
      </c>
      <c r="B15192" s="1" t="s">
        <v>15028</v>
      </c>
      <c r="C15192" t="str">
        <f>IFERROR(__xludf.DUMMYFUNCTION("GOOGLETRANSLATE(B15192, ""zh"", ""en"")"),"Texture is good, more elastic, thin fabric. I do not know how to wash after a few water. Texture is good, more elastic, thin fabric. I do not know how to wash after a few water.")</f>
        <v>Texture is good, more elastic, thin fabric. I do not know how to wash after a few water. Texture is good, more elastic, thin fabric. I do not know how to wash after a few water.</v>
      </c>
    </row>
    <row r="15193">
      <c r="A15193" s="1">
        <v>5.0</v>
      </c>
      <c r="B15193" s="1" t="s">
        <v>15029</v>
      </c>
      <c r="C15193" t="str">
        <f>IFERROR(__xludf.DUMMYFUNCTION("GOOGLETRANSLATE(B15193, ""zh"", ""en"")"),"Styles are very good quality but also just the right size you like the most simple models is bought not long down the almost one hundred little vomiting blood ......")</f>
        <v>Styles are very good quality but also just the right size you like the most simple models is bought not long down the almost one hundred little vomiting blood ......</v>
      </c>
    </row>
    <row r="15194">
      <c r="A15194" s="1">
        <v>5.0</v>
      </c>
      <c r="B15194" s="1" t="s">
        <v>15030</v>
      </c>
      <c r="C15194" t="str">
        <f>IFERROR(__xludf.DUMMYFUNCTION("GOOGLETRANSLATE(B15194, ""zh"", ""en"")"),"Good very good, baby bottle and finally eat it! I intend to buy a drink!")</f>
        <v>Good very good, baby bottle and finally eat it! I intend to buy a drink!</v>
      </c>
    </row>
    <row r="15195">
      <c r="A15195" s="1">
        <v>5.0</v>
      </c>
      <c r="B15195" s="1" t="s">
        <v>15031</v>
      </c>
      <c r="C15195" t="str">
        <f>IFERROR(__xludf.DUMMYFUNCTION("GOOGLETRANSLATE(B15195, ""zh"", ""en"")"),"Good skin can also be quite soft packaging is also good")</f>
        <v>Good skin can also be quite soft packaging is also good</v>
      </c>
    </row>
    <row r="15196">
      <c r="A15196" s="1">
        <v>5.0</v>
      </c>
      <c r="B15196" s="1" t="s">
        <v>15032</v>
      </c>
      <c r="C15196" t="str">
        <f>IFERROR(__xludf.DUMMYFUNCTION("GOOGLETRANSLATE(B15196, ""zh"", ""en"")"),"Quality style really good height 175CM, weight 68 kg, bought the S code, just right, 160 plus taxes")</f>
        <v>Quality style really good height 175CM, weight 68 kg, bought the S code, just right, 160 plus taxes</v>
      </c>
    </row>
    <row r="15197">
      <c r="A15197" s="1">
        <v>5.0</v>
      </c>
      <c r="B15197" s="1" t="s">
        <v>15033</v>
      </c>
      <c r="C15197" t="str">
        <f>IFERROR(__xludf.DUMMYFUNCTION("GOOGLETRANSLATE(B15197, ""zh"", ""en"")"),"Comfortable, very comfortable right size, size n")</f>
        <v>Comfortable, very comfortable right size, size n</v>
      </c>
    </row>
    <row r="15198">
      <c r="A15198" s="1">
        <v>5.0</v>
      </c>
      <c r="B15198" s="1" t="s">
        <v>15034</v>
      </c>
      <c r="C15198" t="str">
        <f>IFERROR(__xludf.DUMMYFUNCTION("GOOGLETRANSLATE(B15198, ""zh"", ""en"")"),"Cost can affordable, with milk, not pasteurized, more wear-resistant, with seven or eight months now, still very good. The mouth is soft, which is hard to bend, anti-choking function, there is a disadvantage when the lid is opened, spouts some water may b"&amp;"e bared.")</f>
        <v>Cost can affordable, with milk, not pasteurized, more wear-resistant, with seven or eight months now, still very good. The mouth is soft, which is hard to bend, anti-choking function, there is a disadvantage when the lid is opened, spouts some water may be bared.</v>
      </c>
    </row>
    <row r="15199">
      <c r="A15199" s="1">
        <v>5.0</v>
      </c>
      <c r="B15199" s="1" t="s">
        <v>15035</v>
      </c>
      <c r="C15199" t="str">
        <f>IFERROR(__xludf.DUMMYFUNCTION("GOOGLETRANSLATE(B15199, ""zh"", ""en"")"),"Recommended cup very good, very light!")</f>
        <v>Recommended cup very good, very light!</v>
      </c>
    </row>
    <row r="15200">
      <c r="A15200" s="1">
        <v>5.0</v>
      </c>
      <c r="B15200" s="1" t="s">
        <v>15036</v>
      </c>
      <c r="C15200" t="str">
        <f>IFERROR(__xludf.DUMMYFUNCTION("GOOGLETRANSLATE(B15200, ""zh"", ""en"")"),"Than the domestic dishwashing block easy sell much better than the domestic selling dishwashing block easy to use too much, you may be lucky, packaging is very good")</f>
        <v>Than the domestic dishwashing block easy sell much better than the domestic selling dishwashing block easy to use too much, you may be lucky, packaging is very good</v>
      </c>
    </row>
    <row r="15201">
      <c r="A15201" s="1">
        <v>5.0</v>
      </c>
      <c r="B15201" s="1" t="s">
        <v>15037</v>
      </c>
      <c r="C15201" t="str">
        <f>IFERROR(__xludf.DUMMYFUNCTION("GOOGLETRANSLATE(B15201, ""zh"", ""en"")"),"Bra comfortable to wear, the color is natural, in short, very satisfied")</f>
        <v>Bra comfortable to wear, the color is natural, in short, very satisfied</v>
      </c>
    </row>
    <row r="15202">
      <c r="A15202" s="1">
        <v>5.0</v>
      </c>
      <c r="B15202" s="1" t="s">
        <v>15038</v>
      </c>
      <c r="C15202" t="str">
        <f>IFERROR(__xludf.DUMMYFUNCTION("GOOGLETRANSLATE(B15202, ""zh"", ""en"")"),"Good fabric pants fabric is very good, very breathable and comfortable, suitable for large hips or belly fat woman wearing")</f>
        <v>Good fabric pants fabric is very good, very breathable and comfortable, suitable for large hips or belly fat woman wearing</v>
      </c>
    </row>
    <row r="15203">
      <c r="A15203" s="1">
        <v>5.0</v>
      </c>
      <c r="B15203" s="1" t="s">
        <v>3019</v>
      </c>
      <c r="C15203" t="str">
        <f>IFERROR(__xludf.DUMMYFUNCTION("GOOGLETRANSLATE(B15203, ""zh"", ""en"")"),"Well, as always, well, the right size, cotton")</f>
        <v>Well, as always, well, the right size, cotton</v>
      </c>
    </row>
    <row r="15204">
      <c r="A15204" s="1">
        <v>5.0</v>
      </c>
      <c r="B15204" s="1" t="s">
        <v>15039</v>
      </c>
      <c r="C15204" t="str">
        <f>IFERROR(__xludf.DUMMYFUNCTION("GOOGLETRANSLATE(B15204, ""zh"", ""en"")"),"Very appropriate 165 / 75kg, did not expect so appropriate, really good, or the elastic waistband of. awesome.")</f>
        <v>Very appropriate 165 / 75kg, did not expect so appropriate, really good, or the elastic waistband of. awesome.</v>
      </c>
    </row>
    <row r="15205">
      <c r="A15205" s="1">
        <v>5.0</v>
      </c>
      <c r="B15205" s="1" t="s">
        <v>15040</v>
      </c>
      <c r="C15205" t="str">
        <f>IFERROR(__xludf.DUMMYFUNCTION("GOOGLETRANSLATE(B15205, ""zh"", ""en"")"),"Very good clothes, good clothes, very warm, it is a little feeling a little big, but does not seem to, Oh do not know")</f>
        <v>Very good clothes, good clothes, very warm, it is a little feeling a little big, but does not seem to, Oh do not know</v>
      </c>
    </row>
    <row r="15206">
      <c r="A15206" s="1">
        <v>5.0</v>
      </c>
      <c r="B15206" s="1" t="s">
        <v>5669</v>
      </c>
      <c r="C15206" t="str">
        <f>IFERROR(__xludf.DUMMYFUNCTION("GOOGLETRANSLATE(B15206, ""zh"", ""en"")"),"Good upper body upper body good effect. Color is good.")</f>
        <v>Good upper body upper body good effect. Color is good.</v>
      </c>
    </row>
    <row r="15207">
      <c r="A15207" s="1">
        <v>5.0</v>
      </c>
      <c r="B15207" s="1" t="s">
        <v>15041</v>
      </c>
      <c r="C15207" t="str">
        <f>IFERROR(__xludf.DUMMYFUNCTION("GOOGLETRANSLATE(B15207, ""zh"", ""en"")"),"Worth buying hair clipper packaging intact, faster than expected delivery time. This can use the original head QC5530, as well as with the UK plug can not use, but fortunately, the original QC5530 plug specifications and it is the same, can be generic, ba"&amp;"ttery power is not qc5530 strong, listen to the sound did not feel fresh.")</f>
        <v>Worth buying hair clipper packaging intact, faster than expected delivery time. This can use the original head QC5530, as well as with the UK plug can not use, but fortunately, the original QC5530 plug specifications and it is the same, can be generic, battery power is not qc5530 strong, listen to the sound did not feel fresh.</v>
      </c>
    </row>
    <row r="15208">
      <c r="A15208" s="1">
        <v>5.0</v>
      </c>
      <c r="B15208" s="1" t="s">
        <v>15042</v>
      </c>
      <c r="C15208" t="str">
        <f>IFERROR(__xludf.DUMMYFUNCTION("GOOGLETRANSLATE(B15208, ""zh"", ""en"")"),"Not refined, but the design is definitely unique design, more than five hundred of the Bauhaus in very cost-effective price! Exquisite kind than the picture, very light, strap the whole is a bit hard, a little rough, softer inside than outside, so it will"&amp;" not hurt the skin friction, possibly with more texture metal, so hard it easier to stay in India. Design did not have to say, go Shihai look up immediately after the purchase of more than two hundred 😄😄")</f>
        <v>Not refined, but the design is definitely unique design, more than five hundred of the Bauhaus in very cost-effective price! Exquisite kind than the picture, very light, strap the whole is a bit hard, a little rough, softer inside than outside, so it will not hurt the skin friction, possibly with more texture metal, so hard it easier to stay in India. Design did not have to say, go Shihai look up immediately after the purchase of more than two hundred 😄😄</v>
      </c>
    </row>
    <row r="15209">
      <c r="A15209" s="1">
        <v>2.0</v>
      </c>
      <c r="B15209" s="1" t="s">
        <v>15043</v>
      </c>
      <c r="C15209" t="str">
        <f>IFERROR(__xludf.DUMMYFUNCTION("GOOGLETRANSLATE(B15209, ""zh"", ""en"")"),"Cotton is very general really very general, very hard cotton, printing will feel a wash out, the material is thin")</f>
        <v>Cotton is very general really very general, very hard cotton, printing will feel a wash out, the material is thin</v>
      </c>
    </row>
    <row r="15210">
      <c r="A15210" s="1">
        <v>3.0</v>
      </c>
      <c r="B15210" s="1" t="s">
        <v>15044</v>
      </c>
      <c r="C15210" t="str">
        <f>IFERROR(__xludf.DUMMYFUNCTION("GOOGLETRANSLATE(B15210, ""zh"", ""en"")"),"Mobile hard drive with half a year, bad! Spent half a year, unstable situation, often can not find the hard drive.")</f>
        <v>Mobile hard drive with half a year, bad! Spent half a year, unstable situation, often can not find the hard drive.</v>
      </c>
    </row>
    <row r="15211">
      <c r="A15211" s="1">
        <v>3.0</v>
      </c>
      <c r="B15211" s="1" t="s">
        <v>15045</v>
      </c>
      <c r="C15211" t="str">
        <f>IFERROR(__xludf.DUMMYFUNCTION("GOOGLETRANSLATE(B15211, ""zh"", ""en"")"),"Damaged packaging This packaging also sucks, the box is completely rotten, with a bag filled!")</f>
        <v>Damaged packaging This packaging also sucks, the box is completely rotten, with a bag filled!</v>
      </c>
    </row>
    <row r="15212">
      <c r="A15212" s="1">
        <v>3.0</v>
      </c>
      <c r="B15212" s="1" t="s">
        <v>15046</v>
      </c>
      <c r="C15212" t="str">
        <f>IFERROR(__xludf.DUMMYFUNCTION("GOOGLETRANSLATE(B15212, ""zh"", ""en"")"),"Big Blue bought some big blue color usually wear 41 to buy a little afraid of the results of the fourth shot 42 today to a pretty fast first overseas purchase of goods is not very satisfactory return shipping if too uneconomical to buy the 125 pro be care"&amp;"ful with it, but it should be the same as that of the tongue marked the official website of the official website of some of the cream-colored black or blue shoes some flaws of the overall color of dim feeling some significant foot white big but good comfo"&amp;"rt")</f>
        <v>Big Blue bought some big blue color usually wear 41 to buy a little afraid of the results of the fourth shot 42 today to a pretty fast first overseas purchase of goods is not very satisfactory return shipping if too uneconomical to buy the 125 pro be careful with it, but it should be the same as that of the tongue marked the official website of the official website of some of the cream-colored black or blue shoes some flaws of the overall color of dim feeling some significant foot white big but good comfort</v>
      </c>
    </row>
    <row r="15213">
      <c r="A15213" s="1">
        <v>1.0</v>
      </c>
      <c r="B15213" s="1" t="s">
        <v>15047</v>
      </c>
      <c r="C15213" t="str">
        <f>IFERROR(__xludf.DUMMYFUNCTION("GOOGLETRANSLATE(B15213, ""zh"", ""en"")"),"Quality large 6 months old when I bought the baby, after two or three months before the start with and found no insulation, it should be quality problems, we made a defective product, to the Amazon called and said they are not responsible for overseas pur"&amp;"chase sale , just sell it no matter sale? So afraid of doing business for a long time yet? Overseas purchase sale that you do not open overseas shopping to do? Who would dare to be with you later buy things")</f>
        <v>Quality large 6 months old when I bought the baby, after two or three months before the start with and found no insulation, it should be quality problems, we made a defective product, to the Amazon called and said they are not responsible for overseas purchase sale , just sell it no matter sale? So afraid of doing business for a long time yet? Overseas purchase sale that you do not open overseas shopping to do? Who would dare to be with you later buy things</v>
      </c>
    </row>
    <row r="15214">
      <c r="A15214" s="1">
        <v>1.0</v>
      </c>
      <c r="B15214" s="1" t="s">
        <v>15048</v>
      </c>
      <c r="C15214" t="str">
        <f>IFERROR(__xludf.DUMMYFUNCTION("GOOGLETRANSLATE(B15214, ""zh"", ""en"")"),"General General Description size is not clear")</f>
        <v>General General Description size is not clear</v>
      </c>
    </row>
    <row r="15215">
      <c r="A15215" s="1">
        <v>1.0</v>
      </c>
      <c r="B15215" s="1" t="s">
        <v>15049</v>
      </c>
      <c r="C15215" t="str">
        <f>IFERROR(__xludf.DUMMYFUNCTION("GOOGLETRANSLATE(B15215, ""zh"", ""en"")"),"This gutta taste particularly smelly! Get the goods a few days, and then opened today, open super smell, still after disinfection great taste! Smell feel very uncomfortable! You do not know how to complain! Request a return refund!")</f>
        <v>This gutta taste particularly smelly! Get the goods a few days, and then opened today, open super smell, still after disinfection great taste! Smell feel very uncomfortable! You do not know how to complain! Request a return refund!</v>
      </c>
    </row>
    <row r="15216">
      <c r="A15216" s="1">
        <v>4.0</v>
      </c>
      <c r="B15216" s="1" t="s">
        <v>15050</v>
      </c>
      <c r="C15216" t="str">
        <f>IFERROR(__xludf.DUMMYFUNCTION("GOOGLETRANSLATE(B15216, ""zh"", ""en"")"),"Product quality ok, packaging needs to be strengthened packaging too casual, is a plastic bag inside the carton has been distorted, the bottle should be genuine, then for the first time scouring overseas Amazon, one week in advance to, and quite unexpecte"&amp;"d")</f>
        <v>Product quality ok, packaging needs to be strengthened packaging too casual, is a plastic bag inside the carton has been distorted, the bottle should be genuine, then for the first time scouring overseas Amazon, one week in advance to, and quite unexpected</v>
      </c>
    </row>
    <row r="15217">
      <c r="A15217" s="1">
        <v>4.0</v>
      </c>
      <c r="B15217" s="1" t="s">
        <v>15051</v>
      </c>
      <c r="C15217" t="str">
        <f>IFERROR(__xludf.DUMMYFUNCTION("GOOGLETRANSLATE(B15217, ""zh"", ""en"")"),"Defects received courier packaging has been crushed ... shoebox shoe color is very positive surface some flaws there are two or three small scratches do not know how to get the 41 yards usually wear shoes that you can wear a bit bigger, but what's flaws t"&amp;"oo lazy to back trouble")</f>
        <v>Defects received courier packaging has been crushed ... shoebox shoe color is very positive surface some flaws there are two or three small scratches do not know how to get the 41 yards usually wear shoes that you can wear a bit bigger, but what's flaws too lazy to back trouble</v>
      </c>
    </row>
    <row r="15218">
      <c r="A15218" s="1">
        <v>4.0</v>
      </c>
      <c r="B15218" s="1" t="s">
        <v>15052</v>
      </c>
      <c r="C15218" t="str">
        <f>IFERROR(__xludf.DUMMYFUNCTION("GOOGLETRANSLATE(B15218, ""zh"", ""en"")"),"Is good, just received today, tried it, the right size, very strong package, rigid soles.")</f>
        <v>Is good, just received today, tried it, the right size, very strong package, rigid soles.</v>
      </c>
    </row>
    <row r="15219">
      <c r="A15219" s="1">
        <v>4.0</v>
      </c>
      <c r="B15219" s="1" t="s">
        <v>15053</v>
      </c>
      <c r="C15219" t="str">
        <f>IFERROR(__xludf.DUMMYFUNCTION("GOOGLETRANSLATE(B15219, ""zh"", ""en"")"),"Material is generally made general, wash will be unloaded, I 175cm 75kg buy smaller on the 1st")</f>
        <v>Material is generally made general, wash will be unloaded, I 175cm 75kg buy smaller on the 1st</v>
      </c>
    </row>
    <row r="15220">
      <c r="A15220" s="1">
        <v>4.0</v>
      </c>
      <c r="B15220" s="1" t="s">
        <v>15054</v>
      </c>
      <c r="C15220" t="str">
        <f>IFERROR(__xludf.DUMMYFUNCTION("GOOGLETRANSLATE(B15220, ""zh"", ""en"")"),"Also good with a pha-2, how should I say, the general feeling is directly connected computers what can push. Link after changes pha-2 sound big, but not necessarily everyone likes the feeling. Bass more prominent.")</f>
        <v>Also good with a pha-2, how should I say, the general feeling is directly connected computers what can push. Link after changes pha-2 sound big, but not necessarily everyone likes the feeling. Bass more prominent.</v>
      </c>
    </row>
    <row r="15221">
      <c r="A15221" s="1">
        <v>5.0</v>
      </c>
      <c r="B15221" s="1" t="s">
        <v>15055</v>
      </c>
      <c r="C15221" t="str">
        <f>IFERROR(__xludf.DUMMYFUNCTION("GOOGLETRANSLATE(B15221, ""zh"", ""en"")"),"Nice jacket high cost, the right size.")</f>
        <v>Nice jacket high cost, the right size.</v>
      </c>
    </row>
    <row r="15222">
      <c r="A15222" s="1">
        <v>5.0</v>
      </c>
      <c r="B15222" s="1" t="s">
        <v>15056</v>
      </c>
      <c r="C15222" t="str">
        <f>IFERROR(__xludf.DUMMYFUNCTION("GOOGLETRANSLATE(B15222, ""zh"", ""en"")"),"Headphones very good and I expected, listened for a few days, the effect is getting better and better, that is, when there is movement of the stethoscope effect. If the problem is not wearing a walking, walking will not do, very good battery life, fast ch"&amp;"arge more than one hour on the full. I'm not listening to music every day for a long time can basically use three to five days. Very good headset for the first time to buy very satisfied, the next will buy Sennheiser headphones")</f>
        <v>Headphones very good and I expected, listened for a few days, the effect is getting better and better, that is, when there is movement of the stethoscope effect. If the problem is not wearing a walking, walking will not do, very good battery life, fast charge more than one hour on the full. I'm not listening to music every day for a long time can basically use three to five days. Very good headset for the first time to buy very satisfied, the next will buy Sennheiser headphones</v>
      </c>
    </row>
    <row r="15223">
      <c r="A15223" s="1">
        <v>5.0</v>
      </c>
      <c r="B15223" s="1" t="s">
        <v>15057</v>
      </c>
      <c r="C15223" t="str">
        <f>IFERROR(__xludf.DUMMYFUNCTION("GOOGLETRANSLATE(B15223, ""zh"", ""en"")"),"Waist very tight, very strong and fast shipping! well package! Top quality, meticulous workmanship. Upper body good results! Relatively thin, the legs were not really so tight, but very tight waist, loose the amount waist M code is only 60cm, my hip 92cm,"&amp;" hips over time will feel tight. Be sure to consider recommendations to hip size, choose the size rather large not small. Also be sure to close with a quick-drying underwear to wear, otherwise it will be uncomfortable.")</f>
        <v>Waist very tight, very strong and fast shipping! well package! Top quality, meticulous workmanship. Upper body good results! Relatively thin, the legs were not really so tight, but very tight waist, loose the amount waist M code is only 60cm, my hip 92cm, hips over time will feel tight. Be sure to consider recommendations to hip size, choose the size rather large not small. Also be sure to close with a quick-drying underwear to wear, otherwise it will be uncomfortable.</v>
      </c>
    </row>
    <row r="15224">
      <c r="A15224" s="1">
        <v>5.0</v>
      </c>
      <c r="B15224" s="1" t="s">
        <v>15058</v>
      </c>
      <c r="C15224" t="str">
        <f>IFERROR(__xludf.DUMMYFUNCTION("GOOGLETRANSLATE(B15224, ""zh"", ""en"")"),"Overall very good, relatively slim overall very good, a little bit narrower")</f>
        <v>Overall very good, relatively slim overall very good, a little bit narrower</v>
      </c>
    </row>
    <row r="15225">
      <c r="A15225" s="1">
        <v>5.0</v>
      </c>
      <c r="B15225" s="1" t="s">
        <v>15059</v>
      </c>
      <c r="C15225" t="str">
        <f>IFERROR(__xludf.DUMMYFUNCTION("GOOGLETRANSLATE(B15225, ""zh"", ""en"")"),"Hope to provide material thickness and elasticity appropriate for the season, more appropriate, according to the country before the counter to buy the size bought, Slim models, not thick pants, my Tuicu, and will not stretch as fitness pants, suitable for"&amp;" spring, medium thickness , YYK zipper, zipper domestic container loading LEE, packaging, trademarks appear cheaper than domestic, is probably the brand in the country compared to the US, location is not the same, more than 250 yuan hand, more affordable,"&amp;" faster delivery overseas purchase")</f>
        <v>Hope to provide material thickness and elasticity appropriate for the season, more appropriate, according to the country before the counter to buy the size bought, Slim models, not thick pants, my Tuicu, and will not stretch as fitness pants, suitable for spring, medium thickness , YYK zipper, zipper domestic container loading LEE, packaging, trademarks appear cheaper than domestic, is probably the brand in the country compared to the US, location is not the same, more than 250 yuan hand, more affordable, faster delivery overseas purchase</v>
      </c>
    </row>
    <row r="15226">
      <c r="A15226" s="1">
        <v>5.0</v>
      </c>
      <c r="B15226" s="1" t="s">
        <v>15060</v>
      </c>
      <c r="C15226" t="str">
        <f>IFERROR(__xludf.DUMMYFUNCTION("GOOGLETRANSLATE(B15226, ""zh"", ""en"")"),"Classic usually wear other brands are 42.5, this pair would be more lenient, more free of foot friends.")</f>
        <v>Classic usually wear other brands are 42.5, this pair would be more lenient, more free of foot friends.</v>
      </c>
    </row>
    <row r="15227">
      <c r="A15227" s="1">
        <v>5.0</v>
      </c>
      <c r="B15227" s="1" t="s">
        <v>15061</v>
      </c>
      <c r="C15227" t="str">
        <f>IFERROR(__xludf.DUMMYFUNCTION("GOOGLETRANSLATE(B15227, ""zh"", ""en"")"),"Quality may also be the US version of the s Asian edition of l ......")</f>
        <v>Quality may also be the US version of the s Asian edition of l ......</v>
      </c>
    </row>
    <row r="15228">
      <c r="A15228" s="1">
        <v>5.0</v>
      </c>
      <c r="B15228" s="1" t="s">
        <v>15062</v>
      </c>
      <c r="C15228" t="str">
        <f>IFERROR(__xludf.DUMMYFUNCTION("GOOGLETRANSLATE(B15228, ""zh"", ""en"")"),"Wearing shoes feel good, work a little rough, but that style is wearing shoes tooling shoes Well feel good, work a little rough, but that style is tooling shoes Well")</f>
        <v>Wearing shoes feel good, work a little rough, but that style is wearing shoes tooling shoes Well feel good, work a little rough, but that style is tooling shoes Well</v>
      </c>
    </row>
    <row r="15229">
      <c r="A15229" s="1">
        <v>5.0</v>
      </c>
      <c r="B15229" s="1" t="s">
        <v>15063</v>
      </c>
      <c r="C15229" t="str">
        <f>IFERROR(__xludf.DUMMYFUNCTION("GOOGLETRANSLATE(B15229, ""zh"", ""en"")"),"Yes! I am 176 cm, 70 kg, waist fit, pants Slim!")</f>
        <v>Yes! I am 176 cm, 70 kg, waist fit, pants Slim!</v>
      </c>
    </row>
    <row r="15230">
      <c r="A15230" s="1">
        <v>5.0</v>
      </c>
      <c r="B15230" s="1" t="s">
        <v>15064</v>
      </c>
      <c r="C15230" t="str">
        <f>IFERROR(__xludf.DUMMYFUNCTION("GOOGLETRANSLATE(B15230, ""zh"", ""en"")"),"🌚🌚 I liked the sound quality is also very good shape overall liked")</f>
        <v>🌚🌚 I liked the sound quality is also very good shape overall liked</v>
      </c>
    </row>
    <row r="15231">
      <c r="A15231" s="1">
        <v>5.0</v>
      </c>
      <c r="B15231" s="1" t="s">
        <v>15065</v>
      </c>
      <c r="C15231" t="str">
        <f>IFERROR(__xludf.DUMMYFUNCTION("GOOGLETRANSLATE(B15231, ""zh"", ""en"")"),"Quality and value for money pants quite good, ready this time choose the brand")</f>
        <v>Quality and value for money pants quite good, ready this time choose the brand</v>
      </c>
    </row>
    <row r="15232">
      <c r="A15232" s="1">
        <v>5.0</v>
      </c>
      <c r="B15232" s="1" t="s">
        <v>15066</v>
      </c>
      <c r="C15232" t="str">
        <f>IFERROR(__xludf.DUMMYFUNCTION("GOOGLETRANSLATE(B15232, ""zh"", ""en"")"),"Receiving soon received a quick, well")</f>
        <v>Receiving soon received a quick, well</v>
      </c>
    </row>
    <row r="15233">
      <c r="A15233" s="1">
        <v>5.0</v>
      </c>
      <c r="B15233" s="1" t="s">
        <v>15067</v>
      </c>
      <c r="C15233" t="str">
        <f>IFERROR(__xludf.DUMMYFUNCTION("GOOGLETRANSLATE(B15233, ""zh"", ""en"")"),"Also can not know, OK, give the child ate, used to praise hope valid")</f>
        <v>Also can not know, OK, give the child ate, used to praise hope valid</v>
      </c>
    </row>
    <row r="15234">
      <c r="A15234" s="1">
        <v>5.0</v>
      </c>
      <c r="B15234" s="1" t="s">
        <v>15068</v>
      </c>
      <c r="C15234" t="str">
        <f>IFERROR(__xludf.DUMMYFUNCTION("GOOGLETRANSLATE(B15234, ""zh"", ""en"")"),"Drinking yoghurt taste. Drink. Tasty")</f>
        <v>Drinking yoghurt taste. Drink. Tasty</v>
      </c>
    </row>
    <row r="15235">
      <c r="A15235" s="1">
        <v>5.0</v>
      </c>
      <c r="B15235" s="1" t="s">
        <v>15069</v>
      </c>
      <c r="C15235" t="str">
        <f>IFERROR(__xludf.DUMMYFUNCTION("GOOGLETRANSLATE(B15235, ""zh"", ""en"")"),"Ease aching knee has been sore, thought it was cool with this later bought with calcium to eat for three days eased")</f>
        <v>Ease aching knee has been sore, thought it was cool with this later bought with calcium to eat for three days eased</v>
      </c>
    </row>
    <row r="15236">
      <c r="A15236" s="1">
        <v>5.0</v>
      </c>
      <c r="B15236" s="1" t="s">
        <v>15070</v>
      </c>
      <c r="C15236" t="str">
        <f>IFERROR(__xludf.DUMMYFUNCTION("GOOGLETRANSLATE(B15236, ""zh"", ""en"")"),"... buy a brand that is popular and dependable .... foreign supermarket to buy a brand that is popular and dependable .... ... the size of foreign supermarkets do. I read all of the evaluation .. I bought more appropriate in accordance with buy small 2 ya"&amp;"rds ... said to be cotton. a bit like the feeling. and there are points through the packaging is very beautiful .. the same price without any cost at all! CK is a lot of balance of mind ...")</f>
        <v>... buy a brand that is popular and dependable .... foreign supermarket to buy a brand that is popular and dependable .... ... the size of foreign supermarkets do. I read all of the evaluation .. I bought more appropriate in accordance with buy small 2 yards ... said to be cotton. a bit like the feeling. and there are points through the packaging is very beautiful .. the same price without any cost at all! CK is a lot of balance of mind ...</v>
      </c>
    </row>
    <row r="15237">
      <c r="A15237" s="1">
        <v>5.0</v>
      </c>
      <c r="B15237" s="1" t="s">
        <v>15071</v>
      </c>
      <c r="C15237" t="str">
        <f>IFERROR(__xludf.DUMMYFUNCTION("GOOGLETRANSLATE(B15237, ""zh"", ""en"")"),"Sister to buy cheap, good, cheap")</f>
        <v>Sister to buy cheap, good, cheap</v>
      </c>
    </row>
    <row r="15238">
      <c r="A15238" s="1">
        <v>5.0</v>
      </c>
      <c r="B15238" s="1" t="s">
        <v>15072</v>
      </c>
      <c r="C15238" t="str">
        <f>IFERROR(__xludf.DUMMYFUNCTION("GOOGLETRANSLATE(B15238, ""zh"", ""en"")"),"Children like to use the children like to use")</f>
        <v>Children like to use the children like to use</v>
      </c>
    </row>
    <row r="15239">
      <c r="A15239" s="1">
        <v>5.0</v>
      </c>
      <c r="B15239" s="1" t="s">
        <v>15073</v>
      </c>
      <c r="C15239" t="str">
        <f>IFERROR(__xludf.DUMMYFUNCTION("GOOGLETRANSLATE(B15239, ""zh"", ""en"")"),"Super nice very wild 24.5 feet long code is appropriate to wear us8 very wild suitable for winter wear with jeans")</f>
        <v>Super nice very wild 24.5 feet long code is appropriate to wear us8 very wild suitable for winter wear with jeans</v>
      </c>
    </row>
    <row r="15240">
      <c r="A15240" s="1">
        <v>5.0</v>
      </c>
      <c r="B15240" s="1" t="s">
        <v>15074</v>
      </c>
      <c r="C15240" t="str">
        <f>IFERROR(__xludf.DUMMYFUNCTION("GOOGLETRANSLATE(B15240, ""zh"", ""en"")"),"Kenya cost-effective production models good, the right size, comfortable, less than: elastic band feel some rough")</f>
        <v>Kenya cost-effective production models good, the right size, comfortable, less than: elastic band feel some rough</v>
      </c>
    </row>
    <row r="15241">
      <c r="A15241" s="1">
        <v>5.0</v>
      </c>
      <c r="B15241" s="1" t="s">
        <v>15075</v>
      </c>
      <c r="C15241" t="str">
        <f>IFERROR(__xludf.DUMMYFUNCTION("GOOGLETRANSLATE(B15241, ""zh"", ""en"")"),"Surprisingly comfortable fabric is very comfortable wearing very fit very cost-effective in accordance with the size of a pair of pants I used to buy domestic GAP is appropriate")</f>
        <v>Surprisingly comfortable fabric is very comfortable wearing very fit very cost-effective in accordance with the size of a pair of pants I used to buy domestic GAP is appropriate</v>
      </c>
    </row>
    <row r="15242">
      <c r="A15242" s="1">
        <v>2.0</v>
      </c>
      <c r="B15242" s="1" t="s">
        <v>15076</v>
      </c>
      <c r="C15242" t="str">
        <f>IFERROR(__xludf.DUMMYFUNCTION("GOOGLETRANSLATE(B15242, ""zh"", ""en"")"),"Not recommended to buy really cheap fabric bag full sense")</f>
        <v>Not recommended to buy really cheap fabric bag full sense</v>
      </c>
    </row>
    <row r="15243">
      <c r="A15243" s="1">
        <v>3.0</v>
      </c>
      <c r="B15243" s="1" t="s">
        <v>15077</v>
      </c>
      <c r="C15243" t="str">
        <f>IFERROR(__xludf.DUMMYFUNCTION("GOOGLETRANSLATE(B15243, ""zh"", ""en"")"),"Schneider Samsung second time to buy, for the first time to buy very satisfied with water, thickness are very satisfied, sent his brother, this time bought one, very serious scratches pen mark, and the lower ink pen, not just like the trial writing ink, p"&amp;"en body also wear very serious, and at the time of writing, no one will write the cap, the bird never before this case, too much trouble, not returned, but not on a treasured")</f>
        <v>Schneider Samsung second time to buy, for the first time to buy very satisfied with water, thickness are very satisfied, sent his brother, this time bought one, very serious scratches pen mark, and the lower ink pen, not just like the trial writing ink, pen body also wear very serious, and at the time of writing, no one will write the cap, the bird never before this case, too much trouble, not returned, but not on a treasured</v>
      </c>
    </row>
    <row r="15244">
      <c r="A15244" s="1">
        <v>3.0</v>
      </c>
      <c r="B15244" s="1" t="s">
        <v>15078</v>
      </c>
      <c r="C15244" t="str">
        <f>IFERROR(__xludf.DUMMYFUNCTION("GOOGLETRANSLATE(B15244, ""zh"", ""en"")"),"General size than domestic large, relatively hard pants, comfortable feel a bit worse.")</f>
        <v>General size than domestic large, relatively hard pants, comfortable feel a bit worse.</v>
      </c>
    </row>
    <row r="15245">
      <c r="A15245" s="1">
        <v>3.0</v>
      </c>
      <c r="B15245" s="1" t="s">
        <v>15079</v>
      </c>
      <c r="C15245" t="str">
        <f>IFERROR(__xludf.DUMMYFUNCTION("GOOGLETRANSLATE(B15245, ""zh"", ""en"")"),". Compared to other series of fabrics in general. .")</f>
        <v>. Compared to other series of fabrics in general. .</v>
      </c>
    </row>
    <row r="15246">
      <c r="A15246" s="1">
        <v>1.0</v>
      </c>
      <c r="B15246" s="1" t="s">
        <v>15080</v>
      </c>
      <c r="C15246" t="str">
        <f>IFERROR(__xludf.DUMMYFUNCTION("GOOGLETRANSLATE(B15246, ""zh"", ""en"")"),"There are serious plastic taste! Pungent! Bought a total of three Tiger mug, we have serious plastic taste, pungent! Not bought this brand in the market, so I do not know is not genuine, but bought did not taste homemade! The return!")</f>
        <v>There are serious plastic taste! Pungent! Bought a total of three Tiger mug, we have serious plastic taste, pungent! Not bought this brand in the market, so I do not know is not genuine, but bought did not taste homemade! The return!</v>
      </c>
    </row>
    <row r="15247">
      <c r="A15247" s="1">
        <v>1.0</v>
      </c>
      <c r="B15247" s="1" t="s">
        <v>15081</v>
      </c>
      <c r="C15247" t="str">
        <f>IFERROR(__xludf.DUMMYFUNCTION("GOOGLETRANSLATE(B15247, ""zh"", ""en"")"),"This brand is not recommended to buy at the same time buy two, one a dark gray, black, soft and smooth, comfortable to wear, this gray thick and hard, it is silent, but the color of different materials actually much worse, do not recommend buying this bra"&amp;"nd")</f>
        <v>This brand is not recommended to buy at the same time buy two, one a dark gray, black, soft and smooth, comfortable to wear, this gray thick and hard, it is silent, but the color of different materials actually much worse, do not recommend buying this brand</v>
      </c>
    </row>
    <row r="15248">
      <c r="A15248" s="1">
        <v>4.0</v>
      </c>
      <c r="B15248" s="1" t="s">
        <v>15082</v>
      </c>
      <c r="C15248" t="str">
        <f>IFERROR(__xludf.DUMMYFUNCTION("GOOGLETRANSLATE(B15248, ""zh"", ""en"")"),"Say nice cup has been accompanied by a good-looking models with violet encounters Amazon · Japanese direct mail sale decisively won this Zojirushi accompanied by a cup of good seasons with matte golden section disadvantage of seams obviously not as good a"&amp;"s it would be more beautiful violet paragraph")</f>
        <v>Say nice cup has been accompanied by a good-looking models with violet encounters Amazon · Japanese direct mail sale decisively won this Zojirushi accompanied by a cup of good seasons with matte golden section disadvantage of seams obviously not as good as it would be more beautiful violet paragraph</v>
      </c>
    </row>
    <row r="15249">
      <c r="A15249" s="1">
        <v>4.0</v>
      </c>
      <c r="B15249" s="1" t="s">
        <v>15083</v>
      </c>
      <c r="C15249" t="str">
        <f>IFERROR(__xludf.DUMMYFUNCTION("GOOGLETRANSLATE(B15249, ""zh"", ""en"")"),"Good exercise sport pullover sweater good, when you really want to choose the size of the multi-reference previous comment, or tends to be bigger.")</f>
        <v>Good exercise sport pullover sweater good, when you really want to choose the size of the multi-reference previous comment, or tends to be bigger.</v>
      </c>
    </row>
    <row r="15250">
      <c r="A15250" s="1">
        <v>4.0</v>
      </c>
      <c r="B15250" s="1" t="s">
        <v>15084</v>
      </c>
      <c r="C15250" t="str">
        <f>IFERROR(__xludf.DUMMYFUNCTION("GOOGLETRANSLATE(B15250, ""zh"", ""en"")"),"Yes merchandise is good, scraping is also very clean, sound vibration is a bit large, plastic body work more general, feeling a little cheap plastic casing.")</f>
        <v>Yes merchandise is good, scraping is also very clean, sound vibration is a bit large, plastic body work more general, feeling a little cheap plastic casing.</v>
      </c>
    </row>
    <row r="15251">
      <c r="A15251" s="1">
        <v>4.0</v>
      </c>
      <c r="B15251" s="1" t="s">
        <v>15085</v>
      </c>
      <c r="C15251" t="str">
        <f>IFERROR(__xludf.DUMMYFUNCTION("GOOGLETRANSLATE(B15251, ""zh"", ""en"")"),"Children like to eat the children very much, I feel too sweet, while there are gelatin, a little worried.")</f>
        <v>Children like to eat the children very much, I feel too sweet, while there are gelatin, a little worried.</v>
      </c>
    </row>
    <row r="15252">
      <c r="A15252" s="1">
        <v>5.0</v>
      </c>
      <c r="B15252" s="1" t="s">
        <v>15086</v>
      </c>
      <c r="C15252" t="str">
        <f>IFERROR(__xludf.DUMMYFUNCTION("GOOGLETRANSLATE(B15252, ""zh"", ""en"")"),"Value this price really value, yardage than the domestic small one yard, buy a little time to pay attention")</f>
        <v>Value this price really value, yardage than the domestic small one yard, buy a little time to pay attention</v>
      </c>
    </row>
    <row r="15253">
      <c r="A15253" s="1">
        <v>5.0</v>
      </c>
      <c r="B15253" s="1" t="s">
        <v>15087</v>
      </c>
      <c r="C15253" t="str">
        <f>IFERROR(__xludf.DUMMYFUNCTION("GOOGLETRANSLATE(B15253, ""zh"", ""en"")"),"In line with expectations workmanship did not say, numbers are basically the same, very comfortable to wear, with prices in the United States to buy the same.")</f>
        <v>In line with expectations workmanship did not say, numbers are basically the same, very comfortable to wear, with prices in the United States to buy the same.</v>
      </c>
    </row>
    <row r="15254">
      <c r="A15254" s="1">
        <v>5.0</v>
      </c>
      <c r="B15254" s="1" t="s">
        <v>15088</v>
      </c>
      <c r="C15254" t="str">
        <f>IFERROR(__xludf.DUMMYFUNCTION("GOOGLETRANSLATE(B15254, ""zh"", ""en"")"),"Good use for some time, well, kids are drinking more")</f>
        <v>Good use for some time, well, kids are drinking more</v>
      </c>
    </row>
    <row r="15255">
      <c r="A15255" s="1">
        <v>5.0</v>
      </c>
      <c r="B15255" s="1" t="s">
        <v>15089</v>
      </c>
      <c r="C15255" t="str">
        <f>IFERROR(__xludf.DUMMYFUNCTION("GOOGLETRANSLATE(B15255, ""zh"", ""en"")"),"Little functional enough, is a little dial")</f>
        <v>Little functional enough, is a little dial</v>
      </c>
    </row>
    <row r="15256">
      <c r="A15256" s="1">
        <v>5.0</v>
      </c>
      <c r="B15256" s="1" t="s">
        <v>15090</v>
      </c>
      <c r="C15256" t="str">
        <f>IFERROR(__xludf.DUMMYFUNCTION("GOOGLETRANSLATE(B15256, ""zh"", ""en"")"),"I'm late! Yes, very much. Pants good, the right size. Nice and comfortable to wear!")</f>
        <v>I'm late! Yes, very much. Pants good, the right size. Nice and comfortable to wear!</v>
      </c>
    </row>
    <row r="15257">
      <c r="A15257" s="1">
        <v>5.0</v>
      </c>
      <c r="B15257" s="1" t="s">
        <v>15091</v>
      </c>
      <c r="C15257" t="str">
        <f>IFERROR(__xludf.DUMMYFUNCTION("GOOGLETRANSLATE(B15257, ""zh"", ""en"")"),"Inexpensive size slightly larger a little bit, but did not freshman code, or normal choice is acceptable")</f>
        <v>Inexpensive size slightly larger a little bit, but did not freshman code, or normal choice is acceptable</v>
      </c>
    </row>
    <row r="15258">
      <c r="A15258" s="1">
        <v>5.0</v>
      </c>
      <c r="B15258" s="1" t="s">
        <v>15092</v>
      </c>
      <c r="C15258" t="str">
        <f>IFERROR(__xludf.DUMMYFUNCTION("GOOGLETRANSLATE(B15258, ""zh"", ""en"")"),"Children like to buy back the child does not like idle fear, rejection is not the result of a child, and now he is to brush their teeth, and brushing time is longer than before, feeling very worth buying")</f>
        <v>Children like to buy back the child does not like idle fear, rejection is not the result of a child, and now he is to brush their teeth, and brushing time is longer than before, feeling very worth buying</v>
      </c>
    </row>
    <row r="15259">
      <c r="A15259" s="1">
        <v>5.0</v>
      </c>
      <c r="B15259" s="1" t="s">
        <v>15093</v>
      </c>
      <c r="C15259" t="str">
        <f>IFERROR(__xludf.DUMMYFUNCTION("GOOGLETRANSLATE(B15259, ""zh"", ""en"")"),"well! Cheap tasty, very good, son, two and a half")</f>
        <v>well! Cheap tasty, very good, son, two and a half</v>
      </c>
    </row>
    <row r="15260">
      <c r="A15260" s="1">
        <v>5.0</v>
      </c>
      <c r="B15260" s="1" t="s">
        <v>15094</v>
      </c>
      <c r="C15260" t="str">
        <f>IFERROR(__xludf.DUMMYFUNCTION("GOOGLETRANSLATE(B15260, ""zh"", ""en"")"),"Recommended bought a pair of black came to buy white, really comfortable ah")</f>
        <v>Recommended bought a pair of black came to buy white, really comfortable ah</v>
      </c>
    </row>
    <row r="15261">
      <c r="A15261" s="1">
        <v>5.0</v>
      </c>
      <c r="B15261" s="1" t="s">
        <v>15095</v>
      </c>
      <c r="C15261" t="str">
        <f>IFERROR(__xludf.DUMMYFUNCTION("GOOGLETRANSLATE(B15261, ""zh"", ""en"")"),"Not bad is very good, the lighting is a little setback, not tried water, follow-up evaluation, seven days of arrival")</f>
        <v>Not bad is very good, the lighting is a little setback, not tried water, follow-up evaluation, seven days of arrival</v>
      </c>
    </row>
    <row r="15262">
      <c r="A15262" s="1">
        <v>5.0</v>
      </c>
      <c r="B15262" s="1" t="s">
        <v>15096</v>
      </c>
      <c r="C15262" t="str">
        <f>IFERROR(__xludf.DUMMYFUNCTION("GOOGLETRANSLATE(B15262, ""zh"", ""en"")"),"Good Very good, high color value, easy to use, affordable")</f>
        <v>Good Very good, high color value, easy to use, affordable</v>
      </c>
    </row>
    <row r="15263">
      <c r="A15263" s="1">
        <v>5.0</v>
      </c>
      <c r="B15263" s="1" t="s">
        <v>15097</v>
      </c>
      <c r="C15263" t="str">
        <f>IFERROR(__xludf.DUMMYFUNCTION("GOOGLETRANSLATE(B15263, ""zh"", ""en"")"),"Good to wear very appropriate. Continuous bought two particularly good to wear. Fixation is very good, very fit.")</f>
        <v>Good to wear very appropriate. Continuous bought two particularly good to wear. Fixation is very good, very fit.</v>
      </c>
    </row>
    <row r="15264">
      <c r="A15264" s="1">
        <v>5.0</v>
      </c>
      <c r="B15264" s="1" t="s">
        <v>15098</v>
      </c>
      <c r="C15264" t="str">
        <f>IFERROR(__xludf.DUMMYFUNCTION("GOOGLETRANSLATE(B15264, ""zh"", ""en"")"),"Very nice pen beautiful pen, smooth writing")</f>
        <v>Very nice pen beautiful pen, smooth writing</v>
      </c>
    </row>
    <row r="15265">
      <c r="A15265" s="1">
        <v>5.0</v>
      </c>
      <c r="B15265" s="1" t="s">
        <v>15099</v>
      </c>
      <c r="C15265" t="str">
        <f>IFERROR(__xludf.DUMMYFUNCTION("GOOGLETRANSLATE(B15265, ""zh"", ""en"")"),"Shoes good or very good")</f>
        <v>Shoes good or very good</v>
      </c>
    </row>
    <row r="15266">
      <c r="A15266" s="1">
        <v>5.0</v>
      </c>
      <c r="B15266" s="1" t="s">
        <v>15100</v>
      </c>
      <c r="C15266" t="str">
        <f>IFERROR(__xludf.DUMMYFUNCTION("GOOGLETRANSLATE(B15266, ""zh"", ""en"")"),"STO actually change the packaging broke, cup very good, very suitable for learning to drink water, is not satisfied with the courier, bad")</f>
        <v>STO actually change the packaging broke, cup very good, very suitable for learning to drink water, is not satisfied with the courier, bad</v>
      </c>
    </row>
    <row r="15267">
      <c r="A15267" s="1">
        <v>5.0</v>
      </c>
      <c r="B15267" s="1" t="s">
        <v>15101</v>
      </c>
      <c r="C15267" t="str">
        <f>IFERROR(__xludf.DUMMYFUNCTION("GOOGLETRANSLATE(B15267, ""zh"", ""en"")"),"High cost of color and style are good")</f>
        <v>High cost of color and style are good</v>
      </c>
    </row>
    <row r="15268">
      <c r="A15268" s="1">
        <v>5.0</v>
      </c>
      <c r="B15268" s="1" t="s">
        <v>15102</v>
      </c>
      <c r="C15268" t="str">
        <f>IFERROR(__xludf.DUMMYFUNCTION("GOOGLETRANSLATE(B15268, ""zh"", ""en"")"),"And treatment of osteoporosis medication within the body D3 value is too low, 201,709 copies D3 value is 3, now 22, eat some inches between facie D3 value can not break 30, in order to better absorb calcium, and then an additional comment.")</f>
        <v>And treatment of osteoporosis medication within the body D3 value is too low, 201,709 copies D3 value is 3, now 22, eat some inches between facie D3 value can not break 30, in order to better absorb calcium, and then an additional comment.</v>
      </c>
    </row>
    <row r="15269">
      <c r="A15269" s="1">
        <v>5.0</v>
      </c>
      <c r="B15269" s="1" t="s">
        <v>15103</v>
      </c>
      <c r="C15269" t="str">
        <f>IFERROR(__xludf.DUMMYFUNCTION("GOOGLETRANSLATE(B15269, ""zh"", ""en"")"),"Good quality used baby liked big enough")</f>
        <v>Good quality used baby liked big enough</v>
      </c>
    </row>
    <row r="15270">
      <c r="A15270" s="1">
        <v>5.0</v>
      </c>
      <c r="B15270" s="1" t="s">
        <v>15104</v>
      </c>
      <c r="C15270" t="str">
        <f>IFERROR(__xludf.DUMMYFUNCTION("GOOGLETRANSLATE(B15270, ""zh"", ""en"")"),"Very good very good domestic limited edition of the new semester gift to send his son")</f>
        <v>Very good very good domestic limited edition of the new semester gift to send his son</v>
      </c>
    </row>
    <row r="15271">
      <c r="A15271" s="1">
        <v>5.0</v>
      </c>
      <c r="B15271" s="1" t="s">
        <v>15105</v>
      </c>
      <c r="C15271" t="str">
        <f>IFERROR(__xludf.DUMMYFUNCTION("GOOGLETRANSLATE(B15271, ""zh"", ""en"")"),"Good positive fit, the only drawback is 4 years, I bought three pairs play is not bad, and now one pair did bad")</f>
        <v>Good positive fit, the only drawback is 4 years, I bought three pairs play is not bad, and now one pair did bad</v>
      </c>
    </row>
    <row r="15272">
      <c r="A15272" s="1">
        <v>5.0</v>
      </c>
      <c r="B15272" s="1" t="s">
        <v>15106</v>
      </c>
      <c r="C15272" t="str">
        <f>IFERROR(__xludf.DUMMYFUNCTION("GOOGLETRANSLATE(B15272, ""zh"", ""en"")"),"Satisfaction of cotton line, not from static electricity, very stylish")</f>
        <v>Satisfaction of cotton line, not from static electricity, very stylish</v>
      </c>
    </row>
    <row r="15273">
      <c r="A15273" s="1">
        <v>5.0</v>
      </c>
      <c r="B15273" s="1" t="s">
        <v>15107</v>
      </c>
      <c r="C15273" t="str">
        <f>IFERROR(__xludf.DUMMYFUNCTION("GOOGLETRANSLATE(B15273, ""zh"", ""en"")"),"Cost usually hot air / vans39, Converse 38, clarks been bought uk6, this is also very appropriate, about 200 start, eyes closed, into the ah, good quality shoes")</f>
        <v>Cost usually hot air / vans39, Converse 38, clarks been bought uk6, this is also very appropriate, about 200 start, eyes closed, into the ah, good quality shoes</v>
      </c>
    </row>
    <row r="15274">
      <c r="A15274" s="1">
        <v>2.0</v>
      </c>
      <c r="B15274" s="1" t="s">
        <v>15108</v>
      </c>
      <c r="C15274" t="str">
        <f>IFERROR(__xludf.DUMMYFUNCTION("GOOGLETRANSLATE(B15274, ""zh"", ""en"")"),"No charging cable holder can not be used without cleaning washing seat cord, not using a cleaning housing, Poor! Only a trip wire, straight razor, ha ha, I get this line to plug seat how have no access to clean, turned out to be smaller on the 1st, just f"&amp;"licker customers. . . . .")</f>
        <v>No charging cable holder can not be used without cleaning washing seat cord, not using a cleaning housing, Poor! Only a trip wire, straight razor, ha ha, I get this line to plug seat how have no access to clean, turned out to be smaller on the 1st, just flicker customers. . . . .</v>
      </c>
    </row>
    <row r="15275">
      <c r="A15275" s="1">
        <v>3.0</v>
      </c>
      <c r="B15275" s="1" t="s">
        <v>15109</v>
      </c>
      <c r="C15275" t="str">
        <f>IFERROR(__xludf.DUMMYFUNCTION("GOOGLETRANSLATE(B15275, ""zh"", ""en"")"),"A penny stock can accept really big, a lot of thread, sewing label with the Japanese version is not the same, here is Nianshang Qu.")</f>
        <v>A penny stock can accept really big, a lot of thread, sewing label with the Japanese version is not the same, here is Nianshang Qu.</v>
      </c>
    </row>
    <row r="15276">
      <c r="A15276" s="1">
        <v>1.0</v>
      </c>
      <c r="B15276" s="1" t="s">
        <v>15110</v>
      </c>
      <c r="C15276" t="str">
        <f>IFERROR(__xludf.DUMMYFUNCTION("GOOGLETRANSLATE(B15276, ""zh"", ""en"")"),"Quality of goods received stimulate odor")</f>
        <v>Quality of goods received stimulate odor</v>
      </c>
    </row>
    <row r="15277">
      <c r="A15277" s="1">
        <v>1.0</v>
      </c>
      <c r="B15277" s="1" t="s">
        <v>15111</v>
      </c>
      <c r="C15277" t="str">
        <f>IFERROR(__xludf.DUMMYFUNCTION("GOOGLETRANSLATE(B15277, ""zh"", ""en"")"),"Well spent less than 20 times on the bad, did not change at retirement can not repair, Amazon's attitude is not good customer service phone")</f>
        <v>Well spent less than 20 times on the bad, did not change at retirement can not repair, Amazon's attitude is not good customer service phone</v>
      </c>
    </row>
    <row r="15278">
      <c r="A15278" s="1">
        <v>4.0</v>
      </c>
      <c r="B15278" s="1" t="s">
        <v>15112</v>
      </c>
      <c r="C15278" t="str">
        <f>IFERROR(__xludf.DUMMYFUNCTION("GOOGLETRANSLATE(B15278, ""zh"", ""en"")"),"Little big clothes still good, very comfortable. Spring home everyday feeling all ok. The size is really big, ah, feeling too large.")</f>
        <v>Little big clothes still good, very comfortable. Spring home everyday feeling all ok. The size is really big, ah, feeling too large.</v>
      </c>
    </row>
    <row r="15279">
      <c r="A15279" s="1">
        <v>4.0</v>
      </c>
      <c r="B15279" s="1" t="s">
        <v>15113</v>
      </c>
      <c r="C15279" t="str">
        <f>IFERROR(__xludf.DUMMYFUNCTION("GOOGLETRANSLATE(B15279, ""zh"", ""en"")"),"It should be no problem to the United States to buy and own all the same in terms of packaging, which is the pattern on the back of the Cubs are sugar paste into a ball, like he bought it so clear")</f>
        <v>It should be no problem to the United States to buy and own all the same in terms of packaging, which is the pattern on the back of the Cubs are sugar paste into a ball, like he bought it so clear</v>
      </c>
    </row>
    <row r="15280">
      <c r="A15280" s="1">
        <v>4.0</v>
      </c>
      <c r="B15280" s="1" t="s">
        <v>15114</v>
      </c>
      <c r="C15280" t="str">
        <f>IFERROR(__xludf.DUMMYFUNCTION("GOOGLETRANSLATE(B15280, ""zh"", ""en"")"),"My wife did not like a general toothbrush head is good, that is, plan a cheap, low-end which should belong to the Philips")</f>
        <v>My wife did not like a general toothbrush head is good, that is, plan a cheap, low-end which should belong to the Philips</v>
      </c>
    </row>
    <row r="15281">
      <c r="A15281" s="1">
        <v>4.0</v>
      </c>
      <c r="B15281" s="1" t="s">
        <v>15115</v>
      </c>
      <c r="C15281" t="str">
        <f>IFERROR(__xludf.DUMMYFUNCTION("GOOGLETRANSLATE(B15281, ""zh"", ""en"")"),"Nicaragua yield point slightly thicker. I am 179 cm, 108 kg. Buy 40 * 32, the right size, but long, 30 should be selected appropriate. Pants work in general, personal feel a little thick point.")</f>
        <v>Nicaragua yield point slightly thicker. I am 179 cm, 108 kg. Buy 40 * 32, the right size, but long, 30 should be selected appropriate. Pants work in general, personal feel a little thick point.</v>
      </c>
    </row>
    <row r="15282">
      <c r="A15282" s="1">
        <v>4.0</v>
      </c>
      <c r="B15282" s="1" t="s">
        <v>15116</v>
      </c>
      <c r="C15282" t="str">
        <f>IFERROR(__xludf.DUMMYFUNCTION("GOOGLETRANSLATE(B15282, ""zh"", ""en"")"),"This shoe is great good shoes, good quality.")</f>
        <v>This shoe is great good shoes, good quality.</v>
      </c>
    </row>
    <row r="15283">
      <c r="A15283" s="1">
        <v>5.0</v>
      </c>
      <c r="B15283" s="1" t="s">
        <v>14393</v>
      </c>
      <c r="C15283" t="str">
        <f>IFERROR(__xludf.DUMMYFUNCTION("GOOGLETRANSLATE(B15283, ""zh"", ""en"")"),"Comfort just received the goods, very good value for money. Just received the goods, very good value for money. Just received the goods, very good value for money.")</f>
        <v>Comfort just received the goods, very good value for money. Just received the goods, very good value for money. Just received the goods, very good value for money.</v>
      </c>
    </row>
    <row r="15284">
      <c r="A15284" s="1">
        <v>5.0</v>
      </c>
      <c r="B15284" s="1" t="s">
        <v>15117</v>
      </c>
      <c r="C15284" t="str">
        <f>IFERROR(__xludf.DUMMYFUNCTION("GOOGLETRANSLATE(B15284, ""zh"", ""en"")"),"When Pa face, a handkerchief, wipe your mouth with a tissue to get rid of my mother's face when par habits, handkerchief, wipe your mouth with a tissue to get rid of her mother's habit!")</f>
        <v>When Pa face, a handkerchief, wipe your mouth with a tissue to get rid of my mother's face when par habits, handkerchief, wipe your mouth with a tissue to get rid of her mother's habit!</v>
      </c>
    </row>
    <row r="15285">
      <c r="A15285" s="1">
        <v>5.0</v>
      </c>
      <c r="B15285" s="1" t="s">
        <v>7964</v>
      </c>
      <c r="C15285" t="str">
        <f>IFERROR(__xludf.DUMMYFUNCTION("GOOGLETRANSLATE(B15285, ""zh"", ""en"")"),"Satisfaction appropriate satisfaction")</f>
        <v>Satisfaction appropriate satisfaction</v>
      </c>
    </row>
    <row r="15286">
      <c r="A15286" s="1">
        <v>5.0</v>
      </c>
      <c r="B15286" s="1" t="s">
        <v>15118</v>
      </c>
      <c r="C15286" t="str">
        <f>IFERROR(__xludf.DUMMYFUNCTION("GOOGLETRANSLATE(B15286, ""zh"", ""en"")"),"Philips is rich in good brush group, we will continue to buy.")</f>
        <v>Philips is rich in good brush group, we will continue to buy.</v>
      </c>
    </row>
    <row r="15287">
      <c r="A15287" s="1">
        <v>5.0</v>
      </c>
      <c r="B15287" s="1" t="s">
        <v>15119</v>
      </c>
      <c r="C15287" t="str">
        <f>IFERROR(__xludf.DUMMYFUNCTION("GOOGLETRANSLATE(B15287, ""zh"", ""en"")"),"6 Bureau of Radio, solar-powered, high cost ah! Junior high school nephew to buy, not to send, wearing their first few days, I feel good, like nephew also expected! Instructions for several languages, is not Chinese. Fortunately, however, go casio officia"&amp;"l website will be able to download the pdf version of the manual, very convenient! When the wave of the hand test several times failed, and later directly tied to the railing of the balcony, looking up the next morning and she automatically get to!")</f>
        <v>6 Bureau of Radio, solar-powered, high cost ah! Junior high school nephew to buy, not to send, wearing their first few days, I feel good, like nephew also expected! Instructions for several languages, is not Chinese. Fortunately, however, go casio official website will be able to download the pdf version of the manual, very convenient! When the wave of the hand test several times failed, and later directly tied to the railing of the balcony, looking up the next morning and she automatically get to!</v>
      </c>
    </row>
    <row r="15288">
      <c r="A15288" s="1">
        <v>5.0</v>
      </c>
      <c r="B15288" s="1" t="s">
        <v>15120</v>
      </c>
      <c r="C15288" t="str">
        <f>IFERROR(__xludf.DUMMYFUNCTION("GOOGLETRANSLATE(B15288, ""zh"", ""en"")"),"There is a greenish color pictures, in-kind is gray. Usually wear the code more, see comment to buy s. Very fit. Slim models sweater, traces smooth, relatively loose thread, not wash, do not know will not talk about the comments as lint balls.")</f>
        <v>There is a greenish color pictures, in-kind is gray. Usually wear the code more, see comment to buy s. Very fit. Slim models sweater, traces smooth, relatively loose thread, not wash, do not know will not talk about the comments as lint balls.</v>
      </c>
    </row>
    <row r="15289">
      <c r="A15289" s="1">
        <v>5.0</v>
      </c>
      <c r="B15289" s="1" t="s">
        <v>15121</v>
      </c>
      <c r="C15289" t="str">
        <f>IFERROR(__xludf.DUMMYFUNCTION("GOOGLETRANSLATE(B15289, ""zh"", ""en"")"),"Usually pretty good shoes to wear 42 sports or outdoor wear shoes 42 and a half to buy 43 of the United States Code shoes in front of an empty number 943 refers to the skin of a rigid probably need to wear some will be more comfortable thick soles of shoe"&amp;"s forefoot normal a long walk will not be pushed wide medium weight")</f>
        <v>Usually pretty good shoes to wear 42 sports or outdoor wear shoes 42 and a half to buy 43 of the United States Code shoes in front of an empty number 943 refers to the skin of a rigid probably need to wear some will be more comfortable thick soles of shoes forefoot normal a long walk will not be pushed wide medium weight</v>
      </c>
    </row>
    <row r="15290">
      <c r="A15290" s="1">
        <v>5.0</v>
      </c>
      <c r="B15290" s="1" t="s">
        <v>15122</v>
      </c>
      <c r="C15290" t="str">
        <f>IFERROR(__xludf.DUMMYFUNCTION("GOOGLETRANSLATE(B15290, ""zh"", ""en"")"),"Good quality shoes, quality and style are all I need, yes")</f>
        <v>Good quality shoes, quality and style are all I need, yes</v>
      </c>
    </row>
    <row r="15291">
      <c r="A15291" s="1">
        <v>5.0</v>
      </c>
      <c r="B15291" s="1" t="s">
        <v>15123</v>
      </c>
      <c r="C15291" t="str">
        <f>IFERROR(__xludf.DUMMYFUNCTION("GOOGLETRANSLATE(B15291, ""zh"", ""en"")"),"Complex revealed a delicate domestic wear this is the same size as the country with 29 of the fabric pants without conversion bit like a very thick wire work is very complicated and very comfortable very fine")</f>
        <v>Complex revealed a delicate domestic wear this is the same size as the country with 29 of the fabric pants without conversion bit like a very thick wire work is very complicated and very comfortable very fine</v>
      </c>
    </row>
    <row r="15292">
      <c r="A15292" s="1">
        <v>5.0</v>
      </c>
      <c r="B15292" s="1" t="s">
        <v>15124</v>
      </c>
      <c r="C15292" t="str">
        <f>IFERROR(__xludf.DUMMYFUNCTION("GOOGLETRANSLATE(B15292, ""zh"", ""en"")"),"With a good friend of her children home eczema, has been in use")</f>
        <v>With a good friend of her children home eczema, has been in use</v>
      </c>
    </row>
    <row r="15293">
      <c r="A15293" s="1">
        <v>5.0</v>
      </c>
      <c r="B15293" s="1" t="s">
        <v>15125</v>
      </c>
      <c r="C15293" t="str">
        <f>IFERROR(__xludf.DUMMYFUNCTION("GOOGLETRANSLATE(B15293, ""zh"", ""en"")"),"Offer some more like &lt;div id = ""video-block-RHXQ68LSX62G9"" class = ""a-section a-spacing-small a-spacing-top-mini video-block""&gt; &lt;div tabindex = ""0"" class = ""airy airy-svg vmin-unsupported airy-skin-beacon"" style = ""background-color: rgb (0, 0, 0);"&amp;" position: relative; width: 100%; height: 100%; font-size: 0px; overflow: hidden; outline: none; ""&gt; &lt;div class ="" airy-renderer-container ""style ="" position: relative; height: 100%; width: 100%; ""&gt; &lt;video id ="" 39 ""preload ="" auto ""src ="" https:"&amp;"//images-cn.ssl-images-amazon.com/images/I/91tdsiQycpS.mp4 ""style ="" position: absolute; left: 0px; top: 0px; overflow: hidden; height: 1px; width: 1px; ""&gt; &lt;/ video&gt; &lt;/ div&gt; &lt;div id ="" airy-slate-preload ""style ="" background-color: rgb (0, 0, 0); ba"&amp;"ckground-image: url (&amp; quot ; https: //images-cn.ssl-images-amazon.com/images/I/61vP-W7tY4S.png&amp;quot;); background-size: contain; background-position: center center; background-repeat: no-repeat; position: absolute; top: 0px; left: 0px; visibility: visibl"&amp;"e; width: 100%; height: 100%; ""&gt; &lt;/ div&gt; &lt;ifra me scrolling = ""no"" frameborder = ""0"" src = ""about: blank"" style = ""display: none;""&gt; &lt;/ iframe&gt; &lt;div tabindex = ""- 1"" class = ""airy-controls-container"" style = ""opacity: 0; visibility: hidden;"""&amp;"&gt; &lt;div tabindex = ""- 1"" class = ""airy-screen-size-toggle airy-fullscreen""&gt; &lt;/ div&gt; &lt;div tabindex = ""- 1"" class = ""airy -container-bottom ""&gt; &lt;div tabindex ="" - 1 ""class ="" airy-track-bar-spacer-left ""style ="" width: 11px; ""&gt; &lt;/ div&gt; &lt;div tabi"&amp;"ndex ="" - 1 ""class = ""airy-play-toggle airy-play"" style = ""width: 12px; margin-right: 12px;""&gt; &lt;/ div&gt; &lt;div tabindex = ""- 1"" class = ""airy-audio-elements"" style = ""float : right; width: 34px; ""&gt; &lt;div tabindex ="" - 1 ""class ="" airy-audio-togg"&amp;"le airy-on ""&gt; &lt;/ div&gt; &lt;div tabindex ="" - 1 ""class ="" airy-audio-container ""style ="" opacity: 0; visibility: hidden; ""&gt; &lt;div tabindex ="" - 1 ""class ="" airy-audio-track-bar ""style ="" height: 80%; ""&gt; &lt;div tabindex ="" - 1 ""class ="" airy-audio-"&amp;"scrubber-bar ""style ="" height:; -: 12px; 85% ""&gt; &lt;/ div&gt; &lt;div tabindex ="" 1 ""class ="" ""style ="" height airy-audio-scrubber bottom: 85%; ""&gt; &lt;/ div&gt; &lt;/ div&gt; &lt;/ div&gt; &lt;/ div&gt; &lt;div tabindex ="" - 1 ""class ="" airy-duration -label ""style ="" float: ri"&amp;"ght; width: 26px; margin-right: 4px; text-align: center; ""&gt; 0:08 &lt;/ div&gt; &lt;div tabindex ="" - 1 ""class ="" airy-track- bar-spacer-right ""style ="" float: right; width: 11px; ""&gt; &lt;/ div&gt; &lt;div tabindex ="" - 1 ""class ="" airy-track-bar-container ""style "&amp;"="" margin-left: 35px ; margin-right: 75px; ""&gt; &lt;div tabindex ="" - 1 ""class ="" airy-track-bar airy-vertical-centering-table ""&gt; &lt;div tabindex ="" - 1 ""class ="" airy-vertical-centering -table-cell ""&gt; &lt;div tabindex ="" - 1 ""class ="" airy-track-bar-e"&amp;"lements ""&gt; &lt;div tabindex ="" - 1 ""class ="" airy-progress-bar ""style ="" width: 100% ; ""&gt; &lt;/ div&gt; &lt;div tabindex ="" - 1 ""class ="" airy-scrubber-bar ""&gt; &lt;/ div&gt; &lt;div tabindex ="" - 1 ""class ="" airy-scrubber ""&gt; &lt;div tabindex ="" -1 ""class ="" airy"&amp;"-scrubber-icon ""&gt; &lt;/ div&gt; &lt;div tabindex ="" - 1 ""class ="" airy-adjusted-aui-tooltip ""style ="" opacity: 0; visibility: hidden; ""&gt; &lt; div tabindex = ""- 1"" class = ""airy-adjusted-aui-tooltip-inner""&gt; &lt;div tabindex = ""- 1"" class = ""airy-current-tim"&amp;"e-label""&gt; 0:00 &lt;/ div&gt; &lt;/ div&gt; &lt;div tabindex = ""- 1"" class = ""airy-adjusted-aui-arrow-border""&gt; &lt;div tabindex = ""- 1"" class = ""airy-adju sted-aui-arrow ""&gt; &lt;/ div&gt; &lt;/ div&gt; &lt;/ div&gt; &lt;/ div&gt; &lt;/ div&gt; &lt;/ div&gt; &lt;/ div&gt; &lt;/ div&gt; &lt;/ div&gt; &lt;/ div&gt; &lt;div tabinde"&amp;"x = ""- 1"" class = ""airy-age-gate airy-stage airy-vertical-centering-table airy-dialog"" style = ""opacity: 0; visibility: hidden;""&gt; &lt;div tabindex = ""- 1"" class = ""airy-age-gate-vertical-centering-table-cell airy-vertical-centering-table-cell""&gt; &lt;di"&amp;"v tabindex = ""- 1"" class = ""airy-vertical-centering-wrapper airy-age-gate-elements -wrapper ""&gt; &lt;div tabindex ="" - 1 ""class ="" airy-age-gate-elements airy-dialog-elements ""&gt; &lt;div tabindex ="" - 1 ""class ="" airy-age-gate-prompt ""&gt; This video is n"&amp;"ot intended for all audiences What date were you born &lt;/ div&gt; &lt;div tabindex = ""- 1"" class = ""airy-age-gate-inputs airy-dialog-inner-elements""&gt;.? &lt;select tabindex = "" -1 ""class ="" airy-age-gate-month ""&gt; &lt;option value ="" 1 ""&gt; January &lt;/ option&gt; &lt;o"&amp;"ption value ="" 2 ""&gt; February &lt;/ option&gt; &lt;option value ="" 3 ""&gt; March &lt;/ option&gt; &lt;option value = ""4""&gt; April &lt;/ option&gt; &lt;option value = ""5""&gt; May &lt;/ option&gt; &lt;option value = ""6""&gt; June &lt;/ option&gt; &lt;option value = ""7"" &gt; July &lt;/ option&gt; &lt;option value ="&amp;" ""8""&gt; August &lt;/ option&gt; &lt;option value = ""9 ""&gt; September &lt;/ option&gt; &lt;option value ="" 10 ""&gt; October &lt;/ option&gt; &lt;option value ="" 11 ""&gt; November &lt;/ option&gt; &lt;option value ="" 12 ""&gt; December &lt;/ option&gt; &lt;/ select&gt; &lt;select tabindex = ""- 1"" class = ""ai"&amp;"ry-age-gate-day""&gt; &lt;option value = ""1""&gt; 1 &lt;/ option&gt; &lt;option value = ""2""&gt; 2 &lt;/ option&gt; &lt;option value = ""3""&gt; 3 &lt;/ option&gt; &lt;option value = ""4""&gt; 4 &lt;/ option&gt; &lt;option value = ""5""&gt; 5 &lt;/ option&gt; &lt;option value = ""6""&gt; 6 &lt;/ option&gt; &lt;option value = ""7"&amp;"""&gt; 7 &lt;/ option&gt; &lt;option value = ""8""&gt; 8 &lt;/ option&gt; &lt;option value = ""9""&gt; 9 &lt;/ option&gt; &lt;option value = ""10""&gt; 10 &lt;/ option&gt; &lt;option value = ""11""&gt; 11 &lt;/ option&gt; &lt;option value = ""12""&gt; 12 &lt;/ option&gt; &lt;option value = ""13""&gt; 13 &lt;/ option&gt; &lt;option value "&amp;"= ""14""&gt; 14 &lt;/ option&gt; &lt;option value = ""15""&gt; 15 &lt;/ option&gt; &lt;option value = ""16""&gt; 16 &lt;/ option&gt; &lt;option value = ""17""&gt; 17 &lt;/ option&gt; &lt;option value = ""18""&gt; 18 &lt;/ option&gt; &lt;option value = ""19""&gt; 19 &lt;/ option&gt; &lt;option value = ""20""&gt; 20 &lt;/ option&gt; &lt;op"&amp;"tion value = ""21""&gt; 21 &lt;/ option&gt; &lt;option value = ""22"" &gt; 22 &lt;/ option&gt; &lt;option value = ""23""&gt; 23 &lt;/ option&gt; &lt;option value = ""24""&gt; 24 &lt;/ option&gt; &lt;option value = ""25""&gt; 25 &lt;/ option&gt; &lt;option value = "" 26 ""&gt; 26 &lt;/ option&gt; &lt;option value ="" 27 ""&gt; 27"&amp;" &lt;/ option&gt; &lt;option value ="" 28 ""&gt; 28 &lt;/ o ption&gt; &lt;option value = ""29""&gt; 29 &lt;/ option&gt; &lt;option value = ""30""&gt; 30 &lt;/ option&gt; &lt;option value = ""31""&gt; 31 &lt;/ option&gt; &lt;/ select&gt; &lt;select tabindex = "" -1 ""class ="" airy-age-gate-year ""&gt; &lt;option value ="" "&amp;"2019 ""&gt; 2019 &lt;/ option&gt; &lt;option value ="" 2018 ""&gt; 2018 &lt;/ option&gt; &lt;option value ="" 2017 ""&gt; 2017 &lt;/ option&gt; &lt;option value = ""2016""&gt; ​​2016 &lt;/ option&gt; &lt;option value = ""2015""&gt; 2015 &lt;/ option&gt; &lt;option value = ""2014""&gt; 2014 &lt;/ option&gt; &lt;option value = "&amp;"""2013"" &gt; 2013 &lt;/ option&gt; &lt;option value = ""2012""&gt; 2012 &lt;/ option&gt; &lt;option value = ""2011""&gt; 2011 &lt;/ option&gt; &lt;option value = ""2010""&gt; 2010 &lt;/ option&gt; &lt;option value = "" 2009 ""&gt; 2009 &lt;/ option&gt; &lt;option value ="" 2008 ""&gt; 2008 &lt;/ option&gt; &lt;option value ="&amp;""" 2007 ""&gt; 2007 &lt;/ option&gt; &lt;option value ="" 2006 ""&gt; 2006 &lt;/ option&gt; &lt;option value = ""2005""&gt; 2005 &lt;/ option&gt; &lt;option value = ""2004""&gt; 2004 &lt;/ option&gt; &lt;option value = ""2003""&gt; 2003 &lt;/ option&gt; &lt;option value = ""2002""&gt; 2002 &lt;/ option&gt; &lt; option value ="&amp;" ""2001""&gt; 2001 &lt;/ option&gt; &lt;option value = ""2000""&gt; 2000 &lt;/ option&gt; &lt;option value = ""1999""&gt; 1999 &lt;/ option&gt; &lt;option value = ""1998""&gt; 1998 &lt;/ option &gt; &lt;option value = ""1997""&gt; 1997 &lt;/ option&gt; &lt;option value = ""1996""&gt; 1996 &lt;/ option&gt; &lt;option value = "&amp;"""1995""&gt; 1995 &lt;/ opt ion&gt; &lt;option value = ""1994""&gt; 1994 &lt;/ option&gt; &lt;option value = ""1993""&gt; 1993 &lt;/ option&gt; &lt;option value = ""1992""&gt; 1992 &lt;/ option&gt; &lt;option value = ""1991""&gt; 1991 &lt;/ option&gt; &lt;option value = ""1990""&gt; 1990 &lt;/ option&gt; &lt;option value = """&amp;"1989""&gt; 1989 &lt;/ option&gt; &lt;option value = ""1988""&gt; 1988 &lt;/ option&gt; &lt;option value = ""1987"" &gt; 1987 &lt;/ option&gt; &lt;option value = ""1986""&gt; 1986 &lt;/ option&gt; &lt;option value = ""1985""&gt; 1985 &lt;/ option&gt; &lt;option value = ""1984""&gt; 1984 &lt;/ option&gt; &lt;option value = "" 1"&amp;"983 ""&gt; 1983 &lt;/ option&gt; &lt;option value ="" 1982 ""&gt; 1982 &lt;/ option&gt; &lt;option value ="" 1981 ""&gt; 1981 &lt;/ option&gt; &lt;option value ="" 1980 ""&gt; 1980 &lt;/ option&gt; &lt;option value = ""1979""&gt; 1979 &lt;/ option&gt; &lt;option value = ""1978""&gt; 1978 &lt;/ option&gt; &lt;option value = """&amp;"1977""&gt; 1977 &lt;/ option&gt; &lt;option value = ""1976""&gt; 1976 &lt;/ option&gt; &lt; option value = ""1975""&gt; 1975 &lt;/ option&gt; &lt;option value = ""1974""&gt; 1974 &lt;/ option&gt; &lt;option value = ""1973""&gt; 1973 &lt;/ option&gt; &lt;option value = ""1972""&gt; 1972 &lt;/ option &gt; &lt;option value = ""1"&amp;"971""&gt; 1971 &lt;/ option&gt; &lt;option value = ""1970""&gt; 1970 &lt;/ option&gt; &lt;option value = ""1969""&gt; 1969 &lt;/ option&gt; &lt;option value = ""1968""&gt; 1968 &lt; / option&gt; &lt;option value = ""1967""&gt; 1967 &lt;/ option&gt; &lt;option value = ""1966""&gt; 1966 &lt;/ option&gt; &lt;option va lue = ""19"&amp;"65""&gt; 1965 &lt;/ option&gt; &lt;option value = ""1964""&gt; 1964 &lt;/ option&gt; &lt;option value = ""1963""&gt; 1963 &lt;/ option&gt; &lt;option value = ""1962""&gt; 1962 &lt;/ option&gt; &lt;option value = ""1961""&gt; 1961 &lt;/ option&gt; &lt;option value = ""1960""&gt; 1960 &lt;/ option&gt; &lt;option value = ""1959"&amp;"""&gt; 1959 &lt;/ option&gt; &lt;option value = ""1958""&gt; 1958 &lt;/ option&gt; &lt;option value = ""1957""&gt; 1957 &lt;/ option&gt; &lt;option value = ""1956""&gt; 1956 &lt;/ option&gt; &lt;option value = ""1955""&gt; 1955 &lt;/ option&gt; &lt;option value = ""1954""&gt; 1954 &lt;/ option&gt; &lt;option value = ""1953""&gt;"&amp;" 1953 &lt;/ option&gt; &lt;option value = ""1952""&gt; 1952 &lt;/ option&gt; &lt;option value = ""1951""&gt; 1951 &lt;/ option&gt; &lt;option value = ""1950"" &gt; 1950 &lt;/ option&gt; &lt;option value = ""1949""&gt; 1949 &lt;/ option&gt; &lt;option value = ""1948""&gt; 1948 &lt;/ option&gt; &lt;option value = ""1947""&gt; 1"&amp;"947 &lt;/ option&gt; &lt;option value = "" 1946 ""&gt; 1946 &lt;/ option&gt; &lt;option value ="" 1945 ""&gt; 1945 &lt;/ option&gt; &lt;option value ="" 1944 ""&gt; 1944 &lt;/ option&gt; &lt;option value ="" 1943 ""&gt; 1943 &lt;/ option&gt; &lt;option value = ""1942""&gt; 1942 &lt;/ option&gt; &lt;option value = ""1941""&gt;"&amp;" 1941 &lt;/ option&gt; &lt;option value = ""1940""&gt; 1940 &lt;/ option&gt; &lt;option value = ""1939""&gt; 1939 &lt;/ option&gt; &lt; option value = ""1938""&gt; 1938 &lt;/ option&gt; &lt;option value = ""1937""&gt; 1937 &lt;/ option&gt; &lt;option value = ""1936""&gt; 193 6 &lt;/ option&gt; &lt;option value = ""1935""&gt; "&amp;"1935 &lt;/ option&gt; &lt;option value = ""1934""&gt; 1934 &lt;/ option&gt; &lt;option value = ""1933""&gt; 1933 &lt;/ option&gt; &lt;option value = ""1932 ""&gt; 1932 &lt;/ option&gt; &lt;option value ="" 1931 ""&gt; 1931 &lt;/ option&gt; &lt;option value ="" 1930 ""&gt; 1930 &lt;/ option&gt; &lt;option value ="" 1929 ""&gt;"&amp;" 1929 &lt;/ option&gt; &lt;option value = ""1928""&gt; 1928 &lt;/ option&gt; &lt;option value = ""1927""&gt; 1927 &lt;/ option&gt; &lt;option value = ""1926""&gt; 1926 &lt;/ option&gt; &lt;option value = ""1925""&gt; 1925 &lt;/ option&gt; &lt;option value = ""1924""&gt; 1924 &lt;/ option&gt; &lt;option value = ""1923""&gt; 19"&amp;"23 &lt;/ option&gt; &lt;option value = ""1922""&gt; 1922 &lt;/ option&gt; &lt;option value = ""1921""&gt; 1921 &lt;/ option&gt; &lt;option value = ""1920""&gt; 1920 &lt;/ option&gt; &lt;option value = ""1919""&gt; 1919 &lt;/ option&gt; &lt;option value = ""1918""&gt; 1918 &lt;/ option&gt; &lt;option value = ""1917""&gt; 1917 "&amp;"&lt;/ option&gt; &lt;option value = ""1916""&gt; 1916 &lt;/ option&gt; &lt;option value = ""1915""&gt; 1915 &lt;/ option&gt; &lt;option value = ""1914""&gt; 1914 &lt;/ option&gt; &lt;option value = ""1913""&gt; 1913 &lt;/ option&gt; &lt;option value = ""1912""&gt; 1912 &lt;/ option&gt; &lt;option value = ""1911""&gt; 1911 &lt;/ "&amp;"option&gt; &lt;option value = ""1910""&gt; 1910 &lt;/ option&gt; &lt;option value = ""1909"" &gt; 1909 &lt;/ option&gt; &lt;option value = ""1908""&gt; 1908 &lt;/ option&gt; &lt;option value = ""1907""&gt; 1907 &lt;/ option&gt; &lt;opt ion value = ""1906""&gt; 1906 &lt;/ option&gt; &lt;option value = ""1905""&gt; 1905 &lt;/ o"&amp;"ption&gt; &lt;option value = ""1904""&gt; 1904 &lt;/ option&gt; &lt;option value = ""1903""&gt; 1903 &lt;/ option &gt; &lt;option value = ""1902""&gt; 1902 &lt;/ option&gt; &lt;option value = ""1901""&gt; 1901 &lt;/ option&gt; &lt;option value = ""1900""&gt; 1900 &lt;/ option&gt; &lt;/ select&gt; &lt;div tabindex = ""- 1 ""cl"&amp;"ass ="" airy-age-gate-submit airy-submit airy-button airy-submit-disabled ""&gt; Submit &lt;/ div&gt; &lt;/ div&gt; &lt;/ div&gt; &lt;/ div&gt; &lt;/ div&gt; &lt;/ div&gt; &lt;div tabindex = ""- 1"" class = ""airy-install-flash-dialog airy-stage airy-vertical-centering-table airy-dialog airy-deni"&amp;"ed"" style = ""opacity: 0; visibility: hidden;""&gt; &lt;div tabindex = ""- 1"" class = ""airy-install-flash-vertical-centering-table-cell airy-vertical-centering-table-cell""&gt; &lt;div tabindex = ""- 1"" class = ""airy-vertical-centering- wrapper airy-install-flas"&amp;"h-elements-wrapper ""&gt; &lt;div tabindex ="" - 1 ""class ="" airy-install-flash-elements airy-dialog-elements ""&gt; &lt;div tabindex ="" - 1 ""class ="" airy- install-flash-prompt ""&gt; Adobe Flash Player is required to watch this video &lt;/ div&gt; &lt;div tabindex =."" - "&amp;"1 ""class ="" airy-install-flash-button-wrapper airy-dialog- inner-elements ""&gt; &lt;div tabindex ="" - 1 ""class ="" airy-install-flash-button airy-button ""&gt; Install Flash Player &lt;/ div&gt; &lt;/ div&gt; &lt;/ div&gt; &lt;/ div&gt; &lt;/ div &gt; &lt;/ div&gt; &lt;div tabindex = ""- 1"" class"&amp;" = ""airy-video-unsupported-dialog airy-stage airy-vertical-centering-table airy-dialog airy-denied"" style = ""opacity: 0; visibility: hidden ; ""&gt; &lt;div tabindex ="" - 1 ""class ="" airy-video-unsupported-vertical-centering-table-cell airy-vertical-cente"&amp;"ring-table-cell ""&gt; &lt;div tabindex ="" - 1 ""class ="" airy -vertical-centering-wrapper airy-video-unsupported-elements-wrapper ""&gt; &lt;div tabindex ="" - 1 ""class ="" airy-video-unsupported-elements airy-dialog-elements ""&gt; &lt;div tabindex ="" - 1 "" class = "&amp;"""airy-video-unsupported-prompt""&gt; &lt;/ div&gt; &lt;/ div&gt; &lt;/ div&gt; &lt;/ div&gt; &lt;/ div&gt; &lt;div tabindex = ""- 1"" class = ""airy-loading-spinner-stage airy-stage ""&gt; &lt;div tabindex ="" - 1 ""class ="" airy-loading-spinner-vertical-centering-table-cell airy-vertical-cente"&amp;"ring-table-cell ""&gt; &lt;div tabindex ="" - 1 ""class = ""airy-loading-spinner-container airy-scalable-hint-container""&gt; &lt;div tabindex = ""- 1"" class = ""airy-loading-spinner-dummy ai ry-scalable-dummy ""&gt; &lt;/ div&gt; &lt;div tabindex ="" - 1 ""class ="" airy-loadi"&amp;"ng-spinner airy-hint ""style ="" visibility: hidden; ""&gt; &lt;/ div&gt; &lt;/ div&gt; &lt;/ div&gt; &lt;/ div&gt; &lt;div tabindex = ""- 1"" class = ""airy-ads-screen-size-toggle airy-screen-size-toggle airy-fullscreen"" style = ""visibility: hidden;""&gt; &lt;/ div&gt; &lt;div tabindex = ""- 1"&amp;""" class = ""airy-ad-prompt-container"" style = ""visibility: hidden;""&gt; &lt;div tabindex = ""- 1"" class = ""airy-ad-prompt-vertical-centering-table airy-vertical-centering-table ""&gt; &lt;div tabindex ="" - 1 ""class ="" airy-ad-prompt-vertical-centering-table-"&amp;"cell airy-vertical-centering-table-cell ""&gt; &lt;div tabindex ="" - 1 ""class ="" airy-ad-prompt-label ""&gt; &lt;/ div&gt; &lt;/ div&gt; &lt;/ div&gt; &lt;/ div&gt; &lt;div tabindex ="" - 1 ""class ="" airy-ads-controls-container ""style = ""visibility: hidden;""&gt; &lt;div tabindex = ""- 1"""&amp;" class = ""airy-ads-audio-toggle airy-audio-toggle airy-on"" style = ""visibility: hidden;""&gt; &lt;/ div&gt; &lt;div tabindex = ""- 1"" class = ""airy-time-remaining-label-container""&gt; &lt;div tabindex = ""- 1"" class = ""airy-time-remaining-vertical-centering-table a"&amp;"iry-vertical-centering-table"" &gt; &lt;div tabindex = ""- 1"" clas s = ""airy-time-remaining-vertical-centering-table-cell airy-vertical-centering-table-cell""&gt; &lt;div tabindex = ""- 1"" class = ""airy-vertical-centering-wrapper airy-time-remaining -label-wrappe"&amp;"r ""&gt; &lt;div tabindex ="" - 1 ""class ="" airy-time-remaining-label ""style ="" visibility: hidden; ""&gt; &lt;/ div&gt; &lt;div tabindex ="" - 1 ""class ="" airy -ad-skip ""style ="" visibility: hidden; ""&gt; &lt;/ div&gt; &lt;div tabindex ="" - 1 ""class ="" airy-ad-end ""style"&amp;" ="" visibility: hidden; ""&gt; &lt;/ div&gt; &lt;/ div&gt; &lt;/ div&gt; &lt;/ div&gt; &lt;/ div&gt; &lt;div tabindex = ""- 1"" class = ""airy-learn-more"" style = ""visibility: hidden;""&gt; &lt;/ div&gt; &lt;/ div&gt; &lt;div tabindex = ""- 1"" class = ""airy-play-toggle-hint-stage airy-stage airy-cursor"&amp;"""&gt; &lt;div tabindex = ""- 1"" class = ""airy-play-toggle-hint-vertical-centering-table -cell airy-vertical-centering-table-cell airy-cursor ""&gt; &lt;div tabindex ="" - 1 ""class ="" airy-play-toggle-hint-container airy-scalable-hint-container ""&gt; &lt;div tabindex "&amp;"="" -1 ""class ="" airy-play-toggle-hint-dummy airy-scalable-dummy ""&gt; &lt;/ div&gt; &lt;div tabindex ="" - 1 ""class ="" airy-play-toggle-hint airy-hint airy-play -hint ""style ="" opacity: 1; visibility: visible; ""&gt; &lt;/ div&gt; &lt;/ div&gt; &lt;/ div&gt; &lt;/ div&gt; &lt;div tabindex"&amp;" ="" - 1 ""class ="" airy-replay-hint-stage airy-stage ""style ="" visibility: hidden; "" &gt; &lt;div tabindex = ""- 1"" class = ""airy-replay-hint-vertical-centering-table-cell airy-vertical-centering-table-cell airy-cursor""&gt; &lt;div tabindex = ""- 1"" class = "&amp;""" airy-replay-hint-container airy-scalable-hint-container ""&gt; &lt;div tabindex ="" - 1 ""class ="" airy-replay-hint-dummy airy-scalable-dummy ""&gt; &lt;/ div&gt; &lt;div tabindex ="" -1 ""class ="" airy-replay-hint airy-hint ""&gt; &lt;/ div&gt; &lt;/ div&gt; &lt;/ div&gt; &lt;/ div&gt; &lt;div ta"&amp;"bindex ="" - 1 ""class ="" airy-autoplay-hint-stage airy-stage ""style ="" visibility: hidden; ""&gt; &lt;div tabindex ="" - 1 ""class ="" airy-autoplay-hint-vertical-centering-table-cell airy-vertical-centering-table-cell airy-cursor "" &gt; &lt;div tabindex = ""- 1"&amp;""" class = ""airy-autoplay-hint-container airy-scalable-hint-container""&gt; &lt;div tabindex = ""- 1"" class = ""airy-autoplay-hint-dummy airy-scalable- dummy ""&gt; &lt;/ div&gt; &lt;/ div&gt; &lt;/ div&gt; &lt;/ div&gt; &lt;/ div&gt; &lt;/ div&gt; &lt;input type ="" hidden ""name ="" ""value ="" htt"&amp;"ps: //images-cn.ssl -images-amazon.com/images/I/91tdsiQycpS.mp4 ""class ="" vi deo-url ""&gt; &lt;input type ="" hidden ""name ="" ""value ="" https://images-cn.ssl-images-amazon.com/images/I/61vP-W7tY4S.png ""class ="" video- slate-img-url ""&gt; &amp; nbsp; value fo"&amp;"r money")</f>
        <v>Offer some more like &lt;div id = "video-block-RHXQ68LSX62G9" class = "a-section a-spacing-small a-spacing-top-mini video-block"&gt; &lt;div tabindex = "0" class = "airy airy-svg vmin-unsupported airy-skin-beacon" style = "background-color: rgb (0, 0, 0); position: relative; width: 100%; height: 100%; font-size: 0px; overflow: hidden; outline: none; "&gt; &lt;div class =" airy-renderer-container "style =" position: relative; height: 100%; width: 100%; "&gt; &lt;video id =" 39 "preload =" auto "src =" https://images-cn.ssl-images-amazon.com/images/I/91tdsiQycpS.mp4 "style =" position: absolute; left: 0px; top: 0px; overflow: hidden; height: 1px; width: 1px; "&gt; &lt;/ video&gt; &lt;/ div&gt; &lt;div id =" airy-slate-preload "style =" background-color: rgb (0, 0, 0); background-image: url (&amp; quot ; https: //images-cn.ssl-images-amazon.com/images/I/61vP-W7tY4S.png&amp;quot;); background-size: contain; background-position: center center; background-repeat: no-repeat; position: absolute; top: 0px; left: 0px; visibility: visible; width: 100%; height: 100%; "&gt; &lt;/ div&gt; &lt;ifra me scrolling = "no" frameborder = "0" src = "about: blank" style = "display: none;"&gt; &lt;/ iframe&gt; &lt;div tabindex = "- 1" class = "airy-controls-container" style = "opacity: 0; visibility: hidden;"&gt; &lt;div tabindex = "- 1" class = "airy-screen-size-toggle airy-fullscreen"&gt; &lt;/ div&gt; &lt;div tabindex = "- 1" class = "airy -container-bottom "&gt; &lt;div tabindex =" - 1 "class =" airy-track-bar-spacer-left "style =" width: 11px; "&gt; &lt;/ div&gt; &lt;div tabindex =" - 1 "class = "airy-play-toggle airy-play" style = "width: 12px; margin-right: 12px;"&gt; &lt;/ div&gt; &lt;div tabindex = "- 1" class = "airy-audio-elements" style = "float : right; width: 34px; "&gt; &lt;div tabindex =" - 1 "class =" airy-audio-toggle airy-on "&gt; &lt;/ div&gt; &lt;div tabindex =" - 1 "class =" airy-audio-container "style =" opacity: 0; visibility: hidden; "&gt; &lt;div tabindex =" - 1 "class =" airy-audio-track-bar "style =" height: 80%; "&gt; &lt;div tabindex =" - 1 "class =" airy-audio-scrubber-bar "style =" height:; -: 12px; 85% "&gt; &lt;/ div&gt; &lt;div tabindex =" 1 "class =" "style =" height airy-audio-scrubber bottom: 85%; "&gt; &lt;/ div&gt; &lt;/ div&gt; &lt;/ div&gt; &lt;/ div&gt; &lt;div tabindex =" - 1 "class =" airy-duration -label "style =" float: right; width: 26px; margin-right: 4px; text-align: center; "&gt; 0:08 &lt;/ div&gt; &lt;div tabindex =" - 1 "class =" airy-track- bar-spacer-right "style =" float: right; width: 11px; "&gt; &lt;/ div&gt; &lt;div tabindex =" - 1 "class =" airy-track-bar-container "style =" margin-left: 35px ; margin-right: 75px; "&gt; &lt;div tabindex =" - 1 "class =" airy-track-bar airy-vertical-centering-table "&gt; &lt;div tabindex =" - 1 "class =" airy-vertical-centering -table-cell "&gt; &lt;div tabindex =" - 1 "class =" airy-track-bar-elements "&gt; &lt;div tabindex =" - 1 "class =" airy-progress-bar "style =" width: 100% ; "&gt; &lt;/ div&gt; &lt;div tabindex =" - 1 "class =" airy-scrubber-bar "&gt; &lt;/ div&gt; &lt;div tabindex =" - 1 "class =" airy-scrubber "&gt; &lt;div tabindex =" -1 "class =" airy-scrubber-icon "&gt; &lt;/ div&gt; &lt;div tabindex =" - 1 "class =" airy-adjusted-aui-tooltip "style =" opacity: 0; visibility: hidden; "&gt; &lt; div tabindex = "- 1" class = "airy-adjusted-aui-tooltip-inner"&gt; &lt;div tabindex = "- 1" class = "airy-current-time-label"&gt; 0:00 &lt;/ div&gt; &lt;/ div&gt; &lt;div tabindex = "- 1" class = "airy-adjusted-aui-arrow-border"&gt; &lt;div tabindex = "- 1" class = "airy-adju sted-aui-arrow "&gt; &lt;/ div&gt; &lt;/ div&gt; &lt;/ div&gt; &lt;/ div&gt; &lt;/ div&gt; &lt;/ div&gt; &lt;/ div&gt; &lt;/ div&gt; &lt;/ div&gt; &lt;/ div&gt; &lt;div tabindex = "- 1" class = "airy-age-gate airy-stage airy-vertical-centering-table airy-dialog" style = "opacity: 0; visibility: hidden;"&gt; &lt;div tabindex = "- 1" class = "airy-age-gate-vertical-centering-table-cell airy-vertical-centering-table-cell"&gt; &lt;div tabindex = "- 1" class = "airy-vertical-centering-wrapper airy-age-gate-elements -wrapper "&gt; &lt;div tabindex =" - 1 "class =" airy-age-gate-elements airy-dialog-elements "&gt; &lt;div tabindex =" - 1 "class =" airy-age-gate-prompt "&gt; This video is not intended for all audiences What date were you born &lt;/ div&gt; &lt;div tabindex = "- 1" class = "airy-age-gate-inputs airy-dialog-inner-elements"&gt;.? &lt;select tabindex = " -1 "class =" airy-age-gate-month "&gt; &lt;option value =" 1 "&gt; January &lt;/ option&gt; &lt;option value =" 2 "&gt; February &lt;/ option&gt; &lt;option value =" 3 "&gt; March &lt;/ option&gt; &lt;option value = "4"&gt; April &lt;/ option&gt; &lt;option value = "5"&gt; May &lt;/ option&gt; &lt;option value = "6"&gt; June &lt;/ option&gt; &lt;option value = "7" &gt; July &lt;/ option&gt; &lt;option value = "8"&gt; August &lt;/ option&gt; &lt;option value = "9 "&gt; September &lt;/ option&gt; &lt;option value =" 10 "&gt; October &lt;/ option&gt; &lt;option value =" 11 "&gt; November &lt;/ option&gt; &lt;option value =" 12 "&gt; December &lt;/ option&gt; &lt;/ select&gt; &lt;select tabindex = "- 1" class = "airy-age-gate-day"&gt; &lt;option value = "1"&gt; 1 &lt;/ option&gt; &lt;option value = "2"&gt; 2 &lt;/ option&gt; &lt;option value = "3"&gt; 3 &lt;/ option&gt; &lt;option value = "4"&gt; 4 &lt;/ option&gt; &lt;option value = "5"&gt; 5 &lt;/ option&gt; &lt;option value = "6"&gt; 6 &lt;/ option&gt; &lt;option value = "7"&gt; 7 &lt;/ option&gt; &lt;option value = "8"&gt; 8 &lt;/ option&gt; &lt;option value = "9"&gt; 9 &lt;/ option&gt; &lt;option value = "10"&gt; 10 &lt;/ option&gt; &lt;option value = "11"&gt; 11 &lt;/ option&gt; &lt;option value = "12"&gt; 12 &lt;/ option&gt; &lt;option value = "13"&gt; 13 &lt;/ option&gt; &lt;option value = "14"&gt; 14 &lt;/ option&gt; &lt;option value = "15"&gt; 15 &lt;/ option&gt; &lt;option value = "16"&gt; 16 &lt;/ option&gt; &lt;option value = "17"&gt; 17 &lt;/ option&gt; &lt;option value = "18"&gt; 18 &lt;/ option&gt; &lt;option value = "19"&gt; 19 &lt;/ option&gt; &lt;option value = "20"&gt; 20 &lt;/ option&gt; &lt;option value = "21"&gt; 21 &lt;/ option&gt; &lt;option value = "22" &gt; 22 &lt;/ option&gt; &lt;option value = "23"&gt; 23 &lt;/ option&gt; &lt;option value = "24"&gt; 24 &lt;/ option&gt; &lt;option value = "25"&gt; 25 &lt;/ option&gt; &lt;option value = " 26 "&gt; 26 &lt;/ option&gt; &lt;option value =" 27 "&gt; 27 &lt;/ option&gt; &lt;option value =" 28 "&gt; 28 &lt;/ o ption&gt; &lt;option value = "29"&gt; 29 &lt;/ option&gt; &lt;option value = "30"&gt; 30 &lt;/ option&gt; &lt;option value = "31"&gt; 31 &lt;/ option&gt; &lt;/ select&gt; &lt;select tabindex = " -1 "class =" airy-age-gate-year "&gt; &lt;option value =" 2019 "&gt; 2019 &lt;/ option&gt; &lt;option value =" 2018 "&gt; 2018 &lt;/ option&gt; &lt;option value =" 2017 "&gt; 2017 &lt;/ option&gt; &lt;option value = "2016"&gt; ​​2016 &lt;/ option&gt; &lt;option value = "2015"&gt; 2015 &lt;/ option&gt; &lt;option value = "2014"&gt; 2014 &lt;/ option&gt; &lt;option value = "2013" &gt; 2013 &lt;/ option&gt; &lt;option value = "2012"&gt; 2012 &lt;/ option&gt; &lt;option value = "2011"&gt; 2011 &lt;/ option&gt; &lt;option value = "2010"&gt; 2010 &lt;/ option&gt; &lt;option value = " 2009 "&gt; 2009 &lt;/ option&gt; &lt;option value =" 2008 "&gt; 2008 &lt;/ option&gt; &lt;option value =" 2007 "&gt; 2007 &lt;/ option&gt; &lt;option value =" 2006 "&gt; 2006 &lt;/ option&gt; &lt;option value = "2005"&gt; 2005 &lt;/ option&gt; &lt;option value = "2004"&gt; 2004 &lt;/ option&gt; &lt;option value = "2003"&gt; 2003 &lt;/ option&gt; &lt;option value = "2002"&gt; 2002 &lt;/ option&gt; &lt; option value = "2001"&gt; 2001 &lt;/ option&gt; &lt;option value = "2000"&gt; 2000 &lt;/ option&gt; &lt;option value = "1999"&gt; 1999 &lt;/ option&gt; &lt;option value = "1998"&gt; 1998 &lt;/ option &gt; &lt;option value = "1997"&gt; 1997 &lt;/ option&gt; &lt;option value = "1996"&gt; 1996 &lt;/ option&gt; &lt;option value = "1995"&gt; 1995 &lt;/ opt ion&gt; &lt;option value = "1994"&gt; 1994 &lt;/ option&gt; &lt;option value = "1993"&gt; 1993 &lt;/ option&gt; &lt;option value = "1992"&gt; 1992 &lt;/ option&gt; &lt;option value = "1991"&gt; 1991 &lt;/ option&gt; &lt;option value = "1990"&gt; 1990 &lt;/ option&gt; &lt;option value = "1989"&gt; 1989 &lt;/ option&gt; &lt;option value = "1988"&gt; 1988 &lt;/ option&gt; &lt;option value = "1987" &gt; 1987 &lt;/ option&gt; &lt;option value = "1986"&gt; 1986 &lt;/ option&gt; &lt;option value = "1985"&gt; 1985 &lt;/ option&gt; &lt;option value = "1984"&gt; 1984 &lt;/ option&gt; &lt;option value = " 1983 "&gt; 1983 &lt;/ option&gt; &lt;option value =" 1982 "&gt; 1982 &lt;/ option&gt; &lt;option value =" 1981 "&gt; 1981 &lt;/ option&gt; &lt;option value =" 1980 "&gt; 1980 &lt;/ option&gt; &lt;option value = "1979"&gt; 1979 &lt;/ option&gt; &lt;option value = "1978"&gt; 1978 &lt;/ option&gt; &lt;option value = "1977"&gt; 1977 &lt;/ option&gt; &lt;option value = "1976"&gt; 1976 &lt;/ option&gt; &lt; option value = "1975"&gt; 1975 &lt;/ option&gt; &lt;option value = "1974"&gt; 1974 &lt;/ option&gt; &lt;option value = "1973"&gt; 1973 &lt;/ option&gt; &lt;option value = "1972"&gt; 1972 &lt;/ option &gt; &lt;option value = "1971"&gt; 1971 &lt;/ option&gt; &lt;option value = "1970"&gt; 1970 &lt;/ option&gt; &lt;option value = "1969"&gt; 1969 &lt;/ option&gt; &lt;option value = "1968"&gt; 1968 &lt; / option&gt; &lt;option value = "1967"&gt; 1967 &lt;/ option&gt; &lt;option value = "1966"&gt; 1966 &lt;/ option&gt; &lt;option va lue = "1965"&gt; 1965 &lt;/ option&gt; &lt;option value = "1964"&gt; 1964 &lt;/ option&gt; &lt;option value = "1963"&gt; 1963 &lt;/ option&gt; &lt;option value = "1962"&gt; 1962 &lt;/ option&gt; &lt;option value = "1961"&gt; 1961 &lt;/ option&gt; &lt;option value = "1960"&gt; 1960 &lt;/ option&gt;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"1952"&gt; 1952 &lt;/ option&gt; &lt;option value = "1951"&gt; 1951 &lt;/ option&gt; &lt;option value = "1950" &gt; 1950 &lt;/ option&gt; &lt;option value = "1949"&gt; 1949 &lt;/ option&gt; &lt;option value = "1948"&gt; 1948 &lt;/ option&gt; &lt;option value = "1947"&gt; 1947 &lt;/ option&gt; &lt;option value = " 1946 "&gt; 1946 &lt;/ option&gt; &lt;option value =" 1945 "&gt; 1945 &lt;/ option&gt; &lt;option value =" 1944 "&gt; 1944 &lt;/ option&gt; &lt;option value =" 1943 "&gt; 1943 &lt;/ option&gt; &lt;option value = "1942"&gt; 1942 &lt;/ option&gt; &lt;option value = "1941"&gt; 1941 &lt;/ option&gt; &lt;option value = "1940"&gt; 1940 &lt;/ option&gt; &lt;option value = "1939"&gt; 1939 &lt;/ option&gt; &lt; option value = "1938"&gt; 1938 &lt;/ option&gt; &lt;option value = "1937"&gt; 1937 &lt;/ option&gt; &lt;option value = "1936"&gt; 193 6 &lt;/ option&gt; &lt;option value = "1935"&gt; 1935 &lt;/ option&gt; &lt;option value = "1934"&gt; 1934 &lt;/ option&gt; &lt;option value = "1933"&gt; 1933 &lt;/ option&gt; &lt;option value = "1932 "&gt; 1932 &lt;/ option&gt; &lt;option value =" 1931 "&gt; 1931 &lt;/ option&gt; &lt;option value =" 1930 "&gt; 1930 &lt;/ option&gt; &lt;option value =" 1929 "&gt;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"1915"&gt; 1915 &lt;/ option&gt; &lt;option value = "1914"&gt; 1914 &lt;/ option&gt; &lt;option value = "1913"&gt; 1913 &lt;/ option&gt; &lt;option value = "1912"&gt; 1912 &lt;/ option&gt; &lt;option value = "1911"&gt; 1911 &lt;/ option&gt; &lt;option value = "1910"&gt; 1910 &lt;/ option&gt; &lt;option value = "1909" &gt; 1909 &lt;/ option&gt; &lt;option value = "1908"&gt; 1908 &lt;/ option&gt; &lt;option value = "1907"&gt; 1907 &lt;/ option&gt; &lt;opt ion value = "1906"&gt; 1906 &lt;/ option&gt; &lt;option value = "1905"&gt; 1905 &lt;/ option&gt; &lt;option value = "1904"&gt; 1904 &lt;/ option&gt; &lt;option value = "1903"&gt; 1903 &lt;/ option &gt; &lt;option value = "1902"&gt; 1902 &lt;/ option&gt; &lt;option value = "1901"&gt; 1901 &lt;/ option&gt; &lt;option value = "1900"&gt; 1900 &lt;/ option&gt; &lt;/ select&gt; &lt;div tabindex = "- 1 "class =" airy-age-gate-submit airy-submit airy-button airy-submit-disabled "&gt; Submit &lt;/ div&gt; &lt;/ div&gt; &lt;/ div&gt; &lt;/ div&gt; &lt;/ div&gt; &lt;/ div&gt; &lt;div tabindex = "- 1" class = "airy-install-flash-dialog airy-stage airy-vertical-centering-table airy-dialog airy-denied" style = "opacity: 0; visibility: hidden;"&gt; &lt;div tabindex = "- 1" class = "airy-install-flash-vertical-centering-table-cell airy-vertical-centering-table-cell"&gt; &lt;div tabindex = "- 1" class = "airy-vertical-centering- wrapper airy-install-flash-elements-wrapper "&gt; &lt;div tabindex =" - 1 "class =" airy-install-flash-elements airy-dialog-elements "&gt; &lt;div tabindex =" - 1 "class =" airy- install-flash-prompt "&gt; Adobe Flash Player is required to watch this video &lt;/ div&gt; &lt;div tabindex =." - 1 "class =" airy-install-flash-button-wrapper airy-dialog- inner-elements "&gt; &lt;div tabindex =" - 1 "class =" airy-install-flash-button airy-button "&gt; Install Flash Player &lt;/ div&gt; &lt;/ div&gt; &lt;/ div&gt; &lt;/ div&gt; &lt;/ div &gt; &lt;/ div&gt; &lt;div tabindex = "- 1" class = "airy-video-unsupported-dialog airy-stage airy-vertical-centering-table airy-dialog airy-denied" style = "opacity: 0; visibility: hidden ; "&gt; &lt;div tabindex =" - 1 "class =" airy-video-unsupported-vertical-centering-table-cell airy-vertical-centering-table-cell "&gt; &lt;div tabindex =" - 1 "class =" airy -vertical-centering-wrapper airy-video-unsupported-elements-wrapper "&gt; &lt;div tabindex =" - 1 "class =" airy-video-unsupported-elements airy-dialog-elements "&gt; &lt;div tabindex =" - 1 " class = "airy-video-unsupported-prompt"&gt; &lt;/ div&gt; &lt;/ div&gt; &lt;/ div&gt; &lt;/ div&gt; &lt;/ div&gt; &lt;div tabindex = "- 1" class = "airy-loading-spinner-stage airy-stage "&gt; &lt;div tabindex =" - 1 "class =" airy-loading-spinner-vertical-centering-table-cell airy-vertical-centering-table-cell "&gt; &lt;div tabindex =" - 1 "class = "airy-loading-spinner-container airy-scalable-hint-container"&gt; &lt;div tabindex = "- 1" class = "airy-loading-spinner-dummy ai ry-scalable-dummy "&gt; &lt;/ div&gt; &lt;div tabindex =" - 1 "class =" airy-loading-spinner airy-hint "style =" visibility: hidden; "&gt; &lt;/ div&gt; &lt;/ div&gt; &lt;/ div&gt; &lt;/ div&gt; &lt;div tabindex = "- 1" class = "airy-ads-screen-size-toggle airy-screen-size-toggle airy-fullscreen" style = "visibility: hidden;"&gt; &lt;/ div&gt; &lt;div tabindex = "- 1" class = "airy-ad-prompt-container" style = "visibility: hidden;"&gt; &lt;div tabindex = "- 1" class = "airy-ad-prompt-vertical-centering-table airy-vertical-centering-table "&gt; &lt;div tabindex =" - 1 "class =" airy-ad-prompt-vertical-centering-table-cell airy-vertical-centering-table-cell "&gt; &lt;div tabindex =" - 1 "class =" airy-ad-prompt-label "&gt; &lt;/ div&gt; &lt;/ div&gt; &lt;/ div&gt; &lt;/ div&gt; &lt;div tabindex =" - 1 "class =" airy-ads-controls-container "style = "visibility: hidden;"&gt; &lt;div tabindex = "- 1" class = "airy-ads-audio-toggle airy-audio-toggle airy-on" style = "visibility: hidden;"&gt; &lt;/ div&gt; &lt;div tabindex = "- 1" class = "airy-time-remaining-label-container"&gt; &lt;div tabindex = "- 1" class = "airy-time-remaining-vertical-centering-table airy-vertical-centering-table" &gt; &lt;div tabindex = "- 1" clas s = "airy-time-remaining-vertical-centering-table-cell airy-vertical-centering-table-cell"&gt; &lt;div tabindex = "- 1" class = "airy-vertical-centering-wrapper airy-time-remaining -label-wrapper "&gt; &lt;div tabindex =" - 1 "class =" airy-time-remaining-label "style =" visibility: hidden; "&gt; &lt;/ div&gt; &lt;div tabindex =" - 1 "class =" airy -ad-skip "style =" visibility: hidden; "&gt; &lt;/ div&gt; &lt;div tabindex =" - 1 "class =" airy-ad-end "style =" visibility: hidden; "&gt; &lt;/ div&gt; &lt;/ div&gt; &lt;/ div&gt; &lt;/ div&gt; &lt;/ div&gt; &lt;div tabindex = "- 1" class = "airy-learn-more" style = "visibility: hidden;"&gt; &lt;/ div&gt; &lt;/ div&gt; &lt;div tabindex = "- 1" class = "airy-play-toggle-hint-stage airy-stage airy-cursor"&gt; &lt;div tabindex = "- 1" class = "airy-play-toggle-hint-vertical-centering-table -cell airy-vertical-centering-table-cell airy-cursor "&gt; &lt;div tabindex =" - 1 "class =" airy-play-toggle-hint-container airy-scalable-hint-container "&gt; &lt;div tabindex =" -1 "class =" airy-play-toggle-hint-dummy airy-scalable-dummy "&gt; &lt;/ div&gt; &lt;div tabindex =" - 1 "class =" airy-play-toggle-hint airy-hint airy-play -hint "style =" opacity: 1; visibility: visible; "&gt; &lt;/ div&gt; &lt;/ div&gt; &lt;/ div&gt; &lt;/ div&gt; &lt;div tabindex =" - 1 "class =" airy-replay-hint-stage airy-stage "style =" visibility: hidden; " &gt; &lt;div tabindex = "- 1" class = "airy-replay-hint-vertical-centering-table-cell airy-vertical-centering-table-cell airy-cursor"&gt; &lt;div tabindex = "- 1" class = " airy-replay-hint-container airy-scalable-hint-container "&gt; &lt;div tabindex =" - 1 "class =" airy-replay-hint-dummy airy-scalable-dummy "&gt; &lt;/ div&gt; &lt;div tabindex =" -1 "class =" airy-replay-hint airy-hint "&gt; &lt;/ div&gt; &lt;/ div&gt; &lt;/ div&gt; &lt;/ div&gt; &lt;div tabindex =" - 1 "class =" airy-autoplay-hint-stage airy-stage "style =" visibility: hidden; "&gt; &lt;div tabindex =" - 1 "class =" airy-autoplay-hint-vertical-centering-table-cell airy-vertical-centering-table-cell airy-cursor " &gt; &lt;div tabindex = "- 1" class = "airy-autoplay-hint-container airy-scalable-hint-container"&gt; &lt;div tabindex = "- 1" class = "airy-autoplay-hint-dummy airy-scalable- dummy "&gt; &lt;/ div&gt; &lt;/ div&gt; &lt;/ div&gt; &lt;/ div&gt; &lt;/ div&gt; &lt;/ div&gt; &lt;input type =" hidden "name =" "value =" https: //images-cn.ssl -images-amazon.com/images/I/91tdsiQycpS.mp4 "class =" vi deo-url "&gt; &lt;input type =" hidden "name =" "value =" https://images-cn.ssl-images-amazon.com/images/I/61vP-W7tY4S.png "class =" video- slate-img-url "&gt; &amp; nbsp; value for money</v>
      </c>
    </row>
    <row r="15294">
      <c r="A15294" s="1">
        <v>5.0</v>
      </c>
      <c r="B15294" s="1" t="s">
        <v>15126</v>
      </c>
      <c r="C15294" t="str">
        <f>IFERROR(__xludf.DUMMYFUNCTION("GOOGLETRANSLATE(B15294, ""zh"", ""en"")"),"British edition, very good very good, no black foam, made in UK. Perfect Packaging")</f>
        <v>British edition, very good very good, no black foam, made in UK. Perfect Packaging</v>
      </c>
    </row>
    <row r="15295">
      <c r="A15295" s="1">
        <v>5.0</v>
      </c>
      <c r="B15295" s="1" t="s">
        <v>15127</v>
      </c>
      <c r="C15295" t="str">
        <f>IFERROR(__xludf.DUMMYFUNCTION("GOOGLETRANSLATE(B15295, ""zh"", ""en"")"),"Very good thing nothing wrong with being good with a look")</f>
        <v>Very good thing nothing wrong with being good with a look</v>
      </c>
    </row>
    <row r="15296">
      <c r="A15296" s="1">
        <v>5.0</v>
      </c>
      <c r="B15296" s="1" t="s">
        <v>15128</v>
      </c>
      <c r="C15296" t="str">
        <f>IFERROR(__xludf.DUMMYFUNCTION("GOOGLETRANSLATE(B15296, ""zh"", ""en"")"),"Price is very good with this brand has been scouring the sea is also very easy to recommend a week or so")</f>
        <v>Price is very good with this brand has been scouring the sea is also very easy to recommend a week or so</v>
      </c>
    </row>
    <row r="15297">
      <c r="A15297" s="1">
        <v>5.0</v>
      </c>
      <c r="B15297" s="1" t="s">
        <v>15129</v>
      </c>
      <c r="C15297" t="str">
        <f>IFERROR(__xludf.DUMMYFUNCTION("GOOGLETRANSLATE(B15297, ""zh"", ""en"")"),"A few days after the chase through commentary commentary it, now satisfied, only a bare shoes that have extra gifts")</f>
        <v>A few days after the chase through commentary commentary it, now satisfied, only a bare shoes that have extra gifts</v>
      </c>
    </row>
    <row r="15298">
      <c r="A15298" s="1">
        <v>5.0</v>
      </c>
      <c r="B15298" s="1" t="s">
        <v>15130</v>
      </c>
      <c r="C15298" t="str">
        <f>IFERROR(__xludf.DUMMYFUNCTION("GOOGLETRANSLATE(B15298, ""zh"", ""en"")"),"Pen is very good for the first time to buy defective (pen cap body has paint chips caused suspicion is not new), had to re-order the return, because it is a quality issue, return free of charge, including taxes; second thing is perfect , writing is very s"&amp;"mooth, with a Pike's original ink reservoir, the color a little light, feel like dark green, temporarily did not find a good ink.")</f>
        <v>Pen is very good for the first time to buy defective (pen cap body has paint chips caused suspicion is not new), had to re-order the return, because it is a quality issue, return free of charge, including taxes; second thing is perfect , writing is very smooth, with a Pike's original ink reservoir, the color a little light, feel like dark green, temporarily did not find a good ink.</v>
      </c>
    </row>
    <row r="15299">
      <c r="A15299" s="1">
        <v>5.0</v>
      </c>
      <c r="B15299" s="1" t="s">
        <v>15131</v>
      </c>
      <c r="C15299" t="str">
        <f>IFERROR(__xludf.DUMMYFUNCTION("GOOGLETRANSLATE(B15299, ""zh"", ""en"")"),"In addition to good not dirt, out, size standard")</f>
        <v>In addition to good not dirt, out, size standard</v>
      </c>
    </row>
    <row r="15300">
      <c r="A15300" s="1">
        <v>5.0</v>
      </c>
      <c r="B15300" s="1" t="s">
        <v>15132</v>
      </c>
      <c r="C15300" t="str">
        <f>IFERROR(__xludf.DUMMYFUNCTION("GOOGLETRANSLATE(B15300, ""zh"", ""en"")"),"This insulation pot worth buying this good!")</f>
        <v>This insulation pot worth buying this good!</v>
      </c>
    </row>
    <row r="15301">
      <c r="A15301" s="1">
        <v>5.0</v>
      </c>
      <c r="B15301" s="1" t="s">
        <v>15133</v>
      </c>
      <c r="C15301" t="str">
        <f>IFERROR(__xludf.DUMMYFUNCTION("GOOGLETRANSLATE(B15301, ""zh"", ""en"")"),"Perfectly good, first bought a pair of high-top. Hot days, wear low to help")</f>
        <v>Perfectly good, first bought a pair of high-top. Hot days, wear low to help</v>
      </c>
    </row>
    <row r="15302">
      <c r="A15302" s="1">
        <v>5.0</v>
      </c>
      <c r="B15302" s="1" t="s">
        <v>15134</v>
      </c>
      <c r="C15302" t="str">
        <f>IFERROR(__xludf.DUMMYFUNCTION("GOOGLETRANSLATE(B15302, ""zh"", ""en"")"),"He bought himself two good friends to buy two, that is, express too slow! Fortunately, my friend I waited for about a month almost, I thought pieces lost? But our side entity maternal stores of this bottle is too expensive just over three hundred two? Ama"&amp;"zon is not afraid to buy a fake, is not it")</f>
        <v>He bought himself two good friends to buy two, that is, express too slow! Fortunately, my friend I waited for about a month almost, I thought pieces lost? But our side entity maternal stores of this bottle is too expensive just over three hundred two? Amazon is not afraid to buy a fake, is not it</v>
      </c>
    </row>
    <row r="15303">
      <c r="A15303" s="1">
        <v>5.0</v>
      </c>
      <c r="B15303" s="1" t="s">
        <v>15135</v>
      </c>
      <c r="C15303" t="str">
        <f>IFERROR(__xludf.DUMMYFUNCTION("GOOGLETRANSLATE(B15303, ""zh"", ""en"")"),"Comfortable shoes good shoes, wearing comfortable, the right size.")</f>
        <v>Comfortable shoes good shoes, wearing comfortable, the right size.</v>
      </c>
    </row>
    <row r="15304">
      <c r="A15304" s="1">
        <v>5.0</v>
      </c>
      <c r="B15304" s="1" t="s">
        <v>15136</v>
      </c>
      <c r="C15304" t="str">
        <f>IFERROR(__xludf.DUMMYFUNCTION("GOOGLETRANSLATE(B15304, ""zh"", ""en"")"),"In addition to the packaging too shabby, the other is perfect. Amazon UK packaging is too scary, directly on the original packaging to send over boxes installed outside did not. When the hand is very broken, but fortunately nothing inside. Already in use,"&amp;" very good filtering effect, which is the latest band of the filter, the filter will not be like the old section of the black carbon particles floating out. Recommend purchase! This is the first time to write so many reviews, Amazon was found above commen"&amp;"ts too little to buy their own stuff is when will draw more people's comments, and sometimes can not see the half of the comments, so Care, later to write a review, to like me more and more buyers reference.")</f>
        <v>In addition to the packaging too shabby, the other is perfect. Amazon UK packaging is too scary, directly on the original packaging to send over boxes installed outside did not. When the hand is very broken, but fortunately nothing inside. Already in use, very good filtering effect, which is the latest band of the filter, the filter will not be like the old section of the black carbon particles floating out. Recommend purchase! This is the first time to write so many reviews, Amazon was found above comments too little to buy their own stuff is when will draw more people's comments, and sometimes can not see the half of the comments, so Care, later to write a review, to like me more and more buyers reference.</v>
      </c>
    </row>
    <row r="15305">
      <c r="A15305" s="1">
        <v>2.0</v>
      </c>
      <c r="B15305" s="1" t="s">
        <v>15137</v>
      </c>
      <c r="C15305" t="str">
        <f>IFERROR(__xludf.DUMMYFUNCTION("GOOGLETRANSLATE(B15305, ""zh"", ""en"")"),"Too thin is too thin")</f>
        <v>Too thin is too thin</v>
      </c>
    </row>
    <row r="15306">
      <c r="A15306" s="1">
        <v>3.0</v>
      </c>
      <c r="B15306" s="1" t="s">
        <v>15138</v>
      </c>
      <c r="C15306" t="str">
        <f>IFERROR(__xludf.DUMMYFUNCTION("GOOGLETRANSLATE(B15306, ""zh"", ""en"")"),"Too thin 168CM, 75KG, buy M code, a little bigger, the key is too thin, the quality of worrying!")</f>
        <v>Too thin 168CM, 75KG, buy M code, a little bigger, the key is too thin, the quality of worrying!</v>
      </c>
    </row>
    <row r="15307">
      <c r="A15307" s="1">
        <v>3.0</v>
      </c>
      <c r="B15307" s="1" t="s">
        <v>15139</v>
      </c>
      <c r="C15307" t="str">
        <f>IFERROR(__xludf.DUMMYFUNCTION("GOOGLETRANSLATE(B15307, ""zh"", ""en"")"),"Vest-style bra previously bought in Japan, this order is just as good quality at Amazon. Five-star praise")</f>
        <v>Vest-style bra previously bought in Japan, this order is just as good quality at Amazon. Five-star praise</v>
      </c>
    </row>
    <row r="15308">
      <c r="A15308" s="1">
        <v>1.0</v>
      </c>
      <c r="B15308" s="1" t="s">
        <v>15140</v>
      </c>
      <c r="C15308" t="str">
        <f>IFERROR(__xludf.DUMMYFUNCTION("GOOGLETRANSLATE(B15308, ""zh"", ""en"")"),"Fake particularly large, M seems to XL, is not genuine ah? ?")</f>
        <v>Fake particularly large, M seems to XL, is not genuine ah? ?</v>
      </c>
    </row>
    <row r="15309">
      <c r="A15309" s="1">
        <v>1.0</v>
      </c>
      <c r="B15309" s="1" t="s">
        <v>15141</v>
      </c>
      <c r="C15309" t="str">
        <f>IFERROR(__xludf.DUMMYFUNCTION("GOOGLETRANSLATE(B15309, ""zh"", ""en"")"),"Foot particularly tight, quick-fix weight of the weight of the entire leg is not good. . .")</f>
        <v>Foot particularly tight, quick-fix weight of the weight of the entire leg is not good. . .</v>
      </c>
    </row>
    <row r="15310">
      <c r="A15310" s="1">
        <v>1.0</v>
      </c>
      <c r="B15310" s="1" t="s">
        <v>15142</v>
      </c>
      <c r="C15310" t="str">
        <f>IFERROR(__xludf.DUMMYFUNCTION("GOOGLETRANSLATE(B15310, ""zh"", ""en"")"),"Indonesia's manufacturing quality in general, than before to buy Portuguese production work to be worse, just received the shoes two days on the price of 50 dollars, drunk")</f>
        <v>Indonesia's manufacturing quality in general, than before to buy Portuguese production work to be worse, just received the shoes two days on the price of 50 dollars, drunk</v>
      </c>
    </row>
    <row r="15311">
      <c r="A15311" s="1">
        <v>4.0</v>
      </c>
      <c r="B15311" s="1" t="s">
        <v>6789</v>
      </c>
      <c r="C15311" t="str">
        <f>IFERROR(__xludf.DUMMYFUNCTION("GOOGLETRANSLATE(B15311, ""zh"", ""en"")"),"Packaging and packaging process arrive sides are open, speechless. Brush okay, 17 November production")</f>
        <v>Packaging and packaging process arrive sides are open, speechless. Brush okay, 17 November production</v>
      </c>
    </row>
    <row r="15312">
      <c r="A15312" s="1">
        <v>4.0</v>
      </c>
      <c r="B15312" s="1" t="s">
        <v>15143</v>
      </c>
      <c r="C15312" t="str">
        <f>IFERROR(__xludf.DUMMYFUNCTION("GOOGLETRANSLATE(B15312, ""zh"", ""en"")"),"2XL, for 187cm, 85kg of my big point 2XL, for 187cm, 85kg big point of my sleeves to fold or two; XL on it")</f>
        <v>2XL, for 187cm, 85kg of my big point 2XL, for 187cm, 85kg big point of my sleeves to fold or two; XL on it</v>
      </c>
    </row>
    <row r="15313">
      <c r="A15313" s="1">
        <v>4.0</v>
      </c>
      <c r="B15313" s="1" t="s">
        <v>15144</v>
      </c>
      <c r="C15313" t="str">
        <f>IFERROR(__xludf.DUMMYFUNCTION("GOOGLETRANSLATE(B15313, ""zh"", ""en"")"),"American is not suitable for China's national conditions number aides did not understand, chose the L code, the results of large, should give one meter 9 people wear it, while the size of the Amazon assistant is not detailed enough, the best specified hei"&amp;"ght, weight just fine.")</f>
        <v>American is not suitable for China's national conditions number aides did not understand, chose the L code, the results of large, should give one meter 9 people wear it, while the size of the Amazon assistant is not detailed enough, the best specified height, weight just fine.</v>
      </c>
    </row>
    <row r="15314">
      <c r="A15314" s="1">
        <v>4.0</v>
      </c>
      <c r="B15314" s="1" t="s">
        <v>15145</v>
      </c>
      <c r="C15314" t="str">
        <f>IFERROR(__xludf.DUMMYFUNCTION("GOOGLETRANSLATE(B15314, ""zh"", ""en"")"),"Cable head work in general, cable head, a long strap")</f>
        <v>Cable head work in general, cable head, a long strap</v>
      </c>
    </row>
    <row r="15315">
      <c r="A15315" s="1">
        <v>4.0</v>
      </c>
      <c r="B15315" s="1" t="s">
        <v>15146</v>
      </c>
      <c r="C15315" t="str">
        <f>IFERROR(__xludf.DUMMYFUNCTION("GOOGLETRANSLATE(B15315, ""zh"", ""en"")"),"Okay feel like cotton, a little bit bigger")</f>
        <v>Okay feel like cotton, a little bit bigger</v>
      </c>
    </row>
    <row r="15316">
      <c r="A15316" s="1">
        <v>5.0</v>
      </c>
      <c r="B15316" s="1" t="s">
        <v>15147</v>
      </c>
      <c r="C15316" t="str">
        <f>IFERROR(__xludf.DUMMYFUNCTION("GOOGLETRANSLATE(B15316, ""zh"", ""en"")"),"Good with the bad, you feel you can")</f>
        <v>Good with the bad, you feel you can</v>
      </c>
    </row>
    <row r="15317">
      <c r="A15317" s="1">
        <v>5.0</v>
      </c>
      <c r="B15317" s="1" t="s">
        <v>15148</v>
      </c>
      <c r="C15317" t="str">
        <f>IFERROR(__xludf.DUMMYFUNCTION("GOOGLETRANSLATE(B15317, ""zh"", ""en"")"),"Appearance, quality is good fast transmission speed, a good backup tool!")</f>
        <v>Appearance, quality is good fast transmission speed, a good backup tool!</v>
      </c>
    </row>
    <row r="15318">
      <c r="A15318" s="1">
        <v>5.0</v>
      </c>
      <c r="B15318" s="1" t="s">
        <v>15149</v>
      </c>
      <c r="C15318" t="str">
        <f>IFERROR(__xludf.DUMMYFUNCTION("GOOGLETRANSLATE(B15318, ""zh"", ""en"")"),"Normal British size usually 41, sometimes 40, the 6.5 just right. Their music consistently quality and quality, but the price is only less than a third of the country, it is appropriate")</f>
        <v>Normal British size usually 41, sometimes 40, the 6.5 just right. Their music consistently quality and quality, but the price is only less than a third of the country, it is appropriate</v>
      </c>
    </row>
    <row r="15319">
      <c r="A15319" s="1">
        <v>5.0</v>
      </c>
      <c r="B15319" s="1" t="s">
        <v>15150</v>
      </c>
      <c r="C15319" t="str">
        <f>IFERROR(__xludf.DUMMYFUNCTION("GOOGLETRANSLATE(B15319, ""zh"", ""en"")"),"Good pants really like these pants, width and length can be selected separately from Amazon the most humane place. The version is also good, work is also fine, relatively thin suitable for summer wear.")</f>
        <v>Good pants really like these pants, width and length can be selected separately from Amazon the most humane place. The version is also good, work is also fine, relatively thin suitable for summer wear.</v>
      </c>
    </row>
    <row r="15320">
      <c r="A15320" s="1">
        <v>5.0</v>
      </c>
      <c r="B15320" s="1" t="s">
        <v>15151</v>
      </c>
      <c r="C15320" t="str">
        <f>IFERROR(__xludf.DUMMYFUNCTION("GOOGLETRANSLATE(B15320, ""zh"", ""en"")"),"Mind rough rugged feel of work do not buy the US version of the rugged champion the work really, ah, with my Japanese version of a ratio flew to see that")</f>
        <v>Mind rough rugged feel of work do not buy the US version of the rugged champion the work really, ah, with my Japanese version of a ratio flew to see that</v>
      </c>
    </row>
    <row r="15321">
      <c r="A15321" s="1">
        <v>5.0</v>
      </c>
      <c r="B15321" s="1" t="s">
        <v>15152</v>
      </c>
      <c r="C15321" t="str">
        <f>IFERROR(__xludf.DUMMYFUNCTION("GOOGLETRANSLATE(B15321, ""zh"", ""en"")"),"Ok why my comment audit is not passed, I said all the words of praise, silent ... something Needless to say, well, express soon, on this it, do not give too got 😖")</f>
        <v>Ok why my comment audit is not passed, I said all the words of praise, silent ... something Needless to say, well, express soon, on this it, do not give too got 😖</v>
      </c>
    </row>
    <row r="15322">
      <c r="A15322" s="1">
        <v>5.0</v>
      </c>
      <c r="B15322" s="1" t="s">
        <v>15153</v>
      </c>
      <c r="C15322" t="str">
        <f>IFERROR(__xludf.DUMMYFUNCTION("GOOGLETRANSLATE(B15322, ""zh"", ""en"")"),"Satisfied with the pen &lt;div id = ""video-block-R1NLTJ28HLT8MZ"" class = ""a-section a-spacing-small a-spacing-top-mini video-block""&gt; &lt;/ div&gt; &lt;input type = ""hidden"" name = """" value = ""https://images-cn.ssl-images-amazon.com/images/I/91QgltwrisS.mp4"""&amp;" class = ""video-url""&gt; &lt;input type = ""hidden"" name = """" value = ""https://images-cn.ssl-images-amazon.com/images/I/91oboeGUk5S.png"" class = &amp; nbsp ""video-slate-img-url""&gt;; third Parker pen, this is very satisfied, Celestial store flattered by ....."&amp;".")</f>
        <v>Satisfied with the pen &lt;div id = "video-block-R1NLTJ28HLT8MZ" class = "a-section a-spacing-small a-spacing-top-mini video-block"&gt; &lt;/ div&gt; &lt;input type = "hidden" name = "" value = "https://images-cn.ssl-images-amazon.com/images/I/91QgltwrisS.mp4" class = "video-url"&gt; &lt;input type = "hidden" name = "" value = "https://images-cn.ssl-images-amazon.com/images/I/91oboeGUk5S.png" class = &amp; nbsp "video-slate-img-url"&gt;; third Parker pen, this is very satisfied, Celestial store flattered by ......</v>
      </c>
    </row>
    <row r="15323">
      <c r="A15323" s="1">
        <v>5.0</v>
      </c>
      <c r="B15323" s="1" t="s">
        <v>15154</v>
      </c>
      <c r="C15323" t="str">
        <f>IFERROR(__xludf.DUMMYFUNCTION("GOOGLETRANSLATE(B15323, ""zh"", ""en"")"),"Work can also be made to see what is good, there is texture. Great capacity. But the sound is also great. Overall quite satisfactory")</f>
        <v>Work can also be made to see what is good, there is texture. Great capacity. But the sound is also great. Overall quite satisfactory</v>
      </c>
    </row>
    <row r="15324">
      <c r="A15324" s="1">
        <v>5.0</v>
      </c>
      <c r="B15324" s="1" t="s">
        <v>15155</v>
      </c>
      <c r="C15324" t="str">
        <f>IFERROR(__xludf.DUMMYFUNCTION("GOOGLETRANSLATE(B15324, ""zh"", ""en"")"),"Convenient and practical day drop, easy to use them. Baby little time with 400 units, now replaced by 600 units of large")</f>
        <v>Convenient and practical day drop, easy to use them. Baby little time with 400 units, now replaced by 600 units of large</v>
      </c>
    </row>
    <row r="15325">
      <c r="A15325" s="1">
        <v>5.0</v>
      </c>
      <c r="B15325" s="1" t="s">
        <v>15156</v>
      </c>
      <c r="C15325" t="str">
        <f>IFERROR(__xludf.DUMMYFUNCTION("GOOGLETRANSLATE(B15325, ""zh"", ""en"")"),"Nice nice underwear briefs, will continue to buy")</f>
        <v>Nice nice underwear briefs, will continue to buy</v>
      </c>
    </row>
    <row r="15326">
      <c r="A15326" s="1">
        <v>5.0</v>
      </c>
      <c r="B15326" s="1" t="s">
        <v>15157</v>
      </c>
      <c r="C15326" t="str">
        <f>IFERROR(__xludf.DUMMYFUNCTION("GOOGLETRANSLATE(B15326, ""zh"", ""en"")"),"Why I bought the 310s body was displayed 5409 model it? Why I bought the 310s body was displayed 5409 model it?")</f>
        <v>Why I bought the 310s body was displayed 5409 model it? Why I bought the 310s body was displayed 5409 model it?</v>
      </c>
    </row>
    <row r="15327">
      <c r="A15327" s="1">
        <v>5.0</v>
      </c>
      <c r="B15327" s="1" t="s">
        <v>15158</v>
      </c>
      <c r="C15327" t="str">
        <f>IFERROR(__xludf.DUMMYFUNCTION("GOOGLETRANSLATE(B15327, ""zh"", ""en"")"),"Unscrew the lid cover quasi-bad")</f>
        <v>Unscrew the lid cover quasi-bad</v>
      </c>
    </row>
    <row r="15328">
      <c r="A15328" s="1">
        <v>5.0</v>
      </c>
      <c r="B15328" s="1" t="s">
        <v>15159</v>
      </c>
      <c r="C15328" t="str">
        <f>IFERROR(__xludf.DUMMYFUNCTION("GOOGLETRANSLATE(B15328, ""zh"", ""en"")"),"Yes! Yes, two aspects need to be strengthened: no one is under seal mouth protein powder cover; the second is sweet strawberries are big points.")</f>
        <v>Yes! Yes, two aspects need to be strengthened: no one is under seal mouth protein powder cover; the second is sweet strawberries are big points.</v>
      </c>
    </row>
    <row r="15329">
      <c r="A15329" s="1">
        <v>5.0</v>
      </c>
      <c r="B15329" s="1" t="s">
        <v>15160</v>
      </c>
      <c r="C15329" t="str">
        <f>IFERROR(__xludf.DUMMYFUNCTION("GOOGLETRANSLATE(B15329, ""zh"", ""en"")"),"Like like like finally get our hands on! Headset is really praise Oh, bass Awesome!")</f>
        <v>Like like like finally get our hands on! Headset is really praise Oh, bass Awesome!</v>
      </c>
    </row>
    <row r="15330">
      <c r="A15330" s="1">
        <v>5.0</v>
      </c>
      <c r="B15330" s="1" t="s">
        <v>15161</v>
      </c>
      <c r="C15330" t="str">
        <f>IFERROR(__xludf.DUMMYFUNCTION("GOOGLETRANSLATE(B15330, ""zh"", ""en"")"),"Shoes worth buying good quality, just to wear, new shoes a little bit hard. At that time valued shoe style is very delicate. High instep does not fit. Express soon. Week to. very satisfied")</f>
        <v>Shoes worth buying good quality, just to wear, new shoes a little bit hard. At that time valued shoe style is very delicate. High instep does not fit. Express soon. Week to. very satisfied</v>
      </c>
    </row>
    <row r="15331">
      <c r="A15331" s="1">
        <v>5.0</v>
      </c>
      <c r="B15331" s="1" t="s">
        <v>15162</v>
      </c>
      <c r="C15331" t="str">
        <f>IFERROR(__xludf.DUMMYFUNCTION("GOOGLETRANSLATE(B15331, ""zh"", ""en"")"),"Very nice very nice very comfortable very comfortable and cost-effective, clarks did not say, five-star recommendation")</f>
        <v>Very nice very nice very comfortable very comfortable and cost-effective, clarks did not say, five-star recommendation</v>
      </c>
    </row>
    <row r="15332">
      <c r="A15332" s="1">
        <v>5.0</v>
      </c>
      <c r="B15332" s="1" t="s">
        <v>15163</v>
      </c>
      <c r="C15332" t="str">
        <f>IFERROR(__xludf.DUMMYFUNCTION("GOOGLETRANSLATE(B15332, ""zh"", ""en"")"),"Easy to use very good, packaging is dirty point, electric ceramic heaters better, the outside will not be blackened.")</f>
        <v>Easy to use very good, packaging is dirty point, electric ceramic heaters better, the outside will not be blackened.</v>
      </c>
    </row>
    <row r="15333">
      <c r="A15333" s="1">
        <v>5.0</v>
      </c>
      <c r="B15333" s="1" t="s">
        <v>15164</v>
      </c>
      <c r="C15333" t="str">
        <f>IFERROR(__xludf.DUMMYFUNCTION("GOOGLETRANSLATE(B15333, ""zh"", ""en"")"),"Like good style good elasticity comfortable")</f>
        <v>Like good style good elasticity comfortable</v>
      </c>
    </row>
    <row r="15334">
      <c r="A15334" s="1">
        <v>5.0</v>
      </c>
      <c r="B15334" s="1" t="s">
        <v>15165</v>
      </c>
      <c r="C15334" t="str">
        <f>IFERROR(__xludf.DUMMYFUNCTION("GOOGLETRANSLATE(B15334, ""zh"", ""en"")"),"Easy to very good use, also good to go out with")</f>
        <v>Easy to very good use, also good to go out with</v>
      </c>
    </row>
    <row r="15335">
      <c r="A15335" s="1">
        <v>5.0</v>
      </c>
      <c r="B15335" s="1" t="s">
        <v>15166</v>
      </c>
      <c r="C15335" t="str">
        <f>IFERROR(__xludf.DUMMYFUNCTION("GOOGLETRANSLATE(B15335, ""zh"", ""en"")"),"It can be very thick for winter wear nice")</f>
        <v>It can be very thick for winter wear nice</v>
      </c>
    </row>
    <row r="15336">
      <c r="A15336" s="1">
        <v>5.0</v>
      </c>
      <c r="B15336" s="1" t="s">
        <v>15167</v>
      </c>
      <c r="C15336" t="str">
        <f>IFERROR(__xludf.DUMMYFUNCTION("GOOGLETRANSLATE(B15336, ""zh"", ""en"")"),"ECCO satisfactory overseas purchase, worried inappropriate size, try a little bigger, leather is also good. Walking comfort.")</f>
        <v>ECCO satisfactory overseas purchase, worried inappropriate size, try a little bigger, leather is also good. Walking comfort.</v>
      </c>
    </row>
    <row r="15337">
      <c r="A15337" s="1">
        <v>5.0</v>
      </c>
      <c r="B15337" s="1" t="s">
        <v>15168</v>
      </c>
      <c r="C15337" t="str">
        <f>IFERROR(__xludf.DUMMYFUNCTION("GOOGLETRANSLATE(B15337, ""zh"", ""en"")"),"T-shirt clothing styles, good quality")</f>
        <v>T-shirt clothing styles, good quality</v>
      </c>
    </row>
    <row r="15338">
      <c r="A15338" s="1">
        <v>2.0</v>
      </c>
      <c r="B15338" s="1" t="s">
        <v>15169</v>
      </c>
      <c r="C15338" t="str">
        <f>IFERROR(__xludf.DUMMYFUNCTION("GOOGLETRANSLATE(B15338, ""zh"", ""en"")"),"Appropriate right size, wider shoe last, somewhat hard, work beautifully!")</f>
        <v>Appropriate right size, wider shoe last, somewhat hard, work beautifully!</v>
      </c>
    </row>
    <row r="15339">
      <c r="A15339" s="1">
        <v>3.0</v>
      </c>
      <c r="B15339" s="1" t="s">
        <v>15170</v>
      </c>
      <c r="C15339" t="str">
        <f>IFERROR(__xludf.DUMMYFUNCTION("GOOGLETRANSLATE(B15339, ""zh"", ""en"")"),"Also for the first time to buy is genuine hope")</f>
        <v>Also for the first time to buy is genuine hope</v>
      </c>
    </row>
    <row r="15340">
      <c r="A15340" s="1">
        <v>3.0</v>
      </c>
      <c r="B15340" s="1" t="s">
        <v>15171</v>
      </c>
      <c r="C15340" t="str">
        <f>IFERROR(__xludf.DUMMYFUNCTION("GOOGLETRANSLATE(B15340, ""zh"", ""en"")"),"Color logo color does not match with the picture, it is one of the colors with the clothes, not white")</f>
        <v>Color logo color does not match with the picture, it is one of the colors with the clothes, not white</v>
      </c>
    </row>
    <row r="15341">
      <c r="A15341" s="1">
        <v>3.0</v>
      </c>
      <c r="B15341" s="1" t="s">
        <v>15172</v>
      </c>
      <c r="C15341" t="str">
        <f>IFERROR(__xludf.DUMMYFUNCTION("GOOGLETRANSLATE(B15341, ""zh"", ""en"")"),"FML I want to ask, is that not everyone with the money there are large gaps Gerry surface glue or what feels to be broken ah ah ah ah ah ah ah Although not affect the use, this is looking bad mood normally it? ? ? ? ? Glue or get more, give me a reply ah "&amp;"ah ah ah")</f>
        <v>FML I want to ask, is that not everyone with the money there are large gaps Gerry surface glue or what feels to be broken ah ah ah ah ah ah ah Although not affect the use, this is looking bad mood normally it? ? ? ? ? Glue or get more, give me a reply ah ah ah ah</v>
      </c>
    </row>
    <row r="15342">
      <c r="A15342" s="1">
        <v>1.0</v>
      </c>
      <c r="B15342" s="1" t="s">
        <v>15173</v>
      </c>
      <c r="C15342" t="str">
        <f>IFERROR(__xludf.DUMMYFUNCTION("GOOGLETRANSLATE(B15342, ""zh"", ""en"")"),"Shoes flawed. Shoes flawed. Shoes flawed. Shoes flawed. The important thing to say three times.")</f>
        <v>Shoes flawed. Shoes flawed. Shoes flawed. Shoes flawed. The important thing to say three times.</v>
      </c>
    </row>
    <row r="15343">
      <c r="A15343" s="1">
        <v>1.0</v>
      </c>
      <c r="B15343" s="1" t="s">
        <v>15174</v>
      </c>
      <c r="C15343" t="str">
        <f>IFERROR(__xludf.DUMMYFUNCTION("GOOGLETRANSLATE(B15343, ""zh"", ""en"")"),"Europe is not the same as buying a pen received in Europe to buy is not the same! Exactly the same model, but not the same! Whether or not authentic?")</f>
        <v>Europe is not the same as buying a pen received in Europe to buy is not the same! Exactly the same model, but not the same! Whether or not authentic?</v>
      </c>
    </row>
    <row r="15344">
      <c r="A15344" s="1">
        <v>1.0</v>
      </c>
      <c r="B15344" s="1" t="s">
        <v>15175</v>
      </c>
      <c r="C15344" t="str">
        <f>IFERROR(__xludf.DUMMYFUNCTION("GOOGLETRANSLATE(B15344, ""zh"", ""en"")"),"Customer service in question for 15 years in November to buy, and found to not start, return the United States after contact customer service contact customer service refund success again, this time to the efficiency of customer service so I think Amazon "&amp;"is very good. But afterwards I apply for a refund return shipping goods, customer service again and again shirk, 16 years from December till the end of January, two months, I do not know how many calls I made, each said application has been submitted, sup"&amp;"eriors for approval, please wait one week, please wait weeks, and then wait a month, said today call wait, I would like to ask you to wait until 17 or 18 years of it? Terms of Service Does say you play it? Timeliness of refund do not speak it? I'm one to "&amp;"witness")</f>
        <v>Customer service in question for 15 years in November to buy, and found to not start, return the United States after contact customer service contact customer service refund success again, this time to the efficiency of customer service so I think Amazon is very good. But afterwards I apply for a refund return shipping goods, customer service again and again shirk, 16 years from December till the end of January, two months, I do not know how many calls I made, each said application has been submitted, superiors for approval, please wait one week, please wait weeks, and then wait a month, said today call wait, I would like to ask you to wait until 17 or 18 years of it? Terms of Service Does say you play it? Timeliness of refund do not speak it? I'm one to witness</v>
      </c>
    </row>
    <row r="15345">
      <c r="A15345" s="1">
        <v>4.0</v>
      </c>
      <c r="B15345" s="1" t="s">
        <v>15176</v>
      </c>
      <c r="C15345" t="str">
        <f>IFERROR(__xludf.DUMMYFUNCTION("GOOGLETRANSLATE(B15345, ""zh"", ""en"")"),"It has been used for some time if the power switch at the front, it will be convenient to")</f>
        <v>It has been used for some time if the power switch at the front, it will be convenient to</v>
      </c>
    </row>
    <row r="15346">
      <c r="A15346" s="1">
        <v>4.0</v>
      </c>
      <c r="B15346" s="1" t="s">
        <v>15177</v>
      </c>
      <c r="C15346" t="str">
        <f>IFERROR(__xludf.DUMMYFUNCTION("GOOGLETRANSLATE(B15346, ""zh"", ""en"")"),"Easy to use, fast logistics scouring the sea for the first time, the entire shopping season is the most anticipated product. Black five orders, sent home a week, and the speed is quite fast. When starting out can use some food particles, but sometimes the"&amp;"re are things did not feel rushed out, but never had the blood of the gums and made out of a blood, the effect did not think so amazing, is not likely to master the technique it.")</f>
        <v>Easy to use, fast logistics scouring the sea for the first time, the entire shopping season is the most anticipated product. Black five orders, sent home a week, and the speed is quite fast. When starting out can use some food particles, but sometimes there are things did not feel rushed out, but never had the blood of the gums and made out of a blood, the effect did not think so amazing, is not likely to master the technique it.</v>
      </c>
    </row>
    <row r="15347">
      <c r="A15347" s="1">
        <v>4.0</v>
      </c>
      <c r="B15347" s="1" t="s">
        <v>15178</v>
      </c>
      <c r="C15347" t="str">
        <f>IFERROR(__xludf.DUMMYFUNCTION("GOOGLETRANSLATE(B15347, ""zh"", ""en"")"),"Fitness can be used as well. fair price.")</f>
        <v>Fitness can be used as well. fair price.</v>
      </c>
    </row>
    <row r="15348">
      <c r="A15348" s="1">
        <v>4.0</v>
      </c>
      <c r="B15348" s="1" t="s">
        <v>15179</v>
      </c>
      <c r="C15348" t="str">
        <f>IFERROR(__xludf.DUMMYFUNCTION("GOOGLETRANSLATE(B15348, ""zh"", ""en"")"),"Large code size is too large, thin section")</f>
        <v>Large code size is too large, thin section</v>
      </c>
    </row>
    <row r="15349">
      <c r="A15349" s="1">
        <v>4.0</v>
      </c>
      <c r="B15349" s="1" t="s">
        <v>15180</v>
      </c>
      <c r="C15349" t="str">
        <f>IFERROR(__xludf.DUMMYFUNCTION("GOOGLETRANSLATE(B15349, ""zh"", ""en"")"),"Seiko Men's Light Table overall feel good, I try them on hand slim thickness with a little less. Luminous darker but does not affect the look, without a certain height and weigh again given the degree of fat.")</f>
        <v>Seiko Men's Light Table overall feel good, I try them on hand slim thickness with a little less. Luminous darker but does not affect the look, without a certain height and weigh again given the degree of fat.</v>
      </c>
    </row>
    <row r="15350">
      <c r="A15350" s="1">
        <v>5.0</v>
      </c>
      <c r="B15350" s="1" t="s">
        <v>15181</v>
      </c>
      <c r="C15350" t="str">
        <f>IFERROR(__xludf.DUMMYFUNCTION("GOOGLETRANSLATE(B15350, ""zh"", ""en"")"),"Good on foot is very good")</f>
        <v>Good on foot is very good</v>
      </c>
    </row>
    <row r="15351">
      <c r="A15351" s="1">
        <v>5.0</v>
      </c>
      <c r="B15351" s="1" t="s">
        <v>15182</v>
      </c>
      <c r="C15351" t="str">
        <f>IFERROR(__xludf.DUMMYFUNCTION("GOOGLETRANSLATE(B15351, ""zh"", ""en"")"),"He bought himself a child, and gave a friend a child. He bought himself a child, and later friend born baby, they bought one, a friend to the child.")</f>
        <v>He bought himself a child, and gave a friend a child. He bought himself a child, and later friend born baby, they bought one, a friend to the child.</v>
      </c>
    </row>
    <row r="15352">
      <c r="A15352" s="1">
        <v>5.0</v>
      </c>
      <c r="B15352" s="1" t="s">
        <v>15183</v>
      </c>
      <c r="C15352" t="str">
        <f>IFERROR(__xludf.DUMMYFUNCTION("GOOGLETRANSLATE(B15352, ""zh"", ""en"")"),"The overall feeling is good server error could not be registered for unknown reasons hope can be resolved other software that comes with very good backup feature that comes with the hard disk will stop work resulted in delaying the disk is unable to get o"&amp;"ut but can not end a program like a virus the guy later had to withdraw this function somehow a little nervous the whole available space 931GB transfer rate can only say good password function can choose is the time trifle generous stylish two did not hav"&amp;"e to say doubt want professionals to help me look So far life can also hope to be infinite ...")</f>
        <v>The overall feeling is good server error could not be registered for unknown reasons hope can be resolved other software that comes with very good backup feature that comes with the hard disk will stop work resulted in delaying the disk is unable to get out but can not end a program like a virus the guy later had to withdraw this function somehow a little nervous the whole available space 931GB transfer rate can only say good password function can choose is the time trifle generous stylish two did not have to say doubt want professionals to help me look So far life can also hope to be infinite ...</v>
      </c>
    </row>
    <row r="15353">
      <c r="A15353" s="1">
        <v>5.0</v>
      </c>
      <c r="B15353" s="1" t="s">
        <v>15184</v>
      </c>
      <c r="C15353" t="str">
        <f>IFERROR(__xludf.DUMMYFUNCTION("GOOGLETRANSLATE(B15353, ""zh"", ""en"")"),"Very good pants superior workmanship, price concessions, material good, the right size. Very good shopping experience.")</f>
        <v>Very good pants superior workmanship, price concessions, material good, the right size. Very good shopping experience.</v>
      </c>
    </row>
    <row r="15354">
      <c r="A15354" s="1">
        <v>5.0</v>
      </c>
      <c r="B15354" s="1" t="s">
        <v>15185</v>
      </c>
      <c r="C15354" t="str">
        <f>IFERROR(__xludf.DUMMYFUNCTION("GOOGLETRANSLATE(B15354, ""zh"", ""en"")"),"Good size fit, comfortable to wear!")</f>
        <v>Good size fit, comfortable to wear!</v>
      </c>
    </row>
    <row r="15355">
      <c r="A15355" s="1">
        <v>5.0</v>
      </c>
      <c r="B15355" s="1" t="s">
        <v>15186</v>
      </c>
      <c r="C15355" t="str">
        <f>IFERROR(__xludf.DUMMYFUNCTION("GOOGLETRANSLATE(B15355, ""zh"", ""en"")"),"Convenience! Particularly easy to use, fast water, super appropriate price, save time and effort up in the morning.")</f>
        <v>Convenience! Particularly easy to use, fast water, super appropriate price, save time and effort up in the morning.</v>
      </c>
    </row>
    <row r="15356">
      <c r="A15356" s="1">
        <v>5.0</v>
      </c>
      <c r="B15356" s="1" t="s">
        <v>15187</v>
      </c>
      <c r="C15356" t="str">
        <f>IFERROR(__xludf.DUMMYFUNCTION("GOOGLETRANSLATE(B15356, ""zh"", ""en"")"),"As it is to fill the memories of college a little money in his pocket whenever contribution across the school art supplies shop, a colored pencil seventy-eight to eleven two unequal, obsessive-compulsive disorder in order to scrape together color children"&amp;", then each buy a Xiangqilaijiu two - do not know why that memory so clear. To the second, third grade has been gradually give up the hand-painted, with computer graphics. Ancient architect slim to nervousness but different from the line art works can not"&amp;" be wrong, upside down day and night just to unify the laws of nature and beauty, today finally became boring on CAD raw products. Lead is a blooming color of imagination, it is not marginal, it makes you look forward to, not the kind of simple and crude "&amp;"3D renderings directly, and finally the most will be disappointed. Of course we did not do the construction industry. So those memories but is executed for a student to read, a person's life so long and so short, there are always some time felt unable to "&amp;"stand, only to miss to cry. You see, the obsession to always pinned on these items, is not it.")</f>
        <v>As it is to fill the memories of college a little money in his pocket whenever contribution across the school art supplies shop, a colored pencil seventy-eight to eleven two unequal, obsessive-compulsive disorder in order to scrape together color children, then each buy a Xiangqilaijiu two - do not know why that memory so clear. To the second, third grade has been gradually give up the hand-painted, with computer graphics. Ancient architect slim to nervousness but different from the line art works can not be wrong, upside down day and night just to unify the laws of nature and beauty, today finally became boring on CAD raw products. Lead is a blooming color of imagination, it is not marginal, it makes you look forward to, not the kind of simple and crude 3D renderings directly, and finally the most will be disappointed. Of course we did not do the construction industry. So those memories but is executed for a student to read, a person's life so long and so short, there are always some time felt unable to stand, only to miss to cry. You see, the obsession to always pinned on these items, is not it.</v>
      </c>
    </row>
    <row r="15357">
      <c r="A15357" s="1">
        <v>5.0</v>
      </c>
      <c r="B15357" s="1" t="s">
        <v>15188</v>
      </c>
      <c r="C15357" t="str">
        <f>IFERROR(__xludf.DUMMYFUNCTION("GOOGLETRANSLATE(B15357, ""zh"", ""en"")"),"Is authentic it to the baby store goods, not with the hope that easy to send over when the packaging is very simple, made in China, hope is genuine")</f>
        <v>Is authentic it to the baby store goods, not with the hope that easy to send over when the packaging is very simple, made in China, hope is genuine</v>
      </c>
    </row>
    <row r="15358">
      <c r="A15358" s="1">
        <v>5.0</v>
      </c>
      <c r="B15358" s="1" t="s">
        <v>15189</v>
      </c>
      <c r="C15358" t="str">
        <f>IFERROR(__xludf.DUMMYFUNCTION("GOOGLETRANSLATE(B15358, ""zh"", ""en"")"),"This dress must be perfect coat bigger in order to set out some jacket itself, but not too tight and not comfortable")</f>
        <v>This dress must be perfect coat bigger in order to set out some jacket itself, but not too tight and not comfortable</v>
      </c>
    </row>
    <row r="15359">
      <c r="A15359" s="1">
        <v>5.0</v>
      </c>
      <c r="B15359" s="1" t="s">
        <v>15190</v>
      </c>
      <c r="C15359" t="str">
        <f>IFERROR(__xludf.DUMMYFUNCTION("GOOGLETRANSLATE(B15359, ""zh"", ""en"")"),"Superb Nike shoes I wear 43 yards just days Mulan 9m increased artifact. Amazon also praise the logistics super-fast! ! ! ! !")</f>
        <v>Superb Nike shoes I wear 43 yards just days Mulan 9m increased artifact. Amazon also praise the logistics super-fast! ! ! ! !</v>
      </c>
    </row>
    <row r="15360">
      <c r="A15360" s="1">
        <v>5.0</v>
      </c>
      <c r="B15360" s="1" t="s">
        <v>15191</v>
      </c>
      <c r="C15360" t="str">
        <f>IFERROR(__xludf.DUMMYFUNCTION("GOOGLETRANSLATE(B15360, ""zh"", ""en"")"),"Pants fabric good, size is also suitable prices are very favorable, very satisfied with the shopping")</f>
        <v>Pants fabric good, size is also suitable prices are very favorable, very satisfied with the shopping</v>
      </c>
    </row>
    <row r="15361">
      <c r="A15361" s="1">
        <v>5.0</v>
      </c>
      <c r="B15361" s="1" t="s">
        <v>15192</v>
      </c>
      <c r="C15361" t="str">
        <f>IFERROR(__xludf.DUMMYFUNCTION("GOOGLETRANSLATE(B15361, ""zh"", ""en"")"),"I believe Amazon Direct transport quickly, shipped from the United States, the official website verified. Take 2 weeks, the knee felt better. It seems obvious effect will have to eat 2 months!")</f>
        <v>I believe Amazon Direct transport quickly, shipped from the United States, the official website verified. Take 2 weeks, the knee felt better. It seems obvious effect will have to eat 2 months!</v>
      </c>
    </row>
    <row r="15362">
      <c r="A15362" s="1">
        <v>5.0</v>
      </c>
      <c r="B15362" s="1" t="s">
        <v>15193</v>
      </c>
      <c r="C15362" t="str">
        <f>IFERROR(__xludf.DUMMYFUNCTION("GOOGLETRANSLATE(B15362, ""zh"", ""en"")"),"Helium buy cost-effective disk demolition panel mounted nas, cost-effective")</f>
        <v>Helium buy cost-effective disk demolition panel mounted nas, cost-effective</v>
      </c>
    </row>
    <row r="15363">
      <c r="A15363" s="1">
        <v>5.0</v>
      </c>
      <c r="B15363" s="1" t="s">
        <v>15194</v>
      </c>
      <c r="C15363" t="str">
        <f>IFERROR(__xludf.DUMMYFUNCTION("GOOGLETRANSLATE(B15363, ""zh"", ""en"")"),"Satisfaction ST400DM004 thin satisfaction")</f>
        <v>Satisfaction ST400DM004 thin satisfaction</v>
      </c>
    </row>
    <row r="15364">
      <c r="A15364" s="1">
        <v>5.0</v>
      </c>
      <c r="B15364" s="1" t="s">
        <v>15195</v>
      </c>
      <c r="C15364" t="str">
        <f>IFERROR(__xludf.DUMMYFUNCTION("GOOGLETRANSLATE(B15364, ""zh"", ""en"")"),"Under underwear or very good read, is cotton, very good, size is also suitable, wearing very comfortable.")</f>
        <v>Under underwear or very good read, is cotton, very good, size is also suitable, wearing very comfortable.</v>
      </c>
    </row>
    <row r="15365">
      <c r="A15365" s="1">
        <v>5.0</v>
      </c>
      <c r="B15365" s="1" t="s">
        <v>15196</v>
      </c>
      <c r="C15365" t="str">
        <f>IFERROR(__xludf.DUMMYFUNCTION("GOOGLETRANSLATE(B15365, ""zh"", ""en"")"),"Yes originally wearing 43 yards correspond 9-9.5, read reviews these shoes large a yard, so buy 8-8.5 yards, just appropriate, but also comfortable to wear, the most satisfying one Amoy sea")</f>
        <v>Yes originally wearing 43 yards correspond 9-9.5, read reviews these shoes large a yard, so buy 8-8.5 yards, just appropriate, but also comfortable to wear, the most satisfying one Amoy sea</v>
      </c>
    </row>
    <row r="15366">
      <c r="A15366" s="1">
        <v>5.0</v>
      </c>
      <c r="B15366" s="1" t="s">
        <v>15197</v>
      </c>
      <c r="C15366" t="str">
        <f>IFERROR(__xludf.DUMMYFUNCTION("GOOGLETRANSLATE(B15366, ""zh"", ""en"")"),"Very very easy to use very convenient and practical")</f>
        <v>Very very easy to use very convenient and practical</v>
      </c>
    </row>
    <row r="15367">
      <c r="A15367" s="1">
        <v>5.0</v>
      </c>
      <c r="B15367" s="1" t="s">
        <v>15198</v>
      </c>
      <c r="C15367" t="str">
        <f>IFERROR(__xludf.DUMMYFUNCTION("GOOGLETRANSLATE(B15367, ""zh"", ""en"")"),"You can buy a high cost")</f>
        <v>You can buy a high cost</v>
      </c>
    </row>
    <row r="15368">
      <c r="A15368" s="1">
        <v>5.0</v>
      </c>
      <c r="B15368" s="1" t="s">
        <v>15199</v>
      </c>
      <c r="C15368" t="str">
        <f>IFERROR(__xludf.DUMMYFUNCTION("GOOGLETRANSLATE(B15368, ""zh"", ""en"")"),"Super like super like a watch, and a friend bought two, praise!")</f>
        <v>Super like super like a watch, and a friend bought two, praise!</v>
      </c>
    </row>
    <row r="15369">
      <c r="A15369" s="1">
        <v>5.0</v>
      </c>
      <c r="B15369" s="1" t="s">
        <v>15200</v>
      </c>
      <c r="C15369" t="str">
        <f>IFERROR(__xludf.DUMMYFUNCTION("GOOGLETRANSLATE(B15369, ""zh"", ""en"")"),"Razor razor born again born again, do not buy a new razor.")</f>
        <v>Razor razor born again born again, do not buy a new razor.</v>
      </c>
    </row>
    <row r="15370">
      <c r="A15370" s="1">
        <v>5.0</v>
      </c>
      <c r="B15370" s="1" t="s">
        <v>15201</v>
      </c>
      <c r="C15370" t="str">
        <f>IFERROR(__xludf.DUMMYFUNCTION("GOOGLETRANSLATE(B15370, ""zh"", ""en"")"),"Like Llanks shoes shoes are very significant foot, the quality is very good. like.")</f>
        <v>Like Llanks shoes shoes are very significant foot, the quality is very good. like.</v>
      </c>
    </row>
    <row r="15371">
      <c r="A15371" s="1">
        <v>5.0</v>
      </c>
      <c r="B15371" s="1" t="s">
        <v>15202</v>
      </c>
      <c r="C15371" t="str">
        <f>IFERROR(__xludf.DUMMYFUNCTION("GOOGLETRANSLATE(B15371, ""zh"", ""en"")"),"Very fit, very comfortable satisfaction, mainly wear very comfortable!")</f>
        <v>Very fit, very comfortable satisfaction, mainly wear very comfortable!</v>
      </c>
    </row>
    <row r="15372">
      <c r="A15372" s="1">
        <v>2.0</v>
      </c>
      <c r="B15372" s="1" t="s">
        <v>15203</v>
      </c>
      <c r="C15372" t="str">
        <f>IFERROR(__xludf.DUMMYFUNCTION("GOOGLETRANSLATE(B15372, ""zh"", ""en"")"),"19 months after almost two weeks with a broken once, he did not respond now energized")</f>
        <v>19 months after almost two weeks with a broken once, he did not respond now energized</v>
      </c>
    </row>
    <row r="15373">
      <c r="A15373" s="1">
        <v>3.0</v>
      </c>
      <c r="B15373" s="1" t="s">
        <v>15204</v>
      </c>
      <c r="C15373" t="str">
        <f>IFERROR(__xludf.DUMMYFUNCTION("GOOGLETRANSLATE(B15373, ""zh"", ""en"")"),"More rigid fabrics, clothes too large. Physical wear no pictures handsome, liberal bias, fabrics tend to be hard, my height 181CM, weight 75KG;")</f>
        <v>More rigid fabrics, clothes too large. Physical wear no pictures handsome, liberal bias, fabrics tend to be hard, my height 181CM, weight 75KG;</v>
      </c>
    </row>
    <row r="15374">
      <c r="A15374" s="1">
        <v>3.0</v>
      </c>
      <c r="B15374" s="1" t="s">
        <v>15205</v>
      </c>
      <c r="C15374" t="str">
        <f>IFERROR(__xludf.DUMMYFUNCTION("GOOGLETRANSLATE(B15374, ""zh"", ""en"")"),"It is worth the price of a much larger, is elastic fabrics")</f>
        <v>It is worth the price of a much larger, is elastic fabrics</v>
      </c>
    </row>
    <row r="15375">
      <c r="A15375" s="1">
        <v>3.0</v>
      </c>
      <c r="B15375" s="1" t="s">
        <v>15206</v>
      </c>
      <c r="C15375" t="str">
        <f>IFERROR(__xludf.DUMMYFUNCTION("GOOGLETRANSLATE(B15375, ""zh"", ""en"")"),"The general feeling is common models underwear abdomen close to the pelvis did not dim")</f>
        <v>The general feeling is common models underwear abdomen close to the pelvis did not dim</v>
      </c>
    </row>
    <row r="15376">
      <c r="A15376" s="1">
        <v>1.0</v>
      </c>
      <c r="B15376" s="1" t="s">
        <v>15207</v>
      </c>
      <c r="C15376" t="str">
        <f>IFERROR(__xludf.DUMMYFUNCTION("GOOGLETRANSLATE(B15376, ""zh"", ""en"")"),"Screen and the actual difference too! I'm afraid the next time a similar situation occurs valuables! So online shopping pause valuables!")</f>
        <v>Screen and the actual difference too! I'm afraid the next time a similar situation occurs valuables! So online shopping pause valuables!</v>
      </c>
    </row>
    <row r="15377">
      <c r="A15377" s="1">
        <v>1.0</v>
      </c>
      <c r="B15377" s="1" t="s">
        <v>15208</v>
      </c>
      <c r="C15377" t="str">
        <f>IFERROR(__xludf.DUMMYFUNCTION("GOOGLETRANSLATE(B15377, ""zh"", ""en"")"),"Curling, curling uncomfortable easy, not comfortable")</f>
        <v>Curling, curling uncomfortable easy, not comfortable</v>
      </c>
    </row>
    <row r="15378">
      <c r="A15378" s="1">
        <v>4.0</v>
      </c>
      <c r="B15378" s="1" t="s">
        <v>15209</v>
      </c>
      <c r="C15378" t="str">
        <f>IFERROR(__xludf.DUMMYFUNCTION("GOOGLETRANSLATE(B15378, ""zh"", ""en"")"),"Wear some pretty good support force, the supporting force is good, not tired, I always ran 8K-9K, not pain, restoring Express, thick fabrics; must not recommended to buy a large size, otherwise there is no compression effect, I 168,51Kg, XS is just right.")</f>
        <v>Wear some pretty good support force, the supporting force is good, not tired, I always ran 8K-9K, not pain, restoring Express, thick fabrics; must not recommended to buy a large size, otherwise there is no compression effect, I 168,51Kg, XS is just right.</v>
      </c>
    </row>
    <row r="15379">
      <c r="A15379" s="1">
        <v>4.0</v>
      </c>
      <c r="B15379" s="1" t="s">
        <v>15210</v>
      </c>
      <c r="C15379" t="str">
        <f>IFERROR(__xludf.DUMMYFUNCTION("GOOGLETRANSLATE(B15379, ""zh"", ""en"")"),"Price can, taxes have high capacity 7.5T, the maximum writing speed to 115MB / S, also.")</f>
        <v>Price can, taxes have high capacity 7.5T, the maximum writing speed to 115MB / S, also.</v>
      </c>
    </row>
    <row r="15380">
      <c r="A15380" s="1">
        <v>4.0</v>
      </c>
      <c r="B15380" s="1" t="s">
        <v>15211</v>
      </c>
      <c r="C15380" t="str">
        <f>IFERROR(__xludf.DUMMYFUNCTION("GOOGLETRANSLATE(B15380, ""zh"", ""en"")"),"Fabric is very comfortable 162 / 52KG too large, suitable 0 yards")</f>
        <v>Fabric is very comfortable 162 / 52KG too large, suitable 0 yards</v>
      </c>
    </row>
    <row r="15381">
      <c r="A15381" s="1">
        <v>4.0</v>
      </c>
      <c r="B15381" s="1" t="s">
        <v>15212</v>
      </c>
      <c r="C15381" t="str">
        <f>IFERROR(__xludf.DUMMYFUNCTION("GOOGLETRANSLATE(B15381, ""zh"", ""en"")"),"Well I do not know what the letter read reviews, buy a bigger size, the result of a large, silent!")</f>
        <v>Well I do not know what the letter read reviews, buy a bigger size, the result of a large, silent!</v>
      </c>
    </row>
    <row r="15382">
      <c r="A15382" s="1">
        <v>4.0</v>
      </c>
      <c r="B15382" s="1" t="s">
        <v>15213</v>
      </c>
      <c r="C15382" t="str">
        <f>IFERROR(__xludf.DUMMYFUNCTION("GOOGLETRANSLATE(B15382, ""zh"", ""en"")"),"It may be worth buying, very fast, there is no virtual standard parameters, high cost, is a cheap buy a 35 yuan. . .")</f>
        <v>It may be worth buying, very fast, there is no virtual standard parameters, high cost, is a cheap buy a 35 yuan. . .</v>
      </c>
    </row>
    <row r="15383">
      <c r="A15383" s="1">
        <v>5.0</v>
      </c>
      <c r="B15383" s="1" t="s">
        <v>15214</v>
      </c>
      <c r="C15383" t="str">
        <f>IFERROR(__xludf.DUMMYFUNCTION("GOOGLETRANSLATE(B15383, ""zh"", ""en"")"),"Good, good, good, good, good, good, good, good, good, good, good, good, good, good, good, good, good, good, good, good, good, good, good, good, comfortable, like very much.")</f>
        <v>Good, good, good, good, good, good, good, good, good, good, good, good, good, good, good, good, good, good, good, good, good, good, good, good, comfortable, like very much.</v>
      </c>
    </row>
    <row r="15384">
      <c r="A15384" s="1">
        <v>5.0</v>
      </c>
      <c r="B15384" s="1" t="s">
        <v>15215</v>
      </c>
      <c r="C15384" t="str">
        <f>IFERROR(__xludf.DUMMYFUNCTION("GOOGLETRANSLATE(B15384, ""zh"", ""en"")"),"Quality good quality can not imagine the thick, wear almost winter, spring and autumn cold day to wear it!")</f>
        <v>Quality good quality can not imagine the thick, wear almost winter, spring and autumn cold day to wear it!</v>
      </c>
    </row>
    <row r="15385">
      <c r="A15385" s="1">
        <v>5.0</v>
      </c>
      <c r="B15385" s="1" t="s">
        <v>15216</v>
      </c>
      <c r="C15385" t="str">
        <f>IFERROR(__xludf.DUMMYFUNCTION("GOOGLETRANSLATE(B15385, ""zh"", ""en"")"),"Baby bottle baby favorite favorite bottle ah good results. Not from the previous evaluation, I do not know how many wasted points, points can change money now know, they should look carefully evaluated, then I put these words to copy to go, both to earn p"&amp;"oints, but also save trouble, they go where copy , sent directly to it, recommend it to everyone! !")</f>
        <v>Baby bottle baby favorite favorite bottle ah good results. Not from the previous evaluation, I do not know how many wasted points, points can change money now know, they should look carefully evaluated, then I put these words to copy to go, both to earn points, but also save trouble, they go where copy , sent directly to it, recommend it to everyone! !</v>
      </c>
    </row>
    <row r="15386">
      <c r="A15386" s="1">
        <v>5.0</v>
      </c>
      <c r="B15386" s="1" t="s">
        <v>15217</v>
      </c>
      <c r="C15386" t="str">
        <f>IFERROR(__xludf.DUMMYFUNCTION("GOOGLETRANSLATE(B15386, ""zh"", ""en"")"),"Beautiful shoes, some shoes too large pink look good, feel yardage than usual wear yardage most of the code, usually wear shoes was 37.5, this take 7, some large, the number of sea Amoy good grasp of the code, for reference")</f>
        <v>Beautiful shoes, some shoes too large pink look good, feel yardage than usual wear yardage most of the code, usually wear shoes was 37.5, this take 7, some large, the number of sea Amoy good grasp of the code, for reference</v>
      </c>
    </row>
    <row r="15387">
      <c r="A15387" s="1">
        <v>5.0</v>
      </c>
      <c r="B15387" s="1" t="s">
        <v>15218</v>
      </c>
      <c r="C15387" t="str">
        <f>IFERROR(__xludf.DUMMYFUNCTION("GOOGLETRANSLATE(B15387, ""zh"", ""en"")"),"Comfortable very much, comfortable to wear, the price is much cheaper than domestic")</f>
        <v>Comfortable very much, comfortable to wear, the price is much cheaper than domestic</v>
      </c>
    </row>
    <row r="15388">
      <c r="A15388" s="1">
        <v>5.0</v>
      </c>
      <c r="B15388" s="1" t="s">
        <v>15219</v>
      </c>
      <c r="C15388" t="str">
        <f>IFERROR(__xludf.DUMMYFUNCTION("GOOGLETRANSLATE(B15388, ""zh"", ""en"")"),"Comfortable and affordable pretty good! Very comfortable! The price is very affordable!")</f>
        <v>Comfortable and affordable pretty good! Very comfortable! The price is very affordable!</v>
      </c>
    </row>
    <row r="15389">
      <c r="A15389" s="1">
        <v>5.0</v>
      </c>
      <c r="B15389" s="1" t="s">
        <v>15220</v>
      </c>
      <c r="C15389" t="str">
        <f>IFERROR(__xludf.DUMMYFUNCTION("GOOGLETRANSLATE(B15389, ""zh"", ""en"")"),"Very satisfied with the shoes is perfect, the logistics are quite to the force is stocking a long time point. 250 feet long, not just the Dragon foot wear uk6 1/2")</f>
        <v>Very satisfied with the shoes is perfect, the logistics are quite to the force is stocking a long time point. 250 feet long, not just the Dragon foot wear uk6 1/2</v>
      </c>
    </row>
    <row r="15390">
      <c r="A15390" s="1">
        <v>5.0</v>
      </c>
      <c r="B15390" s="1" t="s">
        <v>15221</v>
      </c>
      <c r="C15390" t="str">
        <f>IFERROR(__xludf.DUMMYFUNCTION("GOOGLETRANSLATE(B15390, ""zh"", ""en"")"),"Quest for something, eat something quest comfortable, eat well.")</f>
        <v>Quest for something, eat something quest comfortable, eat well.</v>
      </c>
    </row>
    <row r="15391">
      <c r="A15391" s="1">
        <v>5.0</v>
      </c>
      <c r="B15391" s="1" t="s">
        <v>15222</v>
      </c>
      <c r="C15391" t="str">
        <f>IFERROR(__xludf.DUMMYFUNCTION("GOOGLETRANSLATE(B15391, ""zh"", ""en"")"),"Size cortex is very soft, not hard bottom, usually sneakers 42 or 42.5, this pair uk41 being just good, very lightweight shoes, approaching summer is really too appropriate.")</f>
        <v>Size cortex is very soft, not hard bottom, usually sneakers 42 or 42.5, this pair uk41 being just good, very lightweight shoes, approaching summer is really too appropriate.</v>
      </c>
    </row>
    <row r="15392">
      <c r="A15392" s="1">
        <v>5.0</v>
      </c>
      <c r="B15392" s="1" t="s">
        <v>15223</v>
      </c>
      <c r="C15392" t="str">
        <f>IFERROR(__xludf.DUMMYFUNCTION("GOOGLETRANSLATE(B15392, ""zh"", ""en"")"),"Small speakers sound very good head, but expressive of the sound field is really good")</f>
        <v>Small speakers sound very good head, but expressive of the sound field is really good</v>
      </c>
    </row>
    <row r="15393">
      <c r="A15393" s="1">
        <v>5.0</v>
      </c>
      <c r="B15393" s="1" t="s">
        <v>15224</v>
      </c>
      <c r="C15393" t="str">
        <f>IFERROR(__xludf.DUMMYFUNCTION("GOOGLETRANSLATE(B15393, ""zh"", ""en"")"),"Value! Height 167, weight 69 kg, has a stomach, to buy S No. wear just right. Fabrics feel very comfortable to wear, a little a little bit of color, large collar, upper body look great, bought with a blue.")</f>
        <v>Value! Height 167, weight 69 kg, has a stomach, to buy S No. wear just right. Fabrics feel very comfortable to wear, a little a little bit of color, large collar, upper body look great, bought with a blue.</v>
      </c>
    </row>
    <row r="15394">
      <c r="A15394" s="1">
        <v>5.0</v>
      </c>
      <c r="B15394" s="1" t="s">
        <v>15225</v>
      </c>
      <c r="C15394" t="str">
        <f>IFERROR(__xludf.DUMMYFUNCTION("GOOGLETRANSLATE(B15394, ""zh"", ""en"")"),"Reading outstanding speed, write speed is generally not suitable as Android 6.0 device internal memory card is genuine, there is no quality problem, in line with the nominal read speed, write speed of 10M / S, enough for everyday use, but not suitable for"&amp;" recording 4K video, as well as the use of internal storage on Android 6.0 devices, the device will affect the experience. I bought the blame when there is no in-depth understanding, and now had no choice but to buy a write speed of 95M / S of Extreme PRO"&amp;". Write speed is recommended for demanding careful purchase this card.")</f>
        <v>Reading outstanding speed, write speed is generally not suitable as Android 6.0 device internal memory card is genuine, there is no quality problem, in line with the nominal read speed, write speed of 10M / S, enough for everyday use, but not suitable for recording 4K video, as well as the use of internal storage on Android 6.0 devices, the device will affect the experience. I bought the blame when there is no in-depth understanding, and now had no choice but to buy a write speed of 95M / S of Extreme PRO. Write speed is recommended for demanding careful purchase this card.</v>
      </c>
    </row>
    <row r="15395">
      <c r="A15395" s="1">
        <v>5.0</v>
      </c>
      <c r="B15395" s="1" t="s">
        <v>10491</v>
      </c>
      <c r="C15395" t="str">
        <f>IFERROR(__xludf.DUMMYFUNCTION("GOOGLETRANSLATE(B15395, ""zh"", ""en"")"),"Very thin very thin very comfortable, very suitable for winter, is not Le man, wearing no problem sleeping")</f>
        <v>Very thin very thin very comfortable, very suitable for winter, is not Le man, wearing no problem sleeping</v>
      </c>
    </row>
    <row r="15396">
      <c r="A15396" s="1">
        <v>5.0</v>
      </c>
      <c r="B15396" s="1" t="s">
        <v>15226</v>
      </c>
      <c r="C15396" t="str">
        <f>IFERROR(__xludf.DUMMYFUNCTION("GOOGLETRANSLATE(B15396, ""zh"", ""en"")"),"A sweater is not easy to buy November 25 Kusakabe single, the arrival January 6, in which the customer contacted 2 times, do not know what the reason for waiting, if in a hurry to apply for the return, and made a little temper at all, good after watching "&amp;"the arrival of the clothes are very satisfied, super good quality workmanship, hoping to improve the look the customer experience, speed up the logistics speed products")</f>
        <v>A sweater is not easy to buy November 25 Kusakabe single, the arrival January 6, in which the customer contacted 2 times, do not know what the reason for waiting, if in a hurry to apply for the return, and made a little temper at all, good after watching the arrival of the clothes are very satisfied, super good quality workmanship, hoping to improve the look the customer experience, speed up the logistics speed products</v>
      </c>
    </row>
    <row r="15397">
      <c r="A15397" s="1">
        <v>5.0</v>
      </c>
      <c r="B15397" s="1" t="s">
        <v>15227</v>
      </c>
      <c r="C15397" t="str">
        <f>IFERROR(__xludf.DUMMYFUNCTION("GOOGLETRANSLATE(B15397, ""zh"", ""en"")"),"Like a good, easy to clean, very light!")</f>
        <v>Like a good, easy to clean, very light!</v>
      </c>
    </row>
    <row r="15398">
      <c r="A15398" s="1">
        <v>5.0</v>
      </c>
      <c r="B15398" s="1" t="s">
        <v>15228</v>
      </c>
      <c r="C15398" t="str">
        <f>IFERROR(__xludf.DUMMYFUNCTION("GOOGLETRANSLATE(B15398, ""zh"", ""en"")"),"I bought a 300ml their children to use, and this large given away. Good stuff, which colors looked good, something very practical, the only shortcoming is that there is no cap, the event fell on the bad.")</f>
        <v>I bought a 300ml their children to use, and this large given away. Good stuff, which colors looked good, something very practical, the only shortcoming is that there is no cap, the event fell on the bad.</v>
      </c>
    </row>
    <row r="15399">
      <c r="A15399" s="1">
        <v>5.0</v>
      </c>
      <c r="B15399" s="1" t="s">
        <v>15229</v>
      </c>
      <c r="C15399" t="str">
        <f>IFERROR(__xludf.DUMMYFUNCTION("GOOGLETRANSLATE(B15399, ""zh"", ""en"")"),"Thin but rough rough but surprisingly good upper body upper thin surprisingly good workmanship")</f>
        <v>Thin but rough rough but surprisingly good upper body upper thin surprisingly good workmanship</v>
      </c>
    </row>
    <row r="15400">
      <c r="A15400" s="1">
        <v>5.0</v>
      </c>
      <c r="B15400" s="1" t="s">
        <v>15230</v>
      </c>
      <c r="C15400" t="str">
        <f>IFERROR(__xludf.DUMMYFUNCTION("GOOGLETRANSLATE(B15400, ""zh"", ""en"")"),"Nice pants. Suitable for Asian body, elastic, not very self-cultivation, the size must try to store large page size recommended.")</f>
        <v>Nice pants. Suitable for Asian body, elastic, not very self-cultivation, the size must try to store large page size recommended.</v>
      </c>
    </row>
    <row r="15401">
      <c r="A15401" s="1">
        <v>5.0</v>
      </c>
      <c r="B15401" s="1" t="s">
        <v>15231</v>
      </c>
      <c r="C15401" t="str">
        <f>IFERROR(__xludf.DUMMYFUNCTION("GOOGLETRANSLATE(B15401, ""zh"", ""en"")"),"Lee can still texture, affordable! Like loose can buy freshman yards, a little thick, overall I feel pretty good, recommended to buy! 183cm, 70kg wear M fit.")</f>
        <v>Lee can still texture, affordable! Like loose can buy freshman yards, a little thick, overall I feel pretty good, recommended to buy! 183cm, 70kg wear M fit.</v>
      </c>
    </row>
    <row r="15402">
      <c r="A15402" s="1">
        <v>5.0</v>
      </c>
      <c r="B15402" s="1" t="s">
        <v>15232</v>
      </c>
      <c r="C15402" t="str">
        <f>IFERROR(__xludf.DUMMYFUNCTION("GOOGLETRANSLATE(B15402, ""zh"", ""en"")"),"It is worth to buy a lot cheaper than domestic websites, as with the original, do not feel bad ah, will always buy ~")</f>
        <v>It is worth to buy a lot cheaper than domestic websites, as with the original, do not feel bad ah, will always buy ~</v>
      </c>
    </row>
    <row r="15403">
      <c r="A15403" s="1">
        <v>5.0</v>
      </c>
      <c r="B15403" s="1" t="s">
        <v>15233</v>
      </c>
      <c r="C15403" t="str">
        <f>IFERROR(__xludf.DUMMYFUNCTION("GOOGLETRANSLATE(B15403, ""zh"", ""en"")"),"Good kind too much, I do not know Which is better! The pot a bit large, too slender handle")</f>
        <v>Good kind too much, I do not know Which is better! The pot a bit large, too slender handle</v>
      </c>
    </row>
    <row r="15404">
      <c r="A15404" s="1">
        <v>2.0</v>
      </c>
      <c r="B15404" s="1" t="s">
        <v>15234</v>
      </c>
      <c r="C15404" t="str">
        <f>IFERROR(__xludf.DUMMYFUNCTION("GOOGLETRANSLATE(B15404, ""zh"", ""en"")"),"Good Bad and plastic shell made clothes almost hard not personal, but also from the ball.")</f>
        <v>Good Bad and plastic shell made clothes almost hard not personal, but also from the ball.</v>
      </c>
    </row>
    <row r="15405">
      <c r="A15405" s="1">
        <v>3.0</v>
      </c>
      <c r="B15405" s="1" t="s">
        <v>15235</v>
      </c>
      <c r="C15405" t="str">
        <f>IFERROR(__xludf.DUMMYFUNCTION("GOOGLETRANSLATE(B15405, ""zh"", ""en"")"),"Exhibits and photos is far from the picture simply do not see the decal is, that is the metal base, and a picture far worse! Do not be fooled it! And there is no handle, holding inconvenient, I had wanted to give the children with, but does not handle the"&amp;" child can not be used! Pro who buy with caution ah, logistics is the father of the pit! November 27 Kusakabe single, December 16 received!")</f>
        <v>Exhibits and photos is far from the picture simply do not see the decal is, that is the metal base, and a picture far worse! Do not be fooled it! And there is no handle, holding inconvenient, I had wanted to give the children with, but does not handle the child can not be used! Pro who buy with caution ah, logistics is the father of the pit! November 27 Kusakabe single, December 16 received!</v>
      </c>
    </row>
    <row r="15406">
      <c r="A15406" s="1">
        <v>3.0</v>
      </c>
      <c r="B15406" s="1" t="s">
        <v>15236</v>
      </c>
      <c r="C15406" t="str">
        <f>IFERROR(__xludf.DUMMYFUNCTION("GOOGLETRANSLATE(B15406, ""zh"", ""en"")"),"Has been a favorite of the cup, but not satisfied all fairness, the cup does have a smell, the lid is not very strict, but the basic watertight, straw feeling pretty rough, stiff, not smooth, the whole is so, the general price")</f>
        <v>Has been a favorite of the cup, but not satisfied all fairness, the cup does have a smell, the lid is not very strict, but the basic watertight, straw feeling pretty rough, stiff, not smooth, the whole is so, the general price</v>
      </c>
    </row>
    <row r="15407">
      <c r="A15407" s="1">
        <v>1.0</v>
      </c>
      <c r="B15407" s="1" t="s">
        <v>15237</v>
      </c>
      <c r="C15407" t="str">
        <f>IFERROR(__xludf.DUMMYFUNCTION("GOOGLETRANSLATE(B15407, ""zh"", ""en"")"),"Underwear also washed out color, do not buy fabric too bad, foreign garbage is dirty, underwear dare to do so, forcing people really want to BS-ing. After washing off the color also, panties off color, people feel dirty can not see can not wear.")</f>
        <v>Underwear also washed out color, do not buy fabric too bad, foreign garbage is dirty, underwear dare to do so, forcing people really want to BS-ing. After washing off the color also, panties off color, people feel dirty can not see can not wear.</v>
      </c>
    </row>
    <row r="15408">
      <c r="A15408" s="1">
        <v>1.0</v>
      </c>
      <c r="B15408" s="1" t="s">
        <v>15238</v>
      </c>
      <c r="C15408" t="str">
        <f>IFERROR(__xludf.DUMMYFUNCTION("GOOGLETRANSLATE(B15408, ""zh"", ""en"")"),"Is made from the center of the return of the goods, feeling a little awkward delivery is made up of goods from a return center in Las Vegas, and delivery time is too short, it is not clear how the goods came, the fish oil on damaged packaging the traces a"&amp;"re very worried about fakes")</f>
        <v>Is made from the center of the return of the goods, feeling a little awkward delivery is made up of goods from a return center in Las Vegas, and delivery time is too short, it is not clear how the goods came, the fish oil on damaged packaging the traces are very worried about fakes</v>
      </c>
    </row>
    <row r="15409">
      <c r="A15409" s="1">
        <v>1.0</v>
      </c>
      <c r="B15409" s="1" t="s">
        <v>15239</v>
      </c>
      <c r="C15409" t="str">
        <f>IFERROR(__xludf.DUMMYFUNCTION("GOOGLETRANSLATE(B15409, ""zh"", ""en"")"),"Quality does not work well for some time, shaking a cup actually hear the sound of water also cut off the middle of the vacuum layer, how it is ...... speechless")</f>
        <v>Quality does not work well for some time, shaking a cup actually hear the sound of water also cut off the middle of the vacuum layer, how it is ...... speechless</v>
      </c>
    </row>
    <row r="15410">
      <c r="A15410" s="1">
        <v>4.0</v>
      </c>
      <c r="B15410" s="1" t="s">
        <v>15240</v>
      </c>
      <c r="C15410" t="str">
        <f>IFERROR(__xludf.DUMMYFUNCTION("GOOGLETRANSLATE(B15410, ""zh"", ""en"")"),"Suitable patterns can also be sized section, thin base, Xuan type medium width, leather chromatic aberration, walking foot feeling is generally recommended that a thin pad of the pad.")</f>
        <v>Suitable patterns can also be sized section, thin base, Xuan type medium width, leather chromatic aberration, walking foot feeling is generally recommended that a thin pad of the pad.</v>
      </c>
    </row>
    <row r="15411">
      <c r="A15411" s="1">
        <v>4.0</v>
      </c>
      <c r="B15411" s="1" t="s">
        <v>15241</v>
      </c>
      <c r="C15411" t="str">
        <f>IFERROR(__xludf.DUMMYFUNCTION("GOOGLETRANSLATE(B15411, ""zh"", ""en"")"),"Do not expect too much high-frequency okay, but did not say so magical hydrology online. I can only say good value for money.")</f>
        <v>Do not expect too much high-frequency okay, but did not say so magical hydrology online. I can only say good value for money.</v>
      </c>
    </row>
    <row r="15412">
      <c r="A15412" s="1">
        <v>4.0</v>
      </c>
      <c r="B15412" s="1" t="s">
        <v>15242</v>
      </c>
      <c r="C15412" t="str">
        <f>IFERROR(__xludf.DUMMYFUNCTION("GOOGLETRANSLATE(B15412, ""zh"", ""en"")"),"HF can, just got put on a low-general, how the sound so weak, heart pull pull cool cool, listening to a few days feel a lot better, in general, more suitable for listening to strings and the like, bass general , the human voice is not very prominent, high"&amp;" frequency is also good, in general, is good")</f>
        <v>HF can, just got put on a low-general, how the sound so weak, heart pull pull cool cool, listening to a few days feel a lot better, in general, more suitable for listening to strings and the like, bass general , the human voice is not very prominent, high frequency is also good, in general, is good</v>
      </c>
    </row>
    <row r="15413">
      <c r="A15413" s="1">
        <v>4.0</v>
      </c>
      <c r="B15413" s="1" t="s">
        <v>15243</v>
      </c>
      <c r="C15413" t="str">
        <f>IFERROR(__xludf.DUMMYFUNCTION("GOOGLETRANSLATE(B15413, ""zh"", ""en"")"),"Bang Bang da baby with a good, very good there is no smell")</f>
        <v>Bang Bang da baby with a good, very good there is no smell</v>
      </c>
    </row>
    <row r="15414">
      <c r="A15414" s="1">
        <v>5.0</v>
      </c>
      <c r="B15414" s="1" t="s">
        <v>15244</v>
      </c>
      <c r="C15414" t="str">
        <f>IFERROR(__xludf.DUMMYFUNCTION("GOOGLETRANSLATE(B15414, ""zh"", ""en"")"),"Very satisfied with the first overseas Amazon shopping experience comfortable shoes, light on the feet, leather good; style is my favorite, especially the super-fast logistics, speed of overseas delivery week. ps: domestic shoe 37 yards, to buy US6.5 code"&amp;", just right")</f>
        <v>Very satisfied with the first overseas Amazon shopping experience comfortable shoes, light on the feet, leather good; style is my favorite, especially the super-fast logistics, speed of overseas delivery week. ps: domestic shoe 37 yards, to buy US6.5 code, just right</v>
      </c>
    </row>
    <row r="15415">
      <c r="A15415" s="1">
        <v>5.0</v>
      </c>
      <c r="B15415" s="1" t="s">
        <v>15245</v>
      </c>
      <c r="C15415" t="str">
        <f>IFERROR(__xludf.DUMMYFUNCTION("GOOGLETRANSLATE(B15415, ""zh"", ""en"")"),"Praise liked! Lighter than imagined, re-used to the feel inadequate")</f>
        <v>Praise liked! Lighter than imagined, re-used to the feel inadequate</v>
      </c>
    </row>
    <row r="15416">
      <c r="A15416" s="1">
        <v>5.0</v>
      </c>
      <c r="B15416" s="1" t="s">
        <v>15246</v>
      </c>
      <c r="C15416" t="str">
        <f>IFERROR(__xludf.DUMMYFUNCTION("GOOGLETRANSLATE(B15416, ""zh"", ""en"")"),"Give praise super good product, in line with expectations, the price is a little expensive")</f>
        <v>Give praise super good product, in line with expectations, the price is a little expensive</v>
      </c>
    </row>
    <row r="15417">
      <c r="A15417" s="1">
        <v>5.0</v>
      </c>
      <c r="B15417" s="1" t="s">
        <v>15247</v>
      </c>
      <c r="C15417" t="str">
        <f>IFERROR(__xludf.DUMMYFUNCTION("GOOGLETRANSLATE(B15417, ""zh"", ""en"")"),"Used for a long time, with good use for a long time, really well")</f>
        <v>Used for a long time, with good use for a long time, really well</v>
      </c>
    </row>
    <row r="15418">
      <c r="A15418" s="1">
        <v>5.0</v>
      </c>
      <c r="B15418" s="1" t="s">
        <v>15248</v>
      </c>
      <c r="C15418" t="str">
        <f>IFERROR(__xludf.DUMMYFUNCTION("GOOGLETRANSLATE(B15418, ""zh"", ""en"")"),"Tide tide shoes too small and not the influx of people who could not hold")</f>
        <v>Tide tide shoes too small and not the influx of people who could not hold</v>
      </c>
    </row>
    <row r="15419">
      <c r="A15419" s="1">
        <v>5.0</v>
      </c>
      <c r="B15419" s="1" t="s">
        <v>15249</v>
      </c>
      <c r="C15419" t="str">
        <f>IFERROR(__xludf.DUMMYFUNCTION("GOOGLETRANSLATE(B15419, ""zh"", ""en"")"),"Large, easy to use, and inexpensive large, easy to use, and cheap")</f>
        <v>Large, easy to use, and inexpensive large, easy to use, and cheap</v>
      </c>
    </row>
    <row r="15420">
      <c r="A15420" s="1">
        <v>5.0</v>
      </c>
      <c r="B15420" s="1" t="s">
        <v>15250</v>
      </c>
      <c r="C15420" t="str">
        <f>IFERROR(__xludf.DUMMYFUNCTION("GOOGLETRANSLATE(B15420, ""zh"", ""en"")"),"Good-looking really pale purple good to see a little pearl")</f>
        <v>Good-looking really pale purple good to see a little pearl</v>
      </c>
    </row>
    <row r="15421">
      <c r="A15421" s="1">
        <v>5.0</v>
      </c>
      <c r="B15421" s="1" t="s">
        <v>15251</v>
      </c>
      <c r="C15421" t="str">
        <f>IFERROR(__xludf.DUMMYFUNCTION("GOOGLETRANSLATE(B15421, ""zh"", ""en"")"),"Recommended workmanship did not have to pick, I hope the baby is not able to adapt to the foot of the package design")</f>
        <v>Recommended workmanship did not have to pick, I hope the baby is not able to adapt to the foot of the package design</v>
      </c>
    </row>
    <row r="15422">
      <c r="A15422" s="1">
        <v>5.0</v>
      </c>
      <c r="B15422" s="1" t="s">
        <v>15252</v>
      </c>
      <c r="C15422" t="str">
        <f>IFERROR(__xludf.DUMMYFUNCTION("GOOGLETRANSLATE(B15422, ""zh"", ""en"")"),"Very appropriate and consistent with fundamental domestic code, this fabric elasticity breathable, suitable for spring and summer")</f>
        <v>Very appropriate and consistent with fundamental domestic code, this fabric elasticity breathable, suitable for spring and summer</v>
      </c>
    </row>
    <row r="15423">
      <c r="A15423" s="1">
        <v>5.0</v>
      </c>
      <c r="B15423" s="1" t="s">
        <v>15253</v>
      </c>
      <c r="C15423" t="str">
        <f>IFERROR(__xludf.DUMMYFUNCTION("GOOGLETRANSLATE(B15423, ""zh"", ""en"")"),"old style. Photos look very different, it is transparent to the old section. It does not affect the use, to reclaim the.")</f>
        <v>old style. Photos look very different, it is transparent to the old section. It does not affect the use, to reclaim the.</v>
      </c>
    </row>
    <row r="15424">
      <c r="A15424" s="1">
        <v>5.0</v>
      </c>
      <c r="B15424" s="1" t="s">
        <v>15254</v>
      </c>
      <c r="C15424" t="str">
        <f>IFERROR(__xludf.DUMMYFUNCTION("GOOGLETRANSLATE(B15424, ""zh"", ""en"")"),"Table giant Attractive Attractive ah")</f>
        <v>Table giant Attractive Attractive ah</v>
      </c>
    </row>
    <row r="15425">
      <c r="A15425" s="1">
        <v>5.0</v>
      </c>
      <c r="B15425" s="1" t="s">
        <v>15255</v>
      </c>
      <c r="C15425" t="str">
        <f>IFERROR(__xludf.DUMMYFUNCTION("GOOGLETRANSLATE(B15425, ""zh"", ""en"")"),"Good soft breathable dry. cheap price.")</f>
        <v>Good soft breathable dry. cheap price.</v>
      </c>
    </row>
    <row r="15426">
      <c r="A15426" s="1">
        <v>5.0</v>
      </c>
      <c r="B15426" s="1" t="s">
        <v>15256</v>
      </c>
      <c r="C15426" t="str">
        <f>IFERROR(__xludf.DUMMYFUNCTION("GOOGLETRANSLATE(B15426, ""zh"", ""en"")"),"Sennheiser HD25 addition to the appearance look more fragile and a little bit smaller, but the sound is really clear, just start to feel low-handicap, after several performances more and more full, monitoring high cost")</f>
        <v>Sennheiser HD25 addition to the appearance look more fragile and a little bit smaller, but the sound is really clear, just start to feel low-handicap, after several performances more and more full, monitoring high cost</v>
      </c>
    </row>
    <row r="15427">
      <c r="A15427" s="1">
        <v>5.0</v>
      </c>
      <c r="B15427" s="1" t="s">
        <v>15257</v>
      </c>
      <c r="C15427" t="str">
        <f>IFERROR(__xludf.DUMMYFUNCTION("GOOGLETRANSLATE(B15427, ""zh"", ""en"")"),"perfect! Stylish! Height 180, weight 82kg, W32, L32 pants, simply could not be more fitting, after adding fabric elastic fibers, pants upper body feel more comfortable. The trousers have a drawstring. The price to buy pants GS is simply excellent value fo"&amp;"r money, very satisfied.")</f>
        <v>perfect! Stylish! Height 180, weight 82kg, W32, L32 pants, simply could not be more fitting, after adding fabric elastic fibers, pants upper body feel more comfortable. The trousers have a drawstring. The price to buy pants GS is simply excellent value for money, very satisfied.</v>
      </c>
    </row>
    <row r="15428">
      <c r="A15428" s="1">
        <v>5.0</v>
      </c>
      <c r="B15428" s="1" t="s">
        <v>15258</v>
      </c>
      <c r="C15428" t="str">
        <f>IFERROR(__xludf.DUMMYFUNCTION("GOOGLETRANSLATE(B15428, ""zh"", ""en"")"),"No. l 170 cm 75kg L just for reference")</f>
        <v>No. l 170 cm 75kg L just for reference</v>
      </c>
    </row>
    <row r="15429">
      <c r="A15429" s="1">
        <v>5.0</v>
      </c>
      <c r="B15429" s="1" t="s">
        <v>15259</v>
      </c>
      <c r="C15429" t="str">
        <f>IFERROR(__xludf.DUMMYFUNCTION("GOOGLETRANSLATE(B15429, ""zh"", ""en"")"),"Shoe size standard is very good, especially the soft light. Five-star praise.")</f>
        <v>Shoe size standard is very good, especially the soft light. Five-star praise.</v>
      </c>
    </row>
    <row r="15430">
      <c r="A15430" s="1">
        <v>5.0</v>
      </c>
      <c r="B15430" s="1" t="s">
        <v>15260</v>
      </c>
      <c r="C15430" t="str">
        <f>IFERROR(__xludf.DUMMYFUNCTION("GOOGLETRANSLATE(B15430, ""zh"", ""en"")"),"The sound quality is very subjective thing! 1, is a five-star United States to transport packaging intact Amazon extent, traveled by mail from the United States, the extent of damage to the packaging is very small! 2, sound quality is a very subjective th"&amp;"ing, the human ear with age aging, sensitivity to sound frequency will be different, just to talk about personal feelings: JBL305p human voice, especially in high-frequency sound of the instrument response has been very good, very transparent, showing the"&amp;" detail is outstanding resolving power is very good. But for the next, the bass, the 5-inch woofer cone is relatively small, generally low-frequency sounds will pop nausea, may also be related to the quality of the audio file, because the amplitude of its"&amp;" woofer that have a certain level , so beyond its amplitude, front and rear cone contractions longer and slower reaction, it will have a ""paste"" feeling. 3, there is no perfect speakers, which are a good band, concentrated in a small cabinets should not"&amp;" be easy to achieve, I mainly used to practice broadcasting, with feedback to the speaker's voice pick their own problems, and relative price effects, the overall level of this speaker is perfectly adequate.")</f>
        <v>The sound quality is very subjective thing! 1, is a five-star United States to transport packaging intact Amazon extent, traveled by mail from the United States, the extent of damage to the packaging is very small! 2, sound quality is a very subjective thing, the human ear with age aging, sensitivity to sound frequency will be different, just to talk about personal feelings: JBL305p human voice, especially in high-frequency sound of the instrument response has been very good, very transparent, showing the detail is outstanding resolving power is very good. But for the next, the bass, the 5-inch woofer cone is relatively small, generally low-frequency sounds will pop nausea, may also be related to the quality of the audio file, because the amplitude of its woofer that have a certain level , so beyond its amplitude, front and rear cone contractions longer and slower reaction, it will have a "paste" feeling. 3, there is no perfect speakers, which are a good band, concentrated in a small cabinets should not be easy to achieve, I mainly used to practice broadcasting, with feedback to the speaker's voice pick their own problems, and relative price effects, the overall level of this speaker is perfectly adequate.</v>
      </c>
    </row>
    <row r="15431">
      <c r="A15431" s="1">
        <v>5.0</v>
      </c>
      <c r="B15431" s="1" t="s">
        <v>15261</v>
      </c>
      <c r="C15431" t="str">
        <f>IFERROR(__xludf.DUMMYFUNCTION("GOOGLETRANSLATE(B15431, ""zh"", ""en"")"),"Big thick elastic fabric is perfect 2long 173,106 to buy just good pants elastic very large relatively thick fabric suitable for winter")</f>
        <v>Big thick elastic fabric is perfect 2long 173,106 to buy just good pants elastic very large relatively thick fabric suitable for winter</v>
      </c>
    </row>
    <row r="15432">
      <c r="A15432" s="1">
        <v>5.0</v>
      </c>
      <c r="B15432" s="1" t="s">
        <v>15262</v>
      </c>
      <c r="C15432" t="str">
        <f>IFERROR(__xludf.DUMMYFUNCTION("GOOGLETRANSLATE(B15432, ""zh"", ""en"")"),"it is good! T-shirt receive, the quality of this price is also OK")</f>
        <v>it is good! T-shirt receive, the quality of this price is also OK</v>
      </c>
    </row>
    <row r="15433">
      <c r="A15433" s="1">
        <v>5.0</v>
      </c>
      <c r="B15433" s="1" t="s">
        <v>15263</v>
      </c>
      <c r="C15433" t="str">
        <f>IFERROR(__xludf.DUMMYFUNCTION("GOOGLETRANSLATE(B15433, ""zh"", ""en"")"),"And even before contrast improvement, yes! A few years ago I bought a set, this time to buy a set, at least a portion of the ground meat has considerably improved, remaining almost negligible, before that stage there will be many residual.")</f>
        <v>And even before contrast improvement, yes! A few years ago I bought a set, this time to buy a set, at least a portion of the ground meat has considerably improved, remaining almost negligible, before that stage there will be many residual.</v>
      </c>
    </row>
    <row r="15434">
      <c r="A15434" s="1">
        <v>5.0</v>
      </c>
      <c r="B15434" s="1" t="s">
        <v>15264</v>
      </c>
      <c r="C15434" t="str">
        <f>IFERROR(__xludf.DUMMYFUNCTION("GOOGLETRANSLATE(B15434, ""zh"", ""en"")"),"Very like the price is right I feel very good use hate to see some people buy on Amazon overseas is poor assessment division rivals are actually brush Poor things really praise support overseas purchase")</f>
        <v>Very like the price is right I feel very good use hate to see some people buy on Amazon overseas is poor assessment division rivals are actually brush Poor things really praise support overseas purchase</v>
      </c>
    </row>
    <row r="15435">
      <c r="A15435" s="1">
        <v>5.0</v>
      </c>
      <c r="B15435" s="1" t="s">
        <v>15265</v>
      </c>
      <c r="C15435" t="str">
        <f>IFERROR(__xludf.DUMMYFUNCTION("GOOGLETRANSLATE(B15435, ""zh"", ""en"")"),"Good quality and good quality, like")</f>
        <v>Good quality and good quality, like</v>
      </c>
    </row>
    <row r="15436">
      <c r="A15436" s="1">
        <v>2.0</v>
      </c>
      <c r="B15436" s="1" t="s">
        <v>15266</v>
      </c>
      <c r="C15436" t="str">
        <f>IFERROR(__xludf.DUMMYFUNCTION("GOOGLETRANSLATE(B15436, ""zh"", ""en"")"),"A perception problem. Suri sweep out the bar code is a healthy Museum of overseas purchasing, store a high score, it should be selling the real thing. But I received the goods with the picture on the Suri health museum is not the same, the amount of liqui"&amp;"d in the bottle has reached 40%, the shape of the bottle is a bit different. Completely dizzy.")</f>
        <v>A perception problem. Suri sweep out the bar code is a healthy Museum of overseas purchasing, store a high score, it should be selling the real thing. But I received the goods with the picture on the Suri health museum is not the same, the amount of liquid in the bottle has reached 40%, the shape of the bottle is a bit different. Completely dizzy.</v>
      </c>
    </row>
    <row r="15437">
      <c r="A15437" s="1">
        <v>3.0</v>
      </c>
      <c r="B15437" s="1" t="s">
        <v>15267</v>
      </c>
      <c r="C15437" t="str">
        <f>IFERROR(__xludf.DUMMYFUNCTION("GOOGLETRANSLATE(B15437, ""zh"", ""en"")"),"Overseas buy some cards on both sides of the brim head, origin China. I had known this would not buy")</f>
        <v>Overseas buy some cards on both sides of the brim head, origin China. I had known this would not buy</v>
      </c>
    </row>
    <row r="15438">
      <c r="A15438" s="1">
        <v>3.0</v>
      </c>
      <c r="B15438" s="1" t="s">
        <v>15268</v>
      </c>
      <c r="C15438" t="str">
        <f>IFERROR(__xludf.DUMMYFUNCTION("GOOGLETRANSLATE(B15438, ""zh"", ""en"")"),"Size too small shoe size too small. 7.5UK and China almost 41, not suitable for foot thick friends")</f>
        <v>Size too small shoe size too small. 7.5UK and China almost 41, not suitable for foot thick friends</v>
      </c>
    </row>
    <row r="15439">
      <c r="A15439" s="1">
        <v>3.0</v>
      </c>
      <c r="B15439" s="1" t="s">
        <v>15269</v>
      </c>
      <c r="C15439" t="str">
        <f>IFERROR(__xludf.DUMMYFUNCTION("GOOGLETRANSLATE(B15439, ""zh"", ""en"")"),"157,116 pounds is too large, usually wear m yards pants according to buy a size No. 6, the results too. . .")</f>
        <v>157,116 pounds is too large, usually wear m yards pants according to buy a size No. 6, the results too. . .</v>
      </c>
    </row>
    <row r="15440">
      <c r="A15440" s="1">
        <v>1.0</v>
      </c>
      <c r="B15440" s="1" t="s">
        <v>15270</v>
      </c>
      <c r="C15440" t="str">
        <f>IFERROR(__xludf.DUMMYFUNCTION("GOOGLETRANSLATE(B15440, ""zh"", ""en"")"),"Pro security product in the first half of next year expired, this shelf life is too short, right, complete with two bottles of how")</f>
        <v>Pro security product in the first half of next year expired, this shelf life is too short, right, complete with two bottles of how</v>
      </c>
    </row>
    <row r="15441">
      <c r="A15441" s="1">
        <v>1.0</v>
      </c>
      <c r="B15441" s="1" t="s">
        <v>15271</v>
      </c>
      <c r="C15441" t="str">
        <f>IFERROR(__xludf.DUMMYFUNCTION("GOOGLETRANSLATE(B15441, ""zh"", ""en"")"),"Comments also review! If you will fool people say that because it made in china to a star will not be too hypocritical! Amazon will certainly be out powder Tucao! But really from work, fabric, cut to the standard washing! It looked like a fake! Too lazy t"&amp;"o back, seriously look at the comments, to you mind you, just like what the original single trade shop stuff like that! Overseas purchase be so unkind, Central Asia closed the day is not far off!")</f>
        <v>Comments also review! If you will fool people say that because it made in china to a star will not be too hypocritical! Amazon will certainly be out powder Tucao! But really from work, fabric, cut to the standard washing! It looked like a fake! Too lazy to back, seriously look at the comments, to you mind you, just like what the original single trade shop stuff like that! Overseas purchase be so unkind, Central Asia closed the day is not far off!</v>
      </c>
    </row>
    <row r="15442">
      <c r="A15442" s="1">
        <v>4.0</v>
      </c>
      <c r="B15442" s="1" t="s">
        <v>15272</v>
      </c>
      <c r="C15442" t="str">
        <f>IFERROR(__xludf.DUMMYFUNCTION("GOOGLETRANSLATE(B15442, ""zh"", ""en"")"),"For improvement of transport packaging! Goods should be received in the country and then set up a plastic bag inside the box broke a big hole, but fortunately 12 filter element is not broken. There are comments on the transport of goods packaging, at leas"&amp;"t sets of cartons 📦, we also will be reused.")</f>
        <v>For improvement of transport packaging! Goods should be received in the country and then set up a plastic bag inside the box broke a big hole, but fortunately 12 filter element is not broken. There are comments on the transport of goods packaging, at least sets of cartons 📦, we also will be reused.</v>
      </c>
    </row>
    <row r="15443">
      <c r="A15443" s="1">
        <v>4.0</v>
      </c>
      <c r="B15443" s="1" t="s">
        <v>15273</v>
      </c>
      <c r="C15443" t="str">
        <f>IFERROR(__xludf.DUMMYFUNCTION("GOOGLETRANSLATE(B15443, ""zh"", ""en"")"),"To help my colleagues to buy can be said to be fairly fit. The price is not bad.")</f>
        <v>To help my colleagues to buy can be said to be fairly fit. The price is not bad.</v>
      </c>
    </row>
    <row r="15444">
      <c r="A15444" s="1">
        <v>4.0</v>
      </c>
      <c r="B15444" s="1" t="s">
        <v>15274</v>
      </c>
      <c r="C15444" t="str">
        <f>IFERROR(__xludf.DUMMYFUNCTION("GOOGLETRANSLATE(B15444, ""zh"", ""en"")"),"Buy a smaller size to buy a smaller size, the overseas purchase return trouble, given away")</f>
        <v>Buy a smaller size to buy a smaller size, the overseas purchase return trouble, given away</v>
      </c>
    </row>
    <row r="15445">
      <c r="A15445" s="1">
        <v>4.0</v>
      </c>
      <c r="B15445" s="1" t="s">
        <v>15275</v>
      </c>
      <c r="C15445" t="str">
        <f>IFERROR(__xludf.DUMMYFUNCTION("GOOGLETRANSLATE(B15445, ""zh"", ""en"")"),"CHAMPION US version of the girls wear really strange Ha, buy a minimum number, length is enough, but not enough fee, barely oversize, so a sweater inside the velvet is actually a very pleasant surprise, by and large has been great, the first a sea Amoy su"&amp;"ccess!")</f>
        <v>CHAMPION US version of the girls wear really strange Ha, buy a minimum number, length is enough, but not enough fee, barely oversize, so a sweater inside the velvet is actually a very pleasant surprise, by and large has been great, the first a sea Amoy success!</v>
      </c>
    </row>
    <row r="15446">
      <c r="A15446" s="1">
        <v>4.0</v>
      </c>
      <c r="B15446" s="1" t="s">
        <v>15276</v>
      </c>
      <c r="C15446" t="str">
        <f>IFERROR(__xludf.DUMMYFUNCTION("GOOGLETRANSLATE(B15446, ""zh"", ""en"")"),"Do not run out of hair does not frizz frizz")</f>
        <v>Do not run out of hair does not frizz frizz</v>
      </c>
    </row>
    <row r="15447">
      <c r="A15447" s="1">
        <v>5.0</v>
      </c>
      <c r="B15447" s="1" t="s">
        <v>15277</v>
      </c>
      <c r="C15447" t="str">
        <f>IFERROR(__xludf.DUMMYFUNCTION("GOOGLETRANSLATE(B15447, ""zh"", ""en"")"),"Broken machine very satisfied, broken machine is suitable for a family of three, the sound is acceptable, easy to clean, very good courier service")</f>
        <v>Broken machine very satisfied, broken machine is suitable for a family of three, the sound is acceptable, easy to clean, very good courier service</v>
      </c>
    </row>
    <row r="15448">
      <c r="A15448" s="1">
        <v>5.0</v>
      </c>
      <c r="B15448" s="1" t="s">
        <v>15278</v>
      </c>
      <c r="C15448" t="str">
        <f>IFERROR(__xludf.DUMMYFUNCTION("GOOGLETRANSLATE(B15448, ""zh"", ""en"")"),"Good quality is very good especially the military level of quality severely fell to the ground did not sound even a scratch and no change worth buying Ha ha ha")</f>
        <v>Good quality is very good especially the military level of quality severely fell to the ground did not sound even a scratch and no change worth buying Ha ha ha</v>
      </c>
    </row>
    <row r="15449">
      <c r="A15449" s="1">
        <v>5.0</v>
      </c>
      <c r="B15449" s="1" t="s">
        <v>15279</v>
      </c>
      <c r="C15449" t="str">
        <f>IFERROR(__xludf.DUMMYFUNCTION("GOOGLETRANSLATE(B15449, ""zh"", ""en"")"),"Especially good especially good especially good, Dad always said leg pain, eating about half a bottle has been good, have recommended to friends and relatives overseas purchase price is also cheaper and reliable than a treasure, that is the old stock buy")</f>
        <v>Especially good especially good especially good, Dad always said leg pain, eating about half a bottle has been good, have recommended to friends and relatives overseas purchase price is also cheaper and reliable than a treasure, that is the old stock buy</v>
      </c>
    </row>
    <row r="15450">
      <c r="A15450" s="1">
        <v>5.0</v>
      </c>
      <c r="B15450" s="1" t="s">
        <v>15280</v>
      </c>
      <c r="C15450" t="str">
        <f>IFERROR(__xludf.DUMMYFUNCTION("GOOGLETRANSLATE(B15450, ""zh"", ""en"")"),"Yardage quasi nice comfortable shoes on the feet, get our hands on good workmanship.比奥特莱斯 lot cheaper. Husband standard 42 feet, uk8 just. For your reference")</f>
        <v>Yardage quasi nice comfortable shoes on the feet, get our hands on good workmanship.比奥特莱斯 lot cheaper. Husband standard 42 feet, uk8 just. For your reference</v>
      </c>
    </row>
    <row r="15451">
      <c r="A15451" s="1">
        <v>5.0</v>
      </c>
      <c r="B15451" s="1" t="s">
        <v>15281</v>
      </c>
      <c r="C15451" t="str">
        <f>IFERROR(__xludf.DUMMYFUNCTION("GOOGLETRANSLATE(B15451, ""zh"", ""en"")"),"Prior to satisfactory quality good friend recommended to buy used")</f>
        <v>Prior to satisfactory quality good friend recommended to buy used</v>
      </c>
    </row>
    <row r="15452">
      <c r="A15452" s="1">
        <v>5.0</v>
      </c>
      <c r="B15452" s="1" t="s">
        <v>15282</v>
      </c>
      <c r="C15452" t="str">
        <f>IFERROR(__xludf.DUMMYFUNCTION("GOOGLETRANSLATE(B15452, ""zh"", ""en"")"),"This super little better than eating three cream more every day, this is like a small one, is that 1/3 of it. Not afraid of choking to eat :). Once bought four boxes, while I ate enough of the.")</f>
        <v>This super little better than eating three cream more every day, this is like a small one, is that 1/3 of it. Not afraid of choking to eat :). Once bought four boxes, while I ate enough of the.</v>
      </c>
    </row>
    <row r="15453">
      <c r="A15453" s="1">
        <v>5.0</v>
      </c>
      <c r="B15453" s="1" t="s">
        <v>15283</v>
      </c>
      <c r="C15453" t="str">
        <f>IFERROR(__xludf.DUMMYFUNCTION("GOOGLETRANSLATE(B15453, ""zh"", ""en"")"),"Fast, quiet. Fast, quiet. USB3.0copy can reach 150MB / S.")</f>
        <v>Fast, quiet. Fast, quiet. USB3.0copy can reach 150MB / S.</v>
      </c>
    </row>
    <row r="15454">
      <c r="A15454" s="1">
        <v>5.0</v>
      </c>
      <c r="B15454" s="1" t="s">
        <v>15284</v>
      </c>
      <c r="C15454" t="str">
        <f>IFERROR(__xludf.DUMMYFUNCTION("GOOGLETRANSLATE(B15454, ""zh"", ""en"")"),"Very comfortable very good")</f>
        <v>Very comfortable very good</v>
      </c>
    </row>
    <row r="15455">
      <c r="A15455" s="1">
        <v>5.0</v>
      </c>
      <c r="B15455" s="1" t="s">
        <v>15285</v>
      </c>
      <c r="C15455" t="str">
        <f>IFERROR(__xludf.DUMMYFUNCTION("GOOGLETRANSLATE(B15455, ""zh"", ""en"")"),"Good stuff to share with you the last time, once bought, but lost his hat, so they buy-back style")</f>
        <v>Good stuff to share with you the last time, once bought, but lost his hat, so they buy-back style</v>
      </c>
    </row>
    <row r="15456">
      <c r="A15456" s="1">
        <v>5.0</v>
      </c>
      <c r="B15456" s="1" t="s">
        <v>15286</v>
      </c>
      <c r="C15456" t="str">
        <f>IFERROR(__xludf.DUMMYFUNCTION("GOOGLETRANSLATE(B15456, ""zh"", ""en"")"),"United States spent ultralight Shucks need to put the United States to stay")</f>
        <v>United States spent ultralight Shucks need to put the United States to stay</v>
      </c>
    </row>
    <row r="15457">
      <c r="A15457" s="1">
        <v>5.0</v>
      </c>
      <c r="B15457" s="1" t="s">
        <v>15287</v>
      </c>
      <c r="C15457" t="str">
        <f>IFERROR(__xludf.DUMMYFUNCTION("GOOGLETRANSLATE(B15457, ""zh"", ""en"")"),"Good, simple and practical. Simple and practical, given the father, he liked.")</f>
        <v>Good, simple and practical. Simple and practical, given the father, he liked.</v>
      </c>
    </row>
    <row r="15458">
      <c r="A15458" s="1">
        <v>5.0</v>
      </c>
      <c r="B15458" s="1" t="s">
        <v>15288</v>
      </c>
      <c r="C15458" t="str">
        <f>IFERROR(__xludf.DUMMYFUNCTION("GOOGLETRANSLATE(B15458, ""zh"", ""en"")"),"Oh ~ ~ satisfied satisfied very good very good very good ~ ~")</f>
        <v>Oh ~ ~ satisfied satisfied very good very good very good ~ ~</v>
      </c>
    </row>
    <row r="15459">
      <c r="A15459" s="1">
        <v>5.0</v>
      </c>
      <c r="B15459" s="1" t="s">
        <v>15289</v>
      </c>
      <c r="C15459" t="str">
        <f>IFERROR(__xludf.DUMMYFUNCTION("GOOGLETRANSLATE(B15459, ""zh"", ""en"")"),"Good inner surface is brushed stainless steel, outside mirror, well, slightly more expensive!")</f>
        <v>Good inner surface is brushed stainless steel, outside mirror, well, slightly more expensive!</v>
      </c>
    </row>
    <row r="15460">
      <c r="A15460" s="1">
        <v>5.0</v>
      </c>
      <c r="B15460" s="1" t="s">
        <v>15290</v>
      </c>
      <c r="C15460" t="str">
        <f>IFERROR(__xludf.DUMMYFUNCTION("GOOGLETRANSLATE(B15460, ""zh"", ""en"")"),"Oversized pants waist waist is not an ordinary big, bigger than the dimensions of the One, it is recommended to buy a smaller size appropriate.")</f>
        <v>Oversized pants waist waist is not an ordinary big, bigger than the dimensions of the One, it is recommended to buy a smaller size appropriate.</v>
      </c>
    </row>
    <row r="15461">
      <c r="A15461" s="1">
        <v>5.0</v>
      </c>
      <c r="B15461" s="1" t="s">
        <v>15291</v>
      </c>
      <c r="C15461" t="str">
        <f>IFERROR(__xludf.DUMMYFUNCTION("GOOGLETRANSLATE(B15461, ""zh"", ""en"")"),"Comfortable to wear can be comfortable to wear, girls are fully able to wear ~")</f>
        <v>Comfortable to wear can be comfortable to wear, girls are fully able to wear ~</v>
      </c>
    </row>
    <row r="15462">
      <c r="A15462" s="1">
        <v>5.0</v>
      </c>
      <c r="B15462" s="1" t="s">
        <v>15292</v>
      </c>
      <c r="C15462" t="str">
        <f>IFERROR(__xludf.DUMMYFUNCTION("GOOGLETRANSLATE(B15462, ""zh"", ""en"")"),"Very nice pants, quality workmanship, cotton pants very good, quality workmanship, cotton, produced in Mexico, praise!")</f>
        <v>Very nice pants, quality workmanship, cotton pants very good, quality workmanship, cotton, produced in Mexico, praise!</v>
      </c>
    </row>
    <row r="15463">
      <c r="A15463" s="1">
        <v>5.0</v>
      </c>
      <c r="B15463" s="1" t="s">
        <v>15293</v>
      </c>
      <c r="C15463" t="str">
        <f>IFERROR(__xludf.DUMMYFUNCTION("GOOGLETRANSLATE(B15463, ""zh"", ""en"")"),"A very good sea Amoy Amoy sea is really a bargain, table or more texture, than the picture is very good, very beautiful, of course, and tell you the same, the strap is not an ordinary hard")</f>
        <v>A very good sea Amoy Amoy sea is really a bargain, table or more texture, than the picture is very good, very beautiful, of course, and tell you the same, the strap is not an ordinary hard</v>
      </c>
    </row>
    <row r="15464">
      <c r="A15464" s="1">
        <v>5.0</v>
      </c>
      <c r="B15464" s="1" t="s">
        <v>15294</v>
      </c>
      <c r="C15464" t="str">
        <f>IFERROR(__xludf.DUMMYFUNCTION("GOOGLETRANSLATE(B15464, ""zh"", ""en"")"),"Good, there is a layer velvet")</f>
        <v>Good, there is a layer velvet</v>
      </c>
    </row>
    <row r="15465">
      <c r="A15465" s="1">
        <v>5.0</v>
      </c>
      <c r="B15465" s="1" t="s">
        <v>15295</v>
      </c>
      <c r="C15465" t="str">
        <f>IFERROR(__xludf.DUMMYFUNCTION("GOOGLETRANSLATE(B15465, ""zh"", ""en"")"),"Bargain price more appropriate to store, and has not yet begun to wear, but on past buying experience, quality in general ck is not ye, make do with Chuan Chuan it.")</f>
        <v>Bargain price more appropriate to store, and has not yet begun to wear, but on past buying experience, quality in general ck is not ye, make do with Chuan Chuan it.</v>
      </c>
    </row>
    <row r="15466">
      <c r="A15466" s="1">
        <v>5.0</v>
      </c>
      <c r="B15466" s="1" t="s">
        <v>15296</v>
      </c>
      <c r="C15466" t="str">
        <f>IFERROR(__xludf.DUMMYFUNCTION("GOOGLETRANSLATE(B15466, ""zh"", ""en"")"),"Like always I want a pair of boots rhubarb rhubarb, honey clatter play is not bad ah ~ very satisfied. But discount size insufficiency, the most suitable my size did not, buy a large number of the half, but the thought is winter section, you can wear thic"&amp;"k socks, would help. Quite appropriate - very warm, Tall, laced up, walk there will be some discomfort, but added no wear. Liked I liked liked ~")</f>
        <v>Like always I want a pair of boots rhubarb rhubarb, honey clatter play is not bad ah ~ very satisfied. But discount size insufficiency, the most suitable my size did not, buy a large number of the half, but the thought is winter section, you can wear thick socks, would help. Quite appropriate - very warm, Tall, laced up, walk there will be some discomfort, but added no wear. Liked I liked liked ~</v>
      </c>
    </row>
    <row r="15467">
      <c r="A15467" s="1">
        <v>5.0</v>
      </c>
      <c r="B15467" s="1" t="s">
        <v>15297</v>
      </c>
      <c r="C15467" t="str">
        <f>IFERROR(__xludf.DUMMYFUNCTION("GOOGLETRANSLATE(B15467, ""zh"", ""en"")"),"The mall is the largest shoes perfect 39.5 for 40. Amazon has uk7, for 40 and a half feet, and more than 600 cheaper than the mall, perfect. Bangladesh origin.")</f>
        <v>The mall is the largest shoes perfect 39.5 for 40. Amazon has uk7, for 40 and a half feet, and more than 600 cheaper than the mall, perfect. Bangladesh origin.</v>
      </c>
    </row>
    <row r="15468">
      <c r="A15468" s="1">
        <v>5.0</v>
      </c>
      <c r="B15468" s="1" t="s">
        <v>15298</v>
      </c>
      <c r="C15468" t="str">
        <f>IFERROR(__xludf.DUMMYFUNCTION("GOOGLETRANSLATE(B15468, ""zh"", ""en"")"),"Solid workmanship, transmission speed 100 four years ago to buy early, and now the domestic price has stabilized at 299! Workmanship is quite solid, fast and stable transmission! Unique appearance! perfect!")</f>
        <v>Solid workmanship, transmission speed 100 four years ago to buy early, and now the domestic price has stabilized at 299! Workmanship is quite solid, fast and stable transmission! Unique appearance! perfect!</v>
      </c>
    </row>
    <row r="15469">
      <c r="A15469" s="1">
        <v>2.0</v>
      </c>
      <c r="B15469" s="1" t="s">
        <v>15299</v>
      </c>
      <c r="C15469" t="str">
        <f>IFERROR(__xludf.DUMMYFUNCTION("GOOGLETRANSLATE(B15469, ""zh"", ""en"")"),"What is the real thing open plastic smell of very strong, with my own sea Amoy American Amazon is not the same, the suspect fakes")</f>
        <v>What is the real thing open plastic smell of very strong, with my own sea Amoy American Amazon is not the same, the suspect fakes</v>
      </c>
    </row>
    <row r="15470">
      <c r="A15470" s="1">
        <v>3.0</v>
      </c>
      <c r="B15470" s="1" t="s">
        <v>15300</v>
      </c>
      <c r="C15470" t="str">
        <f>IFERROR(__xludf.DUMMYFUNCTION("GOOGLETRANSLATE(B15470, ""zh"", ""en"")"),"Silicone yellow baby does not like, and silicone materials will turn yellow")</f>
        <v>Silicone yellow baby does not like, and silicone materials will turn yellow</v>
      </c>
    </row>
    <row r="15471">
      <c r="A15471" s="1">
        <v>3.0</v>
      </c>
      <c r="B15471" s="1" t="s">
        <v>15301</v>
      </c>
      <c r="C15471" t="str">
        <f>IFERROR(__xludf.DUMMYFUNCTION("GOOGLETRANSLATE(B15471, ""zh"", ""en"")"),"A little expensive headphone cable with microphone no sound, and the other voice. There oxidative yellowing of the white headphones! Advised to buy headphones do not buy white! The headset can still listen to electronic music is very appropriate")</f>
        <v>A little expensive headphone cable with microphone no sound, and the other voice. There oxidative yellowing of the white headphones! Advised to buy headphones do not buy white! The headset can still listen to electronic music is very appropriate</v>
      </c>
    </row>
    <row r="15472">
      <c r="A15472" s="1">
        <v>1.0</v>
      </c>
      <c r="B15472" s="1" t="s">
        <v>15302</v>
      </c>
      <c r="C15472" t="str">
        <f>IFERROR(__xludf.DUMMYFUNCTION("GOOGLETRANSLATE(B15472, ""zh"", ""en"")"),"After charging the headset can not be used after a few bought two months, the children did not use a few times, you can not recharge. Contact Amazon customer service, let me first say that the photo after the sale mailbox, anyway give me a solution. As a "&amp;"result, e-mail sent two weeks, any contact at all, then contact the customer service calls, customer service response Lanlansansan said let me find aftermarket products. Incredible, Amazon's service quality levels dropped so irresponsible to the point!")</f>
        <v>After charging the headset can not be used after a few bought two months, the children did not use a few times, you can not recharge. Contact Amazon customer service, let me first say that the photo after the sale mailbox, anyway give me a solution. As a result, e-mail sent two weeks, any contact at all, then contact the customer service calls, customer service response Lanlansansan said let me find aftermarket products. Incredible, Amazon's service quality levels dropped so irresponsible to the point!</v>
      </c>
    </row>
    <row r="15473">
      <c r="A15473" s="1">
        <v>1.0</v>
      </c>
      <c r="B15473" s="1" t="s">
        <v>15303</v>
      </c>
      <c r="C15473" t="str">
        <f>IFERROR(__xludf.DUMMYFUNCTION("GOOGLETRANSLATE(B15473, ""zh"", ""en"")"),"Oh Oh As the saying goes, is not afraid of a good meal and so on. Nothing if the treasure that was nice, and so worth it. 09.27 orders, to 10.23. We experienced a so-called ""transfer goods"", ""charge in question"" and ""Zip a problem"" and other difficu"&amp;"lties, and finally across the oceans, came to China. Such a good thing to give the hardships surpass monk sent, presumably because I am the prime member of it. Good things, this service you are embarrassed to be disappointed. Not to mention a month, two m"&amp;"onths, you have to serve.")</f>
        <v>Oh Oh As the saying goes, is not afraid of a good meal and so on. Nothing if the treasure that was nice, and so worth it. 09.27 orders, to 10.23. We experienced a so-called "transfer goods", "charge in question" and "Zip a problem" and other difficulties, and finally across the oceans, came to China. Such a good thing to give the hardships surpass monk sent, presumably because I am the prime member of it. Good things, this service you are embarrassed to be disappointed. Not to mention a month, two months, you have to serve.</v>
      </c>
    </row>
    <row r="15474">
      <c r="A15474" s="1">
        <v>1.0</v>
      </c>
      <c r="B15474" s="1" t="s">
        <v>15304</v>
      </c>
      <c r="C15474" t="str">
        <f>IFERROR(__xludf.DUMMYFUNCTION("GOOGLETRANSLATE(B15474, ""zh"", ""en"")"),"I do not understand Japanese direct mail is actually made in China also sent such a long time do not know how commented")</f>
        <v>I do not understand Japanese direct mail is actually made in China also sent such a long time do not know how commented</v>
      </c>
    </row>
    <row r="15475">
      <c r="A15475" s="1">
        <v>4.0</v>
      </c>
      <c r="B15475" s="1" t="s">
        <v>15305</v>
      </c>
      <c r="C15475" t="str">
        <f>IFERROR(__xludf.DUMMYFUNCTION("GOOGLETRANSLATE(B15475, ""zh"", ""en"")"),"Fit good quality, but also fit! No sense of restraint! Usually wear a 36B, to buy the M number just!")</f>
        <v>Fit good quality, but also fit! No sense of restraint! Usually wear a 36B, to buy the M number just!</v>
      </c>
    </row>
    <row r="15476">
      <c r="A15476" s="1">
        <v>4.0</v>
      </c>
      <c r="B15476" s="1" t="s">
        <v>15306</v>
      </c>
      <c r="C15476" t="str">
        <f>IFERROR(__xludf.DUMMYFUNCTION("GOOGLETRANSLATE(B15476, ""zh"", ""en"")"),"Have not opened four pairs plus tax payment is actually no more expensive, with the purchasing price is about it, just think of it more convenient to buy together. Because no winter so there is no split, do not know they fit Paul is not warm ha ha")</f>
        <v>Have not opened four pairs plus tax payment is actually no more expensive, with the purchasing price is about it, just think of it more convenient to buy together. Because no winter so there is no split, do not know they fit Paul is not warm ha ha</v>
      </c>
    </row>
    <row r="15477">
      <c r="A15477" s="1">
        <v>4.0</v>
      </c>
      <c r="B15477" s="1" t="s">
        <v>15307</v>
      </c>
      <c r="C15477" t="str">
        <f>IFERROR(__xludf.DUMMYFUNCTION("GOOGLETRANSLATE(B15477, ""zh"", ""en"")"),"Overall good, very comfortable left foot back beginning will be relatively tight, I might have foot problems, it can right foot, the shoe feels relatively light, not thick, it is quite comfortable to wear, the color a little too bright")</f>
        <v>Overall good, very comfortable left foot back beginning will be relatively tight, I might have foot problems, it can right foot, the shoe feels relatively light, not thick, it is quite comfortable to wear, the color a little too bright</v>
      </c>
    </row>
    <row r="15478">
      <c r="A15478" s="1">
        <v>4.0</v>
      </c>
      <c r="B15478" s="1" t="s">
        <v>15308</v>
      </c>
      <c r="C15478" t="str">
        <f>IFERROR(__xludf.DUMMYFUNCTION("GOOGLETRANSLATE(B15478, ""zh"", ""en"")"),"Taste is used, no taste, children do not exclude")</f>
        <v>Taste is used, no taste, children do not exclude</v>
      </c>
    </row>
    <row r="15479">
      <c r="A15479" s="1">
        <v>4.0</v>
      </c>
      <c r="B15479" s="1" t="s">
        <v>15309</v>
      </c>
      <c r="C15479" t="str">
        <f>IFERROR(__xludf.DUMMYFUNCTION("GOOGLETRANSLATE(B15479, ""zh"", ""en"")"),"A good number, not from the previous evaluation, I do not know how many wasted points, points can change money now know, they should look carefully evaluated, then I put these words to copy to go, both to earn points, but also the easy way to go where cop"&amp;"y where, most importantly, do not seriously review, do not think how much worse word, sent directly to it, recommend it to everyone!")</f>
        <v>A good number, not from the previous evaluation, I do not know how many wasted points, points can change money now know, they should look carefully evaluated, then I put these words to copy to go, both to earn points, but also the easy way to go where copy where, most importantly, do not seriously review, do not think how much worse word, sent directly to it, recommend it to everyone!</v>
      </c>
    </row>
    <row r="15480">
      <c r="A15480" s="1">
        <v>5.0</v>
      </c>
      <c r="B15480" s="1" t="s">
        <v>15310</v>
      </c>
      <c r="C15480" t="str">
        <f>IFERROR(__xludf.DUMMYFUNCTION("GOOGLETRANSLATE(B15480, ""zh"", ""en"")"),"Very good thermal insulation is very light, very light, very good color, good insulation properties, made in China")</f>
        <v>Very good thermal insulation is very light, very light, very good color, good insulation properties, made in China</v>
      </c>
    </row>
    <row r="15481">
      <c r="A15481" s="1">
        <v>5.0</v>
      </c>
      <c r="B15481" s="1" t="s">
        <v>15311</v>
      </c>
      <c r="C15481" t="str">
        <f>IFERROR(__xludf.DUMMYFUNCTION("GOOGLETRANSLATE(B15481, ""zh"", ""en"")"),"Stick ~ ~ ~ oh well have been written by f matte black tip. Now with the tip feel so good ~ ef is also quite nice white ~")</f>
        <v>Stick ~ ~ ~ oh well have been written by f matte black tip. Now with the tip feel so good ~ ef is also quite nice white ~</v>
      </c>
    </row>
    <row r="15482">
      <c r="A15482" s="1">
        <v>5.0</v>
      </c>
      <c r="B15482" s="1" t="s">
        <v>15312</v>
      </c>
      <c r="C15482" t="str">
        <f>IFERROR(__xludf.DUMMYFUNCTION("GOOGLETRANSLATE(B15482, ""zh"", ""en"")"),"Satisfied with the texture is good, better than the boss.")</f>
        <v>Satisfied with the texture is good, better than the boss.</v>
      </c>
    </row>
    <row r="15483">
      <c r="A15483" s="1">
        <v>5.0</v>
      </c>
      <c r="B15483" s="1" t="s">
        <v>15313</v>
      </c>
      <c r="C15483" t="str">
        <f>IFERROR(__xludf.DUMMYFUNCTION("GOOGLETRANSLATE(B15483, ""zh"", ""en"")"),"Good cheap, affordable, very good!")</f>
        <v>Good cheap, affordable, very good!</v>
      </c>
    </row>
    <row r="15484">
      <c r="A15484" s="1">
        <v>5.0</v>
      </c>
      <c r="B15484" s="1" t="s">
        <v>15314</v>
      </c>
      <c r="C15484" t="str">
        <f>IFERROR(__xludf.DUMMYFUNCTION("GOOGLETRANSLATE(B15484, ""zh"", ""en"")"),"Value for money, price value, delivery speed is fast black five 1300 win this, indeed cheaper than other sites, but also visual fidelity, how classy headset I do not bother to say. It is one machine behind the Nima too expensive, no way back.")</f>
        <v>Value for money, price value, delivery speed is fast black five 1300 win this, indeed cheaper than other sites, but also visual fidelity, how classy headset I do not bother to say. It is one machine behind the Nima too expensive, no way back.</v>
      </c>
    </row>
    <row r="15485">
      <c r="A15485" s="1">
        <v>5.0</v>
      </c>
      <c r="B15485" s="1" t="s">
        <v>15315</v>
      </c>
      <c r="C15485" t="str">
        <f>IFERROR(__xludf.DUMMYFUNCTION("GOOGLETRANSLATE(B15485, ""zh"", ""en"")"),"Shaopian nice little white good looking, easy to take, but easy to show the dirt and keep 'em clean, Ref around 344, for your reference")</f>
        <v>Shaopian nice little white good looking, easy to take, but easy to show the dirt and keep 'em clean, Ref around 344, for your reference</v>
      </c>
    </row>
    <row r="15486">
      <c r="A15486" s="1">
        <v>5.0</v>
      </c>
      <c r="B15486" s="1" t="s">
        <v>15316</v>
      </c>
      <c r="C15486" t="str">
        <f>IFERROR(__xludf.DUMMYFUNCTION("GOOGLETRANSLATE(B15486, ""zh"", ""en"")"),"It later acquired a treasure to buy the so-called distributor in China are fakes is a treasure of China's total generation of so-called corporate stores do not know the pit several times, it is too shameful. Black rubber ring are pirated, blue as my own g"&amp;"enuine American. The difference is huge, fake short time with very heavy sour, slightly acidic genuine long time. Details on the packaging was not as good genuine fake, fake will be a substantial overflow filter, sometimes not authentic black powder.")</f>
        <v>It later acquired a treasure to buy the so-called distributor in China are fakes is a treasure of China's total generation of so-called corporate stores do not know the pit several times, it is too shameful. Black rubber ring are pirated, blue as my own genuine American. The difference is huge, fake short time with very heavy sour, slightly acidic genuine long time. Details on the packaging was not as good genuine fake, fake will be a substantial overflow filter, sometimes not authentic black powder.</v>
      </c>
    </row>
    <row r="15487">
      <c r="A15487" s="1">
        <v>5.0</v>
      </c>
      <c r="B15487" s="1" t="s">
        <v>15317</v>
      </c>
      <c r="C15487" t="str">
        <f>IFERROR(__xludf.DUMMYFUNCTION("GOOGLETRANSLATE(B15487, ""zh"", ""en"")"),"Workmanship and materials are very solid start to worry about the ankle will not meet, actually okay.")</f>
        <v>Workmanship and materials are very solid start to worry about the ankle will not meet, actually okay.</v>
      </c>
    </row>
    <row r="15488">
      <c r="A15488" s="1">
        <v>5.0</v>
      </c>
      <c r="B15488" s="1" t="s">
        <v>15318</v>
      </c>
      <c r="C15488" t="str">
        <f>IFERROR(__xludf.DUMMYFUNCTION("GOOGLETRANSLATE(B15488, ""zh"", ""en"")"),"Size big the first time to buy small actually just good, but very comfortable to wear")</f>
        <v>Size big the first time to buy small actually just good, but very comfortable to wear</v>
      </c>
    </row>
    <row r="15489">
      <c r="A15489" s="1">
        <v>5.0</v>
      </c>
      <c r="B15489" s="1" t="s">
        <v>15319</v>
      </c>
      <c r="C15489" t="str">
        <f>IFERROR(__xludf.DUMMYFUNCTION("GOOGLETRANSLATE(B15489, ""zh"", ""en"")"),"Very nice watches for 12 days. Baby finally arrived. Cheap 400 ocean than a treasure. But when received. Dial before and after the films are not, nor tag. I think the color is white. After to be gold. Details description inside color. By the way the strap"&amp;" is 20mm introduced where there are errors. Overall good habit praise!")</f>
        <v>Very nice watches for 12 days. Baby finally arrived. Cheap 400 ocean than a treasure. But when received. Dial before and after the films are not, nor tag. I think the color is white. After to be gold. Details description inside color. By the way the strap is 20mm introduced where there are errors. Overall good habit praise!</v>
      </c>
    </row>
    <row r="15490">
      <c r="A15490" s="1">
        <v>5.0</v>
      </c>
      <c r="B15490" s="1" t="s">
        <v>15320</v>
      </c>
      <c r="C15490" t="str">
        <f>IFERROR(__xludf.DUMMYFUNCTION("GOOGLETRANSLATE(B15490, ""zh"", ""en"")"),"Genuine right size")</f>
        <v>Genuine right size</v>
      </c>
    </row>
    <row r="15491">
      <c r="A15491" s="1">
        <v>5.0</v>
      </c>
      <c r="B15491" s="1" t="s">
        <v>15321</v>
      </c>
      <c r="C15491" t="str">
        <f>IFERROR(__xludf.DUMMYFUNCTION("GOOGLETRANSLATE(B15491, ""zh"", ""en"")"),"Affordable, quality line than the domestic half yards of it, I feel no big one yards. Gray very pretty, logo slightly exaggerated. The price is really very favorable.")</f>
        <v>Affordable, quality line than the domestic half yards of it, I feel no big one yards. Gray very pretty, logo slightly exaggerated. The price is really very favorable.</v>
      </c>
    </row>
    <row r="15492">
      <c r="A15492" s="1">
        <v>5.0</v>
      </c>
      <c r="B15492" s="1" t="s">
        <v>15322</v>
      </c>
      <c r="C15492" t="str">
        <f>IFERROR(__xludf.DUMMYFUNCTION("GOOGLETRANSLATE(B15492, ""zh"", ""en"")"),"The very type 180cm, 75kg, m code, very fit, very good quality.")</f>
        <v>The very type 180cm, 75kg, m code, very fit, very good quality.</v>
      </c>
    </row>
    <row r="15493">
      <c r="A15493" s="1">
        <v>5.0</v>
      </c>
      <c r="B15493" s="1" t="s">
        <v>15323</v>
      </c>
      <c r="C15493" t="str">
        <f>IFERROR(__xludf.DUMMYFUNCTION("GOOGLETRANSLATE(B15493, ""zh"", ""en"")"),"Well one week received a lot cheaper than domestic prices, clean system is not simple version of the band, praise")</f>
        <v>Well one week received a lot cheaper than domestic prices, clean system is not simple version of the band, praise</v>
      </c>
    </row>
    <row r="15494">
      <c r="A15494" s="1">
        <v>5.0</v>
      </c>
      <c r="B15494" s="1" t="s">
        <v>15324</v>
      </c>
      <c r="C15494" t="str">
        <f>IFERROR(__xludf.DUMMYFUNCTION("GOOGLETRANSLATE(B15494, ""zh"", ""en"")"),"Comfortable pants, very pleasant time shopping inside with a domesticated hen, her husband 180cm, weighs less than 190 pounds, XL code is appropriate, a little bit big")</f>
        <v>Comfortable pants, very pleasant time shopping inside with a domesticated hen, her husband 180cm, weighs less than 190 pounds, XL code is appropriate, a little bit big</v>
      </c>
    </row>
    <row r="15495">
      <c r="A15495" s="1">
        <v>5.0</v>
      </c>
      <c r="B15495" s="1" t="s">
        <v>15325</v>
      </c>
      <c r="C15495" t="str">
        <f>IFERROR(__xludf.DUMMYFUNCTION("GOOGLETRANSLATE(B15495, ""zh"", ""en"")"),"Quality US version is too large, the quality of general! The price is not bad value for money")</f>
        <v>Quality US version is too large, the quality of general! The price is not bad value for money</v>
      </c>
    </row>
    <row r="15496">
      <c r="A15496" s="1">
        <v>5.0</v>
      </c>
      <c r="B15496" s="1" t="s">
        <v>15326</v>
      </c>
      <c r="C15496" t="str">
        <f>IFERROR(__xludf.DUMMYFUNCTION("GOOGLETRANSLATE(B15496, ""zh"", ""en"")"),"Size is too large rhubarb boots, stepped up a super feeling. Children's shoes are lined with cloth, size is too large, small feet sister is best not to buy big. The only bad thing is not slippery, rain cafeteria is simply a disaster, after all, the time t"&amp;"o buy super cheap, how this small problems are acceptable")</f>
        <v>Size is too large rhubarb boots, stepped up a super feeling. Children's shoes are lined with cloth, size is too large, small feet sister is best not to buy big. The only bad thing is not slippery, rain cafeteria is simply a disaster, after all, the time to buy super cheap, how this small problems are acceptable</v>
      </c>
    </row>
    <row r="15497">
      <c r="A15497" s="1">
        <v>5.0</v>
      </c>
      <c r="B15497" s="1" t="s">
        <v>15327</v>
      </c>
      <c r="C15497" t="str">
        <f>IFERROR(__xludf.DUMMYFUNCTION("GOOGLETRANSLATE(B15497, ""zh"", ""en"")"),"Well with the help colleagues, she was very satisfied, cost-effective ~")</f>
        <v>Well with the help colleagues, she was very satisfied, cost-effective ~</v>
      </c>
    </row>
    <row r="15498">
      <c r="A15498" s="1">
        <v>5.0</v>
      </c>
      <c r="B15498" s="1" t="s">
        <v>15328</v>
      </c>
      <c r="C15498" t="str">
        <f>IFERROR(__xludf.DUMMYFUNCTION("GOOGLETRANSLATE(B15498, ""zh"", ""en"")"),"Reference: 188CM / 75 Gongjin / XL, is appropriate. Size reference: height 188 / weight 75 kg, just wear XL Shoulder, sleeve length also slightly longer just a little bit, you can not roll volumes, see comment has been worried before too long. Furthermore"&amp;", some wide hem, but have two buttons on both sides of the hem can be tightened, the clothes look thickness can be adjusted. Still like a little stick waist, buckle himself booked online plus the same color metal, it is the spirit of the hem tightening. B"&amp;"ecause the shoulder is just right, so you will not find big bust. This is a short paragraph, in the dress hem also reveal some very layered. Domestic garment has been bought XXL code, a reference to this size before opinions, reduce one yards, just. But I"&amp;" lanky stature, long arms, probably does not have a typical reference value.")</f>
        <v>Reference: 188CM / 75 Gongjin / XL, is appropriate. Size reference: height 188 / weight 75 kg, just wear XL Shoulder, sleeve length also slightly longer just a little bit, you can not roll volumes, see comment has been worried before too long. Furthermore, some wide hem, but have two buttons on both sides of the hem can be tightened, the clothes look thickness can be adjusted. Still like a little stick waist, buckle himself booked online plus the same color metal, it is the spirit of the hem tightening. Because the shoulder is just right, so you will not find big bust. This is a short paragraph, in the dress hem also reveal some very layered. Domestic garment has been bought XXL code, a reference to this size before opinions, reduce one yards, just. But I lanky stature, long arms, probably does not have a typical reference value.</v>
      </c>
    </row>
    <row r="15499">
      <c r="A15499" s="1">
        <v>5.0</v>
      </c>
      <c r="B15499" s="1" t="s">
        <v>15329</v>
      </c>
      <c r="C15499" t="str">
        <f>IFERROR(__xludf.DUMMYFUNCTION("GOOGLETRANSLATE(B15499, ""zh"", ""en"")"),"Very comfortable and cozy, but a bit old-fashioned style.")</f>
        <v>Very comfortable and cozy, but a bit old-fashioned style.</v>
      </c>
    </row>
    <row r="15500">
      <c r="A15500" s="1">
        <v>5.0</v>
      </c>
      <c r="B15500" s="1" t="s">
        <v>15330</v>
      </c>
      <c r="C15500" t="str">
        <f>IFERROR(__xludf.DUMMYFUNCTION("GOOGLETRANSLATE(B15500, ""zh"", ""en"")"),"Like Nichia has been very carefully packaged stuff, the cup high-quality workmanship, no smell, no long delivery period")</f>
        <v>Like Nichia has been very carefully packaged stuff, the cup high-quality workmanship, no smell, no long delivery period</v>
      </c>
    </row>
    <row r="15501">
      <c r="A15501" s="1">
        <v>5.0</v>
      </c>
      <c r="B15501" s="1" t="s">
        <v>15331</v>
      </c>
      <c r="C15501" t="str">
        <f>IFERROR(__xludf.DUMMYFUNCTION("GOOGLETRANSLATE(B15501, ""zh"", ""en"")"),"Comfortable and stylish fit to fit comfortably stylish good quality.")</f>
        <v>Comfortable and stylish fit to fit comfortably stylish good quality.</v>
      </c>
    </row>
    <row r="15502">
      <c r="A15502" s="1">
        <v>2.0</v>
      </c>
      <c r="B15502" s="1" t="s">
        <v>15332</v>
      </c>
      <c r="C15502" t="str">
        <f>IFERROR(__xludf.DUMMYFUNCTION("GOOGLETRANSLATE(B15502, ""zh"", ""en"")"),"Not small, it sucks, far worse, like plastic table with children of the same quality")</f>
        <v>Not small, it sucks, far worse, like plastic table with children of the same quality</v>
      </c>
    </row>
    <row r="15503">
      <c r="A15503" s="1">
        <v>3.0</v>
      </c>
      <c r="B15503" s="1" t="s">
        <v>15333</v>
      </c>
      <c r="C15503" t="str">
        <f>IFERROR(__xludf.DUMMYFUNCTION("GOOGLETRANSLATE(B15503, ""zh"", ""en"")"),"Cloth through is not recommended. Clothes a little transparent, which have to wear a vest")</f>
        <v>Cloth through is not recommended. Clothes a little transparent, which have to wear a vest</v>
      </c>
    </row>
    <row r="15504">
      <c r="A15504" s="1">
        <v>3.0</v>
      </c>
      <c r="B15504" s="1" t="s">
        <v>15334</v>
      </c>
      <c r="C15504" t="str">
        <f>IFERROR(__xludf.DUMMYFUNCTION("GOOGLETRANSLATE(B15504, ""zh"", ""en"")"),"Too lenient good quality, but it is too wide too. Negative Ratings")</f>
        <v>Too lenient good quality, but it is too wide too. Negative Ratings</v>
      </c>
    </row>
    <row r="15505">
      <c r="A15505" s="1">
        <v>1.0</v>
      </c>
      <c r="B15505" s="1" t="s">
        <v>15335</v>
      </c>
      <c r="C15505" t="str">
        <f>IFERROR(__xludf.DUMMYFUNCTION("GOOGLETRANSLATE(B15505, ""zh"", ""en"")"),"Speak true, a star do not want to strap material does not work, the rough, the feeling of being cheated map, deducted a star; the second hand moves loud snap a star; luminous missing a corner, obsessive-compulsive disorder can not stand, buckle a star; od"&amp;"or large buckle a star; courier rude, it should be easy to question the time was full of tables open the parcel when the box has completely rotten, waste, but fortunately not a bad knock the table, why not a hard point under the protective box, buckle two"&amp;" stars. Speak truth, do not want to have a star, a star is already negative.")</f>
        <v>Speak true, a star do not want to strap material does not work, the rough, the feeling of being cheated map, deducted a star; the second hand moves loud snap a star; luminous missing a corner, obsessive-compulsive disorder can not stand, buckle a star; odor large buckle a star; courier rude, it should be easy to question the time was full of tables open the parcel when the box has completely rotten, waste, but fortunately not a bad knock the table, why not a hard point under the protective box, buckle two stars. Speak truth, do not want to have a star, a star is already negative.</v>
      </c>
    </row>
    <row r="15506">
      <c r="A15506" s="1">
        <v>1.0</v>
      </c>
      <c r="B15506" s="1" t="s">
        <v>15336</v>
      </c>
      <c r="C15506" t="str">
        <f>IFERROR(__xludf.DUMMYFUNCTION("GOOGLETRANSLATE(B15506, ""zh"", ""en"")"),"This could be bad I bought on Amazon worst things up! First, it fade! Secondly, washed twice on the deformation!")</f>
        <v>This could be bad I bought on Amazon worst things up! First, it fade! Secondly, washed twice on the deformation!</v>
      </c>
    </row>
    <row r="15507">
      <c r="A15507" s="1">
        <v>1.0</v>
      </c>
      <c r="B15507" s="1" t="s">
        <v>15337</v>
      </c>
      <c r="C15507" t="str">
        <f>IFERROR(__xludf.DUMMYFUNCTION("GOOGLETRANSLATE(B15507, ""zh"", ""en"")"),"The pit face the wall thinking it had been later evaluation by their own ignorance to pay a tuition fee")</f>
        <v>The pit face the wall thinking it had been later evaluation by their own ignorance to pay a tuition fee</v>
      </c>
    </row>
    <row r="15508">
      <c r="A15508" s="1">
        <v>4.0</v>
      </c>
      <c r="B15508" s="1" t="s">
        <v>15338</v>
      </c>
      <c r="C15508" t="str">
        <f>IFERROR(__xludf.DUMMYFUNCTION("GOOGLETRANSLATE(B15508, ""zh"", ""en"")"),"Refer a friend to buy, the price is more expensive! Bought back, bottom or defective, boil water very good, size is also good, travel use")</f>
        <v>Refer a friend to buy, the price is more expensive! Bought back, bottom or defective, boil water very good, size is also good, travel use</v>
      </c>
    </row>
    <row r="15509">
      <c r="A15509" s="1">
        <v>4.0</v>
      </c>
      <c r="B15509" s="1" t="s">
        <v>15339</v>
      </c>
      <c r="C15509" t="str">
        <f>IFERROR(__xludf.DUMMYFUNCTION("GOOGLETRANSLATE(B15509, ""zh"", ""en"")"),"The right size shoes are very comfortable, very comfortable shoes on the feet look good.")</f>
        <v>The right size shoes are very comfortable, very comfortable shoes on the feet look good.</v>
      </c>
    </row>
    <row r="15510">
      <c r="A15510" s="1">
        <v>4.0</v>
      </c>
      <c r="B15510" s="1" t="s">
        <v>15340</v>
      </c>
      <c r="C15510" t="str">
        <f>IFERROR(__xludf.DUMMYFUNCTION("GOOGLETRANSLATE(B15510, ""zh"", ""en"")"),"Africa, the US and Asia, as shipments comments said, the United States and Asia is not the direct mail should be sent over a warehouse in Hong Kong, there is no appearance problem. But the entrance to the children, or heart some muttering.")</f>
        <v>Africa, the US and Asia, as shipments comments said, the United States and Asia is not the direct mail should be sent over a warehouse in Hong Kong, there is no appearance problem. But the entrance to the children, or heart some muttering.</v>
      </c>
    </row>
    <row r="15511">
      <c r="A15511" s="1">
        <v>4.0</v>
      </c>
      <c r="B15511" s="1" t="s">
        <v>6454</v>
      </c>
      <c r="C15511" t="str">
        <f>IFERROR(__xludf.DUMMYFUNCTION("GOOGLETRANSLATE(B15511, ""zh"", ""en"")"),"Very good very good")</f>
        <v>Very good very good</v>
      </c>
    </row>
    <row r="15512">
      <c r="A15512" s="1">
        <v>4.0</v>
      </c>
      <c r="B15512" s="1" t="s">
        <v>15341</v>
      </c>
      <c r="C15512" t="str">
        <f>IFERROR(__xludf.DUMMYFUNCTION("GOOGLETRANSLATE(B15512, ""zh"", ""en"")"),"The wrong code shipped completely different wrong, and had to return. Leather a bit hard")</f>
        <v>The wrong code shipped completely different wrong, and had to return. Leather a bit hard</v>
      </c>
    </row>
    <row r="15513">
      <c r="A15513" s="1">
        <v>5.0</v>
      </c>
      <c r="B15513" s="1" t="s">
        <v>15342</v>
      </c>
      <c r="C15513" t="str">
        <f>IFERROR(__xludf.DUMMYFUNCTION("GOOGLETRANSLATE(B15513, ""zh"", ""en"")"),"Intermediate short, long version two hands long sleeves, short cut the intermediate torso. Size being just right, not loose version.")</f>
        <v>Intermediate short, long version two hands long sleeves, short cut the intermediate torso. Size being just right, not loose version.</v>
      </c>
    </row>
    <row r="15514">
      <c r="A15514" s="1">
        <v>5.0</v>
      </c>
      <c r="B15514" s="1" t="s">
        <v>15343</v>
      </c>
      <c r="C15514" t="str">
        <f>IFERROR(__xludf.DUMMYFUNCTION("GOOGLETRANSLATE(B15514, ""zh"", ""en"")"),"Yes Yes yo, feel texture, is thinner than the expected, 174cm, 67kg wear S exactly, the sleeves mast comparison, little fear Zhuangshan")</f>
        <v>Yes Yes yo, feel texture, is thinner than the expected, 174cm, 67kg wear S exactly, the sleeves mast comparison, little fear Zhuangshan</v>
      </c>
    </row>
    <row r="15515">
      <c r="A15515" s="1">
        <v>5.0</v>
      </c>
      <c r="B15515" s="1" t="s">
        <v>15344</v>
      </c>
      <c r="C15515" t="str">
        <f>IFERROR(__xludf.DUMMYFUNCTION("GOOGLETRANSLATE(B15515, ""zh"", ""en"")"),"Belts with different code with just his wife, domestic ck really high price, price is also more than a dozen twenty table 10 US knife, in which dozens of people took Aberdeen. Plus tariff is less than 50.")</f>
        <v>Belts with different code with just his wife, domestic ck really high price, price is also more than a dozen twenty table 10 US knife, in which dozens of people took Aberdeen. Plus tariff is less than 50.</v>
      </c>
    </row>
    <row r="15516">
      <c r="A15516" s="1">
        <v>5.0</v>
      </c>
      <c r="B15516" s="1" t="s">
        <v>15345</v>
      </c>
      <c r="C15516" t="str">
        <f>IFERROR(__xludf.DUMMYFUNCTION("GOOGLETRANSLATE(B15516, ""zh"", ""en"")"),"Code selection right size ~ n! Positive selection code - like going to wear to the North Pole, the country can not wear, too hot")</f>
        <v>Code selection right size ~ n! Positive selection code - like going to wear to the North Pole, the country can not wear, too hot</v>
      </c>
    </row>
    <row r="15517">
      <c r="A15517" s="1">
        <v>5.0</v>
      </c>
      <c r="B15517" s="1" t="s">
        <v>15346</v>
      </c>
      <c r="C15517" t="str">
        <f>IFERROR(__xludf.DUMMYFUNCTION("GOOGLETRANSLATE(B15517, ""zh"", ""en"")"),"Worth buying price is very beautiful, waist, good style, cost-effective, removable, versatile, overseas purchase quality protection")</f>
        <v>Worth buying price is very beautiful, waist, good style, cost-effective, removable, versatile, overseas purchase quality protection</v>
      </c>
    </row>
    <row r="15518">
      <c r="A15518" s="1">
        <v>5.0</v>
      </c>
      <c r="B15518" s="1" t="s">
        <v>15347</v>
      </c>
      <c r="C15518" t="str">
        <f>IFERROR(__xludf.DUMMYFUNCTION("GOOGLETRANSLATE(B15518, ""zh"", ""en"")"),"Size standards are very satisfied with the ah, quick-drying, size standards")</f>
        <v>Size standards are very satisfied with the ah, quick-drying, size standards</v>
      </c>
    </row>
    <row r="15519">
      <c r="A15519" s="1">
        <v>5.0</v>
      </c>
      <c r="B15519" s="1" t="s">
        <v>15348</v>
      </c>
      <c r="C15519" t="str">
        <f>IFERROR(__xludf.DUMMYFUNCTION("GOOGLETRANSLATE(B15519, ""zh"", ""en"")"),"Good black pants work well, made in Japan. Relatively soft.")</f>
        <v>Good black pants work well, made in Japan. Relatively soft.</v>
      </c>
    </row>
    <row r="15520">
      <c r="A15520" s="1">
        <v>5.0</v>
      </c>
      <c r="B15520" s="1" t="s">
        <v>15349</v>
      </c>
      <c r="C15520" t="str">
        <f>IFERROR(__xludf.DUMMYFUNCTION("GOOGLETRANSLATE(B15520, ""zh"", ""en"")"),"Good quality texture. Buy adapter.")</f>
        <v>Good quality texture. Buy adapter.</v>
      </c>
    </row>
    <row r="15521">
      <c r="A15521" s="1">
        <v>5.0</v>
      </c>
      <c r="B15521" s="1" t="s">
        <v>6814</v>
      </c>
      <c r="C15521" t="str">
        <f>IFERROR(__xludf.DUMMYFUNCTION("GOOGLETRANSLATE(B15521, ""zh"", ""en"")"),"Good quality layer of white cotton sweater wild rice")</f>
        <v>Good quality layer of white cotton sweater wild rice</v>
      </c>
    </row>
    <row r="15522">
      <c r="A15522" s="1">
        <v>5.0</v>
      </c>
      <c r="B15522" s="1" t="s">
        <v>15350</v>
      </c>
      <c r="C15522" t="str">
        <f>IFERROR(__xludf.DUMMYFUNCTION("GOOGLETRANSLATE(B15522, ""zh"", ""en"")"),"Shoe size fit, good resilience and lightweight shoes, shoe size is appropriate, it is affixed to the foot, shoe a little tight, suitable for thin people wear foot. Running wear foot feeling good, moderate rebound")</f>
        <v>Shoe size fit, good resilience and lightweight shoes, shoe size is appropriate, it is affixed to the foot, shoe a little tight, suitable for thin people wear foot. Running wear foot feeling good, moderate rebound</v>
      </c>
    </row>
    <row r="15523">
      <c r="A15523" s="1">
        <v>5.0</v>
      </c>
      <c r="B15523" s="1" t="s">
        <v>15351</v>
      </c>
      <c r="C15523" t="str">
        <f>IFERROR(__xludf.DUMMYFUNCTION("GOOGLETRANSLATE(B15523, ""zh"", ""en"")"),"Some black old-fashioned, but good quality too large m176-70. Some black old-fashioned, but good quality too large, no cold wind around 5 degrees")</f>
        <v>Some black old-fashioned, but good quality too large m176-70. Some black old-fashioned, but good quality too large, no cold wind around 5 degrees</v>
      </c>
    </row>
    <row r="15524">
      <c r="A15524" s="1">
        <v>5.0</v>
      </c>
      <c r="B15524" s="1" t="s">
        <v>15352</v>
      </c>
      <c r="C15524" t="str">
        <f>IFERROR(__xludf.DUMMYFUNCTION("GOOGLETRANSLATE(B15524, ""zh"", ""en"")"),"Previously bought good, not bad, the second")</f>
        <v>Previously bought good, not bad, the second</v>
      </c>
    </row>
    <row r="15525">
      <c r="A15525" s="1">
        <v>5.0</v>
      </c>
      <c r="B15525" s="1" t="s">
        <v>15353</v>
      </c>
      <c r="C15525" t="str">
        <f>IFERROR(__xludf.DUMMYFUNCTION("GOOGLETRANSLATE(B15525, ""zh"", ""en"")"),"Size suitable size is very appropriate. 25cm, 40 yards, very standard. Left and right foot wear very fit.")</f>
        <v>Size suitable size is very appropriate. 25cm, 40 yards, very standard. Left and right foot wear very fit.</v>
      </c>
    </row>
    <row r="15526">
      <c r="A15526" s="1">
        <v>5.0</v>
      </c>
      <c r="B15526" s="1" t="s">
        <v>15354</v>
      </c>
      <c r="C15526" t="str">
        <f>IFERROR(__xludf.DUMMYFUNCTION("GOOGLETRANSLATE(B15526, ""zh"", ""en"")"),"United States Code of good, 172cm, 69kg, S code appropriate.")</f>
        <v>United States Code of good, 172cm, 69kg, S code appropriate.</v>
      </c>
    </row>
    <row r="15527">
      <c r="A15527" s="1">
        <v>5.0</v>
      </c>
      <c r="B15527" s="1" t="s">
        <v>15101</v>
      </c>
      <c r="C15527" t="str">
        <f>IFERROR(__xludf.DUMMYFUNCTION("GOOGLETRANSLATE(B15527, ""zh"", ""en"")"),"High cost of color and style are good")</f>
        <v>High cost of color and style are good</v>
      </c>
    </row>
    <row r="15528">
      <c r="A15528" s="1">
        <v>5.0</v>
      </c>
      <c r="B15528" s="1" t="s">
        <v>15355</v>
      </c>
      <c r="C15528" t="str">
        <f>IFERROR(__xludf.DUMMYFUNCTION("GOOGLETRANSLATE(B15528, ""zh"", ""en"")"),"Okay good")</f>
        <v>Okay good</v>
      </c>
    </row>
    <row r="15529">
      <c r="A15529" s="1">
        <v>5.0</v>
      </c>
      <c r="B15529" s="1" t="s">
        <v>15356</v>
      </c>
      <c r="C15529" t="str">
        <f>IFERROR(__xludf.DUMMYFUNCTION("GOOGLETRANSLATE(B15529, ""zh"", ""en"")"),"Pigeon has been good bottle before use of glass bottles, now a big baby, to hold their own drink, glass bottle too easy to fall, so I had to buy a plastic, it can also be used.")</f>
        <v>Pigeon has been good bottle before use of glass bottles, now a big baby, to hold their own drink, glass bottle too easy to fall, so I had to buy a plastic, it can also be used.</v>
      </c>
    </row>
    <row r="15530">
      <c r="A15530" s="1">
        <v>5.0</v>
      </c>
      <c r="B15530" s="1" t="s">
        <v>15357</v>
      </c>
      <c r="C15530" t="str">
        <f>IFERROR(__xludf.DUMMYFUNCTION("GOOGLETRANSLATE(B15530, ""zh"", ""en"")"),"Performance has been bought many times good quality praise.")</f>
        <v>Performance has been bought many times good quality praise.</v>
      </c>
    </row>
    <row r="15531">
      <c r="A15531" s="1">
        <v>5.0</v>
      </c>
      <c r="B15531" s="1" t="s">
        <v>15358</v>
      </c>
      <c r="C15531" t="str">
        <f>IFERROR(__xludf.DUMMYFUNCTION("GOOGLETRANSLATE(B15531, ""zh"", ""en"")"),"Sharp and easy to use very sharp (with only a few days, is not yet know the capacity is not easy to rust), cap sleeve is unstable, be careful when you get up and fall off.")</f>
        <v>Sharp and easy to use very sharp (with only a few days, is not yet know the capacity is not easy to rust), cap sleeve is unstable, be careful when you get up and fall off.</v>
      </c>
    </row>
    <row r="15532">
      <c r="A15532" s="1">
        <v>5.0</v>
      </c>
      <c r="B15532" s="1" t="s">
        <v>15359</v>
      </c>
      <c r="C15532" t="str">
        <f>IFERROR(__xludf.DUMMYFUNCTION("GOOGLETRANSLATE(B15532, ""zh"", ""en"")"),"Standing at home and occasionally have a joint discomfort, or sudden slight sprain, eat this, but also to the parents for the elderly to buy, insist on taking effective.")</f>
        <v>Standing at home and occasionally have a joint discomfort, or sudden slight sprain, eat this, but also to the parents for the elderly to buy, insist on taking effective.</v>
      </c>
    </row>
    <row r="15533">
      <c r="A15533" s="1">
        <v>5.0</v>
      </c>
      <c r="B15533" s="1" t="s">
        <v>15360</v>
      </c>
      <c r="C15533" t="str">
        <f>IFERROR(__xludf.DUMMYFUNCTION("GOOGLETRANSLATE(B15533, ""zh"", ""en"")"),"I want to watch full-featured basic, simple, very practical, packaging and workmanship are good, that is some hard strap, Daidai see")</f>
        <v>I want to watch full-featured basic, simple, very practical, packaging and workmanship are good, that is some hard strap, Daidai see</v>
      </c>
    </row>
    <row r="15534">
      <c r="A15534" s="1">
        <v>5.0</v>
      </c>
      <c r="B15534" s="1" t="s">
        <v>15361</v>
      </c>
      <c r="C15534" t="str">
        <f>IFERROR(__xludf.DUMMYFUNCTION("GOOGLETRANSLATE(B15534, ""zh"", ""en"")"),"Tax not worth buying hand eighty one, do not say that he is not the brand, now on the street did not buy a brand of clothes do not also expensive? So the price is high, ah, do not wear season threw tricky ah")</f>
        <v>Tax not worth buying hand eighty one, do not say that he is not the brand, now on the street did not buy a brand of clothes do not also expensive? So the price is high, ah, do not wear season threw tricky ah</v>
      </c>
    </row>
    <row r="15535">
      <c r="A15535" s="1">
        <v>2.0</v>
      </c>
      <c r="B15535" s="1" t="s">
        <v>15362</v>
      </c>
      <c r="C15535" t="str">
        <f>IFERROR(__xludf.DUMMYFUNCTION("GOOGLETRANSLATE(B15535, ""zh"", ""en"")"),"Fabric Fabric not hard like plaster.")</f>
        <v>Fabric Fabric not hard like plaster.</v>
      </c>
    </row>
    <row r="15536">
      <c r="A15536" s="1">
        <v>3.0</v>
      </c>
      <c r="B15536" s="1" t="s">
        <v>15363</v>
      </c>
      <c r="C15536" t="str">
        <f>IFERROR(__xludf.DUMMYFUNCTION("GOOGLETRANSLATE(B15536, ""zh"", ""en"")"),"Size USA and Canada and Asia size is not the same as when I bought did not go to comment, but the size of the Amazon through intelligent detection system, I should like to see the comments. Now I feel really good 😂😂")</f>
        <v>Size USA and Canada and Asia size is not the same as when I bought did not go to comment, but the size of the Amazon through intelligent detection system, I should like to see the comments. Now I feel really good 😂😂</v>
      </c>
    </row>
    <row r="15537">
      <c r="A15537" s="1">
        <v>3.0</v>
      </c>
      <c r="B15537" s="1" t="s">
        <v>15364</v>
      </c>
      <c r="C15537" t="str">
        <f>IFERROR(__xludf.DUMMYFUNCTION("GOOGLETRANSLATE(B15537, ""zh"", ""en"")"),"The quality is really too general, and does not recommend the purchase does not recommend the purchase, fabric thin, long sleeves, multi-thread")</f>
        <v>The quality is really too general, and does not recommend the purchase does not recommend the purchase, fabric thin, long sleeves, multi-thread</v>
      </c>
    </row>
    <row r="15538">
      <c r="A15538" s="1">
        <v>3.0</v>
      </c>
      <c r="B15538" s="1" t="s">
        <v>15365</v>
      </c>
      <c r="C15538" t="str">
        <f>IFERROR(__xludf.DUMMYFUNCTION("GOOGLETRANSLATE(B15538, ""zh"", ""en"")"),"The quality is not who I am fat, have to wear this little small, but not the underwear problem. Frankly, it is particularly comfortable to wear, that is a bit poor quality stitching, three pants, wearing a open line there, there is a third back there wear"&amp;"ing a open line. . . A little ignorant force")</f>
        <v>The quality is not who I am fat, have to wear this little small, but not the underwear problem. Frankly, it is particularly comfortable to wear, that is a bit poor quality stitching, three pants, wearing a open line there, there is a third back there wearing a open line. . . A little ignorant force</v>
      </c>
    </row>
    <row r="15539">
      <c r="A15539" s="1">
        <v>1.0</v>
      </c>
      <c r="B15539" s="1" t="s">
        <v>15366</v>
      </c>
      <c r="C15539" t="str">
        <f>IFERROR(__xludf.DUMMYFUNCTION("GOOGLETRANSLATE(B15539, ""zh"", ""en"")"),"It is authentic? Never bought such a bad trade in the Amazon, printing rough, hard bristles, the brush handle glitches poke mouth.")</f>
        <v>It is authentic? Never bought such a bad trade in the Amazon, printing rough, hard bristles, the brush handle glitches poke mouth.</v>
      </c>
    </row>
    <row r="15540">
      <c r="A15540" s="1">
        <v>1.0</v>
      </c>
      <c r="B15540" s="1" t="s">
        <v>15367</v>
      </c>
      <c r="C15540" t="str">
        <f>IFERROR(__xludf.DUMMYFUNCTION("GOOGLETRANSLATE(B15540, ""zh"", ""en"")"),"Can not wear too thin is too thin for 170cm 74kg can not wear.")</f>
        <v>Can not wear too thin is too thin for 170cm 74kg can not wear.</v>
      </c>
    </row>
    <row r="15541">
      <c r="A15541" s="1">
        <v>4.0</v>
      </c>
      <c r="B15541" s="1" t="s">
        <v>15368</v>
      </c>
      <c r="C15541" t="str">
        <f>IFERROR(__xludf.DUMMYFUNCTION("GOOGLETRANSLATE(B15541, ""zh"", ""en"")"),"Good sound quality headphones worth the price, and now the price is also very cheap to buy, and fight a war the thousands highest quality or nothing issue, the only think criticism is that the box is pressed sucks, now being demolished over the same")</f>
        <v>Good sound quality headphones worth the price, and now the price is also very cheap to buy, and fight a war the thousands highest quality or nothing issue, the only think criticism is that the box is pressed sucks, now being demolished over the same</v>
      </c>
    </row>
    <row r="15542">
      <c r="A15542" s="1">
        <v>4.0</v>
      </c>
      <c r="B15542" s="1" t="s">
        <v>15369</v>
      </c>
      <c r="C15542" t="str">
        <f>IFERROR(__xludf.DUMMYFUNCTION("GOOGLETRANSLATE(B15542, ""zh"", ""en"")"),"Untitled shoes to wear really very comfortable, walking is not tired, narrow foot instep low man on the line to buy the normal code.")</f>
        <v>Untitled shoes to wear really very comfortable, walking is not tired, narrow foot instep low man on the line to buy the normal code.</v>
      </c>
    </row>
    <row r="15543">
      <c r="A15543" s="1">
        <v>4.0</v>
      </c>
      <c r="B15543" s="1" t="s">
        <v>15370</v>
      </c>
      <c r="C15543" t="str">
        <f>IFERROR(__xludf.DUMMYFUNCTION("GOOGLETRANSLATE(B15543, ""zh"", ""en"")"),"And the original is almost the same as before and after the arrival brought the old razor contrast, almost exactly the same, there is less coding than the old place to the one on the head inside a plastic grooves.")</f>
        <v>And the original is almost the same as before and after the arrival brought the old razor contrast, almost exactly the same, there is less coding than the old place to the one on the head inside a plastic grooves.</v>
      </c>
    </row>
    <row r="15544">
      <c r="A15544" s="1">
        <v>4.0</v>
      </c>
      <c r="B15544" s="1" t="s">
        <v>15371</v>
      </c>
      <c r="C15544" t="str">
        <f>IFERROR(__xludf.DUMMYFUNCTION("GOOGLETRANSLATE(B15544, ""zh"", ""en"")"),"Defective goods online to buy something that is flawed, indelible black spots")</f>
        <v>Defective goods online to buy something that is flawed, indelible black spots</v>
      </c>
    </row>
    <row r="15545">
      <c r="A15545" s="1">
        <v>4.0</v>
      </c>
      <c r="B15545" s="1" t="s">
        <v>15372</v>
      </c>
      <c r="C15545" t="str">
        <f>IFERROR(__xludf.DUMMYFUNCTION("GOOGLETRANSLATE(B15545, ""zh"", ""en"")"),"The price seems okay so this is almost goods")</f>
        <v>The price seems okay so this is almost goods</v>
      </c>
    </row>
    <row r="15546">
      <c r="A15546" s="1">
        <v>5.0</v>
      </c>
      <c r="B15546" s="1" t="s">
        <v>15373</v>
      </c>
      <c r="C15546" t="str">
        <f>IFERROR(__xludf.DUMMYFUNCTION("GOOGLETRANSLATE(B15546, ""zh"", ""en"")"),"Desktop computer does not recognize desktop computer can not recognize, but double-click the drive letter prompt display device is not ready. First reason is certainly not hard, because plug the notebook so. Second, various drivers have to get back again,"&amp;" still the device is not ready, ask the god is there a way? I feel what is missing desktop file system, but my other book8t so that, really strange.")</f>
        <v>Desktop computer does not recognize desktop computer can not recognize, but double-click the drive letter prompt display device is not ready. First reason is certainly not hard, because plug the notebook so. Second, various drivers have to get back again, still the device is not ready, ask the god is there a way? I feel what is missing desktop file system, but my other book8t so that, really strange.</v>
      </c>
    </row>
    <row r="15547">
      <c r="A15547" s="1">
        <v>5.0</v>
      </c>
      <c r="B15547" s="1" t="s">
        <v>15374</v>
      </c>
      <c r="C15547" t="str">
        <f>IFERROR(__xludf.DUMMYFUNCTION("GOOGLETRANSLATE(B15547, ""zh"", ""en"")"),"High Yan great value, good quality and long battery life")</f>
        <v>High Yan great value, good quality and long battery life</v>
      </c>
    </row>
    <row r="15548">
      <c r="A15548" s="1">
        <v>5.0</v>
      </c>
      <c r="B15548" s="1" t="s">
        <v>15375</v>
      </c>
      <c r="C15548" t="str">
        <f>IFERROR(__xludf.DUMMYFUNCTION("GOOGLETRANSLATE(B15548, ""zh"", ""en"")"),"Good results then decoded, listen to music good results ~")</f>
        <v>Good results then decoded, listen to music good results ~</v>
      </c>
    </row>
    <row r="15549">
      <c r="A15549" s="1">
        <v>5.0</v>
      </c>
      <c r="B15549" s="1" t="s">
        <v>15376</v>
      </c>
      <c r="C15549" t="str">
        <f>IFERROR(__xludf.DUMMYFUNCTION("GOOGLETRANSLATE(B15549, ""zh"", ""en"")"),"However, too large number feel good fabric feels very advanced, matte velvety, however, is particularly easy to stick ash !!! 170cm80kg buy M number, but slightly wider shoulder stomach very appropriate.")</f>
        <v>However, too large number feel good fabric feels very advanced, matte velvety, however, is particularly easy to stick ash !!! 170cm80kg buy M number, but slightly wider shoulder stomach very appropriate.</v>
      </c>
    </row>
    <row r="15550">
      <c r="A15550" s="1">
        <v>5.0</v>
      </c>
      <c r="B15550" s="1" t="s">
        <v>15377</v>
      </c>
      <c r="C15550" t="str">
        <f>IFERROR(__xludf.DUMMYFUNCTION("GOOGLETRANSLATE(B15550, ""zh"", ""en"")"),"Sound quality is very good")</f>
        <v>Sound quality is very good</v>
      </c>
    </row>
    <row r="15551">
      <c r="A15551" s="1">
        <v>5.0</v>
      </c>
      <c r="B15551" s="1" t="s">
        <v>15378</v>
      </c>
      <c r="C15551" t="str">
        <f>IFERROR(__xludf.DUMMYFUNCTION("GOOGLETRANSLATE(B15551, ""zh"", ""en"")"),"Genuine good work. T-shirt fabric comfortable. There type.")</f>
        <v>Genuine good work. T-shirt fabric comfortable. There type.</v>
      </c>
    </row>
    <row r="15552">
      <c r="A15552" s="1">
        <v>5.0</v>
      </c>
      <c r="B15552" s="1" t="s">
        <v>15379</v>
      </c>
      <c r="C15552" t="str">
        <f>IFERROR(__xludf.DUMMYFUNCTION("GOOGLETRANSLATE(B15552, ""zh"", ""en"")"),"Children like to eat a day two good, not expensive, day two")</f>
        <v>Children like to eat a day two good, not expensive, day two</v>
      </c>
    </row>
    <row r="15553">
      <c r="A15553" s="1">
        <v>5.0</v>
      </c>
      <c r="B15553" s="1" t="s">
        <v>15380</v>
      </c>
      <c r="C15553" t="str">
        <f>IFERROR(__xludf.DUMMYFUNCTION("GOOGLETRANSLATE(B15553, ""zh"", ""en"")"),"Wearing nice dress in very good shape")</f>
        <v>Wearing nice dress in very good shape</v>
      </c>
    </row>
    <row r="15554">
      <c r="A15554" s="1">
        <v>5.0</v>
      </c>
      <c r="B15554" s="1" t="s">
        <v>15381</v>
      </c>
      <c r="C15554" t="str">
        <f>IFERROR(__xludf.DUMMYFUNCTION("GOOGLETRANSLATE(B15554, ""zh"", ""en"")"),"Quality liked")</f>
        <v>Quality liked</v>
      </c>
    </row>
    <row r="15555">
      <c r="A15555" s="1">
        <v>5.0</v>
      </c>
      <c r="B15555" s="1" t="s">
        <v>15382</v>
      </c>
      <c r="C15555" t="str">
        <f>IFERROR(__xludf.DUMMYFUNCTION("GOOGLETRANSLATE(B15555, ""zh"", ""en"")"),"Well satisfied with good satisfaction than softer domestic")</f>
        <v>Well satisfied with good satisfaction than softer domestic</v>
      </c>
    </row>
    <row r="15556">
      <c r="A15556" s="1">
        <v>5.0</v>
      </c>
      <c r="B15556" s="1" t="s">
        <v>15383</v>
      </c>
      <c r="C15556" t="str">
        <f>IFERROR(__xludf.DUMMYFUNCTION("GOOGLETRANSLATE(B15556, ""zh"", ""en"")"),"Amazon hopes to make persistent efforts have been wearing CK Amazon before it is to buy and store as cheaper")</f>
        <v>Amazon hopes to make persistent efforts have been wearing CK Amazon before it is to buy and store as cheaper</v>
      </c>
    </row>
    <row r="15557">
      <c r="A15557" s="1">
        <v>5.0</v>
      </c>
      <c r="B15557" s="1" t="s">
        <v>15384</v>
      </c>
      <c r="C15557" t="str">
        <f>IFERROR(__xludf.DUMMYFUNCTION("GOOGLETRANSLATE(B15557, ""zh"", ""en"")"),"Very satisfying shopping &lt;div id = ""video-block-RUH9QWA0ACURL"" class = ""a-section a-spacing-small a-spacing-top-mini video-block""&gt; &lt;/ div&gt; &lt;input type = ""hidden"" name = """" value = ""https://images-cn.ssl-images-amazon.com/images/I/91pMxokPsgS.mp4"&amp;""" class = ""video-url""&gt; &lt;input type = ""hidden"" name = """" value = ""https://images-cn.ssl-images-amazon.com/images/I/61jp0vegAsS.png"" class = ""video-slate-img-url""&gt; &amp; nbsp; is to buy good shoes, usually wear Nike44-44.5 code, buy big on the 1st us"&amp;"11, inside added a insole resolved, like the crazy horse hide things to do, own three pairs of boots are crazy horse hide, logistics really surprise to me, in inside and outside a total of almost four days to come, the United States sent me, before also b"&amp;"ought other US consignor, well not so fast")</f>
        <v>Very satisfying shopping &lt;div id = "video-block-RUH9QWA0ACURL" class = "a-section a-spacing-small a-spacing-top-mini video-block"&gt; &lt;/ div&gt; &lt;input type = "hidden" name = "" value = "https://images-cn.ssl-images-amazon.com/images/I/91pMxokPsgS.mp4" class = "video-url"&gt; &lt;input type = "hidden" name = "" value = "https://images-cn.ssl-images-amazon.com/images/I/61jp0vegAsS.png" class = "video-slate-img-url"&gt; &amp; nbsp; is to buy good shoes, usually wear Nike44-44.5 code, buy big on the 1st us11, inside added a insole resolved, like the crazy horse hide things to do, own three pairs of boots are crazy horse hide, logistics really surprise to me, in inside and outside a total of almost four days to come, the United States sent me, before also bought other US consignor, well not so fast</v>
      </c>
    </row>
    <row r="15558">
      <c r="A15558" s="1">
        <v>5.0</v>
      </c>
      <c r="B15558" s="1" t="s">
        <v>15385</v>
      </c>
      <c r="C15558" t="str">
        <f>IFERROR(__xludf.DUMMYFUNCTION("GOOGLETRANSLATE(B15558, ""zh"", ""en"")"),"Toshiba good ah hope Japan Friendship Toshiba is getting better")</f>
        <v>Toshiba good ah hope Japan Friendship Toshiba is getting better</v>
      </c>
    </row>
    <row r="15559">
      <c r="A15559" s="1">
        <v>5.0</v>
      </c>
      <c r="B15559" s="1" t="s">
        <v>15386</v>
      </c>
      <c r="C15559" t="str">
        <f>IFERROR(__xludf.DUMMYFUNCTION("GOOGLETRANSLATE(B15559, ""zh"", ""en"")"),"Very cost-effective, performance is very good indeed can also read and write speeds, there will be one second delay when storing RAW format and JPG format with a maximum size of storage 5D4 at the same time, the project would not affect other choice. Many"&amp;" domestic Taobao price is higher than what is recommended to start")</f>
        <v>Very cost-effective, performance is very good indeed can also read and write speeds, there will be one second delay when storing RAW format and JPG format with a maximum size of storage 5D4 at the same time, the project would not affect other choice. Many domestic Taobao price is higher than what is recommended to start</v>
      </c>
    </row>
    <row r="15560">
      <c r="A15560" s="1">
        <v>5.0</v>
      </c>
      <c r="B15560" s="1" t="s">
        <v>15387</v>
      </c>
      <c r="C15560" t="str">
        <f>IFERROR(__xludf.DUMMYFUNCTION("GOOGLETRANSLATE(B15560, ""zh"", ""en"")"),"Something good at the end of August alone, the end of September delivery, very long wait was worth it, can not wait to use it, although a little expensive, but worth the price often gray, very much.")</f>
        <v>Something good at the end of August alone, the end of September delivery, very long wait was worth it, can not wait to use it, although a little expensive, but worth the price often gray, very much.</v>
      </c>
    </row>
    <row r="15561">
      <c r="A15561" s="1">
        <v>5.0</v>
      </c>
      <c r="B15561" s="1" t="s">
        <v>15388</v>
      </c>
      <c r="C15561" t="str">
        <f>IFERROR(__xludf.DUMMYFUNCTION("GOOGLETRANSLATE(B15561, ""zh"", ""en"")"),"Suitable for thick, comfortable fabric, for me!")</f>
        <v>Suitable for thick, comfortable fabric, for me!</v>
      </c>
    </row>
    <row r="15562">
      <c r="A15562" s="1">
        <v>5.0</v>
      </c>
      <c r="B15562" s="1" t="s">
        <v>15389</v>
      </c>
      <c r="C15562" t="str">
        <f>IFERROR(__xludf.DUMMYFUNCTION("GOOGLETRANSLATE(B15562, ""zh"", ""en"")"),"Quick hands peeling son bought for him to eat, eat less than a week will have the effect, become smooth palms up. Yes.")</f>
        <v>Quick hands peeling son bought for him to eat, eat less than a week will have the effect, become smooth palms up. Yes.</v>
      </c>
    </row>
    <row r="15563">
      <c r="A15563" s="1">
        <v>5.0</v>
      </c>
      <c r="B15563" s="1" t="s">
        <v>15390</v>
      </c>
      <c r="C15563" t="str">
        <f>IFERROR(__xludf.DUMMYFUNCTION("GOOGLETRANSLATE(B15563, ""zh"", ""en"")"),"Successfully reach the hands of overseas buyers purchased expect something good, very fast.")</f>
        <v>Successfully reach the hands of overseas buyers purchased expect something good, very fast.</v>
      </c>
    </row>
    <row r="15564">
      <c r="A15564" s="1">
        <v>5.0</v>
      </c>
      <c r="B15564" s="1" t="s">
        <v>15391</v>
      </c>
      <c r="C15564" t="str">
        <f>IFERROR(__xludf.DUMMYFUNCTION("GOOGLETRANSLATE(B15564, ""zh"", ""en"")"),"Worth recommending, than the domestic price is too high a price is quite good, straight jeans tube more relaxed and comfortable to wear. 1.68 m, 72 kg, 31 * 30, a little long pants a little long twenty-nine's just right. Referring to the latter.")</f>
        <v>Worth recommending, than the domestic price is too high a price is quite good, straight jeans tube more relaxed and comfortable to wear. 1.68 m, 72 kg, 31 * 30, a little long pants a little long twenty-nine's just right. Referring to the latter.</v>
      </c>
    </row>
    <row r="15565">
      <c r="A15565" s="1">
        <v>5.0</v>
      </c>
      <c r="B15565" s="1" t="s">
        <v>15392</v>
      </c>
      <c r="C15565" t="str">
        <f>IFERROR(__xludf.DUMMYFUNCTION("GOOGLETRANSLATE(B15565, ""zh"", ""en"")"),"Very good a lot faster than expected arrival time is the time to sit down a little volume. I hope down there with effect")</f>
        <v>Very good a lot faster than expected arrival time is the time to sit down a little volume. I hope down there with effect</v>
      </c>
    </row>
    <row r="15566">
      <c r="A15566" s="1">
        <v>5.0</v>
      </c>
      <c r="B15566" s="1" t="s">
        <v>15393</v>
      </c>
      <c r="C15566" t="str">
        <f>IFERROR(__xludf.DUMMYFUNCTION("GOOGLETRANSLATE(B15566, ""zh"", ""en"")"),"Does not stimulate good, exciting, too expensive")</f>
        <v>Does not stimulate good, exciting, too expensive</v>
      </c>
    </row>
    <row r="15567">
      <c r="A15567" s="1">
        <v>5.0</v>
      </c>
      <c r="B15567" s="1" t="s">
        <v>15394</v>
      </c>
      <c r="C15567" t="str">
        <f>IFERROR(__xludf.DUMMYFUNCTION("GOOGLETRANSLATE(B15567, ""zh"", ""en"")"),"My wife liked the first overseas purchase, because the price is reasonable, the future will pay more attention. Prior to arrival, he has been on tenterhooks, fearing foreign shoe size, shoes and domestic bias, found no difference after try, the future wil"&amp;"l refer to ""size table."" Physical picture than the product introduction color a little light, color can not be avoided, but not very different, wife gladly accepted.")</f>
        <v>My wife liked the first overseas purchase, because the price is reasonable, the future will pay more attention. Prior to arrival, he has been on tenterhooks, fearing foreign shoe size, shoes and domestic bias, found no difference after try, the future will refer to "size table." Physical picture than the product introduction color a little light, color can not be avoided, but not very different, wife gladly accepted.</v>
      </c>
    </row>
    <row r="15568">
      <c r="A15568" s="1">
        <v>2.0</v>
      </c>
      <c r="B15568" s="1" t="s">
        <v>15395</v>
      </c>
      <c r="C15568" t="str">
        <f>IFERROR(__xludf.DUMMYFUNCTION("GOOGLETRANSLATE(B15568, ""zh"", ""en"")"),"The proportion of the US version is not suitable for Asians cut really is not for me! ! ! Shoulder Sleeve suitable for too long, how short, is very strange to say, there are relatively coarse cotton, my height 155 can be worn under clothing as missing, bu"&amp;"t the sleeves and shoulder width ratio wearing a bit strange so strange, ah, so be it")</f>
        <v>The proportion of the US version is not suitable for Asians cut really is not for me! ! ! Shoulder Sleeve suitable for too long, how short, is very strange to say, there are relatively coarse cotton, my height 155 can be worn under clothing as missing, but the sleeves and shoulder width ratio wearing a bit strange so strange, ah, so be it</v>
      </c>
    </row>
    <row r="15569">
      <c r="A15569" s="1">
        <v>3.0</v>
      </c>
      <c r="B15569" s="1" t="s">
        <v>15396</v>
      </c>
      <c r="C15569" t="str">
        <f>IFERROR(__xludf.DUMMYFUNCTION("GOOGLETRANSLATE(B15569, ""zh"", ""en"")"),"No big problem, lined with some thread, rigid soles Portuguese production, just received, 550 starts, the right size, but unfortunately some lint lining, soles hard, has a big toe thread above, a bit messy foot")</f>
        <v>No big problem, lined with some thread, rigid soles Portuguese production, just received, 550 starts, the right size, but unfortunately some lint lining, soles hard, has a big toe thread above, a bit messy foot</v>
      </c>
    </row>
    <row r="15570">
      <c r="A15570" s="1">
        <v>3.0</v>
      </c>
      <c r="B15570" s="1" t="s">
        <v>15397</v>
      </c>
      <c r="C15570" t="str">
        <f>IFERROR(__xludf.DUMMYFUNCTION("GOOGLETRANSLATE(B15570, ""zh"", ""en"")"),"Pilling pilling lint are more powerful, more powerful especially when the dryer into easy to play the ball, he's the more general quality woolen should count ah.")</f>
        <v>Pilling pilling lint are more powerful, more powerful especially when the dryer into easy to play the ball, he's the more general quality woolen should count ah.</v>
      </c>
    </row>
    <row r="15571">
      <c r="A15571" s="1">
        <v>1.0</v>
      </c>
      <c r="B15571" s="1" t="s">
        <v>15398</v>
      </c>
      <c r="C15571" t="str">
        <f>IFERROR(__xludf.DUMMYFUNCTION("GOOGLETRANSLATE(B15571, ""zh"", ""en"")"),"Shoes quality problem to buy back the children to wear to school that afternoon on the phone said some open plastic shoes left you, I say you should be all right again Chuan Chuan, the next day called and said open shoes are done for, not to wear. Fakes! "&amp;"Shoe repair shoes now come back to say it more than a plastic, you have to re-pressure line. Amazon has been the most trusted, now question their own to buy so many genuine and fake cosmetics in the end?")</f>
        <v>Shoes quality problem to buy back the children to wear to school that afternoon on the phone said some open plastic shoes left you, I say you should be all right again Chuan Chuan, the next day called and said open shoes are done for, not to wear. Fakes! Shoe repair shoes now come back to say it more than a plastic, you have to re-pressure line. Amazon has been the most trusted, now question their own to buy so many genuine and fake cosmetics in the end?</v>
      </c>
    </row>
    <row r="15572">
      <c r="A15572" s="1">
        <v>1.0</v>
      </c>
      <c r="B15572" s="1" t="s">
        <v>15399</v>
      </c>
      <c r="C15572" t="str">
        <f>IFERROR(__xludf.DUMMYFUNCTION("GOOGLETRANSLATE(B15572, ""zh"", ""en"")"),"Mass difference is not generally used for two months, the ink on the ink leakage cracking, quality is not bad in general!")</f>
        <v>Mass difference is not generally used for two months, the ink on the ink leakage cracking, quality is not bad in general!</v>
      </c>
    </row>
    <row r="15573">
      <c r="A15573" s="1">
        <v>1.0</v>
      </c>
      <c r="B15573" s="1" t="s">
        <v>15400</v>
      </c>
      <c r="C15573" t="str">
        <f>IFERROR(__xludf.DUMMYFUNCTION("GOOGLETRANSLATE(B15573, ""zh"", ""en"")"),"Was soon broken, beyond repair, customer service negative coping bought a total of two, one used properly, use a charging bought the fourth time on the bad - comb can not be rushed into electricity. Domestic customer not be repaired, the Amazon customer s"&amp;"ervice is the negative response has been to say ""can not be returned, actively assist the maintenance of contact"" - but not after-sales service. Never before purchased overseas problems, quality problems people really disappointed! Two or three thousand"&amp;" dollars a nasty things that bad on nobody, this is the largest Internet company's social responsibility?")</f>
        <v>Was soon broken, beyond repair, customer service negative coping bought a total of two, one used properly, use a charging bought the fourth time on the bad - comb can not be rushed into electricity. Domestic customer not be repaired, the Amazon customer service is the negative response has been to say "can not be returned, actively assist the maintenance of contact" - but not after-sales service. Never before purchased overseas problems, quality problems people really disappointed! Two or three thousand dollars a nasty things that bad on nobody, this is the largest Internet company's social responsibility?</v>
      </c>
    </row>
    <row r="15574">
      <c r="A15574" s="1">
        <v>4.0</v>
      </c>
      <c r="B15574" s="1" t="s">
        <v>15401</v>
      </c>
      <c r="C15574" t="str">
        <f>IFERROR(__xludf.DUMMYFUNCTION("GOOGLETRANSLATE(B15574, ""zh"", ""en"")"),"A small glitch, taste a bit thick some small glitches, some taste, with lemon soaked better")</f>
        <v>A small glitch, taste a bit thick some small glitches, some taste, with lemon soaked better</v>
      </c>
    </row>
    <row r="15575">
      <c r="A15575" s="1">
        <v>4.0</v>
      </c>
      <c r="B15575" s="1" t="s">
        <v>15402</v>
      </c>
      <c r="C15575" t="str">
        <f>IFERROR(__xludf.DUMMYFUNCTION("GOOGLETRANSLATE(B15575, ""zh"", ""en"")"),"Height 170 may also weight 134, s just number")</f>
        <v>Height 170 may also weight 134, s just number</v>
      </c>
    </row>
    <row r="15576">
      <c r="A15576" s="1">
        <v>4.0</v>
      </c>
      <c r="B15576" s="1" t="s">
        <v>15403</v>
      </c>
      <c r="C15576" t="str">
        <f>IFERROR(__xludf.DUMMYFUNCTION("GOOGLETRANSLATE(B15576, ""zh"", ""en"")"),"Length of the belt received instructions came to understand the subject of the belt length refers to the waist, not the total length of the belt, needs its own punch, the belt is very good.")</f>
        <v>Length of the belt received instructions came to understand the subject of the belt length refers to the waist, not the total length of the belt, needs its own punch, the belt is very good.</v>
      </c>
    </row>
    <row r="15577">
      <c r="A15577" s="1">
        <v>4.0</v>
      </c>
      <c r="B15577" s="1" t="s">
        <v>15404</v>
      </c>
      <c r="C15577" t="str">
        <f>IFERROR(__xludf.DUMMYFUNCTION("GOOGLETRANSLATE(B15577, ""zh"", ""en"")"),"This relatively large 1.76 meters, 89 kilograms. L No. broad and long, there is no way this away. Friends at home wearing XxxL, wearing just.")</f>
        <v>This relatively large 1.76 meters, 89 kilograms. L No. broad and long, there is no way this away. Friends at home wearing XxxL, wearing just.</v>
      </c>
    </row>
    <row r="15578">
      <c r="A15578" s="1">
        <v>5.0</v>
      </c>
      <c r="B15578" s="1" t="s">
        <v>15405</v>
      </c>
      <c r="C15578" t="str">
        <f>IFERROR(__xludf.DUMMYFUNCTION("GOOGLETRANSLATE(B15578, ""zh"", ""en"")"),"Genuine! The right size, comfortable 😊 first sea Amoy shoes, time is shorter than expected, the most important is absolutely genuine, rest assured 😊! The size is right, the next test feeling more comfortable than rhubarb boots.")</f>
        <v>Genuine! The right size, comfortable 😊 first sea Amoy shoes, time is shorter than expected, the most important is absolutely genuine, rest assured 😊! The size is right, the next test feeling more comfortable than rhubarb boots.</v>
      </c>
    </row>
    <row r="15579">
      <c r="A15579" s="1">
        <v>5.0</v>
      </c>
      <c r="B15579" s="1" t="s">
        <v>15406</v>
      </c>
      <c r="C15579" t="str">
        <f>IFERROR(__xludf.DUMMYFUNCTION("GOOGLETRANSLATE(B15579, ""zh"", ""en"")"),"Very nice and comfortable and good-looking")</f>
        <v>Very nice and comfortable and good-looking</v>
      </c>
    </row>
    <row r="15580">
      <c r="A15580" s="1">
        <v>5.0</v>
      </c>
      <c r="B15580" s="1" t="s">
        <v>15407</v>
      </c>
      <c r="C15580" t="str">
        <f>IFERROR(__xludf.DUMMYFUNCTION("GOOGLETRANSLATE(B15580, ""zh"", ""en"")"),"Baby is great! Like the baby looks good, oh ...... I liked")</f>
        <v>Baby is great! Like the baby looks good, oh ...... I liked</v>
      </c>
    </row>
    <row r="15581">
      <c r="A15581" s="1">
        <v>5.0</v>
      </c>
      <c r="B15581" s="1" t="s">
        <v>15408</v>
      </c>
      <c r="C15581" t="str">
        <f>IFERROR(__xludf.DUMMYFUNCTION("GOOGLETRANSLATE(B15581, ""zh"", ""en"")"),"ojbk pretty good, just I do not know how to do bad day")</f>
        <v>ojbk pretty good, just I do not know how to do bad day</v>
      </c>
    </row>
    <row r="15582">
      <c r="A15582" s="1">
        <v>5.0</v>
      </c>
      <c r="B15582" s="1" t="s">
        <v>15409</v>
      </c>
      <c r="C15582" t="str">
        <f>IFERROR(__xludf.DUMMYFUNCTION("GOOGLETRANSLATE(B15582, ""zh"", ""en"")"),"This headset is very good! Inexpensive, good sound quality, cost-effective. Resolve outstanding adequate low frequency, good headphones, very consistent with my sense of hearing.")</f>
        <v>This headset is very good! Inexpensive, good sound quality, cost-effective. Resolve outstanding adequate low frequency, good headphones, very consistent with my sense of hearing.</v>
      </c>
    </row>
    <row r="15583">
      <c r="A15583" s="1">
        <v>5.0</v>
      </c>
      <c r="B15583" s="1" t="s">
        <v>15410</v>
      </c>
      <c r="C15583" t="str">
        <f>IFERROR(__xludf.DUMMYFUNCTION("GOOGLETRANSLATE(B15583, ""zh"", ""en"")"),"Error is small, a little heavy. 23 days error 0.5s, 15.6cm wrist band effect, there was still some heavy.")</f>
        <v>Error is small, a little heavy. 23 days error 0.5s, 15.6cm wrist band effect, there was still some heavy.</v>
      </c>
    </row>
    <row r="15584">
      <c r="A15584" s="1">
        <v>5.0</v>
      </c>
      <c r="B15584" s="1" t="s">
        <v>15411</v>
      </c>
      <c r="C15584" t="str">
        <f>IFERROR(__xludf.DUMMYFUNCTION("GOOGLETRANSLATE(B15584, ""zh"", ""en"")"),"Buy freshman code suitable hallux valgus, 42 yards usually wear winter shoes, buy the 43 code, corresponding to 26.5 feet long, generally suitable. After feeling heel shoe design slightly smaller freshman yards just. Although slightly longer in front, it "&amp;"should be added to the mat on it.")</f>
        <v>Buy freshman code suitable hallux valgus, 42 yards usually wear winter shoes, buy the 43 code, corresponding to 26.5 feet long, generally suitable. After feeling heel shoe design slightly smaller freshman yards just. Although slightly longer in front, it should be added to the mat on it.</v>
      </c>
    </row>
    <row r="15585">
      <c r="A15585" s="1">
        <v>5.0</v>
      </c>
      <c r="B15585" s="1" t="s">
        <v>15412</v>
      </c>
      <c r="C15585" t="str">
        <f>IFERROR(__xludf.DUMMYFUNCTION("GOOGLETRANSLATE(B15585, ""zh"", ""en"")"),"No rims underwear underwear no rims, also, for the first time to buy this brand of underwear, it is the home of pantyhose we all know")</f>
        <v>No rims underwear underwear no rims, also, for the first time to buy this brand of underwear, it is the home of pantyhose we all know</v>
      </c>
    </row>
    <row r="15586">
      <c r="A15586" s="1">
        <v>5.0</v>
      </c>
      <c r="B15586" s="1" t="s">
        <v>15413</v>
      </c>
      <c r="C15586" t="str">
        <f>IFERROR(__xludf.DUMMYFUNCTION("GOOGLETRANSLATE(B15586, ""zh"", ""en"")"),"Praise must say, this value, and also how to do?")</f>
        <v>Praise must say, this value, and also how to do?</v>
      </c>
    </row>
    <row r="15587">
      <c r="A15587" s="1">
        <v>5.0</v>
      </c>
      <c r="B15587" s="1" t="s">
        <v>15414</v>
      </c>
      <c r="C15587" t="str">
        <f>IFERROR(__xludf.DUMMYFUNCTION("GOOGLETRANSLATE(B15587, ""zh"", ""en"")"),"As always, very good comfort")</f>
        <v>As always, very good comfort</v>
      </c>
    </row>
    <row r="15588">
      <c r="A15588" s="1">
        <v>5.0</v>
      </c>
      <c r="B15588" s="1" t="s">
        <v>15415</v>
      </c>
      <c r="C15588" t="str">
        <f>IFERROR(__xludf.DUMMYFUNCTION("GOOGLETRANSLATE(B15588, ""zh"", ""en"")"),"Very good strong, good technology, durable, more cost-effective sets")</f>
        <v>Very good strong, good technology, durable, more cost-effective sets</v>
      </c>
    </row>
    <row r="15589">
      <c r="A15589" s="1">
        <v>5.0</v>
      </c>
      <c r="B15589" s="1" t="s">
        <v>15416</v>
      </c>
      <c r="C15589" t="str">
        <f>IFERROR(__xludf.DUMMYFUNCTION("GOOGLETRANSLATE(B15589, ""zh"", ""en"")"),"N5005 is very good, the logistics a bit slow photographs do not add up, received two days, apex logistics really to be commended. But the N5005 is really very good, just started listening when some harsh, listening to a few hours after the pot a little bi"&amp;"t open, the sound quality really is not too say, should be more open with the pot, the better")</f>
        <v>N5005 is very good, the logistics a bit slow photographs do not add up, received two days, apex logistics really to be commended. But the N5005 is really very good, just started listening when some harsh, listening to a few hours after the pot a little bit open, the sound quality really is not too say, should be more open with the pot, the better</v>
      </c>
    </row>
    <row r="15590">
      <c r="A15590" s="1">
        <v>5.0</v>
      </c>
      <c r="B15590" s="1" t="s">
        <v>15417</v>
      </c>
      <c r="C15590" t="str">
        <f>IFERROR(__xludf.DUMMYFUNCTION("GOOGLETRANSLATE(B15590, ""zh"", ""en"")"),"Comfortable to wear T-shirt fabrics and colors are excellent, rendering comfortable to wear.")</f>
        <v>Comfortable to wear T-shirt fabrics and colors are excellent, rendering comfortable to wear.</v>
      </c>
    </row>
    <row r="15591">
      <c r="A15591" s="1">
        <v>5.0</v>
      </c>
      <c r="B15591" s="1" t="s">
        <v>15418</v>
      </c>
      <c r="C15591" t="str">
        <f>IFERROR(__xludf.DUMMYFUNCTION("GOOGLETRANSLATE(B15591, ""zh"", ""en"")"),"Store a 16 bit buy sixteen toothbrush head, my husband and two people under forget, you can use nearly three years. Ha ha ha.")</f>
        <v>Store a 16 bit buy sixteen toothbrush head, my husband and two people under forget, you can use nearly three years. Ha ha ha.</v>
      </c>
    </row>
    <row r="15592">
      <c r="A15592" s="1">
        <v>5.0</v>
      </c>
      <c r="B15592" s="1" t="s">
        <v>15419</v>
      </c>
      <c r="C15592" t="str">
        <f>IFERROR(__xludf.DUMMYFUNCTION("GOOGLETRANSLATE(B15592, ""zh"", ""en"")"),"Overall very good multi-thread, multi-thread addition. Height 174, weight 70, waist 32 * 32 exactly, some long legs, changed")</f>
        <v>Overall very good multi-thread, multi-thread addition. Height 174, weight 70, waist 32 * 32 exactly, some long legs, changed</v>
      </c>
    </row>
    <row r="15593">
      <c r="A15593" s="1">
        <v>5.0</v>
      </c>
      <c r="B15593" s="1" t="s">
        <v>15420</v>
      </c>
      <c r="C15593" t="str">
        <f>IFERROR(__xludf.DUMMYFUNCTION("GOOGLETRANSLATE(B15593, ""zh"", ""en"")"),"Well worth buying seven days to receive it fast praising Amazon also not critical freight logistics machine larger than imagined easy to operate not need to convert the first and tastes good to a few cups a day is good convenient")</f>
        <v>Well worth buying seven days to receive it fast praising Amazon also not critical freight logistics machine larger than imagined easy to operate not need to convert the first and tastes good to a few cups a day is good convenient</v>
      </c>
    </row>
    <row r="15594">
      <c r="A15594" s="1">
        <v>5.0</v>
      </c>
      <c r="B15594" s="1" t="s">
        <v>15421</v>
      </c>
      <c r="C15594" t="str">
        <f>IFERROR(__xludf.DUMMYFUNCTION("GOOGLETRANSLATE(B15594, ""zh"", ""en"")"),"Large capacity mobile hard disk commodity satisfaction, high speed, large-capacity, high-capacity Seagate brand it should be durable, the only downside is 1.6 pounds too heavy, but thin some of your oh, so I'd rather heavy and do not buy expensive, cost-e"&amp;"ffective thing (hum).")</f>
        <v>Large capacity mobile hard disk commodity satisfaction, high speed, large-capacity, high-capacity Seagate brand it should be durable, the only downside is 1.6 pounds too heavy, but thin some of your oh, so I'd rather heavy and do not buy expensive, cost-effective thing (hum).</v>
      </c>
    </row>
    <row r="15595">
      <c r="A15595" s="1">
        <v>5.0</v>
      </c>
      <c r="B15595" s="1" t="s">
        <v>15422</v>
      </c>
      <c r="C15595" t="str">
        <f>IFERROR(__xludf.DUMMYFUNCTION("GOOGLETRANSLATE(B15595, ""zh"", ""en"")"),"Very satisfied finally receive the baby I need, and something good, affordable American, Asian thank me offer a good price, I should have seen recently lowest it! Besides baby, just what I needed, when received packaging intact, after opening my surprise,"&amp;" the baby better than I imagined! Shall not thumbs up. Next time I need will come again!")</f>
        <v>Very satisfied finally receive the baby I need, and something good, affordable American, Asian thank me offer a good price, I should have seen recently lowest it! Besides baby, just what I needed, when received packaging intact, after opening my surprise, the baby better than I imagined! Shall not thumbs up. Next time I need will come again!</v>
      </c>
    </row>
    <row r="15596">
      <c r="A15596" s="1">
        <v>5.0</v>
      </c>
      <c r="B15596" s="1" t="s">
        <v>15423</v>
      </c>
      <c r="C15596" t="str">
        <f>IFERROR(__xludf.DUMMYFUNCTION("GOOGLETRANSLATE(B15596, ""zh"", ""en"")"),"Generally this is genuine, but significant color bias old")</f>
        <v>Generally this is genuine, but significant color bias old</v>
      </c>
    </row>
    <row r="15597">
      <c r="A15597" s="1">
        <v>5.0</v>
      </c>
      <c r="B15597" s="1" t="s">
        <v>15424</v>
      </c>
      <c r="C15597" t="str">
        <f>IFERROR(__xludf.DUMMYFUNCTION("GOOGLETRANSLATE(B15597, ""zh"", ""en"")"),"Very satisfied very satisfied! ! ! Inexpensive! ! !")</f>
        <v>Very satisfied very satisfied! ! ! Inexpensive! ! !</v>
      </c>
    </row>
    <row r="15598">
      <c r="A15598" s="1">
        <v>5.0</v>
      </c>
      <c r="B15598" s="1" t="s">
        <v>15425</v>
      </c>
      <c r="C15598" t="str">
        <f>IFERROR(__xludf.DUMMYFUNCTION("GOOGLETRANSLATE(B15598, ""zh"", ""en"")"),"SSD can trust the brand is not too much do not really want to buy Korean products, but on the SSD, quality and more reliable too few.")</f>
        <v>SSD can trust the brand is not too much do not really want to buy Korean products, but on the SSD, quality and more reliable too few.</v>
      </c>
    </row>
    <row r="15599">
      <c r="A15599" s="1">
        <v>2.0</v>
      </c>
      <c r="B15599" s="1" t="s">
        <v>15426</v>
      </c>
      <c r="C15599" t="str">
        <f>IFERROR(__xludf.DUMMYFUNCTION("GOOGLETRANSLATE(B15599, ""zh"", ""en"")"),"Quality not. Quality a bit poor, just wear a few times, the big toe to break a big hole. . Other products Atsugi no such problems.")</f>
        <v>Quality not. Quality a bit poor, just wear a few times, the big toe to break a big hole. . Other products Atsugi no such problems.</v>
      </c>
    </row>
    <row r="15600">
      <c r="A15600" s="1">
        <v>3.0</v>
      </c>
      <c r="B15600" s="1" t="s">
        <v>15427</v>
      </c>
      <c r="C15600" t="str">
        <f>IFERROR(__xludf.DUMMYFUNCTION("GOOGLETRANSLATE(B15600, ""zh"", ""en"")"),"Poor quality &lt;div id = ""video-block-R2SXEZ54OA7QKV"" class = ""a-section a-spacing-small a-spacing-top-mini video-block""&gt; &lt;/ div&gt; &lt;input type = ""hidden"" name = """" value = ""https://images-cn.ssl-images-amazon.com/images/I/41VJjGuR3NS.mp4"" class = "&amp;"""video-url""&gt; &lt;input type = ""hidden"" name = """" value = ""https://images-cn.ssl-images-amazon.com/images/I/81P7Kp6W0wS.png"" class = ""video-slate-img-url""&gt; &amp; nbsp; there are yellow stains do not know why this happens return too much trouble there is"&amp;" no refund for the first time to buy clothes abroad bad impression")</f>
        <v>Poor quality &lt;div id = "video-block-R2SXEZ54OA7QKV" class = "a-section a-spacing-small a-spacing-top-mini video-block"&gt; &lt;/ div&gt; &lt;input type = "hidden" name = "" value = "https://images-cn.ssl-images-amazon.com/images/I/41VJjGuR3NS.mp4" class = "video-url"&gt; &lt;input type = "hidden" name = "" value = "https://images-cn.ssl-images-amazon.com/images/I/81P7Kp6W0wS.png" class = "video-slate-img-url"&gt; &amp; nbsp; there are yellow stains do not know why this happens return too much trouble there is no refund for the first time to buy clothes abroad bad impression</v>
      </c>
    </row>
    <row r="15601">
      <c r="A15601" s="1">
        <v>3.0</v>
      </c>
      <c r="B15601" s="1" t="s">
        <v>15428</v>
      </c>
      <c r="C15601" t="str">
        <f>IFERROR(__xludf.DUMMYFUNCTION("GOOGLETRANSLATE(B15601, ""zh"", ""en"")"),"Size really thick but much larger but the actual amount under severe size allowed me to buy the M code bust have 59cm when oversize wear Oh")</f>
        <v>Size really thick but much larger but the actual amount under severe size allowed me to buy the M code bust have 59cm when oversize wear Oh</v>
      </c>
    </row>
    <row r="15602">
      <c r="A15602" s="1">
        <v>3.0</v>
      </c>
      <c r="B15602" s="1" t="s">
        <v>15429</v>
      </c>
      <c r="C15602" t="str">
        <f>IFERROR(__xludf.DUMMYFUNCTION("GOOGLETRANSLATE(B15602, ""zh"", ""en"")"),"Photos have color worthy of the price of this watch is the picture looks less gold, with respect to color a little disappointed, kind words comparative gold bar. He removed the 5-band strap only with a tight grip, before did not split still feel very heav"&amp;"y. Buy swimming, usually do not dare to be honest with felt lining dress can also be right, there is a little feminine hands table, on the whole can, I do not want to test water resistance, and know that this brand waterproof watch is very good. Cost pric"&amp;"ey.")</f>
        <v>Photos have color worthy of the price of this watch is the picture looks less gold, with respect to color a little disappointed, kind words comparative gold bar. He removed the 5-band strap only with a tight grip, before did not split still feel very heavy. Buy swimming, usually do not dare to be honest with felt lining dress can also be right, there is a little feminine hands table, on the whole can, I do not want to test water resistance, and know that this brand waterproof watch is very good. Cost pricey.</v>
      </c>
    </row>
    <row r="15603">
      <c r="A15603" s="1">
        <v>1.0</v>
      </c>
      <c r="B15603" s="1" t="s">
        <v>15430</v>
      </c>
      <c r="C15603" t="str">
        <f>IFERROR(__xludf.DUMMYFUNCTION("GOOGLETRANSLATE(B15603, ""zh"", ""en"")"),"Sucks silent, the sea Amoy 8T come to a 6T! White to play two weeks")</f>
        <v>Sucks silent, the sea Amoy 8T come to a 6T! White to play two weeks</v>
      </c>
    </row>
    <row r="15604">
      <c r="A15604" s="1">
        <v>1.0</v>
      </c>
      <c r="B15604" s="1" t="s">
        <v>15431</v>
      </c>
      <c r="C15604" t="str">
        <f>IFERROR(__xludf.DUMMYFUNCTION("GOOGLETRANSLATE(B15604, ""zh"", ""en"")"),"Logo crooked that quality control is also bad, right, logo can be crooked")</f>
        <v>Logo crooked that quality control is also bad, right, logo can be crooked</v>
      </c>
    </row>
    <row r="15605">
      <c r="A15605" s="1">
        <v>4.0</v>
      </c>
      <c r="B15605" s="1" t="s">
        <v>15432</v>
      </c>
      <c r="C15605" t="str">
        <f>IFERROR(__xludf.DUMMYFUNCTION("GOOGLETRANSLATE(B15605, ""zh"", ""en"")"),"Good texture, quality is also good. Reference bought a comment trumpet (174/70) but still some long,")</f>
        <v>Good texture, quality is also good. Reference bought a comment trumpet (174/70) but still some long,</v>
      </c>
    </row>
    <row r="15606">
      <c r="A15606" s="1">
        <v>4.0</v>
      </c>
      <c r="B15606" s="1" t="s">
        <v>15433</v>
      </c>
      <c r="C15606" t="str">
        <f>IFERROR(__xludf.DUMMYFUNCTION("GOOGLETRANSLATE(B15606, ""zh"", ""en"")"),"It can also taste should also be pretty good, right")</f>
        <v>It can also taste should also be pretty good, right</v>
      </c>
    </row>
    <row r="15607">
      <c r="A15607" s="1">
        <v>4.0</v>
      </c>
      <c r="B15607" s="1" t="s">
        <v>15434</v>
      </c>
      <c r="C15607" t="str">
        <f>IFERROR(__xludf.DUMMYFUNCTION("GOOGLETRANSLATE(B15607, ""zh"", ""en"")"),"Yan also good high-value, high color value, buy two 139")</f>
        <v>Yan also good high-value, high color value, buy two 139</v>
      </c>
    </row>
    <row r="15608">
      <c r="A15608" s="1">
        <v>4.0</v>
      </c>
      <c r="B15608" s="1" t="s">
        <v>15435</v>
      </c>
      <c r="C15608" t="str">
        <f>IFERROR(__xludf.DUMMYFUNCTION("GOOGLETRANSLATE(B15608, ""zh"", ""en"")"),"American original bottle is a whole little old, a little dirty, no significant new. Others are okay.")</f>
        <v>American original bottle is a whole little old, a little dirty, no significant new. Others are okay.</v>
      </c>
    </row>
    <row r="15609">
      <c r="A15609" s="1">
        <v>4.0</v>
      </c>
      <c r="B15609" s="1" t="s">
        <v>15436</v>
      </c>
      <c r="C15609" t="str">
        <f>IFERROR(__xludf.DUMMYFUNCTION("GOOGLETRANSLATE(B15609, ""zh"", ""en"")"),"No packaging, quality to be determined much faster than imagined a. Then packaged feels very cheap, after opening the box inside the headphones are open. . . Was a bit worried. This headset is the first I bought a little better headphones, tried a little,"&amp;" just opened the door to the New World, etc. pot a good look and see")</f>
        <v>No packaging, quality to be determined much faster than imagined a. Then packaged feels very cheap, after opening the box inside the headphones are open. . . Was a bit worried. This headset is the first I bought a little better headphones, tried a little, just opened the door to the New World, etc. pot a good look and see</v>
      </c>
    </row>
    <row r="15610">
      <c r="A15610" s="1">
        <v>5.0</v>
      </c>
      <c r="B15610" s="1" t="s">
        <v>15437</v>
      </c>
      <c r="C15610" t="str">
        <f>IFERROR(__xludf.DUMMYFUNCTION("GOOGLETRANSLATE(B15610, ""zh"", ""en"")"),"Prior to eat with authentic, from the US, like Costco to buy")</f>
        <v>Prior to eat with authentic, from the US, like Costco to buy</v>
      </c>
    </row>
    <row r="15611">
      <c r="A15611" s="1">
        <v>5.0</v>
      </c>
      <c r="B15611" s="1" t="s">
        <v>15438</v>
      </c>
      <c r="C15611" t="str">
        <f>IFERROR(__xludf.DUMMYFUNCTION("GOOGLETRANSLATE(B15611, ""zh"", ""en"")"),"Time arrival very much, thank Amazon country I wear, the 40, seven yards a little small")</f>
        <v>Time arrival very much, thank Amazon country I wear, the 40, seven yards a little small</v>
      </c>
    </row>
    <row r="15612">
      <c r="A15612" s="1">
        <v>5.0</v>
      </c>
      <c r="B15612" s="1" t="s">
        <v>15439</v>
      </c>
      <c r="C15612" t="str">
        <f>IFERROR(__xludf.DUMMYFUNCTION("GOOGLETRANSLATE(B15612, ""zh"", ""en"")"),"Outdoor sports good! like!")</f>
        <v>Outdoor sports good! like!</v>
      </c>
    </row>
    <row r="15613">
      <c r="A15613" s="1">
        <v>5.0</v>
      </c>
      <c r="B15613" s="1" t="s">
        <v>15440</v>
      </c>
      <c r="C15613" t="str">
        <f>IFERROR(__xludf.DUMMYFUNCTION("GOOGLETRANSLATE(B15613, ""zh"", ""en"")"),"Make the application of internal models and the price is cheap domestic brush is too expensive, this plus a tax equivalent to 20 yuan, the discount is more than 40 domestic one, although domestic model and not the same, but with them the same.")</f>
        <v>Make the application of internal models and the price is cheap domestic brush is too expensive, this plus a tax equivalent to 20 yuan, the discount is more than 40 domestic one, although domestic model and not the same, but with them the same.</v>
      </c>
    </row>
    <row r="15614">
      <c r="A15614" s="1">
        <v>5.0</v>
      </c>
      <c r="B15614" s="1" t="s">
        <v>15441</v>
      </c>
      <c r="C15614" t="str">
        <f>IFERROR(__xludf.DUMMYFUNCTION("GOOGLETRANSLATE(B15614, ""zh"", ""en"")"),"Strap comfortable underwear for summer, very comfortable strap design")</f>
        <v>Strap comfortable underwear for summer, very comfortable strap design</v>
      </c>
    </row>
    <row r="15615">
      <c r="A15615" s="1">
        <v>5.0</v>
      </c>
      <c r="B15615" s="1" t="s">
        <v>15442</v>
      </c>
      <c r="C15615" t="str">
        <f>IFERROR(__xludf.DUMMYFUNCTION("GOOGLETRANSLATE(B15615, ""zh"", ""en"")"),"High cost, size and color is selected Dema pants waist as you can, very good texture of a belt, the absolute value of this price. I Waist 34, buy 34 just right")</f>
        <v>High cost, size and color is selected Dema pants waist as you can, very good texture of a belt, the absolute value of this price. I Waist 34, buy 34 just right</v>
      </c>
    </row>
    <row r="15616">
      <c r="A15616" s="1">
        <v>5.0</v>
      </c>
      <c r="B15616" s="1" t="s">
        <v>15443</v>
      </c>
      <c r="C15616" t="str">
        <f>IFERROR(__xludf.DUMMYFUNCTION("GOOGLETRANSLATE(B15616, ""zh"", ""en"")"),"Quite satisfied with the shopping. Like the appropriate size and in the past the country store, very good comfort. made in China.")</f>
        <v>Quite satisfied with the shopping. Like the appropriate size and in the past the country store, very good comfort. made in China.</v>
      </c>
    </row>
    <row r="15617">
      <c r="A15617" s="1">
        <v>5.0</v>
      </c>
      <c r="B15617" s="1" t="s">
        <v>15444</v>
      </c>
      <c r="C15617" t="str">
        <f>IFERROR(__xludf.DUMMYFUNCTION("GOOGLETRANSLATE(B15617, ""zh"", ""en"")"),"This price may be appropriate according to the size of a large star, moderate hardness 1")</f>
        <v>This price may be appropriate according to the size of a large star, moderate hardness 1</v>
      </c>
    </row>
    <row r="15618">
      <c r="A15618" s="1">
        <v>5.0</v>
      </c>
      <c r="B15618" s="1" t="s">
        <v>15445</v>
      </c>
      <c r="C15618" t="str">
        <f>IFERROR(__xludf.DUMMYFUNCTION("GOOGLETRANSLATE(B15618, ""zh"", ""en"")"),"Fifth of the praise he felt quite the effect, people lazy, when underwear to wear. Hips have dropped, I do not know the specific reason for wearing it or the reasons for weight reduction, or other reasons")</f>
        <v>Fifth of the praise he felt quite the effect, people lazy, when underwear to wear. Hips have dropped, I do not know the specific reason for wearing it or the reasons for weight reduction, or other reasons</v>
      </c>
    </row>
    <row r="15619">
      <c r="A15619" s="1">
        <v>5.0</v>
      </c>
      <c r="B15619" s="1" t="s">
        <v>15446</v>
      </c>
      <c r="C15619" t="str">
        <f>IFERROR(__xludf.DUMMYFUNCTION("GOOGLETRANSLATE(B15619, ""zh"", ""en"")"),"Stockpile it! The cartridge is very soft, colorful, with so fast! Overlapping color is good, but feel that they have not touched it features need to run.")</f>
        <v>Stockpile it! The cartridge is very soft, colorful, with so fast! Overlapping color is good, but feel that they have not touched it features need to run.</v>
      </c>
    </row>
    <row r="15620">
      <c r="A15620" s="1">
        <v>5.0</v>
      </c>
      <c r="B15620" s="1" t="s">
        <v>15447</v>
      </c>
      <c r="C15620" t="str">
        <f>IFERROR(__xludf.DUMMYFUNCTION("GOOGLETRANSLATE(B15620, ""zh"", ""en"")"),"Such a long leather good, thin soles, leather insoles also, very light on the feet, foot feeling in general, the side looks good, and so a long time to buy, overall praise, Amazon has done a good user experience!")</f>
        <v>Such a long leather good, thin soles, leather insoles also, very light on the feet, foot feeling in general, the side looks good, and so a long time to buy, overall praise, Amazon has done a good user experience!</v>
      </c>
    </row>
    <row r="15621">
      <c r="A15621" s="1">
        <v>5.0</v>
      </c>
      <c r="B15621" s="1" t="s">
        <v>15448</v>
      </c>
      <c r="C15621" t="str">
        <f>IFERROR(__xludf.DUMMYFUNCTION("GOOGLETRANSLATE(B15621, ""zh"", ""en"")"),"Well worth buying did not taste very good with Ha")</f>
        <v>Well worth buying did not taste very good with Ha</v>
      </c>
    </row>
    <row r="15622">
      <c r="A15622" s="1">
        <v>5.0</v>
      </c>
      <c r="B15622" s="1" t="s">
        <v>15449</v>
      </c>
      <c r="C15622" t="str">
        <f>IFERROR(__xludf.DUMMYFUNCTION("GOOGLETRANSLATE(B15622, ""zh"", ""en"")"),"General Electric toothbrush head toothbrush head models, inexpensive, worth starting!")</f>
        <v>General Electric toothbrush head toothbrush head models, inexpensive, worth starting!</v>
      </c>
    </row>
    <row r="15623">
      <c r="A15623" s="1">
        <v>5.0</v>
      </c>
      <c r="B15623" s="1" t="s">
        <v>15450</v>
      </c>
      <c r="C15623" t="str">
        <f>IFERROR(__xludf.DUMMYFUNCTION("GOOGLETRANSLATE(B15623, ""zh"", ""en"")"),"Good, cost-effective high 183,150 pounds of L code just right, something worthy of the price.")</f>
        <v>Good, cost-effective high 183,150 pounds of L code just right, something worthy of the price.</v>
      </c>
    </row>
    <row r="15624">
      <c r="A15624" s="1">
        <v>5.0</v>
      </c>
      <c r="B15624" s="1" t="s">
        <v>15451</v>
      </c>
      <c r="C15624" t="str">
        <f>IFERROR(__xludf.DUMMYFUNCTION("GOOGLETRANSLATE(B15624, ""zh"", ""en"")"),"Color super nice nice color compact ultrafast logistics for girls")</f>
        <v>Color super nice nice color compact ultrafast logistics for girls</v>
      </c>
    </row>
    <row r="15625">
      <c r="A15625" s="1">
        <v>5.0</v>
      </c>
      <c r="B15625" s="1" t="s">
        <v>15452</v>
      </c>
      <c r="C15625" t="str">
        <f>IFERROR(__xludf.DUMMYFUNCTION("GOOGLETRANSLATE(B15625, ""zh"", ""en"")"),"Sanford Charlie Horse color of lead, well-deserved reputation easy to use, affordable high-end color of lead inside the cargo")</f>
        <v>Sanford Charlie Horse color of lead, well-deserved reputation easy to use, affordable high-end color of lead inside the cargo</v>
      </c>
    </row>
    <row r="15626">
      <c r="A15626" s="1">
        <v>5.0</v>
      </c>
      <c r="B15626" s="1" t="s">
        <v>15453</v>
      </c>
      <c r="C15626" t="str">
        <f>IFERROR(__xludf.DUMMYFUNCTION("GOOGLETRANSLATE(B15626, ""zh"", ""en"")"),"ck fine, black is easy to stick ash")</f>
        <v>ck fine, black is easy to stick ash</v>
      </c>
    </row>
    <row r="15627">
      <c r="A15627" s="1">
        <v>5.0</v>
      </c>
      <c r="B15627" s="1" t="s">
        <v>15454</v>
      </c>
      <c r="C15627" t="str">
        <f>IFERROR(__xludf.DUMMYFUNCTION("GOOGLETRANSLATE(B15627, ""zh"", ""en"")"),"Trusted to the force, very good! Big package, the United States imports also paid tax money, to eat at ease, than the price is too Taobao, will come again")</f>
        <v>Trusted to the force, very good! Big package, the United States imports also paid tax money, to eat at ease, than the price is too Taobao, will come again</v>
      </c>
    </row>
    <row r="15628">
      <c r="A15628" s="1">
        <v>5.0</v>
      </c>
      <c r="B15628" s="1" t="s">
        <v>15455</v>
      </c>
      <c r="C15628" t="str">
        <f>IFERROR(__xludf.DUMMYFUNCTION("GOOGLETRANSLATE(B15628, ""zh"", ""en"")"),"I liked the stylish design, good workmanship, very much. At the same time put a book and a bottle of water, no pressure.")</f>
        <v>I liked the stylish design, good workmanship, very much. At the same time put a book and a bottle of water, no pressure.</v>
      </c>
    </row>
    <row r="15629">
      <c r="A15629" s="1">
        <v>5.0</v>
      </c>
      <c r="B15629" s="1" t="s">
        <v>15456</v>
      </c>
      <c r="C15629" t="str">
        <f>IFERROR(__xludf.DUMMYFUNCTION("GOOGLETRANSLATE(B15629, ""zh"", ""en"")"),"perfect! It is authentic! My beloved ear full of blood resurrection! perfect! It is authentic! My beloved ear full of blood resurrection!")</f>
        <v>perfect! It is authentic! My beloved ear full of blood resurrection! perfect! It is authentic! My beloved ear full of blood resurrection!</v>
      </c>
    </row>
    <row r="15630">
      <c r="A15630" s="1">
        <v>5.0</v>
      </c>
      <c r="B15630" s="1" t="s">
        <v>15457</v>
      </c>
      <c r="C15630" t="str">
        <f>IFERROR(__xludf.DUMMYFUNCTION("GOOGLETRANSLATE(B15630, ""zh"", ""en"")"),"Transnational satisfying shopping feel good, comfortable to wear, logistics is also fast.")</f>
        <v>Transnational satisfying shopping feel good, comfortable to wear, logistics is also fast.</v>
      </c>
    </row>
    <row r="15631">
      <c r="A15631" s="1">
        <v>5.0</v>
      </c>
      <c r="B15631" s="1" t="s">
        <v>15458</v>
      </c>
      <c r="C15631" t="str">
        <f>IFERROR(__xludf.DUMMYFUNCTION("GOOGLETRANSLATE(B15631, ""zh"", ""en"")"),"Nice thin fabric")</f>
        <v>Nice thin fabric</v>
      </c>
    </row>
    <row r="15632">
      <c r="A15632" s="1">
        <v>2.0</v>
      </c>
      <c r="B15632" s="1" t="s">
        <v>15459</v>
      </c>
      <c r="C15632" t="str">
        <f>IFERROR(__xludf.DUMMYFUNCTION("GOOGLETRANSLATE(B15632, ""zh"", ""en"")"),"It should be put goods for some time, and expires in September next year. Temporary protection to September next year")</f>
        <v>It should be put goods for some time, and expires in September next year. Temporary protection to September next year</v>
      </c>
    </row>
    <row r="15633">
      <c r="A15633" s="1">
        <v>3.0</v>
      </c>
      <c r="B15633" s="1" t="s">
        <v>15460</v>
      </c>
      <c r="C15633" t="str">
        <f>IFERROR(__xludf.DUMMYFUNCTION("GOOGLETRANSLATE(B15633, ""zh"", ""en"")"),"Sad ...... very comfortable to wear a shoe, but was wearing less than two weeks, in the inside edge on the broken ...... ...... What the hell do Maidaojiahuo?")</f>
        <v>Sad ...... very comfortable to wear a shoe, but was wearing less than two weeks, in the inside edge on the broken ...... ...... What the hell do Maidaojiahuo?</v>
      </c>
    </row>
    <row r="15634">
      <c r="A15634" s="1">
        <v>3.0</v>
      </c>
      <c r="B15634" s="1" t="s">
        <v>15461</v>
      </c>
      <c r="C15634" t="str">
        <f>IFERROR(__xludf.DUMMYFUNCTION("GOOGLETRANSLATE(B15634, ""zh"", ""en"")"),"Good sound insulation sound leakage, poor sound insulation, sound OK")</f>
        <v>Good sound insulation sound leakage, poor sound insulation, sound OK</v>
      </c>
    </row>
    <row r="15635">
      <c r="A15635" s="1">
        <v>1.0</v>
      </c>
      <c r="B15635" s="1" t="s">
        <v>15462</v>
      </c>
      <c r="C15635" t="str">
        <f>IFERROR(__xludf.DUMMYFUNCTION("GOOGLETRANSLATE(B15635, ""zh"", ""en"")"),"This leather is not the same and I bought a pair of leather is completely different just speechless")</f>
        <v>This leather is not the same and I bought a pair of leather is completely different just speechless</v>
      </c>
    </row>
    <row r="15636">
      <c r="A15636" s="1">
        <v>1.0</v>
      </c>
      <c r="B15636" s="1" t="s">
        <v>15463</v>
      </c>
      <c r="C15636" t="str">
        <f>IFERROR(__xludf.DUMMYFUNCTION("GOOGLETRANSLATE(B15636, ""zh"", ""en"")"),"Pants too high I 173 weight 74KG buy M number actually big mess ah")</f>
        <v>Pants too high I 173 weight 74KG buy M number actually big mess ah</v>
      </c>
    </row>
    <row r="15637">
      <c r="A15637" s="1">
        <v>1.0</v>
      </c>
      <c r="B15637" s="1" t="s">
        <v>15464</v>
      </c>
      <c r="C15637" t="str">
        <f>IFERROR(__xludf.DUMMYFUNCTION("GOOGLETRANSLATE(B15637, ""zh"", ""en"")"),"No slip is not waterproof do not recommend rainy day, climbing the use of very garbage does not slip is not waterproof! 6.17 Suzhou has been under a light rain in the afternoon umbrella wear these shoes climbing one hour this way, way up the mountain I fe"&amp;"lt boots are a little slippery, so down the extra attention, but unfortunately fell twice, the umbrella broke, bruised small arms, the back is straight and fell in step Shang Hao hurt. Changing his shoes and found the front half of the cushion back foot s"&amp;"ocks are wet, I did not Tangshui, a little rain could not stop it? Not to mention I have an umbrella, good water repellent say it? Climbing hundreds of times is there, in the rain also climbed many times, usually wearing shoes, did not fall once! This is "&amp;"the plan to wear hiking shoes to climb the mountain climbing Huangshan and the like, in advance glad tried this shoe performance, very disappointing! Should I buy a fake?")</f>
        <v>No slip is not waterproof do not recommend rainy day, climbing the use of very garbage does not slip is not waterproof! 6.17 Suzhou has been under a light rain in the afternoon umbrella wear these shoes climbing one hour this way, way up the mountain I felt boots are a little slippery, so down the extra attention, but unfortunately fell twice, the umbrella broke, bruised small arms, the back is straight and fell in step Shang Hao hurt. Changing his shoes and found the front half of the cushion back foot socks are wet, I did not Tangshui, a little rain could not stop it? Not to mention I have an umbrella, good water repellent say it? Climbing hundreds of times is there, in the rain also climbed many times, usually wearing shoes, did not fall once! This is the plan to wear hiking shoes to climb the mountain climbing Huangshan and the like, in advance glad tried this shoe performance, very disappointing! Should I buy a fake?</v>
      </c>
    </row>
    <row r="15638">
      <c r="A15638" s="1">
        <v>4.0</v>
      </c>
      <c r="B15638" s="1" t="s">
        <v>15465</v>
      </c>
      <c r="C15638" t="str">
        <f>IFERROR(__xludf.DUMMYFUNCTION("GOOGLETRANSLATE(B15638, ""zh"", ""en"")"),"Girls wear a little big to wear a little big bag to feel generally alternate OK")</f>
        <v>Girls wear a little big to wear a little big bag to feel generally alternate OK</v>
      </c>
    </row>
    <row r="15639">
      <c r="A15639" s="1">
        <v>4.0</v>
      </c>
      <c r="B15639" s="1" t="s">
        <v>15466</v>
      </c>
      <c r="C15639" t="str">
        <f>IFERROR(__xludf.DUMMYFUNCTION("GOOGLETRANSLATE(B15639, ""zh"", ""en"")"),"Oh, a little bit like a general great husband said, a little too big quality generally like it ......")</f>
        <v>Oh, a little bit like a general great husband said, a little too big quality generally like it ......</v>
      </c>
    </row>
    <row r="15640">
      <c r="A15640" s="1">
        <v>4.0</v>
      </c>
      <c r="B15640" s="1" t="s">
        <v>15467</v>
      </c>
      <c r="C15640" t="str">
        <f>IFERROR(__xludf.DUMMYFUNCTION("GOOGLETRANSLATE(B15640, ""zh"", ""en"")"),"Champion Men's Athletic thickness may also be slightly longer wearing little deformation")</f>
        <v>Champion Men's Athletic thickness may also be slightly longer wearing little deformation</v>
      </c>
    </row>
    <row r="15641">
      <c r="A15641" s="1">
        <v>4.0</v>
      </c>
      <c r="B15641" s="1" t="s">
        <v>15468</v>
      </c>
      <c r="C15641" t="str">
        <f>IFERROR(__xludf.DUMMYFUNCTION("GOOGLETRANSLATE(B15641, ""zh"", ""en"")"),"Size large two yards pants are very good, that is a size too big, with a waist of another sign of just 31w, this whole freshman code! To buy time to note, may buy a small two yards is appropriate.")</f>
        <v>Size large two yards pants are very good, that is a size too big, with a waist of another sign of just 31w, this whole freshman code! To buy time to note, may buy a small two yards is appropriate.</v>
      </c>
    </row>
    <row r="15642">
      <c r="A15642" s="1">
        <v>4.0</v>
      </c>
      <c r="B15642" s="1" t="s">
        <v>15469</v>
      </c>
      <c r="C15642" t="str">
        <f>IFERROR(__xludf.DUMMYFUNCTION("GOOGLETRANSLATE(B15642, ""zh"", ""en"")"),"Dark color clothing, the other very good color some deep, very good version of the design style, wear significant figure, significantly younger")</f>
        <v>Dark color clothing, the other very good color some deep, very good version of the design style, wear significant figure, significantly younger</v>
      </c>
    </row>
    <row r="15643">
      <c r="A15643" s="1">
        <v>5.0</v>
      </c>
      <c r="B15643" s="1" t="s">
        <v>15470</v>
      </c>
      <c r="C15643" t="str">
        <f>IFERROR(__xludf.DUMMYFUNCTION("GOOGLETRANSLATE(B15643, ""zh"", ""en"")"),"Good like a good time shopping")</f>
        <v>Good like a good time shopping</v>
      </c>
    </row>
    <row r="15644">
      <c r="A15644" s="1">
        <v>5.0</v>
      </c>
      <c r="B15644" s="1" t="s">
        <v>15471</v>
      </c>
      <c r="C15644" t="str">
        <f>IFERROR(__xludf.DUMMYFUNCTION("GOOGLETRANSLATE(B15644, ""zh"", ""en"")"),"Good workmanship is very good, the right size, but too fat round face wearing does not look good")</f>
        <v>Good workmanship is very good, the right size, but too fat round face wearing does not look good</v>
      </c>
    </row>
    <row r="15645">
      <c r="A15645" s="1">
        <v>5.0</v>
      </c>
      <c r="B15645" s="1" t="s">
        <v>15472</v>
      </c>
      <c r="C15645" t="str">
        <f>IFERROR(__xludf.DUMMYFUNCTION("GOOGLETRANSLATE(B15645, ""zh"", ""en"")"),"Bang Bangbang about a week I received! Super cute! Dial larger heavy, hold down the right side of the dial knob there is luminous, very convenient! Ye Chao same paragraph, you deserve!")</f>
        <v>Bang Bangbang about a week I received! Super cute! Dial larger heavy, hold down the right side of the dial knob there is luminous, very convenient! Ye Chao same paragraph, you deserve!</v>
      </c>
    </row>
    <row r="15646">
      <c r="A15646" s="1">
        <v>5.0</v>
      </c>
      <c r="B15646" s="1" t="s">
        <v>15473</v>
      </c>
      <c r="C15646" t="str">
        <f>IFERROR(__xludf.DUMMYFUNCTION("GOOGLETRANSLATE(B15646, ""zh"", ""en"")"),"Very nice shirt! Henbucuo very nice shirt! Henbucuo")</f>
        <v>Very nice shirt! Henbucuo very nice shirt! Henbucuo</v>
      </c>
    </row>
    <row r="15647">
      <c r="A15647" s="1">
        <v>5.0</v>
      </c>
      <c r="B15647" s="1" t="s">
        <v>15474</v>
      </c>
      <c r="C15647" t="str">
        <f>IFERROR(__xludf.DUMMYFUNCTION("GOOGLETRANSLATE(B15647, ""zh"", ""en"")"),"Not used to praise whenever merchant's product passable basically I can get this set of evaluation, unless extremely bad! Before particularly busy, has no time to evaluate, this is also this thing can basically meet my basic requirements, if you want a ta"&amp;"ller, we can then compare themselves Soso comparison, I belong to lower entry requirements of people. Well, do not pull, too busy! Things can be, we can continue to buy buy buy ~~~")</f>
        <v>Not used to praise whenever merchant's product passable basically I can get this set of evaluation, unless extremely bad! Before particularly busy, has no time to evaluate, this is also this thing can basically meet my basic requirements, if you want a taller, we can then compare themselves Soso comparison, I belong to lower entry requirements of people. Well, do not pull, too busy! Things can be, we can continue to buy buy buy ~~~</v>
      </c>
    </row>
    <row r="15648">
      <c r="A15648" s="1">
        <v>5.0</v>
      </c>
      <c r="B15648" s="1" t="s">
        <v>15475</v>
      </c>
      <c r="C15648" t="str">
        <f>IFERROR(__xludf.DUMMYFUNCTION("GOOGLETRANSLATE(B15648, ""zh"", ""en"")"),"IWS, the computer speed has been upgraded, good speed, and SanDisk through the serial number on the five-year global warranty, very good.")</f>
        <v>IWS, the computer speed has been upgraded, good speed, and SanDisk through the serial number on the five-year global warranty, very good.</v>
      </c>
    </row>
    <row r="15649">
      <c r="A15649" s="1">
        <v>5.0</v>
      </c>
      <c r="B15649" s="1" t="s">
        <v>15476</v>
      </c>
      <c r="C15649" t="str">
        <f>IFERROR(__xludf.DUMMYFUNCTION("GOOGLETRANSLATE(B15649, ""zh"", ""en"")"),"Good yardage! Code number is normal!")</f>
        <v>Good yardage! Code number is normal!</v>
      </c>
    </row>
    <row r="15650">
      <c r="A15650" s="1">
        <v>5.0</v>
      </c>
      <c r="B15650" s="1" t="s">
        <v>15477</v>
      </c>
      <c r="C15650" t="str">
        <f>IFERROR(__xludf.DUMMYFUNCTION("GOOGLETRANSLATE(B15650, ""zh"", ""en"")"),"Somewhere to good quality brand, good quality, comfortable on the feet. perfect!")</f>
        <v>Somewhere to good quality brand, good quality, comfortable on the feet. perfect!</v>
      </c>
    </row>
    <row r="15651">
      <c r="A15651" s="1">
        <v>5.0</v>
      </c>
      <c r="B15651" s="1" t="s">
        <v>15478</v>
      </c>
      <c r="C15651" t="str">
        <f>IFERROR(__xludf.DUMMYFUNCTION("GOOGLETRANSLATE(B15651, ""zh"", ""en"")"),"Sound a bit big to about seven days, more delicate, the only downside is the sound is a bit large")</f>
        <v>Sound a bit big to about seven days, more delicate, the only downside is the sound is a bit large</v>
      </c>
    </row>
    <row r="15652">
      <c r="A15652" s="1">
        <v>5.0</v>
      </c>
      <c r="B15652" s="1" t="s">
        <v>15479</v>
      </c>
      <c r="C15652" t="str">
        <f>IFERROR(__xludf.DUMMYFUNCTION("GOOGLETRANSLATE(B15652, ""zh"", ""en"")"),"Cheap goods are very good like")</f>
        <v>Cheap goods are very good like</v>
      </c>
    </row>
    <row r="15653">
      <c r="A15653" s="1">
        <v>5.0</v>
      </c>
      <c r="B15653" s="1" t="s">
        <v>15480</v>
      </c>
      <c r="C15653" t="str">
        <f>IFERROR(__xludf.DUMMYFUNCTION("GOOGLETRANSLATE(B15653, ""zh"", ""en"")"),"Evaluation is very good, the price is right.")</f>
        <v>Evaluation is very good, the price is right.</v>
      </c>
    </row>
    <row r="15654">
      <c r="A15654" s="1">
        <v>5.0</v>
      </c>
      <c r="B15654" s="1" t="s">
        <v>15481</v>
      </c>
      <c r="C15654" t="str">
        <f>IFERROR(__xludf.DUMMYFUNCTION("GOOGLETRANSLATE(B15654, ""zh"", ""en"")"),"Overall just a good start, give us some suggestions. The headphones work fine, the biggest improvement is that relatively generation earmuffs large, very comfortable. An additional cell phone remote control function, this function right eyes of the behold"&amp;"er. The main talk about sound quality, tri-band relatively balanced, bass and no evaluation of said so little, sounds more flexible. The sound field is relatively large. The overall quality of a good feeling, for me this love with iPhone, iPad songs, too "&amp;"lazy to toss front end. If you need me, this is a good choice. The only slight fly in the ointment is: a little expensive, cheaper quarter of thousand million!")</f>
        <v>Overall just a good start, give us some suggestions. The headphones work fine, the biggest improvement is that relatively generation earmuffs large, very comfortable. An additional cell phone remote control function, this function right eyes of the beholder. The main talk about sound quality, tri-band relatively balanced, bass and no evaluation of said so little, sounds more flexible. The sound field is relatively large. The overall quality of a good feeling, for me this love with iPhone, iPad songs, too lazy to toss front end. If you need me, this is a good choice. The only slight fly in the ointment is: a little expensive, cheaper quarter of thousand million!</v>
      </c>
    </row>
    <row r="15655">
      <c r="A15655" s="1">
        <v>5.0</v>
      </c>
      <c r="B15655" s="1" t="s">
        <v>15482</v>
      </c>
      <c r="C15655" t="str">
        <f>IFERROR(__xludf.DUMMYFUNCTION("GOOGLETRANSLATE(B15655, ""zh"", ""en"")"),"Help a friend to the baby stockpile to help a friend to the baby store goods, bottle glass suitable for newborn baby, bought a 240 and a 160, do not know Japanese this material with the country is not different, but the appearance is different the packagi"&amp;"ng is also very careful, do not worry be damaged during transport, like this one")</f>
        <v>Help a friend to the baby stockpile to help a friend to the baby store goods, bottle glass suitable for newborn baby, bought a 240 and a 160, do not know Japanese this material with the country is not different, but the appearance is different the packaging is also very careful, do not worry be damaged during transport, like this one</v>
      </c>
    </row>
    <row r="15656">
      <c r="A15656" s="1">
        <v>5.0</v>
      </c>
      <c r="B15656" s="1" t="s">
        <v>15483</v>
      </c>
      <c r="C15656" t="str">
        <f>IFERROR(__xludf.DUMMYFUNCTION("GOOGLETRANSLATE(B15656, ""zh"", ""en"")"),"Very good, very comfortable, beautiful very beautiful than the domestic price with the price, the feet feel good, details a little flaw does not affect. But why the code corresponding to 41 260 domestic, a little do not understand, overall good experience")</f>
        <v>Very good, very comfortable, beautiful very beautiful than the domestic price with the price, the feet feel good, details a little flaw does not affect. But why the code corresponding to 41 260 domestic, a little do not understand, overall good experience</v>
      </c>
    </row>
    <row r="15657">
      <c r="A15657" s="1">
        <v>5.0</v>
      </c>
      <c r="B15657" s="1" t="s">
        <v>15484</v>
      </c>
      <c r="C15657" t="str">
        <f>IFERROR(__xludf.DUMMYFUNCTION("GOOGLETRANSLATE(B15657, ""zh"", ""en"")"),"Just getting in good with palms itching to buy something, first saw the Internet Tupper 74, and then to know the Sailor, a lot of research to buy this. Surprise is that the ink bag can write just plug in, very smooth, no flying white! Schneider also used "&amp;"the pen of a hundred other half get down water before been concerned about this issue, it appears that the high price is not the same. Besides the tip, the water smooth and slightly damp, it is like this feeling of salsa, a little bit rough but fine for c"&amp;"alligraphy, signature, writing or should buy daily fine words. Finally, we express quite to the force. Amazon originally expected to two weeks to arrive, actually sent to five days.")</f>
        <v>Just getting in good with palms itching to buy something, first saw the Internet Tupper 74, and then to know the Sailor, a lot of research to buy this. Surprise is that the ink bag can write just plug in, very smooth, no flying white! Schneider also used the pen of a hundred other half get down water before been concerned about this issue, it appears that the high price is not the same. Besides the tip, the water smooth and slightly damp, it is like this feeling of salsa, a little bit rough but fine for calligraphy, signature, writing or should buy daily fine words. Finally, we express quite to the force. Amazon originally expected to two weeks to arrive, actually sent to five days.</v>
      </c>
    </row>
    <row r="15658">
      <c r="A15658" s="1">
        <v>5.0</v>
      </c>
      <c r="B15658" s="1" t="s">
        <v>15485</v>
      </c>
      <c r="C15658" t="str">
        <f>IFERROR(__xludf.DUMMYFUNCTION("GOOGLETRANSLATE(B15658, ""zh"", ""en"")"),"Elderly care knee badly worn mother, also did not see a doctor only exceedingly reversible maintenance swelling. Others recommended this and glucosamine, to buy, he said recently feel very good, not a pain. Anyway, you get older and more praise or add a v"&amp;"ariety of trace elements. Praise.")</f>
        <v>Elderly care knee badly worn mother, also did not see a doctor only exceedingly reversible maintenance swelling. Others recommended this and glucosamine, to buy, he said recently feel very good, not a pain. Anyway, you get older and more praise or add a variety of trace elements. Praise.</v>
      </c>
    </row>
    <row r="15659">
      <c r="A15659" s="1">
        <v>5.0</v>
      </c>
      <c r="B15659" s="1" t="s">
        <v>15486</v>
      </c>
      <c r="C15659" t="str">
        <f>IFERROR(__xludf.DUMMYFUNCTION("GOOGLETRANSLATE(B15659, ""zh"", ""en"")"),"Good value for money is very good delivery soon to basically one week")</f>
        <v>Good value for money is very good delivery soon to basically one week</v>
      </c>
    </row>
    <row r="15660">
      <c r="A15660" s="1">
        <v>5.0</v>
      </c>
      <c r="B15660" s="1" t="s">
        <v>15487</v>
      </c>
      <c r="C15660" t="str">
        <f>IFERROR(__xludf.DUMMYFUNCTION("GOOGLETRANSLATE(B15660, ""zh"", ""en"")"),"Shoes are comfortable to wear shoes with the same picture is my favorite style, wear very comfortable shoes and lightweight,")</f>
        <v>Shoes are comfortable to wear shoes with the same picture is my favorite style, wear very comfortable shoes and lightweight,</v>
      </c>
    </row>
    <row r="15661">
      <c r="A15661" s="1">
        <v>5.0</v>
      </c>
      <c r="B15661" s="1" t="s">
        <v>15488</v>
      </c>
      <c r="C15661" t="str">
        <f>IFERROR(__xludf.DUMMYFUNCTION("GOOGLETRANSLATE(B15661, ""zh"", ""en"")"),"The second barrel, coffee taste, not taste, very satisfied. The second barrel protein powder, strawberry flavor first bucket, a pot of coffee flavors, Member Free International very cost-effective, fitness has insisted for a year, you can see the results,"&amp;" we should stick to it. Glad I start looking for the best brand of protein powder, also found the right way to purchase, but also to buy a bucket before the membership expires.")</f>
        <v>The second barrel, coffee taste, not taste, very satisfied. The second barrel protein powder, strawberry flavor first bucket, a pot of coffee flavors, Member Free International very cost-effective, fitness has insisted for a year, you can see the results, we should stick to it. Glad I start looking for the best brand of protein powder, also found the right way to purchase, but also to buy a bucket before the membership expires.</v>
      </c>
    </row>
    <row r="15662">
      <c r="A15662" s="1">
        <v>5.0</v>
      </c>
      <c r="B15662" s="1" t="s">
        <v>15489</v>
      </c>
      <c r="C15662" t="str">
        <f>IFERROR(__xludf.DUMMYFUNCTION("GOOGLETRANSLATE(B15662, ""zh"", ""en"")"),"Okay watches can also, very delicate. Mainly primary school girl quite like it.")</f>
        <v>Okay watches can also, very delicate. Mainly primary school girl quite like it.</v>
      </c>
    </row>
    <row r="15663">
      <c r="A15663" s="1">
        <v>5.0</v>
      </c>
      <c r="B15663" s="1" t="s">
        <v>15490</v>
      </c>
      <c r="C15663" t="str">
        <f>IFERROR(__xludf.DUMMYFUNCTION("GOOGLETRANSLATE(B15663, ""zh"", ""en"")"),"Good for his daughter to buy 90 kg, 163 cm. Put on just. Fabric is cotton, great texture. And he added a white.")</f>
        <v>Good for his daughter to buy 90 kg, 163 cm. Put on just. Fabric is cotton, great texture. And he added a white.</v>
      </c>
    </row>
    <row r="15664">
      <c r="A15664" s="1">
        <v>5.0</v>
      </c>
      <c r="B15664" s="1" t="s">
        <v>15491</v>
      </c>
      <c r="C15664" t="str">
        <f>IFERROR(__xludf.DUMMYFUNCTION("GOOGLETRANSLATE(B15664, ""zh"", ""en"")"),"That is what we need Qiuyiqiuku No. 165/63 to buy the right size M, it is not very thick, not very long length sleeves. But I liked, so wear on the inside will not be exposed, but also to wear is not bloated like ...")</f>
        <v>That is what we need Qiuyiqiuku No. 165/63 to buy the right size M, it is not very thick, not very long length sleeves. But I liked, so wear on the inside will not be exposed, but also to wear is not bloated like ...</v>
      </c>
    </row>
    <row r="15665">
      <c r="A15665" s="1">
        <v>2.0</v>
      </c>
      <c r="B15665" s="1" t="s">
        <v>15492</v>
      </c>
      <c r="C15665" t="str">
        <f>IFERROR(__xludf.DUMMYFUNCTION("GOOGLETRANSLATE(B15665, ""zh"", ""en"")"),"rusty belt Very disappointed with this quality. I am wondering how this happened to the quality control")</f>
        <v>rusty belt Very disappointed with this quality. I am wondering how this happened to the quality control</v>
      </c>
    </row>
    <row r="15666">
      <c r="A15666" s="1">
        <v>3.0</v>
      </c>
      <c r="B15666" s="1" t="s">
        <v>15493</v>
      </c>
      <c r="C15666" t="str">
        <f>IFERROR(__xludf.DUMMYFUNCTION("GOOGLETRANSLATE(B15666, ""zh"", ""en"")"),"There misplaced bottle head has not been used, but open when there is a misplaced bottle head slot")</f>
        <v>There misplaced bottle head has not been used, but open when there is a misplaced bottle head slot</v>
      </c>
    </row>
    <row r="15667">
      <c r="A15667" s="1">
        <v>3.0</v>
      </c>
      <c r="B15667" s="1" t="s">
        <v>15494</v>
      </c>
      <c r="C15667" t="str">
        <f>IFERROR(__xludf.DUMMYFUNCTION("GOOGLETRANSLATE(B15667, ""zh"", ""en"")"),"I usually too large pants belts 38, know this pants too large, specifically to buy 36, the result is still too big")</f>
        <v>I usually too large pants belts 38, know this pants too large, specifically to buy 36, the result is still too big</v>
      </c>
    </row>
    <row r="15668">
      <c r="A15668" s="1">
        <v>3.0</v>
      </c>
      <c r="B15668" s="1" t="s">
        <v>15495</v>
      </c>
      <c r="C15668" t="str">
        <f>IFERROR(__xludf.DUMMYFUNCTION("GOOGLETRANSLATE(B15668, ""zh"", ""en"")"),"Just love with science and technology, feeling lighter than imagined. Genuine should be no problem. But the music did not find the feeling. Hope over time will be a little better. Recommend good music or have sent to me.")</f>
        <v>Just love with science and technology, feeling lighter than imagined. Genuine should be no problem. But the music did not find the feeling. Hope over time will be a little better. Recommend good music or have sent to me.</v>
      </c>
    </row>
    <row r="15669">
      <c r="A15669" s="1">
        <v>1.0</v>
      </c>
      <c r="B15669" s="1" t="s">
        <v>15496</v>
      </c>
      <c r="C15669" t="str">
        <f>IFERROR(__xludf.DUMMYFUNCTION("GOOGLETRANSLATE(B15669, ""zh"", ""en"")"),"Difficult soaked well, not open bubble, bubble open especially difficult")</f>
        <v>Difficult soaked well, not open bubble, bubble open especially difficult</v>
      </c>
    </row>
    <row r="15670">
      <c r="A15670" s="1">
        <v>1.0</v>
      </c>
      <c r="B15670" s="1" t="s">
        <v>15497</v>
      </c>
      <c r="C15670" t="str">
        <f>IFERROR(__xludf.DUMMYFUNCTION("GOOGLETRANSLATE(B15670, ""zh"", ""en"")"),"CK fake fake! I was as I bought in the store to buy that section, but completely different, wear half ck trademarks are not out of the store. This just get the goods on a wash in such a way that good ...... but no trace of it, the sides and the middle of "&amp;"the back edge there! The same code is also a small part of it! Customer complaints fight fakes that I washed off, and who do not receive wash underwear to wear, I wash a trademark not to wear it out, bad review! If you can not give a star I will not give,"&amp;" never to buy things on Amazon, waiting for two weeks disappointing!")</f>
        <v>CK fake fake! I was as I bought in the store to buy that section, but completely different, wear half ck trademarks are not out of the store. This just get the goods on a wash in such a way that good ...... but no trace of it, the sides and the middle of the back edge there! The same code is also a small part of it! Customer complaints fight fakes that I washed off, and who do not receive wash underwear to wear, I wash a trademark not to wear it out, bad review! If you can not give a star I will not give, never to buy things on Amazon, waiting for two weeks disappointing!</v>
      </c>
    </row>
    <row r="15671">
      <c r="A15671" s="1">
        <v>4.0</v>
      </c>
      <c r="B15671" s="1" t="s">
        <v>15498</v>
      </c>
      <c r="C15671" t="str">
        <f>IFERROR(__xludf.DUMMYFUNCTION("GOOGLETRANSLATE(B15671, ""zh"", ""en"")"),"A little bit big, elastic good. Flexible, a little bit bigger, I feel like pregnant women pants ha ha 😄")</f>
        <v>A little bit big, elastic good. Flexible, a little bit bigger, I feel like pregnant women pants ha ha 😄</v>
      </c>
    </row>
    <row r="15672">
      <c r="A15672" s="1">
        <v>4.0</v>
      </c>
      <c r="B15672" s="1" t="s">
        <v>15499</v>
      </c>
      <c r="C15672" t="str">
        <f>IFERROR(__xludf.DUMMYFUNCTION("GOOGLETRANSLATE(B15672, ""zh"", ""en"")"),"There are quite large a smell there is quite a large surge of flavor! !")</f>
        <v>There are quite large a smell there is quite a large surge of flavor! !</v>
      </c>
    </row>
    <row r="15673">
      <c r="A15673" s="1">
        <v>4.0</v>
      </c>
      <c r="B15673" s="1" t="s">
        <v>15500</v>
      </c>
      <c r="C15673" t="str">
        <f>IFERROR(__xludf.DUMMYFUNCTION("GOOGLETRANSLATE(B15673, ""zh"", ""en"")"),"The code than domestic big one yards. 32w waistlines have 85cm. After shrinking also 84cm.")</f>
        <v>The code than domestic big one yards. 32w waistlines have 85cm. After shrinking also 84cm.</v>
      </c>
    </row>
    <row r="15674">
      <c r="A15674" s="1">
        <v>4.0</v>
      </c>
      <c r="B15674" s="1" t="s">
        <v>15501</v>
      </c>
      <c r="C15674" t="str">
        <f>IFERROR(__xludf.DUMMYFUNCTION("GOOGLETRANSLATE(B15674, ""zh"", ""en"")"),"Foot wear very light, slightly larger, only a little way to wear feet, not to wear, do not know better will not be back")</f>
        <v>Foot wear very light, slightly larger, only a little way to wear feet, not to wear, do not know better will not be back</v>
      </c>
    </row>
    <row r="15675">
      <c r="A15675" s="1">
        <v>4.0</v>
      </c>
      <c r="B15675" s="1" t="s">
        <v>15502</v>
      </c>
      <c r="C15675" t="str">
        <f>IFERROR(__xludf.DUMMYFUNCTION("GOOGLETRANSLATE(B15675, ""zh"", ""en"")"),"Packaging be improved streaking came over, mounted outside of the cup is not actually a plastic bag, if environmental considerations it may be coated with a layer of paper, which makes surfaces are gray, and there is a trace trace of the cup lid, which de"&amp;"fective products ? ! I can only say that the price is really competitive compared to some of the country")</f>
        <v>Packaging be improved streaking came over, mounted outside of the cup is not actually a plastic bag, if environmental considerations it may be coated with a layer of paper, which makes surfaces are gray, and there is a trace trace of the cup lid, which defective products ? ! I can only say that the price is really competitive compared to some of the country</v>
      </c>
    </row>
    <row r="15676">
      <c r="A15676" s="1">
        <v>5.0</v>
      </c>
      <c r="B15676" s="1" t="s">
        <v>15503</v>
      </c>
      <c r="C15676" t="str">
        <f>IFERROR(__xludf.DUMMYFUNCTION("GOOGLETRANSLATE(B15676, ""zh"", ""en"")"),"Yes, perfect. Good, very good very perfect.")</f>
        <v>Yes, perfect. Good, very good very perfect.</v>
      </c>
    </row>
    <row r="15677">
      <c r="A15677" s="1">
        <v>5.0</v>
      </c>
      <c r="B15677" s="1" t="s">
        <v>15504</v>
      </c>
      <c r="C15677" t="str">
        <f>IFERROR(__xludf.DUMMYFUNCTION("GOOGLETRANSLATE(B15677, ""zh"", ""en"")"),"Although you can a little bit different, but also to meet the T ^ T")</f>
        <v>Although you can a little bit different, but also to meet the T ^ T</v>
      </c>
    </row>
    <row r="15678">
      <c r="A15678" s="1">
        <v>5.0</v>
      </c>
      <c r="B15678" s="1" t="s">
        <v>15505</v>
      </c>
      <c r="C15678" t="str">
        <f>IFERROR(__xludf.DUMMYFUNCTION("GOOGLETRANSLATE(B15678, ""zh"", ""en"")"),"Quality is no problem with the size of the counter with the money are basically the same, the quality is also good, I usually wear Nike 45, this time to buy the right size 44")</f>
        <v>Quality is no problem with the size of the counter with the money are basically the same, the quality is also good, I usually wear Nike 45, this time to buy the right size 44</v>
      </c>
    </row>
    <row r="15679">
      <c r="A15679" s="1">
        <v>5.0</v>
      </c>
      <c r="B15679" s="1" t="s">
        <v>15506</v>
      </c>
      <c r="C15679" t="str">
        <f>IFERROR(__xludf.DUMMYFUNCTION("GOOGLETRANSLATE(B15679, ""zh"", ""en"")"),"Leisure time leisure wear pants, comfortable fabric, easy to dry. Number accurate, 175CM, 175 pounds wearing")</f>
        <v>Leisure time leisure wear pants, comfortable fabric, easy to dry. Number accurate, 175CM, 175 pounds wearing</v>
      </c>
    </row>
    <row r="15680">
      <c r="A15680" s="1">
        <v>5.0</v>
      </c>
      <c r="B15680" s="1" t="s">
        <v>15507</v>
      </c>
      <c r="C15680" t="str">
        <f>IFERROR(__xludf.DUMMYFUNCTION("GOOGLETRANSLATE(B15680, ""zh"", ""en"")"),"Satisfaction to help colleagues to buy, very satisfied.")</f>
        <v>Satisfaction to help colleagues to buy, very satisfied.</v>
      </c>
    </row>
    <row r="15681">
      <c r="A15681" s="1">
        <v>5.0</v>
      </c>
      <c r="B15681" s="1" t="s">
        <v>15508</v>
      </c>
      <c r="C15681" t="str">
        <f>IFERROR(__xludf.DUMMYFUNCTION("GOOGLETRANSLATE(B15681, ""zh"", ""en"")"),"Like always loved tiger mug, the activities to buy, the price is very cheap, very light a cup, once bought two, it is praise")</f>
        <v>Like always loved tiger mug, the activities to buy, the price is very cheap, very light a cup, once bought two, it is praise</v>
      </c>
    </row>
    <row r="15682">
      <c r="A15682" s="1">
        <v>5.0</v>
      </c>
      <c r="B15682" s="1" t="s">
        <v>15509</v>
      </c>
      <c r="C15682" t="str">
        <f>IFERROR(__xludf.DUMMYFUNCTION("GOOGLETRANSLATE(B15682, ""zh"", ""en"")"),"You can also affordable, worthy of the price")</f>
        <v>You can also affordable, worthy of the price</v>
      </c>
    </row>
    <row r="15683">
      <c r="A15683" s="1">
        <v>5.0</v>
      </c>
      <c r="B15683" s="1" t="s">
        <v>15510</v>
      </c>
      <c r="C15683" t="str">
        <f>IFERROR(__xludf.DUMMYFUNCTION("GOOGLETRANSLATE(B15683, ""zh"", ""en"")"),"Very good coffee machine. Very practical.")</f>
        <v>Very good coffee machine. Very practical.</v>
      </c>
    </row>
    <row r="15684">
      <c r="A15684" s="1">
        <v>5.0</v>
      </c>
      <c r="B15684" s="1" t="s">
        <v>15511</v>
      </c>
      <c r="C15684" t="str">
        <f>IFERROR(__xludf.DUMMYFUNCTION("GOOGLETRANSLATE(B15684, ""zh"", ""en"")"),"Imports of mobile phone very comfortable really good watch, really great!")</f>
        <v>Imports of mobile phone very comfortable really good watch, really great!</v>
      </c>
    </row>
    <row r="15685">
      <c r="A15685" s="1">
        <v>5.0</v>
      </c>
      <c r="B15685" s="1" t="s">
        <v>15512</v>
      </c>
      <c r="C15685" t="str">
        <f>IFERROR(__xludf.DUMMYFUNCTION("GOOGLETRANSLATE(B15685, ""zh"", ""en"")"),"Not satisfied with cotton, cotton and polyester, the material is not thick, work is acceptable, Slim, 175/63, S code fit.")</f>
        <v>Not satisfied with cotton, cotton and polyester, the material is not thick, work is acceptable, Slim, 175/63, S code fit.</v>
      </c>
    </row>
    <row r="15686">
      <c r="A15686" s="1">
        <v>5.0</v>
      </c>
      <c r="B15686" s="1" t="s">
        <v>15513</v>
      </c>
      <c r="C15686" t="str">
        <f>IFERROR(__xludf.DUMMYFUNCTION("GOOGLETRANSLATE(B15686, ""zh"", ""en"")"),"Compact and practical feeling is a little bit on the small side.")</f>
        <v>Compact and practical feeling is a little bit on the small side.</v>
      </c>
    </row>
    <row r="15687">
      <c r="A15687" s="1">
        <v>5.0</v>
      </c>
      <c r="B15687" s="1" t="s">
        <v>15514</v>
      </c>
      <c r="C15687" t="str">
        <f>IFERROR(__xludf.DUMMYFUNCTION("GOOGLETRANSLATE(B15687, ""zh"", ""en"")"),"Pants liked")</f>
        <v>Pants liked</v>
      </c>
    </row>
    <row r="15688">
      <c r="A15688" s="1">
        <v>5.0</v>
      </c>
      <c r="B15688" s="1" t="s">
        <v>15515</v>
      </c>
      <c r="C15688" t="str">
        <f>IFERROR(__xludf.DUMMYFUNCTION("GOOGLETRANSLATE(B15688, ""zh"", ""en"")"),"Good quality, the price is super cheap height 180. weight 148 pounds, wearing just the M number")</f>
        <v>Good quality, the price is super cheap height 180. weight 148 pounds, wearing just the M number</v>
      </c>
    </row>
    <row r="15689">
      <c r="A15689" s="1">
        <v>5.0</v>
      </c>
      <c r="B15689" s="1" t="s">
        <v>15516</v>
      </c>
      <c r="C15689" t="str">
        <f>IFERROR(__xludf.DUMMYFUNCTION("GOOGLETRANSLATE(B15689, ""zh"", ""en"")"),"980 ah sound quality is not much to say, I am most impressed with is the low-frequency control is very good, the amount is enough for me, the most satisfying is its magnificent, listening to the first - Lakeshore Lane, was shocked to the sound field is go"&amp;"od, high-frequency extension tail overtone better, the human voice is not really how modification, but high density, the human voice is thick. Classical listening to soft music on it.")</f>
        <v>980 ah sound quality is not much to say, I am most impressed with is the low-frequency control is very good, the amount is enough for me, the most satisfying is its magnificent, listening to the first - Lakeshore Lane, was shocked to the sound field is good, high-frequency extension tail overtone better, the human voice is not really how modification, but high density, the human voice is thick. Classical listening to soft music on it.</v>
      </c>
    </row>
    <row r="15690">
      <c r="A15690" s="1">
        <v>5.0</v>
      </c>
      <c r="B15690" s="1" t="s">
        <v>15517</v>
      </c>
      <c r="C15690" t="str">
        <f>IFERROR(__xludf.DUMMYFUNCTION("GOOGLETRANSLATE(B15690, ""zh"", ""en"")"),"Under Armour Under Armor tights men's long-sleeved HG 150 pounds wearing a very tight, but unfortunately the body in general! ! !")</f>
        <v>Under Armour Under Armor tights men's long-sleeved HG 150 pounds wearing a very tight, but unfortunately the body in general! ! !</v>
      </c>
    </row>
    <row r="15691">
      <c r="A15691" s="1">
        <v>5.0</v>
      </c>
      <c r="B15691" s="1" t="s">
        <v>15518</v>
      </c>
      <c r="C15691" t="str">
        <f>IFERROR(__xludf.DUMMYFUNCTION("GOOGLETRANSLATE(B15691, ""zh"", ""en"")"),"Good very fine, packaging is also very good Amazon Japan")</f>
        <v>Good very fine, packaging is also very good Amazon Japan</v>
      </c>
    </row>
    <row r="15692">
      <c r="A15692" s="1">
        <v>5.0</v>
      </c>
      <c r="B15692" s="1" t="s">
        <v>15519</v>
      </c>
      <c r="C15692" t="str">
        <f>IFERROR(__xludf.DUMMYFUNCTION("GOOGLETRANSLATE(B15692, ""zh"", ""en"")"),"Friends of reference for later purchase fit bottoming underwear, thin, comfortable, cotton. 170cm60kg just trumpet.")</f>
        <v>Friends of reference for later purchase fit bottoming underwear, thin, comfortable, cotton. 170cm60kg just trumpet.</v>
      </c>
    </row>
    <row r="15693">
      <c r="A15693" s="1">
        <v>5.0</v>
      </c>
      <c r="B15693" s="1" t="s">
        <v>15520</v>
      </c>
      <c r="C15693" t="str">
        <f>IFERROR(__xludf.DUMMYFUNCTION("GOOGLETRANSLATE(B15693, ""zh"", ""en"")"),"Comfortable thin very comfortable, but for me it is a little cup")</f>
        <v>Comfortable thin very comfortable, but for me it is a little cup</v>
      </c>
    </row>
    <row r="15694">
      <c r="A15694" s="1">
        <v>5.0</v>
      </c>
      <c r="B15694" s="1" t="s">
        <v>15521</v>
      </c>
      <c r="C15694" t="str">
        <f>IFERROR(__xludf.DUMMYFUNCTION("GOOGLETRANSLATE(B15694, ""zh"", ""en"")"),"High cost of a very smooth logistics, direct shipments actually bare box intact. Something easy to use high cost, in addition to no other warranty nothing wrong.")</f>
        <v>High cost of a very smooth logistics, direct shipments actually bare box intact. Something easy to use high cost, in addition to no other warranty nothing wrong.</v>
      </c>
    </row>
    <row r="15695">
      <c r="A15695" s="1">
        <v>5.0</v>
      </c>
      <c r="B15695" s="1" t="s">
        <v>15522</v>
      </c>
      <c r="C15695" t="str">
        <f>IFERROR(__xludf.DUMMYFUNCTION("GOOGLETRANSLATE(B15695, ""zh"", ""en"")"),"Quality of goods received in advance, the appearance of no damage. Format the partition, fast.")</f>
        <v>Quality of goods received in advance, the appearance of no damage. Format the partition, fast.</v>
      </c>
    </row>
    <row r="15696">
      <c r="A15696" s="1">
        <v>5.0</v>
      </c>
      <c r="B15696" s="1" t="s">
        <v>15523</v>
      </c>
      <c r="C15696" t="str">
        <f>IFERROR(__xludf.DUMMYFUNCTION("GOOGLETRANSLATE(B15696, ""zh"", ""en"")"),"Weight then focus like a great, packaging is very delicate")</f>
        <v>Weight then focus like a great, packaging is very delicate</v>
      </c>
    </row>
    <row r="15697">
      <c r="A15697" s="1">
        <v>5.0</v>
      </c>
      <c r="B15697" s="1" t="s">
        <v>15524</v>
      </c>
      <c r="C15697" t="str">
        <f>IFERROR(__xludf.DUMMYFUNCTION("GOOGLETRANSLATE(B15697, ""zh"", ""en"")"),"Very satisfied ah see prices really could not hold ah, after buying all kinds of surprises, and k420 contrast dtx501p comprehensive than a mile, which is based on the premise phone Direct Push, in this, it is recommended that you buy the headset when it d"&amp;"irectly on the big ears, the front slowly, portable or something, upgrade from k420 to enhance dtx501p only a little bit, the price is twice as expensive, expensive upgrades dt990pro more than doubled dtx501p, that upgrade. . .")</f>
        <v>Very satisfied ah see prices really could not hold ah, after buying all kinds of surprises, and k420 contrast dtx501p comprehensive than a mile, which is based on the premise phone Direct Push, in this, it is recommended that you buy the headset when it directly on the big ears, the front slowly, portable or something, upgrade from k420 to enhance dtx501p only a little bit, the price is twice as expensive, expensive upgrades dt990pro more than doubled dtx501p, that upgrade. . .</v>
      </c>
    </row>
    <row r="15698">
      <c r="A15698" s="1">
        <v>2.0</v>
      </c>
      <c r="B15698" s="1" t="s">
        <v>15525</v>
      </c>
      <c r="C15698" t="str">
        <f>IFERROR(__xludf.DUMMYFUNCTION("GOOGLETRANSLATE(B15698, ""zh"", ""en"")"),"Quality generally like made in china not say, but the quality is really very frustrated")</f>
        <v>Quality generally like made in china not say, but the quality is really very frustrated</v>
      </c>
    </row>
    <row r="15699">
      <c r="A15699" s="1">
        <v>3.0</v>
      </c>
      <c r="B15699" s="1" t="s">
        <v>15526</v>
      </c>
      <c r="C15699" t="str">
        <f>IFERROR(__xludf.DUMMYFUNCTION("GOOGLETRANSLATE(B15699, ""zh"", ""en"")"),"Strap her husband to buy a short, very short strap, I had to wear.")</f>
        <v>Strap her husband to buy a short, very short strap, I had to wear.</v>
      </c>
    </row>
    <row r="15700">
      <c r="A15700" s="1">
        <v>3.0</v>
      </c>
      <c r="B15700" s="1" t="s">
        <v>15527</v>
      </c>
      <c r="C15700" t="str">
        <f>IFERROR(__xludf.DUMMYFUNCTION("GOOGLETRANSLATE(B15700, ""zh"", ""en"")"),"Too much shock and vibration surface too, which is why the structure of the machine, there is no solution. In the name of prices barely make do with it.")</f>
        <v>Too much shock and vibration surface too, which is why the structure of the machine, there is no solution. In the name of prices barely make do with it.</v>
      </c>
    </row>
    <row r="15701">
      <c r="A15701" s="1">
        <v>1.0</v>
      </c>
      <c r="B15701" s="1" t="s">
        <v>15528</v>
      </c>
      <c r="C15701" t="str">
        <f>IFERROR(__xludf.DUMMYFUNCTION("GOOGLETRANSLATE(B15701, ""zh"", ""en"")"),"Recommendations or to buy in Japan too long, fake. In addition to all the other fake Japanese quality is not ye might as Taobao ten - dozens of pieces of cargo")</f>
        <v>Recommendations or to buy in Japan too long, fake. In addition to all the other fake Japanese quality is not ye might as Taobao ten - dozens of pieces of cargo</v>
      </c>
    </row>
    <row r="15702">
      <c r="A15702" s="1">
        <v>1.0</v>
      </c>
      <c r="B15702" s="1" t="s">
        <v>15529</v>
      </c>
      <c r="C15702" t="str">
        <f>IFERROR(__xludf.DUMMYFUNCTION("GOOGLETRANSLATE(B15702, ""zh"", ""en"")"),"Pants thief chicken child hypertrophy, trouser legs can plug the next leg of at least 2.5, than pajamas also fat, waist almost, means that this is such a style, choose small useless")</f>
        <v>Pants thief chicken child hypertrophy, trouser legs can plug the next leg of at least 2.5, than pajamas also fat, waist almost, means that this is such a style, choose small useless</v>
      </c>
    </row>
    <row r="15703">
      <c r="A15703" s="1">
        <v>1.0</v>
      </c>
      <c r="B15703" s="1" t="s">
        <v>15530</v>
      </c>
      <c r="C15703" t="str">
        <f>IFERROR(__xludf.DUMMYFUNCTION("GOOGLETRANSLATE(B15703, ""zh"", ""en"")"),"General rough work, produced in Bangladesh")</f>
        <v>General rough work, produced in Bangladesh</v>
      </c>
    </row>
    <row r="15704">
      <c r="A15704" s="1">
        <v>4.0</v>
      </c>
      <c r="B15704" s="1" t="s">
        <v>15531</v>
      </c>
      <c r="C15704" t="str">
        <f>IFERROR(__xludf.DUMMYFUNCTION("GOOGLETRANSLATE(B15704, ""zh"", ""en"")"),"Their music also happens to wear good ~ number. Amazon service is good! To tell the truth really like the Amazon")</f>
        <v>Their music also happens to wear good ~ number. Amazon service is good! To tell the truth really like the Amazon</v>
      </c>
    </row>
    <row r="15705">
      <c r="A15705" s="1">
        <v>4.0</v>
      </c>
      <c r="B15705" s="1" t="s">
        <v>15532</v>
      </c>
      <c r="C15705" t="str">
        <f>IFERROR(__xludf.DUMMYFUNCTION("GOOGLETRANSLATE(B15705, ""zh"", ""en"")"),"Reference size do not give up, difficult to choose the size is slightly larger, but the description of the goods and not exhaustive, difficult choice. Buy time before we know how the election.")</f>
        <v>Reference size do not give up, difficult to choose the size is slightly larger, but the description of the goods and not exhaustive, difficult choice. Buy time before we know how the election.</v>
      </c>
    </row>
    <row r="15706">
      <c r="A15706" s="1">
        <v>4.0</v>
      </c>
      <c r="B15706" s="1" t="s">
        <v>15533</v>
      </c>
      <c r="C15706" t="str">
        <f>IFERROR(__xludf.DUMMYFUNCTION("GOOGLETRANSLATE(B15706, ""zh"", ""en"")"),"MA -1 classic engraved, you deserve! Order - the arrival, with a half time. Genuine classic MA-1 version. Fabrics and workmanship can, a little thread, does not affect. Lining, accessories, zippers are pretty good, regarded as the conscience of quality, m"&amp;"ade in China. Found code data S: Shoulder 45, Chest 114, Sleeve 65, Length 64 (for reference) I 171 / 70kg, regular exercise, the wear round T, perfect control! 😄 prefer simple, elegant, smooth, without embroidery models. The purchase of overseas success"&amp;"! 👌")</f>
        <v>MA -1 classic engraved, you deserve! Order - the arrival, with a half time. Genuine classic MA-1 version. Fabrics and workmanship can, a little thread, does not affect. Lining, accessories, zippers are pretty good, regarded as the conscience of quality, made in China. Found code data S: Shoulder 45, Chest 114, Sleeve 65, Length 64 (for reference) I 171 / 70kg, regular exercise, the wear round T, perfect control! 😄 prefer simple, elegant, smooth, without embroidery models. The purchase of overseas success! 👌</v>
      </c>
    </row>
    <row r="15707">
      <c r="A15707" s="1">
        <v>4.0</v>
      </c>
      <c r="B15707" s="1" t="s">
        <v>15534</v>
      </c>
      <c r="C15707" t="str">
        <f>IFERROR(__xludf.DUMMYFUNCTION("GOOGLETRANSLATE(B15707, ""zh"", ""en"")"),"Octopus silicone teether baby I liked it, because it is the place to catch a lot, a hand caught going into his mouth, he has something to do, we can easily point.")</f>
        <v>Octopus silicone teether baby I liked it, because it is the place to catch a lot, a hand caught going into his mouth, he has something to do, we can easily point.</v>
      </c>
    </row>
    <row r="15708">
      <c r="A15708" s="1">
        <v>4.0</v>
      </c>
      <c r="B15708" s="1" t="s">
        <v>15535</v>
      </c>
      <c r="C15708" t="str">
        <f>IFERROR(__xludf.DUMMYFUNCTION("GOOGLETRANSLATE(B15708, ""zh"", ""en"")"),"Good sound nice time at a glance with the civil service exam is too light to see that not on the grade summer band will still be")</f>
        <v>Good sound nice time at a glance with the civil service exam is too light to see that not on the grade summer band will still be</v>
      </c>
    </row>
    <row r="15709">
      <c r="A15709" s="1">
        <v>5.0</v>
      </c>
      <c r="B15709" s="1" t="s">
        <v>15536</v>
      </c>
      <c r="C15709" t="str">
        <f>IFERROR(__xludf.DUMMYFUNCTION("GOOGLETRANSLATE(B15709, ""zh"", ""en"")"),"very good. 35 yards to buy 5b, somewhat large, wear very comfortable, although the round leather shoes, big feet but not significant. Logistics quickly, faster than the courier shipped from Hong Kong, it is worth buying.")</f>
        <v>very good. 35 yards to buy 5b, somewhat large, wear very comfortable, although the round leather shoes, big feet but not significant. Logistics quickly, faster than the courier shipped from Hong Kong, it is worth buying.</v>
      </c>
    </row>
    <row r="15710">
      <c r="A15710" s="1">
        <v>5.0</v>
      </c>
      <c r="B15710" s="1" t="s">
        <v>15537</v>
      </c>
      <c r="C15710" t="str">
        <f>IFERROR(__xludf.DUMMYFUNCTION("GOOGLETRANSLATE(B15710, ""zh"", ""en"")"),"Like the current feeling good texture, feeling the hand is not likely to leave fingerprints, like")</f>
        <v>Like the current feeling good texture, feeling the hand is not likely to leave fingerprints, like</v>
      </c>
    </row>
    <row r="15711">
      <c r="A15711" s="1">
        <v>5.0</v>
      </c>
      <c r="B15711" s="1" t="s">
        <v>15538</v>
      </c>
      <c r="C15711" t="str">
        <f>IFERROR(__xludf.DUMMYFUNCTION("GOOGLETRANSLATE(B15711, ""zh"", ""en"")"),"Direct mail is fast little expensive, but no sugar, no harm baby teeth, so it is still worth buying")</f>
        <v>Direct mail is fast little expensive, but no sugar, no harm baby teeth, so it is still worth buying</v>
      </c>
    </row>
    <row r="15712">
      <c r="A15712" s="1">
        <v>5.0</v>
      </c>
      <c r="B15712" s="1" t="s">
        <v>15539</v>
      </c>
      <c r="C15712" t="str">
        <f>IFERROR(__xludf.DUMMYFUNCTION("GOOGLETRANSLATE(B15712, ""zh"", ""en"")"),"Styles can. Hat very thin, summer wear no problem. Inside (Guangzhou) to take pictures, you can see through the fabric compare.")</f>
        <v>Styles can. Hat very thin, summer wear no problem. Inside (Guangzhou) to take pictures, you can see through the fabric compare.</v>
      </c>
    </row>
    <row r="15713">
      <c r="A15713" s="1">
        <v>5.0</v>
      </c>
      <c r="B15713" s="1" t="s">
        <v>15540</v>
      </c>
      <c r="C15713" t="str">
        <f>IFERROR(__xludf.DUMMYFUNCTION("GOOGLETRANSLATE(B15713, ""zh"", ""en"")"),"It can be easy to use! Fight food supplement is very delicate, speed, switch protective, yet did not use grinding and mixing, good motor, Taobao origin is China, this is the origin of Romania. The only point is that the box is not sealed packaging.")</f>
        <v>It can be easy to use! Fight food supplement is very delicate, speed, switch protective, yet did not use grinding and mixing, good motor, Taobao origin is China, this is the origin of Romania. The only point is that the box is not sealed packaging.</v>
      </c>
    </row>
    <row r="15714">
      <c r="A15714" s="1">
        <v>5.0</v>
      </c>
      <c r="B15714" s="1" t="s">
        <v>15541</v>
      </c>
      <c r="C15714" t="str">
        <f>IFERROR(__xludf.DUMMYFUNCTION("GOOGLETRANSLATE(B15714, ""zh"", ""en"")"),"Comfortable very comfortable underwear, and so buy a few, in addition to color values ​​in general, like grandma pants, but wear on the inside who knows, he knows of is comfortable")</f>
        <v>Comfortable very comfortable underwear, and so buy a few, in addition to color values ​​in general, like grandma pants, but wear on the inside who knows, he knows of is comfortable</v>
      </c>
    </row>
    <row r="15715">
      <c r="A15715" s="1">
        <v>5.0</v>
      </c>
      <c r="B15715" s="1" t="s">
        <v>15542</v>
      </c>
      <c r="C15715" t="str">
        <f>IFERROR(__xludf.DUMMYFUNCTION("GOOGLETRANSLATE(B15715, ""zh"", ""en"")"),"Has been very good with a very good, I bought one small one but have not used.")</f>
        <v>Has been very good with a very good, I bought one small one but have not used.</v>
      </c>
    </row>
    <row r="15716">
      <c r="A15716" s="1">
        <v>5.0</v>
      </c>
      <c r="B15716" s="1" t="s">
        <v>15543</v>
      </c>
      <c r="C15716" t="str">
        <f>IFERROR(__xludf.DUMMYFUNCTION("GOOGLETRANSLATE(B15716, ""zh"", ""en"")"),"Easy satisfaction, temperature function fine, to prevent scalding child")</f>
        <v>Easy satisfaction, temperature function fine, to prevent scalding child</v>
      </c>
    </row>
    <row r="15717">
      <c r="A15717" s="1">
        <v>5.0</v>
      </c>
      <c r="B15717" s="1" t="s">
        <v>15544</v>
      </c>
      <c r="C15717" t="str">
        <f>IFERROR(__xludf.DUMMYFUNCTION("GOOGLETRANSLATE(B15717, ""zh"", ""en"")"),"A lot better than high-definition Apple wired headset, a headset to hear the details before Apple did not hear.")</f>
        <v>A lot better than high-definition Apple wired headset, a headset to hear the details before Apple did not hear.</v>
      </c>
    </row>
    <row r="15718">
      <c r="A15718" s="1">
        <v>5.0</v>
      </c>
      <c r="B15718" s="1" t="s">
        <v>15545</v>
      </c>
      <c r="C15718" t="str">
        <f>IFERROR(__xludf.DUMMYFUNCTION("GOOGLETRANSLATE(B15718, ""zh"", ""en"")"),"Package is not very used once, I feel okay. Japanese businesses are translated to the Chinese enough.")</f>
        <v>Package is not very used once, I feel okay. Japanese businesses are translated to the Chinese enough.</v>
      </c>
    </row>
    <row r="15719">
      <c r="A15719" s="1">
        <v>5.0</v>
      </c>
      <c r="B15719" s="1" t="s">
        <v>15546</v>
      </c>
      <c r="C15719" t="str">
        <f>IFERROR(__xludf.DUMMYFUNCTION("GOOGLETRANSLATE(B15719, ""zh"", ""en"")"),"every little girl's dream dinner set this is absolutely awesome! I love it and my kids love them. i am so glad we can finally say bye bye to plastic kids meal set.")</f>
        <v>every little girl's dream dinner set this is absolutely awesome! I love it and my kids love them. i am so glad we can finally say bye bye to plastic kids meal set.</v>
      </c>
    </row>
    <row r="15720">
      <c r="A15720" s="1">
        <v>5.0</v>
      </c>
      <c r="B15720" s="1" t="s">
        <v>15547</v>
      </c>
      <c r="C15720" t="str">
        <f>IFERROR(__xludf.DUMMYFUNCTION("GOOGLETRANSLATE(B15720, ""zh"", ""en"")"),"No title, you can simply ...... very comfortable shoes.")</f>
        <v>No title, you can simply ...... very comfortable shoes.</v>
      </c>
    </row>
    <row r="15721">
      <c r="A15721" s="1">
        <v>5.0</v>
      </c>
      <c r="B15721" s="1" t="s">
        <v>15548</v>
      </c>
      <c r="C15721" t="str">
        <f>IFERROR(__xludf.DUMMYFUNCTION("GOOGLETRANSLATE(B15721, ""zh"", ""en"")"),"Very pretty appropriate, son to wear 35 yards, bought him this pair with parents and children with me")</f>
        <v>Very pretty appropriate, son to wear 35 yards, bought him this pair with parents and children with me</v>
      </c>
    </row>
    <row r="15722">
      <c r="A15722" s="1">
        <v>5.0</v>
      </c>
      <c r="B15722" s="1" t="s">
        <v>15549</v>
      </c>
      <c r="C15722" t="str">
        <f>IFERROR(__xludf.DUMMYFUNCTION("GOOGLETRANSLATE(B15722, ""zh"", ""en"")"),"Good, not deflated air pacifier, the baby can breath after eating")</f>
        <v>Good, not deflated air pacifier, the baby can breath after eating</v>
      </c>
    </row>
    <row r="15723">
      <c r="A15723" s="1">
        <v>5.0</v>
      </c>
      <c r="B15723" s="1" t="s">
        <v>15550</v>
      </c>
      <c r="C15723" t="str">
        <f>IFERROR(__xludf.DUMMYFUNCTION("GOOGLETRANSLATE(B15723, ""zh"", ""en"")"),"Very cost-effective overseas purchase affordable easy to use, daily writing or give it good")</f>
        <v>Very cost-effective overseas purchase affordable easy to use, daily writing or give it good</v>
      </c>
    </row>
    <row r="15724">
      <c r="A15724" s="1">
        <v>5.0</v>
      </c>
      <c r="B15724" s="1" t="s">
        <v>15551</v>
      </c>
      <c r="C15724" t="str">
        <f>IFERROR(__xludf.DUMMYFUNCTION("GOOGLETRANSLATE(B15724, ""zh"", ""en"")"),"Cool! This price can buy schott motorcycle jacket is really find the gems!")</f>
        <v>Cool! This price can buy schott motorcycle jacket is really find the gems!</v>
      </c>
    </row>
    <row r="15725">
      <c r="A15725" s="1">
        <v>5.0</v>
      </c>
      <c r="B15725" s="1" t="s">
        <v>15552</v>
      </c>
      <c r="C15725" t="str">
        <f>IFERROR(__xludf.DUMMYFUNCTION("GOOGLETRANSLATE(B15725, ""zh"", ""en"")"),"Sound quality is very good, compared to the 1100 price of the National Bank, is really very good. Bass good ear is also very comfortable to wear one hour normal sweating, like electronic music rock style of this right of election")</f>
        <v>Sound quality is very good, compared to the 1100 price of the National Bank, is really very good. Bass good ear is also very comfortable to wear one hour normal sweating, like electronic music rock style of this right of election</v>
      </c>
    </row>
    <row r="15726">
      <c r="A15726" s="1">
        <v>5.0</v>
      </c>
      <c r="B15726" s="1" t="s">
        <v>15553</v>
      </c>
      <c r="C15726" t="str">
        <f>IFERROR(__xludf.DUMMYFUNCTION("GOOGLETRANSLATE(B15726, ""zh"", ""en"")"),"Early burning alt clear, bass boom without ears. Good value for money")</f>
        <v>Early burning alt clear, bass boom without ears. Good value for money</v>
      </c>
    </row>
    <row r="15727">
      <c r="A15727" s="1">
        <v>5.0</v>
      </c>
      <c r="B15727" s="1" t="s">
        <v>15554</v>
      </c>
      <c r="C15727" t="str">
        <f>IFERROR(__xludf.DUMMYFUNCTION("GOOGLETRANSLATE(B15727, ""zh"", ""en"")"),"Amazon solid, good! Amazon really solid,. Received no press pot timer display, the battery may be dead, with the Amazon call, ready to change the timer, customer service apart from anything else, direct a full refund, nor the original pot. Good experience")</f>
        <v>Amazon solid, good! Amazon really solid,. Received no press pot timer display, the battery may be dead, with the Amazon call, ready to change the timer, customer service apart from anything else, direct a full refund, nor the original pot. Good experience</v>
      </c>
    </row>
    <row r="15728">
      <c r="A15728" s="1">
        <v>5.0</v>
      </c>
      <c r="B15728" s="1" t="s">
        <v>15555</v>
      </c>
      <c r="C15728" t="str">
        <f>IFERROR(__xludf.DUMMYFUNCTION("GOOGLETRANSLATE(B15728, ""zh"", ""en"")"),"Yes 450ml, the lid is easy to fall, other are very good")</f>
        <v>Yes 450ml, the lid is easy to fall, other are very good</v>
      </c>
    </row>
    <row r="15729">
      <c r="A15729" s="1">
        <v>5.0</v>
      </c>
      <c r="B15729" s="1" t="s">
        <v>15556</v>
      </c>
      <c r="C15729" t="str">
        <f>IFERROR(__xludf.DUMMYFUNCTION("GOOGLETRANSLATE(B15729, ""zh"", ""en"")"),"Like shoes is narrow, most of the code usual wear is appropriate. Black look just fine, is this material, winter wear a bit cold. First time to buy overseas purchase, eight days after the order arrived, so fast")</f>
        <v>Like shoes is narrow, most of the code usual wear is appropriate. Black look just fine, is this material, winter wear a bit cold. First time to buy overseas purchase, eight days after the order arrived, so fast</v>
      </c>
    </row>
    <row r="15730">
      <c r="A15730" s="1">
        <v>5.0</v>
      </c>
      <c r="B15730" s="1" t="s">
        <v>15557</v>
      </c>
      <c r="C15730" t="str">
        <f>IFERROR(__xludf.DUMMYFUNCTION("GOOGLETRANSLATE(B15730, ""zh"", ""en"")"),"Good material 175 / 66kg, m size is too large")</f>
        <v>Good material 175 / 66kg, m size is too large</v>
      </c>
    </row>
    <row r="15731">
      <c r="A15731" s="1">
        <v>2.0</v>
      </c>
      <c r="B15731" s="1" t="s">
        <v>15558</v>
      </c>
      <c r="C15731" t="str">
        <f>IFERROR(__xludf.DUMMYFUNCTION("GOOGLETRANSLATE(B15731, ""zh"", ""en"")"),"With a number of different sizes of funny, bought with a number of large and small, is underwear, give customer service to solve it?")</f>
        <v>With a number of different sizes of funny, bought with a number of large and small, is underwear, give customer service to solve it?</v>
      </c>
    </row>
    <row r="15732">
      <c r="A15732" s="1">
        <v>3.0</v>
      </c>
      <c r="B15732" s="1" t="s">
        <v>15559</v>
      </c>
      <c r="C15732" t="str">
        <f>IFERROR(__xludf.DUMMYFUNCTION("GOOGLETRANSLATE(B15732, ""zh"", ""en"")"),"black color with black color and inconsistent inconsistent site shows display, logo yellow mark is actually gray, when fancy is yellow standard, back trouble, make do wear")</f>
        <v>black color with black color and inconsistent inconsistent site shows display, logo yellow mark is actually gray, when fancy is yellow standard, back trouble, make do wear</v>
      </c>
    </row>
    <row r="15733">
      <c r="A15733" s="1">
        <v>3.0</v>
      </c>
      <c r="B15733" s="1" t="s">
        <v>15560</v>
      </c>
      <c r="C15733" t="str">
        <f>IFERROR(__xludf.DUMMYFUNCTION("GOOGLETRANSLATE(B15733, ""zh"", ""en"")"),"Pitt Zander filter 133 before bought abroad rust basically did not see the water, this time to buy online obvious rust water taste bad")</f>
        <v>Pitt Zander filter 133 before bought abroad rust basically did not see the water, this time to buy online obvious rust water taste bad</v>
      </c>
    </row>
    <row r="15734">
      <c r="A15734" s="1">
        <v>3.0</v>
      </c>
      <c r="B15734" s="1" t="s">
        <v>15561</v>
      </c>
      <c r="C15734" t="str">
        <f>IFERROR(__xludf.DUMMYFUNCTION("GOOGLETRANSLATE(B15734, ""zh"", ""en"")"),"What to buy pants or domestic buy it first color is much darker than the picture, followed by the thread really a lot, or buy a home to buy it")</f>
        <v>What to buy pants or domestic buy it first color is much darker than the picture, followed by the thread really a lot, or buy a home to buy it</v>
      </c>
    </row>
    <row r="15735">
      <c r="A15735" s="1">
        <v>1.0</v>
      </c>
      <c r="B15735" s="1" t="s">
        <v>15562</v>
      </c>
      <c r="C15735" t="str">
        <f>IFERROR(__xludf.DUMMYFUNCTION("GOOGLETRANSLATE(B15735, ""zh"", ""en"")"),"Poor workmanship, material cheap. Lee should not feel bad this brand, get the goods very disappointed with the result, not the sewing work fine, feeling the fabric cotton content is not enough.")</f>
        <v>Poor workmanship, material cheap. Lee should not feel bad this brand, get the goods very disappointed with the result, not the sewing work fine, feeling the fabric cotton content is not enough.</v>
      </c>
    </row>
    <row r="15736">
      <c r="A15736" s="1">
        <v>1.0</v>
      </c>
      <c r="B15736" s="1" t="s">
        <v>15563</v>
      </c>
      <c r="C15736" t="str">
        <f>IFERROR(__xludf.DUMMYFUNCTION("GOOGLETRANSLATE(B15736, ""zh"", ""en"")"),"Size is not entirely wrong size customer service to answer it, say is too large one yards, 36 yards shoes recommended 3uk, buy back is Ouma 35 yards, not really wear! Returns can only be selected too small, which can be considered their own fault, shippin"&amp;"g costs have to be 125, served! In fact, according to Ouma directly corresponding to buy it, do not say anything too large too small, bought three pairs are all small, the problem is this is not a case of!")</f>
        <v>Size is not entirely wrong size customer service to answer it, say is too large one yards, 36 yards shoes recommended 3uk, buy back is Ouma 35 yards, not really wear! Returns can only be selected too small, which can be considered their own fault, shipping costs have to be 125, served! In fact, according to Ouma directly corresponding to buy it, do not say anything too large too small, bought three pairs are all small, the problem is this is not a case of!</v>
      </c>
    </row>
    <row r="15737">
      <c r="A15737" s="1">
        <v>1.0</v>
      </c>
      <c r="B15737" s="1" t="s">
        <v>15564</v>
      </c>
      <c r="C15737" t="str">
        <f>IFERROR(__xludf.DUMMYFUNCTION("GOOGLETRANSLATE(B15737, ""zh"", ""en"")"),"This is absolutely not recommended quality than I bought in the foreign trade of the original single warehouse worse. Skr can tie people up. 125 also return shipping! ! poisonous! ! Strongly recommended!")</f>
        <v>This is absolutely not recommended quality than I bought in the foreign trade of the original single warehouse worse. Skr can tie people up. 125 also return shipping! ! poisonous! ! Strongly recommended!</v>
      </c>
    </row>
    <row r="15738">
      <c r="A15738" s="1">
        <v>4.0</v>
      </c>
      <c r="B15738" s="1" t="s">
        <v>15565</v>
      </c>
      <c r="C15738" t="str">
        <f>IFERROR(__xludf.DUMMYFUNCTION("GOOGLETRANSLATE(B15738, ""zh"", ""en"")"),"Amazon now do not understand how suppliers received shipments of clothes, although very good, but the pictures and exhibited completely different.")</f>
        <v>Amazon now do not understand how suppliers received shipments of clothes, although very good, but the pictures and exhibited completely different.</v>
      </c>
    </row>
    <row r="15739">
      <c r="A15739" s="1">
        <v>4.0</v>
      </c>
      <c r="B15739" s="1" t="s">
        <v>15566</v>
      </c>
      <c r="C15739" t="str">
        <f>IFERROR(__xludf.DUMMYFUNCTION("GOOGLETRANSLATE(B15739, ""zh"", ""en"")"),"Little original thought is the US version, routinely choose a small number, really a bit small, a little tight collar here")</f>
        <v>Little original thought is the US version, routinely choose a small number, really a bit small, a little tight collar here</v>
      </c>
    </row>
    <row r="15740">
      <c r="A15740" s="1">
        <v>4.0</v>
      </c>
      <c r="B15740" s="1" t="s">
        <v>15567</v>
      </c>
      <c r="C15740" t="str">
        <f>IFERROR(__xludf.DUMMYFUNCTION("GOOGLETRANSLATE(B15740, ""zh"", ""en"")"),"Comfortable shoes advantage of very comfortable shoes to walk more comfortable very light, spring and autumn days wearing very appropriate. ,,, serious shortcomings fade very serious, can not wear long into this will be done, but could not bear to throw a"&amp;"way the usual walk through.")</f>
        <v>Comfortable shoes advantage of very comfortable shoes to walk more comfortable very light, spring and autumn days wearing very appropriate. ,,, serious shortcomings fade very serious, can not wear long into this will be done, but could not bear to throw away the usual walk through.</v>
      </c>
    </row>
    <row r="15741">
      <c r="A15741" s="1">
        <v>4.0</v>
      </c>
      <c r="B15741" s="1" t="s">
        <v>15568</v>
      </c>
      <c r="C15741" t="str">
        <f>IFERROR(__xludf.DUMMYFUNCTION("GOOGLETRANSLATE(B15741, ""zh"", ""en"")"),"Nine points sleeve dress nine points sleeve husband is not accustomed to, will go indent")</f>
        <v>Nine points sleeve dress nine points sleeve husband is not accustomed to, will go indent</v>
      </c>
    </row>
    <row r="15742">
      <c r="A15742" s="1">
        <v>5.0</v>
      </c>
      <c r="B15742" s="1" t="s">
        <v>15569</v>
      </c>
      <c r="C15742" t="str">
        <f>IFERROR(__xludf.DUMMYFUNCTION("GOOGLETRANSLATE(B15742, ""zh"", ""en"")"),"Very satisfied with my wife 170 56kg longer limbs, claiming to be tall in Europe and America, the election of S code, very satisfied. Triple, lined with fleece looks smoother than some general thickness, Shanghai winter should be no problem. This section "&amp;"long sleeves, my wife is very happy to finally buy clothes or short sleeves. . . . Ref 420, very cost-effective")</f>
        <v>Very satisfied with my wife 170 56kg longer limbs, claiming to be tall in Europe and America, the election of S code, very satisfied. Triple, lined with fleece looks smoother than some general thickness, Shanghai winter should be no problem. This section long sleeves, my wife is very happy to finally buy clothes or short sleeves. . . . Ref 420, very cost-effective</v>
      </c>
    </row>
    <row r="15743">
      <c r="A15743" s="1">
        <v>5.0</v>
      </c>
      <c r="B15743" s="1" t="s">
        <v>15570</v>
      </c>
      <c r="C15743" t="str">
        <f>IFERROR(__xludf.DUMMYFUNCTION("GOOGLETRANSLATE(B15743, ""zh"", ""en"")"),"Beaker stew simmered stew beaker with energy-saving porridge easy convenient proudly porridge is also very good cup color looks very nice super love 💕! Very satisfied !")</f>
        <v>Beaker stew simmered stew beaker with energy-saving porridge easy convenient proudly porridge is also very good cup color looks very nice super love 💕! Very satisfied !</v>
      </c>
    </row>
    <row r="15744">
      <c r="A15744" s="1">
        <v>5.0</v>
      </c>
      <c r="B15744" s="1" t="s">
        <v>15571</v>
      </c>
      <c r="C15744" t="str">
        <f>IFERROR(__xludf.DUMMYFUNCTION("GOOGLETRANSLATE(B15744, ""zh"", ""en"")"),"Feeling good timer of zero seconds allowed for other okay")</f>
        <v>Feeling good timer of zero seconds allowed for other okay</v>
      </c>
    </row>
    <row r="15745">
      <c r="A15745" s="1">
        <v>5.0</v>
      </c>
      <c r="B15745" s="1" t="s">
        <v>15572</v>
      </c>
      <c r="C15745" t="str">
        <f>IFERROR(__xludf.DUMMYFUNCTION("GOOGLETRANSLATE(B15745, ""zh"", ""en"")"),"LEE jeans value choice, very satisfied, a pleasant shopping.")</f>
        <v>LEE jeans value choice, very satisfied, a pleasant shopping.</v>
      </c>
    </row>
    <row r="15746">
      <c r="A15746" s="1">
        <v>5.0</v>
      </c>
      <c r="B15746" s="1" t="s">
        <v>15573</v>
      </c>
      <c r="C15746" t="str">
        <f>IFERROR(__xludf.DUMMYFUNCTION("GOOGLETRANSLATE(B15746, ""zh"", ""en"")"),"Product quality and good packaging intact, the Bluetooth link is fast, clear sound quality, good quality, easy to carry. Of course, as is the entry level, and the sound quality is not a thousand dollars more than the headphones, but is enough for daily us"&amp;"e")</f>
        <v>Product quality and good packaging intact, the Bluetooth link is fast, clear sound quality, good quality, easy to carry. Of course, as is the entry level, and the sound quality is not a thousand dollars more than the headphones, but is enough for daily use</v>
      </c>
    </row>
    <row r="15747">
      <c r="A15747" s="1">
        <v>5.0</v>
      </c>
      <c r="B15747" s="1" t="s">
        <v>15574</v>
      </c>
      <c r="C15747" t="str">
        <f>IFERROR(__xludf.DUMMYFUNCTION("GOOGLETRANSLATE(B15747, ""zh"", ""en"")"),"What was shoebox in online search, the results to buy big a yard. Then there is no distribution insoles, no extra laces, on one pair of shoelaces, shoes, pure, nothing else.")</f>
        <v>What was shoebox in online search, the results to buy big a yard. Then there is no distribution insoles, no extra laces, on one pair of shoelaces, shoes, pure, nothing else.</v>
      </c>
    </row>
    <row r="15748">
      <c r="A15748" s="1">
        <v>5.0</v>
      </c>
      <c r="B15748" s="1" t="s">
        <v>15575</v>
      </c>
      <c r="C15748" t="str">
        <f>IFERROR(__xludf.DUMMYFUNCTION("GOOGLETRANSLATE(B15748, ""zh"", ""en"")"),"not bad. Meet the requirements very well. Meet the requirements. Speed ​​is also very satisfied")</f>
        <v>not bad. Meet the requirements very well. Meet the requirements. Speed ​​is also very satisfied</v>
      </c>
    </row>
    <row r="15749">
      <c r="A15749" s="1">
        <v>5.0</v>
      </c>
      <c r="B15749" s="1" t="s">
        <v>15576</v>
      </c>
      <c r="C15749" t="str">
        <f>IFERROR(__xludf.DUMMYFUNCTION("GOOGLETRANSLATE(B15749, ""zh"", ""en"")"),"Small size is too small, L numbers only suitable 1.56-1.62 wear, which the small")</f>
        <v>Small size is too small, L numbers only suitable 1.56-1.62 wear, which the small</v>
      </c>
    </row>
    <row r="15750">
      <c r="A15750" s="1">
        <v>5.0</v>
      </c>
      <c r="B15750" s="1" t="s">
        <v>13951</v>
      </c>
      <c r="C15750" t="str">
        <f>IFERROR(__xludf.DUMMYFUNCTION("GOOGLETRANSLATE(B15750, ""zh"", ""en"")"),"Quick-drying T-shirt, sports recommend running a good quick-drying T-shirt, light breathable")</f>
        <v>Quick-drying T-shirt, sports recommend running a good quick-drying T-shirt, light breathable</v>
      </c>
    </row>
    <row r="15751">
      <c r="A15751" s="1">
        <v>5.0</v>
      </c>
      <c r="B15751" s="1" t="s">
        <v>15577</v>
      </c>
      <c r="C15751" t="str">
        <f>IFERROR(__xludf.DUMMYFUNCTION("GOOGLETRANSLATE(B15751, ""zh"", ""en"")"),"Classic headphones are worth having pot, watching classic comment a headset, beginning sounds good, looking forward to good effect after pot")</f>
        <v>Classic headphones are worth having pot, watching classic comment a headset, beginning sounds good, looking forward to good effect after pot</v>
      </c>
    </row>
    <row r="15752">
      <c r="A15752" s="1">
        <v>5.0</v>
      </c>
      <c r="B15752" s="1" t="s">
        <v>15578</v>
      </c>
      <c r="C15752" t="str">
        <f>IFERROR(__xludf.DUMMYFUNCTION("GOOGLETRANSLATE(B15752, ""zh"", ""en"")"),"Cost-effective has been to buy when the discount one pair of puma suede series, finally saw a good price on Amazon global prime day, including tax free shipping 245.17 to start, high cost, new shoes, without any defect. . Own DIY silk lace, more suitable "&amp;"for summer. Which shoes than ordinary shoes most of the code, usually wear 38, which wear 37.5. Recommendations go to the store to try on the future, remember to buy US code after the election code in the evening. Otherwise overseas purchase to return a l"&amp;"ot of trouble.")</f>
        <v>Cost-effective has been to buy when the discount one pair of puma suede series, finally saw a good price on Amazon global prime day, including tax free shipping 245.17 to start, high cost, new shoes, without any defect. . Own DIY silk lace, more suitable for summer. Which shoes than ordinary shoes most of the code, usually wear 38, which wear 37.5. Recommendations go to the store to try on the future, remember to buy US code after the election code in the evening. Otherwise overseas purchase to return a lot of trouble.</v>
      </c>
    </row>
    <row r="15753">
      <c r="A15753" s="1">
        <v>5.0</v>
      </c>
      <c r="B15753" s="1" t="s">
        <v>15579</v>
      </c>
      <c r="C15753" t="str">
        <f>IFERROR(__xludf.DUMMYFUNCTION("GOOGLETRANSLATE(B15753, ""zh"", ""en"")"),"Timing accuracy, looks beautiful to wear for 20 days, less than one minute faster, can not believe, because the error of mechanical watches more than 10 seconds a day is normal, careful observation revealed that it will go ahead one two days later a littl"&amp;"e slow, so much more than 40 seconds faster genius, I do not know is lucky to still be pessimistic, it is quite satisfactory. The second hand is not the same with the picture, is a Japanese citizen's movement. Golden color suitable for slightly older but "&amp;"individuals over 30, and it should not matter. After buying silver see paragraph spike is indeed very beautiful, suitable for popular little bar.")</f>
        <v>Timing accuracy, looks beautiful to wear for 20 days, less than one minute faster, can not believe, because the error of mechanical watches more than 10 seconds a day is normal, careful observation revealed that it will go ahead one two days later a little slow, so much more than 40 seconds faster genius, I do not know is lucky to still be pessimistic, it is quite satisfactory. The second hand is not the same with the picture, is a Japanese citizen's movement. Golden color suitable for slightly older but individuals over 30, and it should not matter. After buying silver see paragraph spike is indeed very beautiful, suitable for popular little bar.</v>
      </c>
    </row>
    <row r="15754">
      <c r="A15754" s="1">
        <v>5.0</v>
      </c>
      <c r="B15754" s="1" t="s">
        <v>15580</v>
      </c>
      <c r="C15754" t="str">
        <f>IFERROR(__xludf.DUMMYFUNCTION("GOOGLETRANSLATE(B15754, ""zh"", ""en"")"),"Recommended 1, clothing and collar a little longer than the other is good; 2, this dress should be returned to try someone else's. Back plate has a dirty block; 3, height 173 / 72kg, S code is appropriate.")</f>
        <v>Recommended 1, clothing and collar a little longer than the other is good; 2, this dress should be returned to try someone else's. Back plate has a dirty block; 3, height 173 / 72kg, S code is appropriate.</v>
      </c>
    </row>
    <row r="15755">
      <c r="A15755" s="1">
        <v>5.0</v>
      </c>
      <c r="B15755" s="1" t="s">
        <v>15581</v>
      </c>
      <c r="C15755" t="str">
        <f>IFERROR(__xludf.DUMMYFUNCTION("GOOGLETRANSLATE(B15755, ""zh"", ""en"")"),"Lightweight, easy to love, take out easily, thin, small")</f>
        <v>Lightweight, easy to love, take out easily, thin, small</v>
      </c>
    </row>
    <row r="15756">
      <c r="A15756" s="1">
        <v>5.0</v>
      </c>
      <c r="B15756" s="1" t="s">
        <v>15582</v>
      </c>
      <c r="C15756" t="str">
        <f>IFERROR(__xludf.DUMMYFUNCTION("GOOGLETRANSLATE(B15756, ""zh"", ""en"")"),"Coffee very satisfied! With a full 14 days to hand packaging intact, MADE IN CHINA. Coffee exquisite workmanship, easy to use. The milk frother is simple to use, rich and creamy milk foam, foam is very difficult to pour into the cup. Finally, thanks to ou"&amp;"tsourcing in the Adriatic, convenient and safe and secure, key free shipping!")</f>
        <v>Coffee very satisfied! With a full 14 days to hand packaging intact, MADE IN CHINA. Coffee exquisite workmanship, easy to use. The milk frother is simple to use, rich and creamy milk foam, foam is very difficult to pour into the cup. Finally, thanks to outsourcing in the Adriatic, convenient and safe and secure, key free shipping!</v>
      </c>
    </row>
    <row r="15757">
      <c r="A15757" s="1">
        <v>5.0</v>
      </c>
      <c r="B15757" s="1" t="s">
        <v>15583</v>
      </c>
      <c r="C15757" t="str">
        <f>IFERROR(__xludf.DUMMYFUNCTION("GOOGLETRANSLATE(B15757, ""zh"", ""en"")"),"The right size, thin material comfort. The right size, thin material comfort.")</f>
        <v>The right size, thin material comfort. The right size, thin material comfort.</v>
      </c>
    </row>
    <row r="15758">
      <c r="A15758" s="1">
        <v>5.0</v>
      </c>
      <c r="B15758" s="1" t="s">
        <v>15584</v>
      </c>
      <c r="C15758" t="str">
        <f>IFERROR(__xludf.DUMMYFUNCTION("GOOGLETRANSLATE(B15758, ""zh"", ""en"")"),"Acid bit of a love child is not good acid")</f>
        <v>Acid bit of a love child is not good acid</v>
      </c>
    </row>
    <row r="15759">
      <c r="A15759" s="1">
        <v>5.0</v>
      </c>
      <c r="B15759" s="1" t="s">
        <v>15585</v>
      </c>
      <c r="C15759" t="str">
        <f>IFERROR(__xludf.DUMMYFUNCTION("GOOGLETRANSLATE(B15759, ""zh"", ""en"")"),"F special polished tip of the pen this experience is good. 21k gold sharp but not too soft, iridium grain is specially polished, so although the F sharp, but he is not fine, more than the daily use of calligraphy. very satisfied!")</f>
        <v>F special polished tip of the pen this experience is good. 21k gold sharp but not too soft, iridium grain is specially polished, so although the F sharp, but he is not fine, more than the daily use of calligraphy. very satisfied!</v>
      </c>
    </row>
    <row r="15760">
      <c r="A15760" s="1">
        <v>5.0</v>
      </c>
      <c r="B15760" s="1" t="s">
        <v>15586</v>
      </c>
      <c r="C15760" t="str">
        <f>IFERROR(__xludf.DUMMYFUNCTION("GOOGLETRANSLATE(B15760, ""zh"", ""en"")"),"Satisfaction test large movie file, 110 to 130M / S")</f>
        <v>Satisfaction test large movie file, 110 to 130M / S</v>
      </c>
    </row>
    <row r="15761">
      <c r="A15761" s="1">
        <v>5.0</v>
      </c>
      <c r="B15761" s="1" t="s">
        <v>15587</v>
      </c>
      <c r="C15761" t="str">
        <f>IFERROR(__xludf.DUMMYFUNCTION("GOOGLETRANSLATE(B15761, ""zh"", ""en"")"),"Gray 26 always wanted to choose a stew pot, casserole used in place of the home, after comparing a number of shop, and finally chose this pot in the Amazon, the price is cheaper than the domestic network operators, today finally received the goods. Very d"&amp;"elicate kind, did not find flaws, a pot of lamb meal, perfect!")</f>
        <v>Gray 26 always wanted to choose a stew pot, casserole used in place of the home, after comparing a number of shop, and finally chose this pot in the Amazon, the price is cheaper than the domestic network operators, today finally received the goods. Very delicate kind, did not find flaws, a pot of lamb meal, perfect!</v>
      </c>
    </row>
    <row r="15762">
      <c r="A15762" s="1">
        <v>5.0</v>
      </c>
      <c r="B15762" s="1" t="s">
        <v>15588</v>
      </c>
      <c r="C15762" t="str">
        <f>IFERROR(__xludf.DUMMYFUNCTION("GOOGLETRANSLATE(B15762, ""zh"", ""en"")"),"You can repair or replace it? &lt;Div id = ""video-block-R1OPORL5VOD3NO"" class = ""a-section a-spacing-small a-spacing-top-mini video-block""&gt; &lt;/ div&gt; &lt;input type = ""hidden"" name = """" value = ""https://images-cn.ssl-images-amazon.com/images/I/A1PvN3Av2y"&amp;"S.mp4"" class = ""video-url""&gt; &lt;input type = ""hidden"" name = """" value = ""https: //images-cn.ssl-images-amazon.com/images/I/71D3ukiWEYS.png ""class ="" video-slate-img-url ""&gt; &amp; nbsp; product is very good! Today, September 8, 2018, the first use of th"&amp;"is product, found the bottom of the fixed shell broken screws in two corners of the site. Presumably cause installation problems when the motor is rotated too much stress. At present, the motor can not continue to use fixed is not strong, it is estimated "&amp;"that low-probability problem. Although only pieces of broken plastic floor, but not the Chinese standard parts screws, we can not be removed to replace, you can change one. What should I do? Please guide. Thank you!")</f>
        <v>You can repair or replace it? &lt;Div id = "video-block-R1OPORL5VOD3NO" class = "a-section a-spacing-small a-spacing-top-mini video-block"&gt; &lt;/ div&gt; &lt;input type = "hidden" name = "" value = "https://images-cn.ssl-images-amazon.com/images/I/A1PvN3Av2yS.mp4" class = "video-url"&gt; &lt;input type = "hidden" name = "" value = "https: //images-cn.ssl-images-amazon.com/images/I/71D3ukiWEYS.png "class =" video-slate-img-url "&gt; &amp; nbsp; product is very good! Today, September 8, 2018, the first use of this product, found the bottom of the fixed shell broken screws in two corners of the site. Presumably cause installation problems when the motor is rotated too much stress. At present, the motor can not continue to use fixed is not strong, it is estimated that low-probability problem. Although only pieces of broken plastic floor, but not the Chinese standard parts screws, we can not be removed to replace, you can change one. What should I do? Please guide. Thank you!</v>
      </c>
    </row>
    <row r="15763">
      <c r="A15763" s="1">
        <v>2.0</v>
      </c>
      <c r="B15763" s="1" t="s">
        <v>14822</v>
      </c>
      <c r="C15763" t="str">
        <f>IFERROR(__xludf.DUMMYFUNCTION("GOOGLETRANSLATE(B15763, ""zh"", ""en"")"),"Breast shape breast shape is very strange very strange")</f>
        <v>Breast shape breast shape is very strange very strange</v>
      </c>
    </row>
    <row r="15764">
      <c r="A15764" s="1">
        <v>3.0</v>
      </c>
      <c r="B15764" s="1" t="s">
        <v>15589</v>
      </c>
      <c r="C15764" t="str">
        <f>IFERROR(__xludf.DUMMYFUNCTION("GOOGLETRANSLATE(B15764, ""zh"", ""en"")"),"Not recommended to buy a penny stock is not thin trousers made in China 100 yuan tax increases do not recommend buying")</f>
        <v>Not recommended to buy a penny stock is not thin trousers made in China 100 yuan tax increases do not recommend buying</v>
      </c>
    </row>
    <row r="15765">
      <c r="A15765" s="1">
        <v>3.0</v>
      </c>
      <c r="B15765" s="1" t="s">
        <v>15590</v>
      </c>
      <c r="C15765" t="str">
        <f>IFERROR(__xludf.DUMMYFUNCTION("GOOGLETRANSLATE(B15765, ""zh"", ""en"")"),"Too long clothes too long, l bought 180 yards, both to the bottom below the hem, so I do not know how long, the other quite appropriate size")</f>
        <v>Too long clothes too long, l bought 180 yards, both to the bottom below the hem, so I do not know how long, the other quite appropriate size</v>
      </c>
    </row>
    <row r="15766">
      <c r="A15766" s="1">
        <v>1.0</v>
      </c>
      <c r="B15766" s="1" t="s">
        <v>15591</v>
      </c>
      <c r="C15766" t="str">
        <f>IFERROR(__xludf.DUMMYFUNCTION("GOOGLETRANSLATE(B15766, ""zh"", ""en"")"),"When Amazon too pit to express, parcel was opened, reaches into it will be able to get inside the thing, this is a child eat, so how can rest assured that parcel? So the rejection, then Amazon has been non-refundable. Amazon customer service consulting, s"&amp;"o, the results have not waited so long to refund, very unhappy! It would not come at Amazon! So much a website is no credit!")</f>
        <v>When Amazon too pit to express, parcel was opened, reaches into it will be able to get inside the thing, this is a child eat, so how can rest assured that parcel? So the rejection, then Amazon has been non-refundable. Amazon customer service consulting, so, the results have not waited so long to refund, very unhappy! It would not come at Amazon! So much a website is no credit!</v>
      </c>
    </row>
    <row r="15767">
      <c r="A15767" s="1">
        <v>1.0</v>
      </c>
      <c r="B15767" s="1" t="s">
        <v>15592</v>
      </c>
      <c r="C15767" t="str">
        <f>IFERROR(__xludf.DUMMYFUNCTION("GOOGLETRANSLATE(B15767, ""zh"", ""en"")"),"Mrs. aftermarket bad! Rubbish! Buy a water pump more than four months on the bad! No water! Amazon is not responsible for looking! Various shirk responsibility! Bi Jie China looking for after-sales service can not say the US version of the model is not th"&amp;"e same! Find private repair shop, said that this is one machine, demolition can not, can only be scrapped! Rubbish! Amazon bye! Amazon later pulled into the blacklist! No more!")</f>
        <v>Mrs. aftermarket bad! Rubbish! Buy a water pump more than four months on the bad! No water! Amazon is not responsible for looking! Various shirk responsibility! Bi Jie China looking for after-sales service can not say the US version of the model is not the same! Find private repair shop, said that this is one machine, demolition can not, can only be scrapped! Rubbish! Amazon bye! Amazon later pulled into the blacklist! No more!</v>
      </c>
    </row>
    <row r="15768">
      <c r="A15768" s="1">
        <v>4.0</v>
      </c>
      <c r="B15768" s="1" t="s">
        <v>15593</v>
      </c>
      <c r="C15768" t="str">
        <f>IFERROR(__xludf.DUMMYFUNCTION("GOOGLETRANSLATE(B15768, ""zh"", ""en"")"),"You can also affordable, cheap affordable, with a long time or have electricity")</f>
        <v>You can also affordable, cheap affordable, with a long time or have electricity</v>
      </c>
    </row>
    <row r="15769">
      <c r="A15769" s="1">
        <v>4.0</v>
      </c>
      <c r="B15769" s="1" t="s">
        <v>15594</v>
      </c>
      <c r="C15769" t="str">
        <f>IFERROR(__xludf.DUMMYFUNCTION("GOOGLETRANSLATE(B15769, ""zh"", ""en"")"),"Baia boiled water and listening = boiled water. Parsing is also good, but really is not the same as the boiled water salty is not short, not to please the ear, but true")</f>
        <v>Baia boiled water and listening = boiled water. Parsing is also good, but really is not the same as the boiled water salty is not short, not to please the ear, but true</v>
      </c>
    </row>
    <row r="15770">
      <c r="A15770" s="1">
        <v>4.0</v>
      </c>
      <c r="B15770" s="1" t="s">
        <v>15595</v>
      </c>
      <c r="C15770" t="str">
        <f>IFERROR(__xludf.DUMMYFUNCTION("GOOGLETRANSLATE(B15770, ""zh"", ""en"")"),"Wearing shoes abnormal sound work style is not bad, it is put on when walking will issue a ""creak"" sound")</f>
        <v>Wearing shoes abnormal sound work style is not bad, it is put on when walking will issue a "creak" sound</v>
      </c>
    </row>
    <row r="15771">
      <c r="A15771" s="1">
        <v>4.0</v>
      </c>
      <c r="B15771" s="1" t="s">
        <v>15596</v>
      </c>
      <c r="C15771" t="str">
        <f>IFERROR(__xludf.DUMMYFUNCTION("GOOGLETRANSLATE(B15771, ""zh"", ""en"")"),"not bad. Not bad, it is a little expensive.")</f>
        <v>not bad. Not bad, it is a little expensive.</v>
      </c>
    </row>
    <row r="15772">
      <c r="A15772" s="1">
        <v>4.0</v>
      </c>
      <c r="B15772" s="1" t="s">
        <v>15597</v>
      </c>
      <c r="C15772" t="str">
        <f>IFERROR(__xludf.DUMMYFUNCTION("GOOGLETRANSLATE(B15772, ""zh"", ""en"")"),"Overall very good, the instructions do not understand that I do not worry about the next stop of the mechanical watch, not allowed to travel problems. Home delivery in advance, and after two days use, in addition to the dial slightly smaller, the other ve"&amp;"ry satisfied, especially with bayonet watches regulation, it is good for the customers want, commissioning time is to choose a good LCD after time, pointer automatically change with time he does not know when to occur. However, because it is sent over fro"&amp;"m Japan, the instructions are all Japanese, even Mongolia with a guess of it, we will continue to look at later. Logo watches is also very strange, I find that the words without the Citizen, later come to understand. English assembled in China is actually"&amp;" sticker up ......")</f>
        <v>Overall very good, the instructions do not understand that I do not worry about the next stop of the mechanical watch, not allowed to travel problems. Home delivery in advance, and after two days use, in addition to the dial slightly smaller, the other very satisfied, especially with bayonet watches regulation, it is good for the customers want, commissioning time is to choose a good LCD after time, pointer automatically change with time he does not know when to occur. However, because it is sent over from Japan, the instructions are all Japanese, even Mongolia with a guess of it, we will continue to look at later. Logo watches is also very strange, I find that the words without the Citizen, later come to understand. English assembled in China is actually sticker up ......</v>
      </c>
    </row>
    <row r="15773">
      <c r="A15773" s="1">
        <v>5.0</v>
      </c>
      <c r="B15773" s="1" t="s">
        <v>15598</v>
      </c>
      <c r="C15773" t="str">
        <f>IFERROR(__xludf.DUMMYFUNCTION("GOOGLETRANSLATE(B15773, ""zh"", ""en"")"),"Quick-drying good, wear more stylish")</f>
        <v>Quick-drying good, wear more stylish</v>
      </c>
    </row>
    <row r="15774">
      <c r="A15774" s="1">
        <v>5.0</v>
      </c>
      <c r="B15774" s="1" t="s">
        <v>15599</v>
      </c>
      <c r="C15774" t="str">
        <f>IFERROR(__xludf.DUMMYFUNCTION("GOOGLETRANSLATE(B15774, ""zh"", ""en"")"),"Sea Amoy high cost, very comfortable. British Amoy, the relative price of domestic counter is a fraction of the basic, very cost-effective like ecco must not miss it.")</f>
        <v>Sea Amoy high cost, very comfortable. British Amoy, the relative price of domestic counter is a fraction of the basic, very cost-effective like ecco must not miss it.</v>
      </c>
    </row>
    <row r="15775">
      <c r="A15775" s="1">
        <v>5.0</v>
      </c>
      <c r="B15775" s="1" t="s">
        <v>15600</v>
      </c>
      <c r="C15775" t="str">
        <f>IFERROR(__xludf.DUMMYFUNCTION("GOOGLETRANSLATE(B15775, ""zh"", ""en"")"),"Good buy big but quite like the shoulder strap portion")</f>
        <v>Good buy big but quite like the shoulder strap portion</v>
      </c>
    </row>
    <row r="15776">
      <c r="A15776" s="1">
        <v>5.0</v>
      </c>
      <c r="B15776" s="1" t="s">
        <v>15601</v>
      </c>
      <c r="C15776" t="str">
        <f>IFERROR(__xludf.DUMMYFUNCTION("GOOGLETRANSLATE(B15776, ""zh"", ""en"")"),"Recommendation fixed box, crease serious, affect the wearing effect.")</f>
        <v>Recommendation fixed box, crease serious, affect the wearing effect.</v>
      </c>
    </row>
    <row r="15777">
      <c r="A15777" s="1">
        <v>5.0</v>
      </c>
      <c r="B15777" s="1" t="s">
        <v>15602</v>
      </c>
      <c r="C15777" t="str">
        <f>IFERROR(__xludf.DUMMYFUNCTION("GOOGLETRANSLATE(B15777, ""zh"", ""en"")"),"Perfect light, non-stick, easy to clean, smoke too much than too little iron wok before use! Some have a perfect all the advantages of the pot. I used the best use of the wok.")</f>
        <v>Perfect light, non-stick, easy to clean, smoke too much than too little iron wok before use! Some have a perfect all the advantages of the pot. I used the best use of the wok.</v>
      </c>
    </row>
    <row r="15778">
      <c r="A15778" s="1">
        <v>5.0</v>
      </c>
      <c r="B15778" s="1" t="s">
        <v>15603</v>
      </c>
      <c r="C15778" t="str">
        <f>IFERROR(__xludf.DUMMYFUNCTION("GOOGLETRANSLATE(B15778, ""zh"", ""en"")"),"Size resilient to select normal size if you want to choose winter wear freshman code")</f>
        <v>Size resilient to select normal size if you want to choose winter wear freshman code</v>
      </c>
    </row>
    <row r="15779">
      <c r="A15779" s="1">
        <v>5.0</v>
      </c>
      <c r="B15779" s="1" t="s">
        <v>15604</v>
      </c>
      <c r="C15779" t="str">
        <f>IFERROR(__xludf.DUMMYFUNCTION("GOOGLETRANSLATE(B15779, ""zh"", ""en"")"),"Nice pants height 176, weight 70kg is selected from the 31 × 30, or slightly larger waist, legs slightly pull 2 ​​is very good. We have selected 29 × 30's, a few days of arrival, or like the tight feeling. The best size is 30 * 30 found")</f>
        <v>Nice pants height 176, weight 70kg is selected from the 31 × 30, or slightly larger waist, legs slightly pull 2 ​​is very good. We have selected 29 × 30's, a few days of arrival, or like the tight feeling. The best size is 30 * 30 found</v>
      </c>
    </row>
    <row r="15780">
      <c r="A15780" s="1">
        <v>5.0</v>
      </c>
      <c r="B15780" s="1" t="s">
        <v>15605</v>
      </c>
      <c r="C15780" t="str">
        <f>IFERROR(__xludf.DUMMYFUNCTION("GOOGLETRANSLATE(B15780, ""zh"", ""en"")"),"Smooth writing, is actually relatively thick, slightly more expensive arrive soon, the box can be pressed to receive super-flat ... just write a little, very smooth, but also ef nib, is indeed better than a lot of my rough Tupper, ah, thicker than Schneid"&amp;"er bk402. Other no problem, the only wanted to ask is, is also Ling US hunters, this more expensive than the same block dozens of hunters white L19WEM, why? ? ? ? ?")</f>
        <v>Smooth writing, is actually relatively thick, slightly more expensive arrive soon, the box can be pressed to receive super-flat ... just write a little, very smooth, but also ef nib, is indeed better than a lot of my rough Tupper, ah, thicker than Schneider bk402. Other no problem, the only wanted to ask is, is also Ling US hunters, this more expensive than the same block dozens of hunters white L19WEM, why? ? ? ? ?</v>
      </c>
    </row>
    <row r="15781">
      <c r="A15781" s="1">
        <v>5.0</v>
      </c>
      <c r="B15781" s="1" t="s">
        <v>15606</v>
      </c>
      <c r="C15781" t="str">
        <f>IFERROR(__xludf.DUMMYFUNCTION("GOOGLETRANSLATE(B15781, ""zh"", ""en"")"),"Is genuine is genuine, wearing back in to try.")</f>
        <v>Is genuine is genuine, wearing back in to try.</v>
      </c>
    </row>
    <row r="15782">
      <c r="A15782" s="1">
        <v>5.0</v>
      </c>
      <c r="B15782" s="1" t="s">
        <v>15607</v>
      </c>
      <c r="C15782" t="str">
        <f>IFERROR(__xludf.DUMMYFUNCTION("GOOGLETRANSLATE(B15782, ""zh"", ""en"")"),"Resin pen body good texture, good smooth pen nib material, unlike the bird pens as prone to scratches. Just glue on the pen as well as new pen comes, almost thought it was defective ...... rub off the gum after flash pen")</f>
        <v>Resin pen body good texture, good smooth pen nib material, unlike the bird pens as prone to scratches. Just glue on the pen as well as new pen comes, almost thought it was defective ...... rub off the gum after flash pen</v>
      </c>
    </row>
    <row r="15783">
      <c r="A15783" s="1">
        <v>5.0</v>
      </c>
      <c r="B15783" s="1" t="s">
        <v>15608</v>
      </c>
      <c r="C15783" t="str">
        <f>IFERROR(__xludf.DUMMYFUNCTION("GOOGLETRANSLATE(B15783, ""zh"", ""en"")"),"Ha ha ha ha ha feel good change. . . . .")</f>
        <v>Ha ha ha ha ha feel good change. . . . .</v>
      </c>
    </row>
    <row r="15784">
      <c r="A15784" s="1">
        <v>5.0</v>
      </c>
      <c r="B15784" s="1" t="s">
        <v>15609</v>
      </c>
      <c r="C15784" t="str">
        <f>IFERROR(__xludf.DUMMYFUNCTION("GOOGLETRANSLATE(B15784, ""zh"", ""en"")"),"Underwear is very good")</f>
        <v>Underwear is very good</v>
      </c>
    </row>
    <row r="15785">
      <c r="A15785" s="1">
        <v>5.0</v>
      </c>
      <c r="B15785" s="1" t="s">
        <v>15610</v>
      </c>
      <c r="C15785" t="str">
        <f>IFERROR(__xludf.DUMMYFUNCTION("GOOGLETRANSLATE(B15785, ""zh"", ""en"")"),"Hat hat colors look good, quality stuff, very handsome")</f>
        <v>Hat hat colors look good, quality stuff, very handsome</v>
      </c>
    </row>
    <row r="15786">
      <c r="A15786" s="1">
        <v>5.0</v>
      </c>
      <c r="B15786" s="1" t="s">
        <v>15611</v>
      </c>
      <c r="C15786" t="str">
        <f>IFERROR(__xludf.DUMMYFUNCTION("GOOGLETRANSLATE(B15786, ""zh"", ""en"")"),"Inexpensive high 175cm, weight 72kg, very suitable No.")</f>
        <v>Inexpensive high 175cm, weight 72kg, very suitable No.</v>
      </c>
    </row>
    <row r="15787">
      <c r="A15787" s="1">
        <v>5.0</v>
      </c>
      <c r="B15787" s="1" t="s">
        <v>15612</v>
      </c>
      <c r="C15787" t="str">
        <f>IFERROR(__xludf.DUMMYFUNCTION("GOOGLETRANSLATE(B15787, ""zh"", ""en"")"),"Also you can work pretty good, but a little hard to see will not be soft with some period of time. 2 feet 3 waist circumference, just 32 good")</f>
        <v>Also you can work pretty good, but a little hard to see will not be soft with some period of time. 2 feet 3 waist circumference, just 32 good</v>
      </c>
    </row>
    <row r="15788">
      <c r="A15788" s="1">
        <v>5.0</v>
      </c>
      <c r="B15788" s="1" t="s">
        <v>15613</v>
      </c>
      <c r="C15788" t="str">
        <f>IFERROR(__xludf.DUMMYFUNCTION("GOOGLETRANSLATE(B15788, ""zh"", ""en"")"),"Use has not been good, looks good 👍👍👍👍👍.")</f>
        <v>Use has not been good, looks good 👍👍👍👍👍.</v>
      </c>
    </row>
    <row r="15789">
      <c r="A15789" s="1">
        <v>5.0</v>
      </c>
      <c r="B15789" s="1" t="s">
        <v>15614</v>
      </c>
      <c r="C15789" t="str">
        <f>IFERROR(__xludf.DUMMYFUNCTION("GOOGLETRANSLATE(B15789, ""zh"", ""en"")"),"Very good safety glass, but really heavy ah")</f>
        <v>Very good safety glass, but really heavy ah</v>
      </c>
    </row>
    <row r="15790">
      <c r="A15790" s="1">
        <v>5.0</v>
      </c>
      <c r="B15790" s="1" t="s">
        <v>15615</v>
      </c>
      <c r="C15790" t="str">
        <f>IFERROR(__xludf.DUMMYFUNCTION("GOOGLETRANSLATE(B15790, ""zh"", ""en"")"),"Suitable comfortable comfortable fabric, the right size")</f>
        <v>Suitable comfortable comfortable fabric, the right size</v>
      </c>
    </row>
    <row r="15791">
      <c r="A15791" s="1">
        <v>5.0</v>
      </c>
      <c r="B15791" s="1" t="s">
        <v>15616</v>
      </c>
      <c r="C15791" t="str">
        <f>IFERROR(__xludf.DUMMYFUNCTION("GOOGLETRANSLATE(B15791, ""zh"", ""en"")"),"Value for money! Very good value product!")</f>
        <v>Value for money! Very good value product!</v>
      </c>
    </row>
    <row r="15792">
      <c r="A15792" s="1">
        <v>5.0</v>
      </c>
      <c r="B15792" s="1" t="s">
        <v>15617</v>
      </c>
      <c r="C15792" t="str">
        <f>IFERROR(__xludf.DUMMYFUNCTION("GOOGLETRANSLATE(B15792, ""zh"", ""en"")"),"Very good right size pants pants, wearing very comfortable, fully consistent with expectations.")</f>
        <v>Very good right size pants pants, wearing very comfortable, fully consistent with expectations.</v>
      </c>
    </row>
    <row r="15793">
      <c r="A15793" s="1">
        <v>5.0</v>
      </c>
      <c r="B15793" s="1" t="s">
        <v>15618</v>
      </c>
      <c r="C15793" t="str">
        <f>IFERROR(__xludf.DUMMYFUNCTION("GOOGLETRANSLATE(B15793, ""zh"", ""en"")"),"Nice very nice, inexpensive, just the right size!")</f>
        <v>Nice very nice, inexpensive, just the right size!</v>
      </c>
    </row>
    <row r="15794">
      <c r="A15794" s="1">
        <v>5.0</v>
      </c>
      <c r="B15794" s="1" t="s">
        <v>15619</v>
      </c>
      <c r="C15794" t="str">
        <f>IFERROR(__xludf.DUMMYFUNCTION("GOOGLETRANSLATE(B15794, ""zh"", ""en"")"),"Very satisfied feeling good, satisfactory, and now need to find pants with a")</f>
        <v>Very satisfied feeling good, satisfactory, and now need to find pants with a</v>
      </c>
    </row>
    <row r="15795">
      <c r="A15795" s="1">
        <v>2.0</v>
      </c>
      <c r="B15795" s="1" t="s">
        <v>15620</v>
      </c>
      <c r="C15795" t="str">
        <f>IFERROR(__xludf.DUMMYFUNCTION("GOOGLETRANSLATE(B15795, ""zh"", ""en"")"),"Buy a very short shelf life remaining in March, due in October the same year. Once a day according to the amount of use must be continuous to eat every day to eat within the warranty period.")</f>
        <v>Buy a very short shelf life remaining in March, due in October the same year. Once a day according to the amount of use must be continuous to eat every day to eat within the warranty period.</v>
      </c>
    </row>
    <row r="15796">
      <c r="A15796" s="1">
        <v>3.0</v>
      </c>
      <c r="B15796" s="1" t="s">
        <v>15621</v>
      </c>
      <c r="C15796" t="str">
        <f>IFERROR(__xludf.DUMMYFUNCTION("GOOGLETRANSLATE(B15796, ""zh"", ""en"")"),"Belt down with her husband feel the quality okay.")</f>
        <v>Belt down with her husband feel the quality okay.</v>
      </c>
    </row>
    <row r="15797">
      <c r="A15797" s="1">
        <v>3.0</v>
      </c>
      <c r="B15797" s="1" t="s">
        <v>15622</v>
      </c>
      <c r="C15797" t="str">
        <f>IFERROR(__xludf.DUMMYFUNCTION("GOOGLETRANSLATE(B15797, ""zh"", ""en"")"),"Or birth Chinese imports had thought to buy a pair of shoes, the result around in a circle, to pay import duties, or made in china! Not very comfortable to wear shoes, not shoes inside the space!")</f>
        <v>Or birth Chinese imports had thought to buy a pair of shoes, the result around in a circle, to pay import duties, or made in china! Not very comfortable to wear shoes, not shoes inside the space!</v>
      </c>
    </row>
    <row r="15798">
      <c r="A15798" s="1">
        <v>1.0</v>
      </c>
      <c r="B15798" s="1" t="s">
        <v>15623</v>
      </c>
      <c r="C15798" t="str">
        <f>IFERROR(__xludf.DUMMYFUNCTION("GOOGLETRANSLATE(B15798, ""zh"", ""en"")"),"I saw the size chart, US7 should be 24cm, it is to be 235 not wear")</f>
        <v>I saw the size chart, US7 should be 24cm, it is to be 235 not wear</v>
      </c>
    </row>
    <row r="15799">
      <c r="A15799" s="1">
        <v>1.0</v>
      </c>
      <c r="B15799" s="1" t="s">
        <v>15624</v>
      </c>
      <c r="C15799" t="str">
        <f>IFERROR(__xludf.DUMMYFUNCTION("GOOGLETRANSLATE(B15799, ""zh"", ""en"")"),"Disappointing quality open kettle switch, slightly lighter touch on the open, open bags, water bottles are often found open, the water flows out, poor quality!")</f>
        <v>Disappointing quality open kettle switch, slightly lighter touch on the open, open bags, water bottles are often found open, the water flows out, poor quality!</v>
      </c>
    </row>
    <row r="15800">
      <c r="A15800" s="1">
        <v>4.0</v>
      </c>
      <c r="B15800" s="1" t="s">
        <v>15625</v>
      </c>
      <c r="C15800" t="str">
        <f>IFERROR(__xludf.DUMMYFUNCTION("GOOGLETRANSLATE(B15800, ""zh"", ""en"")"),"The price a little expensive, the general water rate is a selling point, as well as special appearance. The price a little expensive, like a general speed transmission")</f>
        <v>The price a little expensive, the general water rate is a selling point, as well as special appearance. The price a little expensive, like a general speed transmission</v>
      </c>
    </row>
    <row r="15801">
      <c r="A15801" s="1">
        <v>4.0</v>
      </c>
      <c r="B15801" s="1" t="s">
        <v>15626</v>
      </c>
      <c r="C15801" t="str">
        <f>IFERROR(__xludf.DUMMYFUNCTION("GOOGLETRANSLATE(B15801, ""zh"", ""en"")"),"Not like bought a lot of double ASICS shoes, this model is the least favorite, colors and yardage did not achieve the desired results,")</f>
        <v>Not like bought a lot of double ASICS shoes, this model is the least favorite, colors and yardage did not achieve the desired results,</v>
      </c>
    </row>
    <row r="15802">
      <c r="A15802" s="1">
        <v>4.0</v>
      </c>
      <c r="B15802" s="1" t="s">
        <v>15627</v>
      </c>
      <c r="C15802" t="str">
        <f>IFERROR(__xludf.DUMMYFUNCTION("GOOGLETRANSLATE(B15802, ""zh"", ""en"")"),"Curling lowest will be rolled along, the highest point is not smooth bra")</f>
        <v>Curling lowest will be rolled along, the highest point is not smooth bra</v>
      </c>
    </row>
    <row r="15803">
      <c r="A15803" s="1">
        <v>4.0</v>
      </c>
      <c r="B15803" s="1" t="s">
        <v>15628</v>
      </c>
      <c r="C15803" t="str">
        <f>IFERROR(__xludf.DUMMYFUNCTION("GOOGLETRANSLATE(B15803, ""zh"", ""en"")"),"Buy a little small to wear the secondary, that is, the number to buy a little small, a little tight, next time buy, be sure to increase a number.")</f>
        <v>Buy a little small to wear the secondary, that is, the number to buy a little small, a little tight, next time buy, be sure to increase a number.</v>
      </c>
    </row>
    <row r="15804">
      <c r="A15804" s="1">
        <v>4.0</v>
      </c>
      <c r="B15804" s="1" t="s">
        <v>15629</v>
      </c>
      <c r="C15804" t="str">
        <f>IFERROR(__xludf.DUMMYFUNCTION("GOOGLETRANSLATE(B15804, ""zh"", ""en"")"),"Less wear washable fairly comfortable, but had three little loose neckline")</f>
        <v>Less wear washable fairly comfortable, but had three little loose neckline</v>
      </c>
    </row>
    <row r="15805">
      <c r="A15805" s="1">
        <v>5.0</v>
      </c>
      <c r="B15805" s="1" t="s">
        <v>15630</v>
      </c>
      <c r="C15805" t="str">
        <f>IFERROR(__xludf.DUMMYFUNCTION("GOOGLETRANSLATE(B15805, ""zh"", ""en"")"),"Good hard, scientific design very good hard, very scientific design")</f>
        <v>Good hard, scientific design very good hard, very scientific design</v>
      </c>
    </row>
    <row r="15806">
      <c r="A15806" s="1">
        <v>5.0</v>
      </c>
      <c r="B15806" s="1" t="s">
        <v>15631</v>
      </c>
      <c r="C15806" t="str">
        <f>IFERROR(__xludf.DUMMYFUNCTION("GOOGLETRANSLATE(B15806, ""zh"", ""en"")"),"Good value buy!")</f>
        <v>Good value buy!</v>
      </c>
    </row>
    <row r="15807">
      <c r="A15807" s="1">
        <v>5.0</v>
      </c>
      <c r="B15807" s="1" t="s">
        <v>15632</v>
      </c>
      <c r="C15807" t="str">
        <f>IFERROR(__xludf.DUMMYFUNCTION("GOOGLETRANSLATE(B15807, ""zh"", ""en"")"),"title. Good quality, worthy of the price, but a little thin.")</f>
        <v>title. Good quality, worthy of the price, but a little thin.</v>
      </c>
    </row>
    <row r="15808">
      <c r="A15808" s="1">
        <v>5.0</v>
      </c>
      <c r="B15808" s="1" t="s">
        <v>15633</v>
      </c>
      <c r="C15808" t="str">
        <f>IFERROR(__xludf.DUMMYFUNCTION("GOOGLETRANSLATE(B15808, ""zh"", ""en"")"),"Very good right size, very good material, comfortable to wear.")</f>
        <v>Very good right size, very good material, comfortable to wear.</v>
      </c>
    </row>
    <row r="15809">
      <c r="A15809" s="1">
        <v>5.0</v>
      </c>
      <c r="B15809" s="1" t="s">
        <v>15634</v>
      </c>
      <c r="C15809" t="str">
        <f>IFERROR(__xludf.DUMMYFUNCTION("GOOGLETRANSLATE(B15809, ""zh"", ""en"")"),"The machine does not turn bought a yellow, used twice normal, and the third did not turn up, nothing happens, could be what causes it?")</f>
        <v>The machine does not turn bought a yellow, used twice normal, and the third did not turn up, nothing happens, could be what causes it?</v>
      </c>
    </row>
    <row r="15810">
      <c r="A15810" s="1">
        <v>5.0</v>
      </c>
      <c r="B15810" s="1" t="s">
        <v>15635</v>
      </c>
      <c r="C15810" t="str">
        <f>IFERROR(__xludf.DUMMYFUNCTION("GOOGLETRANSLATE(B15810, ""zh"", ""en"")"),"Well-deserved reputation, deserved reputation fan shower")</f>
        <v>Well-deserved reputation, deserved reputation fan shower</v>
      </c>
    </row>
    <row r="15811">
      <c r="A15811" s="1">
        <v>5.0</v>
      </c>
      <c r="B15811" s="1" t="s">
        <v>15636</v>
      </c>
      <c r="C15811" t="str">
        <f>IFERROR(__xludf.DUMMYFUNCTION("GOOGLETRANSLATE(B15811, ""zh"", ""en"")"),"The most convenient and comfortable water used dental floss! Chinese origin, common power outlet, went to Germany to pocket a circle back last year on a 🐱 buy price activity should 1K, with very comfortable, studying to buy a cheap good Amazon Germany a "&amp;"few hundred here, puzzled ah, why would this way, anyway good use!")</f>
        <v>The most convenient and comfortable water used dental floss! Chinese origin, common power outlet, went to Germany to pocket a circle back last year on a 🐱 buy price activity should 1K, with very comfortable, studying to buy a cheap good Amazon Germany a few hundred here, puzzled ah, why would this way, anyway good use!</v>
      </c>
    </row>
    <row r="15812">
      <c r="A15812" s="1">
        <v>5.0</v>
      </c>
      <c r="B15812" s="1" t="s">
        <v>15637</v>
      </c>
      <c r="C15812" t="str">
        <f>IFERROR(__xludf.DUMMYFUNCTION("GOOGLETRANSLATE(B15812, ""zh"", ""en"")"),"Very good sweet taste, I liked it, praise.")</f>
        <v>Very good sweet taste, I liked it, praise.</v>
      </c>
    </row>
    <row r="15813">
      <c r="A15813" s="1">
        <v>5.0</v>
      </c>
      <c r="B15813" s="1" t="s">
        <v>15638</v>
      </c>
      <c r="C15813" t="str">
        <f>IFERROR(__xludf.DUMMYFUNCTION("GOOGLETRANSLATE(B15813, ""zh"", ""en"")"),"Very favorite brand, very satisfied with the size of the pants fit, fabric comfortable")</f>
        <v>Very favorite brand, very satisfied with the size of the pants fit, fabric comfortable</v>
      </c>
    </row>
    <row r="15814">
      <c r="A15814" s="1">
        <v>5.0</v>
      </c>
      <c r="B15814" s="1" t="s">
        <v>15639</v>
      </c>
      <c r="C15814" t="str">
        <f>IFERROR(__xludf.DUMMYFUNCTION("GOOGLETRANSLATE(B15814, ""zh"", ""en"")"),"Dr. Martens Men's 2976 feet wide recommendations freshman yards, narrow shoes")</f>
        <v>Dr. Martens Men's 2976 feet wide recommendations freshman yards, narrow shoes</v>
      </c>
    </row>
    <row r="15815">
      <c r="A15815" s="1">
        <v>5.0</v>
      </c>
      <c r="B15815" s="1" t="s">
        <v>15640</v>
      </c>
      <c r="C15815" t="str">
        <f>IFERROR(__xludf.DUMMYFUNCTION("GOOGLETRANSLATE(B15815, ""zh"", ""en"")"),"Very good, satisfied it was great! Size is also standard")</f>
        <v>Very good, satisfied it was great! Size is also standard</v>
      </c>
    </row>
    <row r="15816">
      <c r="A15816" s="1">
        <v>5.0</v>
      </c>
      <c r="B15816" s="1" t="s">
        <v>15641</v>
      </c>
      <c r="C15816" t="str">
        <f>IFERROR(__xludf.DUMMYFUNCTION("GOOGLETRANSLATE(B15816, ""zh"", ""en"")"),"In addition to a nice color other general sub-price goods. .")</f>
        <v>In addition to a nice color other general sub-price goods. .</v>
      </c>
    </row>
    <row r="15817">
      <c r="A15817" s="1">
        <v>5.0</v>
      </c>
      <c r="B15817" s="1" t="s">
        <v>15642</v>
      </c>
      <c r="C15817" t="str">
        <f>IFERROR(__xludf.DUMMYFUNCTION("GOOGLETRANSLATE(B15817, ""zh"", ""en"")"),"Something really good! And as good as expected.")</f>
        <v>Something really good! And as good as expected.</v>
      </c>
    </row>
    <row r="15818">
      <c r="A15818" s="1">
        <v>5.0</v>
      </c>
      <c r="B15818" s="1" t="s">
        <v>15643</v>
      </c>
      <c r="C15818" t="str">
        <f>IFERROR(__xludf.DUMMYFUNCTION("GOOGLETRANSLATE(B15818, ""zh"", ""en"")"),"Flavor, but the kids like to have shares of scent, but also that will not be good for children, I asked a few Mommy say does have flavor, but very happy baby bite, as long as it saw coming long small mouth mouth ready to bite")</f>
        <v>Flavor, but the kids like to have shares of scent, but also that will not be good for children, I asked a few Mommy say does have flavor, but very happy baby bite, as long as it saw coming long small mouth mouth ready to bite</v>
      </c>
    </row>
    <row r="15819">
      <c r="A15819" s="1">
        <v>5.0</v>
      </c>
      <c r="B15819" s="1" t="s">
        <v>15644</v>
      </c>
      <c r="C15819" t="str">
        <f>IFERROR(__xludf.DUMMYFUNCTION("GOOGLETRANSLATE(B15819, ""zh"", ""en"")"),"Very good very light, very insulation, very delicate.")</f>
        <v>Very good very light, very insulation, very delicate.</v>
      </c>
    </row>
    <row r="15820">
      <c r="A15820" s="1">
        <v>5.0</v>
      </c>
      <c r="B15820" s="1" t="s">
        <v>15645</v>
      </c>
      <c r="C15820" t="str">
        <f>IFERROR(__xludf.DUMMYFUNCTION("GOOGLETRANSLATE(B15820, ""zh"", ""en"")"),", Style I liked it, a little bit less than the place is off the silk laces and soles of the wear bit faster, but overall still like a pair of shoes")</f>
        <v>, Style I liked it, a little bit less than the place is off the silk laces and soles of the wear bit faster, but overall still like a pair of shoes</v>
      </c>
    </row>
    <row r="15821">
      <c r="A15821" s="1">
        <v>5.0</v>
      </c>
      <c r="B15821" s="1" t="s">
        <v>15646</v>
      </c>
      <c r="C15821" t="str">
        <f>IFERROR(__xludf.DUMMYFUNCTION("GOOGLETRANSLATE(B15821, ""zh"", ""en"")"),"What brand of easy to use tall, full of a sense of quality, five-star hotel with the brand, the price really feel very real. Good things can be maintained")</f>
        <v>What brand of easy to use tall, full of a sense of quality, five-star hotel with the brand, the price really feel very real. Good things can be maintained</v>
      </c>
    </row>
    <row r="15822">
      <c r="A15822" s="1">
        <v>5.0</v>
      </c>
      <c r="B15822" s="1" t="s">
        <v>15647</v>
      </c>
      <c r="C15822" t="str">
        <f>IFERROR(__xludf.DUMMYFUNCTION("GOOGLETRANSLATE(B15822, ""zh"", ""en"")"),"Rapid delivery, packaging intact, the product is very amazing, the price of small expensive. Rapid delivery, packaging intact, the product is very amazing, the price of small expensive.")</f>
        <v>Rapid delivery, packaging intact, the product is very amazing, the price of small expensive. Rapid delivery, packaging intact, the product is very amazing, the price of small expensive.</v>
      </c>
    </row>
    <row r="15823">
      <c r="A15823" s="1">
        <v>5.0</v>
      </c>
      <c r="B15823" s="1" t="s">
        <v>15648</v>
      </c>
      <c r="C15823" t="str">
        <f>IFERROR(__xludf.DUMMYFUNCTION("GOOGLETRANSLATE(B15823, ""zh"", ""en"")"),"Classic, well-deserved reputation do not buy headphones uncomfortable burn, a bite of a stomping, buy! A second of my ears dtx501. But this is really hard to push the goods, not a good front end, complete with laptop fixed. Allen bought the state 02us Dra"&amp;"gon barely play. Bought the goods without a meter! Listen to the voices dental serious, some songs are not suitable for extreme, such as Fish Leong worship, not just listen. Listen to classical is very good, buy headphones learn to listen to classical mus"&amp;"ic! Not wait, ah, slowly burn it.")</f>
        <v>Classic, well-deserved reputation do not buy headphones uncomfortable burn, a bite of a stomping, buy! A second of my ears dtx501. But this is really hard to push the goods, not a good front end, complete with laptop fixed. Allen bought the state 02us Dragon barely play. Bought the goods without a meter! Listen to the voices dental serious, some songs are not suitable for extreme, such as Fish Leong worship, not just listen. Listen to classical is very good, buy headphones learn to listen to classical music! Not wait, ah, slowly burn it.</v>
      </c>
    </row>
    <row r="15824">
      <c r="A15824" s="1">
        <v>5.0</v>
      </c>
      <c r="B15824" s="1" t="s">
        <v>15649</v>
      </c>
      <c r="C15824" t="str">
        <f>IFERROR(__xludf.DUMMYFUNCTION("GOOGLETRANSLATE(B15824, ""zh"", ""en"")"),"Amazon pelvis with someone else to buy, really Bang Bang!")</f>
        <v>Amazon pelvis with someone else to buy, really Bang Bang!</v>
      </c>
    </row>
    <row r="15825">
      <c r="A15825" s="1">
        <v>5.0</v>
      </c>
      <c r="B15825" s="1" t="s">
        <v>15650</v>
      </c>
      <c r="C15825" t="str">
        <f>IFERROR(__xludf.DUMMYFUNCTION("GOOGLETRANSLATE(B15825, ""zh"", ""en"")"),"Comments layman do not understand headphones, sound quality is very clear that anyway, it is to burn the airport.")</f>
        <v>Comments layman do not understand headphones, sound quality is very clear that anyway, it is to burn the airport.</v>
      </c>
    </row>
    <row r="15826">
      <c r="A15826" s="1">
        <v>5.0</v>
      </c>
      <c r="B15826" s="1" t="s">
        <v>15651</v>
      </c>
      <c r="C15826" t="str">
        <f>IFERROR(__xludf.DUMMYFUNCTION("GOOGLETRANSLATE(B15826, ""zh"", ""en"")"),"Lightweight, comfortable! Feet long 23.5cm, buy 5m us big kid very fit, material is very solid, looks good years is estimated to wear no problem!")</f>
        <v>Lightweight, comfortable! Feet long 23.5cm, buy 5m us big kid very fit, material is very solid, looks good years is estimated to wear no problem!</v>
      </c>
    </row>
    <row r="15827">
      <c r="A15827" s="1">
        <v>2.0</v>
      </c>
      <c r="B15827" s="1" t="s">
        <v>15652</v>
      </c>
      <c r="C15827" t="str">
        <f>IFERROR(__xludf.DUMMYFUNCTION("GOOGLETRANSLATE(B15827, ""zh"", ""en"")"),"Speed ​​really unhappy fast enough, less than 20 megabytes speed USB2.0 when he")</f>
        <v>Speed ​​really unhappy fast enough, less than 20 megabytes speed USB2.0 when he</v>
      </c>
    </row>
    <row r="15828">
      <c r="A15828" s="1">
        <v>3.0</v>
      </c>
      <c r="B15828" s="1" t="s">
        <v>15653</v>
      </c>
      <c r="C15828" t="str">
        <f>IFERROR(__xludf.DUMMYFUNCTION("GOOGLETRANSLATE(B15828, ""zh"", ""en"")"),"Scratches, indeed depressed sea ADS risk, many boots surface scratches, very depressed, good-looking style, size suitable length, but it does at its widest point distal the sole tight")</f>
        <v>Scratches, indeed depressed sea ADS risk, many boots surface scratches, very depressed, good-looking style, size suitable length, but it does at its widest point distal the sole tight</v>
      </c>
    </row>
    <row r="15829">
      <c r="A15829" s="1">
        <v>3.0</v>
      </c>
      <c r="B15829" s="1" t="s">
        <v>15654</v>
      </c>
      <c r="C15829" t="str">
        <f>IFERROR(__xludf.DUMMYFUNCTION("GOOGLETRANSLATE(B15829, ""zh"", ""en"")"),"I have little doubt buy this quality is not the same as ever, wash once a little deformed, fabric where it can not be bad, but previously bought really is better")</f>
        <v>I have little doubt buy this quality is not the same as ever, wash once a little deformed, fabric where it can not be bad, but previously bought really is better</v>
      </c>
    </row>
    <row r="15830">
      <c r="A15830" s="1">
        <v>1.0</v>
      </c>
      <c r="B15830" s="1" t="s">
        <v>15655</v>
      </c>
      <c r="C15830" t="str">
        <f>IFERROR(__xludf.DUMMYFUNCTION("GOOGLETRANSLATE(B15830, ""zh"", ""en"")"),"Service Center contact me just open to use, not on the charge. knock out. You may not be able to contact the service.")</f>
        <v>Service Center contact me just open to use, not on the charge. knock out. You may not be able to contact the service.</v>
      </c>
    </row>
    <row r="15831">
      <c r="A15831" s="1">
        <v>1.0</v>
      </c>
      <c r="B15831" s="1" t="s">
        <v>15656</v>
      </c>
      <c r="C15831" t="str">
        <f>IFERROR(__xludf.DUMMYFUNCTION("GOOGLETRANSLATE(B15831, ""zh"", ""en"")"),"Large size completely inaccurate, too, can not wear, do not know how to return, you have to throw new clothes")</f>
        <v>Large size completely inaccurate, too, can not wear, do not know how to return, you have to throw new clothes</v>
      </c>
    </row>
    <row r="15832">
      <c r="A15832" s="1">
        <v>1.0</v>
      </c>
      <c r="B15832" s="1" t="s">
        <v>15657</v>
      </c>
      <c r="C15832" t="str">
        <f>IFERROR(__xludf.DUMMYFUNCTION("GOOGLETRANSLATE(B15832, ""zh"", ""en"")"),"Ugly green hat shape does not look good, the color does not look good, or green")</f>
        <v>Ugly green hat shape does not look good, the color does not look good, or green</v>
      </c>
    </row>
    <row r="15833">
      <c r="A15833" s="1">
        <v>4.0</v>
      </c>
      <c r="B15833" s="1" t="s">
        <v>15658</v>
      </c>
      <c r="C15833" t="str">
        <f>IFERROR(__xludf.DUMMYFUNCTION("GOOGLETRANSLATE(B15833, ""zh"", ""en"")"),"Slim said that there is a difference for the people who in fact is not self-cultivation, 2.45-foot-30 freshman little waist election no impact, autumn and winter wear thick pants partial, rough work, the actual color and picture a difference not picture l"&amp;"ook good")</f>
        <v>Slim said that there is a difference for the people who in fact is not self-cultivation, 2.45-foot-30 freshman little waist election no impact, autumn and winter wear thick pants partial, rough work, the actual color and picture a difference not picture look good</v>
      </c>
    </row>
    <row r="15834">
      <c r="A15834" s="1">
        <v>4.0</v>
      </c>
      <c r="B15834" s="1" t="s">
        <v>15659</v>
      </c>
      <c r="C15834" t="str">
        <f>IFERROR(__xludf.DUMMYFUNCTION("GOOGLETRANSLATE(B15834, ""zh"", ""en"")"),"Small clothes, feeling low foreign pants pants waistband buy clothes online is not easy, especially abroad, and read other people comments buy, really is small, may be their own recent fat, tight")</f>
        <v>Small clothes, feeling low foreign pants pants waistband buy clothes online is not easy, especially abroad, and read other people comments buy, really is small, may be their own recent fat, tight</v>
      </c>
    </row>
    <row r="15835">
      <c r="A15835" s="1">
        <v>4.0</v>
      </c>
      <c r="B15835" s="1" t="s">
        <v>15660</v>
      </c>
      <c r="C15835" t="str">
        <f>IFERROR(__xludf.DUMMYFUNCTION("GOOGLETRANSLATE(B15835, ""zh"", ""en"")"),"Wind and rain also did not expect such a large number of M, but it's just a little wore down when climb mountains, put on the outside it does not look swollen.")</f>
        <v>Wind and rain also did not expect such a large number of M, but it's just a little wore down when climb mountains, put on the outside it does not look swollen.</v>
      </c>
    </row>
    <row r="15836">
      <c r="A15836" s="1">
        <v>4.0</v>
      </c>
      <c r="B15836" s="1" t="s">
        <v>15661</v>
      </c>
      <c r="C15836" t="str">
        <f>IFERROR(__xludf.DUMMYFUNCTION("GOOGLETRANSLATE(B15836, ""zh"", ""en"")"),"Good things really what the brand, the price is very good, quality is also good! The high cost! worth buying!")</f>
        <v>Good things really what the brand, the price is very good, quality is also good! The high cost! worth buying!</v>
      </c>
    </row>
    <row r="15837">
      <c r="A15837" s="1">
        <v>4.0</v>
      </c>
      <c r="B15837" s="1" t="s">
        <v>15662</v>
      </c>
      <c r="C15837" t="str">
        <f>IFERROR(__xludf.DUMMYFUNCTION("GOOGLETRANSLATE(B15837, ""zh"", ""en"")"),"Genuine no good dissolution of muscletech. Koichi will need more")</f>
        <v>Genuine no good dissolution of muscletech. Koichi will need more</v>
      </c>
    </row>
    <row r="15838">
      <c r="A15838" s="1">
        <v>5.0</v>
      </c>
      <c r="B15838" s="1" t="s">
        <v>15663</v>
      </c>
      <c r="C15838" t="str">
        <f>IFERROR(__xludf.DUMMYFUNCTION("GOOGLETRANSLATE(B15838, ""zh"", ""en"")"),"Size standard, good texture Boss pants work well, the size standard, better control compared to tommy thread, elastic pants, slimfit style, suitable for Asians. I 173,66kg, not the stomach, to buy 31W32L, waist is still a little big, the next should just "&amp;"buy 30w30l")</f>
        <v>Size standard, good texture Boss pants work well, the size standard, better control compared to tommy thread, elastic pants, slimfit style, suitable for Asians. I 173,66kg, not the stomach, to buy 31W32L, waist is still a little big, the next should just buy 30w30l</v>
      </c>
    </row>
    <row r="15839">
      <c r="A15839" s="1">
        <v>5.0</v>
      </c>
      <c r="B15839" s="1" t="s">
        <v>15664</v>
      </c>
      <c r="C15839" t="str">
        <f>IFERROR(__xludf.DUMMYFUNCTION("GOOGLETRANSLATE(B15839, ""zh"", ""en"")"),"Recommended to buy very comfortable to wear, soft, satisfied")</f>
        <v>Recommended to buy very comfortable to wear, soft, satisfied</v>
      </c>
    </row>
    <row r="15840">
      <c r="A15840" s="1">
        <v>5.0</v>
      </c>
      <c r="B15840" s="1" t="s">
        <v>15665</v>
      </c>
      <c r="C15840" t="str">
        <f>IFERROR(__xludf.DUMMYFUNCTION("GOOGLETRANSLATE(B15840, ""zh"", ""en"")"),"Good quality and affordable workmanship is very good, affordable, very fit, fast to five days.")</f>
        <v>Good quality and affordable workmanship is very good, affordable, very fit, fast to five days.</v>
      </c>
    </row>
    <row r="15841">
      <c r="A15841" s="1">
        <v>5.0</v>
      </c>
      <c r="B15841" s="1" t="s">
        <v>15666</v>
      </c>
      <c r="C15841" t="str">
        <f>IFERROR(__xludf.DUMMYFUNCTION("GOOGLETRANSLATE(B15841, ""zh"", ""en"")"),"A good deal of leggings for 5 ° ~ 10 ° s code does not wear, looked great, in fact, very personal. And the thickness also happens, very warm, unventilated wear today 7 °, the knee is not affected by wind, hot, really good, and much cheaper than Taobao.")</f>
        <v>A good deal of leggings for 5 ° ~ 10 ° s code does not wear, looked great, in fact, very personal. And the thickness also happens, very warm, unventilated wear today 7 °, the knee is not affected by wind, hot, really good, and much cheaper than Taobao.</v>
      </c>
    </row>
    <row r="15842">
      <c r="A15842" s="1">
        <v>5.0</v>
      </c>
      <c r="B15842" s="1" t="s">
        <v>15667</v>
      </c>
      <c r="C15842" t="str">
        <f>IFERROR(__xludf.DUMMYFUNCTION("GOOGLETRANSLATE(B15842, ""zh"", ""en"")"),"Big brand to buy back a lot of reliable quality the price is right")</f>
        <v>Big brand to buy back a lot of reliable quality the price is right</v>
      </c>
    </row>
    <row r="15843">
      <c r="A15843" s="1">
        <v>5.0</v>
      </c>
      <c r="B15843" s="1" t="s">
        <v>15668</v>
      </c>
      <c r="C15843" t="str">
        <f>IFERROR(__xludf.DUMMYFUNCTION("GOOGLETRANSLATE(B15843, ""zh"", ""en"")"),"It fit the foot 38 yards, just one foot set of US code 8 yards. United States Code 7.5 yards usually wear, this time to see the comments set freshman yards, then ordered eight yards, very fit. Thank you in front of the reviews were.")</f>
        <v>It fit the foot 38 yards, just one foot set of US code 8 yards. United States Code 7.5 yards usually wear, this time to see the comments set freshman yards, then ordered eight yards, very fit. Thank you in front of the reviews were.</v>
      </c>
    </row>
    <row r="15844">
      <c r="A15844" s="1">
        <v>5.0</v>
      </c>
      <c r="B15844" s="1" t="s">
        <v>15669</v>
      </c>
      <c r="C15844" t="str">
        <f>IFERROR(__xludf.DUMMYFUNCTION("GOOGLETRANSLATE(B15844, ""zh"", ""en"")"),"Very suitable very light look very good waterproofing and durability of")</f>
        <v>Very suitable very light look very good waterproofing and durability of</v>
      </c>
    </row>
    <row r="15845">
      <c r="A15845" s="1">
        <v>5.0</v>
      </c>
      <c r="B15845" s="1" t="s">
        <v>15670</v>
      </c>
      <c r="C15845" t="str">
        <f>IFERROR(__xludf.DUMMYFUNCTION("GOOGLETRANSLATE(B15845, ""zh"", ""en"")"),"Very, very good, I liked it, very easy to switch, I can only say that after installation on, drink up three thousand taste and mother at home makes no difference! There may be different, but the taste is not alone, filter frequently changes more hygienic")</f>
        <v>Very, very good, I liked it, very easy to switch, I can only say that after installation on, drink up three thousand taste and mother at home makes no difference! There may be different, but the taste is not alone, filter frequently changes more hygienic</v>
      </c>
    </row>
    <row r="15846">
      <c r="A15846" s="1">
        <v>5.0</v>
      </c>
      <c r="B15846" s="1" t="s">
        <v>15671</v>
      </c>
      <c r="C15846" t="str">
        <f>IFERROR(__xludf.DUMMYFUNCTION("GOOGLETRANSLATE(B15846, ""zh"", ""en"")"),"A large bag of good protein, good!")</f>
        <v>A large bag of good protein, good!</v>
      </c>
    </row>
    <row r="15847">
      <c r="A15847" s="1">
        <v>5.0</v>
      </c>
      <c r="B15847" s="1" t="s">
        <v>15672</v>
      </c>
      <c r="C15847" t="str">
        <f>IFERROR(__xludf.DUMMYFUNCTION("GOOGLETRANSLATE(B15847, ""zh"", ""en"")"),"Just the right size is very good, desired size, install some belongings.")</f>
        <v>Just the right size is very good, desired size, install some belongings.</v>
      </c>
    </row>
    <row r="15848">
      <c r="A15848" s="1">
        <v>5.0</v>
      </c>
      <c r="B15848" s="1" t="s">
        <v>15673</v>
      </c>
      <c r="C15848" t="str">
        <f>IFERROR(__xludf.DUMMYFUNCTION("GOOGLETRANSLATE(B15848, ""zh"", ""en"")"),"Good shopping experience first overseas purchase from Amazon, clothing size M size, suitable for domestic 75B to 80B. From Japan came less than a week on the road, speed-than-expected.")</f>
        <v>Good shopping experience first overseas purchase from Amazon, clothing size M size, suitable for domestic 75B to 80B. From Japan came less than a week on the road, speed-than-expected.</v>
      </c>
    </row>
    <row r="15849">
      <c r="A15849" s="1">
        <v>5.0</v>
      </c>
      <c r="B15849" s="1" t="s">
        <v>15674</v>
      </c>
      <c r="C15849" t="str">
        <f>IFERROR(__xludf.DUMMYFUNCTION("GOOGLETRANSLATE(B15849, ""zh"", ""en"")"),"Like really like this jacket! Color for me.")</f>
        <v>Like really like this jacket! Color for me.</v>
      </c>
    </row>
    <row r="15850">
      <c r="A15850" s="1">
        <v>5.0</v>
      </c>
      <c r="B15850" s="1" t="s">
        <v>15675</v>
      </c>
      <c r="C15850" t="str">
        <f>IFERROR(__xludf.DUMMYFUNCTION("GOOGLETRANSLATE(B15850, ""zh"", ""en"")"),"Comfortable to spend it can not replace the other, but thin absorbent and strong, treasure Zhendian purchase price, at ease at ease")</f>
        <v>Comfortable to spend it can not replace the other, but thin absorbent and strong, treasure Zhendian purchase price, at ease at ease</v>
      </c>
    </row>
    <row r="15851">
      <c r="A15851" s="1">
        <v>5.0</v>
      </c>
      <c r="B15851" s="1" t="s">
        <v>15676</v>
      </c>
      <c r="C15851" t="str">
        <f>IFERROR(__xludf.DUMMYFUNCTION("GOOGLETRANSLATE(B15851, ""zh"", ""en"")"),"Comfortable and very nice, although waterproof, but still breathable, rainy place in the south is very handy. 👍")</f>
        <v>Comfortable and very nice, although waterproof, but still breathable, rainy place in the south is very handy. 👍</v>
      </c>
    </row>
    <row r="15852">
      <c r="A15852" s="1">
        <v>5.0</v>
      </c>
      <c r="B15852" s="1" t="s">
        <v>15677</v>
      </c>
      <c r="C15852" t="str">
        <f>IFERROR(__xludf.DUMMYFUNCTION("GOOGLETRANSLATE(B15852, ""zh"", ""en"")"),"Good insulation effect is very easy, very easy to go out with your baby")</f>
        <v>Good insulation effect is very easy, very easy to go out with your baby</v>
      </c>
    </row>
    <row r="15853">
      <c r="A15853" s="1">
        <v>5.0</v>
      </c>
      <c r="B15853" s="1" t="s">
        <v>15678</v>
      </c>
      <c r="C15853" t="str">
        <f>IFERROR(__xludf.DUMMYFUNCTION("GOOGLETRANSLATE(B15853, ""zh"", ""en"")"),"Genuine price, price, overseas shopping time is very fast, very satisfied, thank you!")</f>
        <v>Genuine price, price, overseas shopping time is very fast, very satisfied, thank you!</v>
      </c>
    </row>
    <row r="15854">
      <c r="A15854" s="1">
        <v>5.0</v>
      </c>
      <c r="B15854" s="1" t="s">
        <v>15679</v>
      </c>
      <c r="C15854" t="str">
        <f>IFERROR(__xludf.DUMMYFUNCTION("GOOGLETRANSLATE(B15854, ""zh"", ""en"")"),"Good stuff, recommended to buy something too cool, it is praise!")</f>
        <v>Good stuff, recommended to buy something too cool, it is praise!</v>
      </c>
    </row>
    <row r="15855">
      <c r="A15855" s="1">
        <v>5.0</v>
      </c>
      <c r="B15855" s="1" t="s">
        <v>15680</v>
      </c>
      <c r="C15855" t="str">
        <f>IFERROR(__xludf.DUMMYFUNCTION("GOOGLETRANSLATE(B15855, ""zh"", ""en"")"),"Smooth flow as a writing tool, full marks.")</f>
        <v>Smooth flow as a writing tool, full marks.</v>
      </c>
    </row>
    <row r="15856">
      <c r="A15856" s="1">
        <v>5.0</v>
      </c>
      <c r="B15856" s="1" t="s">
        <v>15681</v>
      </c>
      <c r="C15856" t="str">
        <f>IFERROR(__xludf.DUMMYFUNCTION("GOOGLETRANSLATE(B15856, ""zh"", ""en"")"),"Yes this is my first single hard disk overseas purchase, with prices down more than 900 overall tariffs, the actual capacity is over 7.2. Built-in hard drive more than 5400 rpm speed USB3.0 connection speed of about 150MB, suitable for enlargements files "&amp;"do with the warehouse. Accessories with multiple plug-in head support many national standard power supply, disk transfer the sound is not great. Overall satisfaction. 5 times the number of energized")</f>
        <v>Yes this is my first single hard disk overseas purchase, with prices down more than 900 overall tariffs, the actual capacity is over 7.2. Built-in hard drive more than 5400 rpm speed USB3.0 connection speed of about 150MB, suitable for enlargements files do with the warehouse. Accessories with multiple plug-in head support many national standard power supply, disk transfer the sound is not great. Overall satisfaction. 5 times the number of energized</v>
      </c>
    </row>
    <row r="15857">
      <c r="A15857" s="1">
        <v>5.0</v>
      </c>
      <c r="B15857" s="1" t="s">
        <v>15682</v>
      </c>
      <c r="C15857" t="str">
        <f>IFERROR(__xludf.DUMMYFUNCTION("GOOGLETRANSLATE(B15857, ""zh"", ""en"")"),"Wife feel good, that's good good, a little heavy, pointing Chuan Chuan comfortable")</f>
        <v>Wife feel good, that's good good, a little heavy, pointing Chuan Chuan comfortable</v>
      </c>
    </row>
    <row r="15858">
      <c r="A15858" s="1">
        <v>5.0</v>
      </c>
      <c r="B15858" s="1" t="s">
        <v>15683</v>
      </c>
      <c r="C15858" t="str">
        <f>IFERROR(__xludf.DUMMYFUNCTION("GOOGLETRANSLATE(B15858, ""zh"", ""en"")"),"Very satisfied with a sea Amoy very satisfied about 7 days of arrival, packaging is also very complete, the price is cheaper than Taobao, very satisfied with the first sea Amoy. Read a long time and finally start the")</f>
        <v>Very satisfied with a sea Amoy very satisfied about 7 days of arrival, packaging is also very complete, the price is cheaper than Taobao, very satisfied with the first sea Amoy. Read a long time and finally start the</v>
      </c>
    </row>
    <row r="15859">
      <c r="A15859" s="1">
        <v>5.0</v>
      </c>
      <c r="B15859" s="1" t="s">
        <v>15684</v>
      </c>
      <c r="C15859" t="str">
        <f>IFERROR(__xludf.DUMMYFUNCTION("GOOGLETRANSLATE(B15859, ""zh"", ""en"")"),"After feeling the whole good, the price is still relatively high, that is, tax Guia.")</f>
        <v>After feeling the whole good, the price is still relatively high, that is, tax Guia.</v>
      </c>
    </row>
    <row r="15860">
      <c r="A15860" s="1">
        <v>2.0</v>
      </c>
      <c r="B15860" s="1" t="s">
        <v>15685</v>
      </c>
      <c r="C15860" t="str">
        <f>IFERROR(__xludf.DUMMYFUNCTION("GOOGLETRANSLATE(B15860, ""zh"", ""en"")"),"Business intentions or ulterior motives? Physical and picture does not match the mark is posted up, poor workmanship, it is simply a knockoff. Fudge consumers looking to buy a product before I thought it was on an isolated phenomenon, it seems that is a f"&amp;"act, very poor workmanship.")</f>
        <v>Business intentions or ulterior motives? Physical and picture does not match the mark is posted up, poor workmanship, it is simply a knockoff. Fudge consumers looking to buy a product before I thought it was on an isolated phenomenon, it seems that is a fact, very poor workmanship.</v>
      </c>
    </row>
    <row r="15861">
      <c r="A15861" s="1">
        <v>3.0</v>
      </c>
      <c r="B15861" s="1" t="s">
        <v>15686</v>
      </c>
      <c r="C15861" t="str">
        <f>IFERROR(__xludf.DUMMYFUNCTION("GOOGLETRANSLATE(B15861, ""zh"", ""en"")"),"Shoe size is too large shoe size is larger than the upper and lower section with the other shoe, upper low point, almost a sense of wearing a wrap, rigid soles. Directed waterproof buy! Overall it is worth!")</f>
        <v>Shoe size is too large shoe size is larger than the upper and lower section with the other shoe, upper low point, almost a sense of wearing a wrap, rigid soles. Directed waterproof buy! Overall it is worth!</v>
      </c>
    </row>
    <row r="15862">
      <c r="A15862" s="1">
        <v>3.0</v>
      </c>
      <c r="B15862" s="1" t="s">
        <v>15687</v>
      </c>
      <c r="C15862" t="str">
        <f>IFERROR(__xludf.DUMMYFUNCTION("GOOGLETRANSLATE(B15862, ""zh"", ""en"")"),"Directed at Atsugi reputation to buy the first Atsugi but not as good as comparably priced Tingmei tights woven relatively sparse")</f>
        <v>Directed at Atsugi reputation to buy the first Atsugi but not as good as comparably priced Tingmei tights woven relatively sparse</v>
      </c>
    </row>
    <row r="15863">
      <c r="A15863" s="1">
        <v>3.0</v>
      </c>
      <c r="B15863" s="1" t="s">
        <v>15688</v>
      </c>
      <c r="C15863" t="str">
        <f>IFERROR(__xludf.DUMMYFUNCTION("GOOGLETRANSLATE(B15863, ""zh"", ""en"")"),"Ordinary pants quick-drying.")</f>
        <v>Ordinary pants quick-drying.</v>
      </c>
    </row>
    <row r="15864">
      <c r="A15864" s="1">
        <v>1.0</v>
      </c>
      <c r="B15864" s="1" t="s">
        <v>15689</v>
      </c>
      <c r="C15864" t="str">
        <f>IFERROR(__xludf.DUMMYFUNCTION("GOOGLETRANSLATE(B15864, ""zh"", ""en"")"),"big The quality of the clothes is not asked, it is a big feeling, I have to pay attention later.")</f>
        <v>big The quality of the clothes is not asked, it is a big feeling, I have to pay attention later.</v>
      </c>
    </row>
    <row r="15865">
      <c r="A15865" s="1">
        <v>1.0</v>
      </c>
      <c r="B15865" s="1" t="s">
        <v>15690</v>
      </c>
      <c r="C15865" t="str">
        <f>IFERROR(__xludf.DUMMYFUNCTION("GOOGLETRANSLATE(B15865, ""zh"", ""en"")"),"Extremely bad numbers do not fly. Buy M is too large, S is too small! Ah seize the customer's purchase overseas too high return freight psychology, made some quality problems of goods last bought a sweater Ms. actually have a deep sense of perfume! In the"&amp;" thousands of black streaky Ah, buy clothes not a fit, very disappointed to Ah!")</f>
        <v>Extremely bad numbers do not fly. Buy M is too large, S is too small! Ah seize the customer's purchase overseas too high return freight psychology, made some quality problems of goods last bought a sweater Ms. actually have a deep sense of perfume! In the thousands of black streaky Ah, buy clothes not a fit, very disappointed to Ah!</v>
      </c>
    </row>
    <row r="15866">
      <c r="A15866" s="1">
        <v>1.0</v>
      </c>
      <c r="B15866" s="1" t="s">
        <v>15691</v>
      </c>
      <c r="C15866" t="str">
        <f>IFERROR(__xludf.DUMMYFUNCTION("GOOGLETRANSLATE(B15866, ""zh"", ""en"")"),"Why not Poor husband height 170, weight 120, can not get into it is, is too small. My height 158, weight 100, even wearing a strenuous or small. I really do not know how this size will be so much worse, this is my last time the Amazon shopping, great fail"&amp;"ure, bad shopping experience")</f>
        <v>Why not Poor husband height 170, weight 120, can not get into it is, is too small. My height 158, weight 100, even wearing a strenuous or small. I really do not know how this size will be so much worse, this is my last time the Amazon shopping, great failure, bad shopping experience</v>
      </c>
    </row>
    <row r="15867">
      <c r="A15867" s="1">
        <v>4.0</v>
      </c>
      <c r="B15867" s="1" t="s">
        <v>15692</v>
      </c>
      <c r="C15867" t="str">
        <f>IFERROR(__xludf.DUMMYFUNCTION("GOOGLETRANSLATE(B15867, ""zh"", ""en"")"),"very good. Good quality foot feeling soft and comfortable. Round boots, skinny legs, then feels a bit large. You can wear thick socks points.")</f>
        <v>very good. Good quality foot feeling soft and comfortable. Round boots, skinny legs, then feels a bit large. You can wear thick socks points.</v>
      </c>
    </row>
    <row r="15868">
      <c r="A15868" s="1">
        <v>4.0</v>
      </c>
      <c r="B15868" s="1" t="s">
        <v>15693</v>
      </c>
      <c r="C15868" t="str">
        <f>IFERROR(__xludf.DUMMYFUNCTION("GOOGLETRANSLATE(B15868, ""zh"", ""en"")"),"The first piece of light waves with their own money to buy the Casio watch this table almost exclusively to the dark luminous moment in the light quite bright. . . . Seiko and colleagues of the same price than a little, basically miserable luminous at nig"&amp;"ht. When the wave of good success rate of 80%, ps I am in Jiangsu Province. For dial wrist circumference 15.5 of me, just right. June 18 is produced, although 12 years is released, but the gray dial, red hour hand, minute hand white color with very good, "&amp;"not out of date.")</f>
        <v>The first piece of light waves with their own money to buy the Casio watch this table almost exclusively to the dark luminous moment in the light quite bright. . . . Seiko and colleagues of the same price than a little, basically miserable luminous at night. When the wave of good success rate of 80%, ps I am in Jiangsu Province. For dial wrist circumference 15.5 of me, just right. June 18 is produced, although 12 years is released, but the gray dial, red hour hand, minute hand white color with very good, not out of date.</v>
      </c>
    </row>
    <row r="15869">
      <c r="A15869" s="1">
        <v>4.0</v>
      </c>
      <c r="B15869" s="1" t="s">
        <v>15694</v>
      </c>
      <c r="C15869" t="str">
        <f>IFERROR(__xludf.DUMMYFUNCTION("GOOGLETRANSLATE(B15869, ""zh"", ""en"")"),"Just feel good tube a little high, a little walk impede")</f>
        <v>Just feel good tube a little high, a little walk impede</v>
      </c>
    </row>
    <row r="15870">
      <c r="A15870" s="1">
        <v>4.0</v>
      </c>
      <c r="B15870" s="1" t="s">
        <v>15695</v>
      </c>
      <c r="C15870" t="str">
        <f>IFERROR(__xludf.DUMMYFUNCTION("GOOGLETRANSLATE(B15870, ""zh"", ""en"")"),"Sound resolving power! Bought with ZX100 listen, then the amp, and some home AD700X open headphones were compared under the resolving power, HD25 stronger, some small sound field. Tenor vocals suited the kind of songs, listen to the voice of ventilation, "&amp;"immersive feel, not paste, but the sound field is indeed a little small. But that resolving power is amazing, close your eyes and feel like singing in front. I bought the LIGHT version, on a line, the feeling is enough. PLUS version plus the ear and sent "&amp;"a bending wires.")</f>
        <v>Sound resolving power! Bought with ZX100 listen, then the amp, and some home AD700X open headphones were compared under the resolving power, HD25 stronger, some small sound field. Tenor vocals suited the kind of songs, listen to the voice of ventilation, immersive feel, not paste, but the sound field is indeed a little small. But that resolving power is amazing, close your eyes and feel like singing in front. I bought the LIGHT version, on a line, the feeling is enough. PLUS version plus the ear and sent a bending wires.</v>
      </c>
    </row>
    <row r="15871">
      <c r="A15871" s="1">
        <v>5.0</v>
      </c>
      <c r="B15871" s="1" t="s">
        <v>15696</v>
      </c>
      <c r="C15871" t="str">
        <f>IFERROR(__xludf.DUMMYFUNCTION("GOOGLETRANSLATE(B15871, ""zh"", ""en"")"),"Praising toothbrush, baby toothbrush baby must-have item particularly fond of, will get started with the other end of the bristles to grind just to take hold of their own small teeth, Meng Meng da. When the tooth is also very suitable glue, no smell very "&amp;"soft.")</f>
        <v>Praising toothbrush, baby toothbrush baby must-have item particularly fond of, will get started with the other end of the bristles to grind just to take hold of their own small teeth, Meng Meng da. When the tooth is also very suitable glue, no smell very soft.</v>
      </c>
    </row>
    <row r="15872">
      <c r="A15872" s="1">
        <v>5.0</v>
      </c>
      <c r="B15872" s="1" t="s">
        <v>15697</v>
      </c>
      <c r="C15872" t="str">
        <f>IFERROR(__xludf.DUMMYFUNCTION("GOOGLETRANSLATE(B15872, ""zh"", ""en"")"),"Like ECCO ECCO shoes, nothing too much description. Size standard, fine workmanship, comfortable to wear. Overseas purchase price to the force. prime Member free shipping, SF go home, scouring the sea than their convenience too, for large bulky weight of "&amp;"the goods has a huge advantage.")</f>
        <v>Like ECCO ECCO shoes, nothing too much description. Size standard, fine workmanship, comfortable to wear. Overseas purchase price to the force. prime Member free shipping, SF go home, scouring the sea than their convenience too, for large bulky weight of the goods has a huge advantage.</v>
      </c>
    </row>
    <row r="15873">
      <c r="A15873" s="1">
        <v>5.0</v>
      </c>
      <c r="B15873" s="1" t="s">
        <v>15698</v>
      </c>
      <c r="C15873" t="str">
        <f>IFERROR(__xludf.DUMMYFUNCTION("GOOGLETRANSLATE(B15873, ""zh"", ""en"")"),"Good packaging, made in China just opened not with, in addition to uneven paint brush, okay, before making a chase with a comment!")</f>
        <v>Good packaging, made in China just opened not with, in addition to uneven paint brush, okay, before making a chase with a comment!</v>
      </c>
    </row>
    <row r="15874">
      <c r="A15874" s="1">
        <v>5.0</v>
      </c>
      <c r="B15874" s="1" t="s">
        <v>15699</v>
      </c>
      <c r="C15874" t="str">
        <f>IFERROR(__xludf.DUMMYFUNCTION("GOOGLETRANSLATE(B15874, ""zh"", ""en"")"),"Very nice, not too expensive although very nice, although not too expensive")</f>
        <v>Very nice, not too expensive although very nice, although not too expensive</v>
      </c>
    </row>
    <row r="15875">
      <c r="A15875" s="1">
        <v>5.0</v>
      </c>
      <c r="B15875" s="1" t="s">
        <v>15700</v>
      </c>
      <c r="C15875" t="str">
        <f>IFERROR(__xludf.DUMMYFUNCTION("GOOGLETRANSLATE(B15875, ""zh"", ""en"")"),"Good products and product use normal official website to register success")</f>
        <v>Good products and product use normal official website to register success</v>
      </c>
    </row>
    <row r="15876">
      <c r="A15876" s="1">
        <v>5.0</v>
      </c>
      <c r="B15876" s="1" t="s">
        <v>15701</v>
      </c>
      <c r="C15876" t="str">
        <f>IFERROR(__xludf.DUMMYFUNCTION("GOOGLETRANSLATE(B15876, ""zh"", ""en"")"),"Texture color values ​​have ordered in September, she has been out of stock, until finally shipping, DHL delivery turned out to be! Very quickly I received! Amazon customer service thanks to help me during the inquiry Japanese stocks. Kettle great texture"&amp;", three of which two also pressing water metering out the water, great.")</f>
        <v>Texture color values ​​have ordered in September, she has been out of stock, until finally shipping, DHL delivery turned out to be! Very quickly I received! Amazon customer service thanks to help me during the inquiry Japanese stocks. Kettle great texture, three of which two also pressing water metering out the water, great.</v>
      </c>
    </row>
    <row r="15877">
      <c r="A15877" s="1">
        <v>5.0</v>
      </c>
      <c r="B15877" s="1" t="s">
        <v>15702</v>
      </c>
      <c r="C15877" t="str">
        <f>IFERROR(__xludf.DUMMYFUNCTION("GOOGLETRANSLATE(B15877, ""zh"", ""en"")"),"m sharp things are fine, but the pen is m. Buy note.")</f>
        <v>m sharp things are fine, but the pen is m. Buy note.</v>
      </c>
    </row>
    <row r="15878">
      <c r="A15878" s="1">
        <v>5.0</v>
      </c>
      <c r="B15878" s="1" t="s">
        <v>15703</v>
      </c>
      <c r="C15878" t="str">
        <f>IFERROR(__xludf.DUMMYFUNCTION("GOOGLETRANSLATE(B15878, ""zh"", ""en"")"),"Comfortable shoes slim shoes, feet very comfortable, hard bottom forefoot.")</f>
        <v>Comfortable shoes slim shoes, feet very comfortable, hard bottom forefoot.</v>
      </c>
    </row>
    <row r="15879">
      <c r="A15879" s="1">
        <v>5.0</v>
      </c>
      <c r="B15879" s="1" t="s">
        <v>15704</v>
      </c>
      <c r="C15879" t="str">
        <f>IFERROR(__xludf.DUMMYFUNCTION("GOOGLETRANSLATE(B15879, ""zh"", ""en"")"),"Good value for money can still be a good drop")</f>
        <v>Good value for money can still be a good drop</v>
      </c>
    </row>
    <row r="15880">
      <c r="A15880" s="1">
        <v>5.0</v>
      </c>
      <c r="B15880" s="1" t="s">
        <v>15705</v>
      </c>
      <c r="C15880" t="str">
        <f>IFERROR(__xludf.DUMMYFUNCTION("GOOGLETRANSLATE(B15880, ""zh"", ""en"")"),"Yan buckle lax quality level, but less stringent buckle lunchbox")</f>
        <v>Yan buckle lax quality level, but less stringent buckle lunchbox</v>
      </c>
    </row>
    <row r="15881">
      <c r="A15881" s="1">
        <v>5.0</v>
      </c>
      <c r="B15881" s="1" t="s">
        <v>15706</v>
      </c>
      <c r="C15881" t="str">
        <f>IFERROR(__xludf.DUMMYFUNCTION("GOOGLETRANSLATE(B15881, ""zh"", ""en"")"),"Very good very good, worth buying. . .")</f>
        <v>Very good very good, worth buying. . .</v>
      </c>
    </row>
    <row r="15882">
      <c r="A15882" s="1">
        <v>5.0</v>
      </c>
      <c r="B15882" s="1" t="s">
        <v>15707</v>
      </c>
      <c r="C15882" t="str">
        <f>IFERROR(__xludf.DUMMYFUNCTION("GOOGLETRANSLATE(B15882, ""zh"", ""en"")"),"Something good, in line with expectations, thanks to Amazon brought me a good shopping experience cousin college entrance examination this year, thinking send some gifts to her, Lamy pen writing their own terms just recently bought the German results were"&amp;" fantastic, thinking about her future on University, also often used. The following is a comparison of two buy, you'll excuse the word a little ugly. Pen no problem, front to buy F sharp that support has been very good, I basically the first time with a p"&amp;"en, some aspects to share with you, this street like 2 dollars a pen core can not be prolonged exposure to water in the air, or will pen a little block, there is a carbon ink must not be used, one with the block. Non-Carbon F sharp water a little big, but"&amp;" okay EF tip is ideal for students")</f>
        <v>Something good, in line with expectations, thanks to Amazon brought me a good shopping experience cousin college entrance examination this year, thinking send some gifts to her, Lamy pen writing their own terms just recently bought the German results were fantastic, thinking about her future on University, also often used. The following is a comparison of two buy, you'll excuse the word a little ugly. Pen no problem, front to buy F sharp that support has been very good, I basically the first time with a pen, some aspects to share with you, this street like 2 dollars a pen core can not be prolonged exposure to water in the air, or will pen a little block, there is a carbon ink must not be used, one with the block. Non-Carbon F sharp water a little big, but okay EF tip is ideal for students</v>
      </c>
    </row>
    <row r="15883">
      <c r="A15883" s="1">
        <v>5.0</v>
      </c>
      <c r="B15883" s="1" t="s">
        <v>15708</v>
      </c>
      <c r="C15883" t="str">
        <f>IFERROR(__xludf.DUMMYFUNCTION("GOOGLETRANSLATE(B15883, ""zh"", ""en"")"),"Very good desktop monitor resolution 999 good buy E4.5, have a good installation. Play with the Foobar2000 Flac, very good resolution, I placed against the wall, the acoustic space -2dB, low-cut Flat, three-band equalizer, fully adequate sense of low volu"&amp;"me, very good sense of atmosphere, there is a certain ability to dive, IF compare clear, high frequency can be considered pleasing to the ear. A mixed music, KORG Pa300 in the sound of each track are relatively clear, overall very satisfied to E4.5.")</f>
        <v>Very good desktop monitor resolution 999 good buy E4.5, have a good installation. Play with the Foobar2000 Flac, very good resolution, I placed against the wall, the acoustic space -2dB, low-cut Flat, three-band equalizer, fully adequate sense of low volume, very good sense of atmosphere, there is a certain ability to dive, IF compare clear, high frequency can be considered pleasing to the ear. A mixed music, KORG Pa300 in the sound of each track are relatively clear, overall very satisfied to E4.5.</v>
      </c>
    </row>
    <row r="15884">
      <c r="A15884" s="1">
        <v>5.0</v>
      </c>
      <c r="B15884" s="1" t="s">
        <v>15709</v>
      </c>
      <c r="C15884" t="str">
        <f>IFERROR(__xludf.DUMMYFUNCTION("GOOGLETRANSLATE(B15884, ""zh"", ""en"")"),"Excessive than in domestic large size, height and 180,160 pounds of M numbers just right")</f>
        <v>Excessive than in domestic large size, height and 180,160 pounds of M numbers just right</v>
      </c>
    </row>
    <row r="15885">
      <c r="A15885" s="1">
        <v>5.0</v>
      </c>
      <c r="B15885" s="1" t="s">
        <v>15710</v>
      </c>
      <c r="C15885" t="str">
        <f>IFERROR(__xludf.DUMMYFUNCTION("GOOGLETRANSLATE(B15885, ""zh"", ""en"")"),"Mizuno always good")</f>
        <v>Mizuno always good</v>
      </c>
    </row>
    <row r="15886">
      <c r="A15886" s="1">
        <v>5.0</v>
      </c>
      <c r="B15886" s="1" t="s">
        <v>15711</v>
      </c>
      <c r="C15886" t="str">
        <f>IFERROR(__xludf.DUMMYFUNCTION("GOOGLETRANSLATE(B15886, ""zh"", ""en"")"),"Inexpensive very good, inexpensive.")</f>
        <v>Inexpensive very good, inexpensive.</v>
      </c>
    </row>
    <row r="15887">
      <c r="A15887" s="1">
        <v>5.0</v>
      </c>
      <c r="B15887" s="1" t="s">
        <v>15712</v>
      </c>
      <c r="C15887" t="str">
        <f>IFERROR(__xludf.DUMMYFUNCTION("GOOGLETRANSLATE(B15887, ""zh"", ""en"")"),"Small inexpensive gifts, very fond of Mr.")</f>
        <v>Small inexpensive gifts, very fond of Mr.</v>
      </c>
    </row>
    <row r="15888">
      <c r="A15888" s="1">
        <v>5.0</v>
      </c>
      <c r="B15888" s="1" t="s">
        <v>15713</v>
      </c>
      <c r="C15888" t="str">
        <f>IFERROR(__xludf.DUMMYFUNCTION("GOOGLETRANSLATE(B15888, ""zh"", ""en"")"),"Watch pretty good things, express also to the force. A little ignorant")</f>
        <v>Watch pretty good things, express also to the force. A little ignorant</v>
      </c>
    </row>
    <row r="15889">
      <c r="A15889" s="1">
        <v>5.0</v>
      </c>
      <c r="B15889" s="1" t="s">
        <v>15714</v>
      </c>
      <c r="C15889" t="str">
        <f>IFERROR(__xludf.DUMMYFUNCTION("GOOGLETRANSLATE(B15889, ""zh"", ""en"")"),"Inexpensive! Discount price than purchasing, supply is French, very beautiful, very satisfied! Do braised squid, the whole family love to eat!")</f>
        <v>Inexpensive! Discount price than purchasing, supply is French, very beautiful, very satisfied! Do braised squid, the whole family love to eat!</v>
      </c>
    </row>
    <row r="15890">
      <c r="A15890" s="1">
        <v>5.0</v>
      </c>
      <c r="B15890" s="1" t="s">
        <v>15715</v>
      </c>
      <c r="C15890" t="str">
        <f>IFERROR(__xludf.DUMMYFUNCTION("GOOGLETRANSLATE(B15890, ""zh"", ""en"")"),"Very good success comfortable to wear elastic good very good")</f>
        <v>Very good success comfortable to wear elastic good very good</v>
      </c>
    </row>
    <row r="15891">
      <c r="A15891" s="1">
        <v>5.0</v>
      </c>
      <c r="B15891" s="1" t="s">
        <v>15716</v>
      </c>
      <c r="C15891" t="str">
        <f>IFERROR(__xludf.DUMMYFUNCTION("GOOGLETRANSLATE(B15891, ""zh"", ""en"")"),"A little expensive good, that is too expensive, and if free mail just fine.")</f>
        <v>A little expensive good, that is too expensive, and if free mail just fine.</v>
      </c>
    </row>
    <row r="15892">
      <c r="A15892" s="1">
        <v>5.0</v>
      </c>
      <c r="B15892" s="1" t="s">
        <v>15717</v>
      </c>
      <c r="C15892" t="str">
        <f>IFERROR(__xludf.DUMMYFUNCTION("GOOGLETRANSLATE(B15892, ""zh"", ""en"")"),"Clothes not cotton")</f>
        <v>Clothes not cotton</v>
      </c>
    </row>
    <row r="15893">
      <c r="A15893" s="1">
        <v>2.0</v>
      </c>
      <c r="B15893" s="1" t="s">
        <v>15718</v>
      </c>
      <c r="C15893" t="str">
        <f>IFERROR(__xludf.DUMMYFUNCTION("GOOGLETRANSLATE(B15893, ""zh"", ""en"")"),"Although generally soft fabrics, but with clothes chest is too wide at the waist, the overall general ...")</f>
        <v>Although generally soft fabrics, but with clothes chest is too wide at the waist, the overall general ...</v>
      </c>
    </row>
    <row r="15894">
      <c r="A15894" s="1">
        <v>3.0</v>
      </c>
      <c r="B15894" s="1" t="s">
        <v>15719</v>
      </c>
      <c r="C15894" t="str">
        <f>IFERROR(__xludf.DUMMYFUNCTION("GOOGLETRANSLATE(B15894, ""zh"", ""en"")"),"The quality of the general quality in general, not good before buying Japanese stockings.")</f>
        <v>The quality of the general quality in general, not good before buying Japanese stockings.</v>
      </c>
    </row>
    <row r="15895">
      <c r="A15895" s="1">
        <v>3.0</v>
      </c>
      <c r="B15895" s="1" t="s">
        <v>15720</v>
      </c>
      <c r="C15895" t="str">
        <f>IFERROR(__xludf.DUMMYFUNCTION("GOOGLETRANSLATE(B15895, ""zh"", ""en"")"),"Buy black, buy black brown sent, sent Brown")</f>
        <v>Buy black, buy black brown sent, sent Brown</v>
      </c>
    </row>
    <row r="15896">
      <c r="A15896" s="1">
        <v>3.0</v>
      </c>
      <c r="B15896" s="1" t="s">
        <v>15721</v>
      </c>
      <c r="C15896" t="str">
        <f>IFERROR(__xludf.DUMMYFUNCTION("GOOGLETRANSLATE(B15896, ""zh"", ""en"")"),"Mobile hard disk or buy this kind of thing the state line it! Mobile hard disk to buy back some time must be entered in order to repair wear large files, or pass the pass were automatically disconnected. regret!")</f>
        <v>Mobile hard disk or buy this kind of thing the state line it! Mobile hard disk to buy back some time must be entered in order to repair wear large files, or pass the pass were automatically disconnected. regret!</v>
      </c>
    </row>
    <row r="15897">
      <c r="A15897" s="1">
        <v>1.0</v>
      </c>
      <c r="B15897" s="1" t="s">
        <v>15722</v>
      </c>
      <c r="C15897" t="str">
        <f>IFERROR(__xludf.DUMMYFUNCTION("GOOGLETRANSLATE(B15897, ""zh"", ""en"")"),"Only six months expired! Do not buy! Do not buy bad review, but now I found that in December it expired! I also bought two! Amazon did not expect such a global share pit, I will never buy things on Amazon, Farewell, my account will not be a member, used t"&amp;"o think Amazon Global buys fly, never realized this ghost-like! Farewell!")</f>
        <v>Only six months expired! Do not buy! Do not buy bad review, but now I found that in December it expired! I also bought two! Amazon did not expect such a global share pit, I will never buy things on Amazon, Farewell, my account will not be a member, used to think Amazon Global buys fly, never realized this ghost-like! Farewell!</v>
      </c>
    </row>
    <row r="15898">
      <c r="A15898" s="1">
        <v>1.0</v>
      </c>
      <c r="B15898" s="1" t="s">
        <v>15723</v>
      </c>
      <c r="C15898" t="str">
        <f>IFERROR(__xludf.DUMMYFUNCTION("GOOGLETRANSLATE(B15898, ""zh"", ""en"")"),"Taste great taste particularly large particularly large, I feel really like Maidaojiahuo")</f>
        <v>Taste great taste particularly large particularly large, I feel really like Maidaojiahuo</v>
      </c>
    </row>
    <row r="15899">
      <c r="A15899" s="1">
        <v>4.0</v>
      </c>
      <c r="B15899" s="1" t="s">
        <v>15724</v>
      </c>
      <c r="C15899" t="str">
        <f>IFERROR(__xludf.DUMMYFUNCTION("GOOGLETRANSLATE(B15899, ""zh"", ""en"")"),"Average really super-hard pants, jeans directly opened a few blocks. I do not know how to washed effect. Pants okay.")</f>
        <v>Average really super-hard pants, jeans directly opened a few blocks. I do not know how to washed effect. Pants okay.</v>
      </c>
    </row>
    <row r="15900">
      <c r="A15900" s="1">
        <v>4.0</v>
      </c>
      <c r="B15900" s="1" t="s">
        <v>15725</v>
      </c>
      <c r="C15900" t="str">
        <f>IFERROR(__xludf.DUMMYFUNCTION("GOOGLETRANSLATE(B15900, ""zh"", ""en"")"),"Good product very good but the faucet is true, as other sellers said many scratches")</f>
        <v>Good product very good but the faucet is true, as other sellers said many scratches</v>
      </c>
    </row>
    <row r="15901">
      <c r="A15901" s="1">
        <v>4.0</v>
      </c>
      <c r="B15901" s="1" t="s">
        <v>15726</v>
      </c>
      <c r="C15901" t="str">
        <f>IFERROR(__xludf.DUMMYFUNCTION("GOOGLETRANSLATE(B15901, ""zh"", ""en"")"),"On light feet do not feel comfortable ECCO dress shoes, but the style is still very satisfactory and cortical")</f>
        <v>On light feet do not feel comfortable ECCO dress shoes, but the style is still very satisfactory and cortical</v>
      </c>
    </row>
    <row r="15902">
      <c r="A15902" s="1">
        <v>4.0</v>
      </c>
      <c r="B15902" s="1" t="s">
        <v>15727</v>
      </c>
      <c r="C15902" t="str">
        <f>IFERROR(__xludf.DUMMYFUNCTION("GOOGLETRANSLATE(B15902, ""zh"", ""en"")"),"Comfortable, a little longer than usual, 230 on hand lee, the version is very thin, soft denim, very much.")</f>
        <v>Comfortable, a little longer than usual, 230 on hand lee, the version is very thin, soft denim, very much.</v>
      </c>
    </row>
    <row r="15903">
      <c r="A15903" s="1">
        <v>4.0</v>
      </c>
      <c r="B15903" s="1" t="s">
        <v>15728</v>
      </c>
      <c r="C15903" t="str">
        <f>IFERROR(__xludf.DUMMYFUNCTION("GOOGLETRANSLATE(B15903, ""zh"", ""en"")"),"Cost is not high cost is not high, less than 200 purchase, through domestic not.")</f>
        <v>Cost is not high cost is not high, less than 200 purchase, through domestic not.</v>
      </c>
    </row>
    <row r="15904">
      <c r="A15904" s="1">
        <v>5.0</v>
      </c>
      <c r="B15904" s="1" t="s">
        <v>15729</v>
      </c>
      <c r="C15904" t="str">
        <f>IFERROR(__xludf.DUMMYFUNCTION("GOOGLETRANSLATE(B15904, ""zh"", ""en"")"),"Good quality this belt 170 dollars honest expensive, but the quality is very good with more than six months a complete no problem, that is, in some places bayonet abrasion wear off that layer of brass")</f>
        <v>Good quality this belt 170 dollars honest expensive, but the quality is very good with more than six months a complete no problem, that is, in some places bayonet abrasion wear off that layer of brass</v>
      </c>
    </row>
    <row r="15905">
      <c r="A15905" s="1">
        <v>5.0</v>
      </c>
      <c r="B15905" s="1" t="s">
        <v>15730</v>
      </c>
      <c r="C15905" t="str">
        <f>IFERROR(__xludf.DUMMYFUNCTION("GOOGLETRANSLATE(B15905, ""zh"", ""en"")"),"In particular satisfaction! ! ! With good friends, that buy small, tall and weighing 162 to 118, 100 to the birth weight during his lifetime waist 81, hips 96, adventure bought S, get to wear, especially but not tight Le, I hope there will be results. Rec"&amp;"ommend the purchase.")</f>
        <v>In particular satisfaction! ! ! With good friends, that buy small, tall and weighing 162 to 118, 100 to the birth weight during his lifetime waist 81, hips 96, adventure bought S, get to wear, especially but not tight Le, I hope there will be results. Recommend the purchase.</v>
      </c>
    </row>
    <row r="15906">
      <c r="A15906" s="1">
        <v>5.0</v>
      </c>
      <c r="B15906" s="1" t="s">
        <v>15731</v>
      </c>
      <c r="C15906" t="str">
        <f>IFERROR(__xludf.DUMMYFUNCTION("GOOGLETRANSLATE(B15906, ""zh"", ""en"")"),"Well more wash more soft, very good a sleeping bag")</f>
        <v>Well more wash more soft, very good a sleeping bag</v>
      </c>
    </row>
    <row r="15907">
      <c r="A15907" s="1">
        <v>5.0</v>
      </c>
      <c r="B15907" s="1" t="s">
        <v>15732</v>
      </c>
      <c r="C15907" t="str">
        <f>IFERROR(__xludf.DUMMYFUNCTION("GOOGLETRANSLATE(B15907, ""zh"", ""en"")"),"US version of size, to fit the torso, long sleeves on, to the right sleeve, torso on tight. Work no problem, I 174cm, 74kg, buy s, sleeve length just right, the right shoulder basic (clothes a little too narrow a little bit), but the torso portion of rela"&amp;"tively tight, tight-fitting compression garment similar degree of wear in the gym, but because cotton fabric soft and flexible, so the future looks good actually put on (because I usually moderate fitness, torso not fat). So if you are pregnant fat is not"&amp;" recommended to buy this dress")</f>
        <v>US version of size, to fit the torso, long sleeves on, to the right sleeve, torso on tight. Work no problem, I 174cm, 74kg, buy s, sleeve length just right, the right shoulder basic (clothes a little too narrow a little bit), but the torso portion of relatively tight, tight-fitting compression garment similar degree of wear in the gym, but because cotton fabric soft and flexible, so the future looks good actually put on (because I usually moderate fitness, torso not fat). So if you are pregnant fat is not recommended to buy this dress</v>
      </c>
    </row>
    <row r="15908">
      <c r="A15908" s="1">
        <v>5.0</v>
      </c>
      <c r="B15908" s="1" t="s">
        <v>15733</v>
      </c>
      <c r="C15908" t="str">
        <f>IFERROR(__xludf.DUMMYFUNCTION("GOOGLETRANSLATE(B15908, ""zh"", ""en"")"),"Praise good-looking! With a man who bought a ticket this color super fit male vote. Strap than imagined thin, is to take the needle sounds a little big, but does not affect sleep. Knob on the right (not the knob is called) press down the dial will light u"&amp;"p the dark will see. At present 12 hours to go very accurate time")</f>
        <v>Praise good-looking! With a man who bought a ticket this color super fit male vote. Strap than imagined thin, is to take the needle sounds a little big, but does not affect sleep. Knob on the right (not the knob is called) press down the dial will light up the dark will see. At present 12 hours to go very accurate time</v>
      </c>
    </row>
    <row r="15909">
      <c r="A15909" s="1">
        <v>5.0</v>
      </c>
      <c r="B15909" s="1" t="s">
        <v>15734</v>
      </c>
      <c r="C15909" t="str">
        <f>IFERROR(__xludf.DUMMYFUNCTION("GOOGLETRANSLATE(B15909, ""zh"", ""en"")"),"To prepare the baby store goods have not used. There sucker is not easy to fall, three can be soup, vegetables, rice, not bad.")</f>
        <v>To prepare the baby store goods have not used. There sucker is not easy to fall, three can be soup, vegetables, rice, not bad.</v>
      </c>
    </row>
    <row r="15910">
      <c r="A15910" s="1">
        <v>5.0</v>
      </c>
      <c r="B15910" s="1" t="s">
        <v>15735</v>
      </c>
      <c r="C15910" t="str">
        <f>IFERROR(__xludf.DUMMYFUNCTION("GOOGLETRANSLATE(B15910, ""zh"", ""en"")"),"Shoe size to wear comfortable, style is also very good")</f>
        <v>Shoe size to wear comfortable, style is also very good</v>
      </c>
    </row>
    <row r="15911">
      <c r="A15911" s="1">
        <v>5.0</v>
      </c>
      <c r="B15911" s="1" t="s">
        <v>15736</v>
      </c>
      <c r="C15911" t="str">
        <f>IFERROR(__xludf.DUMMYFUNCTION("GOOGLETRANSLATE(B15911, ""zh"", ""en"")"),"Good use of the machine easy to use, quick to pass the butter, and they face strong, good.")</f>
        <v>Good use of the machine easy to use, quick to pass the butter, and they face strong, good.</v>
      </c>
    </row>
    <row r="15912">
      <c r="A15912" s="1">
        <v>5.0</v>
      </c>
      <c r="B15912" s="1" t="s">
        <v>15737</v>
      </c>
      <c r="C15912" t="str">
        <f>IFERROR(__xludf.DUMMYFUNCTION("GOOGLETRANSLATE(B15912, ""zh"", ""en"")"),"Good quality and good quality, comfortable to wear.")</f>
        <v>Good quality and good quality, comfortable to wear.</v>
      </c>
    </row>
    <row r="15913">
      <c r="A15913" s="1">
        <v>5.0</v>
      </c>
      <c r="B15913" s="1" t="s">
        <v>15738</v>
      </c>
      <c r="C15913" t="str">
        <f>IFERROR(__xludf.DUMMYFUNCTION("GOOGLETRANSLATE(B15913, ""zh"", ""en"")"),"Working-class fabric, fabric work considering to buy a first-class, consider buy one. 175cm 61kgs code fit for your reference. When comparing the different colors price discovery, some 30% and some 15% tariff, I do not know what the reason.")</f>
        <v>Working-class fabric, fabric work considering to buy a first-class, consider buy one. 175cm 61kgs code fit for your reference. When comparing the different colors price discovery, some 30% and some 15% tariff, I do not know what the reason.</v>
      </c>
    </row>
    <row r="15914">
      <c r="A15914" s="1">
        <v>5.0</v>
      </c>
      <c r="B15914" s="1" t="s">
        <v>15739</v>
      </c>
      <c r="C15914" t="str">
        <f>IFERROR(__xludf.DUMMYFUNCTION("GOOGLETRANSLATE(B15914, ""zh"", ""en"")"),"Worth buying soft cloth, a little flexible, color positive, 160,57KG, M code, a little bit big, but the overall feeling good")</f>
        <v>Worth buying soft cloth, a little flexible, color positive, 160,57KG, M code, a little bit big, but the overall feeling good</v>
      </c>
    </row>
    <row r="15915">
      <c r="A15915" s="1">
        <v>5.0</v>
      </c>
      <c r="B15915" s="1" t="s">
        <v>15740</v>
      </c>
      <c r="C15915" t="str">
        <f>IFERROR(__xludf.DUMMYFUNCTION("GOOGLETRANSLATE(B15915, ""zh"", ""en"")"),"Good five hundred less than the price line and the two children to wear to school, back to friends with a piece of")</f>
        <v>Good five hundred less than the price line and the two children to wear to school, back to friends with a piece of</v>
      </c>
    </row>
    <row r="15916">
      <c r="A15916" s="1">
        <v>5.0</v>
      </c>
      <c r="B15916" s="1" t="s">
        <v>15741</v>
      </c>
      <c r="C15916" t="str">
        <f>IFERROR(__xludf.DUMMYFUNCTION("GOOGLETRANSLATE(B15916, ""zh"", ""en"")"),"It can also be very thin wallet loaded on the card, but after a bit thick")</f>
        <v>It can also be very thin wallet loaded on the card, but after a bit thick</v>
      </c>
    </row>
    <row r="15917">
      <c r="A15917" s="1">
        <v>5.0</v>
      </c>
      <c r="B15917" s="1" t="s">
        <v>15742</v>
      </c>
      <c r="C15917" t="str">
        <f>IFERROR(__xludf.DUMMYFUNCTION("GOOGLETRANSLATE(B15917, ""zh"", ""en"")"),"Food supplement scissors scissors easy to use very satisfied, very cut up effort, this is Wu Zun with paragraph")</f>
        <v>Food supplement scissors scissors easy to use very satisfied, very cut up effort, this is Wu Zun with paragraph</v>
      </c>
    </row>
    <row r="15918">
      <c r="A15918" s="1">
        <v>5.0</v>
      </c>
      <c r="B15918" s="1" t="s">
        <v>15743</v>
      </c>
      <c r="C15918" t="str">
        <f>IFERROR(__xludf.DUMMYFUNCTION("GOOGLETRANSLATE(B15918, ""zh"", ""en"")"),"Little expensive, but just to be. There is no way! Little expensive, but just to be. There is no way!")</f>
        <v>Little expensive, but just to be. There is no way! Little expensive, but just to be. There is no way!</v>
      </c>
    </row>
    <row r="15919">
      <c r="A15919" s="1">
        <v>5.0</v>
      </c>
      <c r="B15919" s="1" t="s">
        <v>15744</v>
      </c>
      <c r="C15919" t="str">
        <f>IFERROR(__xludf.DUMMYFUNCTION("GOOGLETRANSLATE(B15919, ""zh"", ""en"")"),"First purchase on Amazon to buy the baby, not yet started, and then later")</f>
        <v>First purchase on Amazon to buy the baby, not yet started, and then later</v>
      </c>
    </row>
    <row r="15920">
      <c r="A15920" s="1">
        <v>5.0</v>
      </c>
      <c r="B15920" s="1" t="s">
        <v>15745</v>
      </c>
      <c r="C15920" t="str">
        <f>IFERROR(__xludf.DUMMYFUNCTION("GOOGLETRANSLATE(B15920, ""zh"", ""en"")"),"Use previous experience in Mito Beauty bought, with the good. Absorb quickly. Not sticky. And put in the refrigerator inside the refrigerator. Comfortable to use.")</f>
        <v>Use previous experience in Mito Beauty bought, with the good. Absorb quickly. Not sticky. And put in the refrigerator inside the refrigerator. Comfortable to use.</v>
      </c>
    </row>
    <row r="15921">
      <c r="A15921" s="1">
        <v>5.0</v>
      </c>
      <c r="B15921" s="1" t="s">
        <v>15746</v>
      </c>
      <c r="C15921" t="str">
        <f>IFERROR(__xludf.DUMMYFUNCTION("GOOGLETRANSLATE(B15921, ""zh"", ""en"")"),"Atsugi tights very fit, very warm, very comfortable to wear.")</f>
        <v>Atsugi tights very fit, very warm, very comfortable to wear.</v>
      </c>
    </row>
    <row r="15922">
      <c r="A15922" s="1">
        <v>5.0</v>
      </c>
      <c r="B15922" s="1" t="s">
        <v>15747</v>
      </c>
      <c r="C15922" t="str">
        <f>IFERROR(__xludf.DUMMYFUNCTION("GOOGLETRANSLATE(B15922, ""zh"", ""en"")"),"Cost-effective week of receiving high speed to the force. Two means for family use, fitting a charging cup, placed in a base of the handle, there is no travel charge, two standard brush head.")</f>
        <v>Cost-effective week of receiving high speed to the force. Two means for family use, fitting a charging cup, placed in a base of the handle, there is no travel charge, two standard brush head.</v>
      </c>
    </row>
    <row r="15923">
      <c r="A15923" s="1">
        <v>5.0</v>
      </c>
      <c r="B15923" s="1" t="s">
        <v>15748</v>
      </c>
      <c r="C15923" t="str">
        <f>IFERROR(__xludf.DUMMYFUNCTION("GOOGLETRANSLATE(B15923, ""zh"", ""en"")"),"Lower than the original amount of water, but the effect of removing chlorine taste very good. As there were no smell children, I drank nothing directly hurt my stomach, too.")</f>
        <v>Lower than the original amount of water, but the effect of removing chlorine taste very good. As there were no smell children, I drank nothing directly hurt my stomach, too.</v>
      </c>
    </row>
    <row r="15924">
      <c r="A15924" s="1">
        <v>5.0</v>
      </c>
      <c r="B15924" s="1" t="s">
        <v>15749</v>
      </c>
      <c r="C15924" t="str">
        <f>IFERROR(__xludf.DUMMYFUNCTION("GOOGLETRANSLATE(B15924, ""zh"", ""en"")"),"Very pretty, very athletic but also the outer ring speed, whizzing, silver color and black and white dotted with a touch of red, ha ha very much")</f>
        <v>Very pretty, very athletic but also the outer ring speed, whizzing, silver color and black and white dotted with a touch of red, ha ha very much</v>
      </c>
    </row>
    <row r="15925">
      <c r="A15925" s="1">
        <v>2.0</v>
      </c>
      <c r="B15925" s="1" t="s">
        <v>15750</v>
      </c>
      <c r="C15925" t="str">
        <f>IFERROR(__xludf.DUMMYFUNCTION("GOOGLETRANSLATE(B15925, ""zh"", ""en"")"),"can! Not been used, it should be good!")</f>
        <v>can! Not been used, it should be good!</v>
      </c>
    </row>
    <row r="15926">
      <c r="A15926" s="1">
        <v>3.0</v>
      </c>
      <c r="B15926" s="1" t="s">
        <v>15751</v>
      </c>
      <c r="C15926" t="str">
        <f>IFERROR(__xludf.DUMMYFUNCTION("GOOGLETRANSLATE(B15926, ""zh"", ""en"")"),"Great ah! Total 779. Originally buy my wife, who knows too much to buy, shoe size is positive, is to buy big, bad return, will wear")</f>
        <v>Great ah! Total 779. Originally buy my wife, who knows too much to buy, shoe size is positive, is to buy big, bad return, will wear</v>
      </c>
    </row>
    <row r="15927">
      <c r="A15927" s="1">
        <v>3.0</v>
      </c>
      <c r="B15927" s="1" t="s">
        <v>15752</v>
      </c>
      <c r="C15927" t="str">
        <f>IFERROR(__xludf.DUMMYFUNCTION("GOOGLETRANSLATE(B15927, ""zh"", ""en"")"),"Not lure steel bowl, coat easily broken generally like it")</f>
        <v>Not lure steel bowl, coat easily broken generally like it</v>
      </c>
    </row>
    <row r="15928">
      <c r="A15928" s="1">
        <v>1.0</v>
      </c>
      <c r="B15928" s="1" t="s">
        <v>15753</v>
      </c>
      <c r="C15928" t="str">
        <f>IFERROR(__xludf.DUMMYFUNCTION("GOOGLETRANSLATE(B15928, ""zh"", ""en"")"),"The quality is good! Wear once peeling, is a one-time right? Wearing a bomb on the skin")</f>
        <v>The quality is good! Wear once peeling, is a one-time right? Wearing a bomb on the skin</v>
      </c>
    </row>
    <row r="15929">
      <c r="A15929" s="1">
        <v>1.0</v>
      </c>
      <c r="B15929" s="1" t="s">
        <v>15754</v>
      </c>
      <c r="C15929" t="str">
        <f>IFERROR(__xludf.DUMMYFUNCTION("GOOGLETRANSLATE(B15929, ""zh"", ""en"")"),"Fade serious fade serious, suspected to be fake")</f>
        <v>Fade serious fade serious, suspected to be fake</v>
      </c>
    </row>
    <row r="15930">
      <c r="A15930" s="1">
        <v>4.0</v>
      </c>
      <c r="B15930" s="1" t="s">
        <v>15755</v>
      </c>
      <c r="C15930" t="str">
        <f>IFERROR(__xludf.DUMMYFUNCTION("GOOGLETRANSLATE(B15930, ""zh"", ""en"")"),"Pot is pretty good pot is pretty good, I was in the cooker was no problem, the only drawback is heavy, I was able to accept, Ms. might feel a little.")</f>
        <v>Pot is pretty good pot is pretty good, I was in the cooker was no problem, the only drawback is heavy, I was able to accept, Ms. might feel a little.</v>
      </c>
    </row>
    <row r="15931">
      <c r="A15931" s="1">
        <v>4.0</v>
      </c>
      <c r="B15931" s="1" t="s">
        <v>15756</v>
      </c>
      <c r="C15931" t="str">
        <f>IFERROR(__xludf.DUMMYFUNCTION("GOOGLETRANSLATE(B15931, ""zh"", ""en"")"),"Taste good taste good, that did not feel any effect")</f>
        <v>Taste good taste good, that did not feel any effect</v>
      </c>
    </row>
    <row r="15932">
      <c r="A15932" s="1">
        <v>4.0</v>
      </c>
      <c r="B15932" s="1" t="s">
        <v>15757</v>
      </c>
      <c r="C15932" t="str">
        <f>IFERROR(__xludf.DUMMYFUNCTION("GOOGLETRANSLATE(B15932, ""zh"", ""en"")"),"Simple, practical, low price and then even more beautiful and good quality, practical, the size just right, meet my daily needs, but the price is little expensive")</f>
        <v>Simple, practical, low price and then even more beautiful and good quality, practical, the size just right, meet my daily needs, but the price is little expensive</v>
      </c>
    </row>
    <row r="15933">
      <c r="A15933" s="1">
        <v>4.0</v>
      </c>
      <c r="B15933" s="1" t="s">
        <v>15758</v>
      </c>
      <c r="C15933" t="str">
        <f>IFERROR(__xludf.DUMMYFUNCTION("GOOGLETRANSLATE(B15933, ""zh"", ""en"")"),"Good filter trust its quality, one-month period using some less.")</f>
        <v>Good filter trust its quality, one-month period using some less.</v>
      </c>
    </row>
    <row r="15934">
      <c r="A15934" s="1">
        <v>4.0</v>
      </c>
      <c r="B15934" s="1" t="s">
        <v>15759</v>
      </c>
      <c r="C15934" t="str">
        <f>IFERROR(__xludf.DUMMYFUNCTION("GOOGLETRANSLATE(B15934, ""zh"", ""en"")"),"Nice shoes shoes is also good, but no pictures look good, a little old-fashioned. Shoe size and nike, nb consistent, high instep for me anyway, it was the same to buy the entire freshman codes: fear big just bought most of the code, the result is just a l"&amp;"ong shoes, but then most of the code loose some better.")</f>
        <v>Nice shoes shoes is also good, but no pictures look good, a little old-fashioned. Shoe size and nike, nb consistent, high instep for me anyway, it was the same to buy the entire freshman codes: fear big just bought most of the code, the result is just a long shoes, but then most of the code loose some better.</v>
      </c>
    </row>
    <row r="15935">
      <c r="A15935" s="1">
        <v>5.0</v>
      </c>
      <c r="B15935" s="1" t="s">
        <v>15760</v>
      </c>
      <c r="C15935" t="str">
        <f>IFERROR(__xludf.DUMMYFUNCTION("GOOGLETRANSLATE(B15935, ""zh"", ""en"")"),"Girlfriend said it was great very comfortable quite like the color looks good, but not up to thermal effects fear cold sweat a little blow")</f>
        <v>Girlfriend said it was great very comfortable quite like the color looks good, but not up to thermal effects fear cold sweat a little blow</v>
      </c>
    </row>
    <row r="15936">
      <c r="A15936" s="1">
        <v>5.0</v>
      </c>
      <c r="B15936" s="1" t="s">
        <v>15761</v>
      </c>
      <c r="C15936" t="str">
        <f>IFERROR(__xludf.DUMMYFUNCTION("GOOGLETRANSLATE(B15936, ""zh"", ""en"")"),"Not stimulate the oral mouthwash received yesterday, I thought the next morning to open the bottle test, although the bottle a kind of green seeped white feeling, but mouthwash color is transparent, there is no entrance alcoholic thrill, a touch of mint f"&amp;"lavor containing a minute did not feel uncomfortable mouth feel, and the tone is indeed confirmed by others much better. Start with a few hundred tax rmb, with the usual Japanese mouthwash price a little expensive, but the effect is much better, no wonder"&amp;" the United States and Asia high sales, the future will re-entry.")</f>
        <v>Not stimulate the oral mouthwash received yesterday, I thought the next morning to open the bottle test, although the bottle a kind of green seeped white feeling, but mouthwash color is transparent, there is no entrance alcoholic thrill, a touch of mint flavor containing a minute did not feel uncomfortable mouth feel, and the tone is indeed confirmed by others much better. Start with a few hundred tax rmb, with the usual Japanese mouthwash price a little expensive, but the effect is much better, no wonder the United States and Asia high sales, the future will re-entry.</v>
      </c>
    </row>
    <row r="15937">
      <c r="A15937" s="1">
        <v>5.0</v>
      </c>
      <c r="B15937" s="1" t="s">
        <v>15762</v>
      </c>
      <c r="C15937" t="str">
        <f>IFERROR(__xludf.DUMMYFUNCTION("GOOGLETRANSLATE(B15937, ""zh"", ""en"")"),"Good buy my wife, very good, elastic, Naples. Color is also")</f>
        <v>Good buy my wife, very good, elastic, Naples. Color is also</v>
      </c>
    </row>
    <row r="15938">
      <c r="A15938" s="1">
        <v>5.0</v>
      </c>
      <c r="B15938" s="1" t="s">
        <v>11432</v>
      </c>
      <c r="C15938" t="str">
        <f>IFERROR(__xludf.DUMMYFUNCTION("GOOGLETRANSLATE(B15938, ""zh"", ""en"")"),"Very good and comfortable, the price is right, I feel very good.")</f>
        <v>Very good and comfortable, the price is right, I feel very good.</v>
      </c>
    </row>
    <row r="15939">
      <c r="A15939" s="1">
        <v>5.0</v>
      </c>
      <c r="B15939" s="1" t="s">
        <v>15763</v>
      </c>
      <c r="C15939" t="str">
        <f>IFERROR(__xludf.DUMMYFUNCTION("GOOGLETRANSLATE(B15939, ""zh"", ""en"")"),"Miss never been seen Panasonic Walkman era of sound Bang Bang, a century ago.")</f>
        <v>Miss never been seen Panasonic Walkman era of sound Bang Bang, a century ago.</v>
      </c>
    </row>
    <row r="15940">
      <c r="A15940" s="1">
        <v>5.0</v>
      </c>
      <c r="B15940" s="1" t="s">
        <v>15764</v>
      </c>
      <c r="C15940" t="str">
        <f>IFERROR(__xludf.DUMMYFUNCTION("GOOGLETRANSLATE(B15940, ""zh"", ""en"")"),"2 really good bread top to enjoy low-impedance headphones model")</f>
        <v>2 really good bread top to enjoy low-impedance headphones model</v>
      </c>
    </row>
    <row r="15941">
      <c r="A15941" s="1">
        <v>5.0</v>
      </c>
      <c r="B15941" s="1" t="s">
        <v>15765</v>
      </c>
      <c r="C15941" t="str">
        <f>IFERROR(__xludf.DUMMYFUNCTION("GOOGLETRANSLATE(B15941, ""zh"", ""en"")"),"Evaluation of very good 👍 worth having")</f>
        <v>Evaluation of very good 👍 worth having</v>
      </c>
    </row>
    <row r="15942">
      <c r="A15942" s="1">
        <v>5.0</v>
      </c>
      <c r="B15942" s="1" t="s">
        <v>15766</v>
      </c>
      <c r="C15942" t="str">
        <f>IFERROR(__xludf.DUMMYFUNCTION("GOOGLETRANSLATE(B15942, ""zh"", ""en"")"),"Value for money than I imagined good! ! !")</f>
        <v>Value for money than I imagined good! ! !</v>
      </c>
    </row>
    <row r="15943">
      <c r="A15943" s="1">
        <v>5.0</v>
      </c>
      <c r="B15943" s="1" t="s">
        <v>15767</v>
      </c>
      <c r="C15943" t="str">
        <f>IFERROR(__xludf.DUMMYFUNCTION("GOOGLETRANSLATE(B15943, ""zh"", ""en"")"),"From the perfect sound quality, color values, life, simple to perfect impeccable!")</f>
        <v>From the perfect sound quality, color values, life, simple to perfect impeccable!</v>
      </c>
    </row>
    <row r="15944">
      <c r="A15944" s="1">
        <v>5.0</v>
      </c>
      <c r="B15944" s="1" t="s">
        <v>15768</v>
      </c>
      <c r="C15944" t="str">
        <f>IFERROR(__xludf.DUMMYFUNCTION("GOOGLETRANSLATE(B15944, ""zh"", ""en"")"),"Comfortable good, very good")</f>
        <v>Comfortable good, very good</v>
      </c>
    </row>
    <row r="15945">
      <c r="A15945" s="1">
        <v>5.0</v>
      </c>
      <c r="B15945" s="1" t="s">
        <v>15769</v>
      </c>
      <c r="C15945" t="str">
        <f>IFERROR(__xludf.DUMMYFUNCTION("GOOGLETRANSLATE(B15945, ""zh"", ""en"")"),"Very good for the summer, and very comfortable to wear, sleep wear nothing too uncomfortable feeling.")</f>
        <v>Very good for the summer, and very comfortable to wear, sleep wear nothing too uncomfortable feeling.</v>
      </c>
    </row>
    <row r="15946">
      <c r="A15946" s="1">
        <v>5.0</v>
      </c>
      <c r="B15946" s="1" t="s">
        <v>15770</v>
      </c>
      <c r="C15946" t="str">
        <f>IFERROR(__xludf.DUMMYFUNCTION("GOOGLETRANSLATE(B15946, ""zh"", ""en"")"),"HIFI is the essence of real reduction recording only dt880 do believe no one buys it used to listen to DJ, right? Review articles everywhere not have to say hands Sennheiser and AKG still feel dt880 the best 32 in Europe will have to have a noise floor 60"&amp;"0 Europe 250 Europe just any good amp rendering is defective (perhaps that is also very flawed United States) dt880 is the closest to render free headset just got my computer has not completely burn line can push to move out (I believe a good front-end ca"&amp;"n really improve the quality of its pot and opened the better) the first ear to know this is the voice I want another true to force Amazon discounts when you let Expect the unexpected and you do not have to worry about what the logistics fake goods. . . T"&amp;"hese give people like dt880 is not determined a reference shot")</f>
        <v>HIFI is the essence of real reduction recording only dt880 do believe no one buys it used to listen to DJ, right? Review articles everywhere not have to say hands Sennheiser and AKG still feel dt880 the best 32 in Europe will have to have a noise floor 600 Europe 250 Europe just any good amp rendering is defective (perhaps that is also very flawed United States) dt880 is the closest to render free headset just got my computer has not completely burn line can push to move out (I believe a good front-end can really improve the quality of its pot and opened the better) the first ear to know this is the voice I want another true to force Amazon discounts when you let Expect the unexpected and you do not have to worry about what the logistics fake goods. . . These give people like dt880 is not determined a reference shot</v>
      </c>
    </row>
    <row r="15947">
      <c r="A15947" s="1">
        <v>5.0</v>
      </c>
      <c r="B15947" s="1" t="s">
        <v>15771</v>
      </c>
      <c r="C15947" t="str">
        <f>IFERROR(__xludf.DUMMYFUNCTION("GOOGLETRANSLATE(B15947, ""zh"", ""en"")"),"Amazon often very good pair of shoes, usually wear 41 yards, ecco shoes code is very accurate, these shoes have Goretex waterproof, very light, very good arch support, made in China, the proposed purchase")</f>
        <v>Amazon often very good pair of shoes, usually wear 41 yards, ecco shoes code is very accurate, these shoes have Goretex waterproof, very light, very good arch support, made in China, the proposed purchase</v>
      </c>
    </row>
    <row r="15948">
      <c r="A15948" s="1">
        <v>5.0</v>
      </c>
      <c r="B15948" s="1" t="s">
        <v>15772</v>
      </c>
      <c r="C15948" t="str">
        <f>IFERROR(__xludf.DUMMYFUNCTION("GOOGLETRANSLATE(B15948, ""zh"", ""en"")"),"Effective immediately bought used, have the effect of pubic alleviate the Job Separator")</f>
        <v>Effective immediately bought used, have the effect of pubic alleviate the Job Separator</v>
      </c>
    </row>
    <row r="15949">
      <c r="A15949" s="1">
        <v>5.0</v>
      </c>
      <c r="B15949" s="1" t="s">
        <v>15773</v>
      </c>
      <c r="C15949" t="str">
        <f>IFERROR(__xludf.DUMMYFUNCTION("GOOGLETRANSLATE(B15949, ""zh"", ""en"")"),"No blotter German original genuine, complete box certificate, the ink is not")</f>
        <v>No blotter German original genuine, complete box certificate, the ink is not</v>
      </c>
    </row>
    <row r="15950">
      <c r="A15950" s="1">
        <v>5.0</v>
      </c>
      <c r="B15950" s="1" t="s">
        <v>15774</v>
      </c>
      <c r="C15950" t="str">
        <f>IFERROR(__xludf.DUMMYFUNCTION("GOOGLETRANSLATE(B15950, ""zh"", ""en"")"),"It is praise is praise ^ _ ^ and perceived as good-looking, good quality, her husband said very comfortable, that is a little slim, usually 41-41.5 shoes, just this 8.5us")</f>
        <v>It is praise is praise ^ _ ^ and perceived as good-looking, good quality, her husband said very comfortable, that is a little slim, usually 41-41.5 shoes, just this 8.5us</v>
      </c>
    </row>
    <row r="15951">
      <c r="A15951" s="1">
        <v>5.0</v>
      </c>
      <c r="B15951" s="1" t="s">
        <v>15775</v>
      </c>
      <c r="C15951" t="str">
        <f>IFERROR(__xludf.DUMMYFUNCTION("GOOGLETRANSLATE(B15951, ""zh"", ""en"")"),"Cost-effective good, not from the previous evaluation, I do not know how many wasted points, points can change money now know, they should look carefully evaluated, then I put these words to copy to go, both to earn points, but also the easy way to go whe"&amp;"re copy where, most importantly, do not seriously review, do not think how much worse word, sent directly to it, recommend it to everyone! !")</f>
        <v>Cost-effective good, not from the previous evaluation, I do not know how many wasted points, points can change money now know, they should look carefully evaluated, then I put these words to copy to go, both to earn points, but also the easy way to go where copy where, most importantly, do not seriously review, do not think how much worse word, sent directly to it, recommend it to everyone! !</v>
      </c>
    </row>
    <row r="15952">
      <c r="A15952" s="1">
        <v>5.0</v>
      </c>
      <c r="B15952" s="1" t="s">
        <v>15776</v>
      </c>
      <c r="C15952" t="str">
        <f>IFERROR(__xludf.DUMMYFUNCTION("GOOGLETRANSLATE(B15952, ""zh"", ""en"")"),"Deserved reputation well-deserved reputation, looks beautiful! Very comfortable with them")</f>
        <v>Deserved reputation well-deserved reputation, looks beautiful! Very comfortable with them</v>
      </c>
    </row>
    <row r="15953">
      <c r="A15953" s="1">
        <v>5.0</v>
      </c>
      <c r="B15953" s="1" t="s">
        <v>15777</v>
      </c>
      <c r="C15953" t="str">
        <f>IFERROR(__xludf.DUMMYFUNCTION("GOOGLETRANSLATE(B15953, ""zh"", ""en"")"),"Yes, it is worth buying good, packaging intact. Hand wave can be successfully closed.")</f>
        <v>Yes, it is worth buying good, packaging intact. Hand wave can be successfully closed.</v>
      </c>
    </row>
    <row r="15954">
      <c r="A15954" s="1">
        <v>5.0</v>
      </c>
      <c r="B15954" s="1" t="s">
        <v>15778</v>
      </c>
      <c r="C15954" t="str">
        <f>IFERROR(__xludf.DUMMYFUNCTION("GOOGLETRANSLATE(B15954, ""zh"", ""en"")"),"Good delivery on time good right size, like.")</f>
        <v>Good delivery on time good right size, like.</v>
      </c>
    </row>
    <row r="15955">
      <c r="A15955" s="1">
        <v>5.0</v>
      </c>
      <c r="B15955" s="1" t="s">
        <v>15779</v>
      </c>
      <c r="C15955" t="str">
        <f>IFERROR(__xludf.DUMMYFUNCTION("GOOGLETRANSLATE(B15955, ""zh"", ""en"")"),"Feel good feel good, very smooth to use.")</f>
        <v>Feel good feel good, very smooth to use.</v>
      </c>
    </row>
    <row r="15956">
      <c r="A15956" s="1">
        <v>5.0</v>
      </c>
      <c r="B15956" s="1" t="s">
        <v>15780</v>
      </c>
      <c r="C15956" t="str">
        <f>IFERROR(__xludf.DUMMYFUNCTION("GOOGLETRANSLATE(B15956, ""zh"", ""en"")"),"Good sweater good fabric, which has a thin layer of velvet, 181,164 pounds, m number slightly loose, very comfortable to wear, it is recommended to buy a small number two")</f>
        <v>Good sweater good fabric, which has a thin layer of velvet, 181,164 pounds, m number slightly loose, very comfortable to wear, it is recommended to buy a small number two</v>
      </c>
    </row>
    <row r="15957">
      <c r="A15957" s="1">
        <v>2.0</v>
      </c>
      <c r="B15957" s="1" t="s">
        <v>5042</v>
      </c>
      <c r="C15957" t="str">
        <f>IFERROR(__xludf.DUMMYFUNCTION("GOOGLETRANSLATE(B15957, ""zh"", ""en"")"),"Crimping something good, that is curling, it has been idle")</f>
        <v>Crimping something good, that is curling, it has been idle</v>
      </c>
    </row>
    <row r="15958">
      <c r="A15958" s="1">
        <v>3.0</v>
      </c>
      <c r="B15958" s="1" t="s">
        <v>15781</v>
      </c>
      <c r="C15958" t="str">
        <f>IFERROR(__xludf.DUMMYFUNCTION("GOOGLETRANSLATE(B15958, ""zh"", ""en"")"),"Comfortable to wear comfortable, but too much love down")</f>
        <v>Comfortable to wear comfortable, but too much love down</v>
      </c>
    </row>
    <row r="15959">
      <c r="A15959" s="1">
        <v>3.0</v>
      </c>
      <c r="B15959" s="1" t="s">
        <v>15782</v>
      </c>
      <c r="C15959" t="str">
        <f>IFERROR(__xludf.DUMMYFUNCTION("GOOGLETRANSLATE(B15959, ""zh"", ""en"")"),"Things okay, delivery is too slow! Things okay, a little subdued color. Only to one-third because of slow delivery, I bought nearly a month before hand, various delays.")</f>
        <v>Things okay, delivery is too slow! Things okay, a little subdued color. Only to one-third because of slow delivery, I bought nearly a month before hand, various delays.</v>
      </c>
    </row>
    <row r="15960">
      <c r="A15960" s="1">
        <v>1.0</v>
      </c>
      <c r="B15960" s="1" t="s">
        <v>15783</v>
      </c>
      <c r="C15960" t="str">
        <f>IFERROR(__xludf.DUMMYFUNCTION("GOOGLETRANSLATE(B15960, ""zh"", ""en"")"),"Suspected fake received, the packaging is a rectangular carton, no sealing, clothes fade, fade, like a fake")</f>
        <v>Suspected fake received, the packaging is a rectangular carton, no sealing, clothes fade, fade, like a fake</v>
      </c>
    </row>
    <row r="15961">
      <c r="A15961" s="1">
        <v>1.0</v>
      </c>
      <c r="B15961" s="1" t="s">
        <v>15784</v>
      </c>
      <c r="C15961" t="str">
        <f>IFERROR(__xludf.DUMMYFUNCTION("GOOGLETRANSLATE(B15961, ""zh"", ""en"")"),"Do not buy, is already a revision of the bad quality! Do not buy, who bought who regret it! Really, to see the comments, turn off this page now! We do not want to step on the mine, and this pair has not the same with the first edition, poor quality, not w"&amp;"orth it! --- to have bought the double n clarks old customers.")</f>
        <v>Do not buy, is already a revision of the bad quality! Do not buy, who bought who regret it! Really, to see the comments, turn off this page now! We do not want to step on the mine, and this pair has not the same with the first edition, poor quality, not worth it! --- to have bought the double n clarks old customers.</v>
      </c>
    </row>
    <row r="15962">
      <c r="A15962" s="1">
        <v>1.0</v>
      </c>
      <c r="B15962" s="1" t="s">
        <v>15785</v>
      </c>
      <c r="C15962" t="str">
        <f>IFERROR(__xludf.DUMMYFUNCTION("GOOGLETRANSLATE(B15962, ""zh"", ""en"")"),"This is a disposable pants say it's fake it? To wear three days so the ground ...... according to the system recommended buy l code ... the results go big ...")</f>
        <v>This is a disposable pants say it's fake it? To wear three days so the ground ...... according to the system recommended buy l code ... the results go big ...</v>
      </c>
    </row>
    <row r="15963">
      <c r="A15963" s="1">
        <v>4.0</v>
      </c>
      <c r="B15963" s="1" t="s">
        <v>12661</v>
      </c>
      <c r="C15963" t="str">
        <f>IFERROR(__xludf.DUMMYFUNCTION("GOOGLETRANSLATE(B15963, ""zh"", ""en"")"),"Can help a friend buy, say good, fast speed, you can, want more discount")</f>
        <v>Can help a friend buy, say good, fast speed, you can, want more discount</v>
      </c>
    </row>
    <row r="15964">
      <c r="A15964" s="1">
        <v>4.0</v>
      </c>
      <c r="B15964" s="1" t="s">
        <v>15786</v>
      </c>
      <c r="C15964" t="str">
        <f>IFERROR(__xludf.DUMMYFUNCTION("GOOGLETRANSLATE(B15964, ""zh"", ""en"")"),"Bangbang Bang! Chicken shoes just got really nice but it seems really hard take some time to iron out the murder on my feet, but it is really nice Kanla shoes off your shoes are really difficult but worth it ha ha ha kind of preparation 1460 and 1461 ha o"&amp;"f grass family")</f>
        <v>Bangbang Bang! Chicken shoes just got really nice but it seems really hard take some time to iron out the murder on my feet, but it is really nice Kanla shoes off your shoes are really difficult but worth it ha ha ha kind of preparation 1460 and 1461 ha of grass family</v>
      </c>
    </row>
    <row r="15965">
      <c r="A15965" s="1">
        <v>4.0</v>
      </c>
      <c r="B15965" s="1" t="s">
        <v>15787</v>
      </c>
      <c r="C15965" t="str">
        <f>IFERROR(__xludf.DUMMYFUNCTION("GOOGLETRANSLATE(B15965, ""zh"", ""en"")"),"This is what I want the jacket, mast height 180 may be more than the usual jacket, weighing 70 kg, wearing M size fit. When I received a little wrinkled jacket, worn for two weeks far fewer wrinkles. The jacket material is wind, rain, and warm it breathab"&amp;"le. It's the effect of wearing and pictures almost, you will feel it is much hypertrophy than the usual jacket, but fully clothed Shoulder length is very appropriate. It was a satisfying shopping. Customer service is very enthusiastic to solve my confusio"&amp;"n.")</f>
        <v>This is what I want the jacket, mast height 180 may be more than the usual jacket, weighing 70 kg, wearing M size fit. When I received a little wrinkled jacket, worn for two weeks far fewer wrinkles. The jacket material is wind, rain, and warm it breathable. It's the effect of wearing and pictures almost, you will feel it is much hypertrophy than the usual jacket, but fully clothed Shoulder length is very appropriate. It was a satisfying shopping. Customer service is very enthusiastic to solve my confusion.</v>
      </c>
    </row>
    <row r="15966">
      <c r="A15966" s="1">
        <v>4.0</v>
      </c>
      <c r="B15966" s="1" t="s">
        <v>15788</v>
      </c>
      <c r="C15966" t="str">
        <f>IFERROR(__xludf.DUMMYFUNCTION("GOOGLETRANSLATE(B15966, ""zh"", ""en"")"),"Okay Pakistan produced. Good style. Quality is the feeling of almost mean. Armpit a bit to open the line.")</f>
        <v>Okay Pakistan produced. Good style. Quality is the feeling of almost mean. Armpit a bit to open the line.</v>
      </c>
    </row>
    <row r="15967">
      <c r="A15967" s="1">
        <v>4.0</v>
      </c>
      <c r="B15967" s="1" t="s">
        <v>15789</v>
      </c>
      <c r="C15967" t="str">
        <f>IFERROR(__xludf.DUMMYFUNCTION("GOOGLETRANSLATE(B15967, ""zh"", ""en"")"),"Long sleeves, bust this little smaller than L bust of the general United States Code, sleeves abruptly gave me to wear a long-sleeved")</f>
        <v>Long sleeves, bust this little smaller than L bust of the general United States Code, sleeves abruptly gave me to wear a long-sleeved</v>
      </c>
    </row>
    <row r="15968">
      <c r="A15968" s="1">
        <v>5.0</v>
      </c>
      <c r="B15968" s="1" t="s">
        <v>15790</v>
      </c>
      <c r="C15968" t="str">
        <f>IFERROR(__xludf.DUMMYFUNCTION("GOOGLETRANSLATE(B15968, ""zh"", ""en"")"),"Not bad for sports. Just back button is slightly harder line a little bit, this is a common problem sports underwear")</f>
        <v>Not bad for sports. Just back button is slightly harder line a little bit, this is a common problem sports underwear</v>
      </c>
    </row>
    <row r="15969">
      <c r="A15969" s="1">
        <v>5.0</v>
      </c>
      <c r="B15969" s="1" t="s">
        <v>15791</v>
      </c>
      <c r="C15969" t="str">
        <f>IFERROR(__xludf.DUMMYFUNCTION("GOOGLETRANSLATE(B15969, ""zh"", ""en"")"),"Pretty small cups, insulation and beautiful")</f>
        <v>Pretty small cups, insulation and beautiful</v>
      </c>
    </row>
    <row r="15970">
      <c r="A15970" s="1">
        <v>5.0</v>
      </c>
      <c r="B15970" s="1" t="s">
        <v>15792</v>
      </c>
      <c r="C15970" t="str">
        <f>IFERROR(__xludf.DUMMYFUNCTION("GOOGLETRANSLATE(B15970, ""zh"", ""en"")"),"High cost of similar size, a little smaller. This price can buy CK is good cotton, cotton quality rough")</f>
        <v>High cost of similar size, a little smaller. This price can buy CK is good cotton, cotton quality rough</v>
      </c>
    </row>
    <row r="15971">
      <c r="A15971" s="1">
        <v>5.0</v>
      </c>
      <c r="B15971" s="1" t="s">
        <v>15793</v>
      </c>
      <c r="C15971" t="str">
        <f>IFERROR(__xludf.DUMMYFUNCTION("GOOGLETRANSLATE(B15971, ""zh"", ""en"")"),"5 different sizes, but the texture is very good to help his wife buy, just. 160 buy, on average, cheaper than a gap, much better quality than the gap.")</f>
        <v>5 different sizes, but the texture is very good to help his wife buy, just. 160 buy, on average, cheaper than a gap, much better quality than the gap.</v>
      </c>
    </row>
    <row r="15972">
      <c r="A15972" s="1">
        <v>5.0</v>
      </c>
      <c r="B15972" s="1" t="s">
        <v>15794</v>
      </c>
      <c r="C15972" t="str">
        <f>IFERROR(__xludf.DUMMYFUNCTION("GOOGLETRANSLATE(B15972, ""zh"", ""en"")"),"mis interest")</f>
        <v>mis interest</v>
      </c>
    </row>
    <row r="15973">
      <c r="A15973" s="1">
        <v>5.0</v>
      </c>
      <c r="B15973" s="1" t="s">
        <v>15795</v>
      </c>
      <c r="C15973" t="str">
        <f>IFERROR(__xludf.DUMMYFUNCTION("GOOGLETRANSLATE(B15973, ""zh"", ""en"")"),"Real good right size, high cost, one week received. After buying on price increase.")</f>
        <v>Real good right size, high cost, one week received. After buying on price increase.</v>
      </c>
    </row>
    <row r="15974">
      <c r="A15974" s="1">
        <v>5.0</v>
      </c>
      <c r="B15974" s="1" t="s">
        <v>15796</v>
      </c>
      <c r="C15974" t="str">
        <f>IFERROR(__xludf.DUMMYFUNCTION("GOOGLETRANSLATE(B15974, ""zh"", ""en"")"),"Shipping is not cheap, style can be. Shipping is not cheap, style can be.")</f>
        <v>Shipping is not cheap, style can be. Shipping is not cheap, style can be.</v>
      </c>
    </row>
    <row r="15975">
      <c r="A15975" s="1">
        <v>5.0</v>
      </c>
      <c r="B15975" s="1" t="s">
        <v>15797</v>
      </c>
      <c r="C15975" t="str">
        <f>IFERROR(__xludf.DUMMYFUNCTION("GOOGLETRANSLATE(B15975, ""zh"", ""en"")"),"Beautiful, walking is also quite accurate feel like at first sight, this series of tables are quite beautiful. Spent half a year, I feel go very accurate. The strap is similar to the kind of plastic, but it feels good work ~")</f>
        <v>Beautiful, walking is also quite accurate feel like at first sight, this series of tables are quite beautiful. Spent half a year, I feel go very accurate. The strap is similar to the kind of plastic, but it feels good work ~</v>
      </c>
    </row>
    <row r="15976">
      <c r="A15976" s="1">
        <v>5.0</v>
      </c>
      <c r="B15976" s="1" t="s">
        <v>15798</v>
      </c>
      <c r="C15976" t="str">
        <f>IFERROR(__xludf.DUMMYFUNCTION("GOOGLETRANSLATE(B15976, ""zh"", ""en"")"),"Fortunately, something good, a little too small, too lazy to retire, leaving the")</f>
        <v>Fortunately, something good, a little too small, too lazy to retire, leaving the</v>
      </c>
    </row>
    <row r="15977">
      <c r="A15977" s="1">
        <v>5.0</v>
      </c>
      <c r="B15977" s="1" t="s">
        <v>15799</v>
      </c>
      <c r="C15977" t="str">
        <f>IFERROR(__xludf.DUMMYFUNCTION("GOOGLETRANSLATE(B15977, ""zh"", ""en"")"),"Both sides need a reason to buy Marshall sound, nb! ! Express six days to hand, great")</f>
        <v>Both sides need a reason to buy Marshall sound, nb! ! Express six days to hand, great</v>
      </c>
    </row>
    <row r="15978">
      <c r="A15978" s="1">
        <v>5.0</v>
      </c>
      <c r="B15978" s="1" t="s">
        <v>15800</v>
      </c>
      <c r="C15978" t="str">
        <f>IFERROR(__xludf.DUMMYFUNCTION("GOOGLETRANSLATE(B15978, ""zh"", ""en"")"),"Steam large amount of steam quite large, 2 liters of water to fill the tank of the eight ironing clothes, and one-third water. Is not clear each finished ironing clothes, you would want the water to drain and clean the boiler.")</f>
        <v>Steam large amount of steam quite large, 2 liters of water to fill the tank of the eight ironing clothes, and one-third water. Is not clear each finished ironing clothes, you would want the water to drain and clean the boiler.</v>
      </c>
    </row>
    <row r="15979">
      <c r="A15979" s="1">
        <v>5.0</v>
      </c>
      <c r="B15979" s="1" t="s">
        <v>15801</v>
      </c>
      <c r="C15979" t="str">
        <f>IFERROR(__xludf.DUMMYFUNCTION("GOOGLETRANSLATE(B15979, ""zh"", ""en"")"),"Focusing on niche price comparison, prices are decent, mainly the price, which is cheaper to buy what. Bones do not know it or not, anyway, after eating hardened nails")</f>
        <v>Focusing on niche price comparison, prices are decent, mainly the price, which is cheaper to buy what. Bones do not know it or not, anyway, after eating hardened nails</v>
      </c>
    </row>
    <row r="15980">
      <c r="A15980" s="1">
        <v>5.0</v>
      </c>
      <c r="B15980" s="1" t="s">
        <v>15802</v>
      </c>
      <c r="C15980" t="str">
        <f>IFERROR(__xludf.DUMMYFUNCTION("GOOGLETRANSLATE(B15980, ""zh"", ""en"")"),"You can also right okay, a little thin top hat")</f>
        <v>You can also right okay, a little thin top hat</v>
      </c>
    </row>
    <row r="15981">
      <c r="A15981" s="1">
        <v>5.0</v>
      </c>
      <c r="B15981" s="1" t="s">
        <v>15803</v>
      </c>
      <c r="C15981" t="str">
        <f>IFERROR(__xludf.DUMMYFUNCTION("GOOGLETRANSLATE(B15981, ""zh"", ""en"")"),"Almighty intimate small speakers thousand-level practical value, can be directly connected computer anywhere player tablet phone, it can be placed. 999 buy E4.5, better still cheaper than AV42 m-audio's. Easy connection, but also headphone aux port. Beyon"&amp;"d than this on the level of individual monitors are sold and connect huge trouble, it is recommended not to engage in professional mix to buy this product or the same level on the line, do not toss")</f>
        <v>Almighty intimate small speakers thousand-level practical value, can be directly connected computer anywhere player tablet phone, it can be placed. 999 buy E4.5, better still cheaper than AV42 m-audio's. Easy connection, but also headphone aux port. Beyond than this on the level of individual monitors are sold and connect huge trouble, it is recommended not to engage in professional mix to buy this product or the same level on the line, do not toss</v>
      </c>
    </row>
    <row r="15982">
      <c r="A15982" s="1">
        <v>5.0</v>
      </c>
      <c r="B15982" s="1" t="s">
        <v>15804</v>
      </c>
      <c r="C15982" t="str">
        <f>IFERROR(__xludf.DUMMYFUNCTION("GOOGLETRANSLATE(B15982, ""zh"", ""en"")"),"Amazon is recommended to increase overseas purchase ""7 Mary Rose price"" value-added services 165cm, 68kg buy a trumpet is appropriate. We have orders to buy the same style, same color of the two. The only regret: rather long sleeves.")</f>
        <v>Amazon is recommended to increase overseas purchase "7 Mary Rose price" value-added services 165cm, 68kg buy a trumpet is appropriate. We have orders to buy the same style, same color of the two. The only regret: rather long sleeves.</v>
      </c>
    </row>
    <row r="15983">
      <c r="A15983" s="1">
        <v>5.0</v>
      </c>
      <c r="B15983" s="1" t="s">
        <v>15805</v>
      </c>
      <c r="C15983" t="str">
        <f>IFERROR(__xludf.DUMMYFUNCTION("GOOGLETRANSLATE(B15983, ""zh"", ""en"")"),"well! well!")</f>
        <v>well! well!</v>
      </c>
    </row>
    <row r="15984">
      <c r="A15984" s="1">
        <v>5.0</v>
      </c>
      <c r="B15984" s="1" t="s">
        <v>15806</v>
      </c>
      <c r="C15984" t="str">
        <f>IFERROR(__xludf.DUMMYFUNCTION("GOOGLETRANSLATE(B15984, ""zh"", ""en"")"),"Bought a month after the quick heating started, the water is heated very quickly.")</f>
        <v>Bought a month after the quick heating started, the water is heated very quickly.</v>
      </c>
    </row>
    <row r="15985">
      <c r="A15985" s="1">
        <v>5.0</v>
      </c>
      <c r="B15985" s="1" t="s">
        <v>15807</v>
      </c>
      <c r="C15985" t="str">
        <f>IFERROR(__xludf.DUMMYFUNCTION("GOOGLETRANSLATE(B15985, ""zh"", ""en"")"),"499, the recent low price, the value! Open listening is not tired akg low quality headset is not satisfactory time shopping.")</f>
        <v>499, the recent low price, the value! Open listening is not tired akg low quality headset is not satisfactory time shopping.</v>
      </c>
    </row>
    <row r="15986">
      <c r="A15986" s="1">
        <v>5.0</v>
      </c>
      <c r="B15986" s="1" t="s">
        <v>15808</v>
      </c>
      <c r="C15986" t="str">
        <f>IFERROR(__xludf.DUMMYFUNCTION("GOOGLETRANSLATE(B15986, ""zh"", ""en"")"),"Work very well good thing, meticulous workmanship, good!")</f>
        <v>Work very well good thing, meticulous workmanship, good!</v>
      </c>
    </row>
    <row r="15987">
      <c r="A15987" s="1">
        <v>5.0</v>
      </c>
      <c r="B15987" s="1" t="s">
        <v>15809</v>
      </c>
      <c r="C15987" t="str">
        <f>IFERROR(__xludf.DUMMYFUNCTION("GOOGLETRANSLATE(B15987, ""zh"", ""en"")"),"How packaging is not the only drawback is it is not packing bags")</f>
        <v>How packaging is not the only drawback is it is not packing bags</v>
      </c>
    </row>
    <row r="15988">
      <c r="A15988" s="1">
        <v>5.0</v>
      </c>
      <c r="B15988" s="1" t="s">
        <v>15810</v>
      </c>
      <c r="C15988" t="str">
        <f>IFERROR(__xludf.DUMMYFUNCTION("GOOGLETRANSLATE(B15988, ""zh"", ""en"")"),"Good shoes, bring increased functionality if the foot fat, more than half of the proposed election code, with the domestic counter the same.")</f>
        <v>Good shoes, bring increased functionality if the foot fat, more than half of the proposed election code, with the domestic counter the same.</v>
      </c>
    </row>
    <row r="15989">
      <c r="A15989" s="1">
        <v>5.0</v>
      </c>
      <c r="B15989" s="1" t="s">
        <v>15811</v>
      </c>
      <c r="C15989" t="str">
        <f>IFERROR(__xludf.DUMMYFUNCTION("GOOGLETRANSLATE(B15989, ""zh"", ""en"")"),"Works just want to start eating, in his fifties, blood vessels begin to harden, and can only hope that works!")</f>
        <v>Works just want to start eating, in his fifties, blood vessels begin to harden, and can only hope that works!</v>
      </c>
    </row>
    <row r="15990">
      <c r="A15990" s="1">
        <v>2.0</v>
      </c>
      <c r="B15990" s="1" t="s">
        <v>15812</v>
      </c>
      <c r="C15990" t="str">
        <f>IFERROR(__xludf.DUMMYFUNCTION("GOOGLETRANSLATE(B15990, ""zh"", ""en"")"),"Wrong size as large as you can not imagine the thin fabric you can not imagine")</f>
        <v>Wrong size as large as you can not imagine the thin fabric you can not imagine</v>
      </c>
    </row>
    <row r="15991">
      <c r="A15991" s="1">
        <v>3.0</v>
      </c>
      <c r="B15991" s="1" t="s">
        <v>15269</v>
      </c>
      <c r="C15991" t="str">
        <f>IFERROR(__xludf.DUMMYFUNCTION("GOOGLETRANSLATE(B15991, ""zh"", ""en"")"),"157,116 pounds is too large, usually wear m yards pants according to buy a size No. 6, the results too. . .")</f>
        <v>157,116 pounds is too large, usually wear m yards pants according to buy a size No. 6, the results too. . .</v>
      </c>
    </row>
    <row r="15992">
      <c r="A15992" s="1">
        <v>3.0</v>
      </c>
      <c r="B15992" s="1" t="s">
        <v>15813</v>
      </c>
      <c r="C15992" t="str">
        <f>IFERROR(__xludf.DUMMYFUNCTION("GOOGLETRANSLATE(B15992, ""zh"", ""en"")"),"It can also look counters did not feel good workmanship looks like very much hope that out of the blue velvet inside after washing would be better'd just right 82kg 185cm L")</f>
        <v>It can also look counters did not feel good workmanship looks like very much hope that out of the blue velvet inside after washing would be better'd just right 82kg 185cm L</v>
      </c>
    </row>
    <row r="15993">
      <c r="A15993" s="1">
        <v>1.0</v>
      </c>
      <c r="B15993" s="1" t="s">
        <v>15814</v>
      </c>
      <c r="C15993" t="str">
        <f>IFERROR(__xludf.DUMMYFUNCTION("GOOGLETRANSLATE(B15993, ""zh"", ""en"")"),"Amazon does not buy the wrong introduced in detail, is to buy ink, and seeing that the ink sac, want to return, but return shipping more expensive than the original price, reclaim, and keep it for other purposes in the future")</f>
        <v>Amazon does not buy the wrong introduced in detail, is to buy ink, and seeing that the ink sac, want to return, but return shipping more expensive than the original price, reclaim, and keep it for other purposes in the future</v>
      </c>
    </row>
    <row r="15994">
      <c r="A15994" s="1">
        <v>1.0</v>
      </c>
      <c r="B15994" s="1" t="s">
        <v>15815</v>
      </c>
      <c r="C15994" t="str">
        <f>IFERROR(__xludf.DUMMYFUNCTION("GOOGLETRANSLATE(B15994, ""zh"", ""en"")"),"Second-hand goods seal is opened flies, there are scratches on the machine, other people do not really go back to the bar in a foreign country can not be sold on the Chinese people to bully disgusting vomit")</f>
        <v>Second-hand goods seal is opened flies, there are scratches on the machine, other people do not really go back to the bar in a foreign country can not be sold on the Chinese people to bully disgusting vomit</v>
      </c>
    </row>
    <row r="15995">
      <c r="A15995" s="1">
        <v>1.0</v>
      </c>
      <c r="B15995" s="1" t="s">
        <v>15816</v>
      </c>
      <c r="C15995" t="str">
        <f>IFERROR(__xludf.DUMMYFUNCTION("GOOGLETRANSLATE(B15995, ""zh"", ""en"")"),"Not canceled, only to finally experience the receipt of US crude mad, all kinds of defects, do not want to mention. 41 shoes purchased 7 yards suitable, multiple glitches sole, unlike the full price. Advance taxes are too high, can not find out exactly ho"&amp;"w much income. The price difference than a lot of activities, orders for half an hour to start lifting, finally did not cancel, return better themselves and return the United States, taxes refundable ...... feel the last time members with free shipping, f"&amp;"rom powder")</f>
        <v>Not canceled, only to finally experience the receipt of US crude mad, all kinds of defects, do not want to mention. 41 shoes purchased 7 yards suitable, multiple glitches sole, unlike the full price. Advance taxes are too high, can not find out exactly how much income. The price difference than a lot of activities, orders for half an hour to start lifting, finally did not cancel, return better themselves and return the United States, taxes refundable ...... feel the last time members with free shipping, from powder</v>
      </c>
    </row>
    <row r="15996">
      <c r="A15996" s="1">
        <v>4.0</v>
      </c>
      <c r="B15996" s="1" t="s">
        <v>15817</v>
      </c>
      <c r="C15996" t="str">
        <f>IFERROR(__xludf.DUMMYFUNCTION("GOOGLETRANSLATE(B15996, ""zh"", ""en"")"),"Contrast overseas version and domestic version of what is the same packaging is very clear that this is Plus, with the country say the third generation of the corresponding basic, only complaint is the transport, previously set will transport cartons, pac"&amp;"king and shipping the original direct what led to the hand when the box is damaged, but fortunately there is no damage")</f>
        <v>Contrast overseas version and domestic version of what is the same packaging is very clear that this is Plus, with the country say the third generation of the corresponding basic, only complaint is the transport, previously set will transport cartons, packing and shipping the original direct what led to the hand when the box is damaged, but fortunately there is no damage</v>
      </c>
    </row>
    <row r="15997">
      <c r="A15997" s="1">
        <v>4.0</v>
      </c>
      <c r="B15997" s="1" t="s">
        <v>15818</v>
      </c>
      <c r="C15997" t="str">
        <f>IFERROR(__xludf.DUMMYFUNCTION("GOOGLETRANSLATE(B15997, ""zh"", ""en"")"),"Waist size is just exquisite, pocket size, summer used to hold cell phone, driver's license, bank cards, boxes of glasses and keys and other items just can not be too loaded items, purses small 1/3 than the IPAD, made in China")</f>
        <v>Waist size is just exquisite, pocket size, summer used to hold cell phone, driver's license, bank cards, boxes of glasses and keys and other items just can not be too loaded items, purses small 1/3 than the IPAD, made in China</v>
      </c>
    </row>
    <row r="15998">
      <c r="A15998" s="1">
        <v>4.0</v>
      </c>
      <c r="B15998" s="1" t="s">
        <v>15819</v>
      </c>
      <c r="C15998" t="str">
        <f>IFERROR(__xludf.DUMMYFUNCTION("GOOGLETRANSLATE(B15998, ""zh"", ""en"")"),"Is genuine can buy okay, ojbk.")</f>
        <v>Is genuine can buy okay, ojbk.</v>
      </c>
    </row>
    <row r="15999">
      <c r="A15999" s="1">
        <v>4.0</v>
      </c>
      <c r="B15999" s="1" t="s">
        <v>15820</v>
      </c>
      <c r="C15999" t="str">
        <f>IFERROR(__xludf.DUMMYFUNCTION("GOOGLETRANSLATE(B15999, ""zh"", ""en"")"),"Value for money courier faster than thought, say the ocean is to send over there. Express is recognized when it is confirmed that online shopping will make people feel at ease a number, or else there is a note in advance, and now seems to be online scamme"&amp;"rs contact you (a treasure of this fraud is now a lot). Things look like there is a review of the online facet bad, molding abrasive definitely a problem. Repartition the hard disk is formatted, the read write speeds are pretty good. Two days ago in South"&amp;" Korea, Samsung 2T duty-free shops a lot more expensive than this.")</f>
        <v>Value for money courier faster than thought, say the ocean is to send over there. Express is recognized when it is confirmed that online shopping will make people feel at ease a number, or else there is a note in advance, and now seems to be online scammers contact you (a treasure of this fraud is now a lot). Things look like there is a review of the online facet bad, molding abrasive definitely a problem. Repartition the hard disk is formatted, the read write speeds are pretty good. Two days ago in South Korea, Samsung 2T duty-free shops a lot more expensive than this.</v>
      </c>
    </row>
    <row r="16000">
      <c r="A16000" s="1">
        <v>5.0</v>
      </c>
      <c r="B16000" s="1" t="s">
        <v>15821</v>
      </c>
      <c r="C16000" t="str">
        <f>IFERROR(__xludf.DUMMYFUNCTION("GOOGLETRANSLATE(B16000, ""zh"", ""en"")"),"Just right did not think so long, pants 30 yards just 30.")</f>
        <v>Just right did not think so long, pants 30 yards just 30.</v>
      </c>
    </row>
    <row r="16001">
      <c r="A16001" s="1">
        <v>5.0</v>
      </c>
      <c r="B16001" s="1" t="s">
        <v>15822</v>
      </c>
      <c r="C16001" t="str">
        <f>IFERROR(__xludf.DUMMYFUNCTION("GOOGLETRANSLATE(B16001, ""zh"", ""en"")"),"Affordable quality can also, very much. Is genuine, Ouma")</f>
        <v>Affordable quality can also, very much. Is genuine, Ouma</v>
      </c>
    </row>
    <row r="16002">
      <c r="A16002" s="1">
        <v>5.0</v>
      </c>
      <c r="B16002" s="1" t="s">
        <v>15823</v>
      </c>
      <c r="C16002" t="str">
        <f>IFERROR(__xludf.DUMMYFUNCTION("GOOGLETRANSLATE(B16002, ""zh"", ""en"")"),"Starting pants a little too big, or too large old US version of the One")</f>
        <v>Starting pants a little too big, or too large old US version of the One</v>
      </c>
    </row>
    <row r="16003">
      <c r="A16003" s="1">
        <v>5.0</v>
      </c>
      <c r="B16003" s="1" t="s">
        <v>15793</v>
      </c>
      <c r="C16003" t="str">
        <f>IFERROR(__xludf.DUMMYFUNCTION("GOOGLETRANSLATE(B16003, ""zh"", ""en"")"),"5 different sizes, but the texture is very good to help his wife buy, just. 160 buy, on average, cheaper than a gap, much better quality than the gap.")</f>
        <v>5 different sizes, but the texture is very good to help his wife buy, just. 160 buy, on average, cheaper than a gap, much better quality than the gap.</v>
      </c>
    </row>
    <row r="16004">
      <c r="A16004" s="1">
        <v>5.0</v>
      </c>
      <c r="B16004" s="1" t="s">
        <v>15824</v>
      </c>
      <c r="C16004" t="str">
        <f>IFERROR(__xludf.DUMMYFUNCTION("GOOGLETRANSLATE(B16004, ""zh"", ""en"")"),"And tangled as good as expected for a long time and finally bought it really is a good toothbrush good reputation")</f>
        <v>And tangled as good as expected for a long time and finally bought it really is a good toothbrush good reputation</v>
      </c>
    </row>
    <row r="16005">
      <c r="A16005" s="1">
        <v>5.0</v>
      </c>
      <c r="B16005" s="1" t="s">
        <v>15825</v>
      </c>
      <c r="C16005" t="str">
        <f>IFERROR(__xludf.DUMMYFUNCTION("GOOGLETRANSLATE(B16005, ""zh"", ""en"")"),"A very simple table look good for a year with no tired of simple beauty is best")</f>
        <v>A very simple table look good for a year with no tired of simple beauty is best</v>
      </c>
    </row>
    <row r="16006">
      <c r="A16006" s="1">
        <v>5.0</v>
      </c>
      <c r="B16006" s="1" t="s">
        <v>15826</v>
      </c>
      <c r="C16006" t="str">
        <f>IFERROR(__xludf.DUMMYFUNCTION("GOOGLETRANSLATE(B16006, ""zh"", ""en"")"),"EU42 EU41 usually corresponds 265mm ECCO corresponding to 263mm, this small sandals, EU42 corresponding to 265mm, usually wear so this should be 41 through 42")</f>
        <v>EU42 EU41 usually corresponds 265mm ECCO corresponding to 263mm, this small sandals, EU42 corresponding to 265mm, usually wear so this should be 41 through 42</v>
      </c>
    </row>
    <row r="16007">
      <c r="A16007" s="1">
        <v>5.0</v>
      </c>
      <c r="B16007" s="1" t="s">
        <v>15827</v>
      </c>
      <c r="C16007" t="str">
        <f>IFERROR(__xludf.DUMMYFUNCTION("GOOGLETRANSLATE(B16007, ""zh"", ""en"")"),"Sound quality is good, clean, parsing can! In fact, size is very appropriate as desktop speakers, sound quality is clean and delicate, this price is difficult to have a left and right of the other boxes. Say disadvantage for 4.5-inch box is a slight lack "&amp;"of bass it, but this requirement for 4.5-inch bass box is over a point. In short worth buying, look good, not very professional requirements as recommended desktop speakers. Genelec monitor is the kind of high-end single box, for general use with actually"&amp;" very troublesome, as long as the box a main control box on the line, in fact, is more targeted at the desktop multimedia!")</f>
        <v>Sound quality is good, clean, parsing can! In fact, size is very appropriate as desktop speakers, sound quality is clean and delicate, this price is difficult to have a left and right of the other boxes. Say disadvantage for 4.5-inch box is a slight lack of bass it, but this requirement for 4.5-inch bass box is over a point. In short worth buying, look good, not very professional requirements as recommended desktop speakers. Genelec monitor is the kind of high-end single box, for general use with actually very troublesome, as long as the box a main control box on the line, in fact, is more targeted at the desktop multimedia!</v>
      </c>
    </row>
    <row r="16008">
      <c r="A16008" s="1">
        <v>5.0</v>
      </c>
      <c r="B16008" s="1" t="s">
        <v>15828</v>
      </c>
      <c r="C16008" t="str">
        <f>IFERROR(__xludf.DUMMYFUNCTION("GOOGLETRANSLATE(B16008, ""zh"", ""en"")"),"Yes, convenience or sea bargain, more than three domestic set.")</f>
        <v>Yes, convenience or sea bargain, more than three domestic set.</v>
      </c>
    </row>
    <row r="16009">
      <c r="A16009" s="1">
        <v>5.0</v>
      </c>
      <c r="B16009" s="1" t="s">
        <v>15829</v>
      </c>
      <c r="C16009" t="str">
        <f>IFERROR(__xludf.DUMMYFUNCTION("GOOGLETRANSLATE(B16009, ""zh"", ""en"")"),"Just like after the baby is born small can only use two bottles, and small can AVENT pes wide mouth, now more than two months, AVENT is not willing to use, on small or willing to use. This would have been great to store my baby, the result of 11 months of"&amp;" a baby and relatives also do not want to bottle, it is willing to use this oh. So then also add purchased.")</f>
        <v>Just like after the baby is born small can only use two bottles, and small can AVENT pes wide mouth, now more than two months, AVENT is not willing to use, on small or willing to use. This would have been great to store my baby, the result of 11 months of a baby and relatives also do not want to bottle, it is willing to use this oh. So then also add purchased.</v>
      </c>
    </row>
    <row r="16010">
      <c r="A16010" s="1">
        <v>5.0</v>
      </c>
      <c r="B16010" s="1" t="s">
        <v>15830</v>
      </c>
      <c r="C16010" t="str">
        <f>IFERROR(__xludf.DUMMYFUNCTION("GOOGLETRANSLATE(B16010, ""zh"", ""en"")"),"Super poor quality wear for a day in front of shoe leather on the cracked, previously bought so many have not seen such a poor quality, has to return, buy a pair, or see is not the case, it really is genuine self Amazon?")</f>
        <v>Super poor quality wear for a day in front of shoe leather on the cracked, previously bought so many have not seen such a poor quality, has to return, buy a pair, or see is not the case, it really is genuine self Amazon?</v>
      </c>
    </row>
    <row r="16011">
      <c r="A16011" s="1">
        <v>5.0</v>
      </c>
      <c r="B16011" s="1" t="s">
        <v>15831</v>
      </c>
      <c r="C16011" t="str">
        <f>IFERROR(__xludf.DUMMYFUNCTION("GOOGLETRANSLATE(B16011, ""zh"", ""en"")"),"Good use is really useful, not loud enough. Look beautiful ~!")</f>
        <v>Good use is really useful, not loud enough. Look beautiful ~!</v>
      </c>
    </row>
    <row r="16012">
      <c r="A16012" s="1">
        <v>5.0</v>
      </c>
      <c r="B16012" s="1" t="s">
        <v>15832</v>
      </c>
      <c r="C16012" t="str">
        <f>IFERROR(__xludf.DUMMYFUNCTION("GOOGLETRANSLATE(B16012, ""zh"", ""en"")"),"Zojirushi thermos very light, very small, like the color blue, not black, starry sky pattern bottle a little bit, I thought it was frosted solid, quality should be fine.")</f>
        <v>Zojirushi thermos very light, very small, like the color blue, not black, starry sky pattern bottle a little bit, I thought it was frosted solid, quality should be fine.</v>
      </c>
    </row>
    <row r="16013">
      <c r="A16013" s="1">
        <v>5.0</v>
      </c>
      <c r="B16013" s="1" t="s">
        <v>15833</v>
      </c>
      <c r="C16013" t="str">
        <f>IFERROR(__xludf.DUMMYFUNCTION("GOOGLETRANSLATE(B16013, ""zh"", ""en"")"),"Hot days, winter wear 175,72 kg to buy s, a little")</f>
        <v>Hot days, winter wear 175,72 kg to buy s, a little</v>
      </c>
    </row>
    <row r="16014">
      <c r="A16014" s="1">
        <v>5.0</v>
      </c>
      <c r="B16014" s="1" t="s">
        <v>15834</v>
      </c>
      <c r="C16014" t="str">
        <f>IFERROR(__xludf.DUMMYFUNCTION("GOOGLETRANSLATE(B16014, ""zh"", ""en"")"),"Praise! Materials work pants type version is very good, very comfortable to wear, the five-star praise!")</f>
        <v>Praise! Materials work pants type version is very good, very comfortable to wear, the five-star praise!</v>
      </c>
    </row>
    <row r="16015">
      <c r="A16015" s="1">
        <v>5.0</v>
      </c>
      <c r="B16015" s="1" t="s">
        <v>15835</v>
      </c>
      <c r="C16015" t="str">
        <f>IFERROR(__xludf.DUMMYFUNCTION("GOOGLETRANSLATE(B16015, ""zh"", ""en"")"),"Cheap jeans height 181CM, weight 84KG, waist 95CM, 36W * 34L, very fit. 34L a little bit long, but now popular roll trouser legs, do not change.")</f>
        <v>Cheap jeans height 181CM, weight 84KG, waist 95CM, 36W * 34L, very fit. 34L a little bit long, but now popular roll trouser legs, do not change.</v>
      </c>
    </row>
    <row r="16016">
      <c r="A16016" s="1">
        <v>5.0</v>
      </c>
      <c r="B16016" s="1" t="s">
        <v>976</v>
      </c>
      <c r="C16016" t="str">
        <f>IFERROR(__xludf.DUMMYFUNCTION("GOOGLETRANSLATE(B16016, ""zh"", ""en"")"),"Very, very good, never went before the evaluation, I do not know how many wasted points, points can change money now know, they should look carefully evaluated, then I put these words to copy to go, both to earn points, but also the easy way to go where c"&amp;"opy where, most importantly, do not seriously review, do not think how much worse word, sent directly to it, recommend it to everyone! !")</f>
        <v>Very, very good, never went before the evaluation, I do not know how many wasted points, points can change money now know, they should look carefully evaluated, then I put these words to copy to go, both to earn points, but also the easy way to go where copy where, most importantly, do not seriously review, do not think how much worse word, sent directly to it, recommend it to everyone! !</v>
      </c>
    </row>
    <row r="16017">
      <c r="A16017" s="1">
        <v>5.0</v>
      </c>
      <c r="B16017" s="1" t="s">
        <v>15836</v>
      </c>
      <c r="C16017" t="str">
        <f>IFERROR(__xludf.DUMMYFUNCTION("GOOGLETRANSLATE(B16017, ""zh"", ""en"")"),"Good quality stuff is good, comfortable, and cheap. Domestic dimension as")</f>
        <v>Good quality stuff is good, comfortable, and cheap. Domestic dimension as</v>
      </c>
    </row>
    <row r="16018">
      <c r="A16018" s="1">
        <v>5.0</v>
      </c>
      <c r="B16018" s="1" t="s">
        <v>15837</v>
      </c>
      <c r="C16018" t="str">
        <f>IFERROR(__xludf.DUMMYFUNCTION("GOOGLETRANSLATE(B16018, ""zh"", ""en"")"),"Shoes good evaluation of the quality of shoes! Not bad for a long time to wear")</f>
        <v>Shoes good evaluation of the quality of shoes! Not bad for a long time to wear</v>
      </c>
    </row>
    <row r="16019">
      <c r="A16019" s="1">
        <v>5.0</v>
      </c>
      <c r="B16019" s="1" t="s">
        <v>15838</v>
      </c>
      <c r="C16019" t="str">
        <f>IFERROR(__xludf.DUMMYFUNCTION("GOOGLETRANSLATE(B16019, ""zh"", ""en"")"),", The right size height 183, weight 78, XL is very suitable to wear, a little slightly longer sleeves. Good quality, looks very good, affordable, worth buying!")</f>
        <v>, The right size height 183, weight 78, XL is very suitable to wear, a little slightly longer sleeves. Good quality, looks very good, affordable, worth buying!</v>
      </c>
    </row>
    <row r="16020">
      <c r="A16020" s="1">
        <v>5.0</v>
      </c>
      <c r="B16020" s="1" t="s">
        <v>15839</v>
      </c>
      <c r="C16020" t="str">
        <f>IFERROR(__xludf.DUMMYFUNCTION("GOOGLETRANSLATE(B16020, ""zh"", ""en"")"),"Children probiotic considered the best brand, the children diarrhea, indigestion when big help children probiotic considered the best brand, the children diarrhea, indigestion when big help")</f>
        <v>Children probiotic considered the best brand, the children diarrhea, indigestion when big help children probiotic considered the best brand, the children diarrhea, indigestion when big help</v>
      </c>
    </row>
    <row r="16021">
      <c r="A16021" s="1">
        <v>5.0</v>
      </c>
      <c r="B16021" s="1" t="s">
        <v>15840</v>
      </c>
      <c r="C16021" t="str">
        <f>IFERROR(__xludf.DUMMYFUNCTION("GOOGLETRANSLATE(B16021, ""zh"", ""en"")"),"Too stunning! In addition to color value is not high, there is no drawback really does not pass through so comfortable underwear, too stunning! In addition to look not look good, no shortcomings! Before been wearing Uniqlo no trace of that paragraph, that"&amp;" itch do not know because not enough tight, this is simply a not too comfortable to wear, feels not the kind of very thick cotton, upper body feel very good, although there seems tightness in the thigh, but do not know because the design of the location i"&amp;"s better, wear tight skirts actually basically can not tell! Decisively bought two sets!")</f>
        <v>Too stunning! In addition to color value is not high, there is no drawback really does not pass through so comfortable underwear, too stunning! In addition to look not look good, no shortcomings! Before been wearing Uniqlo no trace of that paragraph, that itch do not know because not enough tight, this is simply a not too comfortable to wear, feels not the kind of very thick cotton, upper body feel very good, although there seems tightness in the thigh, but do not know because the design of the location is better, wear tight skirts actually basically can not tell! Decisively bought two sets!</v>
      </c>
    </row>
    <row r="16022">
      <c r="A16022" s="1">
        <v>2.0</v>
      </c>
      <c r="B16022" s="1" t="s">
        <v>12043</v>
      </c>
      <c r="C16022" t="str">
        <f>IFERROR(__xludf.DUMMYFUNCTION("GOOGLETRANSLATE(B16022, ""zh"", ""en"")"),"Fabric style looking good elasticity, good elastic fabric, not to wear a few times on the loose wear")</f>
        <v>Fabric style looking good elasticity, good elastic fabric, not to wear a few times on the loose wear</v>
      </c>
    </row>
    <row r="16023">
      <c r="A16023" s="1">
        <v>3.0</v>
      </c>
      <c r="B16023" s="1" t="s">
        <v>15841</v>
      </c>
      <c r="C16023" t="str">
        <f>IFERROR(__xludf.DUMMYFUNCTION("GOOGLETRANSLATE(B16023, ""zh"", ""en"")"),"Can also be cortex, the overall rough work, do not know whether intentionally engage in this style, but the price is also less than 200 plus tax. My height is about 171,71kg, diesel usually wear 30 yards pants, buy this belt 34 just does not have much sen"&amp;"sation length remaining, 32 will feel short, if you want to leave a little more to choose 36. Further suitable width wider jeans type, not suitable for dress pants")</f>
        <v>Can also be cortex, the overall rough work, do not know whether intentionally engage in this style, but the price is also less than 200 plus tax. My height is about 171,71kg, diesel usually wear 30 yards pants, buy this belt 34 just does not have much sensation length remaining, 32 will feel short, if you want to leave a little more to choose 36. Further suitable width wider jeans type, not suitable for dress pants</v>
      </c>
    </row>
    <row r="16024">
      <c r="A16024" s="1">
        <v>3.0</v>
      </c>
      <c r="B16024" s="1" t="s">
        <v>15842</v>
      </c>
      <c r="C16024" t="str">
        <f>IFERROR(__xludf.DUMMYFUNCTION("GOOGLETRANSLATE(B16024, ""zh"", ""en"")"),"Sticky hair sticky hair seriously, not self-cultivation. Quality does still wide with.")</f>
        <v>Sticky hair sticky hair seriously, not self-cultivation. Quality does still wide with.</v>
      </c>
    </row>
    <row r="16025">
      <c r="A16025" s="1">
        <v>3.0</v>
      </c>
      <c r="B16025" s="1" t="s">
        <v>15843</v>
      </c>
      <c r="C16025" t="str">
        <f>IFERROR(__xludf.DUMMYFUNCTION("GOOGLETRANSLATE(B16025, ""zh"", ""en"")"),"There is color, the version is not the same color with the picture is more serious than the actual arrival light blue, some deep")</f>
        <v>There is color, the version is not the same color with the picture is more serious than the actual arrival light blue, some deep</v>
      </c>
    </row>
    <row r="16026">
      <c r="A16026" s="1">
        <v>1.0</v>
      </c>
      <c r="B16026" s="1" t="s">
        <v>15844</v>
      </c>
      <c r="C16026" t="str">
        <f>IFERROR(__xludf.DUMMYFUNCTION("GOOGLETRANSLATE(B16026, ""zh"", ""en"")"),"Poor insulation effect super bad, but for my mother threw the packaging must be drained away")</f>
        <v>Poor insulation effect super bad, but for my mother threw the packaging must be drained away</v>
      </c>
    </row>
    <row r="16027">
      <c r="A16027" s="1">
        <v>1.0</v>
      </c>
      <c r="B16027" s="1" t="s">
        <v>15845</v>
      </c>
      <c r="C16027" t="str">
        <f>IFERROR(__xludf.DUMMYFUNCTION("GOOGLETRANSLATE(B16027, ""zh"", ""en"")"),"Generally, no how, when cold air permeability, when the heat was so warm feel bad")</f>
        <v>Generally, no how, when cold air permeability, when the heat was so warm feel bad</v>
      </c>
    </row>
    <row r="16028">
      <c r="A16028" s="1">
        <v>4.0</v>
      </c>
      <c r="B16028" s="1" t="s">
        <v>15846</v>
      </c>
      <c r="C16028" t="str">
        <f>IFERROR(__xludf.DUMMYFUNCTION("GOOGLETRANSLATE(B16028, ""zh"", ""en"")"),"Normal workplace essential")</f>
        <v>Normal workplace essential</v>
      </c>
    </row>
    <row r="16029">
      <c r="A16029" s="1">
        <v>4.0</v>
      </c>
      <c r="B16029" s="1" t="s">
        <v>15847</v>
      </c>
      <c r="C16029" t="str">
        <f>IFERROR(__xludf.DUMMYFUNCTION("GOOGLETRANSLATE(B16029, ""zh"", ""en"")"),"Dimensions section clothes line with expectations, but enough shoulder, stomach a little too big. . .")</f>
        <v>Dimensions section clothes line with expectations, but enough shoulder, stomach a little too big. . .</v>
      </c>
    </row>
    <row r="16030">
      <c r="A16030" s="1">
        <v>4.0</v>
      </c>
      <c r="B16030" s="1" t="s">
        <v>15848</v>
      </c>
      <c r="C16030" t="str">
        <f>IFERROR(__xludf.DUMMYFUNCTION("GOOGLETRANSLATE(B16030, ""zh"", ""en"")"),"I read said it was too large normal code, I usually wear Levi's, Uniqlo are wearing M code, this time I also bought a buy M code, try to get the goods found too large, silent.")</f>
        <v>I read said it was too large normal code, I usually wear Levi's, Uniqlo are wearing M code, this time I also bought a buy M code, try to get the goods found too large, silent.</v>
      </c>
    </row>
    <row r="16031">
      <c r="A16031" s="1">
        <v>4.0</v>
      </c>
      <c r="B16031" s="1" t="s">
        <v>15849</v>
      </c>
      <c r="C16031" t="str">
        <f>IFERROR(__xludf.DUMMYFUNCTION("GOOGLETRANSLATE(B16031, ""zh"", ""en"")"),"Sounds great, sounds great speed in general, quite large, read the disk sound, speed general")</f>
        <v>Sounds great, sounds great speed in general, quite large, read the disk sound, speed general</v>
      </c>
    </row>
    <row r="16032">
      <c r="A16032" s="1">
        <v>4.0</v>
      </c>
      <c r="B16032" s="1" t="s">
        <v>15850</v>
      </c>
      <c r="C16032" t="str">
        <f>IFERROR(__xludf.DUMMYFUNCTION("GOOGLETRANSLATE(B16032, ""zh"", ""en"")"),"Like love, like to buy. Feel good, soft. Now wear the right. 170,72kg. M wear slightly tight, long sleeve. No pockets. Overall satisfaction, both inside and outside Jieke wear.")</f>
        <v>Like love, like to buy. Feel good, soft. Now wear the right. 170,72kg. M wear slightly tight, long sleeve. No pockets. Overall satisfaction, both inside and outside Jieke wear.</v>
      </c>
    </row>
    <row r="16033">
      <c r="A16033" s="1">
        <v>5.0</v>
      </c>
      <c r="B16033" s="1" t="s">
        <v>15851</v>
      </c>
      <c r="C16033" t="str">
        <f>IFERROR(__xludf.DUMMYFUNCTION("GOOGLETRANSLATE(B16033, ""zh"", ""en"")"),"Bang Bang da cheaper than a treasure, logistics is also faster now than before, good quality workmanship, details in place")</f>
        <v>Bang Bang da cheaper than a treasure, logistics is also faster now than before, good quality workmanship, details in place</v>
      </c>
    </row>
    <row r="16034">
      <c r="A16034" s="1">
        <v>5.0</v>
      </c>
      <c r="B16034" s="1" t="s">
        <v>15852</v>
      </c>
      <c r="C16034" t="str">
        <f>IFERROR(__xludf.DUMMYFUNCTION("GOOGLETRANSLATE(B16034, ""zh"", ""en"")"),"Comfort is very comfortable, suitable for spring, autumn and winter")</f>
        <v>Comfort is very comfortable, suitable for spring, autumn and winter</v>
      </c>
    </row>
    <row r="16035">
      <c r="A16035" s="1">
        <v>5.0</v>
      </c>
      <c r="B16035" s="1" t="s">
        <v>15853</v>
      </c>
      <c r="C16035" t="str">
        <f>IFERROR(__xludf.DUMMYFUNCTION("GOOGLETRANSLATE(B16035, ""zh"", ""en"")"),"The high cost of packaging is very good, not bad, which did not break something, very good, a perfect shopping outside, can be bought here after a supply")</f>
        <v>The high cost of packaging is very good, not bad, which did not break something, very good, a perfect shopping outside, can be bought here after a supply</v>
      </c>
    </row>
    <row r="16036">
      <c r="A16036" s="1">
        <v>5.0</v>
      </c>
      <c r="B16036" s="1" t="s">
        <v>15854</v>
      </c>
      <c r="C16036" t="str">
        <f>IFERROR(__xludf.DUMMYFUNCTION("GOOGLETRANSLATE(B16036, ""zh"", ""en"")"),"Watch good, the price to force the watch is very good, packaging can, logistics probably about 10 days, the key is to force the price")</f>
        <v>Watch good, the price to force the watch is very good, packaging can, logistics probably about 10 days, the key is to force the price</v>
      </c>
    </row>
    <row r="16037">
      <c r="A16037" s="1">
        <v>5.0</v>
      </c>
      <c r="B16037" s="1" t="s">
        <v>15855</v>
      </c>
      <c r="C16037" t="str">
        <f>IFERROR(__xludf.DUMMYFUNCTION("GOOGLETRANSLATE(B16037, ""zh"", ""en"")"),"Pretty good! AIU to start five black! value! Very handsome!")</f>
        <v>Pretty good! AIU to start five black! value! Very handsome!</v>
      </c>
    </row>
    <row r="16038">
      <c r="A16038" s="1">
        <v>5.0</v>
      </c>
      <c r="B16038" s="1" t="s">
        <v>15856</v>
      </c>
      <c r="C16038" t="str">
        <f>IFERROR(__xludf.DUMMYFUNCTION("GOOGLETRANSLATE(B16038, ""zh"", ""en"")"),"Well this super good")</f>
        <v>Well this super good</v>
      </c>
    </row>
    <row r="16039">
      <c r="A16039" s="1">
        <v>5.0</v>
      </c>
      <c r="B16039" s="1" t="s">
        <v>15857</v>
      </c>
      <c r="C16039" t="str">
        <f>IFERROR(__xludf.DUMMYFUNCTION("GOOGLETRANSLATE(B16039, ""zh"", ""en"")"),"Yes, try for a while, it is very good indeed President can not make, fairly thick. Messenger very smoothly, next time you buy a blue. Reviews say is to see with blotter, so buy heavy! I hope next time to explain commodity list. With a blotter, a bladder b"&amp;"lack ink, a blue ink bladder. But I still bought a bottle of blue-black ink Tupper.")</f>
        <v>Yes, try for a while, it is very good indeed President can not make, fairly thick. Messenger very smoothly, next time you buy a blue. Reviews say is to see with blotter, so buy heavy! I hope next time to explain commodity list. With a blotter, a bladder black ink, a blue ink bladder. But I still bought a bottle of blue-black ink Tupper.</v>
      </c>
    </row>
    <row r="16040">
      <c r="A16040" s="1">
        <v>5.0</v>
      </c>
      <c r="B16040" s="1" t="s">
        <v>15858</v>
      </c>
      <c r="C16040" t="str">
        <f>IFERROR(__xludf.DUMMYFUNCTION("GOOGLETRANSLATE(B16040, ""zh"", ""en"")"),"Can be good, to be confirmed quality, packaging intact")</f>
        <v>Can be good, to be confirmed quality, packaging intact</v>
      </c>
    </row>
    <row r="16041">
      <c r="A16041" s="1">
        <v>5.0</v>
      </c>
      <c r="B16041" s="1" t="s">
        <v>15859</v>
      </c>
      <c r="C16041" t="str">
        <f>IFERROR(__xludf.DUMMYFUNCTION("GOOGLETRANSLATE(B16041, ""zh"", ""en"")"),"Like the kids like to bite, but also more suitable")</f>
        <v>Like the kids like to bite, but also more suitable</v>
      </c>
    </row>
    <row r="16042">
      <c r="A16042" s="1">
        <v>5.0</v>
      </c>
      <c r="B16042" s="1" t="s">
        <v>15860</v>
      </c>
      <c r="C16042" t="str">
        <f>IFERROR(__xludf.DUMMYFUNCTION("GOOGLETRANSLATE(B16042, ""zh"", ""en"")"),"A good choice, in addition to a good size smaller materials, high cost!")</f>
        <v>A good choice, in addition to a good size smaller materials, high cost!</v>
      </c>
    </row>
    <row r="16043">
      <c r="A16043" s="1">
        <v>5.0</v>
      </c>
      <c r="B16043" s="1" t="s">
        <v>15861</v>
      </c>
      <c r="C16043" t="str">
        <f>IFERROR(__xludf.DUMMYFUNCTION("GOOGLETRANSLATE(B16043, ""zh"", ""en"")"),"Nice box, really good listening voice, treble lights. Big heat")</f>
        <v>Nice box, really good listening voice, treble lights. Big heat</v>
      </c>
    </row>
    <row r="16044">
      <c r="A16044" s="1">
        <v>5.0</v>
      </c>
      <c r="B16044" s="1" t="s">
        <v>15862</v>
      </c>
      <c r="C16044" t="str">
        <f>IFERROR(__xludf.DUMMYFUNCTION("GOOGLETRANSLATE(B16044, ""zh"", ""en"")"),"Cheaper prices than domestic licensed written probably between 48-50MB per second speed. Is a CZ88 Extreme Ultra speed U sandisk disc writing speed of 1/4, CZ88 written per second can be achieved 200M. Sub relatively large. One more protective shell. We w"&amp;"ant quality and stability.")</f>
        <v>Cheaper prices than domestic licensed written probably between 48-50MB per second speed. Is a CZ88 Extreme Ultra speed U sandisk disc writing speed of 1/4, CZ88 written per second can be achieved 200M. Sub relatively large. One more protective shell. We want quality and stability.</v>
      </c>
    </row>
    <row r="16045">
      <c r="A16045" s="1">
        <v>5.0</v>
      </c>
      <c r="B16045" s="1" t="s">
        <v>15863</v>
      </c>
      <c r="C16045" t="str">
        <f>IFERROR(__xludf.DUMMYFUNCTION("GOOGLETRANSLATE(B16045, ""zh"", ""en"")"),"Lightweight and comfortable to wear a few yards usually buy a few yards, 500 head, described as value, as well as cheaper than purchasing a treasure of nearly 200, is genuine, very comfortable wearing running light")</f>
        <v>Lightweight and comfortable to wear a few yards usually buy a few yards, 500 head, described as value, as well as cheaper than purchasing a treasure of nearly 200, is genuine, very comfortable wearing running light</v>
      </c>
    </row>
    <row r="16046">
      <c r="A16046" s="1">
        <v>5.0</v>
      </c>
      <c r="B16046" s="1" t="s">
        <v>15864</v>
      </c>
      <c r="C16046" t="str">
        <f>IFERROR(__xludf.DUMMYFUNCTION("GOOGLETRANSLATE(B16046, ""zh"", ""en"")"),"Worth a good, quiet")</f>
        <v>Worth a good, quiet</v>
      </c>
    </row>
    <row r="16047">
      <c r="A16047" s="1">
        <v>5.0</v>
      </c>
      <c r="B16047" s="1" t="s">
        <v>15865</v>
      </c>
      <c r="C16047" t="str">
        <f>IFERROR(__xludf.DUMMYFUNCTION("GOOGLETRANSLATE(B16047, ""zh"", ""en"")"),"Worth buying standard size, soft leather, and the bottom is very light, very comfortable, these shoes so I am particularly surprised, I did not expect so nice, so comfortable. Much cheaper than domestic, it is recommended to buy.")</f>
        <v>Worth buying standard size, soft leather, and the bottom is very light, very comfortable, these shoes so I am particularly surprised, I did not expect so nice, so comfortable. Much cheaper than domestic, it is recommended to buy.</v>
      </c>
    </row>
    <row r="16048">
      <c r="A16048" s="1">
        <v>5.0</v>
      </c>
      <c r="B16048" s="1" t="s">
        <v>15866</v>
      </c>
      <c r="C16048" t="str">
        <f>IFERROR(__xludf.DUMMYFUNCTION("GOOGLETRANSLATE(B16048, ""zh"", ""en"")"),"The effect of replenishment, eating good results")</f>
        <v>The effect of replenishment, eating good results</v>
      </c>
    </row>
    <row r="16049">
      <c r="A16049" s="1">
        <v>5.0</v>
      </c>
      <c r="B16049" s="1" t="s">
        <v>15867</v>
      </c>
      <c r="C16049" t="str">
        <f>IFERROR(__xludf.DUMMYFUNCTION("GOOGLETRANSLATE(B16049, ""zh"", ""en"")"),"Cool really only need to buy 84 waist 30.")</f>
        <v>Cool really only need to buy 84 waist 30.</v>
      </c>
    </row>
    <row r="16050">
      <c r="A16050" s="1">
        <v>5.0</v>
      </c>
      <c r="B16050" s="1" t="s">
        <v>12057</v>
      </c>
      <c r="C16050" t="str">
        <f>IFERROR(__xludf.DUMMYFUNCTION("GOOGLETRANSLATE(B16050, ""zh"", ""en"")"),"Oh well can, cost-effective, for 6730, the five-star")</f>
        <v>Oh well can, cost-effective, for 6730, the five-star</v>
      </c>
    </row>
    <row r="16051">
      <c r="A16051" s="1">
        <v>5.0</v>
      </c>
      <c r="B16051" s="1" t="s">
        <v>15868</v>
      </c>
      <c r="C16051" t="str">
        <f>IFERROR(__xludf.DUMMYFUNCTION("GOOGLETRANSLATE(B16051, ""zh"", ""en"")"),"Very good shoes leather feel, luster are the same as expected, the size just right, is somewhat difficult to wear off, the other perfect")</f>
        <v>Very good shoes leather feel, luster are the same as expected, the size just right, is somewhat difficult to wear off, the other perfect</v>
      </c>
    </row>
    <row r="16052">
      <c r="A16052" s="1">
        <v>5.0</v>
      </c>
      <c r="B16052" s="1" t="s">
        <v>15869</v>
      </c>
      <c r="C16052" t="str">
        <f>IFERROR(__xludf.DUMMYFUNCTION("GOOGLETRANSLATE(B16052, ""zh"", ""en"")"),"Something working good price is also suitable for use down effect is the same every time, that is, the temple still need someone to help, it is best able to do self-care hair - yourself!")</f>
        <v>Something working good price is also suitable for use down effect is the same every time, that is, the temple still need someone to help, it is best able to do self-care hair - yourself!</v>
      </c>
    </row>
    <row r="16053">
      <c r="A16053" s="1">
        <v>5.0</v>
      </c>
      <c r="B16053" s="1" t="s">
        <v>15870</v>
      </c>
      <c r="C16053" t="str">
        <f>IFERROR(__xludf.DUMMYFUNCTION("GOOGLETRANSLATE(B16053, ""zh"", ""en"")"),"survivor praise, style is very interesting, you can perform basic protection.")</f>
        <v>survivor praise, style is very interesting, you can perform basic protection.</v>
      </c>
    </row>
    <row r="16054">
      <c r="A16054" s="1">
        <v>5.0</v>
      </c>
      <c r="B16054" s="1" t="s">
        <v>15871</v>
      </c>
      <c r="C16054" t="str">
        <f>IFERROR(__xludf.DUMMYFUNCTION("GOOGLETRANSLATE(B16054, ""zh"", ""en"")"),"great! shoes relatively thick, high instep buy big point, no insole child, to a self, consider ecco insole, beeswax color, very satisfied, Ref 207 yuan ......")</f>
        <v>great! shoes relatively thick, high instep buy big point, no insole child, to a self, consider ecco insole, beeswax color, very satisfied, Ref 207 yuan ......</v>
      </c>
    </row>
    <row r="16055">
      <c r="A16055" s="1">
        <v>2.0</v>
      </c>
      <c r="B16055" s="1" t="s">
        <v>15872</v>
      </c>
      <c r="C16055" t="str">
        <f>IFERROR(__xludf.DUMMYFUNCTION("GOOGLETRANSLATE(B16055, ""zh"", ""en"")"),"Clothes and photographs appearance does not match how kind and photos do not match, misleading suspect, it could have been a fancy long sleeves.")</f>
        <v>Clothes and photographs appearance does not match how kind and photos do not match, misleading suspect, it could have been a fancy long sleeves.</v>
      </c>
    </row>
    <row r="16056">
      <c r="A16056" s="1">
        <v>3.0</v>
      </c>
      <c r="B16056" s="1" t="s">
        <v>15873</v>
      </c>
      <c r="C16056" t="str">
        <f>IFERROR(__xludf.DUMMYFUNCTION("GOOGLETRANSLATE(B16056, ""zh"", ""en"")"),"Clothes fit, is the thread more clothes fit, that is, more thread")</f>
        <v>Clothes fit, is the thread more clothes fit, that is, more thread</v>
      </c>
    </row>
    <row r="16057">
      <c r="A16057" s="1">
        <v>3.0</v>
      </c>
      <c r="B16057" s="1" t="s">
        <v>15874</v>
      </c>
      <c r="C16057" t="str">
        <f>IFERROR(__xludf.DUMMYFUNCTION("GOOGLETRANSLATE(B16057, ""zh"", ""en"")"),"Can you return it? ""I purchased at the edge of the top of the orange suits inside the cup outside the Indian children have cracks, although not completely split, but feel ready to throw a child, I would completely split, do not know meet the return requi"&amp;"rements the first time? encounter this situation, the return to foreign warehouse, good trouble, kindly plug """)</f>
        <v>Can you return it? "I purchased at the edge of the top of the orange suits inside the cup outside the Indian children have cracks, although not completely split, but feel ready to throw a child, I would completely split, do not know meet the return requirements the first time? encounter this situation, the return to foreign warehouse, good trouble, kindly plug "</v>
      </c>
    </row>
    <row r="16058">
      <c r="A16058" s="1">
        <v>1.0</v>
      </c>
      <c r="B16058" s="1" t="s">
        <v>15875</v>
      </c>
      <c r="C16058" t="str">
        <f>IFERROR(__xludf.DUMMYFUNCTION("GOOGLETRANSLATE(B16058, ""zh"", ""en"")"),"A very bad shopping experience than the United States and Asia slow I put up with direct mail can buy pen was used (pen ink pen in ink stains) When a new second-hand goods sold too outrageous! !")</f>
        <v>A very bad shopping experience than the United States and Asia slow I put up with direct mail can buy pen was used (pen ink pen in ink stains) When a new second-hand goods sold too outrageous! !</v>
      </c>
    </row>
    <row r="16059">
      <c r="A16059" s="1">
        <v>1.0</v>
      </c>
      <c r="B16059" s="1" t="s">
        <v>15876</v>
      </c>
      <c r="C16059" t="str">
        <f>IFERROR(__xludf.DUMMYFUNCTION("GOOGLETRANSLATE(B16059, ""zh"", ""en"")"),"Photo card, we all look at this is not the official replica? Package after the label drum, and printing blur, serious doubts are genuine or not new")</f>
        <v>Photo card, we all look at this is not the official replica? Package after the label drum, and printing blur, serious doubts are genuine or not new</v>
      </c>
    </row>
    <row r="16060">
      <c r="A16060" s="1">
        <v>1.0</v>
      </c>
      <c r="B16060" s="1" t="s">
        <v>15877</v>
      </c>
      <c r="C16060" t="str">
        <f>IFERROR(__xludf.DUMMYFUNCTION("GOOGLETRANSLATE(B16060, ""zh"", ""en"")"),"Why is the right of the LCD screen is not bright not like negative feedback. The right of the LCD board is not bright. I wrote to Amazon did not respond to e-mail, I can not find the customer service, the application returns all in English and mailing lis"&amp;"t, deliberately set up obstacles to it?")</f>
        <v>Why is the right of the LCD screen is not bright not like negative feedback. The right of the LCD board is not bright. I wrote to Amazon did not respond to e-mail, I can not find the customer service, the application returns all in English and mailing list, deliberately set up obstacles to it?</v>
      </c>
    </row>
    <row r="16061">
      <c r="A16061" s="1">
        <v>4.0</v>
      </c>
      <c r="B16061" s="1" t="s">
        <v>15878</v>
      </c>
      <c r="C16061" t="str">
        <f>IFERROR(__xludf.DUMMYFUNCTION("GOOGLETRANSLATE(B16061, ""zh"", ""en"")"),"Direct Push does not work, how do you say it on the amp, no surprises nor bad, but notebook phone direct push effect can only say that in general, than my akg k420 about the same, or even better than. So small partners consider Direct Push can be consider"&amp;"ed a portable headset, big headphones really not suitable for direct push.")</f>
        <v>Direct Push does not work, how do you say it on the amp, no surprises nor bad, but notebook phone direct push effect can only say that in general, than my akg k420 about the same, or even better than. So small partners consider Direct Push can be considered a portable headset, big headphones really not suitable for direct push.</v>
      </c>
    </row>
    <row r="16062">
      <c r="A16062" s="1">
        <v>4.0</v>
      </c>
      <c r="B16062" s="1" t="s">
        <v>15879</v>
      </c>
      <c r="C16062" t="str">
        <f>IFERROR(__xludf.DUMMYFUNCTION("GOOGLETRANSLATE(B16062, ""zh"", ""en"")"),"The second pair of shoes, still buy big. I remember when I bought 43 yards, I thought it was China's 43, the result sent me is 44 yards 28CM, the direct request made business shoes package size box above Chart Amazon later. I was supposed to go to the pos"&amp;"t office courier back to the UK, ran a few times. Because of double 11, the post office gay aunt suggested that I later made, so packet loss, the last time, the post office is directly aunt bought.")</f>
        <v>The second pair of shoes, still buy big. I remember when I bought 43 yards, I thought it was China's 43, the result sent me is 44 yards 28CM, the direct request made business shoes package size box above Chart Amazon later. I was supposed to go to the post office courier back to the UK, ran a few times. Because of double 11, the post office gay aunt suggested that I later made, so packet loss, the last time, the post office is directly aunt bought.</v>
      </c>
    </row>
    <row r="16063">
      <c r="A16063" s="1">
        <v>4.0</v>
      </c>
      <c r="B16063" s="1" t="s">
        <v>15880</v>
      </c>
      <c r="C16063" t="str">
        <f>IFERROR(__xludf.DUMMYFUNCTION("GOOGLETRANSLATE(B16063, ""zh"", ""en"")"),"Details not 260 feet long, US9.5, appropriate length, and other comments as the first half a little bit tight, do not walk no problem, you can stand, so most of the shoes. Work a little rough, the sea is now scouring more, or find the best made in China.")</f>
        <v>Details not 260 feet long, US9.5, appropriate length, and other comments as the first half a little bit tight, do not walk no problem, you can stand, so most of the shoes. Work a little rough, the sea is now scouring more, or find the best made in China.</v>
      </c>
    </row>
    <row r="16064">
      <c r="A16064" s="1">
        <v>4.0</v>
      </c>
      <c r="B16064" s="1" t="s">
        <v>15881</v>
      </c>
      <c r="C16064" t="str">
        <f>IFERROR(__xludf.DUMMYFUNCTION("GOOGLETRANSLATE(B16064, ""zh"", ""en"")"),"Overall pretty good is very beautiful, the price is right. But the reader really sound file formats Selenge shocked, especially when the transfer of some popular format. Good speed. 90+ average large files, movies what the average 100+. No way to speed up"&amp;" small files")</f>
        <v>Overall pretty good is very beautiful, the price is right. But the reader really sound file formats Selenge shocked, especially when the transfer of some popular format. Good speed. 90+ average large files, movies what the average 100+. No way to speed up small files</v>
      </c>
    </row>
    <row r="16065">
      <c r="A16065" s="1">
        <v>4.0</v>
      </c>
      <c r="B16065" s="1" t="s">
        <v>15882</v>
      </c>
      <c r="C16065" t="str">
        <f>IFERROR(__xludf.DUMMYFUNCTION("GOOGLETRANSLATE(B16065, ""zh"", ""en"")"),"Cost-effective, the overall good courier good, PRIME like this one, No. 22, received 14 orders, friends ~ ~ count quickly being charged me 2283,30% tax, but I do not know will not refund tax ah, this is not 11.9% Mody, said to be 60 days refund overcharge"&amp;"d, very slow. The overall cost is very high, and stir butter, egg and noodles are easy to use, and more than XX series, power is a small point, 3rd and face the same feeling is not one level, after all, XX is a 1600 high of 600W. However, this price is go"&amp;"od enough. Unfortunately, the plastic shell is 59, so 59 more expensive than the 57 Series is justified. Talk about accessories, general mix of accessories not give the whole a bit uncomfortable, such as ground meat only to the pores, well I used to sand "&amp;"grinding, ground meat and a bit too small. Vegetable dish, too, belong to the three Chinese people do not commonly used, shred all want to have another with thick fries, are ground into mud to the plate. Accessories can be considered consistent business m"&amp;"arketing strategy it. Jar, too, should feel alone Milling &amp; accessories more practical, oranges machine even more, and a lot of space, the opportunity to use not more. And on the surface, more than 3 files open head nod, estimated that many people have th"&amp;"is phenomenon? While not open more than the third speed, the glove film is not easy. XX this case looks like a much better, so if you do not mind the price, it should be better direct XX.")</f>
        <v>Cost-effective, the overall good courier good, PRIME like this one, No. 22, received 14 orders, friends ~ ~ count quickly being charged me 2283,30% tax, but I do not know will not refund tax ah, this is not 11.9% Mody, said to be 60 days refund overcharged, very slow. The overall cost is very high, and stir butter, egg and noodles are easy to use, and more than XX series, power is a small point, 3rd and face the same feeling is not one level, after all, XX is a 1600 high of 600W. However, this price is good enough. Unfortunately, the plastic shell is 59, so 59 more expensive than the 57 Series is justified. Talk about accessories, general mix of accessories not give the whole a bit uncomfortable, such as ground meat only to the pores, well I used to sand grinding, ground meat and a bit too small. Vegetable dish, too, belong to the three Chinese people do not commonly used, shred all want to have another with thick fries, are ground into mud to the plate. Accessories can be considered consistent business marketing strategy it. Jar, too, should feel alone Milling &amp; accessories more practical, oranges machine even more, and a lot of space, the opportunity to use not more. And on the surface, more than 3 files open head nod, estimated that many people have this phenomenon? While not open more than the third speed, the glove film is not easy. XX this case looks like a much better, so if you do not mind the price, it should be better direct XX.</v>
      </c>
    </row>
    <row r="16066">
      <c r="A16066" s="1">
        <v>5.0</v>
      </c>
      <c r="B16066" s="1" t="s">
        <v>15883</v>
      </c>
      <c r="C16066" t="str">
        <f>IFERROR(__xludf.DUMMYFUNCTION("GOOGLETRANSLATE(B16066, ""zh"", ""en"")"),"This brand being good to eat, it requires a process")</f>
        <v>This brand being good to eat, it requires a process</v>
      </c>
    </row>
    <row r="16067">
      <c r="A16067" s="1">
        <v>5.0</v>
      </c>
      <c r="B16067" s="1" t="s">
        <v>15884</v>
      </c>
      <c r="C16067" t="str">
        <f>IFERROR(__xludf.DUMMYFUNCTION("GOOGLETRANSLATE(B16067, ""zh"", ""en"")"),"Express faster than expected, not to wear, difficult to evaluate the quality of leather is quite comfortable, wear-resistant soles do not know?")</f>
        <v>Express faster than expected, not to wear, difficult to evaluate the quality of leather is quite comfortable, wear-resistant soles do not know?</v>
      </c>
    </row>
    <row r="16068">
      <c r="A16068" s="1">
        <v>5.0</v>
      </c>
      <c r="B16068" s="1" t="s">
        <v>15885</v>
      </c>
      <c r="C16068" t="str">
        <f>IFERROR(__xludf.DUMMYFUNCTION("GOOGLETRANSLATE(B16068, ""zh"", ""en"")"),"Good to buy a second bottle, the price of beauty, quality and reliable")</f>
        <v>Good to buy a second bottle, the price of beauty, quality and reliable</v>
      </c>
    </row>
    <row r="16069">
      <c r="A16069" s="1">
        <v>5.0</v>
      </c>
      <c r="B16069" s="1" t="s">
        <v>15886</v>
      </c>
      <c r="C16069" t="str">
        <f>IFERROR(__xludf.DUMMYFUNCTION("GOOGLETRANSLATE(B16069, ""zh"", ""en"")"),"Leather shoes are very good light, good workmanship and leather, shoe boxes contrast with domestic counter partial thin, very positive yardage.")</f>
        <v>Leather shoes are very good light, good workmanship and leather, shoe boxes contrast with domestic counter partial thin, very positive yardage.</v>
      </c>
    </row>
    <row r="16070">
      <c r="A16070" s="1">
        <v>5.0</v>
      </c>
      <c r="B16070" s="1" t="s">
        <v>15887</v>
      </c>
      <c r="C16070" t="str">
        <f>IFERROR(__xludf.DUMMYFUNCTION("GOOGLETRANSLATE(B16070, ""zh"", ""en"")"),"Very satisfied with the first overseas purchase of American jeans model is very rich, always find a dress pants without having to modify the edge")</f>
        <v>Very satisfied with the first overseas purchase of American jeans model is very rich, always find a dress pants without having to modify the edge</v>
      </c>
    </row>
    <row r="16071">
      <c r="A16071" s="1">
        <v>5.0</v>
      </c>
      <c r="B16071" s="1" t="s">
        <v>15888</v>
      </c>
      <c r="C16071" t="str">
        <f>IFERROR(__xludf.DUMMYFUNCTION("GOOGLETRANSLATE(B16071, ""zh"", ""en"")"),"Inexpensive plugged into the xbox one with the game moving to the top speed immediately start lifting 90%. External power supply is not a thing, would have use of the environment will certainly have socket. 5T 4.5T is the only show in a little less in the"&amp;" xbox. The main event is a good price.")</f>
        <v>Inexpensive plugged into the xbox one with the game moving to the top speed immediately start lifting 90%. External power supply is not a thing, would have use of the environment will certainly have socket. 5T 4.5T is the only show in a little less in the xbox. The main event is a good price.</v>
      </c>
    </row>
    <row r="16072">
      <c r="A16072" s="1">
        <v>5.0</v>
      </c>
      <c r="B16072" s="1" t="s">
        <v>15889</v>
      </c>
      <c r="C16072" t="str">
        <f>IFERROR(__xludf.DUMMYFUNCTION("GOOGLETRANSLATE(B16072, ""zh"", ""en"")"),"Very fitting shoes. Shoes are very fit, the mother feet wide, many domestic shoe is not widened. not bad.")</f>
        <v>Very fitting shoes. Shoes are very fit, the mother feet wide, many domestic shoe is not widened. not bad.</v>
      </c>
    </row>
    <row r="16073">
      <c r="A16073" s="1">
        <v>5.0</v>
      </c>
      <c r="B16073" s="1" t="s">
        <v>15890</v>
      </c>
      <c r="C16073" t="str">
        <f>IFERROR(__xludf.DUMMYFUNCTION("GOOGLETRANSLATE(B16073, ""zh"", ""en"")"),"Cup good cup is also good, the price can also, praise")</f>
        <v>Cup good cup is also good, the price can also, praise</v>
      </c>
    </row>
    <row r="16074">
      <c r="A16074" s="1">
        <v>5.0</v>
      </c>
      <c r="B16074" s="1" t="s">
        <v>15891</v>
      </c>
      <c r="C16074" t="str">
        <f>IFERROR(__xludf.DUMMYFUNCTION("GOOGLETRANSLATE(B16074, ""zh"", ""en"")"),"The perfect combination of speed and appearance to refresh my understanding of the speed of USB, beautiful")</f>
        <v>The perfect combination of speed and appearance to refresh my understanding of the speed of USB, beautiful</v>
      </c>
    </row>
    <row r="16075">
      <c r="A16075" s="1">
        <v>5.0</v>
      </c>
      <c r="B16075" s="1" t="s">
        <v>15892</v>
      </c>
      <c r="C16075" t="str">
        <f>IFERROR(__xludf.DUMMYFUNCTION("GOOGLETRANSLATE(B16075, ""zh"", ""en"")"),"Kick the shoes is not bad not bad evaluation bought to wear very comfortable shoes are certainly some heavy shop to buy can not wear open plastic how long will this pair of work is good")</f>
        <v>Kick the shoes is not bad not bad evaluation bought to wear very comfortable shoes are certainly some heavy shop to buy can not wear open plastic how long will this pair of work is good</v>
      </c>
    </row>
    <row r="16076">
      <c r="A16076" s="1">
        <v>5.0</v>
      </c>
      <c r="B16076" s="1" t="s">
        <v>15893</v>
      </c>
      <c r="C16076" t="str">
        <f>IFERROR(__xludf.DUMMYFUNCTION("GOOGLETRANSLATE(B16076, ""zh"", ""en"")"),"Insulation effect beyond imagination goes a long holding time, and suitable for children throughout the day to go out, very satisfied!")</f>
        <v>Insulation effect beyond imagination goes a long holding time, and suitable for children throughout the day to go out, very satisfied!</v>
      </c>
    </row>
    <row r="16077">
      <c r="A16077" s="1">
        <v>5.0</v>
      </c>
      <c r="B16077" s="1" t="s">
        <v>15894</v>
      </c>
      <c r="C16077" t="str">
        <f>IFERROR(__xludf.DUMMYFUNCTION("GOOGLETRANSLATE(B16077, ""zh"", ""en"")"),"Satisfied with the good, as expected, good price")</f>
        <v>Satisfied with the good, as expected, good price</v>
      </c>
    </row>
    <row r="16078">
      <c r="A16078" s="1">
        <v>5.0</v>
      </c>
      <c r="B16078" s="1" t="s">
        <v>15895</v>
      </c>
      <c r="C16078" t="str">
        <f>IFERROR(__xludf.DUMMYFUNCTION("GOOGLETRANSLATE(B16078, ""zh"", ""en"")"),"Toothpaste good use now his son has been in use, children still like, squeezing toothpaste is also very convenient.")</f>
        <v>Toothpaste good use now his son has been in use, children still like, squeezing toothpaste is also very convenient.</v>
      </c>
    </row>
    <row r="16079">
      <c r="A16079" s="1">
        <v>5.0</v>
      </c>
      <c r="B16079" s="1" t="s">
        <v>15896</v>
      </c>
      <c r="C16079" t="str">
        <f>IFERROR(__xludf.DUMMYFUNCTION("GOOGLETRANSLATE(B16079, ""zh"", ""en"")"),"Very good product good, the baby sucking habits.")</f>
        <v>Very good product good, the baby sucking habits.</v>
      </c>
    </row>
    <row r="16080">
      <c r="A16080" s="1">
        <v>5.0</v>
      </c>
      <c r="B16080" s="1" t="s">
        <v>15897</v>
      </c>
      <c r="C16080" t="str">
        <f>IFERROR(__xludf.DUMMYFUNCTION("GOOGLETRANSLATE(B16080, ""zh"", ""en"")"),"It can also be")</f>
        <v>It can also be</v>
      </c>
    </row>
    <row r="16081">
      <c r="A16081" s="1">
        <v>5.0</v>
      </c>
      <c r="B16081" s="1" t="s">
        <v>15898</v>
      </c>
      <c r="C16081" t="str">
        <f>IFERROR(__xludf.DUMMYFUNCTION("GOOGLETRANSLATE(B16081, ""zh"", ""en"")"),"A perfect shopping jeans 30/29, 30/30 this just right. Affordable, comfortable to wear, summer wear also live together without feeling too hot.")</f>
        <v>A perfect shopping jeans 30/29, 30/30 this just right. Affordable, comfortable to wear, summer wear also live together without feeling too hot.</v>
      </c>
    </row>
    <row r="16082">
      <c r="A16082" s="1">
        <v>5.0</v>
      </c>
      <c r="B16082" s="1" t="s">
        <v>15899</v>
      </c>
      <c r="C16082" t="str">
        <f>IFERROR(__xludf.DUMMYFUNCTION("GOOGLETRANSLATE(B16082, ""zh"", ""en"")"),"Very satisfied with the hard disk compact, slightly thicker point (for me just right), blue love! Very quiet when reading and writing, are smaller than my laptop sound. Trial for an hour, the heat is very small. When a single file is written per second is"&amp;" about 80 megabytes, writing stable at 60 megabits per second, large-capacity folder. not bad.")</f>
        <v>Very satisfied with the hard disk compact, slightly thicker point (for me just right), blue love! Very quiet when reading and writing, are smaller than my laptop sound. Trial for an hour, the heat is very small. When a single file is written per second is about 80 megabytes, writing stable at 60 megabits per second, large-capacity folder. not bad.</v>
      </c>
    </row>
    <row r="16083">
      <c r="A16083" s="1">
        <v>5.0</v>
      </c>
      <c r="B16083" s="1" t="s">
        <v>15900</v>
      </c>
      <c r="C16083" t="str">
        <f>IFERROR(__xludf.DUMMYFUNCTION("GOOGLETRANSLATE(B16083, ""zh"", ""en"")"),"Comfortable to wear the right size 17880 choose the right size M")</f>
        <v>Comfortable to wear the right size 17880 choose the right size M</v>
      </c>
    </row>
    <row r="16084">
      <c r="A16084" s="1">
        <v>5.0</v>
      </c>
      <c r="B16084" s="1" t="s">
        <v>15901</v>
      </c>
      <c r="C16084" t="str">
        <f>IFERROR(__xludf.DUMMYFUNCTION("GOOGLETRANSLATE(B16084, ""zh"", ""en"")"),"Insulation size no idea, for children with a little big, but insulation is guaranteed, mainly do not want to hit the cup ah!")</f>
        <v>Insulation size no idea, for children with a little big, but insulation is guaranteed, mainly do not want to hit the cup ah!</v>
      </c>
    </row>
    <row r="16085">
      <c r="A16085" s="1">
        <v>5.0</v>
      </c>
      <c r="B16085" s="1" t="s">
        <v>15902</v>
      </c>
      <c r="C16085" t="str">
        <f>IFERROR(__xludf.DUMMYFUNCTION("GOOGLETRANSLATE(B16085, ""zh"", ""en"")"),"Relatively light really small, buy to wear than usual freshman code more appropriate.")</f>
        <v>Relatively light really small, buy to wear than usual freshman code more appropriate.</v>
      </c>
    </row>
    <row r="16086">
      <c r="A16086" s="1">
        <v>5.0</v>
      </c>
      <c r="B16086" s="1" t="s">
        <v>15903</v>
      </c>
      <c r="C16086" t="str">
        <f>IFERROR(__xludf.DUMMYFUNCTION("GOOGLETRANSLATE(B16086, ""zh"", ""en"")"),"The fountain pen is good satisfaction, packaging is worse")</f>
        <v>The fountain pen is good satisfaction, packaging is worse</v>
      </c>
    </row>
    <row r="16087">
      <c r="A16087" s="1">
        <v>2.0</v>
      </c>
      <c r="B16087" s="1" t="s">
        <v>8683</v>
      </c>
      <c r="C16087" t="str">
        <f>IFERROR(__xludf.DUMMYFUNCTION("GOOGLETRANSLATE(B16087, ""zh"", ""en"")"),"Size is too large size is too large, more relaxed.")</f>
        <v>Size is too large size is too large, more relaxed.</v>
      </c>
    </row>
    <row r="16088">
      <c r="A16088" s="1">
        <v>3.0</v>
      </c>
      <c r="B16088" s="1" t="s">
        <v>15904</v>
      </c>
      <c r="C16088" t="str">
        <f>IFERROR(__xludf.DUMMYFUNCTION("GOOGLETRANSLATE(B16088, ""zh"", ""en"")"),"Comment lid lax, sometimes leaking, and this does not meet the brand's image")</f>
        <v>Comment lid lax, sometimes leaking, and this does not meet the brand's image</v>
      </c>
    </row>
    <row r="16089">
      <c r="A16089" s="1">
        <v>3.0</v>
      </c>
      <c r="B16089" s="1" t="s">
        <v>15905</v>
      </c>
      <c r="C16089" t="str">
        <f>IFERROR(__xludf.DUMMYFUNCTION("GOOGLETRANSLATE(B16089, ""zh"", ""en"")"),"Hey thought that the Japanese version will comfort better than US version, in fact, is really not much to choose")</f>
        <v>Hey thought that the Japanese version will comfort better than US version, in fact, is really not much to choose</v>
      </c>
    </row>
    <row r="16090">
      <c r="A16090" s="1">
        <v>3.0</v>
      </c>
      <c r="B16090" s="1" t="s">
        <v>15906</v>
      </c>
      <c r="C16090" t="str">
        <f>IFERROR(__xludf.DUMMYFUNCTION("GOOGLETRANSLATE(B16090, ""zh"", ""en"")"),"M 176 / 62kg m too big to buy fabric colors are good, the recommended size is too big, 175, m to the code are below the trouser leg, shoulder and too wide.")</f>
        <v>M 176 / 62kg m too big to buy fabric colors are good, the recommended size is too big, 175, m to the code are below the trouser leg, shoulder and too wide.</v>
      </c>
    </row>
    <row r="16091">
      <c r="A16091" s="1">
        <v>1.0</v>
      </c>
      <c r="B16091" s="1" t="s">
        <v>15907</v>
      </c>
      <c r="C16091" t="str">
        <f>IFERROR(__xludf.DUMMYFUNCTION("GOOGLETRANSLATE(B16091, ""zh"", ""en"")"),"Seriously bad review! First time to buy things on overseas shopping experience is very poor, wasted 188 Prime membership fee! On the authenticity of the product, also expressed doubt! 1. logistics and customs clearance is very slow, to receive orders for "&amp;"nearly a month, playing a customer service telephone inquiries, logistics and distribution is updated; 2 parcel no AIU detailed list of sales (all shopping in Central Asia, United States and Asia, Japan and Asia, Germany and Asia too, there are shopping v"&amp;"ouchers, why this is not), there is no bubble paper cushions, boxes, only a shoe box and a pair of shoes;? 3 does not provide a tax clearance list, the first advance more than a thousand of taxes, after a month back only 7.1 yuan, to pass the beggar it? C"&amp;"ustomer service explained that customs clearance company collective clearance, ask me is how the refund of 7.1 out of? All in all, Amazon hello cow! Never felt so sorry and disappointed! Fortunately boots size quite accurate, domestic 37 yards, now 6M ver"&amp;"y appropriate. Just loose right leg, left leg tight, had been tried on the right side?")</f>
        <v>Seriously bad review! First time to buy things on overseas shopping experience is very poor, wasted 188 Prime membership fee! On the authenticity of the product, also expressed doubt! 1. logistics and customs clearance is very slow, to receive orders for nearly a month, playing a customer service telephone inquiries, logistics and distribution is updated; 2 parcel no AIU detailed list of sales (all shopping in Central Asia, United States and Asia, Japan and Asia, Germany and Asia too, there are shopping vouchers, why this is not), there is no bubble paper cushions, boxes, only a shoe box and a pair of shoes;? 3 does not provide a tax clearance list, the first advance more than a thousand of taxes, after a month back only 7.1 yuan, to pass the beggar it? Customer service explained that customs clearance company collective clearance, ask me is how the refund of 7.1 out of? All in all, Amazon hello cow! Never felt so sorry and disappointed! Fortunately boots size quite accurate, domestic 37 yards, now 6M very appropriate. Just loose right leg, left leg tight, had been tried on the right side?</v>
      </c>
    </row>
    <row r="16092">
      <c r="A16092" s="1">
        <v>1.0</v>
      </c>
      <c r="B16092" s="1" t="s">
        <v>15908</v>
      </c>
      <c r="C16092" t="str">
        <f>IFERROR(__xludf.DUMMYFUNCTION("GOOGLETRANSLATE(B16092, ""zh"", ""en"")"),"Too much garbage, small size severely allowed to complete this size, too small")</f>
        <v>Too much garbage, small size severely allowed to complete this size, too small</v>
      </c>
    </row>
    <row r="16093">
      <c r="A16093" s="1">
        <v>4.0</v>
      </c>
      <c r="B16093" s="1" t="s">
        <v>15909</v>
      </c>
      <c r="C16093" t="str">
        <f>IFERROR(__xludf.DUMMYFUNCTION("GOOGLETRANSLATE(B16093, ""zh"", ""en"")"),"Comfortable fabric waistband is a little too large, but the leg is tightened, do not know the waistband normal, whether the leg will be inappropriate")</f>
        <v>Comfortable fabric waistband is a little too large, but the leg is tightened, do not know the waistband normal, whether the leg will be inappropriate</v>
      </c>
    </row>
    <row r="16094">
      <c r="A16094" s="1">
        <v>4.0</v>
      </c>
      <c r="B16094" s="1" t="s">
        <v>15910</v>
      </c>
      <c r="C16094" t="str">
        <f>IFERROR(__xludf.DUMMYFUNCTION("GOOGLETRANSLATE(B16094, ""zh"", ""en"")"),"Code number is not know if this is appropriate LEE decks, for the thing fade it? ? Size, style is good.")</f>
        <v>Code number is not know if this is appropriate LEE decks, for the thing fade it? ? Size, style is good.</v>
      </c>
    </row>
    <row r="16095">
      <c r="A16095" s="1">
        <v>4.0</v>
      </c>
      <c r="B16095" s="1" t="s">
        <v>15911</v>
      </c>
      <c r="C16095" t="str">
        <f>IFERROR(__xludf.DUMMYFUNCTION("GOOGLETRANSLATE(B16095, ""zh"", ""en"")"),"Very, very comfortable! Very, very comfortable!")</f>
        <v>Very, very comfortable! Very, very comfortable!</v>
      </c>
    </row>
    <row r="16096">
      <c r="A16096" s="1">
        <v>4.0</v>
      </c>
      <c r="B16096" s="1" t="s">
        <v>15912</v>
      </c>
      <c r="C16096" t="str">
        <f>IFERROR(__xludf.DUMMYFUNCTION("GOOGLETRANSLATE(B16096, ""zh"", ""en"")"),"Pen color coated card stocks creamy, smooth pen is worth buying")</f>
        <v>Pen color coated card stocks creamy, smooth pen is worth buying</v>
      </c>
    </row>
    <row r="16097">
      <c r="A16097" s="1">
        <v>4.0</v>
      </c>
      <c r="B16097" s="1" t="s">
        <v>15913</v>
      </c>
      <c r="C16097" t="str">
        <f>IFERROR(__xludf.DUMMYFUNCTION("GOOGLETRANSLATE(B16097, ""zh"", ""en"")"),"Clothes very good, very nice, the overall experience is great partial short clothes, very self-cultivation, very nice, but the best buy a bigger size, because the right sleeve, but slightly shorter Length, raising his hand will be exposed belly ......")</f>
        <v>Clothes very good, very nice, the overall experience is great partial short clothes, very self-cultivation, very nice, but the best buy a bigger size, because the right sleeve, but slightly shorter Length, raising his hand will be exposed belly ......</v>
      </c>
    </row>
    <row r="16098">
      <c r="A16098" s="1">
        <v>5.0</v>
      </c>
      <c r="B16098" s="1" t="s">
        <v>15914</v>
      </c>
      <c r="C16098" t="str">
        <f>IFERROR(__xludf.DUMMYFUNCTION("GOOGLETRANSLATE(B16098, ""zh"", ""en"")"),"Logistics fast, fresh production date is the date of the last month, a large jar, yes")</f>
        <v>Logistics fast, fresh production date is the date of the last month, a large jar, yes</v>
      </c>
    </row>
    <row r="16099">
      <c r="A16099" s="1">
        <v>5.0</v>
      </c>
      <c r="B16099" s="1" t="s">
        <v>15915</v>
      </c>
      <c r="C16099" t="str">
        <f>IFERROR(__xludf.DUMMYFUNCTION("GOOGLETRANSLATE(B16099, ""zh"", ""en"")"),"Good clothes, wear very comfortable size to buy according to this body, comfortable to wear good clothes")</f>
        <v>Good clothes, wear very comfortable size to buy according to this body, comfortable to wear good clothes</v>
      </c>
    </row>
    <row r="16100">
      <c r="A16100" s="1">
        <v>5.0</v>
      </c>
      <c r="B16100" s="1" t="s">
        <v>15916</v>
      </c>
      <c r="C16100" t="str">
        <f>IFERROR(__xludf.DUMMYFUNCTION("GOOGLETRANSLATE(B16100, ""zh"", ""en"")"),"Very nice perfect cup of money, is what I want, the color is very texture")</f>
        <v>Very nice perfect cup of money, is what I want, the color is very texture</v>
      </c>
    </row>
    <row r="16101">
      <c r="A16101" s="1">
        <v>5.0</v>
      </c>
      <c r="B16101" s="1" t="s">
        <v>15917</v>
      </c>
      <c r="C16101" t="str">
        <f>IFERROR(__xludf.DUMMYFUNCTION("GOOGLETRANSLATE(B16101, ""zh"", ""en"")"),"Large-capacity high-capacity, cost-effective")</f>
        <v>Large-capacity high-capacity, cost-effective</v>
      </c>
    </row>
    <row r="16102">
      <c r="A16102" s="1">
        <v>5.0</v>
      </c>
      <c r="B16102" s="1" t="s">
        <v>15918</v>
      </c>
      <c r="C16102" t="str">
        <f>IFERROR(__xludf.DUMMYFUNCTION("GOOGLETRANSLATE(B16102, ""zh"", ""en"")"),"Very good 👍")</f>
        <v>Very good 👍</v>
      </c>
    </row>
    <row r="16103">
      <c r="A16103" s="1">
        <v>5.0</v>
      </c>
      <c r="B16103" s="1" t="s">
        <v>15919</v>
      </c>
      <c r="C16103" t="str">
        <f>IFERROR(__xludf.DUMMYFUNCTION("GOOGLETRANSLATE(B16103, ""zh"", ""en"")"),"Under Armor underwear or sports, the quality is very good very difficult to have to write a review, this is very good.比阿迪达斯 directly to throw off a few blocks! 162,94 pounds, s proper code!")</f>
        <v>Under Armor underwear or sports, the quality is very good very difficult to have to write a review, this is very good.比阿迪达斯 directly to throw off a few blocks! 162,94 pounds, s proper code!</v>
      </c>
    </row>
    <row r="16104">
      <c r="A16104" s="1">
        <v>5.0</v>
      </c>
      <c r="B16104" s="1" t="s">
        <v>15920</v>
      </c>
      <c r="C16104" t="str">
        <f>IFERROR(__xludf.DUMMYFUNCTION("GOOGLETRANSLATE(B16104, ""zh"", ""en"")"),"Zhendian treasure to buy, the price is too beautiful, by far the cheapest of the major sites to see. The price is too beautiful, though no shortage of, or could not cut hand. 162 / 51kg wearing very comfortable.")</f>
        <v>Zhendian treasure to buy, the price is too beautiful, by far the cheapest of the major sites to see. The price is too beautiful, though no shortage of, or could not cut hand. 162 / 51kg wearing very comfortable.</v>
      </c>
    </row>
    <row r="16105">
      <c r="A16105" s="1">
        <v>5.0</v>
      </c>
      <c r="B16105" s="1" t="s">
        <v>15921</v>
      </c>
      <c r="C16105" t="str">
        <f>IFERROR(__xludf.DUMMYFUNCTION("GOOGLETRANSLATE(B16105, ""zh"", ""en"")"),"well! Buy a water purifier that comes before February on a red light, this time to buy a pack of three, six months can be!")</f>
        <v>well! Buy a water purifier that comes before February on a red light, this time to buy a pack of three, six months can be!</v>
      </c>
    </row>
    <row r="16106">
      <c r="A16106" s="1">
        <v>5.0</v>
      </c>
      <c r="B16106" s="1" t="s">
        <v>15922</v>
      </c>
      <c r="C16106" t="str">
        <f>IFERROR(__xludf.DUMMYFUNCTION("GOOGLETRANSLATE(B16106, ""zh"", ""en"")"),"Good very good")</f>
        <v>Good very good</v>
      </c>
    </row>
    <row r="16107">
      <c r="A16107" s="1">
        <v>5.0</v>
      </c>
      <c r="B16107" s="1" t="s">
        <v>15923</v>
      </c>
      <c r="C16107" t="str">
        <f>IFERROR(__xludf.DUMMYFUNCTION("GOOGLETRANSLATE(B16107, ""zh"", ""en"")"),"I liked the idea of ​​completely breaking the pen, the pen will write eventually becoming plugs. Previously bought a pen, and the like are heroes, bookstores to buy, I do not know true and false, anyway, do not want to write a few times used to plug too m"&amp;"uch trouble, but this pen changed my concept of pen, pen It could be so smooth, better than the pen to write, that's great!")</f>
        <v>I liked the idea of ​​completely breaking the pen, the pen will write eventually becoming plugs. Previously bought a pen, and the like are heroes, bookstores to buy, I do not know true and false, anyway, do not want to write a few times used to plug too much trouble, but this pen changed my concept of pen, pen It could be so smooth, better than the pen to write, that's great!</v>
      </c>
    </row>
    <row r="16108">
      <c r="A16108" s="1">
        <v>5.0</v>
      </c>
      <c r="B16108" s="1" t="s">
        <v>15924</v>
      </c>
      <c r="C16108" t="str">
        <f>IFERROR(__xludf.DUMMYFUNCTION("GOOGLETRANSLATE(B16108, ""zh"", ""en"")"),"Thermal insulation effect, cold temperature down to a day or so is still 40 degrees, in addition to easily fear bump Diaoqi")</f>
        <v>Thermal insulation effect, cold temperature down to a day or so is still 40 degrees, in addition to easily fear bump Diaoqi</v>
      </c>
    </row>
    <row r="16109">
      <c r="A16109" s="1">
        <v>5.0</v>
      </c>
      <c r="B16109" s="1" t="s">
        <v>15925</v>
      </c>
      <c r="C16109" t="str">
        <f>IFERROR(__xludf.DUMMYFUNCTION("GOOGLETRANSLATE(B16109, ""zh"", ""en"")"),"well! well! very powerful! like! Price value!")</f>
        <v>well! well! very powerful! like! Price value!</v>
      </c>
    </row>
    <row r="16110">
      <c r="A16110" s="1">
        <v>5.0</v>
      </c>
      <c r="B16110" s="1" t="s">
        <v>15926</v>
      </c>
      <c r="C16110" t="str">
        <f>IFERROR(__xludf.DUMMYFUNCTION("GOOGLETRANSLATE(B16110, ""zh"", ""en"")"),"Very satisfied with the shopping, very comfortable shoes Amazon's first attempt to buy overseas, logistics faster than I imagined, ten more than a day sent to my hands from the United Kingdom. ECCO shoes are really comfortable, my legs wider so pick shoes"&amp;", Adidas shoes barely fit, either too narrow, or would be too long. ECCO let me have a magical experience, wearing a very fit, but also significantly thin feet. Leather shoes, the permeability is excellent. About Size: I try in the counter 40 yards approp"&amp;"riate, ECCO is the world's the same code, the next single is 6.5-7 code, a hand wearing just right. Perfect for shopping and a perfect pair of shoes!")</f>
        <v>Very satisfied with the shopping, very comfortable shoes Amazon's first attempt to buy overseas, logistics faster than I imagined, ten more than a day sent to my hands from the United Kingdom. ECCO shoes are really comfortable, my legs wider so pick shoes, Adidas shoes barely fit, either too narrow, or would be too long. ECCO let me have a magical experience, wearing a very fit, but also significantly thin feet. Leather shoes, the permeability is excellent. About Size: I try in the counter 40 yards appropriate, ECCO is the world's the same code, the next single is 6.5-7 code, a hand wearing just right. Perfect for shopping and a perfect pair of shoes!</v>
      </c>
    </row>
    <row r="16111">
      <c r="A16111" s="1">
        <v>5.0</v>
      </c>
      <c r="B16111" s="1" t="s">
        <v>15927</v>
      </c>
      <c r="C16111" t="str">
        <f>IFERROR(__xludf.DUMMYFUNCTION("GOOGLETRANSLATE(B16111, ""zh"", ""en"")"),"Logistics ultra-fast six days to Beijing. Very easy to use, often to buy, and the baby together")</f>
        <v>Logistics ultra-fast six days to Beijing. Very easy to use, often to buy, and the baby together</v>
      </c>
    </row>
    <row r="16112">
      <c r="A16112" s="1">
        <v>5.0</v>
      </c>
      <c r="B16112" s="1" t="s">
        <v>15928</v>
      </c>
      <c r="C16112" t="str">
        <f>IFERROR(__xludf.DUMMYFUNCTION("GOOGLETRANSLATE(B16112, ""zh"", ""en"")"),"A successful sea Amoy very atmospheric, work fine, very satisfied")</f>
        <v>A successful sea Amoy very atmospheric, work fine, very satisfied</v>
      </c>
    </row>
    <row r="16113">
      <c r="A16113" s="1">
        <v>5.0</v>
      </c>
      <c r="B16113" s="1" t="s">
        <v>15929</v>
      </c>
      <c r="C16113" t="str">
        <f>IFERROR(__xludf.DUMMYFUNCTION("GOOGLETRANSLATE(B16113, ""zh"", ""en"")"),"Good clothes for Daddy bought 178,160 pounds, to buy L just right, that is a little loose, which should put thicker clothes on the line, very warm, satisfied")</f>
        <v>Good clothes for Daddy bought 178,160 pounds, to buy L just right, that is a little loose, which should put thicker clothes on the line, very warm, satisfied</v>
      </c>
    </row>
    <row r="16114">
      <c r="A16114" s="1">
        <v>5.0</v>
      </c>
      <c r="B16114" s="1" t="s">
        <v>15930</v>
      </c>
      <c r="C16114" t="str">
        <f>IFERROR(__xludf.DUMMYFUNCTION("GOOGLETRANSLATE(B16114, ""zh"", ""en"")"),"Sale did not guarantee water floss is actually pretty good, is bad for no reason, trying to find a sale is immune, contact Amazon customer service just made the United States Bi Jie-mail, surf the Internet and their own translation of email in the past, a"&amp;"ll did not bounce security, yet it clear they want to buy, find a lot of home appliance repair, and even surf the Internet and master repair will not repair.")</f>
        <v>Sale did not guarantee water floss is actually pretty good, is bad for no reason, trying to find a sale is immune, contact Amazon customer service just made the United States Bi Jie-mail, surf the Internet and their own translation of email in the past, all did not bounce security, yet it clear they want to buy, find a lot of home appliance repair, and even surf the Internet and master repair will not repair.</v>
      </c>
    </row>
    <row r="16115">
      <c r="A16115" s="1">
        <v>5.0</v>
      </c>
      <c r="B16115" s="1" t="s">
        <v>15931</v>
      </c>
      <c r="C16115" t="str">
        <f>IFERROR(__xludf.DUMMYFUNCTION("GOOGLETRANSLATE(B16115, ""zh"", ""en"")"),"Something good fit, it is recommended")</f>
        <v>Something good fit, it is recommended</v>
      </c>
    </row>
    <row r="16116">
      <c r="A16116" s="1">
        <v>5.0</v>
      </c>
      <c r="B16116" s="1" t="s">
        <v>15932</v>
      </c>
      <c r="C16116" t="str">
        <f>IFERROR(__xludf.DUMMYFUNCTION("GOOGLETRANSLATE(B16116, ""zh"", ""en"")"),"Good quality feeling a little small, should buy a bigger size. Last buy not playing bad is 7.5w, and this double feeling a bit small. 255mm usually wear shoes.")</f>
        <v>Good quality feeling a little small, should buy a bigger size. Last buy not playing bad is 7.5w, and this double feeling a bit small. 255mm usually wear shoes.</v>
      </c>
    </row>
    <row r="16117">
      <c r="A16117" s="1">
        <v>5.0</v>
      </c>
      <c r="B16117" s="1" t="s">
        <v>15933</v>
      </c>
      <c r="C16117" t="str">
        <f>IFERROR(__xludf.DUMMYFUNCTION("GOOGLETRANSLATE(B16117, ""zh"", ""en"")"),"Comfortable elastic fabrics, usually wear pants 32 or 31, see elastic pants, said product selected 30, is very suitable, thin section")</f>
        <v>Comfortable elastic fabrics, usually wear pants 32 or 31, see elastic pants, said product selected 30, is very suitable, thin section</v>
      </c>
    </row>
    <row r="16118">
      <c r="A16118" s="1">
        <v>5.0</v>
      </c>
      <c r="B16118" s="1" t="s">
        <v>15934</v>
      </c>
      <c r="C16118" t="str">
        <f>IFERROR(__xludf.DUMMYFUNCTION("GOOGLETRANSLATE(B16118, ""zh"", ""en"")"),"Pen is very good, bought in advance by the black ink can suddenly write")</f>
        <v>Pen is very good, bought in advance by the black ink can suddenly write</v>
      </c>
    </row>
    <row r="16119">
      <c r="A16119" s="1">
        <v>5.0</v>
      </c>
      <c r="B16119" s="1" t="s">
        <v>15935</v>
      </c>
      <c r="C16119" t="str">
        <f>IFERROR(__xludf.DUMMYFUNCTION("GOOGLETRANSLATE(B16119, ""zh"", ""en"")"),"Very easy to use multi-function, easy to use, very fond of his wife, it is likely to draw the hand cleaning.")</f>
        <v>Very easy to use multi-function, easy to use, very fond of his wife, it is likely to draw the hand cleaning.</v>
      </c>
    </row>
    <row r="16120">
      <c r="A16120" s="1">
        <v>2.0</v>
      </c>
      <c r="B16120" s="1" t="s">
        <v>15936</v>
      </c>
      <c r="C16120" t="str">
        <f>IFERROR(__xludf.DUMMYFUNCTION("GOOGLETRANSLATE(B16120, ""zh"", ""en"")"),"Student table, is not worth the purchase from overseas students table, worth the price, but the strap too hard. To be re-equipped.")</f>
        <v>Student table, is not worth the purchase from overseas students table, worth the price, but the strap too hard. To be re-equipped.</v>
      </c>
    </row>
    <row r="16121">
      <c r="A16121" s="1">
        <v>3.0</v>
      </c>
      <c r="B16121" s="1" t="s">
        <v>15937</v>
      </c>
      <c r="C16121" t="str">
        <f>IFERROR(__xludf.DUMMYFUNCTION("GOOGLETRANSLATE(B16121, ""zh"", ""en"")"),"Compare frizz a little edgy, do not know the truth, do not evaluate from before, I do not know how many wasted points, points can change money now know, they should look carefully evaluated, then I put these words to copy to go, both to earn points also s"&amp;"ave, copy where they go, the most important thing is, do not seriously review, do not think how much worse word, sent directly to it, recommend it to everyone! !")</f>
        <v>Compare frizz a little edgy, do not know the truth, do not evaluate from before, I do not know how many wasted points, points can change money now know, they should look carefully evaluated, then I put these words to copy to go, both to earn points also save, copy where they go, the most important thing is, do not seriously review, do not think how much worse word, sent directly to it, recommend it to everyone! !</v>
      </c>
    </row>
    <row r="16122">
      <c r="A16122" s="1">
        <v>3.0</v>
      </c>
      <c r="B16122" s="1" t="s">
        <v>15938</v>
      </c>
      <c r="C16122" t="str">
        <f>IFERROR(__xludf.DUMMYFUNCTION("GOOGLETRANSLATE(B16122, ""zh"", ""en"")"),"Glow in the dark is not obvious, luminous feeling is not very obvious, very nice shape watch")</f>
        <v>Glow in the dark is not obvious, luminous feeling is not very obvious, very nice shape watch</v>
      </c>
    </row>
    <row r="16123">
      <c r="A16123" s="1">
        <v>1.0</v>
      </c>
      <c r="B16123" s="1" t="s">
        <v>15939</v>
      </c>
      <c r="C16123" t="str">
        <f>IFERROR(__xludf.DUMMYFUNCTION("GOOGLETRANSLATE(B16123, ""zh"", ""en"")"),"Goods quality problems This dress is perfect for me, did not expect to get the goods found serious quality problems, do not wear sleeves on the left, the original production when face twisted up with folder, do not stretch to go, hope not to have quality "&amp;"problems clothes to the customer, the customer cause great trouble")</f>
        <v>Goods quality problems This dress is perfect for me, did not expect to get the goods found serious quality problems, do not wear sleeves on the left, the original production when face twisted up with folder, do not stretch to go, hope not to have quality problems clothes to the customer, the customer cause great trouble</v>
      </c>
    </row>
    <row r="16124">
      <c r="A16124" s="1">
        <v>1.0</v>
      </c>
      <c r="B16124" s="1" t="s">
        <v>15940</v>
      </c>
      <c r="C16124" t="str">
        <f>IFERROR(__xludf.DUMMYFUNCTION("GOOGLETRANSLATE(B16124, ""zh"", ""en"")"),"Buy protein powder friends look at me, I do not know, other people have received is what, unfortunately can not upload pictures, sign for delivery time, express a single protein powder in the back, opening down at him I did not see, signing his name to be"&amp;" taken away, only to find my way, sealing the side split in half, with plastic buckets protein powder also pressed some depression, the other did not open the bottle sealed membrane, eat, then taste super sweet, not too can accept, after flushing white to"&amp;" pink, the day before yesterday, after eating a sore throat pain until now, I feel a little weak, I can not distinguish the authenticity, we do not believe, what to eat can be heaven. Natural diet, eating more meat and protein supplements just fine. Who d"&amp;"oes not want to suffer like me.")</f>
        <v>Buy protein powder friends look at me, I do not know, other people have received is what, unfortunately can not upload pictures, sign for delivery time, express a single protein powder in the back, opening down at him I did not see, signing his name to be taken away, only to find my way, sealing the side split in half, with plastic buckets protein powder also pressed some depression, the other did not open the bottle sealed membrane, eat, then taste super sweet, not too can accept, after flushing white to pink, the day before yesterday, after eating a sore throat pain until now, I feel a little weak, I can not distinguish the authenticity, we do not believe, what to eat can be heaven. Natural diet, eating more meat and protein supplements just fine. Who does not want to suffer like me.</v>
      </c>
    </row>
    <row r="16125">
      <c r="A16125" s="1">
        <v>1.0</v>
      </c>
      <c r="B16125" s="1" t="s">
        <v>15941</v>
      </c>
      <c r="C16125" t="str">
        <f>IFERROR(__xludf.DUMMYFUNCTION("GOOGLETRANSLATE(B16125, ""zh"", ""en"")"),"Size Chart wrong, wrong to mislead size table completely wrong, equivalent to 25.5 40 domestic, 41 but to write here. Has returned")</f>
        <v>Size Chart wrong, wrong to mislead size table completely wrong, equivalent to 25.5 40 domestic, 41 but to write here. Has returned</v>
      </c>
    </row>
    <row r="16126">
      <c r="A16126" s="1">
        <v>4.0</v>
      </c>
      <c r="B16126" s="1" t="s">
        <v>15942</v>
      </c>
      <c r="C16126" t="str">
        <f>IFERROR(__xludf.DUMMYFUNCTION("GOOGLETRANSLATE(B16126, ""zh"", ""en"")"),"Good quality of good quality, is lined with suede, not to wear, hoping lint-free way.")</f>
        <v>Good quality of good quality, is lined with suede, not to wear, hoping lint-free way.</v>
      </c>
    </row>
    <row r="16127">
      <c r="A16127" s="1">
        <v>4.0</v>
      </c>
      <c r="B16127" s="1" t="s">
        <v>15943</v>
      </c>
      <c r="C16127" t="str">
        <f>IFERROR(__xludf.DUMMYFUNCTION("GOOGLETRANSLATE(B16127, ""zh"", ""en"")"),"Really really big wide fabric a little thin for the big fat")</f>
        <v>Really really big wide fabric a little thin for the big fat</v>
      </c>
    </row>
    <row r="16128">
      <c r="A16128" s="1">
        <v>4.0</v>
      </c>
      <c r="B16128" s="1" t="s">
        <v>15944</v>
      </c>
      <c r="C16128" t="str">
        <f>IFERROR(__xludf.DUMMYFUNCTION("GOOGLETRANSLATE(B16128, ""zh"", ""en"")"),"Comfortable to wear the right size, and flexible, comfortable to wear.")</f>
        <v>Comfortable to wear the right size, and flexible, comfortable to wear.</v>
      </c>
    </row>
    <row r="16129">
      <c r="A16129" s="1">
        <v>4.0</v>
      </c>
      <c r="B16129" s="1" t="s">
        <v>15945</v>
      </c>
      <c r="C16129" t="str">
        <f>IFERROR(__xludf.DUMMYFUNCTION("GOOGLETRANSLATE(B16129, ""zh"", ""en"")"),"Pungent plastic taste, packaging without delay. . Original box without any cushioning package sent me up! Open the box, pungent plastic odor (machine, usb cable, electrical distribution, the smell is still scattered for a long time), does not seem willing"&amp;" to use plastic good point on the machine.")</f>
        <v>Pungent plastic taste, packaging without delay. . Original box without any cushioning package sent me up! Open the box, pungent plastic odor (machine, usb cable, electrical distribution, the smell is still scattered for a long time), does not seem willing to use plastic good point on the machine.</v>
      </c>
    </row>
    <row r="16130">
      <c r="A16130" s="1">
        <v>4.0</v>
      </c>
      <c r="B16130" s="1" t="s">
        <v>5083</v>
      </c>
      <c r="C16130" t="str">
        <f>IFERROR(__xludf.DUMMYFUNCTION("GOOGLETRANSLATE(B16130, ""zh"", ""en"")"),"Four-star with imagination are not the same but very good")</f>
        <v>Four-star with imagination are not the same but very good</v>
      </c>
    </row>
    <row r="16131">
      <c r="A16131" s="1">
        <v>5.0</v>
      </c>
      <c r="B16131" s="1" t="s">
        <v>15946</v>
      </c>
      <c r="C16131" t="str">
        <f>IFERROR(__xludf.DUMMYFUNCTION("GOOGLETRANSLATE(B16131, ""zh"", ""en"")"),"Like easy to use, sized for the baby, a girl or a component")</f>
        <v>Like easy to use, sized for the baby, a girl or a component</v>
      </c>
    </row>
    <row r="16132">
      <c r="A16132" s="1">
        <v>5.0</v>
      </c>
      <c r="B16132" s="1" t="s">
        <v>15947</v>
      </c>
      <c r="C16132" t="str">
        <f>IFERROR(__xludf.DUMMYFUNCTION("GOOGLETRANSLATE(B16132, ""zh"", ""en"")"),"Slightly larger version of Slim loose did not see coming!")</f>
        <v>Slightly larger version of Slim loose did not see coming!</v>
      </c>
    </row>
    <row r="16133">
      <c r="A16133" s="1">
        <v>5.0</v>
      </c>
      <c r="B16133" s="1" t="s">
        <v>15948</v>
      </c>
      <c r="C16133" t="str">
        <f>IFERROR(__xludf.DUMMYFUNCTION("GOOGLETRANSLATE(B16133, ""zh"", ""en"")"),"Comfort, style, quality is very satisfactory, very good a shoe, the quality of Leverage, and the price is affordable, logistics quickly")</f>
        <v>Comfort, style, quality is very satisfactory, very good a shoe, the quality of Leverage, and the price is affordable, logistics quickly</v>
      </c>
    </row>
    <row r="16134">
      <c r="A16134" s="1">
        <v>5.0</v>
      </c>
      <c r="B16134" s="1" t="s">
        <v>15949</v>
      </c>
      <c r="C16134" t="str">
        <f>IFERROR(__xludf.DUMMYFUNCTION("GOOGLETRANSLATE(B16134, ""zh"", ""en"")"),"Electricity more adequate sound quality is good for jogging wear, a lot easier than wired")</f>
        <v>Electricity more adequate sound quality is good for jogging wear, a lot easier than wired</v>
      </c>
    </row>
    <row r="16135">
      <c r="A16135" s="1">
        <v>5.0</v>
      </c>
      <c r="B16135" s="1" t="s">
        <v>15950</v>
      </c>
      <c r="C16135" t="str">
        <f>IFERROR(__xludf.DUMMYFUNCTION("GOOGLETRANSLATE(B16135, ""zh"", ""en"")"),"Black Medium height 172cm, weight 76kg, choose the number, it is fit. for reference")</f>
        <v>Black Medium height 172cm, weight 76kg, choose the number, it is fit. for reference</v>
      </c>
    </row>
    <row r="16136">
      <c r="A16136" s="1">
        <v>5.0</v>
      </c>
      <c r="B16136" s="1" t="s">
        <v>15951</v>
      </c>
      <c r="C16136" t="str">
        <f>IFERROR(__xludf.DUMMYFUNCTION("GOOGLETRANSLATE(B16136, ""zh"", ""en"")"),"Slim is very slim! Not bad, but also concern")</f>
        <v>Slim is very slim! Not bad, but also concern</v>
      </c>
    </row>
    <row r="16137">
      <c r="A16137" s="1">
        <v>5.0</v>
      </c>
      <c r="B16137" s="1" t="s">
        <v>15952</v>
      </c>
      <c r="C16137" t="str">
        <f>IFERROR(__xludf.DUMMYFUNCTION("GOOGLETRANSLATE(B16137, ""zh"", ""en"")"),"Water is really good sweet")</f>
        <v>Water is really good sweet</v>
      </c>
    </row>
    <row r="16138">
      <c r="A16138" s="1">
        <v>5.0</v>
      </c>
      <c r="B16138" s="1" t="s">
        <v>15953</v>
      </c>
      <c r="C16138" t="str">
        <f>IFERROR(__xludf.DUMMYFUNCTION("GOOGLETRANSLATE(B16138, ""zh"", ""en"")"),"Worth having to buy the girl, a little obvious fat feet, comfort, not to say!")</f>
        <v>Worth having to buy the girl, a little obvious fat feet, comfort, not to say!</v>
      </c>
    </row>
    <row r="16139">
      <c r="A16139" s="1">
        <v>5.0</v>
      </c>
      <c r="B16139" s="1" t="s">
        <v>15954</v>
      </c>
      <c r="C16139" t="str">
        <f>IFERROR(__xludf.DUMMYFUNCTION("GOOGLETRANSLATE(B16139, ""zh"", ""en"")"),"Cute ~ very good quality, get the baby go out into his mouth, lines on each leaf Clover is different, the baby can play with a piece of the past")</f>
        <v>Cute ~ very good quality, get the baby go out into his mouth, lines on each leaf Clover is different, the baby can play with a piece of the past</v>
      </c>
    </row>
    <row r="16140">
      <c r="A16140" s="1">
        <v>5.0</v>
      </c>
      <c r="B16140" s="1" t="s">
        <v>15955</v>
      </c>
      <c r="C16140" t="str">
        <f>IFERROR(__xludf.DUMMYFUNCTION("GOOGLETRANSLATE(B16140, ""zh"", ""en"")"),"Good good quality, but the length of embarrassing, some small household")</f>
        <v>Good good quality, but the length of embarrassing, some small household</v>
      </c>
    </row>
    <row r="16141">
      <c r="A16141" s="1">
        <v>5.0</v>
      </c>
      <c r="B16141" s="1" t="s">
        <v>15956</v>
      </c>
      <c r="C16141" t="str">
        <f>IFERROR(__xludf.DUMMYFUNCTION("GOOGLETRANSLATE(B16141, ""zh"", ""en"")"),"Cheap, easy to use 2T price to buy 5T, very cost-effective")</f>
        <v>Cheap, easy to use 2T price to buy 5T, very cost-effective</v>
      </c>
    </row>
    <row r="16142">
      <c r="A16142" s="1">
        <v>5.0</v>
      </c>
      <c r="B16142" s="1" t="s">
        <v>15957</v>
      </c>
      <c r="C16142" t="str">
        <f>IFERROR(__xludf.DUMMYFUNCTION("GOOGLETRANSLATE(B16142, ""zh"", ""en"")"),"Yardage is very positive yardage is very positive, buy accordance with the usual yardage on the line")</f>
        <v>Yardage is very positive yardage is very positive, buy accordance with the usual yardage on the line</v>
      </c>
    </row>
    <row r="16143">
      <c r="A16143" s="1">
        <v>5.0</v>
      </c>
      <c r="B16143" s="1" t="s">
        <v>15958</v>
      </c>
      <c r="C16143" t="str">
        <f>IFERROR(__xludf.DUMMYFUNCTION("GOOGLETRANSLATE(B16143, ""zh"", ""en"")"),"Very good good, very good, next time. Thank you!")</f>
        <v>Very good good, very good, next time. Thank you!</v>
      </c>
    </row>
    <row r="16144">
      <c r="A16144" s="1">
        <v>5.0</v>
      </c>
      <c r="B16144" s="1" t="s">
        <v>15959</v>
      </c>
      <c r="C16144" t="str">
        <f>IFERROR(__xludf.DUMMYFUNCTION("GOOGLETRANSLATE(B16144, ""zh"", ""en"")"),"The size of the right size, comfortable, and US version compared, more fashion sense!")</f>
        <v>The size of the right size, comfortable, and US version compared, more fashion sense!</v>
      </c>
    </row>
    <row r="16145">
      <c r="A16145" s="1">
        <v>5.0</v>
      </c>
      <c r="B16145" s="1" t="s">
        <v>15960</v>
      </c>
      <c r="C16145" t="str">
        <f>IFERROR(__xludf.DUMMYFUNCTION("GOOGLETRANSLATE(B16145, ""zh"", ""en"")"),"Good I bought half a yard, so the length of rather long, but the width W suitable. BTW there are two very good, one is to go up in the tile floor very slippery, and the second is a bit heavy shoes, but the shoes still very good")</f>
        <v>Good I bought half a yard, so the length of rather long, but the width W suitable. BTW there are two very good, one is to go up in the tile floor very slippery, and the second is a bit heavy shoes, but the shoes still very good</v>
      </c>
    </row>
    <row r="16146">
      <c r="A16146" s="1">
        <v>5.0</v>
      </c>
      <c r="B16146" s="1" t="s">
        <v>15961</v>
      </c>
      <c r="C16146" t="str">
        <f>IFERROR(__xludf.DUMMYFUNCTION("GOOGLETRANSLATE(B16146, ""zh"", ""en"")"),"Good authentic, wider than the soles Air max, but very comfortable")</f>
        <v>Good authentic, wider than the soles Air max, but very comfortable</v>
      </c>
    </row>
    <row r="16147">
      <c r="A16147" s="1">
        <v>5.0</v>
      </c>
      <c r="B16147" s="1" t="s">
        <v>15962</v>
      </c>
      <c r="C16147" t="str">
        <f>IFERROR(__xludf.DUMMYFUNCTION("GOOGLETRANSLATE(B16147, ""zh"", ""en"")"),"Bought the clothes are comfortable to wear sports wear autumn and winter days, this first tried it too hot, just what size. I 173CM 80KG election XL is just right, very thin. Estimates greater than 170CM, 70KG-90KG can choose XL.")</f>
        <v>Bought the clothes are comfortable to wear sports wear autumn and winter days, this first tried it too hot, just what size. I 173CM 80KG election XL is just right, very thin. Estimates greater than 170CM, 70KG-90KG can choose XL.</v>
      </c>
    </row>
    <row r="16148">
      <c r="A16148" s="1">
        <v>5.0</v>
      </c>
      <c r="B16148" s="1" t="s">
        <v>15963</v>
      </c>
      <c r="C16148" t="str">
        <f>IFERROR(__xludf.DUMMYFUNCTION("GOOGLETRANSLATE(B16148, ""zh"", ""en"")"),"Good health care products found on the Amazon store for a long time and ultimately selected extraction Levin US C0Q10, a total of 2 times, bought four bottles of the health care products. The first is the direct purchase from Amazon, although the price of"&amp;" some small expensive, but fast! Shipping status online can check the courier. The second is to buy from the same manufacturer but from the manufacturer direct purchase price is cheaper than the first one of these, but the speed is relatively slow, can no"&amp;"t find online delivery of transport situation. The nourishment of the heart rate steady for some time feeling a lot, do not know whether it is the role of the heart. Continued use for some time before additional comment.")</f>
        <v>Good health care products found on the Amazon store for a long time and ultimately selected extraction Levin US C0Q10, a total of 2 times, bought four bottles of the health care products. The first is the direct purchase from Amazon, although the price of some small expensive, but fast! Shipping status online can check the courier. The second is to buy from the same manufacturer but from the manufacturer direct purchase price is cheaper than the first one of these, but the speed is relatively slow, can not find online delivery of transport situation. The nourishment of the heart rate steady for some time feeling a lot, do not know whether it is the role of the heart. Continued use for some time before additional comment.</v>
      </c>
    </row>
    <row r="16149">
      <c r="A16149" s="1">
        <v>5.0</v>
      </c>
      <c r="B16149" s="1" t="s">
        <v>15964</v>
      </c>
      <c r="C16149" t="str">
        <f>IFERROR(__xludf.DUMMYFUNCTION("GOOGLETRANSLATE(B16149, ""zh"", ""en"")"),"Nice jeans elastic, comfortable fabric, size is too large to small one to two yards, suitable for spring wear")</f>
        <v>Nice jeans elastic, comfortable fabric, size is too large to small one to two yards, suitable for spring wear</v>
      </c>
    </row>
    <row r="16150">
      <c r="A16150" s="1">
        <v>5.0</v>
      </c>
      <c r="B16150" s="1" t="s">
        <v>15965</v>
      </c>
      <c r="C16150" t="str">
        <f>IFERROR(__xludf.DUMMYFUNCTION("GOOGLETRANSLATE(B16150, ""zh"", ""en"")"),"Recommended very beautiful and powerful premium model. 5 Series saw a variety of comparison, in fact, this is an automatic winding. Less than 59 orange and minced meat attachment. But 59 to scouring the sea freight own at least five or six hundred. 58 is "&amp;"really a good deal")</f>
        <v>Recommended very beautiful and powerful premium model. 5 Series saw a variety of comparison, in fact, this is an automatic winding. Less than 59 orange and minced meat attachment. But 59 to scouring the sea freight own at least five or six hundred. 58 is really a good deal</v>
      </c>
    </row>
    <row r="16151">
      <c r="A16151" s="1">
        <v>5.0</v>
      </c>
      <c r="B16151" s="1" t="s">
        <v>15966</v>
      </c>
      <c r="C16151" t="str">
        <f>IFERROR(__xludf.DUMMYFUNCTION("GOOGLETRANSLATE(B16151, ""zh"", ""en"")"),"Slim Slim comfortable, comfortable, stylish")</f>
        <v>Slim Slim comfortable, comfortable, stylish</v>
      </c>
    </row>
    <row r="16152">
      <c r="A16152" s="1">
        <v>5.0</v>
      </c>
      <c r="B16152" s="1" t="s">
        <v>14637</v>
      </c>
      <c r="C16152" t="str">
        <f>IFERROR(__xludf.DUMMYFUNCTION("GOOGLETRANSLATE(B16152, ""zh"", ""en"")"),"Always good, cheap and always good, cheap")</f>
        <v>Always good, cheap and always good, cheap</v>
      </c>
    </row>
    <row r="16153">
      <c r="A16153" s="1">
        <v>2.0</v>
      </c>
      <c r="B16153" s="1" t="s">
        <v>15967</v>
      </c>
      <c r="C16153" t="str">
        <f>IFERROR(__xludf.DUMMYFUNCTION("GOOGLETRANSLATE(B16153, ""zh"", ""en"")"),"No type of fabric is very soft and feels very comfortable, but nothing to wear type, crotch and very tight, it seems that the next pair of jeans or to try to buy")</f>
        <v>No type of fabric is very soft and feels very comfortable, but nothing to wear type, crotch and very tight, it seems that the next pair of jeans or to try to buy</v>
      </c>
    </row>
    <row r="16154">
      <c r="A16154" s="1">
        <v>3.0</v>
      </c>
      <c r="B16154" s="1" t="s">
        <v>15968</v>
      </c>
      <c r="C16154" t="str">
        <f>IFERROR(__xludf.DUMMYFUNCTION("GOOGLETRANSLATE(B16154, ""zh"", ""en"")"),"Almost feel like a general than to be original, generally like it")</f>
        <v>Almost feel like a general than to be original, generally like it</v>
      </c>
    </row>
    <row r="16155">
      <c r="A16155" s="1">
        <v>3.0</v>
      </c>
      <c r="B16155" s="1" t="s">
        <v>15969</v>
      </c>
      <c r="C16155" t="str">
        <f>IFERROR(__xludf.DUMMYFUNCTION("GOOGLETRANSLATE(B16155, ""zh"", ""en"")"),"Dew point dew point is easy to want to retire completely different allowed")</f>
        <v>Dew point dew point is easy to want to retire completely different allowed</v>
      </c>
    </row>
    <row r="16156">
      <c r="A16156" s="1">
        <v>3.0</v>
      </c>
      <c r="B16156" s="1" t="s">
        <v>15970</v>
      </c>
      <c r="C16156" t="str">
        <f>IFERROR(__xludf.DUMMYFUNCTION("GOOGLETRANSLATE(B16156, ""zh"", ""en"")"),"Poor workmanship, poor workmanship multi-thread, multi-thread, some places have not sewn on, this is the worst global share an experience inside. Or has always been high imitation")</f>
        <v>Poor workmanship, poor workmanship multi-thread, multi-thread, some places have not sewn on, this is the worst global share an experience inside. Or has always been high imitation</v>
      </c>
    </row>
    <row r="16157">
      <c r="A16157" s="1">
        <v>1.0</v>
      </c>
      <c r="B16157" s="1" t="s">
        <v>15971</v>
      </c>
      <c r="C16157" t="str">
        <f>IFERROR(__xludf.DUMMYFUNCTION("GOOGLETRANSLATE(B16157, ""zh"", ""en"")"),"Poor thin fabrics than expected, the size is too large, the neckline collar pin hole leakage. Return too much trouble, alas, not as good as the first pieces of good")</f>
        <v>Poor thin fabrics than expected, the size is too large, the neckline collar pin hole leakage. Return too much trouble, alas, not as good as the first pieces of good</v>
      </c>
    </row>
    <row r="16158">
      <c r="A16158" s="1">
        <v>1.0</v>
      </c>
      <c r="B16158" s="1" t="s">
        <v>15972</v>
      </c>
      <c r="C16158" t="str">
        <f>IFERROR(__xludf.DUMMYFUNCTION("GOOGLETRANSLATE(B16158, ""zh"", ""en"")"),"Appearance is better to imagine the good volume larger than Western Digital, Seagate and so common mobile hard disk; aluminum is rubber joints, so a little pinch shell, there is a sound Zhi Zhizhi")</f>
        <v>Appearance is better to imagine the good volume larger than Western Digital, Seagate and so common mobile hard disk; aluminum is rubber joints, so a little pinch shell, there is a sound Zhi Zhizhi</v>
      </c>
    </row>
    <row r="16159">
      <c r="A16159" s="1">
        <v>1.0</v>
      </c>
      <c r="B16159" s="1" t="s">
        <v>15973</v>
      </c>
      <c r="C16159" t="str">
        <f>IFERROR(__xludf.DUMMYFUNCTION("GOOGLETRANSLATE(B16159, ""zh"", ""en"")"),"The machine comes with mixing head scratched! The machine comes with mixing head scratched! It caused during transport? Or second-hand goods?")</f>
        <v>The machine comes with mixing head scratched! The machine comes with mixing head scratched! It caused during transport? Or second-hand goods?</v>
      </c>
    </row>
    <row r="16160">
      <c r="A16160" s="1">
        <v>4.0</v>
      </c>
      <c r="B16160" s="1" t="s">
        <v>15974</v>
      </c>
      <c r="C16160" t="str">
        <f>IFERROR(__xludf.DUMMYFUNCTION("GOOGLETRANSLATE(B16160, ""zh"", ""en"")"),"Very nice grab of goods toothbrush set during the Black Five, received nearly 20 days, even less than 1250 yuan tax, two toothbrushes super bargain price, it is nothing to slow it fine round head 220v power supply can be directly used with charging a cup,"&amp;" no travel charge a base loaded, no travel charging device, do not travel charging device - very convenient, do not know can not buy alone. Toothbrush two visually identical, no way to distinguish all of the components shown in FIG detachable, for your re"&amp;"ference")</f>
        <v>Very nice grab of goods toothbrush set during the Black Five, received nearly 20 days, even less than 1250 yuan tax, two toothbrushes super bargain price, it is nothing to slow it fine round head 220v power supply can be directly used with charging a cup, no travel charge a base loaded, no travel charging device, do not travel charging device - very convenient, do not know can not buy alone. Toothbrush two visually identical, no way to distinguish all of the components shown in FIG detachable, for your reference</v>
      </c>
    </row>
    <row r="16161">
      <c r="A16161" s="1">
        <v>4.0</v>
      </c>
      <c r="B16161" s="1" t="s">
        <v>15975</v>
      </c>
      <c r="C16161" t="str">
        <f>IFERROR(__xludf.DUMMYFUNCTION("GOOGLETRANSLATE(B16161, ""zh"", ""en"")"),"ECCO ECCO shoes standard number, they are generally comfortable, but a bit of pressure this pair of front feet, not very comfortable")</f>
        <v>ECCO ECCO shoes standard number, they are generally comfortable, but a bit of pressure this pair of front feet, not very comfortable</v>
      </c>
    </row>
    <row r="16162">
      <c r="A16162" s="1">
        <v>4.0</v>
      </c>
      <c r="B16162" s="1" t="s">
        <v>15976</v>
      </c>
      <c r="C16162" t="str">
        <f>IFERROR(__xludf.DUMMYFUNCTION("GOOGLETRANSLATE(B16162, ""zh"", ""en"")"),"Buy a big feeling quite yet with too much heat can hold it had intended to go out with a personal feel can buy a small point")</f>
        <v>Buy a big feeling quite yet with too much heat can hold it had intended to go out with a personal feel can buy a small point</v>
      </c>
    </row>
    <row r="16163">
      <c r="A16163" s="1">
        <v>4.0</v>
      </c>
      <c r="B16163" s="1" t="s">
        <v>15977</v>
      </c>
      <c r="C16163" t="str">
        <f>IFERROR(__xludf.DUMMYFUNCTION("GOOGLETRANSLATE(B16163, ""zh"", ""en"")"),"Fleece pullover sweatshirt 174cm 68kg s first bought a slightly smaller number of points the second time to buy M number a little too large clothes, good quality")</f>
        <v>Fleece pullover sweatshirt 174cm 68kg s first bought a slightly smaller number of points the second time to buy M number a little too large clothes, good quality</v>
      </c>
    </row>
    <row r="16164">
      <c r="A16164" s="1">
        <v>5.0</v>
      </c>
      <c r="B16164" s="1" t="s">
        <v>15978</v>
      </c>
      <c r="C16164" t="str">
        <f>IFERROR(__xludf.DUMMYFUNCTION("GOOGLETRANSLATE(B16164, ""zh"", ""en"")"),"High-quality work wear just need to adapt to the process, but Yuechuan Yue comfortable! Excellent workmanship")</f>
        <v>High-quality work wear just need to adapt to the process, but Yuechuan Yue comfortable! Excellent workmanship</v>
      </c>
    </row>
    <row r="16165">
      <c r="A16165" s="1">
        <v>5.0</v>
      </c>
      <c r="B16165" s="1" t="s">
        <v>15979</v>
      </c>
      <c r="C16165" t="str">
        <f>IFERROR(__xludf.DUMMYFUNCTION("GOOGLETRANSLATE(B16165, ""zh"", ""en"")"),"Value for money the people to share their own previously bought on the Asian ginger, things are good, be a good choice to give as gifts, but mostly to send graduate students, that are not suitable to give a higher level of people, after all, The pen is ci"&amp;"ty series! Future demand will buy, good stuff! ! !")</f>
        <v>Value for money the people to share their own previously bought on the Asian ginger, things are good, be a good choice to give as gifts, but mostly to send graduate students, that are not suitable to give a higher level of people, after all, The pen is city series! Future demand will buy, good stuff! ! !</v>
      </c>
    </row>
    <row r="16166">
      <c r="A16166" s="1">
        <v>5.0</v>
      </c>
      <c r="B16166" s="1" t="s">
        <v>15980</v>
      </c>
      <c r="C16166" t="str">
        <f>IFERROR(__xludf.DUMMYFUNCTION("GOOGLETRANSLATE(B16166, ""zh"", ""en"")"),"Before comfortable in their wild music store tried, the domestic shoe wear 35 yards, try 3UK, perhaps the soft leather of the reason, something a little bit loose, but probably a small one yard and inappropriate. Boyfriend of 40 feet, the store try 6.5UK,"&amp;" the results to buy back a little too large, he said, behind the Amazon to buy him shoes or 7US the election 6UK")</f>
        <v>Before comfortable in their wild music store tried, the domestic shoe wear 35 yards, try 3UK, perhaps the soft leather of the reason, something a little bit loose, but probably a small one yard and inappropriate. Boyfriend of 40 feet, the store try 6.5UK, the results to buy back a little too large, he said, behind the Amazon to buy him shoes or 7US the election 6UK</v>
      </c>
    </row>
    <row r="16167">
      <c r="A16167" s="1">
        <v>5.0</v>
      </c>
      <c r="B16167" s="1" t="s">
        <v>15981</v>
      </c>
      <c r="C16167" t="str">
        <f>IFERROR(__xludf.DUMMYFUNCTION("GOOGLETRANSLATE(B16167, ""zh"", ""en"")"),"This easy to use the German version of the filter well I bought a Chinese version of the discount filter to see which is better later Comments")</f>
        <v>This easy to use the German version of the filter well I bought a Chinese version of the discount filter to see which is better later Comments</v>
      </c>
    </row>
    <row r="16168">
      <c r="A16168" s="1">
        <v>5.0</v>
      </c>
      <c r="B16168" s="1" t="s">
        <v>15982</v>
      </c>
      <c r="C16168" t="str">
        <f>IFERROR(__xludf.DUMMYFUNCTION("GOOGLETRANSLATE(B16168, ""zh"", ""en"")"),"Fortunately also, the general price")</f>
        <v>Fortunately also, the general price</v>
      </c>
    </row>
    <row r="16169">
      <c r="A16169" s="1">
        <v>5.0</v>
      </c>
      <c r="B16169" s="1" t="s">
        <v>15983</v>
      </c>
      <c r="C16169" t="str">
        <f>IFERROR(__xludf.DUMMYFUNCTION("GOOGLETRANSLATE(B16169, ""zh"", ""en"")"),"Store goods manufactured in Europe, and domestic buying, like, cost-effective")</f>
        <v>Store goods manufactured in Europe, and domestic buying, like, cost-effective</v>
      </c>
    </row>
    <row r="16170">
      <c r="A16170" s="1">
        <v>5.0</v>
      </c>
      <c r="B16170" s="1" t="s">
        <v>15984</v>
      </c>
      <c r="C16170" t="str">
        <f>IFERROR(__xludf.DUMMYFUNCTION("GOOGLETRANSLATE(B16170, ""zh"", ""en"")"),"Good shoes! Leather materials, rubber soles, Cambodia production, anti-skid, the right size, warm!")</f>
        <v>Good shoes! Leather materials, rubber soles, Cambodia production, anti-skid, the right size, warm!</v>
      </c>
    </row>
    <row r="16171">
      <c r="A16171" s="1">
        <v>5.0</v>
      </c>
      <c r="B16171" s="1" t="s">
        <v>15985</v>
      </c>
      <c r="C16171" t="str">
        <f>IFERROR(__xludf.DUMMYFUNCTION("GOOGLETRANSLATE(B16171, ""zh"", ""en"")"),"Good quality and tasteless, good quality, very practical")</f>
        <v>Good quality and tasteless, good quality, very practical</v>
      </c>
    </row>
    <row r="16172">
      <c r="A16172" s="1">
        <v>5.0</v>
      </c>
      <c r="B16172" s="1" t="s">
        <v>15986</v>
      </c>
      <c r="C16172" t="str">
        <f>IFERROR(__xludf.DUMMYFUNCTION("GOOGLETRANSLATE(B16172, ""zh"", ""en"")"),"This compares quite appropriate code number for 31-33 people wear pants, underwear yardage CK are too large, especially in this style would rather not buy large buy small, Yue Chuanyue lax.")</f>
        <v>This compares quite appropriate code number for 31-33 people wear pants, underwear yardage CK are too large, especially in this style would rather not buy large buy small, Yue Chuanyue lax.</v>
      </c>
    </row>
    <row r="16173">
      <c r="A16173" s="1">
        <v>5.0</v>
      </c>
      <c r="B16173" s="1" t="s">
        <v>15987</v>
      </c>
      <c r="C16173" t="str">
        <f>IFERROR(__xludf.DUMMYFUNCTION("GOOGLETRANSLATE(B16173, ""zh"", ""en"")"),"Each baby must-buy early before, but now I want to come evaluation, very practical, it is recommended to buy")</f>
        <v>Each baby must-buy early before, but now I want to come evaluation, very practical, it is recommended to buy</v>
      </c>
    </row>
    <row r="16174">
      <c r="A16174" s="1">
        <v>5.0</v>
      </c>
      <c r="B16174" s="1" t="s">
        <v>15988</v>
      </c>
      <c r="C16174" t="str">
        <f>IFERROR(__xludf.DUMMYFUNCTION("GOOGLETRANSLATE(B16174, ""zh"", ""en"")"),"Texture class size standards, a sense of the whole class, including leather lining. Price beautiful.")</f>
        <v>Texture class size standards, a sense of the whole class, including leather lining. Price beautiful.</v>
      </c>
    </row>
    <row r="16175">
      <c r="A16175" s="1">
        <v>5.0</v>
      </c>
      <c r="B16175" s="1" t="s">
        <v>15989</v>
      </c>
      <c r="C16175" t="str">
        <f>IFERROR(__xludf.DUMMYFUNCTION("GOOGLETRANSLATE(B16175, ""zh"", ""en"")"),"Good insulation, fine workmanship, reliable quality, good insulation properties")</f>
        <v>Good insulation, fine workmanship, reliable quality, good insulation properties</v>
      </c>
    </row>
    <row r="16176">
      <c r="A16176" s="1">
        <v>5.0</v>
      </c>
      <c r="B16176" s="1" t="s">
        <v>15990</v>
      </c>
      <c r="C16176" t="str">
        <f>IFERROR(__xludf.DUMMYFUNCTION("GOOGLETRANSLATE(B16176, ""zh"", ""en"")"),"Like the first time to buy your favorite Puma shoes in the Amazon")</f>
        <v>Like the first time to buy your favorite Puma shoes in the Amazon</v>
      </c>
    </row>
    <row r="16177">
      <c r="A16177" s="1">
        <v>5.0</v>
      </c>
      <c r="B16177" s="1" t="s">
        <v>15991</v>
      </c>
      <c r="C16177" t="str">
        <f>IFERROR(__xludf.DUMMYFUNCTION("GOOGLETRANSLATE(B16177, ""zh"", ""en"")"),"When rain boots to wear boots very good, very good, and then not afraid of treading water")</f>
        <v>When rain boots to wear boots very good, very good, and then not afraid of treading water</v>
      </c>
    </row>
    <row r="16178">
      <c r="A16178" s="1">
        <v>5.0</v>
      </c>
      <c r="B16178" s="1" t="s">
        <v>15992</v>
      </c>
      <c r="C16178" t="str">
        <f>IFERROR(__xludf.DUMMYFUNCTION("GOOGLETRANSLATE(B16178, ""zh"", ""en"")"),"Good right size. Price can be")</f>
        <v>Good right size. Price can be</v>
      </c>
    </row>
    <row r="16179">
      <c r="A16179" s="1">
        <v>5.0</v>
      </c>
      <c r="B16179" s="1" t="s">
        <v>15993</v>
      </c>
      <c r="C16179" t="str">
        <f>IFERROR(__xludf.DUMMYFUNCTION("GOOGLETRANSLATE(B16179, ""zh"", ""en"")"),"Suitable good quality did not say 175/65 XL a little big, very good.")</f>
        <v>Suitable good quality did not say 175/65 XL a little big, very good.</v>
      </c>
    </row>
    <row r="16180">
      <c r="A16180" s="1">
        <v>5.0</v>
      </c>
      <c r="B16180" s="1" t="s">
        <v>15994</v>
      </c>
      <c r="C16180" t="str">
        <f>IFERROR(__xludf.DUMMYFUNCTION("GOOGLETRANSLATE(B16180, ""zh"", ""en"")"),"Very fit very suitable, thin section, soft fabric for spring and summer.")</f>
        <v>Very fit very suitable, thin section, soft fabric for spring and summer.</v>
      </c>
    </row>
    <row r="16181">
      <c r="A16181" s="1">
        <v>5.0</v>
      </c>
      <c r="B16181" s="1" t="s">
        <v>15995</v>
      </c>
      <c r="C16181" t="str">
        <f>IFERROR(__xludf.DUMMYFUNCTION("GOOGLETRANSLATE(B16181, ""zh"", ""en"")"),"Very good very good commodity, cheap, value for money!")</f>
        <v>Very good very good commodity, cheap, value for money!</v>
      </c>
    </row>
    <row r="16182">
      <c r="A16182" s="1">
        <v>5.0</v>
      </c>
      <c r="B16182" s="1" t="s">
        <v>15996</v>
      </c>
      <c r="C16182" t="str">
        <f>IFERROR(__xludf.DUMMYFUNCTION("GOOGLETRANSLATE(B16182, ""zh"", ""en"")"),"Also satisfied! Menopause, nutritional balance most important! Eat every day!")</f>
        <v>Also satisfied! Menopause, nutritional balance most important! Eat every day!</v>
      </c>
    </row>
    <row r="16183">
      <c r="A16183" s="1">
        <v>5.0</v>
      </c>
      <c r="B16183" s="1" t="s">
        <v>15997</v>
      </c>
      <c r="C16183" t="str">
        <f>IFERROR(__xludf.DUMMYFUNCTION("GOOGLETRANSLATE(B16183, ""zh"", ""en"")"),"Cost-effective price is very appropriate, but also buy")</f>
        <v>Cost-effective price is very appropriate, but also buy</v>
      </c>
    </row>
    <row r="16184">
      <c r="A16184" s="1">
        <v>5.0</v>
      </c>
      <c r="B16184" s="1" t="s">
        <v>15998</v>
      </c>
      <c r="C16184" t="str">
        <f>IFERROR(__xludf.DUMMYFUNCTION("GOOGLETRANSLATE(B16184, ""zh"", ""en"")"),"satisfaction! Relatively thin, according to the optional normal size, M is appropriate.")</f>
        <v>satisfaction! Relatively thin, according to the optional normal size, M is appropriate.</v>
      </c>
    </row>
    <row r="16185">
      <c r="A16185" s="1">
        <v>5.0</v>
      </c>
      <c r="B16185" s="1" t="s">
        <v>15999</v>
      </c>
      <c r="C16185" t="str">
        <f>IFERROR(__xludf.DUMMYFUNCTION("GOOGLETRANSLATE(B16185, ""zh"", ""en"")"),"Waterproof good 171m63 the right size, thin clothes")</f>
        <v>Waterproof good 171m63 the right size, thin clothes</v>
      </c>
    </row>
    <row r="16186">
      <c r="A16186" s="1">
        <v>2.0</v>
      </c>
      <c r="B16186" s="1" t="s">
        <v>16000</v>
      </c>
      <c r="C16186" t="str">
        <f>IFERROR(__xludf.DUMMYFUNCTION("GOOGLETRANSLATE(B16186, ""zh"", ""en"")"),"Supporting no more than B cup do not consider, basically no supporting role. B cup for the most.")</f>
        <v>Supporting no more than B cup do not consider, basically no supporting role. B cup for the most.</v>
      </c>
    </row>
    <row r="16187">
      <c r="A16187" s="1">
        <v>3.0</v>
      </c>
      <c r="B16187" s="1" t="s">
        <v>16001</v>
      </c>
      <c r="C16187" t="str">
        <f>IFERROR(__xludf.DUMMYFUNCTION("GOOGLETRANSLATE(B16187, ""zh"", ""en"")"),"Uncompressed of perspiration good, no compression")</f>
        <v>Uncompressed of perspiration good, no compression</v>
      </c>
    </row>
    <row r="16188">
      <c r="A16188" s="1">
        <v>3.0</v>
      </c>
      <c r="B16188" s="1" t="s">
        <v>16002</v>
      </c>
      <c r="C16188" t="str">
        <f>IFERROR(__xludf.DUMMYFUNCTION("GOOGLETRANSLATE(B16188, ""zh"", ""en"")"),"Product quality problems pants too big! In addition, just wore it once, lace pants place on the bad, photograph Annex! The need to return to replace? If so even, too much trouble, sewing their own sewing forget!")</f>
        <v>Product quality problems pants too big! In addition, just wore it once, lace pants place on the bad, photograph Annex! The need to return to replace? If so even, too much trouble, sewing their own sewing forget!</v>
      </c>
    </row>
    <row r="16189">
      <c r="A16189" s="1">
        <v>3.0</v>
      </c>
      <c r="B16189" s="1" t="s">
        <v>16003</v>
      </c>
      <c r="C16189" t="str">
        <f>IFERROR(__xludf.DUMMYFUNCTION("GOOGLETRANSLATE(B16189, ""zh"", ""en"")"),"High temperature warning PS: The following tests from AW M17R3 i7 6820hk 980m 8G, 16g, win10 64 Professional Edition see 970 pro daily operation temperature of 52 degrees Celsius, I have Ben collapse of the heart is, at first thought it was a problem ssd,"&amp;" Baidu a moment to see scare urine, everyone 970PRO temperatures are high, a big brother play a game temperature of 100 + ······ + advantages: 1, MLC's life is 2 times 960pro, 1200TBW 2, is written to the enlargement ratio EVO much lower amount written ab"&amp;"out migration system 490G display of 0.5T, 1.5T and if the EVO minute of the + disadvantages: 1, the heat hid ah, the daily operation tasks (two chrome page, a FB2K, a QQ, CrystalDiskInfo) the temperature to 50 degrees Celsius on the ?????? I was already "&amp;"on the pad when thermal grease is not on the 52 degrees Celsius. + Solution: 1, Desktop 2 increase fan facing the wind, thermal grease notebook pad, barely down the temperature a few degrees temperature + Game: 1, warframe 1080P full effects off dynamic s"&amp;"hadows temperature at 52 degrees Celsius 2, chicken the lowest quality, maximum field of view 51 degrees Celsius")</f>
        <v>High temperature warning PS: The following tests from AW M17R3 i7 6820hk 980m 8G, 16g, win10 64 Professional Edition see 970 pro daily operation temperature of 52 degrees Celsius, I have Ben collapse of the heart is, at first thought it was a problem ssd, Baidu a moment to see scare urine, everyone 970PRO temperatures are high, a big brother play a game temperature of 100 + ······ + advantages: 1, MLC's life is 2 times 960pro, 1200TBW 2, is written to the enlargement ratio EVO much lower amount written about migration system 490G display of 0.5T, 1.5T and if the EVO minute of the + disadvantages: 1, the heat hid ah, the daily operation tasks (two chrome page, a FB2K, a QQ, CrystalDiskInfo) the temperature to 50 degrees Celsius on the ?????? I was already on the pad when thermal grease is not on the 52 degrees Celsius. + Solution: 1, Desktop 2 increase fan facing the wind, thermal grease notebook pad, barely down the temperature a few degrees temperature + Game: 1, warframe 1080P full effects off dynamic shadows temperature at 52 degrees Celsius 2, chicken the lowest quality, maximum field of view 51 degrees Celsius</v>
      </c>
    </row>
    <row r="16190">
      <c r="A16190" s="1">
        <v>1.0</v>
      </c>
      <c r="B16190" s="1" t="s">
        <v>16004</v>
      </c>
      <c r="C16190" t="str">
        <f>IFERROR(__xludf.DUMMYFUNCTION("GOOGLETRANSLATE(B16190, ""zh"", ""en"")"),"Standard size is too serious not to have more than simply a circle other than the United States can not wear l code")</f>
        <v>Standard size is too serious not to have more than simply a circle other than the United States can not wear l code</v>
      </c>
    </row>
    <row r="16191">
      <c r="A16191" s="1">
        <v>1.0</v>
      </c>
      <c r="B16191" s="1" t="s">
        <v>16005</v>
      </c>
      <c r="C16191" t="str">
        <f>IFERROR(__xludf.DUMMYFUNCTION("GOOGLETRANSLATE(B16191, ""zh"", ""en"")"),"Imitation leather imitation leather, wearing four or five times on the deformation")</f>
        <v>Imitation leather imitation leather, wearing four or five times on the deformation</v>
      </c>
    </row>
    <row r="16192">
      <c r="A16192" s="1">
        <v>4.0</v>
      </c>
      <c r="B16192" s="1" t="s">
        <v>16006</v>
      </c>
      <c r="C16192" t="str">
        <f>IFERROR(__xludf.DUMMYFUNCTION("GOOGLETRANSLATE(B16192, ""zh"", ""en"")"),"Water filter cartridge capacity of the strongest, that is January to change the cost is not low.")</f>
        <v>Water filter cartridge capacity of the strongest, that is January to change the cost is not low.</v>
      </c>
    </row>
    <row r="16193">
      <c r="A16193" s="1">
        <v>4.0</v>
      </c>
      <c r="B16193" s="1" t="s">
        <v>16007</v>
      </c>
      <c r="C16193" t="str">
        <f>IFERROR(__xludf.DUMMYFUNCTION("GOOGLETRANSLATE(B16193, ""zh"", ""en"")"),"Overall good, at slightly less than shortcomings: severe shock, over a six-speed soon stand firm, I am worried that it will fall from the table to go up; after a few high profile, playing ten minutes on the nose hair hot.")</f>
        <v>Overall good, at slightly less than shortcomings: severe shock, over a six-speed soon stand firm, I am worried that it will fall from the table to go up; after a few high profile, playing ten minutes on the nose hair hot.</v>
      </c>
    </row>
    <row r="16194">
      <c r="A16194" s="1">
        <v>4.0</v>
      </c>
      <c r="B16194" s="1" t="s">
        <v>16008</v>
      </c>
      <c r="C16194" t="str">
        <f>IFERROR(__xludf.DUMMYFUNCTION("GOOGLETRANSLATE(B16194, ""zh"", ""en"")"),"Well good weight, hand only minor scratches, it is suitable for weight workout")</f>
        <v>Well good weight, hand only minor scratches, it is suitable for weight workout</v>
      </c>
    </row>
    <row r="16195">
      <c r="A16195" s="1">
        <v>4.0</v>
      </c>
      <c r="B16195" s="1" t="s">
        <v>16009</v>
      </c>
      <c r="C16195" t="str">
        <f>IFERROR(__xludf.DUMMYFUNCTION("GOOGLETRANSLATE(B16195, ""zh"", ""en"")"),"ojbk Nike and Adidas are wearing 41 yards, 40 just this, work shoes, no problem, in line with expectations, but the stitches at the bottom of the shoes after a long stampede, it is not easy to break")</f>
        <v>ojbk Nike and Adidas are wearing 41 yards, 40 just this, work shoes, no problem, in line with expectations, but the stitches at the bottom of the shoes after a long stampede, it is not easy to break</v>
      </c>
    </row>
    <row r="16196">
      <c r="A16196" s="1">
        <v>4.0</v>
      </c>
      <c r="B16196" s="1" t="s">
        <v>16010</v>
      </c>
      <c r="C16196" t="str">
        <f>IFERROR(__xludf.DUMMYFUNCTION("GOOGLETRANSLATE(B16196, ""zh"", ""en"")"),"Buy back has been pretty good utilization rate is not high, mainly with the baby to go out to eat with the recent unexpected discovery that bounced back with a pair of scissors design is suitable for just learning to use scissors with children, but the re"&amp;"bound is quite fragile plastic sheet and I get to be folded a ...")</f>
        <v>Buy back has been pretty good utilization rate is not high, mainly with the baby to go out to eat with the recent unexpected discovery that bounced back with a pair of scissors design is suitable for just learning to use scissors with children, but the rebound is quite fragile plastic sheet and I get to be folded a ...</v>
      </c>
    </row>
    <row r="16197">
      <c r="A16197" s="1">
        <v>5.0</v>
      </c>
      <c r="B16197" s="1" t="s">
        <v>16011</v>
      </c>
      <c r="C16197" t="str">
        <f>IFERROR(__xludf.DUMMYFUNCTION("GOOGLETRANSLATE(B16197, ""zh"", ""en"")"),"Just a few yards thick material, 173.66.L code! Thick warm feeling, the heart is better than domestic material.")</f>
        <v>Just a few yards thick material, 173.66.L code! Thick warm feeling, the heart is better than domestic material.</v>
      </c>
    </row>
    <row r="16198">
      <c r="A16198" s="1">
        <v>5.0</v>
      </c>
      <c r="B16198" s="1" t="s">
        <v>16012</v>
      </c>
      <c r="C16198" t="str">
        <f>IFERROR(__xludf.DUMMYFUNCTION("GOOGLETRANSLATE(B16198, ""zh"", ""en"")"),"Great height 180 weight 75 kg 32/32 is appropriate, for your reference. This code usually wear pants, this is also very fit. Pants a little heavy, spring and winter wear no problem. Very like the style.")</f>
        <v>Great height 180 weight 75 kg 32/32 is appropriate, for your reference. This code usually wear pants, this is also very fit. Pants a little heavy, spring and winter wear no problem. Very like the style.</v>
      </c>
    </row>
    <row r="16199">
      <c r="A16199" s="1">
        <v>5.0</v>
      </c>
      <c r="B16199" s="1" t="s">
        <v>16013</v>
      </c>
      <c r="C16199" t="str">
        <f>IFERROR(__xludf.DUMMYFUNCTION("GOOGLETRANSLATE(B16199, ""zh"", ""en"")"),"Hao Shi ultra-cheap price of a watch. 153 hand.")</f>
        <v>Hao Shi ultra-cheap price of a watch. 153 hand.</v>
      </c>
    </row>
    <row r="16200">
      <c r="A16200" s="1">
        <v>5.0</v>
      </c>
      <c r="B16200" s="1" t="s">
        <v>16014</v>
      </c>
      <c r="C16200" t="str">
        <f>IFERROR(__xludf.DUMMYFUNCTION("GOOGLETRANSLATE(B16200, ""zh"", ""en"")"),"Pigeon flowers cute little flower, the children liked")</f>
        <v>Pigeon flowers cute little flower, the children liked</v>
      </c>
    </row>
    <row r="16201">
      <c r="A16201" s="1">
        <v>5.0</v>
      </c>
      <c r="B16201" s="1" t="s">
        <v>16015</v>
      </c>
      <c r="C16201" t="str">
        <f>IFERROR(__xludf.DUMMYFUNCTION("GOOGLETRANSLATE(B16201, ""zh"", ""en"")"),"Too praised shape is very simple, with a very gentle feeling. Cool!")</f>
        <v>Too praised shape is very simple, with a very gentle feeling. Cool!</v>
      </c>
    </row>
    <row r="16202">
      <c r="A16202" s="1">
        <v>5.0</v>
      </c>
      <c r="B16202" s="1" t="s">
        <v>16016</v>
      </c>
      <c r="C16202" t="str">
        <f>IFERROR(__xludf.DUMMYFUNCTION("GOOGLETRANSLATE(B16202, ""zh"", ""en"")"),"The right size thick section, the Mexican production. Good work than expected, even small rivet are Lee special items. Usually wear Levi's 511 Slim version is w32L32, although selected small waist section No. 2, but just a little tight, as breech, exactly"&amp;". Trouser legs have been much greater.")</f>
        <v>The right size thick section, the Mexican production. Good work than expected, even small rivet are Lee special items. Usually wear Levi's 511 Slim version is w32L32, although selected small waist section No. 2, but just a little tight, as breech, exactly. Trouser legs have been much greater.</v>
      </c>
    </row>
    <row r="16203">
      <c r="A16203" s="1">
        <v>5.0</v>
      </c>
      <c r="B16203" s="1" t="s">
        <v>16017</v>
      </c>
      <c r="C16203" t="str">
        <f>IFERROR(__xludf.DUMMYFUNCTION("GOOGLETRANSLATE(B16203, ""zh"", ""en"")"),"Zhang aunt Aunt astringent magic of the sun about 493 party, Anti-significant bit bigger, the comparison is night blind, overall very fond of.")</f>
        <v>Zhang aunt Aunt astringent magic of the sun about 493 party, Anti-significant bit bigger, the comparison is night blind, overall very fond of.</v>
      </c>
    </row>
    <row r="16204">
      <c r="A16204" s="1">
        <v>5.0</v>
      </c>
      <c r="B16204" s="1" t="s">
        <v>16018</v>
      </c>
      <c r="C16204" t="str">
        <f>IFERROR(__xludf.DUMMYFUNCTION("GOOGLETRANSLATE(B16204, ""zh"", ""en"")"),"Narumi was exquisite, recommended to buy. Narumi was exquisite, recommended to buy. This is just the size recommended by the appetite is not great.")</f>
        <v>Narumi was exquisite, recommended to buy. Narumi was exquisite, recommended to buy. This is just the size recommended by the appetite is not great.</v>
      </c>
    </row>
    <row r="16205">
      <c r="A16205" s="1">
        <v>5.0</v>
      </c>
      <c r="B16205" s="1" t="s">
        <v>16019</v>
      </c>
      <c r="C16205" t="str">
        <f>IFERROR(__xludf.DUMMYFUNCTION("GOOGLETRANSLATE(B16205, ""zh"", ""en"")"),"Good design is very good, very practical, it has been in use")</f>
        <v>Good design is very good, very practical, it has been in use</v>
      </c>
    </row>
    <row r="16206">
      <c r="A16206" s="1">
        <v>5.0</v>
      </c>
      <c r="B16206" s="1" t="s">
        <v>16020</v>
      </c>
      <c r="C16206" t="str">
        <f>IFERROR(__xludf.DUMMYFUNCTION("GOOGLETRANSLATE(B16206, ""zh"", ""en"")"),"Recommended five stars comfortable, usually wear 37 yards, 37 yards of this very appropriate, good color match, recommended five stars.")</f>
        <v>Recommended five stars comfortable, usually wear 37 yards, 37 yards of this very appropriate, good color match, recommended five stars.</v>
      </c>
    </row>
    <row r="16207">
      <c r="A16207" s="1">
        <v>5.0</v>
      </c>
      <c r="B16207" s="1" t="s">
        <v>16021</v>
      </c>
      <c r="C16207" t="str">
        <f>IFERROR(__xludf.DUMMYFUNCTION("GOOGLETRANSLATE(B16207, ""zh"", ""en"")"),"170 genuine direct mail quickly, wearing m just a little 9 pants look, appropriate pressure, something good ha ha ha ha ha finally running when there is a protection")</f>
        <v>170 genuine direct mail quickly, wearing m just a little 9 pants look, appropriate pressure, something good ha ha ha ha ha finally running when there is a protection</v>
      </c>
    </row>
    <row r="16208">
      <c r="A16208" s="1">
        <v>5.0</v>
      </c>
      <c r="B16208" s="1" t="s">
        <v>16022</v>
      </c>
      <c r="C16208" t="str">
        <f>IFERROR(__xludf.DUMMYFUNCTION("GOOGLETRANSLATE(B16208, ""zh"", ""en"")"),"Good hard ah 173/73 size is very fit, really hard materials")</f>
        <v>Good hard ah 173/73 size is very fit, really hard materials</v>
      </c>
    </row>
    <row r="16209">
      <c r="A16209" s="1">
        <v>5.0</v>
      </c>
      <c r="B16209" s="1" t="s">
        <v>16023</v>
      </c>
      <c r="C16209" t="str">
        <f>IFERROR(__xludf.DUMMYFUNCTION("GOOGLETRANSLATE(B16209, ""zh"", ""en"")"),"Japanese version sent her boyfriend liked the genuine oh buy and own the Japanese version than the Japanese version had really good quality and high cost")</f>
        <v>Japanese version sent her boyfriend liked the genuine oh buy and own the Japanese version than the Japanese version had really good quality and high cost</v>
      </c>
    </row>
    <row r="16210">
      <c r="A16210" s="1">
        <v>5.0</v>
      </c>
      <c r="B16210" s="1" t="s">
        <v>16024</v>
      </c>
      <c r="C16210" t="str">
        <f>IFERROR(__xludf.DUMMYFUNCTION("GOOGLETRANSLATE(B16210, ""zh"", ""en"")"),"Families with children, must have a good toothbrush, now one year old daughter that he took the brush. Toothbrush good texture, health and safety")</f>
        <v>Families with children, must have a good toothbrush, now one year old daughter that he took the brush. Toothbrush good texture, health and safety</v>
      </c>
    </row>
    <row r="16211">
      <c r="A16211" s="1">
        <v>5.0</v>
      </c>
      <c r="B16211" s="1" t="s">
        <v>16025</v>
      </c>
      <c r="C16211" t="str">
        <f>IFERROR(__xludf.DUMMYFUNCTION("GOOGLETRANSLATE(B16211, ""zh"", ""en"")"),"Ling Mei 2000 f tip pen to pen after the body fairly thick, very smooth, no problem, just do not write for a long time, the pen body is relatively heavy, the other are very good")</f>
        <v>Ling Mei 2000 f tip pen to pen after the body fairly thick, very smooth, no problem, just do not write for a long time, the pen body is relatively heavy, the other are very good</v>
      </c>
    </row>
    <row r="16212">
      <c r="A16212" s="1">
        <v>5.0</v>
      </c>
      <c r="B16212" s="1" t="s">
        <v>16026</v>
      </c>
      <c r="C16212" t="str">
        <f>IFERROR(__xludf.DUMMYFUNCTION("GOOGLETRANSLATE(B16212, ""zh"", ""en"")"),"160/55, or some proper summer heat, roll along easily on the other are particularly good")</f>
        <v>160/55, or some proper summer heat, roll along easily on the other are particularly good</v>
      </c>
    </row>
    <row r="16213">
      <c r="A16213" s="1">
        <v>5.0</v>
      </c>
      <c r="B16213" s="1" t="s">
        <v>16027</v>
      </c>
      <c r="C16213" t="str">
        <f>IFERROR(__xludf.DUMMYFUNCTION("GOOGLETRANSLATE(B16213, ""zh"", ""en"")"),"Outdoor cup cup light air, outdoor sports very practical.")</f>
        <v>Outdoor cup cup light air, outdoor sports very practical.</v>
      </c>
    </row>
    <row r="16214">
      <c r="A16214" s="1">
        <v>5.0</v>
      </c>
      <c r="B16214" s="1" t="s">
        <v>16028</v>
      </c>
      <c r="C16214" t="str">
        <f>IFERROR(__xludf.DUMMYFUNCTION("GOOGLETRANSLATE(B16214, ""zh"", ""en"")"),"Love Champion brand clothes look good, wear well, I 165 / 70kg, somewhat loose.")</f>
        <v>Love Champion brand clothes look good, wear well, I 165 / 70kg, somewhat loose.</v>
      </c>
    </row>
    <row r="16215">
      <c r="A16215" s="1">
        <v>5.0</v>
      </c>
      <c r="B16215" s="1" t="s">
        <v>16029</v>
      </c>
      <c r="C16215" t="str">
        <f>IFERROR(__xludf.DUMMYFUNCTION("GOOGLETRANSLATE(B16215, ""zh"", ""en"")"),"Eliminate dull, eye artifact great effect, effective the next day, now dull and reduce a lot of spots")</f>
        <v>Eliminate dull, eye artifact great effect, effective the next day, now dull and reduce a lot of spots</v>
      </c>
    </row>
    <row r="16216">
      <c r="A16216" s="1">
        <v>5.0</v>
      </c>
      <c r="B16216" s="1" t="s">
        <v>16030</v>
      </c>
      <c r="C16216" t="str">
        <f>IFERROR(__xludf.DUMMYFUNCTION("GOOGLETRANSLATE(B16216, ""zh"", ""en"")"),"Good-looking comfortable heavy weight")</f>
        <v>Good-looking comfortable heavy weight</v>
      </c>
    </row>
    <row r="16217">
      <c r="A16217" s="1">
        <v>5.0</v>
      </c>
      <c r="B16217" s="1" t="s">
        <v>16031</v>
      </c>
      <c r="C16217" t="str">
        <f>IFERROR(__xludf.DUMMYFUNCTION("GOOGLETRANSLATE(B16217, ""zh"", ""en"")"),"Good crotch can not afford to wear, a little wool tie, Atsugi to me than Taobao buy good to wear, I might pay more attention to fit, do not wear a tie is not important")</f>
        <v>Good crotch can not afford to wear, a little wool tie, Atsugi to me than Taobao buy good to wear, I might pay more attention to fit, do not wear a tie is not important</v>
      </c>
    </row>
    <row r="16218">
      <c r="A16218" s="1">
        <v>5.0</v>
      </c>
      <c r="B16218" s="1" t="s">
        <v>16032</v>
      </c>
      <c r="C16218" t="str">
        <f>IFERROR(__xludf.DUMMYFUNCTION("GOOGLETRANSLATE(B16218, ""zh"", ""en"")"),"Comfortable right size is very comfortable, warm, good flexibility. That is, inside the velvet, a little hair loss, do not know what will happen to wear a long time")</f>
        <v>Comfortable right size is very comfortable, warm, good flexibility. That is, inside the velvet, a little hair loss, do not know what will happen to wear a long time</v>
      </c>
    </row>
    <row r="16219">
      <c r="A16219" s="1">
        <v>2.0</v>
      </c>
      <c r="B16219" s="1" t="s">
        <v>16033</v>
      </c>
      <c r="C16219" t="str">
        <f>IFERROR(__xludf.DUMMYFUNCTION("GOOGLETRANSLATE(B16219, ""zh"", ""en"")"),"Not satisfied only used 2 times out of plastic splintered ...... not installed over boiling water, whether it is genuine doubtful")</f>
        <v>Not satisfied only used 2 times out of plastic splintered ...... not installed over boiling water, whether it is genuine doubtful</v>
      </c>
    </row>
    <row r="16220">
      <c r="A16220" s="1">
        <v>3.0</v>
      </c>
      <c r="B16220" s="1" t="s">
        <v>16034</v>
      </c>
      <c r="C16220" t="str">
        <f>IFERROR(__xludf.DUMMYFUNCTION("GOOGLETRANSLATE(B16220, ""zh"", ""en"")"),"This is my second piece in the Amazon to buy a Bluetooth headset for language learning, experience basically satisfied, write a review of the current headset has been lost, the headset cord is no special functions such as headphones sports headphones when"&amp;" not in use earplugs automatic magnetic hanging on the neck is not easy to lose. Highlight is the Bluetooth headset is connected to the battery indicator icon next to the phone's Bluetooth, though the headset is not enough lasting power. If the future pri"&amp;"ce of less than 150 yuan will consider buying again.")</f>
        <v>This is my second piece in the Amazon to buy a Bluetooth headset for language learning, experience basically satisfied, write a review of the current headset has been lost, the headset cord is no special functions such as headphones sports headphones when not in use earplugs automatic magnetic hanging on the neck is not easy to lose. Highlight is the Bluetooth headset is connected to the battery indicator icon next to the phone's Bluetooth, though the headset is not enough lasting power. If the future price of less than 150 yuan will consider buying again.</v>
      </c>
    </row>
    <row r="16221">
      <c r="A16221" s="1">
        <v>1.0</v>
      </c>
      <c r="B16221" s="1" t="s">
        <v>16035</v>
      </c>
      <c r="C16221" t="str">
        <f>IFERROR(__xludf.DUMMYFUNCTION("GOOGLETRANSLATE(B16221, ""zh"", ""en"")"),"Evaluation is not absorbent socks socks, good tightness")</f>
        <v>Evaluation is not absorbent socks socks, good tightness</v>
      </c>
    </row>
    <row r="16222">
      <c r="A16222" s="1">
        <v>1.0</v>
      </c>
      <c r="B16222" s="1" t="s">
        <v>16036</v>
      </c>
      <c r="C16222" t="str">
        <f>IFERROR(__xludf.DUMMYFUNCTION("GOOGLETRANSLATE(B16222, ""zh"", ""en"")"),"difference! Quality is simply bad! Had not previously worn a little water, the results of the sleeve to break a hole. Before the United States to buy has never been the case, I really questioned the authenticity of the clothes brand!")</f>
        <v>difference! Quality is simply bad! Had not previously worn a little water, the results of the sleeve to break a hole. Before the United States to buy has never been the case, I really questioned the authenticity of the clothes brand!</v>
      </c>
    </row>
    <row r="16223">
      <c r="A16223" s="1">
        <v>4.0</v>
      </c>
      <c r="B16223" s="1" t="s">
        <v>16037</v>
      </c>
      <c r="C16223" t="str">
        <f>IFERROR(__xludf.DUMMYFUNCTION("GOOGLETRANSLATE(B16223, ""zh"", ""en"")"),"Insole thick, thick insole a bit too small, it is recommended to buy No. part of it, I always wear 41 yards ecco, and this bought 7.5uk, even get to wear hard ,, had to change thin insoles on the line")</f>
        <v>Insole thick, thick insole a bit too small, it is recommended to buy No. part of it, I always wear 41 yards ecco, and this bought 7.5uk, even get to wear hard ,, had to change thin insoles on the line</v>
      </c>
    </row>
    <row r="16224">
      <c r="A16224" s="1">
        <v>4.0</v>
      </c>
      <c r="B16224" s="1" t="s">
        <v>16038</v>
      </c>
      <c r="C16224" t="str">
        <f>IFERROR(__xludf.DUMMYFUNCTION("GOOGLETRANSLATE(B16224, ""zh"", ""en"")"),"Careless pens, no ink refills shipments. Return loss himself. Re-purchase on Taobao. Pen can be. It gives the rating is in the assessment")</f>
        <v>Careless pens, no ink refills shipments. Return loss himself. Re-purchase on Taobao. Pen can be. It gives the rating is in the assessment</v>
      </c>
    </row>
    <row r="16225">
      <c r="A16225" s="1">
        <v>4.0</v>
      </c>
      <c r="B16225" s="1" t="s">
        <v>16039</v>
      </c>
      <c r="C16225" t="str">
        <f>IFERROR(__xludf.DUMMYFUNCTION("GOOGLETRANSLATE(B16225, ""zh"", ""en"")"),"Stew porridge good results, packaging unsatisfactory. I bought a stew pot two THERMOS, first of all, to be sure of two smoldering and insulation effect. 6:30 am with open water of cereals and milk powder, less than 8:00 to open a thick porridge is pulpy, "&amp;"and the temperature is still high. Secondly, it condemned the logistics and packaging sectors. After receipt Open the carton and see two small jar, only a plastic bag wrapped in a completely naked, was knock a few pits, in addition to affect the appearanc"&amp;"e, but does not affect the use, so be it, as this matter Amazon looking delays.")</f>
        <v>Stew porridge good results, packaging unsatisfactory. I bought a stew pot two THERMOS, first of all, to be sure of two smoldering and insulation effect. 6:30 am with open water of cereals and milk powder, less than 8:00 to open a thick porridge is pulpy, and the temperature is still high. Secondly, it condemned the logistics and packaging sectors. After receipt Open the carton and see two small jar, only a plastic bag wrapped in a completely naked, was knock a few pits, in addition to affect the appearance, but does not affect the use, so be it, as this matter Amazon looking delays.</v>
      </c>
    </row>
    <row r="16226">
      <c r="A16226" s="1">
        <v>4.0</v>
      </c>
      <c r="B16226" s="1" t="s">
        <v>16040</v>
      </c>
      <c r="C16226" t="str">
        <f>IFERROR(__xludf.DUMMYFUNCTION("GOOGLETRANSLATE(B16226, ""zh"", ""en"")"),"Also quality is good, but at the toe is stitched, wired shocked, not seamless, the acceptance of personal")</f>
        <v>Also quality is good, but at the toe is stitched, wired shocked, not seamless, the acceptance of personal</v>
      </c>
    </row>
    <row r="16227">
      <c r="A16227" s="1">
        <v>4.0</v>
      </c>
      <c r="B16227" s="1" t="s">
        <v>16041</v>
      </c>
      <c r="C16227" t="str">
        <f>IFERROR(__xludf.DUMMYFUNCTION("GOOGLETRANSLATE(B16227, ""zh"", ""en"")"),"Okay cheaper than domestic, but work in general, the material is easy to play ball, time has seemingly received a little pilling up.")</f>
        <v>Okay cheaper than domestic, but work in general, the material is easy to play ball, time has seemingly received a little pilling up.</v>
      </c>
    </row>
    <row r="16228">
      <c r="A16228" s="1">
        <v>5.0</v>
      </c>
      <c r="B16228" s="1" t="s">
        <v>16042</v>
      </c>
      <c r="C16228" t="str">
        <f>IFERROR(__xludf.DUMMYFUNCTION("GOOGLETRANSLATE(B16228, ""zh"", ""en"")"),"Look at the reviews encountered a good deal to worry about the quality is not good, now down to six months with no problems, the transmission speed can not tell what, ha ha, very cost-effective price.")</f>
        <v>Look at the reviews encountered a good deal to worry about the quality is not good, now down to six months with no problems, the transmission speed can not tell what, ha ha, very cost-effective price.</v>
      </c>
    </row>
    <row r="16229">
      <c r="A16229" s="1">
        <v>5.0</v>
      </c>
      <c r="B16229" s="1" t="s">
        <v>16043</v>
      </c>
      <c r="C16229" t="str">
        <f>IFERROR(__xludf.DUMMYFUNCTION("GOOGLETRANSLATE(B16229, ""zh"", ""en"")"),"m m are a little big number, for a 173.160 fat or a little big, I think you can buy s good to challenge, good looking")</f>
        <v>m m are a little big number, for a 173.160 fat or a little big, I think you can buy s good to challenge, good looking</v>
      </c>
    </row>
    <row r="16230">
      <c r="A16230" s="1">
        <v>5.0</v>
      </c>
      <c r="B16230" s="1" t="s">
        <v>16044</v>
      </c>
      <c r="C16230" t="str">
        <f>IFERROR(__xludf.DUMMYFUNCTION("GOOGLETRANSLATE(B16230, ""zh"", ""en"")"),"Comfortable, cheap and comfortable than a treasure smooth, praise")</f>
        <v>Comfortable, cheap and comfortable than a treasure smooth, praise</v>
      </c>
    </row>
    <row r="16231">
      <c r="A16231" s="1">
        <v>5.0</v>
      </c>
      <c r="B16231" s="1" t="s">
        <v>16045</v>
      </c>
      <c r="C16231" t="str">
        <f>IFERROR(__xludf.DUMMYFUNCTION("GOOGLETRANSLATE(B16231, ""zh"", ""en"")"),"Yan good cup of high value, exquisite workmanship, good insulation effect.")</f>
        <v>Yan good cup of high value, exquisite workmanship, good insulation effect.</v>
      </c>
    </row>
    <row r="16232">
      <c r="A16232" s="1">
        <v>5.0</v>
      </c>
      <c r="B16232" s="1" t="s">
        <v>16046</v>
      </c>
      <c r="C16232" t="str">
        <f>IFERROR(__xludf.DUMMYFUNCTION("GOOGLETRANSLATE(B16232, ""zh"", ""en"")"),"Cost-effective renovation stockpile. From order receipt to about 7 days, count pretty fast. After all, is overseas shopping. Packaging a bit shabby. A mechanical switch sense, better than 13. Comment chase after use!")</f>
        <v>Cost-effective renovation stockpile. From order receipt to about 7 days, count pretty fast. After all, is overseas shopping. Packaging a bit shabby. A mechanical switch sense, better than 13. Comment chase after use!</v>
      </c>
    </row>
    <row r="16233">
      <c r="A16233" s="1">
        <v>5.0</v>
      </c>
      <c r="B16233" s="1" t="s">
        <v>16047</v>
      </c>
      <c r="C16233" t="str">
        <f>IFERROR(__xludf.DUMMYFUNCTION("GOOGLETRANSLATE(B16233, ""zh"", ""en"")"),"This brand of clothes work well, the price is affordable! Someone else to buy, a little bit old fashioned!")</f>
        <v>This brand of clothes work well, the price is affordable! Someone else to buy, a little bit old fashioned!</v>
      </c>
    </row>
    <row r="16234">
      <c r="A16234" s="1">
        <v>5.0</v>
      </c>
      <c r="B16234" s="1" t="s">
        <v>16048</v>
      </c>
      <c r="C16234" t="str">
        <f>IFERROR(__xludf.DUMMYFUNCTION("GOOGLETRANSLATE(B16234, ""zh"", ""en"")"),"Like a good headset 🎧 high cost, the price is much better than the state line, very good sound quality, there is listening taste, the bass is a little too much, it may be so in order to cater to the tastes of the young, but the texture is very good and d"&amp;"o not coax head")</f>
        <v>Like a good headset 🎧 high cost, the price is much better than the state line, very good sound quality, there is listening taste, the bass is a little too much, it may be so in order to cater to the tastes of the young, but the texture is very good and do not coax head</v>
      </c>
    </row>
    <row r="16235">
      <c r="A16235" s="1">
        <v>5.0</v>
      </c>
      <c r="B16235" s="1" t="s">
        <v>16049</v>
      </c>
      <c r="C16235" t="str">
        <f>IFERROR(__xludf.DUMMYFUNCTION("GOOGLETRANSLATE(B16235, ""zh"", ""en"")"),"Value! Value! Value! Too value. Price of less than 900, the sound level is Sennheiser hd650 level, it feels like the same jackpot. Pure listening to music two great frequency extension, no open burning is very appealing.")</f>
        <v>Value! Value! Value! Too value. Price of less than 900, the sound level is Sennheiser hd650 level, it feels like the same jackpot. Pure listening to music two great frequency extension, no open burning is very appealing.</v>
      </c>
    </row>
    <row r="16236">
      <c r="A16236" s="1">
        <v>5.0</v>
      </c>
      <c r="B16236" s="1" t="s">
        <v>16050</v>
      </c>
      <c r="C16236" t="str">
        <f>IFERROR(__xludf.DUMMYFUNCTION("GOOGLETRANSLATE(B16236, ""zh"", ""en"")"),"Good compression tights super power. He ran a 5 km, a 7 km. Ten degrees of temperature, running up and not cold. Height 162, weight 55, waist 67, she is relatively well-balanced, medium everyday fashion wear, swimsuit wear 165. The wear XS number of time "&amp;"off are more demanding, wearing a pants feel deformed, do not know the S code will not be more appropriate. Short legs, can not fully cover the ankle. Photo shoot their own point of view is not very good, in fact, good-looking than the pictures.")</f>
        <v>Good compression tights super power. He ran a 5 km, a 7 km. Ten degrees of temperature, running up and not cold. Height 162, weight 55, waist 67, she is relatively well-balanced, medium everyday fashion wear, swimsuit wear 165. The wear XS number of time off are more demanding, wearing a pants feel deformed, do not know the S code will not be more appropriate. Short legs, can not fully cover the ankle. Photo shoot their own point of view is not very good, in fact, good-looking than the pictures.</v>
      </c>
    </row>
    <row r="16237">
      <c r="A16237" s="1">
        <v>5.0</v>
      </c>
      <c r="B16237" s="1" t="s">
        <v>16051</v>
      </c>
      <c r="C16237" t="str">
        <f>IFERROR(__xludf.DUMMYFUNCTION("GOOGLETRANSLATE(B16237, ""zh"", ""en"")"),"Excellent quality is really good, style is simple, the body of the lower left corner there is a small sign, minimalist, very much. A place sideways, no traces of stitching, are one body, thus eliminating the need for physical and splices and friction, gre"&amp;"at design, material is also very fond of, I do not think it looks like a thin, commented, liked praise. The next opportunity will buy.")</f>
        <v>Excellent quality is really good, style is simple, the body of the lower left corner there is a small sign, minimalist, very much. A place sideways, no traces of stitching, are one body, thus eliminating the need for physical and splices and friction, great design, material is also very fond of, I do not think it looks like a thin, commented, liked praise. The next opportunity will buy.</v>
      </c>
    </row>
    <row r="16238">
      <c r="A16238" s="1">
        <v>5.0</v>
      </c>
      <c r="B16238" s="1" t="s">
        <v>16052</v>
      </c>
      <c r="C16238" t="str">
        <f>IFERROR(__xludf.DUMMYFUNCTION("GOOGLETRANSLATE(B16238, ""zh"", ""en"")"),"Inexpensive, good-looking code slightly larger version, the price is not bad! Slightly more than half of code! Inside This color is a little too light! Darker would be better")</f>
        <v>Inexpensive, good-looking code slightly larger version, the price is not bad! Slightly more than half of code! Inside This color is a little too light! Darker would be better</v>
      </c>
    </row>
    <row r="16239">
      <c r="A16239" s="1">
        <v>5.0</v>
      </c>
      <c r="B16239" s="1" t="s">
        <v>16053</v>
      </c>
      <c r="C16239" t="str">
        <f>IFERROR(__xludf.DUMMYFUNCTION("GOOGLETRANSLATE(B16239, ""zh"", ""en"")"),"ck jeans, and it did not disappoint! Affordable - the version is also good-looking! Very good jeans! Color is also good-looking, gray often affordable price ah ~ waist circumference two feet seven or buy 36w 34L, a little longer next time to buy ~ 32L")</f>
        <v>ck jeans, and it did not disappoint! Affordable - the version is also good-looking! Very good jeans! Color is also good-looking, gray often affordable price ah ~ waist circumference two feet seven or buy 36w 34L, a little longer next time to buy ~ 32L</v>
      </c>
    </row>
    <row r="16240">
      <c r="A16240" s="1">
        <v>5.0</v>
      </c>
      <c r="B16240" s="1" t="s">
        <v>16054</v>
      </c>
      <c r="C16240" t="str">
        <f>IFERROR(__xludf.DUMMYFUNCTION("GOOGLETRANSLATE(B16240, ""zh"", ""en"")"),"Asians or buy Japanese version of it can only buy the Japanese version, the US version too, the fabric does not work.")</f>
        <v>Asians or buy Japanese version of it can only buy the Japanese version, the US version too, the fabric does not work.</v>
      </c>
    </row>
    <row r="16241">
      <c r="A16241" s="1">
        <v>5.0</v>
      </c>
      <c r="B16241" s="1" t="s">
        <v>16055</v>
      </c>
      <c r="C16241" t="str">
        <f>IFERROR(__xludf.DUMMYFUNCTION("GOOGLETRANSLATE(B16241, ""zh"", ""en"")"),"Spoon easy to use, very fond of her daughter, when exposed to heat discoloration, easy to use")</f>
        <v>Spoon easy to use, very fond of her daughter, when exposed to heat discoloration, easy to use</v>
      </c>
    </row>
    <row r="16242">
      <c r="A16242" s="1">
        <v>5.0</v>
      </c>
      <c r="B16242" s="1" t="s">
        <v>16056</v>
      </c>
      <c r="C16242" t="str">
        <f>IFERROR(__xludf.DUMMYFUNCTION("GOOGLETRANSLATE(B16242, ""zh"", ""en"")"),"M code 181,70kg, M code suitable, except slightly longer sleeves")</f>
        <v>M code 181,70kg, M code suitable, except slightly longer sleeves</v>
      </c>
    </row>
    <row r="16243">
      <c r="A16243" s="1">
        <v>5.0</v>
      </c>
      <c r="B16243" s="1" t="s">
        <v>16057</v>
      </c>
      <c r="C16243" t="str">
        <f>IFERROR(__xludf.DUMMYFUNCTION("GOOGLETRANSLATE(B16243, ""zh"", ""en"")"),"Stable and cheap. Or phrase, compared to high domestic cost-effective, ha ha")</f>
        <v>Stable and cheap. Or phrase, compared to high domestic cost-effective, ha ha</v>
      </c>
    </row>
    <row r="16244">
      <c r="A16244" s="1">
        <v>5.0</v>
      </c>
      <c r="B16244" s="1" t="s">
        <v>16058</v>
      </c>
      <c r="C16244" t="str">
        <f>IFERROR(__xludf.DUMMYFUNCTION("GOOGLETRANSLATE(B16244, ""zh"", ""en"")"),"Very good particularly good, with daily")</f>
        <v>Very good particularly good, with daily</v>
      </c>
    </row>
    <row r="16245">
      <c r="A16245" s="1">
        <v>5.0</v>
      </c>
      <c r="B16245" s="1" t="s">
        <v>16059</v>
      </c>
      <c r="C16245" t="str">
        <f>IFERROR(__xludf.DUMMYFUNCTION("GOOGLETRANSLATE(B16245, ""zh"", ""en"")"),"He did not say when to buy warm wool pants, received only to find thick pants. There are thin cashmere, very warm. 157 height, bought a number XS, length exactly. Since recently fat, 110, worn at, but obviously fat mirror. I do not know how to S number ba"&amp;"ck.")</f>
        <v>He did not say when to buy warm wool pants, received only to find thick pants. There are thin cashmere, very warm. 157 height, bought a number XS, length exactly. Since recently fat, 110, worn at, but obviously fat mirror. I do not know how to S number back.</v>
      </c>
    </row>
    <row r="16246">
      <c r="A16246" s="1">
        <v>5.0</v>
      </c>
      <c r="B16246" s="1" t="s">
        <v>16060</v>
      </c>
      <c r="C16246" t="str">
        <f>IFERROR(__xludf.DUMMYFUNCTION("GOOGLETRANSLATE(B16246, ""zh"", ""en"")"),"Distribution rapidly to help a friend buy, Nichia package not to say that it is very easy to science. He is a friend entangled in this made in China.")</f>
        <v>Distribution rapidly to help a friend buy, Nichia package not to say that it is very easy to science. He is a friend entangled in this made in China.</v>
      </c>
    </row>
    <row r="16247">
      <c r="A16247" s="1">
        <v>5.0</v>
      </c>
      <c r="B16247" s="1" t="s">
        <v>16061</v>
      </c>
      <c r="C16247" t="str">
        <f>IFERROR(__xludf.DUMMYFUNCTION("GOOGLETRANSLATE(B16247, ""zh"", ""en"")"),"Suitable high home 164 90 120 pounds when the home service wear suitable Chest")</f>
        <v>Suitable high home 164 90 120 pounds when the home service wear suitable Chest</v>
      </c>
    </row>
    <row r="16248">
      <c r="A16248" s="1">
        <v>5.0</v>
      </c>
      <c r="B16248" s="1" t="s">
        <v>16062</v>
      </c>
      <c r="C16248" t="str">
        <f>IFERROR(__xludf.DUMMYFUNCTION("GOOGLETRANSLATE(B16248, ""zh"", ""en"")"),"Small size, large carrying capacity is very tidal range of children, but also can hold a lot of things, a very nice bag")</f>
        <v>Small size, large carrying capacity is very tidal range of children, but also can hold a lot of things, a very nice bag</v>
      </c>
    </row>
    <row r="16249">
      <c r="A16249" s="1">
        <v>2.0</v>
      </c>
      <c r="B16249" s="1" t="s">
        <v>16063</v>
      </c>
      <c r="C16249" t="str">
        <f>IFERROR(__xludf.DUMMYFUNCTION("GOOGLETRANSLATE(B16249, ""zh"", ""en"")"),"To mention this is quite comfortable to wear stockings, but there is a mishap, an uninterrupted run to the bathroom when standing to mention socks, I 160/50 body, sort of standard it! Still so embarrassed.")</f>
        <v>To mention this is quite comfortable to wear stockings, but there is a mishap, an uninterrupted run to the bathroom when standing to mention socks, I 160/50 body, sort of standard it! Still so embarrassed.</v>
      </c>
    </row>
    <row r="16250">
      <c r="A16250" s="1">
        <v>3.0</v>
      </c>
      <c r="B16250" s="1" t="s">
        <v>16064</v>
      </c>
      <c r="C16250" t="str">
        <f>IFERROR(__xludf.DUMMYFUNCTION("GOOGLETRANSLATE(B16250, ""zh"", ""en"")"),"Products in general, did not feel the quality of the doctoral purchased products in general, regret, not as good as the store")</f>
        <v>Products in general, did not feel the quality of the doctoral purchased products in general, regret, not as good as the store</v>
      </c>
    </row>
    <row r="16251">
      <c r="A16251" s="1">
        <v>3.0</v>
      </c>
      <c r="B16251" s="1" t="s">
        <v>16065</v>
      </c>
      <c r="C16251" t="str">
        <f>IFERROR(__xludf.DUMMYFUNCTION("GOOGLETRANSLATE(B16251, ""zh"", ""en"")"),"Stretch great good, great elasticity, but also scraping, a long time will play ball")</f>
        <v>Stretch great good, great elasticity, but also scraping, a long time will play ball</v>
      </c>
    </row>
    <row r="16252">
      <c r="A16252" s="1">
        <v>1.0</v>
      </c>
      <c r="B16252" s="1" t="s">
        <v>16066</v>
      </c>
      <c r="C16252" t="str">
        <f>IFERROR(__xludf.DUMMYFUNCTION("GOOGLETRANSLATE(B16252, ""zh"", ""en"")"),"Did not fake people found to be fake it? Work so rough")</f>
        <v>Did not fake people found to be fake it? Work so rough</v>
      </c>
    </row>
    <row r="16253">
      <c r="A16253" s="1">
        <v>1.0</v>
      </c>
      <c r="B16253" s="1" t="s">
        <v>16067</v>
      </c>
      <c r="C16253" t="str">
        <f>IFERROR(__xludf.DUMMYFUNCTION("GOOGLETRANSLATE(B16253, ""zh"", ""en"")"),"Dissatisfied usually wear 34 this buy 32 still wearing thigh fat")</f>
        <v>Dissatisfied usually wear 34 this buy 32 still wearing thigh fat</v>
      </c>
    </row>
    <row r="16254">
      <c r="A16254" s="1">
        <v>1.0</v>
      </c>
      <c r="B16254" s="1" t="s">
        <v>16068</v>
      </c>
      <c r="C16254" t="str">
        <f>IFERROR(__xludf.DUMMYFUNCTION("GOOGLETRANSLATE(B16254, ""zh"", ""en"")"),"Relatively poor quality of the fabric is too thin, the quality is not expected good. Worth only twenty or thirty")</f>
        <v>Relatively poor quality of the fabric is too thin, the quality is not expected good. Worth only twenty or thirty</v>
      </c>
    </row>
    <row r="16255">
      <c r="A16255" s="1">
        <v>4.0</v>
      </c>
      <c r="B16255" s="1" t="s">
        <v>16069</v>
      </c>
      <c r="C16255" t="str">
        <f>IFERROR(__xludf.DUMMYFUNCTION("GOOGLETRANSLATE(B16255, ""zh"", ""en"")"),"Waist-length pants a little fat is very appropriate, just pants are loose type, a type of dress you want to be careful to buy the same shoes.")</f>
        <v>Waist-length pants a little fat is very appropriate, just pants are loose type, a type of dress you want to be careful to buy the same shoes.</v>
      </c>
    </row>
    <row r="16256">
      <c r="A16256" s="1">
        <v>4.0</v>
      </c>
      <c r="B16256" s="1" t="s">
        <v>16070</v>
      </c>
      <c r="C16256" t="str">
        <f>IFERROR(__xludf.DUMMYFUNCTION("GOOGLETRANSLATE(B16256, ""zh"", ""en"")"),"Watch a little biased towards this watch to achieve the desired overall shape, but watch a little too much weight, may be appropriate in Europe and America to wear habit of it.")</f>
        <v>Watch a little biased towards this watch to achieve the desired overall shape, but watch a little too much weight, may be appropriate in Europe and America to wear habit of it.</v>
      </c>
    </row>
    <row r="16257">
      <c r="A16257" s="1">
        <v>4.0</v>
      </c>
      <c r="B16257" s="1" t="s">
        <v>16071</v>
      </c>
      <c r="C16257" t="str">
        <f>IFERROR(__xludf.DUMMYFUNCTION("GOOGLETRANSLATE(B16257, ""zh"", ""en"")"),"Some tight little tight")</f>
        <v>Some tight little tight</v>
      </c>
    </row>
    <row r="16258">
      <c r="A16258" s="1">
        <v>4.0</v>
      </c>
      <c r="B16258" s="1" t="s">
        <v>16072</v>
      </c>
      <c r="C16258" t="str">
        <f>IFERROR(__xludf.DUMMYFUNCTION("GOOGLETRANSLATE(B16258, ""zh"", ""en"")"),"Suitable. I 175,88, wearing L of the right, is where some of the stomach fat.")</f>
        <v>Suitable. I 175,88, wearing L of the right, is where some of the stomach fat.</v>
      </c>
    </row>
    <row r="16259">
      <c r="A16259" s="1">
        <v>4.0</v>
      </c>
      <c r="B16259" s="1" t="s">
        <v>16073</v>
      </c>
      <c r="C16259" t="str">
        <f>IFERROR(__xludf.DUMMYFUNCTION("GOOGLETRANSLATE(B16259, ""zh"", ""en"")"),"Hitachi tractors This price is very cheap (looks like a Hitachi official refurbished disk?) Is this noise can accept the point of moving to take away the hanging router")</f>
        <v>Hitachi tractors This price is very cheap (looks like a Hitachi official refurbished disk?) Is this noise can accept the point of moving to take away the hanging router</v>
      </c>
    </row>
    <row r="16260">
      <c r="A16260" s="1">
        <v>5.0</v>
      </c>
      <c r="B16260" s="1" t="s">
        <v>16074</v>
      </c>
      <c r="C16260" t="str">
        <f>IFERROR(__xludf.DUMMYFUNCTION("GOOGLETRANSLATE(B16260, ""zh"", ""en"")"),"Good or very good, clean and a lot of teeth")</f>
        <v>Good or very good, clean and a lot of teeth</v>
      </c>
    </row>
    <row r="16261">
      <c r="A16261" s="1">
        <v>5.0</v>
      </c>
      <c r="B16261" s="1" t="s">
        <v>16075</v>
      </c>
      <c r="C16261" t="str">
        <f>IFERROR(__xludf.DUMMYFUNCTION("GOOGLETRANSLATE(B16261, ""zh"", ""en"")"),"ECCO GORETEX hiking the price is right, delivery speed can be tolerated, the international code is the same, like. Here it is recommended to buy ECCO shoes, pay more attention to price, price is still high.")</f>
        <v>ECCO GORETEX hiking the price is right, delivery speed can be tolerated, the international code is the same, like. Here it is recommended to buy ECCO shoes, pay more attention to price, price is still high.</v>
      </c>
    </row>
    <row r="16262">
      <c r="A16262" s="1">
        <v>5.0</v>
      </c>
      <c r="B16262" s="1" t="s">
        <v>16076</v>
      </c>
      <c r="C16262" t="str">
        <f>IFERROR(__xludf.DUMMYFUNCTION("GOOGLETRANSLATE(B16262, ""zh"", ""en"")"),"The first Amazon shopping experiences for the first time with the Amazon, would like to say a few words. First, there is no customer service, you can not determine what you buy in the end is how. Second, the packaging sucks, time to get things been able t"&amp;"o see inside the packaging of the razor. Third, the logistics is very slow, but the logistics too slow to update the site. Fourth, what is absolutely the best! The whole is good, the minimum price to buy the most favorite things!")</f>
        <v>The first Amazon shopping experiences for the first time with the Amazon, would like to say a few words. First, there is no customer service, you can not determine what you buy in the end is how. Second, the packaging sucks, time to get things been able to see inside the packaging of the razor. Third, the logistics is very slow, but the logistics too slow to update the site. Fourth, what is absolutely the best! The whole is good, the minimum price to buy the most favorite things!</v>
      </c>
    </row>
    <row r="16263">
      <c r="A16263" s="1">
        <v>5.0</v>
      </c>
      <c r="B16263" s="1" t="s">
        <v>16077</v>
      </c>
      <c r="C16263" t="str">
        <f>IFERROR(__xludf.DUMMYFUNCTION("GOOGLETRANSLATE(B16263, ""zh"", ""en"")"),"Plastic catheter, appropriate size. To convenient than paper conduits, convenient and quick. Praise.")</f>
        <v>Plastic catheter, appropriate size. To convenient than paper conduits, convenient and quick. Praise.</v>
      </c>
    </row>
    <row r="16264">
      <c r="A16264" s="1">
        <v>5.0</v>
      </c>
      <c r="B16264" s="1" t="s">
        <v>16078</v>
      </c>
      <c r="C16264" t="str">
        <f>IFERROR(__xludf.DUMMYFUNCTION("GOOGLETRANSLATE(B16264, ""zh"", ""en"")"),"Samsonite rewind cross-over is very good, next time continue to buy")</f>
        <v>Samsonite rewind cross-over is very good, next time continue to buy</v>
      </c>
    </row>
    <row r="16265">
      <c r="A16265" s="1">
        <v>5.0</v>
      </c>
      <c r="B16265" s="1" t="s">
        <v>16079</v>
      </c>
      <c r="C16265" t="str">
        <f>IFERROR(__xludf.DUMMYFUNCTION("GOOGLETRANSLATE(B16265, ""zh"", ""en"")"),"Suitable someone else to buy cool Length 1 m m 76 160 kilos somewhat shorter")</f>
        <v>Suitable someone else to buy cool Length 1 m m 76 160 kilos somewhat shorter</v>
      </c>
    </row>
    <row r="16266">
      <c r="A16266" s="1">
        <v>5.0</v>
      </c>
      <c r="B16266" s="1" t="s">
        <v>16080</v>
      </c>
      <c r="C16266" t="str">
        <f>IFERROR(__xludf.DUMMYFUNCTION("GOOGLETRANSLATE(B16266, ""zh"", ""en"")"),"Cost-effective, it is recommended Kenya, but good quality, very self-cultivation, with the size the size of the domestic counter, as recommended, cost-effective")</f>
        <v>Cost-effective, it is recommended Kenya, but good quality, very self-cultivation, with the size the size of the domestic counter, as recommended, cost-effective</v>
      </c>
    </row>
    <row r="16267">
      <c r="A16267" s="1">
        <v>5.0</v>
      </c>
      <c r="B16267" s="1" t="s">
        <v>16081</v>
      </c>
      <c r="C16267" t="str">
        <f>IFERROR(__xludf.DUMMYFUNCTION("GOOGLETRANSLATE(B16267, ""zh"", ""en"")"),"Sea Amoy fine, like this one even less than a thousand tariff hand. Ear shell is black, is not the picture of gray. Very comfortable velvet earmuffs, more comfortable than my DT990 32 ohms. Although it is closed, not to wear stuffy, uncomfortable than 550"&amp;" crybaby some home. Cover the first beam that is similar to the jacket fabric, feel good, you can be replaced. Only a simple box packaging bags and manual warranty card. 6.5mm headphone plug. The other did not.")</f>
        <v>Sea Amoy fine, like this one even less than a thousand tariff hand. Ear shell is black, is not the picture of gray. Very comfortable velvet earmuffs, more comfortable than my DT990 32 ohms. Although it is closed, not to wear stuffy, uncomfortable than 550 crybaby some home. Cover the first beam that is similar to the jacket fabric, feel good, you can be replaced. Only a simple box packaging bags and manual warranty card. 6.5mm headphone plug. The other did not.</v>
      </c>
    </row>
    <row r="16268">
      <c r="A16268" s="1">
        <v>5.0</v>
      </c>
      <c r="B16268" s="1" t="s">
        <v>16082</v>
      </c>
      <c r="C16268" t="str">
        <f>IFERROR(__xludf.DUMMYFUNCTION("GOOGLETRANSLATE(B16268, ""zh"", ""en"")"),"Comfortable warm wool waistcoat, very warm, the right size.")</f>
        <v>Comfortable warm wool waistcoat, very warm, the right size.</v>
      </c>
    </row>
    <row r="16269">
      <c r="A16269" s="1">
        <v>5.0</v>
      </c>
      <c r="B16269" s="1" t="s">
        <v>16083</v>
      </c>
      <c r="C16269" t="str">
        <f>IFERROR(__xludf.DUMMYFUNCTION("GOOGLETRANSLATE(B16269, ""zh"", ""en"")"),"Very good style and material are very good")</f>
        <v>Very good style and material are very good</v>
      </c>
    </row>
    <row r="16270">
      <c r="A16270" s="1">
        <v>5.0</v>
      </c>
      <c r="B16270" s="1" t="s">
        <v>16084</v>
      </c>
      <c r="C16270" t="str">
        <f>IFERROR(__xludf.DUMMYFUNCTION("GOOGLETRANSLATE(B16270, ""zh"", ""en"")"),"Before buying for their own clothes to go to some stores in the US to buy clothes, a little feel very good, they are very full-size standard code, almost no hemming, while in the country to buy pants No stick side. Also now suitable for middle-aged men's "&amp;"pants in the country has been very difficult to buy, everywhere sharp tapered pants fashionable young and still mostly straight type in the United States. Domestic bad buy, Amazon meet our requirements, very satisfied.")</f>
        <v>Before buying for their own clothes to go to some stores in the US to buy clothes, a little feel very good, they are very full-size standard code, almost no hemming, while in the country to buy pants No stick side. Also now suitable for middle-aged men's pants in the country has been very difficult to buy, everywhere sharp tapered pants fashionable young and still mostly straight type in the United States. Domestic bad buy, Amazon meet our requirements, very satisfied.</v>
      </c>
    </row>
    <row r="16271">
      <c r="A16271" s="1">
        <v>5.0</v>
      </c>
      <c r="B16271" s="1" t="s">
        <v>16085</v>
      </c>
      <c r="C16271" t="str">
        <f>IFERROR(__xludf.DUMMYFUNCTION("GOOGLETRANSLATE(B16271, ""zh"", ""en"")"),"The size and fit of the clothes on the body. Height 175 cm, weight 66 kg, small clothes, with custom-made, like, a reference to the back of a friend.")</f>
        <v>The size and fit of the clothes on the body. Height 175 cm, weight 66 kg, small clothes, with custom-made, like, a reference to the back of a friend.</v>
      </c>
    </row>
    <row r="16272">
      <c r="A16272" s="1">
        <v>5.0</v>
      </c>
      <c r="B16272" s="1" t="s">
        <v>16086</v>
      </c>
      <c r="C16272" t="str">
        <f>IFERROR(__xludf.DUMMYFUNCTION("GOOGLETRANSLATE(B16272, ""zh"", ""en"")"),"Good very good very good, very, very good.")</f>
        <v>Good very good very good, very, very good.</v>
      </c>
    </row>
    <row r="16273">
      <c r="A16273" s="1">
        <v>5.0</v>
      </c>
      <c r="B16273" s="1" t="s">
        <v>16087</v>
      </c>
      <c r="C16273" t="str">
        <f>IFERROR(__xludf.DUMMYFUNCTION("GOOGLETRANSLATE(B16273, ""zh"", ""en"")"),"Very good with very good use, nor legendary heavy hand is not tired, before the home than a lighter. Dry quickly, you only need to buy a UK adapter plug on the line, ten pieces.")</f>
        <v>Very good with very good use, nor legendary heavy hand is not tired, before the home than a lighter. Dry quickly, you only need to buy a UK adapter plug on the line, ten pieces.</v>
      </c>
    </row>
    <row r="16274">
      <c r="A16274" s="1">
        <v>5.0</v>
      </c>
      <c r="B16274" s="1" t="s">
        <v>16088</v>
      </c>
      <c r="C16274" t="str">
        <f>IFERROR(__xludf.DUMMYFUNCTION("GOOGLETRANSLATE(B16274, ""zh"", ""en"")"),"About the size of height 190, weight 100, L number right size, quality and wearing comfort are also, praise!")</f>
        <v>About the size of height 190, weight 100, L number right size, quality and wearing comfort are also, praise!</v>
      </c>
    </row>
    <row r="16275">
      <c r="A16275" s="1">
        <v>5.0</v>
      </c>
      <c r="B16275" s="1" t="s">
        <v>16089</v>
      </c>
      <c r="C16275" t="str">
        <f>IFERROR(__xludf.DUMMYFUNCTION("GOOGLETRANSLATE(B16275, ""zh"", ""en"")"),"Or buy the black! Or buy black, not black good-looking!")</f>
        <v>Or buy the black! Or buy black, not black good-looking!</v>
      </c>
    </row>
    <row r="16276">
      <c r="A16276" s="1">
        <v>5.0</v>
      </c>
      <c r="B16276" s="1" t="s">
        <v>16090</v>
      </c>
      <c r="C16276" t="str">
        <f>IFERROR(__xludf.DUMMYFUNCTION("GOOGLETRANSLATE(B16276, ""zh"", ""en"")"),"Yan served as the value of the cast iron pot, prime free shipping is the value of a single 17 Kusakabe, shipping 18, 23, customs clearance, 25th SF served. Still very beautiful, can not be required when the crafts, small trachoma small glitches and soup a"&amp;"re some small flaws, overall overseas shopping experience is very good, low-key and feel the Amazon Bang Bang clatter.")</f>
        <v>Yan served as the value of the cast iron pot, prime free shipping is the value of a single 17 Kusakabe, shipping 18, 23, customs clearance, 25th SF served. Still very beautiful, can not be required when the crafts, small trachoma small glitches and soup are some small flaws, overall overseas shopping experience is very good, low-key and feel the Amazon Bang Bang clatter.</v>
      </c>
    </row>
    <row r="16277">
      <c r="A16277" s="1">
        <v>5.0</v>
      </c>
      <c r="B16277" s="1" t="s">
        <v>16091</v>
      </c>
      <c r="C16277" t="str">
        <f>IFERROR(__xludf.DUMMYFUNCTION("GOOGLETRANSLATE(B16277, ""zh"", ""en"")"),"Nice look! NICE LOOK! Workmanship is very good, very warm. like!")</f>
        <v>Nice look! NICE LOOK! Workmanship is very good, very warm. like!</v>
      </c>
    </row>
    <row r="16278">
      <c r="A16278" s="1">
        <v>5.0</v>
      </c>
      <c r="B16278" s="1" t="s">
        <v>16092</v>
      </c>
      <c r="C16278" t="str">
        <f>IFERROR(__xludf.DUMMYFUNCTION("GOOGLETRANSLATE(B16278, ""zh"", ""en"")"),"Very good shopping experience easy to use electric toothbrush, the brush head is too expensive. Compare several stores are basically four fifty-one brush. Philips overseas purchase, eight brush 217, plus customs duties will be about 240, an average of 30 "&amp;"a, really cheap. And overseas purchase genuine rate is very high, worthy of trust. You engage in this brush ah, excited!")</f>
        <v>Very good shopping experience easy to use electric toothbrush, the brush head is too expensive. Compare several stores are basically four fifty-one brush. Philips overseas purchase, eight brush 217, plus customs duties will be about 240, an average of 30 a, really cheap. And overseas purchase genuine rate is very high, worthy of trust. You engage in this brush ah, excited!</v>
      </c>
    </row>
    <row r="16279">
      <c r="A16279" s="1">
        <v>5.0</v>
      </c>
      <c r="B16279" s="1" t="s">
        <v>16093</v>
      </c>
      <c r="C16279" t="str">
        <f>IFERROR(__xludf.DUMMYFUNCTION("GOOGLETRANSLATE(B16279, ""zh"", ""en"")"),"More appropriate overall 186cm, 82kg, xl, long sleeve clothes are appropriate, some little fat, acceptable, suitable for spring wear, wore a T-shirt. Good work, domestic work and almost Columbia.")</f>
        <v>More appropriate overall 186cm, 82kg, xl, long sleeve clothes are appropriate, some little fat, acceptable, suitable for spring wear, wore a T-shirt. Good work, domestic work and almost Columbia.</v>
      </c>
    </row>
    <row r="16280">
      <c r="A16280" s="1">
        <v>5.0</v>
      </c>
      <c r="B16280" s="1" t="s">
        <v>16094</v>
      </c>
      <c r="C16280" t="str">
        <f>IFERROR(__xludf.DUMMYFUNCTION("GOOGLETRANSLATE(B16280, ""zh"", ""en"")"),"Good baby arrival of ultra-fast, have confidence in the baby")</f>
        <v>Good baby arrival of ultra-fast, have confidence in the baby</v>
      </c>
    </row>
    <row r="16281">
      <c r="A16281" s="1">
        <v>5.0</v>
      </c>
      <c r="B16281" s="1" t="s">
        <v>16095</v>
      </c>
      <c r="C16281" t="str">
        <f>IFERROR(__xludf.DUMMYFUNCTION("GOOGLETRANSLATE(B16281, ""zh"", ""en"")"),"Good pants than 1-2 g large number of home jeans, waist high, the fabric is very comfortable, with trousers shut")</f>
        <v>Good pants than 1-2 g large number of home jeans, waist high, the fabric is very comfortable, with trousers shut</v>
      </c>
    </row>
    <row r="16282">
      <c r="A16282" s="1">
        <v>2.0</v>
      </c>
      <c r="B16282" s="1" t="s">
        <v>16096</v>
      </c>
      <c r="C16282" t="str">
        <f>IFERROR(__xludf.DUMMYFUNCTION("GOOGLETRANSLATE(B16282, ""zh"", ""en"")"),"The fabric is too thin, and there are stains on the sleeves, wash also washed away a long time. Because the return is too much trouble, I just put up. And that standard is too small pony, do not know is genuine or fake. The fabric is too thin, and there a"&amp;"re stains on the sleeves, wash also washed away a long time. Because the return is too much trouble, I just put up. And that standard is too small pony, do not know is genuine or fake.")</f>
        <v>The fabric is too thin, and there are stains on the sleeves, wash also washed away a long time. Because the return is too much trouble, I just put up. And that standard is too small pony, do not know is genuine or fake. The fabric is too thin, and there are stains on the sleeves, wash also washed away a long time. Because the return is too much trouble, I just put up. And that standard is too small pony, do not know is genuine or fake.</v>
      </c>
    </row>
    <row r="16283">
      <c r="A16283" s="1">
        <v>3.0</v>
      </c>
      <c r="B16283" s="1" t="s">
        <v>16097</v>
      </c>
      <c r="C16283" t="str">
        <f>IFERROR(__xludf.DUMMYFUNCTION("GOOGLETRANSLATE(B16283, ""zh"", ""en"")"),"Samsung is to be black customer service, and come not, but customer service is very straightforward process makes me very happy, nice pants, that is not what I want color")</f>
        <v>Samsung is to be black customer service, and come not, but customer service is very straightforward process makes me very happy, nice pants, that is not what I want color</v>
      </c>
    </row>
    <row r="16284">
      <c r="A16284" s="1">
        <v>3.0</v>
      </c>
      <c r="B16284" s="1" t="s">
        <v>16098</v>
      </c>
      <c r="C16284" t="str">
        <f>IFERROR(__xludf.DUMMYFUNCTION("GOOGLETRANSLATE(B16284, ""zh"", ""en"")"),"Too large too much fabric in general, not elastic, sticky ash. Not a little too large, 74kg 170cm, usually wear XL, M is also too large to wear this, do not recommend buying")</f>
        <v>Too large too much fabric in general, not elastic, sticky ash. Not a little too large, 74kg 170cm, usually wear XL, M is also too large to wear this, do not recommend buying</v>
      </c>
    </row>
    <row r="16285">
      <c r="A16285" s="1">
        <v>3.0</v>
      </c>
      <c r="B16285" s="1" t="s">
        <v>16099</v>
      </c>
      <c r="C16285" t="str">
        <f>IFERROR(__xludf.DUMMYFUNCTION("GOOGLETRANSLATE(B16285, ""zh"", ""en"")"),"Not like the taste did not feel able to maintain day, another water tastes strange.")</f>
        <v>Not like the taste did not feel able to maintain day, another water tastes strange.</v>
      </c>
    </row>
    <row r="16286">
      <c r="A16286" s="1">
        <v>1.0</v>
      </c>
      <c r="B16286" s="1" t="s">
        <v>1943</v>
      </c>
      <c r="C16286" t="str">
        <f>IFERROR(__xludf.DUMMYFUNCTION("GOOGLETRANSLATE(B16286, ""zh"", ""en"")"),"Poor pluse this key, how the press can not be restored; probably because of transport problems, leading to the base split")</f>
        <v>Poor pluse this key, how the press can not be restored; probably because of transport problems, leading to the base split</v>
      </c>
    </row>
    <row r="16287">
      <c r="A16287" s="1">
        <v>1.0</v>
      </c>
      <c r="B16287" s="1" t="s">
        <v>16100</v>
      </c>
      <c r="C16287" t="str">
        <f>IFERROR(__xludf.DUMMYFUNCTION("GOOGLETRANSLATE(B16287, ""zh"", ""en"")"),"Quality worrying bad! Power cord Speaker poor contact, hand on adjustments in order to have a voice, to let go of it without sound. Approach can only retreat. Overseas purchase return too much trouble. Electronic products can only sea, three months after "&amp;"the arrival of a refund, or some express company freight fast to catch up with prices. Re-attract thing, you have to start to think twice. After not dare to buy.")</f>
        <v>Quality worrying bad! Power cord Speaker poor contact, hand on adjustments in order to have a voice, to let go of it without sound. Approach can only retreat. Overseas purchase return too much trouble. Electronic products can only sea, three months after the arrival of a refund, or some express company freight fast to catch up with prices. Re-attract thing, you have to start to think twice. After not dare to buy.</v>
      </c>
    </row>
    <row r="16288">
      <c r="A16288" s="1">
        <v>1.0</v>
      </c>
      <c r="B16288" s="1" t="s">
        <v>16101</v>
      </c>
      <c r="C16288" t="str">
        <f>IFERROR(__xludf.DUMMYFUNCTION("GOOGLETRANSLATE(B16288, ""zh"", ""en"")"),"Fade problem to wear for 10 days, the knee fade!")</f>
        <v>Fade problem to wear for 10 days, the knee fade!</v>
      </c>
    </row>
    <row r="16289">
      <c r="A16289" s="1">
        <v>4.0</v>
      </c>
      <c r="B16289" s="1" t="s">
        <v>16102</v>
      </c>
      <c r="C16289" t="str">
        <f>IFERROR(__xludf.DUMMYFUNCTION("GOOGLETRANSLATE(B16289, ""zh"", ""en"")"),"Basically satisfied with the shopping process usually wear shoes 43, bought 9.5M, the right size, winter wear pad insoles can. Shoe leather feels very soft, not hard-wearing, quite comfortable. Shoes hand when the position of the left foot a little scratc"&amp;"hes, does not affect the personal feel, plus back up trouble, and no accountability. Logistics pretty fast, at 1.11 am single, shipped 1.12, 1.17 on hand.")</f>
        <v>Basically satisfied with the shopping process usually wear shoes 43, bought 9.5M, the right size, winter wear pad insoles can. Shoe leather feels very soft, not hard-wearing, quite comfortable. Shoes hand when the position of the left foot a little scratches, does not affect the personal feel, plus back up trouble, and no accountability. Logistics pretty fast, at 1.11 am single, shipped 1.12, 1.17 on hand.</v>
      </c>
    </row>
    <row r="16290">
      <c r="A16290" s="1">
        <v>4.0</v>
      </c>
      <c r="B16290" s="1" t="s">
        <v>16103</v>
      </c>
      <c r="C16290" t="str">
        <f>IFERROR(__xludf.DUMMYFUNCTION("GOOGLETRANSLATE(B16290, ""zh"", ""en"")"),"2 installed only a so-called two-pack is really just the tip omentum combination of equipment, there is a feeling cheated after receipt. But in terms of goods, packaging intact, the quality looks pretty good, not put to use so I do not know the effect. Ov"&amp;"erall satisfaction.")</f>
        <v>2 installed only a so-called two-pack is really just the tip omentum combination of equipment, there is a feeling cheated after receipt. But in terms of goods, packaging intact, the quality looks pretty good, not put to use so I do not know the effect. Overall satisfaction.</v>
      </c>
    </row>
    <row r="16291">
      <c r="A16291" s="1">
        <v>4.0</v>
      </c>
      <c r="B16291" s="1" t="s">
        <v>16104</v>
      </c>
      <c r="C16291" t="str">
        <f>IFERROR(__xludf.DUMMYFUNCTION("GOOGLETRANSLATE(B16291, ""zh"", ""en"")"),"Sanford Perak Malaysia should buy 132 48-color or 150-color color, feel painted figures are not enough. Color is more bright, stack color also can be, is not particularly good sense of the pen. Box to send over a little bump")</f>
        <v>Sanford Perak Malaysia should buy 132 48-color or 150-color color, feel painted figures are not enough. Color is more bright, stack color also can be, is not particularly good sense of the pen. Box to send over a little bump</v>
      </c>
    </row>
    <row r="16292">
      <c r="A16292" s="1">
        <v>4.0</v>
      </c>
      <c r="B16292" s="1" t="s">
        <v>16105</v>
      </c>
      <c r="C16292" t="str">
        <f>IFERROR(__xludf.DUMMYFUNCTION("GOOGLETRANSLATE(B16292, ""zh"", ""en"")"),"And pictures have too much difference between the collar points, but warm good results.")</f>
        <v>And pictures have too much difference between the collar points, but warm good results.</v>
      </c>
    </row>
    <row r="16293">
      <c r="A16293" s="1">
        <v>5.0</v>
      </c>
      <c r="B16293" s="1" t="s">
        <v>16106</v>
      </c>
      <c r="C16293" t="str">
        <f>IFERROR(__xludf.DUMMYFUNCTION("GOOGLETRANSLATE(B16293, ""zh"", ""en"")"),"Buy a spare, spare, capacity.")</f>
        <v>Buy a spare, spare, capacity.</v>
      </c>
    </row>
    <row r="16294">
      <c r="A16294" s="1">
        <v>5.0</v>
      </c>
      <c r="B16294" s="1" t="s">
        <v>16107</v>
      </c>
      <c r="C16294" t="str">
        <f>IFERROR(__xludf.DUMMYFUNCTION("GOOGLETRANSLATE(B16294, ""zh"", ""en"")"),"In addition, when the noise problem to buy, he said nothing for ten days received the results of three days, a very long surprised. There is no simple test the next problem, but also four or five seconds once the thump sound when copying alleviate some da"&amp;"ta (even when not on still the same), plug the data cable and power cord a little trouble, others are quite nice.")</f>
        <v>In addition, when the noise problem to buy, he said nothing for ten days received the results of three days, a very long surprised. There is no simple test the next problem, but also four or five seconds once the thump sound when copying alleviate some data (even when not on still the same), plug the data cable and power cord a little trouble, others are quite nice.</v>
      </c>
    </row>
    <row r="16295">
      <c r="A16295" s="1">
        <v>5.0</v>
      </c>
      <c r="B16295" s="1" t="s">
        <v>13013</v>
      </c>
      <c r="C16295" t="str">
        <f>IFERROR(__xludf.DUMMYFUNCTION("GOOGLETRANSLATE(B16295, ""zh"", ""en"")"),"Material comfort a little hypertrophy, work okay, material comfort!")</f>
        <v>Material comfort a little hypertrophy, work okay, material comfort!</v>
      </c>
    </row>
    <row r="16296">
      <c r="A16296" s="1">
        <v>5.0</v>
      </c>
      <c r="B16296" s="1" t="s">
        <v>16108</v>
      </c>
      <c r="C16296" t="str">
        <f>IFERROR(__xludf.DUMMYFUNCTION("GOOGLETRANSLATE(B16296, ""zh"", ""en"")"),"Good insulation bought with rice, but a little small 550ml. Used to hold the baby out of food supplement. A day before the experiment the next day or the package porridge warm, water loaded into the next day there is 6-70 °. Cleaning is also convenient.")</f>
        <v>Good insulation bought with rice, but a little small 550ml. Used to hold the baby out of food supplement. A day before the experiment the next day or the package porridge warm, water loaded into the next day there is 6-70 °. Cleaning is also convenient.</v>
      </c>
    </row>
    <row r="16297">
      <c r="A16297" s="1">
        <v>5.0</v>
      </c>
      <c r="B16297" s="1" t="s">
        <v>16109</v>
      </c>
      <c r="C16297" t="str">
        <f>IFERROR(__xludf.DUMMYFUNCTION("GOOGLETRANSLATE(B16297, ""zh"", ""en"")"),"And the counter number accurately as very good shoes and a good counter tried as the only leather surface is not treated can not be contaminated with any water stains! Absolutely can not wear rain")</f>
        <v>And the counter number accurately as very good shoes and a good counter tried as the only leather surface is not treated can not be contaminated with any water stains! Absolutely can not wear rain</v>
      </c>
    </row>
    <row r="16298">
      <c r="A16298" s="1">
        <v>5.0</v>
      </c>
      <c r="B16298" s="1" t="s">
        <v>16110</v>
      </c>
      <c r="C16298" t="str">
        <f>IFERROR(__xludf.DUMMYFUNCTION("GOOGLETRANSLATE(B16298, ""zh"", ""en"")"),"2019 still owe Mom shoes ...... 38 yards. We are hoping to achieve! 2019 still owe Mom shoes ...... 38 yards.")</f>
        <v>2019 still owe Mom shoes ...... 38 yards. We are hoping to achieve! 2019 still owe Mom shoes ...... 38 yards.</v>
      </c>
    </row>
    <row r="16299">
      <c r="A16299" s="1">
        <v>5.0</v>
      </c>
      <c r="B16299" s="1" t="s">
        <v>16111</v>
      </c>
      <c r="C16299" t="str">
        <f>IFERROR(__xludf.DUMMYFUNCTION("GOOGLETRANSLATE(B16299, ""zh"", ""en"")"),"Clothes too large, quality line of clothing size is not really small, s roughly equivalent to the country code L code")</f>
        <v>Clothes too large, quality line of clothing size is not really small, s roughly equivalent to the country code L code</v>
      </c>
    </row>
    <row r="16300">
      <c r="A16300" s="1">
        <v>5.0</v>
      </c>
      <c r="B16300" s="1" t="s">
        <v>16112</v>
      </c>
      <c r="C16300" t="str">
        <f>IFERROR(__xludf.DUMMYFUNCTION("GOOGLETRANSLATE(B16300, ""zh"", ""en"")"),"Cheap in quality not just a luxury. Cheap in quality not just a luxury. Put water inside the black water, ah, over and over again, all black. Speechless.")</f>
        <v>Cheap in quality not just a luxury. Cheap in quality not just a luxury. Put water inside the black water, ah, over and over again, all black. Speechless.</v>
      </c>
    </row>
    <row r="16301">
      <c r="A16301" s="1">
        <v>5.0</v>
      </c>
      <c r="B16301" s="1" t="s">
        <v>16113</v>
      </c>
      <c r="C16301" t="str">
        <f>IFERROR(__xludf.DUMMYFUNCTION("GOOGLETRANSLATE(B16301, ""zh"", ""en"")"),"Workmanship is very good, very good fabric. Value for money in the store asked Lynx, about the size too large One. 168,68kg, wearing waist a little loose but still appropriate. Start with a total of 419 plus tax, price volatility")</f>
        <v>Workmanship is very good, very good fabric. Value for money in the store asked Lynx, about the size too large One. 168,68kg, wearing waist a little loose but still appropriate. Start with a total of 419 plus tax, price volatility</v>
      </c>
    </row>
    <row r="16302">
      <c r="A16302" s="1">
        <v>5.0</v>
      </c>
      <c r="B16302" s="1" t="s">
        <v>16114</v>
      </c>
      <c r="C16302" t="str">
        <f>IFERROR(__xludf.DUMMYFUNCTION("GOOGLETRANSLATE(B16302, ""zh"", ""en"")"),"Cost-effective style of shoes very much. The price is very reasonable, praise")</f>
        <v>Cost-effective style of shoes very much. The price is very reasonable, praise</v>
      </c>
    </row>
    <row r="16303">
      <c r="A16303" s="1">
        <v>5.0</v>
      </c>
      <c r="B16303" s="1" t="s">
        <v>16115</v>
      </c>
      <c r="C16303" t="str">
        <f>IFERROR(__xludf.DUMMYFUNCTION("GOOGLETRANSLATE(B16303, ""zh"", ""en"")"),"Praise praise right size")</f>
        <v>Praise praise right size</v>
      </c>
    </row>
    <row r="16304">
      <c r="A16304" s="1">
        <v>5.0</v>
      </c>
      <c r="B16304" s="1" t="s">
        <v>16116</v>
      </c>
      <c r="C16304" t="str">
        <f>IFERROR(__xludf.DUMMYFUNCTION("GOOGLETRANSLATE(B16304, ""zh"", ""en"")"),"Good quality is the soul in consolation bought with less waste")</f>
        <v>Good quality is the soul in consolation bought with less waste</v>
      </c>
    </row>
    <row r="16305">
      <c r="A16305" s="1">
        <v>5.0</v>
      </c>
      <c r="B16305" s="1" t="s">
        <v>16117</v>
      </c>
      <c r="C16305" t="str">
        <f>IFERROR(__xludf.DUMMYFUNCTION("GOOGLETRANSLATE(B16305, ""zh"", ""en"")"),"Good logistics faster than imagined, should not be foreign made goods now, and things looked the same as before to buy, the effect is to eat some time before we know it")</f>
        <v>Good logistics faster than imagined, should not be foreign made goods now, and things looked the same as before to buy, the effect is to eat some time before we know it</v>
      </c>
    </row>
    <row r="16306">
      <c r="A16306" s="1">
        <v>5.0</v>
      </c>
      <c r="B16306" s="1" t="s">
        <v>16118</v>
      </c>
      <c r="C16306" t="str">
        <f>IFERROR(__xludf.DUMMYFUNCTION("GOOGLETRANSLATE(B16306, ""zh"", ""en"")"),"Good soft size registration things thin fabric weight 150 height 180 just Chest 98 M")</f>
        <v>Good soft size registration things thin fabric weight 150 height 180 just Chest 98 M</v>
      </c>
    </row>
    <row r="16307">
      <c r="A16307" s="1">
        <v>5.0</v>
      </c>
      <c r="B16307" s="1" t="s">
        <v>16119</v>
      </c>
      <c r="C16307" t="str">
        <f>IFERROR(__xludf.DUMMYFUNCTION("GOOGLETRANSLATE(B16307, ""zh"", ""en"")"),"Logistics than scheduled ahead of a lot of watches packaging and appearance very good, very good")</f>
        <v>Logistics than scheduled ahead of a lot of watches packaging and appearance very good, very good</v>
      </c>
    </row>
    <row r="16308">
      <c r="A16308" s="1">
        <v>5.0</v>
      </c>
      <c r="B16308" s="1" t="s">
        <v>16120</v>
      </c>
      <c r="C16308" t="str">
        <f>IFERROR(__xludf.DUMMYFUNCTION("GOOGLETRANSLATE(B16308, ""zh"", ""en"")"),"Something good 235 feet Big kid 5.5M just right. Personal instep is not high")</f>
        <v>Something good 235 feet Big kid 5.5M just right. Personal instep is not high</v>
      </c>
    </row>
    <row r="16309">
      <c r="A16309" s="1">
        <v>5.0</v>
      </c>
      <c r="B16309" s="1" t="s">
        <v>16121</v>
      </c>
      <c r="C16309" t="str">
        <f>IFERROR(__xludf.DUMMYFUNCTION("GOOGLETRANSLATE(B16309, ""zh"", ""en"")"),"Five-star, easy to use, did not smell very good, no odor, color look good.")</f>
        <v>Five-star, easy to use, did not smell very good, no odor, color look good.</v>
      </c>
    </row>
    <row r="16310">
      <c r="A16310" s="1">
        <v>5.0</v>
      </c>
      <c r="B16310" s="1" t="s">
        <v>16122</v>
      </c>
      <c r="C16310" t="str">
        <f>IFERROR(__xludf.DUMMYFUNCTION("GOOGLETRANSLATE(B16310, ""zh"", ""en"")"),"Good good satisfactory quality, recommended to buy! Cut things quickly")</f>
        <v>Good good satisfactory quality, recommended to buy! Cut things quickly</v>
      </c>
    </row>
    <row r="16311">
      <c r="A16311" s="1">
        <v>5.0</v>
      </c>
      <c r="B16311" s="1" t="s">
        <v>16123</v>
      </c>
      <c r="C16311" t="str">
        <f>IFERROR(__xludf.DUMMYFUNCTION("GOOGLETRANSLATE(B16311, ""zh"", ""en"")"),"Was a good price instability was a good price instability, a look at the receipt of goods a price with the seller ... shoes issued by the same picture. Fit, comfortable, velvet, soft bottom")</f>
        <v>Was a good price instability was a good price instability, a look at the receipt of goods a price with the seller ... shoes issued by the same picture. Fit, comfortable, velvet, soft bottom</v>
      </c>
    </row>
    <row r="16312">
      <c r="A16312" s="1">
        <v>5.0</v>
      </c>
      <c r="B16312" s="1" t="s">
        <v>16124</v>
      </c>
      <c r="C16312" t="str">
        <f>IFERROR(__xludf.DUMMYFUNCTION("GOOGLETRANSLATE(B16312, ""zh"", ""en"")"),"Small expensive impulse buy, or very expensive. 2 year old baby, but kinda like to use.")</f>
        <v>Small expensive impulse buy, or very expensive. 2 year old baby, but kinda like to use.</v>
      </c>
    </row>
    <row r="16313">
      <c r="A16313" s="1">
        <v>5.0</v>
      </c>
      <c r="B16313" s="1" t="s">
        <v>16125</v>
      </c>
      <c r="C16313" t="str">
        <f>IFERROR(__xludf.DUMMYFUNCTION("GOOGLETRANSLATE(B16313, ""zh"", ""en"")"),"173cm, 67kg, 31W * 29L, wearing the right size, slightly loose fabric more comfortable, Lee is still credible, Kutong thick, straight")</f>
        <v>173cm, 67kg, 31W * 29L, wearing the right size, slightly loose fabric more comfortable, Lee is still credible, Kutong thick, straight</v>
      </c>
    </row>
    <row r="16314">
      <c r="A16314" s="1">
        <v>5.0</v>
      </c>
      <c r="B16314" s="1" t="s">
        <v>16126</v>
      </c>
      <c r="C16314" t="str">
        <f>IFERROR(__xludf.DUMMYFUNCTION("GOOGLETRANSLATE(B16314, ""zh"", ""en"")"),"Very good big bottle, the taste is not as good as another sugar bear")</f>
        <v>Very good big bottle, the taste is not as good as another sugar bear</v>
      </c>
    </row>
    <row r="16315">
      <c r="A16315" s="1">
        <v>2.0</v>
      </c>
      <c r="B16315" s="1" t="s">
        <v>16127</v>
      </c>
      <c r="C16315" t="str">
        <f>IFERROR(__xludf.DUMMYFUNCTION("GOOGLETRANSLATE(B16315, ""zh"", ""en"")"),"Seamless underwear super comfortable with good quality, very comfortable to wear for summer ~")</f>
        <v>Seamless underwear super comfortable with good quality, very comfortable to wear for summer ~</v>
      </c>
    </row>
    <row r="16316">
      <c r="A16316" s="1">
        <v>3.0</v>
      </c>
      <c r="B16316" s="1" t="s">
        <v>16128</v>
      </c>
      <c r="C16316" t="str">
        <f>IFERROR(__xludf.DUMMYFUNCTION("GOOGLETRANSLATE(B16316, ""zh"", ""en"")"),"Be careful to buy a foreigner's body and we do not like, it does not look good to wear pants. Not recommended for sea Amoy pants!")</f>
        <v>Be careful to buy a foreigner's body and we do not like, it does not look good to wear pants. Not recommended for sea Amoy pants!</v>
      </c>
    </row>
    <row r="16317">
      <c r="A16317" s="1">
        <v>3.0</v>
      </c>
      <c r="B16317" s="1" t="s">
        <v>16129</v>
      </c>
      <c r="C16317" t="str">
        <f>IFERROR(__xludf.DUMMYFUNCTION("GOOGLETRANSLATE(B16317, ""zh"", ""en"")"),"Very general belt quality in general, very hard, I feel like plastic, width is very narrow, not suitable for jeans. I had wanted to play two stars, plus a star is cheap.")</f>
        <v>Very general belt quality in general, very hard, I feel like plastic, width is very narrow, not suitable for jeans. I had wanted to play two stars, plus a star is cheap.</v>
      </c>
    </row>
    <row r="16318">
      <c r="A16318" s="1">
        <v>3.0</v>
      </c>
      <c r="B16318" s="1" t="s">
        <v>16130</v>
      </c>
      <c r="C16318" t="str">
        <f>IFERROR(__xludf.DUMMYFUNCTION("GOOGLETRANSLATE(B16318, ""zh"", ""en"")"),"Z Z spike spike to buy, super-fast delivery, the next morning came, the power cord is Shenzhen produced three-plug that, instructions are in English, not Chinese edition of the cookbook, a little disappointed. Many weight ratio almost had to use the small"&amp;" mk200, bottom noise. The reason may be just getting sound a bit dry, to enhance the sound quality is not good imagination.")</f>
        <v>Z Z spike spike to buy, super-fast delivery, the next morning came, the power cord is Shenzhen produced three-plug that, instructions are in English, not Chinese edition of the cookbook, a little disappointed. Many weight ratio almost had to use the small mk200, bottom noise. The reason may be just getting sound a bit dry, to enhance the sound quality is not good imagination.</v>
      </c>
    </row>
    <row r="16319">
      <c r="A16319" s="1">
        <v>1.0</v>
      </c>
      <c r="B16319" s="1" t="s">
        <v>16131</v>
      </c>
      <c r="C16319" t="str">
        <f>IFERROR(__xludf.DUMMYFUNCTION("GOOGLETRANSLATE(B16319, ""zh"", ""en"")"),"Quality is very silent ordering is black, sent me is gray. I also quality in the country bought Ecco very different, very rough work!")</f>
        <v>Quality is very silent ordering is black, sent me is gray. I also quality in the country bought Ecco very different, very rough work!</v>
      </c>
    </row>
    <row r="16320">
      <c r="A16320" s="1">
        <v>1.0</v>
      </c>
      <c r="B16320" s="1" t="s">
        <v>16132</v>
      </c>
      <c r="C16320" t="str">
        <f>IFERROR(__xludf.DUMMYFUNCTION("GOOGLETRANSLATE(B16320, ""zh"", ""en"")"),"Thick 175,65 trumpet, there are plush, very thick.")</f>
        <v>Thick 175,65 trumpet, there are plush, very thick.</v>
      </c>
    </row>
    <row r="16321">
      <c r="A16321" s="1">
        <v>4.0</v>
      </c>
      <c r="B16321" s="1" t="s">
        <v>16133</v>
      </c>
      <c r="C16321" t="str">
        <f>IFERROR(__xludf.DUMMYFUNCTION("GOOGLETRANSLATE(B16321, ""zh"", ""en"")"),"Walk a little tired right size shoe size table size according to the size appropriate to increase the amount of foot and half a yard more appropriate, my foot 230, a 232, 235 a little bit small, relatively relaxed because the shoes also good. Just to wear"&amp;" really comfortable, air-cushion insole is very soft. But the cushion of life needs to be verified. In addition, the design of the sole, or worse, before Alice Alice position forward or former high enough, long walk will feel out some effort.")</f>
        <v>Walk a little tired right size shoe size table size according to the size appropriate to increase the amount of foot and half a yard more appropriate, my foot 230, a 232, 235 a little bit small, relatively relaxed because the shoes also good. Just to wear really comfortable, air-cushion insole is very soft. But the cushion of life needs to be verified. In addition, the design of the sole, or worse, before Alice Alice position forward or former high enough, long walk will feel out some effort.</v>
      </c>
    </row>
    <row r="16322">
      <c r="A16322" s="1">
        <v>4.0</v>
      </c>
      <c r="B16322" s="1" t="s">
        <v>16134</v>
      </c>
      <c r="C16322" t="str">
        <f>IFERROR(__xludf.DUMMYFUNCTION("GOOGLETRANSLATE(B16322, ""zh"", ""en"")"),"Great sense of nostalgia because we saw the reviews before buying ~ ~ mainly used to exercise a fair price in the morning - and very simple shape is still a good brand!")</f>
        <v>Great sense of nostalgia because we saw the reviews before buying ~ ~ mainly used to exercise a fair price in the morning - and very simple shape is still a good brand!</v>
      </c>
    </row>
    <row r="16323">
      <c r="A16323" s="1">
        <v>4.0</v>
      </c>
      <c r="B16323" s="1" t="s">
        <v>16135</v>
      </c>
      <c r="C16323" t="str">
        <f>IFERROR(__xludf.DUMMYFUNCTION("GOOGLETRANSLATE(B16323, ""zh"", ""en"")"),"Drink Pour insulation effect can be, and this is the advantage. But lead to drinking water when not too convenient (there is not necessarily around the cup), looking to improve.")</f>
        <v>Drink Pour insulation effect can be, and this is the advantage. But lead to drinking water when not too convenient (there is not necessarily around the cup), looking to improve.</v>
      </c>
    </row>
    <row r="16324">
      <c r="A16324" s="1">
        <v>4.0</v>
      </c>
      <c r="B16324" s="1" t="s">
        <v>16136</v>
      </c>
      <c r="C16324" t="str">
        <f>IFERROR(__xludf.DUMMYFUNCTION("GOOGLETRANSLATE(B16324, ""zh"", ""en"")"),"Before I bought this package with the packaging has changed it is not the same, this should be a little shorter, smaller barrels and have sealed membrane, do not know the packaging changed, when the red surface there are some white dots, taste okay")</f>
        <v>Before I bought this package with the packaging has changed it is not the same, this should be a little shorter, smaller barrels and have sealed membrane, do not know the packaging changed, when the red surface there are some white dots, taste okay</v>
      </c>
    </row>
    <row r="16325">
      <c r="A16325" s="1">
        <v>4.0</v>
      </c>
      <c r="B16325" s="1" t="s">
        <v>16137</v>
      </c>
      <c r="C16325" t="str">
        <f>IFERROR(__xludf.DUMMYFUNCTION("GOOGLETRANSLATE(B16325, ""zh"", ""en"")"),"MSG does taste great big, victory in cheap enough")</f>
        <v>MSG does taste great big, victory in cheap enough</v>
      </c>
    </row>
    <row r="16326">
      <c r="A16326" s="1">
        <v>5.0</v>
      </c>
      <c r="B16326" s="1" t="s">
        <v>1027</v>
      </c>
      <c r="C16326" t="str">
        <f>IFERROR(__xludf.DUMMYFUNCTION("GOOGLETRANSLATE(B16326, ""zh"", ""en"")"),"Underwear size just very good, lightweight and breathable. I liked it, and bought one.")</f>
        <v>Underwear size just very good, lightweight and breathable. I liked it, and bought one.</v>
      </c>
    </row>
    <row r="16327">
      <c r="A16327" s="1">
        <v>5.0</v>
      </c>
      <c r="B16327" s="1" t="s">
        <v>16138</v>
      </c>
      <c r="C16327" t="str">
        <f>IFERROR(__xludf.DUMMYFUNCTION("GOOGLETRANSLATE(B16327, ""zh"", ""en"")"),"Worth buying clear height 168cm, 70kg. Bust 100cm, waist 80cm, s the right number, but clothing itself is good flexibility, wear loose significant, the fabric is very soft. 350 plus tax hand")</f>
        <v>Worth buying clear height 168cm, 70kg. Bust 100cm, waist 80cm, s the right number, but clothing itself is good flexibility, wear loose significant, the fabric is very soft. 350 plus tax hand</v>
      </c>
    </row>
    <row r="16328">
      <c r="A16328" s="1">
        <v>5.0</v>
      </c>
      <c r="B16328" s="1" t="s">
        <v>16139</v>
      </c>
      <c r="C16328" t="str">
        <f>IFERROR(__xludf.DUMMYFUNCTION("GOOGLETRANSLATE(B16328, ""zh"", ""en"")"),"Baby prefer to use easy to use, the family has four Pigeon")</f>
        <v>Baby prefer to use easy to use, the family has four Pigeon</v>
      </c>
    </row>
    <row r="16329">
      <c r="A16329" s="1">
        <v>5.0</v>
      </c>
      <c r="B16329" s="1" t="s">
        <v>16140</v>
      </c>
      <c r="C16329" t="str">
        <f>IFERROR(__xludf.DUMMYFUNCTION("GOOGLETRANSLATE(B16329, ""zh"", ""en"")"),"OK wearing appropriate.")</f>
        <v>OK wearing appropriate.</v>
      </c>
    </row>
    <row r="16330">
      <c r="A16330" s="1">
        <v>5.0</v>
      </c>
      <c r="B16330" s="1" t="s">
        <v>16141</v>
      </c>
      <c r="C16330" t="str">
        <f>IFERROR(__xludf.DUMMYFUNCTION("GOOGLETRANSLATE(B16330, ""zh"", ""en"")"),"The proposed purchase real big, fast to catch a thermos.")</f>
        <v>The proposed purchase real big, fast to catch a thermos.</v>
      </c>
    </row>
    <row r="16331">
      <c r="A16331" s="1">
        <v>5.0</v>
      </c>
      <c r="B16331" s="1" t="s">
        <v>16142</v>
      </c>
      <c r="C16331" t="str">
        <f>IFERROR(__xludf.DUMMYFUNCTION("GOOGLETRANSLATE(B16331, ""zh"", ""en"")"),"Squirrel stockpile consumables, bought hoarding, sooner or later run out. Good price hoard up.")</f>
        <v>Squirrel stockpile consumables, bought hoarding, sooner or later run out. Good price hoard up.</v>
      </c>
    </row>
    <row r="16332">
      <c r="A16332" s="1">
        <v>5.0</v>
      </c>
      <c r="B16332" s="1" t="s">
        <v>16143</v>
      </c>
      <c r="C16332" t="str">
        <f>IFERROR(__xludf.DUMMYFUNCTION("GOOGLETRANSLATE(B16332, ""zh"", ""en"")"),"! Courier quickly satisfied with pants, pants good standard size thin legs buy point on it, and store almost thin, a little bit faded some details and pictures slightly different overall:.... Very satisfied . cost-effective. Thankfully, Amazon purchased a"&amp;"broad, hope to breed more point oh. I have two ck on the way, it should be good.")</f>
        <v>! Courier quickly satisfied with pants, pants good standard size thin legs buy point on it, and store almost thin, a little bit faded some details and pictures slightly different overall:.... Very satisfied . cost-effective. Thankfully, Amazon purchased abroad, hope to breed more point oh. I have two ck on the way, it should be good.</v>
      </c>
    </row>
    <row r="16333">
      <c r="A16333" s="1">
        <v>5.0</v>
      </c>
      <c r="B16333" s="1" t="s">
        <v>16144</v>
      </c>
      <c r="C16333" t="str">
        <f>IFERROR(__xludf.DUMMYFUNCTION("GOOGLETRANSLATE(B16333, ""zh"", ""en"")"),"Feeling good quality feel pretty good quality, but the pants long election long, next time you can choose the length of 30")</f>
        <v>Feeling good quality feel pretty good quality, but the pants long election long, next time you can choose the length of 30</v>
      </c>
    </row>
    <row r="16334">
      <c r="A16334" s="1">
        <v>5.0</v>
      </c>
      <c r="B16334" s="1" t="s">
        <v>16145</v>
      </c>
      <c r="C16334" t="str">
        <f>IFERROR(__xludf.DUMMYFUNCTION("GOOGLETRANSLATE(B16334, ""zh"", ""en"")"),"Thin, fit height 180,76 kg, X-Large just right. Relatively thin material, a little stiff, but fortunately impervious. Plus long-sleeved underwear, wearing just fall.")</f>
        <v>Thin, fit height 180,76 kg, X-Large just right. Relatively thin material, a little stiff, but fortunately impervious. Plus long-sleeved underwear, wearing just fall.</v>
      </c>
    </row>
    <row r="16335">
      <c r="A16335" s="1">
        <v>5.0</v>
      </c>
      <c r="B16335" s="1" t="s">
        <v>16146</v>
      </c>
      <c r="C16335" t="str">
        <f>IFERROR(__xludf.DUMMYFUNCTION("GOOGLETRANSLATE(B16335, ""zh"", ""en"")"),"Very much looking")</f>
        <v>Very much looking</v>
      </c>
    </row>
    <row r="16336">
      <c r="A16336" s="1">
        <v>5.0</v>
      </c>
      <c r="B16336" s="1" t="s">
        <v>16147</v>
      </c>
      <c r="C16336" t="str">
        <f>IFERROR(__xludf.DUMMYFUNCTION("GOOGLETRANSLATE(B16336, ""zh"", ""en"")"),"And it can also be used to buy the same appearance, not with a does not know the effect is not the same, logistics is still sound")</f>
        <v>And it can also be used to buy the same appearance, not with a does not know the effect is not the same, logistics is still sound</v>
      </c>
    </row>
    <row r="16337">
      <c r="A16337" s="1">
        <v>5.0</v>
      </c>
      <c r="B16337" s="1" t="s">
        <v>16148</v>
      </c>
      <c r="C16337" t="str">
        <f>IFERROR(__xludf.DUMMYFUNCTION("GOOGLETRANSLATE(B16337, ""zh"", ""en"")"),"Something good, no tool is a pit stuff arrival, the packaging is simple point, but that's okay, no problem like commodities. The key is no information in the manual installation tool ah! Taobao search, there is no such specification is really too depresse"&amp;"d. I wanted to replace the original that section of Ina, now find no less than pretend not to split on. Only two ways, one is unloaded and then loaded the basin, and the other is their own set of tools. Search the web for a long time, no one questions how"&amp;" it comes to tools? They own equipment it?")</f>
        <v>Something good, no tool is a pit stuff arrival, the packaging is simple point, but that's okay, no problem like commodities. The key is no information in the manual installation tool ah! Taobao search, there is no such specification is really too depressed. I wanted to replace the original that section of Ina, now find no less than pretend not to split on. Only two ways, one is unloaded and then loaded the basin, and the other is their own set of tools. Search the web for a long time, no one questions how it comes to tools? They own equipment it?</v>
      </c>
    </row>
    <row r="16338">
      <c r="A16338" s="1">
        <v>5.0</v>
      </c>
      <c r="B16338" s="1" t="s">
        <v>16149</v>
      </c>
      <c r="C16338" t="str">
        <f>IFERROR(__xludf.DUMMYFUNCTION("GOOGLETRANSLATE(B16338, ""zh"", ""en"")"),"Good, fresh taste is not very good stimulus, did not stimulate fresh taste, children can also be used.")</f>
        <v>Good, fresh taste is not very good stimulus, did not stimulate fresh taste, children can also be used.</v>
      </c>
    </row>
    <row r="16339">
      <c r="A16339" s="1">
        <v>5.0</v>
      </c>
      <c r="B16339" s="1" t="s">
        <v>16150</v>
      </c>
      <c r="C16339" t="str">
        <f>IFERROR(__xludf.DUMMYFUNCTION("GOOGLETRANSLATE(B16339, ""zh"", ""en"")"),"Comfortable, than the heart Amazon my husband 178cm, 168 pounds, wearing LL just a little a little loose, not thick, very comfortable to wear. Fashion for young men. In the domestic flagship stores sell so expensive, you can buy it in two sets and more")</f>
        <v>Comfortable, than the heart Amazon my husband 178cm, 168 pounds, wearing LL just a little a little loose, not thick, very comfortable to wear. Fashion for young men. In the domestic flagship stores sell so expensive, you can buy it in two sets and more</v>
      </c>
    </row>
    <row r="16340">
      <c r="A16340" s="1">
        <v>5.0</v>
      </c>
      <c r="B16340" s="1" t="s">
        <v>16151</v>
      </c>
      <c r="C16340" t="str">
        <f>IFERROR(__xludf.DUMMYFUNCTION("GOOGLETRANSLATE(B16340, ""zh"", ""en"")"),"Worth buying a little big, but the quality is very good 👌")</f>
        <v>Worth buying a little big, but the quality is very good 👌</v>
      </c>
    </row>
    <row r="16341">
      <c r="A16341" s="1">
        <v>5.0</v>
      </c>
      <c r="B16341" s="1" t="s">
        <v>16152</v>
      </c>
      <c r="C16341" t="str">
        <f>IFERROR(__xludf.DUMMYFUNCTION("GOOGLETRANSLATE(B16341, ""zh"", ""en"")"),"Comfortable, the right size, very satisfied and comfortable, the right size, very satisfied")</f>
        <v>Comfortable, the right size, very satisfied and comfortable, the right size, very satisfied</v>
      </c>
    </row>
    <row r="16342">
      <c r="A16342" s="1">
        <v>5.0</v>
      </c>
      <c r="B16342" s="1" t="s">
        <v>16153</v>
      </c>
      <c r="C16342" t="str">
        <f>IFERROR(__xludf.DUMMYFUNCTION("GOOGLETRANSLATE(B16342, ""zh"", ""en"")"),"Mug mug has always care deeply about, finally bought, really good special")</f>
        <v>Mug mug has always care deeply about, finally bought, really good special</v>
      </c>
    </row>
    <row r="16343">
      <c r="A16343" s="1">
        <v>5.0</v>
      </c>
      <c r="B16343" s="1" t="s">
        <v>16154</v>
      </c>
      <c r="C16343" t="str">
        <f>IFERROR(__xludf.DUMMYFUNCTION("GOOGLETRANSLATE(B16343, ""zh"", ""en"")"),"Good quality jeans pants are playing some of the very elastic")</f>
        <v>Good quality jeans pants are playing some of the very elastic</v>
      </c>
    </row>
    <row r="16344">
      <c r="A16344" s="1">
        <v>5.0</v>
      </c>
      <c r="B16344" s="1" t="s">
        <v>16155</v>
      </c>
      <c r="C16344" t="str">
        <f>IFERROR(__xludf.DUMMYFUNCTION("GOOGLETRANSLATE(B16344, ""zh"", ""en"")"),"Very satisfied with good shoes, washable lining seems to be able to dry, put on foot is more significant large. Color good, cost-effective, hope Harbin minus 30 degrees Go On")</f>
        <v>Very satisfied with good shoes, washable lining seems to be able to dry, put on foot is more significant large. Color good, cost-effective, hope Harbin minus 30 degrees Go On</v>
      </c>
    </row>
    <row r="16345">
      <c r="A16345" s="1">
        <v>5.0</v>
      </c>
      <c r="B16345" s="1" t="s">
        <v>16156</v>
      </c>
      <c r="C16345" t="str">
        <f>IFERROR(__xludf.DUMMYFUNCTION("GOOGLETRANSLATE(B16345, ""zh"", ""en"")"),"Value for money Although many people would laugh at me, but also to the United States to buy a wok to buy, used to know can receive absolutely appropriate, there are no such pot. Upon my honor, this lady every day with pan fried buns prepare breakfast, lu"&amp;"nch and dinner and even cooking also sometimes use this pot, which tasted better than the original boil, is it psychological? !")</f>
        <v>Value for money Although many people would laugh at me, but also to the United States to buy a wok to buy, used to know can receive absolutely appropriate, there are no such pot. Upon my honor, this lady every day with pan fried buns prepare breakfast, lunch and dinner and even cooking also sometimes use this pot, which tasted better than the original boil, is it psychological? !</v>
      </c>
    </row>
    <row r="16346">
      <c r="A16346" s="1">
        <v>5.0</v>
      </c>
      <c r="B16346" s="1" t="s">
        <v>16157</v>
      </c>
      <c r="C16346" t="str">
        <f>IFERROR(__xludf.DUMMYFUNCTION("GOOGLETRANSLATE(B16346, ""zh"", ""en"")"),"Yes also, 175 kg, 178 cm, suitable,")</f>
        <v>Yes also, 175 kg, 178 cm, suitable,</v>
      </c>
    </row>
    <row r="16347">
      <c r="A16347" s="1">
        <v>5.0</v>
      </c>
      <c r="B16347" s="1" t="s">
        <v>16158</v>
      </c>
      <c r="C16347" t="str">
        <f>IFERROR(__xludf.DUMMYFUNCTION("GOOGLETRANSLATE(B16347, ""zh"", ""en"")"),"Amazon now popular product overseas purchase price is very affordable, as if it can be considered a popular product, first start")</f>
        <v>Amazon now popular product overseas purchase price is very affordable, as if it can be considered a popular product, first start</v>
      </c>
    </row>
    <row r="16348">
      <c r="A16348" s="1">
        <v>2.0</v>
      </c>
      <c r="B16348" s="1" t="s">
        <v>16159</v>
      </c>
      <c r="C16348" t="str">
        <f>IFERROR(__xludf.DUMMYFUNCTION("GOOGLETRANSLATE(B16348, ""zh"", ""en"")"),"Quality pen is still a problem, do not know if it bad luck? A few days I received the goods, unlike the system in order to receive after two weeks to say, the praise, see the package is indeed heart drums, packaging received when feeling a little casual, "&amp;"but fortunately the pen is not bad (see the picture ), started feeling lighter pen, the pen looks very atmospheric, pen thickness of the right, and wrote word still has the feel of smooth water, but there have been a few days without water, the writing di"&amp;"d not unscrew the tip after cleaning How long has emerged without water situation, already reflected the situation with the customer, still waiting for the results fed back. To give 2 star rating: speed of delivery and writing feel good")</f>
        <v>Quality pen is still a problem, do not know if it bad luck? A few days I received the goods, unlike the system in order to receive after two weeks to say, the praise, see the package is indeed heart drums, packaging received when feeling a little casual, but fortunately the pen is not bad (see the picture ), started feeling lighter pen, the pen looks very atmospheric, pen thickness of the right, and wrote word still has the feel of smooth water, but there have been a few days without water, the writing did not unscrew the tip after cleaning How long has emerged without water situation, already reflected the situation with the customer, still waiting for the results fed back. To give 2 star rating: speed of delivery and writing feel good</v>
      </c>
    </row>
    <row r="16349">
      <c r="A16349" s="1">
        <v>3.0</v>
      </c>
      <c r="B16349" s="1" t="s">
        <v>16160</v>
      </c>
      <c r="C16349" t="str">
        <f>IFERROR(__xludf.DUMMYFUNCTION("GOOGLETRANSLATE(B16349, ""zh"", ""en"")"),"Size is too large Kuguan too big, not too big size standard")</f>
        <v>Size is too large Kuguan too big, not too big size standard</v>
      </c>
    </row>
    <row r="16350">
      <c r="A16350" s="1">
        <v>3.0</v>
      </c>
      <c r="B16350" s="1" t="s">
        <v>16161</v>
      </c>
      <c r="C16350" t="str">
        <f>IFERROR(__xludf.DUMMYFUNCTION("GOOGLETRANSLATE(B16350, ""zh"", ""en"")"),"Cambodia can produce, the size of the fine, simple product packaging. After the arrival of the courier box have been crushed.")</f>
        <v>Cambodia can produce, the size of the fine, simple product packaging. After the arrival of the courier box have been crushed.</v>
      </c>
    </row>
    <row r="16351">
      <c r="A16351" s="1">
        <v>1.0</v>
      </c>
      <c r="B16351" s="1" t="s">
        <v>16162</v>
      </c>
      <c r="C16351" t="str">
        <f>IFERROR(__xludf.DUMMYFUNCTION("GOOGLETRANSLATE(B16351, ""zh"", ""en"")"),"The second hand does not return to zero Fortunately sent packing box, but the table does not know why the pointer is not zero")</f>
        <v>The second hand does not return to zero Fortunately sent packing box, but the table does not know why the pointer is not zero</v>
      </c>
    </row>
    <row r="16352">
      <c r="A16352" s="1">
        <v>1.0</v>
      </c>
      <c r="B16352" s="1" t="s">
        <v>16163</v>
      </c>
      <c r="C16352" t="str">
        <f>IFERROR(__xludf.DUMMYFUNCTION("GOOGLETRANSLATE(B16352, ""zh"", ""en"")"),"Generally the skin is broken")</f>
        <v>Generally the skin is broken</v>
      </c>
    </row>
    <row r="16353">
      <c r="A16353" s="1">
        <v>4.0</v>
      </c>
      <c r="B16353" s="1" t="s">
        <v>16164</v>
      </c>
      <c r="C16353" t="str">
        <f>IFERROR(__xludf.DUMMYFUNCTION("GOOGLETRANSLATE(B16353, ""zh"", ""en"")"),"Pot body in the middle of the rubber gasket will pollute the coffee it four days arrived, very nice, the only problem is the middle of the pot body gasket is rubber, taste and easily contaminated with dirt, but it is very difficult to clean this type of r"&amp;"ubber this rubber gasket can come into contact with the coffee liquid it? Puzzled. To this end a doubt buckle ☆")</f>
        <v>Pot body in the middle of the rubber gasket will pollute the coffee it four days arrived, very nice, the only problem is the middle of the pot body gasket is rubber, taste and easily contaminated with dirt, but it is very difficult to clean this type of rubber this rubber gasket can come into contact with the coffee liquid it? Puzzled. To this end a doubt buckle ☆</v>
      </c>
    </row>
    <row r="16354">
      <c r="A16354" s="1">
        <v>4.0</v>
      </c>
      <c r="B16354" s="1" t="s">
        <v>16165</v>
      </c>
      <c r="C16354" t="str">
        <f>IFERROR(__xludf.DUMMYFUNCTION("GOOGLETRANSLATE(B16354, ""zh"", ""en"")"),"Iron Man must have super-hard, can not find the fabric composition. Put on a kind of feeling Iron Man.")</f>
        <v>Iron Man must have super-hard, can not find the fabric composition. Put on a kind of feeling Iron Man.</v>
      </c>
    </row>
    <row r="16355">
      <c r="A16355" s="1">
        <v>4.0</v>
      </c>
      <c r="B16355" s="1" t="s">
        <v>2559</v>
      </c>
      <c r="C16355" t="str">
        <f>IFERROR(__xludf.DUMMYFUNCTION("GOOGLETRANSLATE(B16355, ""zh"", ""en"")"),"In the country to buy cost-effective than the cheaper, high 160, nearly 120, the sleeves a little longer suitable base")</f>
        <v>In the country to buy cost-effective than the cheaper, high 160, nearly 120, the sleeves a little longer suitable base</v>
      </c>
    </row>
    <row r="16356">
      <c r="A16356" s="1">
        <v>4.0</v>
      </c>
      <c r="B16356" s="1" t="s">
        <v>16166</v>
      </c>
      <c r="C16356" t="str">
        <f>IFERROR(__xludf.DUMMYFUNCTION("GOOGLETRANSLATE(B16356, ""zh"", ""en"")"),"Noise reduction is far less qc35, wearing comfort slightly weaker than qc35. z affordable to buy, the situation is good, less than the new NT $ 1000, to Chongqing four days. Sealed plastic box demolished, after opening line is scattered, earmuffs, there a"&amp;"re a hair, the other did not move, presumably others audition back the goods. Noise ratio qc35 Mom, not the feeling I want, but the sound quality is slightly stronger than jble55bt. He tangled one day, decided to reclaim the feeling Amazon so candid, I ca"&amp;"n not let him into third-hand goods, and still a little love. Push computer better than mate9, estimated to buy a player plus amp effect will be better. After listening to 10 days, I think it is much stronger than e55BT, not comparable. like it more and m"&amp;"ore.")</f>
        <v>Noise reduction is far less qc35, wearing comfort slightly weaker than qc35. z affordable to buy, the situation is good, less than the new NT $ 1000, to Chongqing four days. Sealed plastic box demolished, after opening line is scattered, earmuffs, there are a hair, the other did not move, presumably others audition back the goods. Noise ratio qc35 Mom, not the feeling I want, but the sound quality is slightly stronger than jble55bt. He tangled one day, decided to reclaim the feeling Amazon so candid, I can not let him into third-hand goods, and still a little love. Push computer better than mate9, estimated to buy a player plus amp effect will be better. After listening to 10 days, I think it is much stronger than e55BT, not comparable. like it more and more.</v>
      </c>
    </row>
    <row r="16357">
      <c r="A16357" s="1">
        <v>4.0</v>
      </c>
      <c r="B16357" s="1" t="s">
        <v>16167</v>
      </c>
      <c r="C16357" t="str">
        <f>IFERROR(__xludf.DUMMYFUNCTION("GOOGLETRANSLATE(B16357, ""zh"", ""en"")"),"Quality was okay, the quality can be a little too large, but a little too big.")</f>
        <v>Quality was okay, the quality can be a little too large, but a little too big.</v>
      </c>
    </row>
    <row r="16358">
      <c r="A16358" s="1">
        <v>5.0</v>
      </c>
      <c r="B16358" s="1" t="s">
        <v>16168</v>
      </c>
      <c r="C16358" t="str">
        <f>IFERROR(__xludf.DUMMYFUNCTION("GOOGLETRANSLATE(B16358, ""zh"", ""en"")"),"Ke Zhuoer send more busy recently been unable to use that so do not comment on other aspects of the first trial received a dip ink pen after pen is still good experience")</f>
        <v>Ke Zhuoer send more busy recently been unable to use that so do not comment on other aspects of the first trial received a dip ink pen after pen is still good experience</v>
      </c>
    </row>
    <row r="16359">
      <c r="A16359" s="1">
        <v>5.0</v>
      </c>
      <c r="B16359" s="1" t="s">
        <v>16169</v>
      </c>
      <c r="C16359" t="str">
        <f>IFERROR(__xludf.DUMMYFUNCTION("GOOGLETRANSLATE(B16359, ""zh"", ""en"")"),"Very good hat brim arc larger, more shade, good-looking")</f>
        <v>Very good hat brim arc larger, more shade, good-looking</v>
      </c>
    </row>
    <row r="16360">
      <c r="A16360" s="1">
        <v>5.0</v>
      </c>
      <c r="B16360" s="1" t="s">
        <v>16170</v>
      </c>
      <c r="C16360" t="str">
        <f>IFERROR(__xludf.DUMMYFUNCTION("GOOGLETRANSLATE(B16360, ""zh"", ""en"")"),"Really good ah. Really good, a lot cheaper, it is recommended to buy most of the code or a yard.")</f>
        <v>Really good ah. Really good, a lot cheaper, it is recommended to buy most of the code or a yard.</v>
      </c>
    </row>
    <row r="16361">
      <c r="A16361" s="1">
        <v>5.0</v>
      </c>
      <c r="B16361" s="1" t="s">
        <v>16171</v>
      </c>
      <c r="C16361" t="str">
        <f>IFERROR(__xludf.DUMMYFUNCTION("GOOGLETRANSLATE(B16361, ""zh"", ""en"")"),"Good straight, not self-cultivation, the color of love, general pants, comfortable")</f>
        <v>Good straight, not self-cultivation, the color of love, general pants, comfortable</v>
      </c>
    </row>
    <row r="16362">
      <c r="A16362" s="1">
        <v>5.0</v>
      </c>
      <c r="B16362" s="1" t="s">
        <v>16172</v>
      </c>
      <c r="C16362" t="str">
        <f>IFERROR(__xludf.DUMMYFUNCTION("GOOGLETRANSLATE(B16362, ""zh"", ""en"")"),"Suitable received yesterday, is currently feeling pretty good, the key is to adjust the time do not grow old, cost-effective.")</f>
        <v>Suitable received yesterday, is currently feeling pretty good, the key is to adjust the time do not grow old, cost-effective.</v>
      </c>
    </row>
    <row r="16363">
      <c r="A16363" s="1">
        <v>5.0</v>
      </c>
      <c r="B16363" s="1" t="s">
        <v>8825</v>
      </c>
      <c r="C16363" t="str">
        <f>IFERROR(__xludf.DUMMYFUNCTION("GOOGLETRANSLATE(B16363, ""zh"", ""en"")"),"Track suit undershirt cloth fabric summer evening dress draped look very fit and very comfortable")</f>
        <v>Track suit undershirt cloth fabric summer evening dress draped look very fit and very comfortable</v>
      </c>
    </row>
    <row r="16364">
      <c r="A16364" s="1">
        <v>5.0</v>
      </c>
      <c r="B16364" s="1" t="s">
        <v>16173</v>
      </c>
      <c r="C16364" t="str">
        <f>IFERROR(__xludf.DUMMYFUNCTION("GOOGLETRANSLATE(B16364, ""zh"", ""en"")"),"After like to wear everyone says good-looking")</f>
        <v>After like to wear everyone says good-looking</v>
      </c>
    </row>
    <row r="16365">
      <c r="A16365" s="1">
        <v>5.0</v>
      </c>
      <c r="B16365" s="1" t="s">
        <v>16174</v>
      </c>
      <c r="C16365" t="str">
        <f>IFERROR(__xludf.DUMMYFUNCTION("GOOGLETRANSLATE(B16365, ""zh"", ""en"")"),"There are thin quality. Appearance did not have to say, delicate and beautiful. The price is acceptable.")</f>
        <v>There are thin quality. Appearance did not have to say, delicate and beautiful. The price is acceptable.</v>
      </c>
    </row>
    <row r="16366">
      <c r="A16366" s="1">
        <v>5.0</v>
      </c>
      <c r="B16366" s="1" t="s">
        <v>16175</v>
      </c>
      <c r="C16366" t="str">
        <f>IFERROR(__xludf.DUMMYFUNCTION("GOOGLETRANSLATE(B16366, ""zh"", ""en"")"),"Easy favorite toothbrush, and no one")</f>
        <v>Easy favorite toothbrush, and no one</v>
      </c>
    </row>
    <row r="16367">
      <c r="A16367" s="1">
        <v>5.0</v>
      </c>
      <c r="B16367" s="1" t="s">
        <v>16176</v>
      </c>
      <c r="C16367" t="str">
        <f>IFERROR(__xludf.DUMMYFUNCTION("GOOGLETRANSLATE(B16367, ""zh"", ""en"")"),"Pleasant shopping, there are very suitable for wearing sandals, the price is OK")</f>
        <v>Pleasant shopping, there are very suitable for wearing sandals, the price is OK</v>
      </c>
    </row>
    <row r="16368">
      <c r="A16368" s="1">
        <v>5.0</v>
      </c>
      <c r="B16368" s="1" t="s">
        <v>16177</v>
      </c>
      <c r="C16368" t="str">
        <f>IFERROR(__xludf.DUMMYFUNCTION("GOOGLETRANSLATE(B16368, ""zh"", ""en"")"),"Overseas convenient shopping taste is a bit big, too scattered a few days. When used, the belt pull is not very smooth, not enough holes can play yourself. Good price, a positive sign.")</f>
        <v>Overseas convenient shopping taste is a bit big, too scattered a few days. When used, the belt pull is not very smooth, not enough holes can play yourself. Good price, a positive sign.</v>
      </c>
    </row>
    <row r="16369">
      <c r="A16369" s="1">
        <v>5.0</v>
      </c>
      <c r="B16369" s="1" t="s">
        <v>16178</v>
      </c>
      <c r="C16369" t="str">
        <f>IFERROR(__xludf.DUMMYFUNCTION("GOOGLETRANSLATE(B16369, ""zh"", ""en"")"),"Genuine large capacity, looks solid and durable")</f>
        <v>Genuine large capacity, looks solid and durable</v>
      </c>
    </row>
    <row r="16370">
      <c r="A16370" s="1">
        <v>5.0</v>
      </c>
      <c r="B16370" s="1" t="s">
        <v>16179</v>
      </c>
      <c r="C16370" t="str">
        <f>IFERROR(__xludf.DUMMYFUNCTION("GOOGLETRANSLATE(B16370, ""zh"", ""en"")"),"Human foot instep high fat, it is recommended to buy a big shoe point. Before looking at the picture on the shoes of people may feel high instep of the foot will be crowded, to buy time specifically to buy big on the 1st, after the arrival found that if p"&amp;"ut on socks to wear thick point still feel there feet a little tight. If you buy the normal number is estimated to be small.")</f>
        <v>Human foot instep high fat, it is recommended to buy a big shoe point. Before looking at the picture on the shoes of people may feel high instep of the foot will be crowded, to buy time specifically to buy big on the 1st, after the arrival found that if put on socks to wear thick point still feel there feet a little tight. If you buy the normal number is estimated to be small.</v>
      </c>
    </row>
    <row r="16371">
      <c r="A16371" s="1">
        <v>5.0</v>
      </c>
      <c r="B16371" s="1" t="s">
        <v>16180</v>
      </c>
      <c r="C16371" t="str">
        <f>IFERROR(__xludf.DUMMYFUNCTION("GOOGLETRANSLATE(B16371, ""zh"", ""en"")"),"They are like small than expected materials and workmanship. Logistics is also very fast, seven days of arrival, shipped from the United Kingdom show. Want to buy vegetables, the vegetables can be the biggest, but not the other three, is too small.")</f>
        <v>They are like small than expected materials and workmanship. Logistics is also very fast, seven days of arrival, shipped from the United Kingdom show. Want to buy vegetables, the vegetables can be the biggest, but not the other three, is too small.</v>
      </c>
    </row>
    <row r="16372">
      <c r="A16372" s="1">
        <v>5.0</v>
      </c>
      <c r="B16372" s="1" t="s">
        <v>16181</v>
      </c>
      <c r="C16372" t="str">
        <f>IFERROR(__xludf.DUMMYFUNCTION("GOOGLETRANSLATE(B16372, ""zh"", ""en"")"),"Comfortable shoes are very comfortable, nice, usually wear 39 shoes, buy 9C / D, too broad and too big, or should buy according to size table")</f>
        <v>Comfortable shoes are very comfortable, nice, usually wear 39 shoes, buy 9C / D, too broad and too big, or should buy according to size table</v>
      </c>
    </row>
    <row r="16373">
      <c r="A16373" s="1">
        <v>5.0</v>
      </c>
      <c r="B16373" s="1" t="s">
        <v>16182</v>
      </c>
      <c r="C16373" t="str">
        <f>IFERROR(__xludf.DUMMYFUNCTION("GOOGLETRANSLATE(B16373, ""zh"", ""en"")"),"Cheap shoes good, cheap.")</f>
        <v>Cheap shoes good, cheap.</v>
      </c>
    </row>
    <row r="16374">
      <c r="A16374" s="1">
        <v>5.0</v>
      </c>
      <c r="B16374" s="1" t="s">
        <v>16183</v>
      </c>
      <c r="C16374" t="str">
        <f>IFERROR(__xludf.DUMMYFUNCTION("GOOGLETRANSLATE(B16374, ""zh"", ""en"")"),"No title well, surface simple simple.")</f>
        <v>No title well, surface simple simple.</v>
      </c>
    </row>
    <row r="16375">
      <c r="A16375" s="1">
        <v>5.0</v>
      </c>
      <c r="B16375" s="1" t="s">
        <v>16184</v>
      </c>
      <c r="C16375" t="str">
        <f>IFERROR(__xludf.DUMMYFUNCTION("GOOGLETRANSLATE(B16375, ""zh"", ""en"")"),"It has been very sought-after perfect mug, must buy")</f>
        <v>It has been very sought-after perfect mug, must buy</v>
      </c>
    </row>
    <row r="16376">
      <c r="A16376" s="1">
        <v>5.0</v>
      </c>
      <c r="B16376" s="1" t="s">
        <v>16185</v>
      </c>
      <c r="C16376" t="str">
        <f>IFERROR(__xludf.DUMMYFUNCTION("GOOGLETRANSLATE(B16376, ""zh"", ""en"")"),"Do not choke the water! Ok! There are little straw plastic taste, wash water to blow bubbles! This cup will not choke! ! ! Daughter super easy to choke the water, the straw which has a cross opening, the water will not choke! Gave more than a straw, can b"&amp;"e installed onto the same brand of glass not choke! I saved another would have choked water Thermos! Insulation in general, anyway, people would have to write only thing cold. Anyway, it can not be loaded into the hot water.")</f>
        <v>Do not choke the water! Ok! There are little straw plastic taste, wash water to blow bubbles! This cup will not choke! ! ! Daughter super easy to choke the water, the straw which has a cross opening, the water will not choke! Gave more than a straw, can be installed onto the same brand of glass not choke! I saved another would have choked water Thermos! Insulation in general, anyway, people would have to write only thing cold. Anyway, it can not be loaded into the hot water.</v>
      </c>
    </row>
    <row r="16377">
      <c r="A16377" s="1">
        <v>5.0</v>
      </c>
      <c r="B16377" s="1" t="s">
        <v>16186</v>
      </c>
      <c r="C16377" t="str">
        <f>IFERROR(__xludf.DUMMYFUNCTION("GOOGLETRANSLATE(B16377, ""zh"", ""en"")"),"Wumart, high quality, low cost, fast and convenient overseas purchase! I do not have to absorb calcium and worry. By a living American doctors recommend, bought a Bayer brand of Citracal calcium supplements. November 11 Kusakabe single, was told that Nove"&amp;"mber 30 is expected to reach a result on November 19 received. I bought 4 bottles, compare prices, cheaper than in the United States Honolulu store bought. Really a fast, convenient, Wumart, high quality, inexpensive overseas purchase!")</f>
        <v>Wumart, high quality, low cost, fast and convenient overseas purchase! I do not have to absorb calcium and worry. By a living American doctors recommend, bought a Bayer brand of Citracal calcium supplements. November 11 Kusakabe single, was told that November 30 is expected to reach a result on November 19 received. I bought 4 bottles, compare prices, cheaper than in the United States Honolulu store bought. Really a fast, convenient, Wumart, high quality, inexpensive overseas purchase!</v>
      </c>
    </row>
    <row r="16378">
      <c r="A16378" s="1">
        <v>5.0</v>
      </c>
      <c r="B16378" s="1" t="s">
        <v>16187</v>
      </c>
      <c r="C16378" t="str">
        <f>IFERROR(__xludf.DUMMYFUNCTION("GOOGLETRANSLATE(B16378, ""zh"", ""en"")"),"Good quality workmanship are good, logistics fairly quickly, under orders to receipt week")</f>
        <v>Good quality workmanship are good, logistics fairly quickly, under orders to receipt week</v>
      </c>
    </row>
    <row r="16379">
      <c r="A16379" s="1">
        <v>5.0</v>
      </c>
      <c r="B16379" s="1" t="s">
        <v>16188</v>
      </c>
      <c r="C16379" t="str">
        <f>IFERROR(__xludf.DUMMYFUNCTION("GOOGLETRANSLATE(B16379, ""zh"", ""en"")"),"Breastfed babies time to buy three bottles, the baby has been eating this, drop by every day")</f>
        <v>Breastfed babies time to buy three bottles, the baby has been eating this, drop by every day</v>
      </c>
    </row>
    <row r="16380">
      <c r="A16380" s="1">
        <v>2.0</v>
      </c>
      <c r="B16380" s="1" t="s">
        <v>16189</v>
      </c>
      <c r="C16380" t="str">
        <f>IFERROR(__xludf.DUMMYFUNCTION("GOOGLETRANSLATE(B16380, ""zh"", ""en"")"),"Good quality, the color looks weird color in general, is too large, generally look for foreigners")</f>
        <v>Good quality, the color looks weird color in general, is too large, generally look for foreigners</v>
      </c>
    </row>
    <row r="16381">
      <c r="A16381" s="1">
        <v>3.0</v>
      </c>
      <c r="B16381" s="1" t="s">
        <v>16190</v>
      </c>
      <c r="C16381" t="str">
        <f>IFERROR(__xludf.DUMMYFUNCTION("GOOGLETRANSLATE(B16381, ""zh"", ""en"")"),"Pajamas, do not buy as outer wear. Comfortable is comfortable, but I also know that this is bought pajamas series. . . . . . . . . . Hang it too, it can not explain the page.")</f>
        <v>Pajamas, do not buy as outer wear. Comfortable is comfortable, but I also know that this is bought pajamas series. . . . . . . . . . Hang it too, it can not explain the page.</v>
      </c>
    </row>
    <row r="16382">
      <c r="A16382" s="1">
        <v>3.0</v>
      </c>
      <c r="B16382" s="1" t="s">
        <v>16191</v>
      </c>
      <c r="C16382" t="str">
        <f>IFERROR(__xludf.DUMMYFUNCTION("GOOGLETRANSLATE(B16382, ""zh"", ""en"")"),"Good precisely the right size, the actual colors actually look good")</f>
        <v>Good precisely the right size, the actual colors actually look good</v>
      </c>
    </row>
    <row r="16383">
      <c r="A16383" s="1">
        <v>1.0</v>
      </c>
      <c r="B16383" s="1" t="s">
        <v>16192</v>
      </c>
      <c r="C16383" t="str">
        <f>IFERROR(__xludf.DUMMYFUNCTION("GOOGLETRANSLATE(B16383, ""zh"", ""en"")"),"The difference between the original own Apple headphone wire contrast a bit, sound quality is far worse, feeling a little noise. Especially when the more obvious listening to lossless music, the sound quality is not very clear. Amazon regret purchased abr"&amp;"oad, although a few dollars cheaper, but can not return. Battery life in general, the new buy back almost five hours of battery life, the pursuit of high-quality recommendations to buy Apple. There are delays to answer the phone, micro-channel voice calls"&amp;" without sound. It took more than a month headphone set is actually a layer of rubber, fall off")</f>
        <v>The difference between the original own Apple headphone wire contrast a bit, sound quality is far worse, feeling a little noise. Especially when the more obvious listening to lossless music, the sound quality is not very clear. Amazon regret purchased abroad, although a few dollars cheaper, but can not return. Battery life in general, the new buy back almost five hours of battery life, the pursuit of high-quality recommendations to buy Apple. There are delays to answer the phone, micro-channel voice calls without sound. It took more than a month headphone set is actually a layer of rubber, fall off</v>
      </c>
    </row>
    <row r="16384">
      <c r="A16384" s="1">
        <v>1.0</v>
      </c>
      <c r="B16384" s="1" t="s">
        <v>16193</v>
      </c>
      <c r="C16384" t="str">
        <f>IFERROR(__xludf.DUMMYFUNCTION("GOOGLETRANSLATE(B16384, ""zh"", ""en"")"),"Do not alone in Central Asia! ! He took adult version sent to a children's version, consumer fraud! ! Commodity price difference of a half of it do not stop orders in Central Asia! ! He took adult version sent to a children's version, consumer fraud! ! Co"&amp;"mmodity price difference of only a half of it")</f>
        <v>Do not alone in Central Asia! ! He took adult version sent to a children's version, consumer fraud! ! Commodity price difference of a half of it do not stop orders in Central Asia! ! He took adult version sent to a children's version, consumer fraud! ! Commodity price difference of only a half of it</v>
      </c>
    </row>
    <row r="16385">
      <c r="A16385" s="1">
        <v>1.0</v>
      </c>
      <c r="B16385" s="1" t="s">
        <v>16194</v>
      </c>
      <c r="C16385" t="str">
        <f>IFERROR(__xludf.DUMMYFUNCTION("GOOGLETRANSLATE(B16385, ""zh"", ""en"")"),"Deformation of the underwear packaging is not good, underwear were too severely deformed")</f>
        <v>Deformation of the underwear packaging is not good, underwear were too severely deformed</v>
      </c>
    </row>
    <row r="16386">
      <c r="A16386" s="1">
        <v>4.0</v>
      </c>
      <c r="B16386" s="1" t="s">
        <v>16195</v>
      </c>
      <c r="C16386" t="str">
        <f>IFERROR(__xludf.DUMMYFUNCTION("GOOGLETRANSLATE(B16386, ""zh"", ""en"")"),"Much cheaper than the domestic stores. . . . . . Previously bought the pants length is 34, I feel slightly shorter, so this buy 36, who knows a lot of long, no way can only go changed. In addition, the pants still very fit, hand is a little rough, thread "&amp;"a bit, overall still very satisfied.")</f>
        <v>Much cheaper than the domestic stores. . . . . . Previously bought the pants length is 34, I feel slightly shorter, so this buy 36, who knows a lot of long, no way can only go changed. In addition, the pants still very fit, hand is a little rough, thread a bit, overall still very satisfied.</v>
      </c>
    </row>
    <row r="16387">
      <c r="A16387" s="1">
        <v>4.0</v>
      </c>
      <c r="B16387" s="1" t="s">
        <v>16196</v>
      </c>
      <c r="C16387" t="str">
        <f>IFERROR(__xludf.DUMMYFUNCTION("GOOGLETRANSLATE(B16387, ""zh"", ""en"")"),"Generally very general, not worth. 100+ purchased under the edge always will be rolled together")</f>
        <v>Generally very general, not worth. 100+ purchased under the edge always will be rolled together</v>
      </c>
    </row>
    <row r="16388">
      <c r="A16388" s="1">
        <v>4.0</v>
      </c>
      <c r="B16388" s="1" t="s">
        <v>16197</v>
      </c>
      <c r="C16388" t="str">
        <f>IFERROR(__xludf.DUMMYFUNCTION("GOOGLETRANSLATE(B16388, ""zh"", ""en"")"),"After washing twice with the general mass of the machine, the axilla off-line crack.")</f>
        <v>After washing twice with the general mass of the machine, the axilla off-line crack.</v>
      </c>
    </row>
    <row r="16389">
      <c r="A16389" s="1">
        <v>4.0</v>
      </c>
      <c r="B16389" s="1" t="s">
        <v>16198</v>
      </c>
      <c r="C16389" t="str">
        <f>IFERROR(__xludf.DUMMYFUNCTION("GOOGLETRANSLATE(B16389, ""zh"", ""en"")"),"Classic headphones work can only say okay, not as good as the previous version, especially the first beam do not feel strong and ready to put a push by Taiwan, tried to push BARS, loud enough, timbre, range in general, might listen to while It would have "&amp;"been better.")</f>
        <v>Classic headphones work can only say okay, not as good as the previous version, especially the first beam do not feel strong and ready to put a push by Taiwan, tried to push BARS, loud enough, timbre, range in general, might listen to while It would have been better.</v>
      </c>
    </row>
    <row r="16390">
      <c r="A16390" s="1">
        <v>4.0</v>
      </c>
      <c r="B16390" s="1" t="s">
        <v>16199</v>
      </c>
      <c r="C16390" t="str">
        <f>IFERROR(__xludf.DUMMYFUNCTION("GOOGLETRANSLATE(B16390, ""zh"", ""en"")"),"Suitable store the next year to wear, did not try, it should be pretty good.")</f>
        <v>Suitable store the next year to wear, did not try, it should be pretty good.</v>
      </c>
    </row>
    <row r="16391">
      <c r="A16391" s="1">
        <v>5.0</v>
      </c>
      <c r="B16391" s="1" t="s">
        <v>16200</v>
      </c>
      <c r="C16391" t="str">
        <f>IFERROR(__xludf.DUMMYFUNCTION("GOOGLETRANSLATE(B16391, ""zh"", ""en"")"),"Really liked the shoes very comfortable, quality is also very good. Just insole insole slightly harder, because the shoes a little thin, I was a foot is very thin people are feeling a little tight. I recommend buying a big number. Comfortable to wear.")</f>
        <v>Really liked the shoes very comfortable, quality is also very good. Just insole insole slightly harder, because the shoes a little thin, I was a foot is very thin people are feeling a little tight. I recommend buying a big number. Comfortable to wear.</v>
      </c>
    </row>
    <row r="16392">
      <c r="A16392" s="1">
        <v>5.0</v>
      </c>
      <c r="B16392" s="1" t="s">
        <v>16201</v>
      </c>
      <c r="C16392" t="str">
        <f>IFERROR(__xludf.DUMMYFUNCTION("GOOGLETRANSLATE(B16392, ""zh"", ""en"")"),"Satisfying shopping right size, but also likes to wear comfortable, the price is cheaper than domestic")</f>
        <v>Satisfying shopping right size, but also likes to wear comfortable, the price is cheaper than domestic</v>
      </c>
    </row>
    <row r="16393">
      <c r="A16393" s="1">
        <v>5.0</v>
      </c>
      <c r="B16393" s="1" t="s">
        <v>16202</v>
      </c>
      <c r="C16393" t="str">
        <f>IFERROR(__xludf.DUMMYFUNCTION("GOOGLETRANSLATE(B16393, ""zh"", ""en"")"),"Good size standard, Vietnamese-made, original price 60 knife, good quality")</f>
        <v>Good size standard, Vietnamese-made, original price 60 knife, good quality</v>
      </c>
    </row>
    <row r="16394">
      <c r="A16394" s="1">
        <v>5.0</v>
      </c>
      <c r="B16394" s="1" t="s">
        <v>16203</v>
      </c>
      <c r="C16394" t="str">
        <f>IFERROR(__xludf.DUMMYFUNCTION("GOOGLETRANSLATE(B16394, ""zh"", ""en"")"),"I have a very good pair of shoes sports shoes 42.5 yards, yardage purchase 9d (m), there is a little bit small, it seems that the feeling is the usual small new shoes, wear should be good for a while, waterproof, workmanship is very good, wear very handso"&amp;"me. Shoe itself is very high, 180cm tall, wear shoes there are about 185-187. Shortcomings, non-slip bottom have good performance on the street in the rain, the mud, but if supermarkets and other wet rainy day into a smooth ground, need to be careful, ski"&amp;"dding more serious. If the ground is not wet without water, it can not walk normally slipping. Thanks to Amazon to buy overseas, in China it is the most convenient and affordable way of scouring the sea.")</f>
        <v>I have a very good pair of shoes sports shoes 42.5 yards, yardage purchase 9d (m), there is a little bit small, it seems that the feeling is the usual small new shoes, wear should be good for a while, waterproof, workmanship is very good, wear very handsome. Shoe itself is very high, 180cm tall, wear shoes there are about 185-187. Shortcomings, non-slip bottom have good performance on the street in the rain, the mud, but if supermarkets and other wet rainy day into a smooth ground, need to be careful, skidding more serious. If the ground is not wet without water, it can not walk normally slipping. Thanks to Amazon to buy overseas, in China it is the most convenient and affordable way of scouring the sea.</v>
      </c>
    </row>
    <row r="16395">
      <c r="A16395" s="1">
        <v>5.0</v>
      </c>
      <c r="B16395" s="1" t="s">
        <v>16204</v>
      </c>
      <c r="C16395" t="str">
        <f>IFERROR(__xludf.DUMMYFUNCTION("GOOGLETRANSLATE(B16395, ""zh"", ""en"")"),"The best lightweight down jacket always comfortable")</f>
        <v>The best lightweight down jacket always comfortable</v>
      </c>
    </row>
    <row r="16396">
      <c r="A16396" s="1">
        <v>5.0</v>
      </c>
      <c r="B16396" s="1" t="s">
        <v>16205</v>
      </c>
      <c r="C16396" t="str">
        <f>IFERROR(__xludf.DUMMYFUNCTION("GOOGLETRANSLATE(B16396, ""zh"", ""en"")"),"Inexpensive fit, my height 175. weight 84 kg to wear large, fit")</f>
        <v>Inexpensive fit, my height 175. weight 84 kg to wear large, fit</v>
      </c>
    </row>
    <row r="16397">
      <c r="A16397" s="1">
        <v>5.0</v>
      </c>
      <c r="B16397" s="1" t="s">
        <v>16206</v>
      </c>
      <c r="C16397" t="str">
        <f>IFERROR(__xludf.DUMMYFUNCTION("GOOGLETRANSLATE(B16397, ""zh"", ""en"")"),"Why not insoles? Good shoes")</f>
        <v>Why not insoles? Good shoes</v>
      </c>
    </row>
    <row r="16398">
      <c r="A16398" s="1">
        <v>5.0</v>
      </c>
      <c r="B16398" s="1" t="s">
        <v>16207</v>
      </c>
      <c r="C16398" t="str">
        <f>IFERROR(__xludf.DUMMYFUNCTION("GOOGLETRANSLATE(B16398, ""zh"", ""en"")"),"Cost-effective good, winter wear, comfortable. Slightly a little focus.")</f>
        <v>Cost-effective good, winter wear, comfortable. Slightly a little focus.</v>
      </c>
    </row>
    <row r="16399">
      <c r="A16399" s="1">
        <v>5.0</v>
      </c>
      <c r="B16399" s="1" t="s">
        <v>16208</v>
      </c>
      <c r="C16399" t="str">
        <f>IFERROR(__xludf.DUMMYFUNCTION("GOOGLETRANSLATE(B16399, ""zh"", ""en"")"),"Super like very good value for a small box, too pleasant surprise!")</f>
        <v>Super like very good value for a small box, too pleasant surprise!</v>
      </c>
    </row>
    <row r="16400">
      <c r="A16400" s="1">
        <v>5.0</v>
      </c>
      <c r="B16400" s="1" t="s">
        <v>16209</v>
      </c>
      <c r="C16400" t="str">
        <f>IFERROR(__xludf.DUMMYFUNCTION("GOOGLETRANSLATE(B16400, ""zh"", ""en"")"),"Cost-effective currently use three days, the overall good, so after charging chasing comment")</f>
        <v>Cost-effective currently use three days, the overall good, so after charging chasing comment</v>
      </c>
    </row>
    <row r="16401">
      <c r="A16401" s="1">
        <v>5.0</v>
      </c>
      <c r="B16401" s="1" t="s">
        <v>16210</v>
      </c>
      <c r="C16401" t="str">
        <f>IFERROR(__xludf.DUMMYFUNCTION("GOOGLETRANSLATE(B16401, ""zh"", ""en"")"),"Get the goods today, very satisfied with the trip to a remote place, select the surface. Excellent attitude is always serious, good packaging. Goods is very positive, I am very satisfied. This table is worth buying.")</f>
        <v>Get the goods today, very satisfied with the trip to a remote place, select the surface. Excellent attitude is always serious, good packaging. Goods is very positive, I am very satisfied. This table is worth buying.</v>
      </c>
    </row>
    <row r="16402">
      <c r="A16402" s="1">
        <v>5.0</v>
      </c>
      <c r="B16402" s="1" t="s">
        <v>16211</v>
      </c>
      <c r="C16402" t="str">
        <f>IFERROR(__xludf.DUMMYFUNCTION("GOOGLETRANSLATE(B16402, ""zh"", ""en"")"),"Experience the satisfaction of lightweight, thermal insulation, worth buying")</f>
        <v>Experience the satisfaction of lightweight, thermal insulation, worth buying</v>
      </c>
    </row>
    <row r="16403">
      <c r="A16403" s="1">
        <v>5.0</v>
      </c>
      <c r="B16403" s="1" t="s">
        <v>16212</v>
      </c>
      <c r="C16403" t="str">
        <f>IFERROR(__xludf.DUMMYFUNCTION("GOOGLETRANSLATE(B16403, ""zh"", ""en"")"),"Well not use, slow delivery, but four days to go. Packaging is also very good")</f>
        <v>Well not use, slow delivery, but four days to go. Packaging is also very good</v>
      </c>
    </row>
    <row r="16404">
      <c r="A16404" s="1">
        <v>5.0</v>
      </c>
      <c r="B16404" s="1" t="s">
        <v>16213</v>
      </c>
      <c r="C16404" t="str">
        <f>IFERROR(__xludf.DUMMYFUNCTION("GOOGLETRANSLATE(B16404, ""zh"", ""en"")"),"! ! ! ! Shuai to not work like really super super rod")</f>
        <v>! ! ! ! Shuai to not work like really super super rod</v>
      </c>
    </row>
    <row r="16405">
      <c r="A16405" s="1">
        <v>5.0</v>
      </c>
      <c r="B16405" s="1" t="s">
        <v>16214</v>
      </c>
      <c r="C16405" t="str">
        <f>IFERROR(__xludf.DUMMYFUNCTION("GOOGLETRANSLATE(B16405, ""zh"", ""en"")"),"Cost-effective table cost is too high, too fond of. you deserve to have.")</f>
        <v>Cost-effective table cost is too high, too fond of. you deserve to have.</v>
      </c>
    </row>
    <row r="16406">
      <c r="A16406" s="1">
        <v>5.0</v>
      </c>
      <c r="B16406" s="1" t="s">
        <v>16215</v>
      </c>
      <c r="C16406" t="str">
        <f>IFERROR(__xludf.DUMMYFUNCTION("GOOGLETRANSLATE(B16406, ""zh"", ""en"")"),"To the first time I saw her with her daughter lick the plate.")</f>
        <v>To the first time I saw her with her daughter lick the plate.</v>
      </c>
    </row>
    <row r="16407">
      <c r="A16407" s="1">
        <v>5.0</v>
      </c>
      <c r="B16407" s="1" t="s">
        <v>16216</v>
      </c>
      <c r="C16407" t="str">
        <f>IFERROR(__xludf.DUMMYFUNCTION("GOOGLETRANSLATE(B16407, ""zh"", ""en"")"),"Good quality is very good very satisfied ~~ lee pants really ace")</f>
        <v>Good quality is very good very satisfied ~~ lee pants really ace</v>
      </c>
    </row>
    <row r="16408">
      <c r="A16408" s="1">
        <v>5.0</v>
      </c>
      <c r="B16408" s="1" t="s">
        <v>16217</v>
      </c>
      <c r="C16408" t="str">
        <f>IFERROR(__xludf.DUMMYFUNCTION("GOOGLETRANSLATE(B16408, ""zh"", ""en"")"),"Pretty good pretty good, looking to know the iron is not hot.")</f>
        <v>Pretty good pretty good, looking to know the iron is not hot.</v>
      </c>
    </row>
    <row r="16409">
      <c r="A16409" s="1">
        <v>5.0</v>
      </c>
      <c r="B16409" s="1" t="s">
        <v>16218</v>
      </c>
      <c r="C16409" t="str">
        <f>IFERROR(__xludf.DUMMYFUNCTION("GOOGLETRANSLATE(B16409, ""zh"", ""en"")"),"Lightweight and very good, but also carry on business. It occupies less space and is very light. Really value for money too. Physical and picture without color.")</f>
        <v>Lightweight and very good, but also carry on business. It occupies less space and is very light. Really value for money too. Physical and picture without color.</v>
      </c>
    </row>
    <row r="16410">
      <c r="A16410" s="1">
        <v>5.0</v>
      </c>
      <c r="B16410" s="1" t="s">
        <v>16219</v>
      </c>
      <c r="C16410" t="str">
        <f>IFERROR(__xludf.DUMMYFUNCTION("GOOGLETRANSLATE(B16410, ""zh"", ""en"")"),"Pay attention to the size of products of good quality, is the Japanese version of the apparent size than US version of the small, one is thin, and second, short sleeves, we pay attention to the next bar")</f>
        <v>Pay attention to the size of products of good quality, is the Japanese version of the apparent size than US version of the small, one is thin, and second, short sleeves, we pay attention to the next bar</v>
      </c>
    </row>
    <row r="16411">
      <c r="A16411" s="1">
        <v>5.0</v>
      </c>
      <c r="B16411" s="1" t="s">
        <v>16220</v>
      </c>
      <c r="C16411" t="str">
        <f>IFERROR(__xludf.DUMMYFUNCTION("GOOGLETRANSLATE(B16411, ""zh"", ""en"")"),"This section house coat thick material, cost-effective thick material, suitable for the cooler seasons wear")</f>
        <v>This section house coat thick material, cost-effective thick material, suitable for the cooler seasons wear</v>
      </c>
    </row>
    <row r="16412">
      <c r="A16412" s="1">
        <v>2.0</v>
      </c>
      <c r="B16412" s="1" t="s">
        <v>16221</v>
      </c>
      <c r="C16412" t="str">
        <f>IFERROR(__xludf.DUMMYFUNCTION("GOOGLETRANSLATE(B16412, ""zh"", ""en"")"),"Only one side has the headphone sound, no sound on the other side, which is now looking for service can not be found, sick of only one side of the headphones sound, no sound on the other side, is it I bought a headset applause? Now look what repairs can n"&amp;"ot be found, annoying")</f>
        <v>Only one side has the headphone sound, no sound on the other side, which is now looking for service can not be found, sick of only one side of the headphones sound, no sound on the other side, is it I bought a headset applause? Now look what repairs can not be found, annoying</v>
      </c>
    </row>
    <row r="16413">
      <c r="A16413" s="1">
        <v>3.0</v>
      </c>
      <c r="B16413" s="1" t="s">
        <v>16222</v>
      </c>
      <c r="C16413" t="str">
        <f>IFERROR(__xludf.DUMMYFUNCTION("GOOGLETRANSLATE(B16413, ""zh"", ""en"")"),"Shaking a little big charge quickly, work well, their voices are big, strong vibration, the role of facial massage 🙌, shaving okay, fast, clean")</f>
        <v>Shaking a little big charge quickly, work well, their voices are big, strong vibration, the role of facial massage 🙌, shaving okay, fast, clean</v>
      </c>
    </row>
    <row r="16414">
      <c r="A16414" s="1">
        <v>3.0</v>
      </c>
      <c r="B16414" s="1" t="s">
        <v>16223</v>
      </c>
      <c r="C16414" t="str">
        <f>IFERROR(__xludf.DUMMYFUNCTION("GOOGLETRANSLATE(B16414, ""zh"", ""en"")"),"Long clothes, completely different rather long and thin, so the quality is not how to feel, clothes too large, long")</f>
        <v>Long clothes, completely different rather long and thin, so the quality is not how to feel, clothes too large, long</v>
      </c>
    </row>
    <row r="16415">
      <c r="A16415" s="1">
        <v>3.0</v>
      </c>
      <c r="B16415" s="1" t="s">
        <v>16224</v>
      </c>
      <c r="C16415" t="str">
        <f>IFERROR(__xludf.DUMMYFUNCTION("GOOGLETRANSLATE(B16415, ""zh"", ""en"")"),"This cup color color people buy attention, appears to be a rose gold, the hand is brown! ~ This cup color color people buy attention, appears to be a rose gold, the hand is brown! ~")</f>
        <v>This cup color color people buy attention, appears to be a rose gold, the hand is brown! ~ This cup color color people buy attention, appears to be a rose gold, the hand is brown! ~</v>
      </c>
    </row>
    <row r="16416">
      <c r="A16416" s="1">
        <v>1.0</v>
      </c>
      <c r="B16416" s="1" t="s">
        <v>16225</v>
      </c>
      <c r="C16416" t="str">
        <f>IFERROR(__xludf.DUMMYFUNCTION("GOOGLETRANSLATE(B16416, ""zh"", ""en"")"),"Fake fake, put on the body uncomfortable. Amazon also think of the sale of counterfeits. I've picked self-employed, is still the same. Very disappointed")</f>
        <v>Fake fake, put on the body uncomfortable. Amazon also think of the sale of counterfeits. I've picked self-employed, is still the same. Very disappointed</v>
      </c>
    </row>
    <row r="16417">
      <c r="A16417" s="1">
        <v>1.0</v>
      </c>
      <c r="B16417" s="1" t="s">
        <v>16226</v>
      </c>
      <c r="C16417" t="str">
        <f>IFERROR(__xludf.DUMMYFUNCTION("GOOGLETRANSLATE(B16417, ""zh"", ""en"")"),"4 months into the case usually write about painting it to be so, Parker was let me down.")</f>
        <v>4 months into the case usually write about painting it to be so, Parker was let me down.</v>
      </c>
    </row>
    <row r="16418">
      <c r="A16418" s="1">
        <v>1.0</v>
      </c>
      <c r="B16418" s="1" t="s">
        <v>16227</v>
      </c>
      <c r="C16418" t="str">
        <f>IFERROR(__xludf.DUMMYFUNCTION("GOOGLETRANSLATE(B16418, ""zh"", ""en"")"),"Size ratio does not proportional, long sleeves, size is also larger than the domestic")</f>
        <v>Size ratio does not proportional, long sleeves, size is also larger than the domestic</v>
      </c>
    </row>
    <row r="16419">
      <c r="A16419" s="1">
        <v>4.0</v>
      </c>
      <c r="B16419" s="1" t="s">
        <v>16228</v>
      </c>
      <c r="C16419" t="str">
        <f>IFERROR(__xludf.DUMMYFUNCTION("GOOGLETRANSLATE(B16419, ""zh"", ""en"")"),"Overall pretty good height 180 weight 80, wearing just. Inner lint, which can wear black Fleece miserable. But acceptance can understand, this fabric is always the case.")</f>
        <v>Overall pretty good height 180 weight 80, wearing just. Inner lint, which can wear black Fleece miserable. But acceptance can understand, this fabric is always the case.</v>
      </c>
    </row>
    <row r="16420">
      <c r="A16420" s="1">
        <v>4.0</v>
      </c>
      <c r="B16420" s="1" t="s">
        <v>16229</v>
      </c>
      <c r="C16420" t="str">
        <f>IFERROR(__xludf.DUMMYFUNCTION("GOOGLETRANSLATE(B16420, ""zh"", ""en"")"),"Some small, the proposed code freshman relatively narrow shoes for foot thin person, it is recommended freshman yards")</f>
        <v>Some small, the proposed code freshman relatively narrow shoes for foot thin person, it is recommended freshman yards</v>
      </c>
    </row>
    <row r="16421">
      <c r="A16421" s="1">
        <v>4.0</v>
      </c>
      <c r="B16421" s="1" t="s">
        <v>16230</v>
      </c>
      <c r="C16421" t="str">
        <f>IFERROR(__xludf.DUMMYFUNCTION("GOOGLETRANSLATE(B16421, ""zh"", ""en"")"),"Water Wash red is not the same as my own, take a look at comparison chart")</f>
        <v>Water Wash red is not the same as my own, take a look at comparison chart</v>
      </c>
    </row>
    <row r="16422">
      <c r="A16422" s="1">
        <v>4.0</v>
      </c>
      <c r="B16422" s="1" t="s">
        <v>16231</v>
      </c>
      <c r="C16422" t="str">
        <f>IFERROR(__xludf.DUMMYFUNCTION("GOOGLETRANSLATE(B16422, ""zh"", ""en"")"),"Some big some big, fat, beyond the imagination")</f>
        <v>Some big some big, fat, beyond the imagination</v>
      </c>
    </row>
    <row r="16423">
      <c r="A16423" s="1">
        <v>5.0</v>
      </c>
      <c r="B16423" s="1" t="s">
        <v>16232</v>
      </c>
      <c r="C16423" t="str">
        <f>IFERROR(__xludf.DUMMYFUNCTION("GOOGLETRANSLATE(B16423, ""zh"", ""en"")"),"Good slightly larger, good quality")</f>
        <v>Good slightly larger, good quality</v>
      </c>
    </row>
    <row r="16424">
      <c r="A16424" s="1">
        <v>5.0</v>
      </c>
      <c r="B16424" s="1" t="s">
        <v>16233</v>
      </c>
      <c r="C16424" t="str">
        <f>IFERROR(__xludf.DUMMYFUNCTION("GOOGLETRANSLATE(B16424, ""zh"", ""en"")"),"Good quality insulation, and heavier than thought.")</f>
        <v>Good quality insulation, and heavier than thought.</v>
      </c>
    </row>
    <row r="16425">
      <c r="A16425" s="1">
        <v>5.0</v>
      </c>
      <c r="B16425" s="1" t="s">
        <v>16234</v>
      </c>
      <c r="C16425" t="str">
        <f>IFERROR(__xludf.DUMMYFUNCTION("GOOGLETRANSLATE(B16425, ""zh"", ""en"")"),"Small 177cm 70kg L = completely fit this small sweater to wear loose-fitting seem completely with the children wear the same clothes to send girlfriend")</f>
        <v>Small 177cm 70kg L = completely fit this small sweater to wear loose-fitting seem completely with the children wear the same clothes to send girlfriend</v>
      </c>
    </row>
    <row r="16426">
      <c r="A16426" s="1">
        <v>5.0</v>
      </c>
      <c r="B16426" s="1" t="s">
        <v>16235</v>
      </c>
      <c r="C16426" t="str">
        <f>IFERROR(__xludf.DUMMYFUNCTION("GOOGLETRANSLATE(B16426, ""zh"", ""en"")"),"Affordable, cost-effective. Affordable, cost-effective, better with black, are more casual style.")</f>
        <v>Affordable, cost-effective. Affordable, cost-effective, better with black, are more casual style.</v>
      </c>
    </row>
    <row r="16427">
      <c r="A16427" s="1">
        <v>5.0</v>
      </c>
      <c r="B16427" s="1" t="s">
        <v>16236</v>
      </c>
      <c r="C16427" t="str">
        <f>IFERROR(__xludf.DUMMYFUNCTION("GOOGLETRANSLATE(B16427, ""zh"", ""en"")"),"Good quality! May be the first time to buy so expensive headphones it feels really good, it had been the old version PX200. Might sound analytical feeling good cook before rubbing sound clear, but dive bass, treble bright not come out, it may be too new, "&amp;"pot a month later to see!")</f>
        <v>Good quality! May be the first time to buy so expensive headphones it feels really good, it had been the old version PX200. Might sound analytical feeling good cook before rubbing sound clear, but dive bass, treble bright not come out, it may be too new, pot a month later to see!</v>
      </c>
    </row>
    <row r="16428">
      <c r="A16428" s="1">
        <v>5.0</v>
      </c>
      <c r="B16428" s="1" t="s">
        <v>16237</v>
      </c>
      <c r="C16428" t="str">
        <f>IFERROR(__xludf.DUMMYFUNCTION("GOOGLETRANSLATE(B16428, ""zh"", ""en"")"),"The value of the most cost-effective helium, nothing wrong")</f>
        <v>The value of the most cost-effective helium, nothing wrong</v>
      </c>
    </row>
    <row r="16429">
      <c r="A16429" s="1">
        <v>5.0</v>
      </c>
      <c r="B16429" s="1" t="s">
        <v>16238</v>
      </c>
      <c r="C16429" t="str">
        <f>IFERROR(__xludf.DUMMYFUNCTION("GOOGLETRANSLATE(B16429, ""zh"", ""en"")"),"Tastes good, the content is appropriate. Tastes good, the content is appropriate.")</f>
        <v>Tastes good, the content is appropriate. Tastes good, the content is appropriate.</v>
      </c>
    </row>
    <row r="16430">
      <c r="A16430" s="1">
        <v>5.0</v>
      </c>
      <c r="B16430" s="1" t="s">
        <v>16239</v>
      </c>
      <c r="C16430" t="str">
        <f>IFERROR(__xludf.DUMMYFUNCTION("GOOGLETRANSLATE(B16430, ""zh"", ""en"")"),"Thanks very satisfied with reference to the sea Amoy had written reviews these pants I was in the most appropriate piece of the Amazon to buy, share with you: I 183cm, waist 99cm, weight 88kg, belonging to the symmetry robust type, select size 36 * 34, fo"&amp;"r your reference.")</f>
        <v>Thanks very satisfied with reference to the sea Amoy had written reviews these pants I was in the most appropriate piece of the Amazon to buy, share with you: I 183cm, waist 99cm, weight 88kg, belonging to the symmetry robust type, select size 36 * 34, for your reference.</v>
      </c>
    </row>
    <row r="16431">
      <c r="A16431" s="1">
        <v>5.0</v>
      </c>
      <c r="B16431" s="1" t="s">
        <v>16240</v>
      </c>
      <c r="C16431" t="str">
        <f>IFERROR(__xludf.DUMMYFUNCTION("GOOGLETRANSLATE(B16431, ""zh"", ""en"")"),"Worth buying pot has been used for some time just the beginning and a little sticky paste central location later knife to scrape the paste whole place is now a non-stick pot but it feels like injustice Why oil is always around while the center was not ove"&amp;"rall, this pot is good very easy to use, and now only drawback is that too heavy a hand quite strenuous.")</f>
        <v>Worth buying pot has been used for some time just the beginning and a little sticky paste central location later knife to scrape the paste whole place is now a non-stick pot but it feels like injustice Why oil is always around while the center was not overall, this pot is good very easy to use, and now only drawback is that too heavy a hand quite strenuous.</v>
      </c>
    </row>
    <row r="16432">
      <c r="A16432" s="1">
        <v>5.0</v>
      </c>
      <c r="B16432" s="1" t="s">
        <v>16241</v>
      </c>
      <c r="C16432" t="str">
        <f>IFERROR(__xludf.DUMMYFUNCTION("GOOGLETRANSLATE(B16432, ""zh"", ""en"")"),"High cost is still very fond of this brand, cheap")</f>
        <v>High cost is still very fond of this brand, cheap</v>
      </c>
    </row>
    <row r="16433">
      <c r="A16433" s="1">
        <v>5.0</v>
      </c>
      <c r="B16433" s="1" t="s">
        <v>16242</v>
      </c>
      <c r="C16433" t="str">
        <f>IFERROR(__xludf.DUMMYFUNCTION("GOOGLETRANSLATE(B16433, ""zh"", ""en"")"),"Short-sleeved clothes quality is very good, the color is, once washed, no fading phenomenon, very commendable")</f>
        <v>Short-sleeved clothes quality is very good, the color is, once washed, no fading phenomenon, very commendable</v>
      </c>
    </row>
    <row r="16434">
      <c r="A16434" s="1">
        <v>5.0</v>
      </c>
      <c r="B16434" s="1" t="s">
        <v>16243</v>
      </c>
      <c r="C16434" t="str">
        <f>IFERROR(__xludf.DUMMYFUNCTION("GOOGLETRANSLATE(B16434, ""zh"", ""en"")"),"Suitable height 177, weight 195, sturdy, appropriate code number.")</f>
        <v>Suitable height 177, weight 195, sturdy, appropriate code number.</v>
      </c>
    </row>
    <row r="16435">
      <c r="A16435" s="1">
        <v>5.0</v>
      </c>
      <c r="B16435" s="1" t="s">
        <v>16244</v>
      </c>
      <c r="C16435" t="str">
        <f>IFERROR(__xludf.DUMMYFUNCTION("GOOGLETRANSLATE(B16435, ""zh"", ""en"")"),"Yes, pretty good value for money, slightly behind a pair of black biom (Beijing Hujialou Minsheng Bank to buy just one floor below 600, blood earned) box is gone, I can not think what it experienced. Amazon even made 100 calls ...")</f>
        <v>Yes, pretty good value for money, slightly behind a pair of black biom (Beijing Hujialou Minsheng Bank to buy just one floor below 600, blood earned) box is gone, I can not think what it experienced. Amazon even made 100 calls ...</v>
      </c>
    </row>
    <row r="16436">
      <c r="A16436" s="1">
        <v>5.0</v>
      </c>
      <c r="B16436" s="1" t="s">
        <v>16245</v>
      </c>
      <c r="C16436" t="str">
        <f>IFERROR(__xludf.DUMMYFUNCTION("GOOGLETRANSLATE(B16436, ""zh"", ""en"")"),"Recommended very comfortable to wear, a look that is positive, as the sense of evening dress.")</f>
        <v>Recommended very comfortable to wear, a look that is positive, as the sense of evening dress.</v>
      </c>
    </row>
    <row r="16437">
      <c r="A16437" s="1">
        <v>5.0</v>
      </c>
      <c r="B16437" s="1" t="s">
        <v>16246</v>
      </c>
      <c r="C16437" t="str">
        <f>IFERROR(__xludf.DUMMYFUNCTION("GOOGLETRANSLATE(B16437, ""zh"", ""en"")"),"1-1.5 bar code usually buy a big 38, I bought a 39, can no longer small. Table size is 24.1 cm write 39? ? like. Not bad work much better than a kick")</f>
        <v>1-1.5 bar code usually buy a big 38, I bought a 39, can no longer small. Table size is 24.1 cm write 39? ? like. Not bad work much better than a kick</v>
      </c>
    </row>
    <row r="16438">
      <c r="A16438" s="1">
        <v>5.0</v>
      </c>
      <c r="B16438" s="1" t="s">
        <v>16247</v>
      </c>
      <c r="C16438" t="str">
        <f>IFERROR(__xludf.DUMMYFUNCTION("GOOGLETRANSLATE(B16438, ""zh"", ""en"")"),"Good quality belt waist 85.5cm, the last hole a little tight, second-last hole and a little loose.")</f>
        <v>Good quality belt waist 85.5cm, the last hole a little tight, second-last hole and a little loose.</v>
      </c>
    </row>
    <row r="16439">
      <c r="A16439" s="1">
        <v>5.0</v>
      </c>
      <c r="B16439" s="1" t="s">
        <v>13720</v>
      </c>
      <c r="C16439" t="str">
        <f>IFERROR(__xludf.DUMMYFUNCTION("GOOGLETRANSLATE(B16439, ""zh"", ""en"")"),"Want to change the fabric yardage good but a little big, do not know how a replacement. Oops")</f>
        <v>Want to change the fabric yardage good but a little big, do not know how a replacement. Oops</v>
      </c>
    </row>
    <row r="16440">
      <c r="A16440" s="1">
        <v>5.0</v>
      </c>
      <c r="B16440" s="1" t="s">
        <v>16248</v>
      </c>
      <c r="C16440" t="str">
        <f>IFERROR(__xludf.DUMMYFUNCTION("GOOGLETRANSLATE(B16440, ""zh"", ""en"")"),"Size size is too large Amazon provides reference is very inaccurate, too much is too large, usually wear xxl, estimated this select M or L on it.")</f>
        <v>Size size is too large Amazon provides reference is very inaccurate, too much is too large, usually wear xxl, estimated this select M or L on it.</v>
      </c>
    </row>
    <row r="16441">
      <c r="A16441" s="1">
        <v>5.0</v>
      </c>
      <c r="B16441" s="1" t="s">
        <v>16249</v>
      </c>
      <c r="C16441" t="str">
        <f>IFERROR(__xludf.DUMMYFUNCTION("GOOGLETRANSLATE(B16441, ""zh"", ""en"")"),"Water and grass for a long time, very good shoes, waterproof, good care, super value, can wear big boy version of true happiness")</f>
        <v>Water and grass for a long time, very good shoes, waterproof, good care, super value, can wear big boy version of true happiness</v>
      </c>
    </row>
    <row r="16442">
      <c r="A16442" s="1">
        <v>5.0</v>
      </c>
      <c r="B16442" s="1" t="s">
        <v>16250</v>
      </c>
      <c r="C16442" t="str">
        <f>IFERROR(__xludf.DUMMYFUNCTION("GOOGLETRANSLATE(B16442, ""zh"", ""en"")"),"Pretty shoes belong to gray-green, not black, very special look good, pants looks good to buy more than 600 points, I feel particularly suitable, very dark in color, it should be positive yards, anyway, I buy big. In need of a mind")</f>
        <v>Pretty shoes belong to gray-green, not black, very special look good, pants looks good to buy more than 600 points, I feel particularly suitable, very dark in color, it should be positive yards, anyway, I buy big. In need of a mind</v>
      </c>
    </row>
    <row r="16443">
      <c r="A16443" s="1">
        <v>5.0</v>
      </c>
      <c r="B16443" s="1" t="s">
        <v>16251</v>
      </c>
      <c r="C16443" t="str">
        <f>IFERROR(__xludf.DUMMYFUNCTION("GOOGLETRANSLATE(B16443, ""zh"", ""en"")"),"Looks pretty good, overpaid")</f>
        <v>Looks pretty good, overpaid</v>
      </c>
    </row>
    <row r="16444">
      <c r="A16444" s="1">
        <v>5.0</v>
      </c>
      <c r="B16444" s="1" t="s">
        <v>16252</v>
      </c>
      <c r="C16444" t="str">
        <f>IFERROR(__xludf.DUMMYFUNCTION("GOOGLETRANSLATE(B16444, ""zh"", ""en"")"),"Appearance is also good quality good, looks good.")</f>
        <v>Appearance is also good quality good, looks good.</v>
      </c>
    </row>
    <row r="16445">
      <c r="A16445" s="1">
        <v>2.0</v>
      </c>
      <c r="B16445" s="1" t="s">
        <v>16253</v>
      </c>
      <c r="C16445" t="str">
        <f>IFERROR(__xludf.DUMMYFUNCTION("GOOGLETRANSLATE(B16445, ""zh"", ""en"")"),"Not with do not know the reason for bad luck, this U disk is far from easy to imagine, reading very slowly, with a total feeling of Caton.")</f>
        <v>Not with do not know the reason for bad luck, this U disk is far from easy to imagine, reading very slowly, with a total feeling of Caton.</v>
      </c>
    </row>
    <row r="16446">
      <c r="A16446" s="1">
        <v>3.0</v>
      </c>
      <c r="B16446" s="1" t="s">
        <v>16254</v>
      </c>
      <c r="C16446" t="str">
        <f>IFERROR(__xludf.DUMMYFUNCTION("GOOGLETRANSLATE(B16446, ""zh"", ""en"")"),"Africa Tunisia working poor production yield, leather cut is not straight, you can see the curvature, poor workmanship")</f>
        <v>Africa Tunisia working poor production yield, leather cut is not straight, you can see the curvature, poor workmanship</v>
      </c>
    </row>
    <row r="16447">
      <c r="A16447" s="1">
        <v>3.0</v>
      </c>
      <c r="B16447" s="1" t="s">
        <v>16255</v>
      </c>
      <c r="C16447" t="str">
        <f>IFERROR(__xludf.DUMMYFUNCTION("GOOGLETRANSLATE(B16447, ""zh"", ""en"")"),"Color shoe uppers a little tight upper back have color to wear more comfortable")</f>
        <v>Color shoe uppers a little tight upper back have color to wear more comfortable</v>
      </c>
    </row>
    <row r="16448">
      <c r="A16448" s="1">
        <v>3.0</v>
      </c>
      <c r="B16448" s="1" t="s">
        <v>15139</v>
      </c>
      <c r="C16448" t="str">
        <f>IFERROR(__xludf.DUMMYFUNCTION("GOOGLETRANSLATE(B16448, ""zh"", ""en"")"),"Vest-style bra previously bought in Japan, this order is just as good quality at Amazon. Five-star praise")</f>
        <v>Vest-style bra previously bought in Japan, this order is just as good quality at Amazon. Five-star praise</v>
      </c>
    </row>
    <row r="16449">
      <c r="A16449" s="1">
        <v>1.0</v>
      </c>
      <c r="B16449" s="1" t="s">
        <v>16256</v>
      </c>
      <c r="C16449" t="str">
        <f>IFERROR(__xludf.DUMMYFUNCTION("GOOGLETRANSLATE(B16449, ""zh"", ""en"")"),"Four bottles of all the lumps. . . In this way the child. . . . Really not okay ~ ~")</f>
        <v>Four bottles of all the lumps. . . In this way the child. . . . Really not okay ~ ~</v>
      </c>
    </row>
    <row r="16450">
      <c r="A16450" s="1">
        <v>1.0</v>
      </c>
      <c r="B16450" s="1" t="s">
        <v>16257</v>
      </c>
      <c r="C16450" t="str">
        <f>IFERROR(__xludf.DUMMYFUNCTION("GOOGLETRANSLATE(B16450, ""zh"", ""en"")"),"Pacifier nipple bad three days three days bad, bad!")</f>
        <v>Pacifier nipple bad three days three days bad, bad!</v>
      </c>
    </row>
    <row r="16451">
      <c r="A16451" s="1">
        <v>4.0</v>
      </c>
      <c r="B16451" s="1" t="s">
        <v>16258</v>
      </c>
      <c r="C16451" t="str">
        <f>IFERROR(__xludf.DUMMYFUNCTION("GOOGLETRANSLATE(B16451, ""zh"", ""en"")"),"too sweet! Buy a mocha cappuccino flavor, it is too sweet! ! A box of pure milk are sweet spoonful of my Niwai ah! ! ! Does not taste good ah ~ ~ ~ sweeter else will do! !")</f>
        <v>too sweet! Buy a mocha cappuccino flavor, it is too sweet! ! A box of pure milk are sweet spoonful of my Niwai ah! ! ! Does not taste good ah ~ ~ ~ sweeter else will do! !</v>
      </c>
    </row>
    <row r="16452">
      <c r="A16452" s="1">
        <v>4.0</v>
      </c>
      <c r="B16452" s="1" t="s">
        <v>16259</v>
      </c>
      <c r="C16452" t="str">
        <f>IFERROR(__xludf.DUMMYFUNCTION("GOOGLETRANSLATE(B16452, ""zh"", ""en"")"),"Fabric good work in general, regular edition, work in general")</f>
        <v>Fabric good work in general, regular edition, work in general</v>
      </c>
    </row>
    <row r="16453">
      <c r="A16453" s="1">
        <v>4.0</v>
      </c>
      <c r="B16453" s="1" t="s">
        <v>16260</v>
      </c>
      <c r="C16453" t="str">
        <f>IFERROR(__xludf.DUMMYFUNCTION("GOOGLETRANSLATE(B16453, ""zh"", ""en"")"),"Three silly Space Pen rudimentary version? Saw three kinds of silly grass, feeling no three silly texture, it should be that of a primitive version of it. Writing smooth, split time still very excited. Yes.")</f>
        <v>Three silly Space Pen rudimentary version? Saw three kinds of silly grass, feeling no three silly texture, it should be that of a primitive version of it. Writing smooth, split time still very excited. Yes.</v>
      </c>
    </row>
    <row r="16454">
      <c r="A16454" s="1">
        <v>4.0</v>
      </c>
      <c r="B16454" s="1" t="s">
        <v>16261</v>
      </c>
      <c r="C16454" t="str">
        <f>IFERROR(__xludf.DUMMYFUNCTION("GOOGLETRANSLATE(B16454, ""zh"", ""en"")"),"One had a small hole in the shoulder, the other is okay. One had a small hole in the shoulder, the other is okay.")</f>
        <v>One had a small hole in the shoulder, the other is okay. One had a small hole in the shoulder, the other is okay.</v>
      </c>
    </row>
    <row r="16455">
      <c r="A16455" s="1">
        <v>4.0</v>
      </c>
      <c r="B16455" s="1" t="s">
        <v>16262</v>
      </c>
      <c r="C16455" t="str">
        <f>IFERROR(__xludf.DUMMYFUNCTION("GOOGLETRANSLATE(B16455, ""zh"", ""en"")"),"Small one yard and a half with an American-style fast-food brand model, good quality, basic details in place, not really fine, acceptable.")</f>
        <v>Small one yard and a half with an American-style fast-food brand model, good quality, basic details in place, not really fine, acceptable.</v>
      </c>
    </row>
    <row r="16456">
      <c r="A16456" s="1">
        <v>5.0</v>
      </c>
      <c r="B16456" s="1" t="s">
        <v>16263</v>
      </c>
      <c r="C16456" t="str">
        <f>IFERROR(__xludf.DUMMYFUNCTION("GOOGLETRANSLATE(B16456, ""zh"", ""en"")"),"Good quality good products, good quality")</f>
        <v>Good quality good products, good quality</v>
      </c>
    </row>
    <row r="16457">
      <c r="A16457" s="1">
        <v>5.0</v>
      </c>
      <c r="B16457" s="1" t="s">
        <v>16264</v>
      </c>
      <c r="C16457" t="str">
        <f>IFERROR(__xludf.DUMMYFUNCTION("GOOGLETRANSLATE(B16457, ""zh"", ""en"")"),"Also quite lovely, but the taste, I do not know there is no hot water after disinfection. Prices here are the best")</f>
        <v>Also quite lovely, but the taste, I do not know there is no hot water after disinfection. Prices here are the best</v>
      </c>
    </row>
    <row r="16458">
      <c r="A16458" s="1">
        <v>5.0</v>
      </c>
      <c r="B16458" s="1" t="s">
        <v>12602</v>
      </c>
      <c r="C16458" t="str">
        <f>IFERROR(__xludf.DUMMYFUNCTION("GOOGLETRANSLATE(B16458, ""zh"", ""en"")"),"Like, comfortable, will buy again love, comfort, will buy again")</f>
        <v>Like, comfortable, will buy again love, comfort, will buy again</v>
      </c>
    </row>
    <row r="16459">
      <c r="A16459" s="1">
        <v>5.0</v>
      </c>
      <c r="B16459" s="1" t="s">
        <v>16265</v>
      </c>
      <c r="C16459" t="str">
        <f>IFERROR(__xludf.DUMMYFUNCTION("GOOGLETRANSLATE(B16459, ""zh"", ""en"")"),"Positive yardage usually wear m yards but look at some reviews say the result is too large, I chose a little small s code may be different for each body type or select recommended yardage usually wear waist fleshy sometimes need to wear a skirt high waist"&amp;" briefs under cover of fleshy haha ​​but really a little soil")</f>
        <v>Positive yardage usually wear m yards but look at some reviews say the result is too large, I chose a little small s code may be different for each body type or select recommended yardage usually wear waist fleshy sometimes need to wear a skirt high waist briefs under cover of fleshy haha ​​but really a little soil</v>
      </c>
    </row>
    <row r="16460">
      <c r="A16460" s="1">
        <v>5.0</v>
      </c>
      <c r="B16460" s="1" t="s">
        <v>16266</v>
      </c>
      <c r="C16460" t="str">
        <f>IFERROR(__xludf.DUMMYFUNCTION("GOOGLETRANSLATE(B16460, ""zh"", ""en"")"),"Satisfied with the product really good more than made machine or to humanity")</f>
        <v>Satisfied with the product really good more than made machine or to humanity</v>
      </c>
    </row>
    <row r="16461">
      <c r="A16461" s="1">
        <v>5.0</v>
      </c>
      <c r="B16461" s="1" t="s">
        <v>16267</v>
      </c>
      <c r="C16461" t="str">
        <f>IFERROR(__xludf.DUMMYFUNCTION("GOOGLETRANSLATE(B16461, ""zh"", ""en"")"),"Timberland Men's Classic Leather Belt Reversible From Brown To Black price is right, good quality, worth buying! Length of just!")</f>
        <v>Timberland Men's Classic Leather Belt Reversible From Brown To Black price is right, good quality, worth buying! Length of just!</v>
      </c>
    </row>
    <row r="16462">
      <c r="A16462" s="1">
        <v>5.0</v>
      </c>
      <c r="B16462" s="1" t="s">
        <v>16268</v>
      </c>
      <c r="C16462" t="str">
        <f>IFERROR(__xludf.DUMMYFUNCTION("GOOGLETRANSLATE(B16462, ""zh"", ""en"")"),"Premium coffee machine, too fond of. Black five price to the force, less than half the lowest Taobao, and so worth it! 10 genius commodities shipped, and later price of $ 100, then buy again to send to friends. The shape is very tall, capsules, taste is a"&amp;"lso very good, although the family virtuous dragon automatic coffee machine, this is also super easy to apply. These days found a problem, shut down and then boot over time and found that the machine crashes, the power button flashes red and green, press "&amp;"the other button does not respond, have occurred three times, and plug the power to solve, do not know is not a common problem, overseas Amazon purchase of products, the domestic brands do not give repair service points, can only use the saw, I hope not b"&amp;"ad. A month, basically did not crash over again, secretly relieved ah. ps, the first black five special 500, buy a second half 466 lowest price, nothing to complain about, like 👍🏻")</f>
        <v>Premium coffee machine, too fond of. Black five price to the force, less than half the lowest Taobao, and so worth it! 10 genius commodities shipped, and later price of $ 100, then buy again to send to friends. The shape is very tall, capsules, taste is also very good, although the family virtuous dragon automatic coffee machine, this is also super easy to apply. These days found a problem, shut down and then boot over time and found that the machine crashes, the power button flashes red and green, press the other button does not respond, have occurred three times, and plug the power to solve, do not know is not a common problem, overseas Amazon purchase of products, the domestic brands do not give repair service points, can only use the saw, I hope not bad. A month, basically did not crash over again, secretly relieved ah. ps, the first black five special 500, buy a second half 466 lowest price, nothing to complain about, like 👍🏻</v>
      </c>
    </row>
    <row r="16463">
      <c r="A16463" s="1">
        <v>5.0</v>
      </c>
      <c r="B16463" s="1" t="s">
        <v>16269</v>
      </c>
      <c r="C16463" t="str">
        <f>IFERROR(__xludf.DUMMYFUNCTION("GOOGLETRANSLATE(B16463, ""zh"", ""en"")"),"nice nicenicenice")</f>
        <v>nice nicenicenice</v>
      </c>
    </row>
    <row r="16464">
      <c r="A16464" s="1">
        <v>5.0</v>
      </c>
      <c r="B16464" s="1" t="s">
        <v>4061</v>
      </c>
      <c r="C16464" t="str">
        <f>IFERROR(__xludf.DUMMYFUNCTION("GOOGLETRANSLATE(B16464, ""zh"", ""en"")"),"Slightly larger than some big, big hip hem suit.")</f>
        <v>Slightly larger than some big, big hip hem suit.</v>
      </c>
    </row>
    <row r="16465">
      <c r="A16465" s="1">
        <v>5.0</v>
      </c>
      <c r="B16465" s="1" t="s">
        <v>16270</v>
      </c>
      <c r="C16465" t="str">
        <f>IFERROR(__xludf.DUMMYFUNCTION("GOOGLETRANSLATE(B16465, ""zh"", ""en"")"),"Version are the same little bag hip")</f>
        <v>Version are the same little bag hip</v>
      </c>
    </row>
    <row r="16466">
      <c r="A16466" s="1">
        <v>5.0</v>
      </c>
      <c r="B16466" s="1" t="s">
        <v>16271</v>
      </c>
      <c r="C16466" t="str">
        <f>IFERROR(__xludf.DUMMYFUNCTION("GOOGLETRANSLATE(B16466, ""zh"", ""en"")"),"Has very good in use, built-coating, easy to clean after tea")</f>
        <v>Has very good in use, built-coating, easy to clean after tea</v>
      </c>
    </row>
    <row r="16467">
      <c r="A16467" s="1">
        <v>5.0</v>
      </c>
      <c r="B16467" s="1" t="s">
        <v>16272</v>
      </c>
      <c r="C16467" t="str">
        <f>IFERROR(__xludf.DUMMYFUNCTION("GOOGLETRANSLATE(B16467, ""zh"", ""en"")"),"Very comfortable very suitable very good price is very cheap indeed appropriate to start four hundred eighty cheaper than Taobao Jingdong a very, very good and comfortable to wear Nike to wear No. 43, its music to buy 44")</f>
        <v>Very comfortable very suitable very good price is very cheap indeed appropriate to start four hundred eighty cheaper than Taobao Jingdong a very, very good and comfortable to wear Nike to wear No. 43, its music to buy 44</v>
      </c>
    </row>
    <row r="16468">
      <c r="A16468" s="1">
        <v>5.0</v>
      </c>
      <c r="B16468" s="1" t="s">
        <v>16273</v>
      </c>
      <c r="C16468" t="str">
        <f>IFERROR(__xludf.DUMMYFUNCTION("GOOGLETRANSLATE(B16468, ""zh"", ""en"")"),"Worth starting country L, M just to buy, but slightly thicker sweat, work very well, did not shrink. The domestic price can not buy this quality")</f>
        <v>Worth starting country L, M just to buy, but slightly thicker sweat, work very well, did not shrink. The domestic price can not buy this quality</v>
      </c>
    </row>
    <row r="16469">
      <c r="A16469" s="1">
        <v>5.0</v>
      </c>
      <c r="B16469" s="1" t="s">
        <v>16274</v>
      </c>
      <c r="C16469" t="str">
        <f>IFERROR(__xludf.DUMMYFUNCTION("GOOGLETRANSLATE(B16469, ""zh"", ""en"")"),"Very good indeed arrival 8320s, the value of the faithful at ease")</f>
        <v>Very good indeed arrival 8320s, the value of the faithful at ease</v>
      </c>
    </row>
    <row r="16470">
      <c r="A16470" s="1">
        <v>5.0</v>
      </c>
      <c r="B16470" s="1" t="s">
        <v>16275</v>
      </c>
      <c r="C16470" t="str">
        <f>IFERROR(__xludf.DUMMYFUNCTION("GOOGLETRANSLATE(B16470, ""zh"", ""en"")"),"I feel very comfortable and good")</f>
        <v>I feel very comfortable and good</v>
      </c>
    </row>
    <row r="16471">
      <c r="A16471" s="1">
        <v>5.0</v>
      </c>
      <c r="B16471" s="1" t="s">
        <v>16276</v>
      </c>
      <c r="C16471" t="str">
        <f>IFERROR(__xludf.DUMMYFUNCTION("GOOGLETRANSLATE(B16471, ""zh"", ""en"")"),"Baby likes to breastfeed the baby, sometimes feeding bottle, nipple confusion does not appear very satisfied with this bottle. However bottle fat, looking for a suitable warm milk can be inconvenient, another scale is not obvious, it is difficult to confi"&amp;"rm the baby is not afraid to drink the milk he sucked air into the")</f>
        <v>Baby likes to breastfeed the baby, sometimes feeding bottle, nipple confusion does not appear very satisfied with this bottle. However bottle fat, looking for a suitable warm milk can be inconvenient, another scale is not obvious, it is difficult to confirm the baby is not afraid to drink the milk he sucked air into the</v>
      </c>
    </row>
    <row r="16472">
      <c r="A16472" s="1">
        <v>5.0</v>
      </c>
      <c r="B16472" s="1" t="s">
        <v>16277</v>
      </c>
      <c r="C16472" t="str">
        <f>IFERROR(__xludf.DUMMYFUNCTION("GOOGLETRANSLATE(B16472, ""zh"", ""en"")"),"Like I did not expect very appropriate liked")</f>
        <v>Like I did not expect very appropriate liked</v>
      </c>
    </row>
    <row r="16473">
      <c r="A16473" s="1">
        <v>5.0</v>
      </c>
      <c r="B16473" s="1" t="s">
        <v>16278</v>
      </c>
      <c r="C16473" t="str">
        <f>IFERROR(__xludf.DUMMYFUNCTION("GOOGLETRANSLATE(B16473, ""zh"", ""en"")"),"Clothes very appropriate clothes have been received, just the size, fabric for spring wear.")</f>
        <v>Clothes very appropriate clothes have been received, just the size, fabric for spring wear.</v>
      </c>
    </row>
    <row r="16474">
      <c r="A16474" s="1">
        <v>5.0</v>
      </c>
      <c r="B16474" s="1" t="s">
        <v>16279</v>
      </c>
      <c r="C16474" t="str">
        <f>IFERROR(__xludf.DUMMYFUNCTION("GOOGLETRANSLATE(B16474, ""zh"", ""en"")"),"Children have been very good with a good use")</f>
        <v>Children have been very good with a good use</v>
      </c>
    </row>
    <row r="16475">
      <c r="A16475" s="1">
        <v>5.0</v>
      </c>
      <c r="B16475" s="1" t="s">
        <v>16280</v>
      </c>
      <c r="C16475" t="str">
        <f>IFERROR(__xludf.DUMMYFUNCTION("GOOGLETRANSLATE(B16475, ""zh"", ""en"")"),"Taste good very good to eat a few every day to the children, than pure sugar good.")</f>
        <v>Taste good very good to eat a few every day to the children, than pure sugar good.</v>
      </c>
    </row>
    <row r="16476">
      <c r="A16476" s="1">
        <v>5.0</v>
      </c>
      <c r="B16476" s="1" t="s">
        <v>16281</v>
      </c>
      <c r="C16476" t="str">
        <f>IFERROR(__xludf.DUMMYFUNCTION("GOOGLETRANSLATE(B16476, ""zh"", ""en"")"),"Fortunately 173,145 pounds, No. S just right, the material is strong, a bit like fatigue jacket")</f>
        <v>Fortunately 173,145 pounds, No. S just right, the material is strong, a bit like fatigue jacket</v>
      </c>
    </row>
    <row r="16477">
      <c r="A16477" s="1">
        <v>5.0</v>
      </c>
      <c r="B16477" s="1" t="s">
        <v>16282</v>
      </c>
      <c r="C16477" t="str">
        <f>IFERROR(__xludf.DUMMYFUNCTION("GOOGLETRANSLATE(B16477, ""zh"", ""en"")"),"Long sleeves Overall, not bad! Is a super long sleeves, long section of the clothes also, covered ass! Bust or right!")</f>
        <v>Long sleeves Overall, not bad! Is a super long sleeves, long section of the clothes also, covered ass! Bust or right!</v>
      </c>
    </row>
    <row r="16478">
      <c r="A16478" s="1">
        <v>2.0</v>
      </c>
      <c r="B16478" s="1" t="s">
        <v>16283</v>
      </c>
      <c r="C16478" t="str">
        <f>IFERROR(__xludf.DUMMYFUNCTION("GOOGLETRANSLATE(B16478, ""zh"", ""en"")"),"Less one, two received the wrong color, a little one, two wrong color, how to deal with?")</f>
        <v>Less one, two received the wrong color, a little one, two wrong color, how to deal with?</v>
      </c>
    </row>
    <row r="16479">
      <c r="A16479" s="1">
        <v>3.0</v>
      </c>
      <c r="B16479" s="1" t="s">
        <v>16284</v>
      </c>
      <c r="C16479" t="str">
        <f>IFERROR(__xludf.DUMMYFUNCTION("GOOGLETRANSLATE(B16479, ""zh"", ""en"")"),"Thin to buy his son's, 163㎝ legs longer, s No. size can be, is the fabric is too thin, summer wear should be good, looks like a relatively breathable absorbent, and plan to Shenru in winter wear, then in the north.")</f>
        <v>Thin to buy his son's, 163㎝ legs longer, s No. size can be, is the fabric is too thin, summer wear should be good, looks like a relatively breathable absorbent, and plan to Shenru in winter wear, then in the north.</v>
      </c>
    </row>
    <row r="16480">
      <c r="A16480" s="1">
        <v>1.0</v>
      </c>
      <c r="B16480" s="1" t="s">
        <v>16285</v>
      </c>
      <c r="C16480" t="str">
        <f>IFERROR(__xludf.DUMMYFUNCTION("GOOGLETRANSLATE(B16480, ""zh"", ""en"")"),"Poor zero this product should not worth even one star. Bought back by four days, not work, that has no electricity, charging is completed, never again to return to normal. Because you can not create a page return, contact the customer service, let sent to"&amp;" Beijing, but also to the express orders to stay well in order to reimburse delivery costs. The results and send them over something so long, the day before yesterday received a refund 4.52 yuan! Amazon China, are you seriously want to continue to do it?")</f>
        <v>Poor zero this product should not worth even one star. Bought back by four days, not work, that has no electricity, charging is completed, never again to return to normal. Because you can not create a page return, contact the customer service, let sent to Beijing, but also to the express orders to stay well in order to reimburse delivery costs. The results and send them over something so long, the day before yesterday received a refund 4.52 yuan! Amazon China, are you seriously want to continue to do it?</v>
      </c>
    </row>
    <row r="16481">
      <c r="A16481" s="1">
        <v>1.0</v>
      </c>
      <c r="B16481" s="1" t="s">
        <v>16286</v>
      </c>
      <c r="C16481" t="str">
        <f>IFERROR(__xludf.DUMMYFUNCTION("GOOGLETRANSLATE(B16481, ""zh"", ""en"")"),"Comments do not pass the audit preparation is relatively large, whether or vibration grip, can be a battery source is two, perhaps a little clean but a little child resist, with Japan than the electric toothbrush. Five-star product, Zhong Tong Express can"&amp;" then deducted five-star, what the hell courier, not delivery, the last 100 meters to do well in front of the sub-gone, by courier pit. Amazon review what people what should delete the comment ......")</f>
        <v>Comments do not pass the audit preparation is relatively large, whether or vibration grip, can be a battery source is two, perhaps a little clean but a little child resist, with Japan than the electric toothbrush. Five-star product, Zhong Tong Express can then deducted five-star, what the hell courier, not delivery, the last 100 meters to do well in front of the sub-gone, by courier pit. Amazon review what people what should delete the comment ......</v>
      </c>
    </row>
    <row r="16482">
      <c r="A16482" s="1">
        <v>4.0</v>
      </c>
      <c r="B16482" s="1" t="s">
        <v>16287</v>
      </c>
      <c r="C16482" t="str">
        <f>IFERROR(__xludf.DUMMYFUNCTION("GOOGLETRANSLATE(B16482, ""zh"", ""en"")"),"Or beautiful, is a little big, a little thin, a little big, I 169 76kg, buy s")</f>
        <v>Or beautiful, is a little big, a little thin, a little big, I 169 76kg, buy s</v>
      </c>
    </row>
    <row r="16483">
      <c r="A16483" s="1">
        <v>4.0</v>
      </c>
      <c r="B16483" s="1" t="s">
        <v>16288</v>
      </c>
      <c r="C16483" t="str">
        <f>IFERROR(__xludf.DUMMYFUNCTION("GOOGLETRANSLATE(B16483, ""zh"", ""en"")"),"Winter glue the soles usually wear 44 yards, this shoe is bought 10m feeling somewhat large, should be exactly 9.5 or 9. Comfort can be, but is not waterproof, water will be a little more focused on both sides of the shoe to cause damp. Now there is a win"&amp;"ter wear to not wear every day, but actually open plastic soles.")</f>
        <v>Winter glue the soles usually wear 44 yards, this shoe is bought 10m feeling somewhat large, should be exactly 9.5 or 9. Comfort can be, but is not waterproof, water will be a little more focused on both sides of the shoe to cause damp. Now there is a winter wear to not wear every day, but actually open plastic soles.</v>
      </c>
    </row>
    <row r="16484">
      <c r="A16484" s="1">
        <v>4.0</v>
      </c>
      <c r="B16484" s="1" t="s">
        <v>16289</v>
      </c>
      <c r="C16484" t="str">
        <f>IFERROR(__xludf.DUMMYFUNCTION("GOOGLETRANSLATE(B16484, ""zh"", ""en"")"),"Compact, sleek good quality, excellent quality, Japan ACE OEM package can install some daily necessities, good quality than the domestic")</f>
        <v>Compact, sleek good quality, excellent quality, Japan ACE OEM package can install some daily necessities, good quality than the domestic</v>
      </c>
    </row>
    <row r="16485">
      <c r="A16485" s="1">
        <v>4.0</v>
      </c>
      <c r="B16485" s="1" t="s">
        <v>16290</v>
      </c>
      <c r="C16485" t="str">
        <f>IFERROR(__xludf.DUMMYFUNCTION("GOOGLETRANSLATE(B16485, ""zh"", ""en"")"),"Overall pretty satisfied with the size of my perfect size for reference: New Balance uk6.5, this pair uk6 perfect fit. This should be the shoes produced in Vietnam, slightly rough work, cable head. But more rigid soles foot feeling good. Orders 10 days of"&amp;" arrival, pits father is too large price fluctuations, buying on the cheap over 50.")</f>
        <v>Overall pretty satisfied with the size of my perfect size for reference: New Balance uk6.5, this pair uk6 perfect fit. This should be the shoes produced in Vietnam, slightly rough work, cable head. But more rigid soles foot feeling good. Orders 10 days of arrival, pits father is too large price fluctuations, buying on the cheap over 50.</v>
      </c>
    </row>
    <row r="16486">
      <c r="A16486" s="1">
        <v>4.0</v>
      </c>
      <c r="B16486" s="1" t="s">
        <v>16291</v>
      </c>
      <c r="C16486" t="str">
        <f>IFERROR(__xludf.DUMMYFUNCTION("GOOGLETRANSLATE(B16486, ""zh"", ""en"")"),"Size, quality, size was okay, the sleeve is too long")</f>
        <v>Size, quality, size was okay, the sleeve is too long</v>
      </c>
    </row>
    <row r="16487">
      <c r="A16487" s="1">
        <v>5.0</v>
      </c>
      <c r="B16487" s="1" t="s">
        <v>16292</v>
      </c>
      <c r="C16487" t="str">
        <f>IFERROR(__xludf.DUMMYFUNCTION("GOOGLETRANSLATE(B16487, ""zh"", ""en"")"),"Good results using a Bluetooth headset sound good, easy to connect, power up to six hours should be well publicized. White buy very fresh Oh, to buy affordable than at home a lot")</f>
        <v>Good results using a Bluetooth headset sound good, easy to connect, power up to six hours should be well publicized. White buy very fresh Oh, to buy affordable than at home a lot</v>
      </c>
    </row>
    <row r="16488">
      <c r="A16488" s="1">
        <v>5.0</v>
      </c>
      <c r="B16488" s="1" t="s">
        <v>16293</v>
      </c>
      <c r="C16488" t="str">
        <f>IFERROR(__xludf.DUMMYFUNCTION("GOOGLETRANSLATE(B16488, ""zh"", ""en"")"),"Good buy for his daughter to use, has been using this brand of electric toothbrush")</f>
        <v>Good buy for his daughter to use, has been using this brand of electric toothbrush</v>
      </c>
    </row>
    <row r="16489">
      <c r="A16489" s="1">
        <v>5.0</v>
      </c>
      <c r="B16489" s="1" t="s">
        <v>16294</v>
      </c>
      <c r="C16489" t="str">
        <f>IFERROR(__xludf.DUMMYFUNCTION("GOOGLETRANSLATE(B16489, ""zh"", ""en"")"),"Casio is good, the children love it. After the discount, I also bought one.")</f>
        <v>Casio is good, the children love it. After the discount, I also bought one.</v>
      </c>
    </row>
    <row r="16490">
      <c r="A16490" s="1">
        <v>5.0</v>
      </c>
      <c r="B16490" s="1" t="s">
        <v>16295</v>
      </c>
      <c r="C16490" t="str">
        <f>IFERROR(__xludf.DUMMYFUNCTION("GOOGLETRANSLATE(B16490, ""zh"", ""en"")"),"Effective the beginning of the improper movement, coupled with the age of reason, resulting in chondromalacia patella, squat knees have pain. Eat a bottle green bottle, I feel much better, but still a little feeling some action, did not dare run up. Eat a"&amp;"way")</f>
        <v>Effective the beginning of the improper movement, coupled with the age of reason, resulting in chondromalacia patella, squat knees have pain. Eat a bottle green bottle, I feel much better, but still a little feeling some action, did not dare run up. Eat away</v>
      </c>
    </row>
    <row r="16491">
      <c r="A16491" s="1">
        <v>5.0</v>
      </c>
      <c r="B16491" s="1" t="s">
        <v>16296</v>
      </c>
      <c r="C16491" t="str">
        <f>IFERROR(__xludf.DUMMYFUNCTION("GOOGLETRANSLATE(B16491, ""zh"", ""en"")"),"Bad knees final say good shoes new shoes, no flaws. There is no shoe tree, no plug ball of paper. My feet long 25.5cm, feet wide 9.5cm, these shoes length, width are just right. Before the main wear ASICS NIMBUS and Kayano, older cushioning is also very g"&amp;"ood, but the latest N21 and K25 soles but had hardened. I heard good cushioning glycerol, whether to try to ease the pain in my knee. This pair of black has run 100km, feeling the sole cushioning, anti Dan outstanding performance, stability is also very g"&amp;"ood, better than the N21 and K25 for me. Because it feels good, but also booked a double orange, tag number is UK7, US8, EU41, CH26, and a pair of the same code.")</f>
        <v>Bad knees final say good shoes new shoes, no flaws. There is no shoe tree, no plug ball of paper. My feet long 25.5cm, feet wide 9.5cm, these shoes length, width are just right. Before the main wear ASICS NIMBUS and Kayano, older cushioning is also very good, but the latest N21 and K25 soles but had hardened. I heard good cushioning glycerol, whether to try to ease the pain in my knee. This pair of black has run 100km, feeling the sole cushioning, anti Dan outstanding performance, stability is also very good, better than the N21 and K25 for me. Because it feels good, but also booked a double orange, tag number is UK7, US8, EU41, CH26, and a pair of the same code.</v>
      </c>
    </row>
    <row r="16492">
      <c r="A16492" s="1">
        <v>5.0</v>
      </c>
      <c r="B16492" s="1" t="s">
        <v>16297</v>
      </c>
      <c r="C16492" t="str">
        <f>IFERROR(__xludf.DUMMYFUNCTION("GOOGLETRANSLATE(B16492, ""zh"", ""en"")"),"Praise Vietnamese, fine workmanship, good fabric. Not Slim models, 173/70, body fitness, S No. perfect, waist and abdomen micro loose")</f>
        <v>Praise Vietnamese, fine workmanship, good fabric. Not Slim models, 173/70, body fitness, S No. perfect, waist and abdomen micro loose</v>
      </c>
    </row>
    <row r="16493">
      <c r="A16493" s="1">
        <v>5.0</v>
      </c>
      <c r="B16493" s="1" t="s">
        <v>16298</v>
      </c>
      <c r="C16493" t="str">
        <f>IFERROR(__xludf.DUMMYFUNCTION("GOOGLETRANSLATE(B16493, ""zh"", ""en"")"),"Both of the strengths, both of the strengths of humanity humane, comfortable")</f>
        <v>Both of the strengths, both of the strengths of humanity humane, comfortable</v>
      </c>
    </row>
    <row r="16494">
      <c r="A16494" s="1">
        <v>5.0</v>
      </c>
      <c r="B16494" s="1" t="s">
        <v>16299</v>
      </c>
      <c r="C16494" t="str">
        <f>IFERROR(__xludf.DUMMYFUNCTION("GOOGLETRANSLATE(B16494, ""zh"", ""en"")"),"And weight, exquisite quality of this key ring invincible, itself has a certain weight, great texture, it is worth buying, I waited almost a month was received as the first single lost during transport. . . (No, which thought it was pure gold, so buckle d"&amp;"own to it.) That time I was a member of the Amazon, so just scrape together a single free shipping above, but if the first single lost, I just members expire has not continued, if buy it, shipping is almost the price of this article itself, it is uneconom"&amp;"ical. After contact with the Amazon, their service is very good, that makes me even then you have the freight let me re-order, and then buy, so after receipt of the goods in accordance with the first single transaction price difference back. Perfect after"&amp;"-sale. Directed at this, I renew members.")</f>
        <v>And weight, exquisite quality of this key ring invincible, itself has a certain weight, great texture, it is worth buying, I waited almost a month was received as the first single lost during transport. . . (No, which thought it was pure gold, so buckle down to it.) That time I was a member of the Amazon, so just scrape together a single free shipping above, but if the first single lost, I just members expire has not continued, if buy it, shipping is almost the price of this article itself, it is uneconomical. After contact with the Amazon, their service is very good, that makes me even then you have the freight let me re-order, and then buy, so after receipt of the goods in accordance with the first single transaction price difference back. Perfect after-sale. Directed at this, I renew members.</v>
      </c>
    </row>
    <row r="16495">
      <c r="A16495" s="1">
        <v>5.0</v>
      </c>
      <c r="B16495" s="1" t="s">
        <v>16300</v>
      </c>
      <c r="C16495" t="str">
        <f>IFERROR(__xludf.DUMMYFUNCTION("GOOGLETRANSLATE(B16495, ""zh"", ""en"")"),"Practical cup more practical! Cleaning is also simple lot! Use several times a day, from morning to night to eat and drink")</f>
        <v>Practical cup more practical! Cleaning is also simple lot! Use several times a day, from morning to night to eat and drink</v>
      </c>
    </row>
    <row r="16496">
      <c r="A16496" s="1">
        <v>5.0</v>
      </c>
      <c r="B16496" s="1" t="s">
        <v>16301</v>
      </c>
      <c r="C16496" t="str">
        <f>IFERROR(__xludf.DUMMYFUNCTION("GOOGLETRANSLATE(B16496, ""zh"", ""en"")"),"Genuine, love Amazon. Love Amazon ah, the price is to force, to join the Amazon prime free shipping, this shoe is a Thai-made domestic, overseas Amazon purchase Slovakia production, quality feel than the domestic counter to be a little better, the size is"&amp;" the same size, price saving more than 1,000 pieces, express delivery six days to come, like the incredible.")</f>
        <v>Genuine, love Amazon. Love Amazon ah, the price is to force, to join the Amazon prime free shipping, this shoe is a Thai-made domestic, overseas Amazon purchase Slovakia production, quality feel than the domestic counter to be a little better, the size is the same size, price saving more than 1,000 pieces, express delivery six days to come, like the incredible.</v>
      </c>
    </row>
    <row r="16497">
      <c r="A16497" s="1">
        <v>5.0</v>
      </c>
      <c r="B16497" s="1" t="s">
        <v>8220</v>
      </c>
      <c r="C16497" t="str">
        <f>IFERROR(__xludf.DUMMYFUNCTION("GOOGLETRANSLATE(B16497, ""zh"", ""en"")"),"Fit very fit, wearing free.")</f>
        <v>Fit very fit, wearing free.</v>
      </c>
    </row>
    <row r="16498">
      <c r="A16498" s="1">
        <v>5.0</v>
      </c>
      <c r="B16498" s="1" t="s">
        <v>16302</v>
      </c>
      <c r="C16498" t="str">
        <f>IFERROR(__xludf.DUMMYFUNCTION("GOOGLETRANSLATE(B16498, ""zh"", ""en"")"),"Like good good, cheaper than a treasure. Silicone fresh taste, a little wash on smaller, when used with milk or lemon bubbles.")</f>
        <v>Like good good, cheaper than a treasure. Silicone fresh taste, a little wash on smaller, when used with milk or lemon bubbles.</v>
      </c>
    </row>
    <row r="16499">
      <c r="A16499" s="1">
        <v>5.0</v>
      </c>
      <c r="B16499" s="1" t="s">
        <v>16303</v>
      </c>
      <c r="C16499" t="str">
        <f>IFERROR(__xludf.DUMMYFUNCTION("GOOGLETRANSLATE(B16499, ""zh"", ""en"")"),"Starting praise ambient noise can eliminate more than 50 percent, travel essential, good isolation aircraft noise. Sound good the four sound modes to meet our basic needs. Use the time to fully meet the long-distance travel. The only drawback, a little ho"&amp;"t in the summer.")</f>
        <v>Starting praise ambient noise can eliminate more than 50 percent, travel essential, good isolation aircraft noise. Sound good the four sound modes to meet our basic needs. Use the time to fully meet the long-distance travel. The only drawback, a little hot in the summer.</v>
      </c>
    </row>
    <row r="16500">
      <c r="A16500" s="1">
        <v>5.0</v>
      </c>
      <c r="B16500" s="1" t="s">
        <v>16304</v>
      </c>
      <c r="C16500" t="str">
        <f>IFERROR(__xludf.DUMMYFUNCTION("GOOGLETRANSLATE(B16500, ""zh"", ""en"")"),"It has been a big hole. Baby to adapt for a while. Sometimes choke beginning to change.")</f>
        <v>It has been a big hole. Baby to adapt for a while. Sometimes choke beginning to change.</v>
      </c>
    </row>
    <row r="16501">
      <c r="A16501" s="1">
        <v>5.0</v>
      </c>
      <c r="B16501" s="1" t="s">
        <v>16305</v>
      </c>
      <c r="C16501" t="str">
        <f>IFERROR(__xludf.DUMMYFUNCTION("GOOGLETRANSLATE(B16501, ""zh"", ""en"")"),"Good socks socks well, should be genuine")</f>
        <v>Good socks socks well, should be genuine</v>
      </c>
    </row>
    <row r="16502">
      <c r="A16502" s="1">
        <v>5.0</v>
      </c>
      <c r="B16502" s="1" t="s">
        <v>16306</v>
      </c>
      <c r="C16502" t="str">
        <f>IFERROR(__xludf.DUMMYFUNCTION("GOOGLETRANSLATE(B16502, ""zh"", ""en"")"),"Quality is also good very good")</f>
        <v>Quality is also good very good</v>
      </c>
    </row>
    <row r="16503">
      <c r="A16503" s="1">
        <v>5.0</v>
      </c>
      <c r="B16503" s="1" t="s">
        <v>16307</v>
      </c>
      <c r="C16503" t="str">
        <f>IFERROR(__xludf.DUMMYFUNCTION("GOOGLETRANSLATE(B16503, ""zh"", ""en"")"),"Description first version normal, I 174,74, M number of suitable clothes is very thin, add more similar to a sandwich skin clothing, there is a certain warmth, but only when worn for outdoor activities, If you want to commute in the autumn city wear, I pe"&amp;"rsonally think and thin! it is suitable for more than 20 degree weather wear!")</f>
        <v>Description first version normal, I 174,74, M number of suitable clothes is very thin, add more similar to a sandwich skin clothing, there is a certain warmth, but only when worn for outdoor activities, If you want to commute in the autumn city wear, I personally think and thin! it is suitable for more than 20 degree weather wear!</v>
      </c>
    </row>
    <row r="16504">
      <c r="A16504" s="1">
        <v>5.0</v>
      </c>
      <c r="B16504" s="1" t="s">
        <v>16308</v>
      </c>
      <c r="C16504" t="str">
        <f>IFERROR(__xludf.DUMMYFUNCTION("GOOGLETRANSLATE(B16504, ""zh"", ""en"")"),"Comfortable very comfortable, but easy to break")</f>
        <v>Comfortable very comfortable, but easy to break</v>
      </c>
    </row>
    <row r="16505">
      <c r="A16505" s="1">
        <v>5.0</v>
      </c>
      <c r="B16505" s="1" t="s">
        <v>16309</v>
      </c>
      <c r="C16505" t="str">
        <f>IFERROR(__xludf.DUMMYFUNCTION("GOOGLETRANSLATE(B16505, ""zh"", ""en"")"),"Very good quality is very good, worth buying")</f>
        <v>Very good quality is very good, worth buying</v>
      </c>
    </row>
    <row r="16506">
      <c r="A16506" s="1">
        <v>5.0</v>
      </c>
      <c r="B16506" s="1" t="s">
        <v>16310</v>
      </c>
      <c r="C16506" t="str">
        <f>IFERROR(__xludf.DUMMYFUNCTION("GOOGLETRANSLATE(B16506, ""zh"", ""en"")"),"This easy to use safety bottle design is great, but also not afraid to drink will not leak into the air, material safety soft afraid to fall, 5 star praise!")</f>
        <v>This easy to use safety bottle design is great, but also not afraid to drink will not leak into the air, material safety soft afraid to fall, 5 star praise!</v>
      </c>
    </row>
    <row r="16507">
      <c r="A16507" s="1">
        <v>5.0</v>
      </c>
      <c r="B16507" s="1" t="s">
        <v>16311</v>
      </c>
      <c r="C16507" t="str">
        <f>IFERROR(__xludf.DUMMYFUNCTION("GOOGLETRANSLATE(B16507, ""zh"", ""en"")"),"Bought before the price good other brands and found that the numbers are too large, my height 177cm, weight 67kg, wearing a small yard just right.")</f>
        <v>Bought before the price good other brands and found that the numbers are too large, my height 177cm, weight 67kg, wearing a small yard just right.</v>
      </c>
    </row>
    <row r="16508">
      <c r="A16508" s="1">
        <v>5.0</v>
      </c>
      <c r="B16508" s="1" t="s">
        <v>16312</v>
      </c>
      <c r="C16508" t="str">
        <f>IFERROR(__xludf.DUMMYFUNCTION("GOOGLETRANSLATE(B16508, ""zh"", ""en"")"),"Packaging simple packaging too simple, a little doubt whether it is genuine.")</f>
        <v>Packaging simple packaging too simple, a little doubt whether it is genuine.</v>
      </c>
    </row>
    <row r="16509">
      <c r="A16509" s="1">
        <v>2.0</v>
      </c>
      <c r="B16509" s="1" t="s">
        <v>14724</v>
      </c>
      <c r="C16509" t="str">
        <f>IFERROR(__xludf.DUMMYFUNCTION("GOOGLETRANSLATE(B16509, ""zh"", ""en"")"),"Bad design flaw or wear inappropriate Asians wear it? !")</f>
        <v>Bad design flaw or wear inappropriate Asians wear it? !</v>
      </c>
    </row>
    <row r="16510">
      <c r="A16510" s="1">
        <v>3.0</v>
      </c>
      <c r="B16510" s="1" t="s">
        <v>16313</v>
      </c>
      <c r="C16510" t="str">
        <f>IFERROR(__xludf.DUMMYFUNCTION("GOOGLETRANSLATE(B16510, ""zh"", ""en"")"),"Size can not figure out, bought a lot of good pieces of Polo Nautica, are fitted cut, are No. L, some appropriate, some big, really sad, size can not be unified look.")</f>
        <v>Size can not figure out, bought a lot of good pieces of Polo Nautica, are fitted cut, are No. L, some appropriate, some big, really sad, size can not be unified look.</v>
      </c>
    </row>
    <row r="16511">
      <c r="A16511" s="1">
        <v>3.0</v>
      </c>
      <c r="B16511" s="1" t="s">
        <v>16314</v>
      </c>
      <c r="C16511" t="str">
        <f>IFERROR(__xludf.DUMMYFUNCTION("GOOGLETRANSLATE(B16511, ""zh"", ""en"")"),"I do not know is not genuine, if it is genuine do not know the origin or cause of defects is how, darker yellow, and black dots above, can not guarantee the quality ah")</f>
        <v>I do not know is not genuine, if it is genuine do not know the origin or cause of defects is how, darker yellow, and black dots above, can not guarantee the quality ah</v>
      </c>
    </row>
    <row r="16512">
      <c r="A16512" s="1">
        <v>1.0</v>
      </c>
      <c r="B16512" s="1" t="s">
        <v>16315</v>
      </c>
      <c r="C16512" t="str">
        <f>IFERROR(__xludf.DUMMYFUNCTION("GOOGLETRANSLATE(B16512, ""zh"", ""en"")"),"Looked like a renovated old shoes from England sent global share of Timberland shoes, vamp, black oil, as well as through the fold marks, refurbished again fool the Chinese people do, right?")</f>
        <v>Looked like a renovated old shoes from England sent global share of Timberland shoes, vamp, black oil, as well as through the fold marks, refurbished again fool the Chinese people do, right?</v>
      </c>
    </row>
    <row r="16513">
      <c r="A16513" s="1">
        <v>1.0</v>
      </c>
      <c r="B16513" s="1" t="s">
        <v>16316</v>
      </c>
      <c r="C16513" t="str">
        <f>IFERROR(__xludf.DUMMYFUNCTION("GOOGLETRANSLATE(B16513, ""zh"", ""en"")"),"We do not recommend buying fabrics poor, in poor, particularly large")</f>
        <v>We do not recommend buying fabrics poor, in poor, particularly large</v>
      </c>
    </row>
    <row r="16514">
      <c r="A16514" s="1">
        <v>1.0</v>
      </c>
      <c r="B16514" s="1" t="s">
        <v>16317</v>
      </c>
      <c r="C16514" t="str">
        <f>IFERROR(__xludf.DUMMYFUNCTION("GOOGLETRANSLATE(B16514, ""zh"", ""en"")"),"Be careful not to buy clothes in general hypertrophy me the two hundred kilos, wearing 2xl feel much larger. Quality is also very general, haiti origin. The key can not retreat, restocking fee 125, are more expensive than clothes.")</f>
        <v>Be careful not to buy clothes in general hypertrophy me the two hundred kilos, wearing 2xl feel much larger. Quality is also very general, haiti origin. The key can not retreat, restocking fee 125, are more expensive than clothes.</v>
      </c>
    </row>
    <row r="16515">
      <c r="A16515" s="1">
        <v>4.0</v>
      </c>
      <c r="B16515" s="1" t="s">
        <v>16318</v>
      </c>
      <c r="C16515" t="str">
        <f>IFERROR(__xludf.DUMMYFUNCTION("GOOGLETRANSLATE(B16515, ""zh"", ""en"")"),"Brush hard really cheap, but relatively hard brush, brush their teeth will be a little pain;")</f>
        <v>Brush hard really cheap, but relatively hard brush, brush their teeth will be a little pain;</v>
      </c>
    </row>
    <row r="16516">
      <c r="A16516" s="1">
        <v>4.0</v>
      </c>
      <c r="B16516" s="1" t="s">
        <v>16319</v>
      </c>
      <c r="C16516" t="str">
        <f>IFERROR(__xludf.DUMMYFUNCTION("GOOGLETRANSLATE(B16516, ""zh"", ""en"")"),"Made inChina ....... just bought a month are broken a little doubt is not genuine Made in china ........... size is slightly too large a little bit")</f>
        <v>Made inChina ....... just bought a month are broken a little doubt is not genuine Made in china ........... size is slightly too large a little bit</v>
      </c>
    </row>
    <row r="16517">
      <c r="A16517" s="1">
        <v>4.0</v>
      </c>
      <c r="B16517" s="1" t="s">
        <v>16320</v>
      </c>
      <c r="C16517" t="str">
        <f>IFERROR(__xludf.DUMMYFUNCTION("GOOGLETRANSLATE(B16517, ""zh"", ""en"")"),"Rain no pressure height 1.78m, 70kg, wearing m code exactly. Raincoat is clothing label instructions, moderate rain conditions laid down more than 20 minutes no problem. Generally breathable. For reference.")</f>
        <v>Rain no pressure height 1.78m, 70kg, wearing m code exactly. Raincoat is clothing label instructions, moderate rain conditions laid down more than 20 minutes no problem. Generally breathable. For reference.</v>
      </c>
    </row>
    <row r="16518">
      <c r="A16518" s="1">
        <v>4.0</v>
      </c>
      <c r="B16518" s="1" t="s">
        <v>16321</v>
      </c>
      <c r="C16518" t="str">
        <f>IFERROR(__xludf.DUMMYFUNCTION("GOOGLETRANSLATE(B16518, ""zh"", ""en"")"),"Must be optimistic about the color of hat can be, not thick, suitable for went out to play with, the quality of the continuation of the Champion's style, in general, have a trot line near the mark, anyway, this hat is wearing a sign, not too high demands."&amp;" Comparison of the pit is the color, write the brown, see photos also not out, in fact, is green ... Okay, okay I am a woman, dark green to comfort themselves when under the bar ...")</f>
        <v>Must be optimistic about the color of hat can be, not thick, suitable for went out to play with, the quality of the continuation of the Champion's style, in general, have a trot line near the mark, anyway, this hat is wearing a sign, not too high demands. Comparison of the pit is the color, write the brown, see photos also not out, in fact, is green ... Okay, okay I am a woman, dark green to comfort themselves when under the bar ...</v>
      </c>
    </row>
    <row r="16519">
      <c r="A16519" s="1">
        <v>4.0</v>
      </c>
      <c r="B16519" s="1" t="s">
        <v>16322</v>
      </c>
      <c r="C16519" t="str">
        <f>IFERROR(__xludf.DUMMYFUNCTION("GOOGLETRANSLATE(B16519, ""zh"", ""en"")"),"Monitors 899 yuan Zhendian treasure to buy, the overall feeling is not expected to sound good, sound no noise, can also be right!")</f>
        <v>Monitors 899 yuan Zhendian treasure to buy, the overall feeling is not expected to sound good, sound no noise, can also be right!</v>
      </c>
    </row>
    <row r="16520">
      <c r="A16520" s="1">
        <v>5.0</v>
      </c>
      <c r="B16520" s="1" t="s">
        <v>16323</v>
      </c>
      <c r="C16520" t="str">
        <f>IFERROR(__xludf.DUMMYFUNCTION("GOOGLETRANSLATE(B16520, ""zh"", ""en"")"),"Okay I think this cup pretty easy to use, very beginning to use water leakage, and later had no water leakage, not too hot")</f>
        <v>Okay I think this cup pretty easy to use, very beginning to use water leakage, and later had no water leakage, not too hot</v>
      </c>
    </row>
    <row r="16521">
      <c r="A16521" s="1">
        <v>5.0</v>
      </c>
      <c r="B16521" s="1" t="s">
        <v>16324</v>
      </c>
      <c r="C16521" t="str">
        <f>IFERROR(__xludf.DUMMYFUNCTION("GOOGLETRANSLATE(B16521, ""zh"", ""en"")"),"Very satisfied with the shopping a very good material, size appropriate")</f>
        <v>Very satisfied with the shopping a very good material, size appropriate</v>
      </c>
    </row>
    <row r="16522">
      <c r="A16522" s="1">
        <v>5.0</v>
      </c>
      <c r="B16522" s="1" t="s">
        <v>16325</v>
      </c>
      <c r="C16522" t="str">
        <f>IFERROR(__xludf.DUMMYFUNCTION("GOOGLETRANSLATE(B16522, ""zh"", ""en"")"),"Recommended very comfortable, the owner is very like the style!")</f>
        <v>Recommended very comfortable, the owner is very like the style!</v>
      </c>
    </row>
    <row r="16523">
      <c r="A16523" s="1">
        <v>5.0</v>
      </c>
      <c r="B16523" s="1" t="s">
        <v>16326</v>
      </c>
      <c r="C16523" t="str">
        <f>IFERROR(__xludf.DUMMYFUNCTION("GOOGLETRANSLATE(B16523, ""zh"", ""en"")"),"Appropriate code number, very comfortable to wear, I usually wear yardage New Balance is 42.5 feet wider sense of self. This pair of shoes yardage to buy is 8 2E, this size is quite appropriate.")</f>
        <v>Appropriate code number, very comfortable to wear, I usually wear yardage New Balance is 42.5 feet wider sense of self. This pair of shoes yardage to buy is 8 2E, this size is quite appropriate.</v>
      </c>
    </row>
    <row r="16524">
      <c r="A16524" s="1">
        <v>5.0</v>
      </c>
      <c r="B16524" s="1" t="s">
        <v>16327</v>
      </c>
      <c r="C16524" t="str">
        <f>IFERROR(__xludf.DUMMYFUNCTION("GOOGLETRANSLATE(B16524, ""zh"", ""en"")"),"Received very good quality and cheap")</f>
        <v>Received very good quality and cheap</v>
      </c>
    </row>
    <row r="16525">
      <c r="A16525" s="1">
        <v>5.0</v>
      </c>
      <c r="B16525" s="1" t="s">
        <v>16328</v>
      </c>
      <c r="C16525" t="str">
        <f>IFERROR(__xludf.DUMMYFUNCTION("GOOGLETRANSLATE(B16525, ""zh"", ""en"")"),"36a very good very good material is very comfortable size is appropriate, but usually gather for a small cup")</f>
        <v>36a very good very good material is very comfortable size is appropriate, but usually gather for a small cup</v>
      </c>
    </row>
    <row r="16526">
      <c r="A16526" s="1">
        <v>5.0</v>
      </c>
      <c r="B16526" s="1" t="s">
        <v>16329</v>
      </c>
      <c r="C16526" t="str">
        <f>IFERROR(__xludf.DUMMYFUNCTION("GOOGLETRANSLATE(B16526, ""zh"", ""en"")"),"TM really bulky shoes, overwhelmed. Left foot long 272, 9.5W just right, a lot of space inside. There have not wear flip on foot after foot, ankle where the inner layer should be a plastic film, really hard. I do not know to wear thick socks can not contr"&amp;"ol. Did not imagine so good, I did not think so good. Fortunately did not spend money to buy 10061.")</f>
        <v>TM really bulky shoes, overwhelmed. Left foot long 272, 9.5W just right, a lot of space inside. There have not wear flip on foot after foot, ankle where the inner layer should be a plastic film, really hard. I do not know to wear thick socks can not control. Did not imagine so good, I did not think so good. Fortunately did not spend money to buy 10061.</v>
      </c>
    </row>
    <row r="16527">
      <c r="A16527" s="1">
        <v>5.0</v>
      </c>
      <c r="B16527" s="1" t="s">
        <v>16330</v>
      </c>
      <c r="C16527" t="str">
        <f>IFERROR(__xludf.DUMMYFUNCTION("GOOGLETRANSLATE(B16527, ""zh"", ""en"")"),"nice baby 7-month-old pro Hey, bought a brand n nipples are not, as long as this. Easy disinfection, portable, not too expensive. If the lanyard comes with even better")</f>
        <v>nice baby 7-month-old pro Hey, bought a brand n nipples are not, as long as this. Easy disinfection, portable, not too expensive. If the lanyard comes with even better</v>
      </c>
    </row>
    <row r="16528">
      <c r="A16528" s="1">
        <v>5.0</v>
      </c>
      <c r="B16528" s="1" t="s">
        <v>16331</v>
      </c>
      <c r="C16528" t="str">
        <f>IFERROR(__xludf.DUMMYFUNCTION("GOOGLETRANSLATE(B16528, ""zh"", ""en"")"),"Nice and comfortable, but slightly larger size, like a little attention to the time of purchase.")</f>
        <v>Nice and comfortable, but slightly larger size, like a little attention to the time of purchase.</v>
      </c>
    </row>
    <row r="16529">
      <c r="A16529" s="1">
        <v>5.0</v>
      </c>
      <c r="B16529" s="1" t="s">
        <v>16332</v>
      </c>
      <c r="C16529" t="str">
        <f>IFERROR(__xludf.DUMMYFUNCTION("GOOGLETRANSLATE(B16529, ""zh"", ""en"")"),"Good work, Shaopian large size, the insole shoes suitable contrast cat mat, the same 9w, length is basically the same, but this will be higher due to the reason of shoes a little bit loose, pad insole just one. I usually Adi 42.2 / 3, cat's 9w, 9 hole sho"&amp;"es, probably a reference to the next bar. . . Very solid work shoes")</f>
        <v>Good work, Shaopian large size, the insole shoes suitable contrast cat mat, the same 9w, length is basically the same, but this will be higher due to the reason of shoes a little bit loose, pad insole just one. I usually Adi 42.2 / 3, cat's 9w, 9 hole shoes, probably a reference to the next bar. . . Very solid work shoes</v>
      </c>
    </row>
    <row r="16530">
      <c r="A16530" s="1">
        <v>5.0</v>
      </c>
      <c r="B16530" s="1" t="s">
        <v>16333</v>
      </c>
      <c r="C16530" t="str">
        <f>IFERROR(__xludf.DUMMYFUNCTION("GOOGLETRANSLATE(B16530, ""zh"", ""en"")"),"Good good very silky. m number just 175,145. Length 70. Chest 102. Has elasticity")</f>
        <v>Good good very silky. m number just 175,145. Length 70. Chest 102. Has elasticity</v>
      </c>
    </row>
    <row r="16531">
      <c r="A16531" s="1">
        <v>5.0</v>
      </c>
      <c r="B16531" s="1" t="s">
        <v>16334</v>
      </c>
      <c r="C16531" t="str">
        <f>IFERROR(__xludf.DUMMYFUNCTION("GOOGLETRANSLATE(B16531, ""zh"", ""en"")"),"Value lion mug network version of the small red lion mug, price is not high, keep to his son to buy a very nice cup")</f>
        <v>Value lion mug network version of the small red lion mug, price is not high, keep to his son to buy a very nice cup</v>
      </c>
    </row>
    <row r="16532">
      <c r="A16532" s="1">
        <v>5.0</v>
      </c>
      <c r="B16532" s="1" t="s">
        <v>16335</v>
      </c>
      <c r="C16532" t="str">
        <f>IFERROR(__xludf.DUMMYFUNCTION("GOOGLETRANSLATE(B16532, ""zh"", ""en"")"),"Cost-effective high-frequency open big ears sometimes have glitches sense, the low frequency is very good. More than seven hundred perfect start to experience big ears open.")</f>
        <v>Cost-effective high-frequency open big ears sometimes have glitches sense, the low frequency is very good. More than seven hundred perfect start to experience big ears open.</v>
      </c>
    </row>
    <row r="16533">
      <c r="A16533" s="1">
        <v>5.0</v>
      </c>
      <c r="B16533" s="1" t="s">
        <v>16336</v>
      </c>
      <c r="C16533" t="str">
        <f>IFERROR(__xludf.DUMMYFUNCTION("GOOGLETRANSLATE(B16533, ""zh"", ""en"")"),"Like the color is very light and very comfortable, appropriate numbers, lightweight comfortable!")</f>
        <v>Like the color is very light and very comfortable, appropriate numbers, lightweight comfortable!</v>
      </c>
    </row>
    <row r="16534">
      <c r="A16534" s="1">
        <v>5.0</v>
      </c>
      <c r="B16534" s="1" t="s">
        <v>16337</v>
      </c>
      <c r="C16534" t="str">
        <f>IFERROR(__xludf.DUMMYFUNCTION("GOOGLETRANSLATE(B16534, ""zh"", ""en"")"),"Yes it is true that good've never pen capsule do not know there is such a beautiful pen Price does not know how to use them bought for the children of teachers")</f>
        <v>Yes it is true that good've never pen capsule do not know there is such a beautiful pen Price does not know how to use them bought for the children of teachers</v>
      </c>
    </row>
    <row r="16535">
      <c r="A16535" s="1">
        <v>5.0</v>
      </c>
      <c r="B16535" s="1" t="s">
        <v>16338</v>
      </c>
      <c r="C16535" t="str">
        <f>IFERROR(__xludf.DUMMYFUNCTION("GOOGLETRANSLATE(B16535, ""zh"", ""en"")"),"Good - considering the price, this watch in any direction almost impeccable. I am very pleased ~")</f>
        <v>Good - considering the price, this watch in any direction almost impeccable. I am very pleased ~</v>
      </c>
    </row>
    <row r="16536">
      <c r="A16536" s="1">
        <v>5.0</v>
      </c>
      <c r="B16536" s="1" t="s">
        <v>16339</v>
      </c>
      <c r="C16536" t="str">
        <f>IFERROR(__xludf.DUMMYFUNCTION("GOOGLETRANSLATE(B16536, ""zh"", ""en"")"),"Nice watch very easy to use, good-looking. Exquisite watches.")</f>
        <v>Nice watch very easy to use, good-looking. Exquisite watches.</v>
      </c>
    </row>
    <row r="16537">
      <c r="A16537" s="1">
        <v>5.0</v>
      </c>
      <c r="B16537" s="1" t="s">
        <v>5445</v>
      </c>
      <c r="C16537" t="str">
        <f>IFERROR(__xludf.DUMMYFUNCTION("GOOGLETRANSLATE(B16537, ""zh"", ""en"")"),"Is too large, then you can feel a little number is too large, the material is also more comfortable")</f>
        <v>Is too large, then you can feel a little number is too large, the material is also more comfortable</v>
      </c>
    </row>
    <row r="16538">
      <c r="A16538" s="1">
        <v>5.0</v>
      </c>
      <c r="B16538" s="1" t="s">
        <v>7445</v>
      </c>
      <c r="C16538" t="str">
        <f>IFERROR(__xludf.DUMMYFUNCTION("GOOGLETRANSLATE(B16538, ""zh"", ""en"")"),"Code just to see the clothes of good quality, color is very positive, very comfortable to wear, was thin, very good ~")</f>
        <v>Code just to see the clothes of good quality, color is very positive, very comfortable to wear, was thin, very good ~</v>
      </c>
    </row>
    <row r="16539">
      <c r="A16539" s="1">
        <v>5.0</v>
      </c>
      <c r="B16539" s="1" t="s">
        <v>16340</v>
      </c>
      <c r="C16539" t="str">
        <f>IFERROR(__xludf.DUMMYFUNCTION("GOOGLETRANSLATE(B16539, ""zh"", ""en"")"),"Overall satisfaction is a function not say, we all know that the size of it, I wrist 16.5cm, bring just feel really is not great ,, manual online, it is easy to find, remember to search casio 3157")</f>
        <v>Overall satisfaction is a function not say, we all know that the size of it, I wrist 16.5cm, bring just feel really is not great ,, manual online, it is easy to find, remember to search casio 3157</v>
      </c>
    </row>
    <row r="16540">
      <c r="A16540" s="1">
        <v>5.0</v>
      </c>
      <c r="B16540" s="1" t="s">
        <v>16341</v>
      </c>
      <c r="C16540" t="str">
        <f>IFERROR(__xludf.DUMMYFUNCTION("GOOGLETRANSLATE(B16540, ""zh"", ""en"")"),"Quite satisfied with the shopping right size, wear comfortable 160cm 47kg")</f>
        <v>Quite satisfied with the shopping right size, wear comfortable 160cm 47kg</v>
      </c>
    </row>
    <row r="16541">
      <c r="A16541" s="1">
        <v>5.0</v>
      </c>
      <c r="B16541" s="1" t="s">
        <v>16342</v>
      </c>
      <c r="C16541" t="str">
        <f>IFERROR(__xludf.DUMMYFUNCTION("GOOGLETRANSLATE(B16541, ""zh"", ""en"")"),"Amazon good. Goods is really good, waterproof, cost-effective than in the domestic websites to buy much cheaper. Logistics is also quite fast small city about 8 days.")</f>
        <v>Amazon good. Goods is really good, waterproof, cost-effective than in the domestic websites to buy much cheaper. Logistics is also quite fast small city about 8 days.</v>
      </c>
    </row>
    <row r="16542">
      <c r="A16542" s="1">
        <v>2.0</v>
      </c>
      <c r="B16542" s="1" t="s">
        <v>16343</v>
      </c>
      <c r="C16542" t="str">
        <f>IFERROR(__xludf.DUMMYFUNCTION("GOOGLETRANSLATE(B16542, ""zh"", ""en"")"),"This too thin too thin, half-hearted ah, really never seen such thin")</f>
        <v>This too thin too thin, half-hearted ah, really never seen such thin</v>
      </c>
    </row>
    <row r="16543">
      <c r="A16543" s="1">
        <v>3.0</v>
      </c>
      <c r="B16543" s="1" t="s">
        <v>16344</v>
      </c>
      <c r="C16543" t="str">
        <f>IFERROR(__xludf.DUMMYFUNCTION("GOOGLETRANSLATE(B16543, ""zh"", ""en"")"),"Also good just fine with a breast pump, suction hurt, but then still want to suck bilateral free hand to go with corset. I do not know there is no successful chase milk its credit, anyway, now idle, less than two months before the actual use, I feel a lit"&amp;"tle wasted. . .")</f>
        <v>Also good just fine with a breast pump, suction hurt, but then still want to suck bilateral free hand to go with corset. I do not know there is no successful chase milk its credit, anyway, now idle, less than two months before the actual use, I feel a little wasted. . .</v>
      </c>
    </row>
    <row r="16544">
      <c r="A16544" s="1">
        <v>3.0</v>
      </c>
      <c r="B16544" s="1" t="s">
        <v>16345</v>
      </c>
      <c r="C16544" t="str">
        <f>IFERROR(__xludf.DUMMYFUNCTION("GOOGLETRANSLATE(B16544, ""zh"", ""en"")"),"Thin, generally 17585 mass m wear, very thin, the thickness of the thin Qiuyi of similar, there is only the price value of fifty three 175 m exactly 85kg wear")</f>
        <v>Thin, generally 17585 mass m wear, very thin, the thickness of the thin Qiuyi of similar, there is only the price value of fifty three 175 m exactly 85kg wear</v>
      </c>
    </row>
    <row r="16545">
      <c r="A16545" s="1">
        <v>3.0</v>
      </c>
      <c r="B16545" s="1" t="s">
        <v>16346</v>
      </c>
      <c r="C16545" t="str">
        <f>IFERROR(__xludf.DUMMYFUNCTION("GOOGLETRANSLATE(B16545, ""zh"", ""en"")"),"Amazon customer service attitude directed at the bottom of the bottle to a 3 star received significant scratches, wanted to apply for a replacement, the customer service said it was overseas purchase, only back not change. No way, only a refund, the custo"&amp;"mer service is still very satisfactory.")</f>
        <v>Amazon customer service attitude directed at the bottom of the bottle to a 3 star received significant scratches, wanted to apply for a replacement, the customer service said it was overseas purchase, only back not change. No way, only a refund, the customer service is still very satisfactory.</v>
      </c>
    </row>
    <row r="16546">
      <c r="A16546" s="1">
        <v>1.0</v>
      </c>
      <c r="B16546" s="1" t="s">
        <v>16347</v>
      </c>
      <c r="C16546" t="str">
        <f>IFERROR(__xludf.DUMMYFUNCTION("GOOGLETRANSLATE(B16546, ""zh"", ""en"")"),"Quality is not! Poor quality! I wore it once it has been lost crotch, also snag a. My God, this is the quality Fukusuke do ??? incredible!")</f>
        <v>Quality is not! Poor quality! I wore it once it has been lost crotch, also snag a. My God, this is the quality Fukusuke do ??? incredible!</v>
      </c>
    </row>
    <row r="16547">
      <c r="A16547" s="1">
        <v>1.0</v>
      </c>
      <c r="B16547" s="1" t="s">
        <v>16348</v>
      </c>
      <c r="C16547" t="str">
        <f>IFERROR(__xludf.DUMMYFUNCTION("GOOGLETRANSLATE(B16547, ""zh"", ""en"")"),"Amazon boss clothes are not recommended, generally fade serious, serious inconsistencies and size, buy with caution")</f>
        <v>Amazon boss clothes are not recommended, generally fade serious, serious inconsistencies and size, buy with caution</v>
      </c>
    </row>
    <row r="16548">
      <c r="A16548" s="1">
        <v>1.0</v>
      </c>
      <c r="B16548" s="1" t="s">
        <v>16349</v>
      </c>
      <c r="C16548" t="str">
        <f>IFERROR(__xludf.DUMMYFUNCTION("GOOGLETRANSLATE(B16548, ""zh"", ""en"")"),"It has broken down does not recognize disk, hard disk does not recommend buying sea Amoy, not to buy a pit is not cheap, I've been a pit, lodge complaints without bail, and no one will bother, scouring the sea can not buy appliances, domestic law to disci"&amp;"pline, if it is fake and it was a pit.")</f>
        <v>It has broken down does not recognize disk, hard disk does not recommend buying sea Amoy, not to buy a pit is not cheap, I've been a pit, lodge complaints without bail, and no one will bother, scouring the sea can not buy appliances, domestic law to discipline, if it is fake and it was a pit.</v>
      </c>
    </row>
    <row r="16549">
      <c r="A16549" s="1">
        <v>4.0</v>
      </c>
      <c r="B16549" s="1" t="s">
        <v>16350</v>
      </c>
      <c r="C16549" t="str">
        <f>IFERROR(__xludf.DUMMYFUNCTION("GOOGLETRANSLATE(B16549, ""zh"", ""en"")"),"It is generally more rigid, style, or can be, it is not very comfortable to wear, directly to the brother in law.")</f>
        <v>It is generally more rigid, style, or can be, it is not very comfortable to wear, directly to the brother in law.</v>
      </c>
    </row>
    <row r="16550">
      <c r="A16550" s="1">
        <v>4.0</v>
      </c>
      <c r="B16550" s="1" t="s">
        <v>16351</v>
      </c>
      <c r="C16550" t="str">
        <f>IFERROR(__xludf.DUMMYFUNCTION("GOOGLETRANSLATE(B16550, ""zh"", ""en"")"),"I did not feel too large? Shoes good light, there are users that insoles hard, in fact, can also be accepted. As for the larger half a yard this thing, I do not think, had read the reviews say is too large. Probably my feet long, usually wear clark also w"&amp;"ear 43. Should buy 43 yards just right, now buy less than half the code feel a little bit crowded, but can wear. This and other wear disabled, and come back to buy most of the code. First-tier cities, a week received")</f>
        <v>I did not feel too large? Shoes good light, there are users that insoles hard, in fact, can also be accepted. As for the larger half a yard this thing, I do not think, had read the reviews say is too large. Probably my feet long, usually wear clark also wear 43. Should buy 43 yards just right, now buy less than half the code feel a little bit crowded, but can wear. This and other wear disabled, and come back to buy most of the code. First-tier cities, a week received</v>
      </c>
    </row>
    <row r="16551">
      <c r="A16551" s="1">
        <v>4.0</v>
      </c>
      <c r="B16551" s="1" t="s">
        <v>16352</v>
      </c>
      <c r="C16551" t="str">
        <f>IFERROR(__xludf.DUMMYFUNCTION("GOOGLETRANSLATE(B16551, ""zh"", ""en"")"),"Comfortable to wear the usual 44, to buy UK9.5 suitable, comfortable, like her husband.")</f>
        <v>Comfortable to wear the usual 44, to buy UK9.5 suitable, comfortable, like her husband.</v>
      </c>
    </row>
    <row r="16552">
      <c r="A16552" s="1">
        <v>4.0</v>
      </c>
      <c r="B16552" s="1" t="s">
        <v>16353</v>
      </c>
      <c r="C16552" t="str">
        <f>IFERROR(__xludf.DUMMYFUNCTION("GOOGLETRANSLATE(B16552, ""zh"", ""en"")"),"A little tight is tight stretch pants, try a larger size to buy time")</f>
        <v>A little tight is tight stretch pants, try a larger size to buy time</v>
      </c>
    </row>
    <row r="16553">
      <c r="A16553" s="1">
        <v>4.0</v>
      </c>
      <c r="B16553" s="1" t="s">
        <v>16354</v>
      </c>
      <c r="C16553" t="str">
        <f>IFERROR(__xludf.DUMMYFUNCTION("GOOGLETRANSLATE(B16553, ""zh"", ""en"")"),"The effect is good sometimes useless sometimes feel that we can make sleep more soundly")</f>
        <v>The effect is good sometimes useless sometimes feel that we can make sleep more soundly</v>
      </c>
    </row>
    <row r="16554">
      <c r="A16554" s="1">
        <v>5.0</v>
      </c>
      <c r="B16554" s="1" t="s">
        <v>16355</v>
      </c>
      <c r="C16554" t="str">
        <f>IFERROR(__xludf.DUMMYFUNCTION("GOOGLETRANSLATE(B16554, ""zh"", ""en"")"),"Finally bought rest assured that eating Centrum eat for many years, this is the best, genuine, trustworthy Amazon import of goods, packaging printing fine, smooth and delicate particles, have sided character, should be 20-year maturity . After the buy bac"&amp;"k.")</f>
        <v>Finally bought rest assured that eating Centrum eat for many years, this is the best, genuine, trustworthy Amazon import of goods, packaging printing fine, smooth and delicate particles, have sided character, should be 20-year maturity . After the buy back.</v>
      </c>
    </row>
    <row r="16555">
      <c r="A16555" s="1">
        <v>5.0</v>
      </c>
      <c r="B16555" s="1" t="s">
        <v>16356</v>
      </c>
      <c r="C16555" t="str">
        <f>IFERROR(__xludf.DUMMYFUNCTION("GOOGLETRANSLATE(B16555, ""zh"", ""en"")"),"Stir, then it is good to feed your baby soft head is better ~! Stir well")</f>
        <v>Stir, then it is good to feed your baby soft head is better ~! Stir well</v>
      </c>
    </row>
    <row r="16556">
      <c r="A16556" s="1">
        <v>5.0</v>
      </c>
      <c r="B16556" s="1" t="s">
        <v>16357</v>
      </c>
      <c r="C16556" t="str">
        <f>IFERROR(__xludf.DUMMYFUNCTION("GOOGLETRANSLATE(B16556, ""zh"", ""en"")"),"Washed more comfortable very appropriate")</f>
        <v>Washed more comfortable very appropriate</v>
      </c>
    </row>
    <row r="16557">
      <c r="A16557" s="1">
        <v>5.0</v>
      </c>
      <c r="B16557" s="1" t="s">
        <v>16358</v>
      </c>
      <c r="C16557" t="str">
        <f>IFERROR(__xludf.DUMMYFUNCTION("GOOGLETRANSLATE(B16557, ""zh"", ""en"")"),"Missing my family doll mouth is too small, not put into, and later lost")</f>
        <v>Missing my family doll mouth is too small, not put into, and later lost</v>
      </c>
    </row>
    <row r="16558">
      <c r="A16558" s="1">
        <v>5.0</v>
      </c>
      <c r="B16558" s="1" t="s">
        <v>16359</v>
      </c>
      <c r="C16558" t="str">
        <f>IFERROR(__xludf.DUMMYFUNCTION("GOOGLETRANSLATE(B16558, ""zh"", ""en"")"),"Very much satisfied")</f>
        <v>Very much satisfied</v>
      </c>
    </row>
    <row r="16559">
      <c r="A16559" s="1">
        <v>5.0</v>
      </c>
      <c r="B16559" s="1" t="s">
        <v>16360</v>
      </c>
      <c r="C16559" t="str">
        <f>IFERROR(__xludf.DUMMYFUNCTION("GOOGLETRANSLATE(B16559, ""zh"", ""en"")"),"Ms. long-sleeved good, continue to maintain")</f>
        <v>Ms. long-sleeved good, continue to maintain</v>
      </c>
    </row>
    <row r="16560">
      <c r="A16560" s="1">
        <v>5.0</v>
      </c>
      <c r="B16560" s="1" t="s">
        <v>16361</v>
      </c>
      <c r="C16560" t="str">
        <f>IFERROR(__xludf.DUMMYFUNCTION("GOOGLETRANSLATE(B16560, ""zh"", ""en"")"),"Quality can be particularly thermos, to give as gifts")</f>
        <v>Quality can be particularly thermos, to give as gifts</v>
      </c>
    </row>
    <row r="16561">
      <c r="A16561" s="1">
        <v>5.0</v>
      </c>
      <c r="B16561" s="1" t="s">
        <v>16362</v>
      </c>
      <c r="C16561" t="str">
        <f>IFERROR(__xludf.DUMMYFUNCTION("GOOGLETRANSLATE(B16561, ""zh"", ""en"")"),"I liked it, very affordable good good, installed eight, is to force")</f>
        <v>I liked it, very affordable good good, installed eight, is to force</v>
      </c>
    </row>
    <row r="16562">
      <c r="A16562" s="1">
        <v>5.0</v>
      </c>
      <c r="B16562" s="1" t="s">
        <v>16363</v>
      </c>
      <c r="C16562" t="str">
        <f>IFERROR(__xludf.DUMMYFUNCTION("GOOGLETRANSLATE(B16562, ""zh"", ""en"")"),"Very comfortable! Well, heavier than the thermostat toto, the song is also small feet, are the same size and domestic water very very comfortable. Is between the leading and curved foot, can not be used with screen wife red asbestos gaskets, water leakage"&amp;", have their own silicone rubber gasket transducer 6 minutes.")</f>
        <v>Very comfortable! Well, heavier than the thermostat toto, the song is also small feet, are the same size and domestic water very very comfortable. Is between the leading and curved foot, can not be used with screen wife red asbestos gaskets, water leakage, have their own silicone rubber gasket transducer 6 minutes.</v>
      </c>
    </row>
    <row r="16563">
      <c r="A16563" s="1">
        <v>5.0</v>
      </c>
      <c r="B16563" s="1" t="s">
        <v>16364</v>
      </c>
      <c r="C16563" t="str">
        <f>IFERROR(__xludf.DUMMYFUNCTION("GOOGLETRANSLATE(B16563, ""zh"", ""en"")"),"Like this like baby bottles, pacifiers so buy in advance to spare")</f>
        <v>Like this like baby bottles, pacifiers so buy in advance to spare</v>
      </c>
    </row>
    <row r="16564">
      <c r="A16564" s="1">
        <v>5.0</v>
      </c>
      <c r="B16564" s="1" t="s">
        <v>16365</v>
      </c>
      <c r="C16564" t="str">
        <f>IFERROR(__xludf.DUMMYFUNCTION("GOOGLETRANSLATE(B16564, ""zh"", ""en"")"),"Puma shoes very pretty, is a little hard soles, usually wear 37 yards, this pair to buy 37.5 just right, really hesitated for a long time on the size")</f>
        <v>Puma shoes very pretty, is a little hard soles, usually wear 37 yards, this pair to buy 37.5 just right, really hesitated for a long time on the size</v>
      </c>
    </row>
    <row r="16565">
      <c r="A16565" s="1">
        <v>5.0</v>
      </c>
      <c r="B16565" s="1" t="s">
        <v>16366</v>
      </c>
      <c r="C16565" t="str">
        <f>IFERROR(__xludf.DUMMYFUNCTION("GOOGLETRANSLATE(B16565, ""zh"", ""en"")"),"Well 170,120 pounds, M a little fertilizer, suitable for summer.")</f>
        <v>Well 170,120 pounds, M a little fertilizer, suitable for summer.</v>
      </c>
    </row>
    <row r="16566">
      <c r="A16566" s="1">
        <v>5.0</v>
      </c>
      <c r="B16566" s="1" t="s">
        <v>16367</v>
      </c>
      <c r="C16566" t="str">
        <f>IFERROR(__xludf.DUMMYFUNCTION("GOOGLETRANSLATE(B16566, ""zh"", ""en"")"),"Product satisfaction nephew was like, this is still pretty fast.")</f>
        <v>Product satisfaction nephew was like, this is still pretty fast.</v>
      </c>
    </row>
    <row r="16567">
      <c r="A16567" s="1">
        <v>5.0</v>
      </c>
      <c r="B16567" s="1" t="s">
        <v>16368</v>
      </c>
      <c r="C16567" t="str">
        <f>IFERROR(__xludf.DUMMYFUNCTION("GOOGLETRANSLATE(B16567, ""zh"", ""en"")"),"Underwear is very comfortable to wear, buy twice")</f>
        <v>Underwear is very comfortable to wear, buy twice</v>
      </c>
    </row>
    <row r="16568">
      <c r="A16568" s="1">
        <v>5.0</v>
      </c>
      <c r="B16568" s="1" t="s">
        <v>16369</v>
      </c>
      <c r="C16568" t="str">
        <f>IFERROR(__xludf.DUMMYFUNCTION("GOOGLETRANSLATE(B16568, ""zh"", ""en"")"),"Great price too high, is to buy long, alas")</f>
        <v>Great price too high, is to buy long, alas</v>
      </c>
    </row>
    <row r="16569">
      <c r="A16569" s="1">
        <v>5.0</v>
      </c>
      <c r="B16569" s="1" t="s">
        <v>16370</v>
      </c>
      <c r="C16569" t="str">
        <f>IFERROR(__xludf.DUMMYFUNCTION("GOOGLETRANSLATE(B16569, ""zh"", ""en"")"),"Very light very good, buy it for my grandfather, the elderly very much. Not from the previous evaluation, I do not know how many wasted points, points can change money now know, they should look carefully evaluated, then I put these words to copy to go, b"&amp;"oth to earn points, but also save trouble, they go where copy , sent directly to it, recommend it to everyone! !")</f>
        <v>Very light very good, buy it for my grandfather, the elderly very much. Not from the previous evaluation, I do not know how many wasted points, points can change money now know, they should look carefully evaluated, then I put these words to copy to go, both to earn points, but also save trouble, they go where copy , sent directly to it, recommend it to everyone! !</v>
      </c>
    </row>
    <row r="16570">
      <c r="A16570" s="1">
        <v>5.0</v>
      </c>
      <c r="B16570" s="1" t="s">
        <v>16371</v>
      </c>
      <c r="C16570" t="str">
        <f>IFERROR(__xludf.DUMMYFUNCTION("GOOGLETRANSLATE(B16570, ""zh"", ""en"")"),"Affordable really do not like coated, after the arrival of consciousness Zojirushi all bands. Use no problem")</f>
        <v>Affordable really do not like coated, after the arrival of consciousness Zojirushi all bands. Use no problem</v>
      </c>
    </row>
    <row r="16571">
      <c r="A16571" s="1">
        <v>5.0</v>
      </c>
      <c r="B16571" s="1" t="s">
        <v>16372</v>
      </c>
      <c r="C16571" t="str">
        <f>IFERROR(__xludf.DUMMYFUNCTION("GOOGLETRANSLATE(B16571, ""zh"", ""en"")"),"Fabric quality thick solid right size of the box and try feeling: 1, after the Japanese version out of the box found clothes fixed relatively strong, as is the secondary seal, do not worry there will be leakage of liquid into the box causing the problem o"&amp;"f clothes soaked in water 2, fabric contrast is white embroidery LOGO thin models, but also the line 3, size of the problem: my height 168, weight 160, buy the L number, put on feeling a little loose, if you're like me fatter, L No. no problem")</f>
        <v>Fabric quality thick solid right size of the box and try feeling: 1, after the Japanese version out of the box found clothes fixed relatively strong, as is the secondary seal, do not worry there will be leakage of liquid into the box causing the problem of clothes soaked in water 2, fabric contrast is white embroidery LOGO thin models, but also the line 3, size of the problem: my height 168, weight 160, buy the L number, put on feeling a little loose, if you're like me fatter, L No. no problem</v>
      </c>
    </row>
    <row r="16572">
      <c r="A16572" s="1">
        <v>5.0</v>
      </c>
      <c r="B16572" s="1" t="s">
        <v>16373</v>
      </c>
      <c r="C16572" t="str">
        <f>IFERROR(__xludf.DUMMYFUNCTION("GOOGLETRANSLATE(B16572, ""zh"", ""en"")"),"cute watch &lt;div id = ""video-block-R1HWBKGEOT9U3X"" class = ""a-section a-spacing-small a-spacing-top-mini video-block""&gt; &lt;/ div&gt; &lt;input type = ""hidden"" name = "" ""value ="" https://images-cn.ssl-images-amazon.com/images/I/71rQJIEifuS.mp4 ""class ="" v"&amp;"ideo-url ""&gt; &lt;input type ="" hidden ""name ="" ""value ="" https://images-cn.ssl-images-amazon.com/images/I/710MpGoLSLS.png ""class ="" video-slate-img-url ""&gt; &amp; nbsp; two days later than the expected time of delivery, not influences. Table cute! There ba"&amp;"cklight! Out!")</f>
        <v>cute watch &lt;div id = "video-block-R1HWBKGEOT9U3X" class = "a-section a-spacing-small a-spacing-top-mini video-block"&gt; &lt;/ div&gt; &lt;input type = "hidden" name = " "value =" https://images-cn.ssl-images-amazon.com/images/I/71rQJIEifuS.mp4 "class =" video-url "&gt; &lt;input type =" hidden "name =" "value =" https://images-cn.ssl-images-amazon.com/images/I/710MpGoLSLS.png "class =" video-slate-img-url "&gt; &amp; nbsp; two days later than the expected time of delivery, not influences. Table cute! There backlight! Out!</v>
      </c>
    </row>
    <row r="16573">
      <c r="A16573" s="1">
        <v>5.0</v>
      </c>
      <c r="B16573" s="1" t="s">
        <v>16374</v>
      </c>
      <c r="C16573" t="str">
        <f>IFERROR(__xludf.DUMMYFUNCTION("GOOGLETRANSLATE(B16573, ""zh"", ""en"")"),"Good very appropriate size is appropriate to wear thin thermal properties Zhejiang enough then cold place or buy a thick red wine is lining")</f>
        <v>Good very appropriate size is appropriate to wear thin thermal properties Zhejiang enough then cold place or buy a thick red wine is lining</v>
      </c>
    </row>
    <row r="16574">
      <c r="A16574" s="1">
        <v>5.0</v>
      </c>
      <c r="B16574" s="1" t="s">
        <v>16375</v>
      </c>
      <c r="C16574" t="str">
        <f>IFERROR(__xludf.DUMMYFUNCTION("GOOGLETRANSLATE(B16574, ""zh"", ""en"")"),"Suitable less than 160, usually wear pants 26-27, this buy 2short, ultra appropriate, lee pants compared with levi's, buttocks slightly enlarge a little more friendly to fat.")</f>
        <v>Suitable less than 160, usually wear pants 26-27, this buy 2short, ultra appropriate, lee pants compared with levi's, buttocks slightly enlarge a little more friendly to fat.</v>
      </c>
    </row>
    <row r="16575">
      <c r="A16575" s="1">
        <v>2.0</v>
      </c>
      <c r="B16575" s="1" t="s">
        <v>16376</v>
      </c>
      <c r="C16575" t="str">
        <f>IFERROR(__xludf.DUMMYFUNCTION("GOOGLETRANSLATE(B16575, ""zh"", ""en"")"),"I bought a very large number of code 4-4.5uk, and the results sent me is 39 yards shoes, this difference is too big now ......")</f>
        <v>I bought a very large number of code 4-4.5uk, and the results sent me is 39 yards shoes, this difference is too big now ......</v>
      </c>
    </row>
    <row r="16576">
      <c r="A16576" s="1">
        <v>3.0</v>
      </c>
      <c r="B16576" s="1" t="s">
        <v>16377</v>
      </c>
      <c r="C16576" t="str">
        <f>IFERROR(__xludf.DUMMYFUNCTION("GOOGLETRANSLATE(B16576, ""zh"", ""en"")"),"Waistband waistband too loose too loose, can not wear")</f>
        <v>Waistband waistband too loose too loose, can not wear</v>
      </c>
    </row>
    <row r="16577">
      <c r="A16577" s="1">
        <v>3.0</v>
      </c>
      <c r="B16577" s="1" t="s">
        <v>16378</v>
      </c>
      <c r="C16577" t="str">
        <f>IFERROR(__xludf.DUMMYFUNCTION("GOOGLETRANSLATE(B16577, ""zh"", ""en"")"),"Large high odor 178, No. 160 kg m a little small, but long sleeves. Version not as good as other brands reasonable, smell great, personally I do not like it.")</f>
        <v>Large high odor 178, No. 160 kg m a little small, but long sleeves. Version not as good as other brands reasonable, smell great, personally I do not like it.</v>
      </c>
    </row>
    <row r="16578">
      <c r="A16578" s="1">
        <v>3.0</v>
      </c>
      <c r="B16578" s="1" t="s">
        <v>16379</v>
      </c>
      <c r="C16578" t="str">
        <f>IFERROR(__xludf.DUMMYFUNCTION("GOOGLETRANSLATE(B16578, ""zh"", ""en"")"),"I do not like too few product images, see the strap details, get our hands on, which is really too thin strap, threatening to go buy another rhythm strap. Paper thin! ! ! I am relatively thin wrist, wrist circumference of 14.5 cm, November 7 receives the "&amp;"table, put on to go, tail strap extra long old, nowhere to place youth ah good, hope to bring more love a table fixing ring activities, but did not. Want to buy a watch shop fixing ring, but they do not sell. Then I wanted to cut myself some strap, hesita"&amp;"ted for a moment and give up. This is a drawback because the strap, I ordered a return. This is my first overseas purchase, returns a little trouble, first retreated to the United States, and so after the identification and then determine the amount of th"&amp;"e refund. . . But, I do not retreat. . . Because I was thinking about the extra strap part fixed to the inside of the strap loop and fold. . . I suddenly felt this way may seem like a thin strap ,, it became an instant advantage. . . (See attached picture"&amp;" of this baby), but,, so, raised high on the wrist strap. . . Then: second sound bigger, I put half a meter bed, sometimes felt a lot of second hand sound, sleep, and sometimes it felt to hear the second hand sound, a bit magical. Indeed the scale of seco"&amp;"nds allowed above the dial. But this I do not mind, I just need to precise points on the line. Wearing seven days, and now for a second faster than Beijing. No more big problem. So, I do not want to return, and negative feedback to the original 1 star, no"&amp;"w renamed to comment 3 stars. So be it. . . Blame blame his wrist fine ,,, and ,,, Yanzhuo.")</f>
        <v>I do not like too few product images, see the strap details, get our hands on, which is really too thin strap, threatening to go buy another rhythm strap. Paper thin! ! ! I am relatively thin wrist, wrist circumference of 14.5 cm, November 7 receives the table, put on to go, tail strap extra long old, nowhere to place youth ah good, hope to bring more love a table fixing ring activities, but did not. Want to buy a watch shop fixing ring, but they do not sell. Then I wanted to cut myself some strap, hesitated for a moment and give up. This is a drawback because the strap, I ordered a return. This is my first overseas purchase, returns a little trouble, first retreated to the United States, and so after the identification and then determine the amount of the refund. . . But, I do not retreat. . . Because I was thinking about the extra strap part fixed to the inside of the strap loop and fold. . . I suddenly felt this way may seem like a thin strap ,, it became an instant advantage. . . (See attached picture of this baby), but,, so, raised high on the wrist strap. . . Then: second sound bigger, I put half a meter bed, sometimes felt a lot of second hand sound, sleep, and sometimes it felt to hear the second hand sound, a bit magical. Indeed the scale of seconds allowed above the dial. But this I do not mind, I just need to precise points on the line. Wearing seven days, and now for a second faster than Beijing. No more big problem. So, I do not want to return, and negative feedback to the original 1 star, now renamed to comment 3 stars. So be it. . . Blame blame his wrist fine ,,, and ,,, Yanzhuo.</v>
      </c>
    </row>
    <row r="16579">
      <c r="A16579" s="1">
        <v>1.0</v>
      </c>
      <c r="B16579" s="1" t="s">
        <v>16380</v>
      </c>
      <c r="C16579" t="str">
        <f>IFERROR(__xludf.DUMMYFUNCTION("GOOGLETRANSLATE(B16579, ""zh"", ""en"")"),"Wrong color pants pants good, but I bought the black, send me gray. Speechless.")</f>
        <v>Wrong color pants pants good, but I bought the black, send me gray. Speechless.</v>
      </c>
    </row>
    <row r="16580">
      <c r="A16580" s="1">
        <v>1.0</v>
      </c>
      <c r="B16580" s="1" t="s">
        <v>16381</v>
      </c>
      <c r="C16580" t="str">
        <f>IFERROR(__xludf.DUMMYFUNCTION("GOOGLETRANSLATE(B16580, ""zh"", ""en"")"),"Very bad quality of the clothes is very bad, bad fabrics and workmanship is extremely poor, and almost the same clothes stall.")</f>
        <v>Very bad quality of the clothes is very bad, bad fabrics and workmanship is extremely poor, and almost the same clothes stall.</v>
      </c>
    </row>
    <row r="16581">
      <c r="A16581" s="1">
        <v>4.0</v>
      </c>
      <c r="B16581" s="1" t="s">
        <v>16382</v>
      </c>
      <c r="C16581" t="str">
        <f>IFERROR(__xludf.DUMMYFUNCTION("GOOGLETRANSLATE(B16581, ""zh"", ""en"")"),"Atsugi Atsugi socks socks not very comfortable to wear elastic waist Hao is the seam at the toe will make it toe stepped on the foot pain is certainly not made in Japan Japan has no velvet socks and local friction from the ball too expensive relative to t"&amp;"he in terms of quality")</f>
        <v>Atsugi Atsugi socks socks not very comfortable to wear elastic waist Hao is the seam at the toe will make it toe stepped on the foot pain is certainly not made in Japan Japan has no velvet socks and local friction from the ball too expensive relative to the in terms of quality</v>
      </c>
    </row>
    <row r="16582">
      <c r="A16582" s="1">
        <v>4.0</v>
      </c>
      <c r="B16582" s="1" t="s">
        <v>16383</v>
      </c>
      <c r="C16582" t="str">
        <f>IFERROR(__xludf.DUMMYFUNCTION("GOOGLETRANSLATE(B16582, ""zh"", ""en"")"),"The clock is very clear, very comfortable workmanship express soon, five days arrival. Clock very clear, work is very comfortable. Completely silent. It is suitable for work and study.")</f>
        <v>The clock is very clear, very comfortable workmanship express soon, five days arrival. Clock very clear, work is very comfortable. Completely silent. It is suitable for work and study.</v>
      </c>
    </row>
    <row r="16583">
      <c r="A16583" s="1">
        <v>4.0</v>
      </c>
      <c r="B16583" s="1" t="s">
        <v>16384</v>
      </c>
      <c r="C16583" t="str">
        <f>IFERROR(__xludf.DUMMYFUNCTION("GOOGLETRANSLATE(B16583, ""zh"", ""en"")"),"Colors and pictures are not the same picture is dark green, but the hand is a silver, but silver is the same as 8300 and the pictures do not understand so little")</f>
        <v>Colors and pictures are not the same picture is dark green, but the hand is a silver, but silver is the same as 8300 and the pictures do not understand so little</v>
      </c>
    </row>
    <row r="16584">
      <c r="A16584" s="1">
        <v>4.0</v>
      </c>
      <c r="B16584" s="1" t="s">
        <v>16385</v>
      </c>
      <c r="C16584" t="str">
        <f>IFERROR(__xludf.DUMMYFUNCTION("GOOGLETRANSLATE(B16584, ""zh"", ""en"")"),"It was exquisite fine")</f>
        <v>It was exquisite fine</v>
      </c>
    </row>
    <row r="16585">
      <c r="A16585" s="1">
        <v>5.0</v>
      </c>
      <c r="B16585" s="1" t="s">
        <v>16386</v>
      </c>
      <c r="C16585" t="str">
        <f>IFERROR(__xludf.DUMMYFUNCTION("GOOGLETRANSLATE(B16585, ""zh"", ""en"")"),"Good 2500w power grid forced the high intensity services, though after several orders of ups and downs, but eventually at hand, the size of the store did not see this, it is worth buying")</f>
        <v>Good 2500w power grid forced the high intensity services, though after several orders of ups and downs, but eventually at hand, the size of the store did not see this, it is worth buying</v>
      </c>
    </row>
    <row r="16586">
      <c r="A16586" s="1">
        <v>5.0</v>
      </c>
      <c r="B16586" s="1" t="s">
        <v>16387</v>
      </c>
      <c r="C16586" t="str">
        <f>IFERROR(__xludf.DUMMYFUNCTION("GOOGLETRANSLATE(B16586, ""zh"", ""en"")"),"Nichia good packaging cushion is among the four countries overseas to buy the best. The store bought goods, to wait for the birth of a baby a month to use, expect results. Size Figure. Why app can only upload a picture?")</f>
        <v>Nichia good packaging cushion is among the four countries overseas to buy the best. The store bought goods, to wait for the birth of a baby a month to use, expect results. Size Figure. Why app can only upload a picture?</v>
      </c>
    </row>
    <row r="16587">
      <c r="A16587" s="1">
        <v>5.0</v>
      </c>
      <c r="B16587" s="1" t="s">
        <v>16388</v>
      </c>
      <c r="C16587" t="str">
        <f>IFERROR(__xludf.DUMMYFUNCTION("GOOGLETRANSLATE(B16587, ""zh"", ""en"")"),"Good work, little taste, good workmanship is very good, the taste is not heavy")</f>
        <v>Good work, little taste, good workmanship is very good, the taste is not heavy</v>
      </c>
    </row>
    <row r="16588">
      <c r="A16588" s="1">
        <v>5.0</v>
      </c>
      <c r="B16588" s="1" t="s">
        <v>16389</v>
      </c>
      <c r="C16588" t="str">
        <f>IFERROR(__xludf.DUMMYFUNCTION("GOOGLETRANSLATE(B16588, ""zh"", ""en"")"),"Very pleasant long grass Pens, first bought this, according to Yan value and budget, prepared to receive a bird m1000 later, Long 149, Ling Meidi country. Kind to Tokyo Ginza Itoya seen, very pretty. The price of domestic counter over there and almost aro"&amp;"und 6k. Amazon is a bit self-2k buy feel earned. Handheld just seems Standard Edition for men to hand type. F sharp relatively turbulent water. Pelikan 4001 and tried to write music very black, very black water fast, or Pelikan 4001 is more appropriate. U"&amp;"nder the effect of the ink bag comes back again. If Pelikan 4001 and about the same or better, will use the ink sac, after all, easy to clean. And large 21kMF tip pen to write music, to write more smooth, but it's hard to say which is better, to write mus"&amp;"ic paper hanging feel pretty good actually. Sharaku large price than doubled, hand feel a lot better (too short to write music, to write with a pen cap must), look after blasting write music, writing feeling is different. Do not buy not happy, continue to"&amp;" buy buy.")</f>
        <v>Very pleasant long grass Pens, first bought this, according to Yan value and budget, prepared to receive a bird m1000 later, Long 149, Ling Meidi country. Kind to Tokyo Ginza Itoya seen, very pretty. The price of domestic counter over there and almost around 6k. Amazon is a bit self-2k buy feel earned. Handheld just seems Standard Edition for men to hand type. F sharp relatively turbulent water. Pelikan 4001 and tried to write music very black, very black water fast, or Pelikan 4001 is more appropriate. Under the effect of the ink bag comes back again. If Pelikan 4001 and about the same or better, will use the ink sac, after all, easy to clean. And large 21kMF tip pen to write music, to write more smooth, but it's hard to say which is better, to write music paper hanging feel pretty good actually. Sharaku large price than doubled, hand feel a lot better (too short to write music, to write with a pen cap must), look after blasting write music, writing feeling is different. Do not buy not happy, continue to buy buy.</v>
      </c>
    </row>
    <row r="16589">
      <c r="A16589" s="1">
        <v>5.0</v>
      </c>
      <c r="B16589" s="1" t="s">
        <v>16390</v>
      </c>
      <c r="C16589" t="str">
        <f>IFERROR(__xludf.DUMMYFUNCTION("GOOGLETRANSLATE(B16589, ""zh"", ""en"")"),"bi trying to be difficult courier slow, simple packaging, it does not matter pen trying to be difficult. Very nice, very smooth, the previous position does not hold a pen, a little difficult")</f>
        <v>bi trying to be difficult courier slow, simple packaging, it does not matter pen trying to be difficult. Very nice, very smooth, the previous position does not hold a pen, a little difficult</v>
      </c>
    </row>
    <row r="16590">
      <c r="A16590" s="1">
        <v>5.0</v>
      </c>
      <c r="B16590" s="1" t="s">
        <v>16391</v>
      </c>
      <c r="C16590" t="str">
        <f>IFERROR(__xludf.DUMMYFUNCTION("GOOGLETRANSLATE(B16590, ""zh"", ""en"")"),"Buy positive yards on it, do not hesitate. Buy 7.5W, I usually wear a 39 or 40. Female. Then, probably because fat, 160,57kg. 7.5 wear a little bit of the top foot, certainly not comfortable with 40, if the winter wear thick socks or cushion insole on out"&amp;"grown.")</f>
        <v>Buy positive yards on it, do not hesitate. Buy 7.5W, I usually wear a 39 or 40. Female. Then, probably because fat, 160,57kg. 7.5 wear a little bit of the top foot, certainly not comfortable with 40, if the winter wear thick socks or cushion insole on outgrown.</v>
      </c>
    </row>
    <row r="16591">
      <c r="A16591" s="1">
        <v>5.0</v>
      </c>
      <c r="B16591" s="1" t="s">
        <v>16392</v>
      </c>
      <c r="C16591" t="str">
        <f>IFERROR(__xludf.DUMMYFUNCTION("GOOGLETRANSLATE(B16591, ""zh"", ""en"")"),"Very good cost-effective, 5 points praise.")</f>
        <v>Very good cost-effective, 5 points praise.</v>
      </c>
    </row>
    <row r="16592">
      <c r="A16592" s="1">
        <v>5.0</v>
      </c>
      <c r="B16592" s="1" t="s">
        <v>16393</v>
      </c>
      <c r="C16592" t="str">
        <f>IFERROR(__xludf.DUMMYFUNCTION("GOOGLETRANSLATE(B16592, ""zh"", ""en"")"),"Good goods good, taste is not cost-effective, quality possible")</f>
        <v>Good goods good, taste is not cost-effective, quality possible</v>
      </c>
    </row>
    <row r="16593">
      <c r="A16593" s="1">
        <v>5.0</v>
      </c>
      <c r="B16593" s="1" t="s">
        <v>16394</v>
      </c>
      <c r="C16593" t="str">
        <f>IFERROR(__xludf.DUMMYFUNCTION("GOOGLETRANSLATE(B16593, ""zh"", ""en"")"),"Yes 178 cm, 90KG, wear L code, just not thick imagination, however, long sleeves")</f>
        <v>Yes 178 cm, 90KG, wear L code, just not thick imagination, however, long sleeves</v>
      </c>
    </row>
    <row r="16594">
      <c r="A16594" s="1">
        <v>5.0</v>
      </c>
      <c r="B16594" s="1" t="s">
        <v>16395</v>
      </c>
      <c r="C16594" t="str">
        <f>IFERROR(__xludf.DUMMYFUNCTION("GOOGLETRANSLATE(B16594, ""zh"", ""en"")"),"On foot it is like to wear very beautiful, the quality of it, the brand, needless to say. Usually wear 39 yards, to buy 39.5 yards, the overall size of the appropriate length a little longer, but low instep shoes in Europe and America, I have high instep,"&amp;" instep a little pressure, but can tolerate.")</f>
        <v>On foot it is like to wear very beautiful, the quality of it, the brand, needless to say. Usually wear 39 yards, to buy 39.5 yards, the overall size of the appropriate length a little longer, but low instep shoes in Europe and America, I have high instep, instep a little pressure, but can tolerate.</v>
      </c>
    </row>
    <row r="16595">
      <c r="A16595" s="1">
        <v>5.0</v>
      </c>
      <c r="B16595" s="1" t="s">
        <v>16396</v>
      </c>
      <c r="C16595" t="str">
        <f>IFERROR(__xludf.DUMMYFUNCTION("GOOGLETRANSLATE(B16595, ""zh"", ""en"")"),"I liked the user Hangzhou, the first time in the Amazon shopping website, this pair of speakers from a single receipt to only seven hours, very fast, feel good. I am very fond of Western classical music and contemporary pop music, speakers boot after rece"&amp;"iving effect is very general, after playing five hours greatly improved sound, speakers obvious negative adjustment key control, now sound treble, bass, level, are very satisfied with clarity ! Really buy the right, give me the leisure life provides extre"&amp;"mely happy!")</f>
        <v>I liked the user Hangzhou, the first time in the Amazon shopping website, this pair of speakers from a single receipt to only seven hours, very fast, feel good. I am very fond of Western classical music and contemporary pop music, speakers boot after receiving effect is very general, after playing five hours greatly improved sound, speakers obvious negative adjustment key control, now sound treble, bass, level, are very satisfied with clarity ! Really buy the right, give me the leisure life provides extremely happy!</v>
      </c>
    </row>
    <row r="16596">
      <c r="A16596" s="1">
        <v>5.0</v>
      </c>
      <c r="B16596" s="1" t="s">
        <v>16397</v>
      </c>
      <c r="C16596" t="str">
        <f>IFERROR(__xludf.DUMMYFUNCTION("GOOGLETRANSLATE(B16596, ""zh"", ""en"")"),"Very suitable for the first time to buy ck price so close to the people, something very good, my height 162.5, 49.9 weight wear this size is very appropriate. Amazon have been scouring the good things, support the Amazon")</f>
        <v>Very suitable for the first time to buy ck price so close to the people, something very good, my height 162.5, 49.9 weight wear this size is very appropriate. Amazon have been scouring the good things, support the Amazon</v>
      </c>
    </row>
    <row r="16597">
      <c r="A16597" s="1">
        <v>5.0</v>
      </c>
      <c r="B16597" s="1" t="s">
        <v>16398</v>
      </c>
      <c r="C16597" t="str">
        <f>IFERROR(__xludf.DUMMYFUNCTION("GOOGLETRANSLATE(B16597, ""zh"", ""en"")"),"High price is very cost-effective, genuine, cost-effective than the official website to buy, easy to use.")</f>
        <v>High price is very cost-effective, genuine, cost-effective than the official website to buy, easy to use.</v>
      </c>
    </row>
    <row r="16598">
      <c r="A16598" s="1">
        <v>5.0</v>
      </c>
      <c r="B16598" s="1" t="s">
        <v>16399</v>
      </c>
      <c r="C16598" t="str">
        <f>IFERROR(__xludf.DUMMYFUNCTION("GOOGLETRANSLATE(B16598, ""zh"", ""en"")"),"Very good 👍🏼 Thank the motherland, thanks worth buying, so I grabbed a precious baby, thank you very much")</f>
        <v>Very good 👍🏼 Thank the motherland, thanks worth buying, so I grabbed a precious baby, thank you very much</v>
      </c>
    </row>
    <row r="16599">
      <c r="A16599" s="1">
        <v>5.0</v>
      </c>
      <c r="B16599" s="1" t="s">
        <v>16400</v>
      </c>
      <c r="C16599" t="str">
        <f>IFERROR(__xludf.DUMMYFUNCTION("GOOGLETRANSLATE(B16599, ""zh"", ""en"")"),"3232 suitable, 178 cm, 170 pounds, right! Pants trademark does not do high-end home! Material is also good")</f>
        <v>3232 suitable, 178 cm, 170 pounds, right! Pants trademark does not do high-end home! Material is also good</v>
      </c>
    </row>
    <row r="16600">
      <c r="A16600" s="1">
        <v>5.0</v>
      </c>
      <c r="B16600" s="1" t="s">
        <v>16401</v>
      </c>
      <c r="C16600" t="str">
        <f>IFERROR(__xludf.DUMMYFUNCTION("GOOGLETRANSLATE(B16600, ""zh"", ""en"")"),"Like the real feel of the bottle, there is no smell. Looking forward to the baby to use, for the first time in the United States and Asia to buy, the price is not only affordable, it is important to assure the quality, praise than some domestic purchasing"&amp;". Ready to purchase 150ml.")</f>
        <v>Like the real feel of the bottle, there is no smell. Looking forward to the baby to use, for the first time in the United States and Asia to buy, the price is not only affordable, it is important to assure the quality, praise than some domestic purchasing. Ready to purchase 150ml.</v>
      </c>
    </row>
    <row r="16601">
      <c r="A16601" s="1">
        <v>5.0</v>
      </c>
      <c r="B16601" s="1" t="s">
        <v>16402</v>
      </c>
      <c r="C16601" t="str">
        <f>IFERROR(__xludf.DUMMYFUNCTION("GOOGLETRANSLATE(B16601, ""zh"", ""en"")"),"Headphone treble sound good just getting a little assassination, (usually the headphone treble with the assassination of open burning has a surprise), voice remote, direct push worse, excellent bass, fat and not greasy. Watching movies layered.")</f>
        <v>Headphone treble sound good just getting a little assassination, (usually the headphone treble with the assassination of open burning has a surprise), voice remote, direct push worse, excellent bass, fat and not greasy. Watching movies layered.</v>
      </c>
    </row>
    <row r="16602">
      <c r="A16602" s="1">
        <v>5.0</v>
      </c>
      <c r="B16602" s="1" t="s">
        <v>16403</v>
      </c>
      <c r="C16602" t="str">
        <f>IFERROR(__xludf.DUMMYFUNCTION("GOOGLETRANSLATE(B16602, ""zh"", ""en"")"),"Support Amazon purchased overseas sister was like, cool. The price is right.")</f>
        <v>Support Amazon purchased overseas sister was like, cool. The price is right.</v>
      </c>
    </row>
    <row r="16603">
      <c r="A16603" s="1">
        <v>5.0</v>
      </c>
      <c r="B16603" s="1" t="s">
        <v>16404</v>
      </c>
      <c r="C16603" t="str">
        <f>IFERROR(__xludf.DUMMYFUNCTION("GOOGLETRANSLATE(B16603, ""zh"", ""en"")"),"Decoration store goods, very good! Yet to use, store goods decoration. Hansgrohe but something really great texture!")</f>
        <v>Decoration store goods, very good! Yet to use, store goods decoration. Hansgrohe but something really great texture!</v>
      </c>
    </row>
    <row r="16604">
      <c r="A16604" s="1">
        <v>5.0</v>
      </c>
      <c r="B16604" s="1" t="s">
        <v>16405</v>
      </c>
      <c r="C16604" t="str">
        <f>IFERROR(__xludf.DUMMYFUNCTION("GOOGLETRANSLATE(B16604, ""zh"", ""en"")"),"Good hair dryer is more appropriate price to buy, this is suitable for home, the color is more appealing, the current situation still prefer to recommend the purchase.")</f>
        <v>Good hair dryer is more appropriate price to buy, this is suitable for home, the color is more appealing, the current situation still prefer to recommend the purchase.</v>
      </c>
    </row>
    <row r="16605">
      <c r="A16605" s="1">
        <v>5.0</v>
      </c>
      <c r="B16605" s="1" t="s">
        <v>16406</v>
      </c>
      <c r="C16605" t="str">
        <f>IFERROR(__xludf.DUMMYFUNCTION("GOOGLETRANSLATE(B16605, ""zh"", ""en"")"),"Headphones great headphones especially good stick push the price really no loss")</f>
        <v>Headphones great headphones especially good stick push the price really no loss</v>
      </c>
    </row>
    <row r="16606">
      <c r="A16606" s="1">
        <v>5.0</v>
      </c>
      <c r="B16606" s="1" t="s">
        <v>16407</v>
      </c>
      <c r="C16606" t="str">
        <f>IFERROR(__xludf.DUMMYFUNCTION("GOOGLETRANSLATE(B16606, ""zh"", ""en"")"),"Amazon is assured purchase goods at reasonable prices, genuine, good value for money. Merchant service attitude is good, fast delivery, trustworthy!")</f>
        <v>Amazon is assured purchase goods at reasonable prices, genuine, good value for money. Merchant service attitude is good, fast delivery, trustworthy!</v>
      </c>
    </row>
    <row r="16607">
      <c r="A16607" s="1">
        <v>2.0</v>
      </c>
      <c r="B16607" s="1" t="s">
        <v>16408</v>
      </c>
      <c r="C16607" t="str">
        <f>IFERROR(__xludf.DUMMYFUNCTION("GOOGLETRANSLATE(B16607, ""zh"", ""en"")"),"Prior to that recommended not to buy to buy cotton, elastic leg swing, it should be good, the results of the first to wear it to the bell-bottoms!")</f>
        <v>Prior to that recommended not to buy to buy cotton, elastic leg swing, it should be good, the results of the first to wear it to the bell-bottoms!</v>
      </c>
    </row>
    <row r="16608">
      <c r="A16608" s="1">
        <v>3.0</v>
      </c>
      <c r="B16608" s="1" t="s">
        <v>16409</v>
      </c>
      <c r="C16608" t="str">
        <f>IFERROR(__xludf.DUMMYFUNCTION("GOOGLETRANSLATE(B16608, ""zh"", ""en"")"),"Buy small buy small a number of comments, the results of a cup, totally can not wear, or hope that Amazon can number marked some details, do not let ourselves guessing. And return to their own return, too difficult for the customer")</f>
        <v>Buy small buy small a number of comments, the results of a cup, totally can not wear, or hope that Amazon can number marked some details, do not let ourselves guessing. And return to their own return, too difficult for the customer</v>
      </c>
    </row>
    <row r="16609">
      <c r="A16609" s="1">
        <v>3.0</v>
      </c>
      <c r="B16609" s="1" t="s">
        <v>16410</v>
      </c>
      <c r="C16609" t="str">
        <f>IFERROR(__xludf.DUMMYFUNCTION("GOOGLETRANSLATE(B16609, ""zh"", ""en"")"),"European and American standards pants too")</f>
        <v>European and American standards pants too</v>
      </c>
    </row>
    <row r="16610">
      <c r="A16610" s="1">
        <v>1.0</v>
      </c>
      <c r="B16610" s="1" t="s">
        <v>16411</v>
      </c>
      <c r="C16610" t="str">
        <f>IFERROR(__xludf.DUMMYFUNCTION("GOOGLETRANSLATE(B16610, ""zh"", ""en"")"),"Often without water, we can not endure. Replacement can do? &lt;Div id = ""video-block-R2MSCGDGMYV4BI"" class = ""a-section a-spacing-small a-spacing-top-mini video-block""&gt; &lt;/ div&gt; &lt;input type = ""hidden"" name = """" value = ""https://images-cn.ssl-images-"&amp;"amazon.com/images/I/91qLMAtkDpS.mp4"" class = ""video-url""&gt; &lt;input type = ""hidden"" name = """" value = ""https: //images-cn.ssl-images-amazon.com/images/I/81bl5UyqsMS.png ""class ="" video-slate-img-url ""&gt; &amp; nbsp; disappointment, often without water. "&amp;"The first line written on the video finishing touches my word without water, pen video first snow began to cross that also without water. Ling also bought a beautiful stars, are F nib, fluency and smoothness, Ling Meiming significantly stronger than Schne"&amp;"ider.")</f>
        <v>Often without water, we can not endure. Replacement can do? &lt;Div id = "video-block-R2MSCGDGMYV4BI" class = "a-section a-spacing-small a-spacing-top-mini video-block"&gt; &lt;/ div&gt; &lt;input type = "hidden" name = "" value = "https://images-cn.ssl-images-amazon.com/images/I/91qLMAtkDpS.mp4" class = "video-url"&gt; &lt;input type = "hidden" name = "" value = "https: //images-cn.ssl-images-amazon.com/images/I/81bl5UyqsMS.png "class =" video-slate-img-url "&gt; &amp; nbsp; disappointment, often without water. The first line written on the video finishing touches my word without water, pen video first snow began to cross that also without water. Ling also bought a beautiful stars, are F nib, fluency and smoothness, Ling Meiming significantly stronger than Schneider.</v>
      </c>
    </row>
    <row r="16611">
      <c r="A16611" s="1">
        <v>1.0</v>
      </c>
      <c r="B16611" s="1" t="s">
        <v>16412</v>
      </c>
      <c r="C16611" t="str">
        <f>IFERROR(__xludf.DUMMYFUNCTION("GOOGLETRANSLATE(B16611, ""zh"", ""en"")"),"The machine was disappointed &lt;div id = ""video-block-R1RZC4AJ5301V7"" class = ""a-section a-spacing-small a-spacing-top-mini video-block""&gt; &lt;/ div&gt; &lt;input type = ""hidden"" name = """" value = ""https://images-cn.ssl-images-amazon.com/images/I/91Tv96TT-MS"&amp;".mp4"" class = ""video-url""&gt; &lt;input type = ""hidden"" name = "" ""value ="" https://images-cn.ssl-images-amazon.com/images/I/91NFMtIGcRS.png ""class ="" video-slate-img-url ""&gt; &amp; nbsp; very disappointed. Such streaking thing is over, a box of goods only,"&amp;" did not set a cardboard boxes about her. Fortunately, more fortunate, did not cause illness, the machine base is the edge of the pit a small point. Tried to fight egg white, sounds great! Minimum speed feel loudly. Operations also continue to have the ta"&amp;"ste of burning out, I do not know the problem is not a new machine, we are now worried that if there is a problem, not any domestic warranty, is a variety of regret. Operation of the machine during the machine will be out of powder, stir the pot will not,"&amp;" big sound")</f>
        <v>The machine was disappointed &lt;div id = "video-block-R1RZC4AJ5301V7" class = "a-section a-spacing-small a-spacing-top-mini video-block"&gt; &lt;/ div&gt; &lt;input type = "hidden" name = "" value = "https://images-cn.ssl-images-amazon.com/images/I/91Tv96TT-MS.mp4" class = "video-url"&gt; &lt;input type = "hidden" name = " "value =" https://images-cn.ssl-images-amazon.com/images/I/91NFMtIGcRS.png "class =" video-slate-img-url "&gt; &amp; nbsp; very disappointed. Such streaking thing is over, a box of goods only, did not set a cardboard boxes about her. Fortunately, more fortunate, did not cause illness, the machine base is the edge of the pit a small point. Tried to fight egg white, sounds great! Minimum speed feel loudly. Operations also continue to have the taste of burning out, I do not know the problem is not a new machine, we are now worried that if there is a problem, not any domestic warranty, is a variety of regret. Operation of the machine during the machine will be out of powder, stir the pot will not, big sound</v>
      </c>
    </row>
    <row r="16612">
      <c r="A16612" s="1">
        <v>1.0</v>
      </c>
      <c r="B16612" s="1" t="s">
        <v>16413</v>
      </c>
      <c r="C16612" t="str">
        <f>IFERROR(__xludf.DUMMYFUNCTION("GOOGLETRANSLATE(B16612, ""zh"", ""en"")"),"Not recommended to buy! Less than a year to buy the bad, purchase overseas products, there is no invoice, lead is still in the warranty period of the product, not the warranty! Really it is very inconvenient!")</f>
        <v>Not recommended to buy! Less than a year to buy the bad, purchase overseas products, there is no invoice, lead is still in the warranty period of the product, not the warranty! Really it is very inconvenient!</v>
      </c>
    </row>
    <row r="16613">
      <c r="A16613" s="1">
        <v>4.0</v>
      </c>
      <c r="B16613" s="1" t="s">
        <v>16414</v>
      </c>
      <c r="C16613" t="str">
        <f>IFERROR(__xludf.DUMMYFUNCTION("GOOGLETRANSLATE(B16613, ""zh"", ""en"")"),"Ordinary sensory cortex bad workmanship is also a problem")</f>
        <v>Ordinary sensory cortex bad workmanship is also a problem</v>
      </c>
    </row>
    <row r="16614">
      <c r="A16614" s="1">
        <v>4.0</v>
      </c>
      <c r="B16614" s="1" t="s">
        <v>16415</v>
      </c>
      <c r="C16614" t="str">
        <f>IFERROR(__xludf.DUMMYFUNCTION("GOOGLETRANSLATE(B16614, ""zh"", ""en"")"),"It is strongly recommended to be smaller than the domestic one yard domestic 170cm 85kg wear 38 36 wear these pants do not like me enough enough to buy a 3830 result waist big circle")</f>
        <v>It is strongly recommended to be smaller than the domestic one yard domestic 170cm 85kg wear 38 36 wear these pants do not like me enough enough to buy a 3830 result waist big circle</v>
      </c>
    </row>
    <row r="16615">
      <c r="A16615" s="1">
        <v>4.0</v>
      </c>
      <c r="B16615" s="1" t="s">
        <v>16416</v>
      </c>
      <c r="C16615" t="str">
        <f>IFERROR(__xludf.DUMMYFUNCTION("GOOGLETRANSLATE(B16615, ""zh"", ""en"")"),"Just good just good, but the sweater is more comfortable to wear loose")</f>
        <v>Just good just good, but the sweater is more comfortable to wear loose</v>
      </c>
    </row>
    <row r="16616">
      <c r="A16616" s="1">
        <v>4.0</v>
      </c>
      <c r="B16616" s="1" t="s">
        <v>16417</v>
      </c>
      <c r="C16616" t="str">
        <f>IFERROR(__xludf.DUMMYFUNCTION("GOOGLETRANSLATE(B16616, ""zh"", ""en"")"),"Quasi-acoustic speaker box at the second received Yuandu ocean intact, when the purchase price is very affordable today, listen a bit, tri-band equalization, power cord with no change first wife, then a five-meter-long XLR cable may there are high-frequen"&amp;"cy loss, are not connected and electromagnetic hum sound, large variety of brand performance controls are in place when no signal phone and computer, better than the hands of high school bass several speakers, I do not like bass speakers this speaker is t"&amp;"he pursuit of flavor gospel's limited financial resources.")</f>
        <v>Quasi-acoustic speaker box at the second received Yuandu ocean intact, when the purchase price is very affordable today, listen a bit, tri-band equalization, power cord with no change first wife, then a five-meter-long XLR cable may there are high-frequency loss, are not connected and electromagnetic hum sound, large variety of brand performance controls are in place when no signal phone and computer, better than the hands of high school bass several speakers, I do not like bass speakers this speaker is the pursuit of flavor gospel's limited financial resources.</v>
      </c>
    </row>
    <row r="16617">
      <c r="A16617" s="1">
        <v>4.0</v>
      </c>
      <c r="B16617" s="1" t="s">
        <v>16418</v>
      </c>
      <c r="C16617" t="str">
        <f>IFERROR(__xludf.DUMMYFUNCTION("GOOGLETRANSLATE(B16617, ""zh"", ""en"")"),"Also good shoes, color and pictures not quite right, but does not affect wear")</f>
        <v>Also good shoes, color and pictures not quite right, but does not affect wear</v>
      </c>
    </row>
    <row r="16618">
      <c r="A16618" s="1">
        <v>5.0</v>
      </c>
      <c r="B16618" s="1" t="s">
        <v>16419</v>
      </c>
      <c r="C16618" t="str">
        <f>IFERROR(__xludf.DUMMYFUNCTION("GOOGLETRANSLATE(B16618, ""zh"", ""en"")"),"Atmospheric large dial, very atmospheric")</f>
        <v>Atmospheric large dial, very atmospheric</v>
      </c>
    </row>
    <row r="16619">
      <c r="A16619" s="1">
        <v>5.0</v>
      </c>
      <c r="B16619" s="1" t="s">
        <v>16420</v>
      </c>
      <c r="C16619" t="str">
        <f>IFERROR(__xludf.DUMMYFUNCTION("GOOGLETRANSLATE(B16619, ""zh"", ""en"")"),"10 days of arrival table is very beautiful, the second hand does not tick, luminous beautiful. And instructions within the free warranty card, receipt box slightly damaged.")</f>
        <v>10 days of arrival table is very beautiful, the second hand does not tick, luminous beautiful. And instructions within the free warranty card, receipt box slightly damaged.</v>
      </c>
    </row>
    <row r="16620">
      <c r="A16620" s="1">
        <v>5.0</v>
      </c>
      <c r="B16620" s="1" t="s">
        <v>16421</v>
      </c>
      <c r="C16620" t="str">
        <f>IFERROR(__xludf.DUMMYFUNCTION("GOOGLETRANSLATE(B16620, ""zh"", ""en"")"),"Overall, not bad color does not match with the picture, darker kind, in general, pretty good, praise")</f>
        <v>Overall, not bad color does not match with the picture, darker kind, in general, pretty good, praise</v>
      </c>
    </row>
    <row r="16621">
      <c r="A16621" s="1">
        <v>5.0</v>
      </c>
      <c r="B16621" s="1" t="s">
        <v>16422</v>
      </c>
      <c r="C16621" t="str">
        <f>IFERROR(__xludf.DUMMYFUNCTION("GOOGLETRANSLATE(B16621, ""zh"", ""en"")"),"Good quality is also good. I am more fat is right for me")</f>
        <v>Good quality is also good. I am more fat is right for me</v>
      </c>
    </row>
    <row r="16622">
      <c r="A16622" s="1">
        <v>5.0</v>
      </c>
      <c r="B16622" s="1" t="s">
        <v>16423</v>
      </c>
      <c r="C16622" t="str">
        <f>IFERROR(__xludf.DUMMYFUNCTION("GOOGLETRANSLATE(B16622, ""zh"", ""en"")"),"Good toothbrush good to his family bought several good transport only special discount is also good time not long")</f>
        <v>Good toothbrush good to his family bought several good transport only special discount is also good time not long</v>
      </c>
    </row>
    <row r="16623">
      <c r="A16623" s="1">
        <v>5.0</v>
      </c>
      <c r="B16623" s="1" t="s">
        <v>16424</v>
      </c>
      <c r="C16623" t="str">
        <f>IFERROR(__xludf.DUMMYFUNCTION("GOOGLETRANSLATE(B16623, ""zh"", ""en"")"),"Good clothes feel very good, ll standards body can, I need thinner")</f>
        <v>Good clothes feel very good, ll standards body can, I need thinner</v>
      </c>
    </row>
    <row r="16624">
      <c r="A16624" s="1">
        <v>5.0</v>
      </c>
      <c r="B16624" s="1" t="s">
        <v>16425</v>
      </c>
      <c r="C16624" t="str">
        <f>IFERROR(__xludf.DUMMYFUNCTION("GOOGLETRANSLATE(B16624, ""zh"", ""en"")"),"Good work in general it. The key to cost-effective it.")</f>
        <v>Good work in general it. The key to cost-effective it.</v>
      </c>
    </row>
    <row r="16625">
      <c r="A16625" s="1">
        <v>5.0</v>
      </c>
      <c r="B16625" s="1" t="s">
        <v>16426</v>
      </c>
      <c r="C16625" t="str">
        <f>IFERROR(__xludf.DUMMYFUNCTION("GOOGLETRANSLATE(B16625, ""zh"", ""en"")"),"Really do no steam on the corner computer desk inside, close to the display, no steam function sincere thumbs up. Water level display is very intuitive, water lock feature is very useful.")</f>
        <v>Really do no steam on the corner computer desk inside, close to the display, no steam function sincere thumbs up. Water level display is very intuitive, water lock feature is very useful.</v>
      </c>
    </row>
    <row r="16626">
      <c r="A16626" s="1">
        <v>5.0</v>
      </c>
      <c r="B16626" s="1" t="s">
        <v>16427</v>
      </c>
      <c r="C16626" t="str">
        <f>IFERROR(__xludf.DUMMYFUNCTION("GOOGLETRANSLATE(B16626, ""zh"", ""en"")"),"Great friend for head circumference, head circumference suitable for work in general really great friends, since that first big enough, the result of adjusting the rear of the head spare finished great quality in general, really not as good as domestic pr"&amp;"oduction in Bangladesh. Fitness use, so be it!")</f>
        <v>Great friend for head circumference, head circumference suitable for work in general really great friends, since that first big enough, the result of adjusting the rear of the head spare finished great quality in general, really not as good as domestic production in Bangladesh. Fitness use, so be it!</v>
      </c>
    </row>
    <row r="16627">
      <c r="A16627" s="1">
        <v>5.0</v>
      </c>
      <c r="B16627" s="1" t="s">
        <v>16428</v>
      </c>
      <c r="C16627" t="str">
        <f>IFERROR(__xludf.DUMMYFUNCTION("GOOGLETRANSLATE(B16627, ""zh"", ""en"")"),"Gospel Gospel of fat fat paper paper, not fat enough careful Ha")</f>
        <v>Gospel Gospel of fat fat paper paper, not fat enough careful Ha</v>
      </c>
    </row>
    <row r="16628">
      <c r="A16628" s="1">
        <v>5.0</v>
      </c>
      <c r="B16628" s="1" t="s">
        <v>16429</v>
      </c>
      <c r="C16628" t="str">
        <f>IFERROR(__xludf.DUMMYFUNCTION("GOOGLETRANSLATE(B16628, ""zh"", ""en"")"),"Casio cool")</f>
        <v>Casio cool</v>
      </c>
    </row>
    <row r="16629">
      <c r="A16629" s="1">
        <v>5.0</v>
      </c>
      <c r="B16629" s="1" t="s">
        <v>12311</v>
      </c>
      <c r="C16629" t="str">
        <f>IFERROR(__xludf.DUMMYFUNCTION("GOOGLETRANSLATE(B16629, ""zh"", ""en"")"),"👍 good baby good, not with the hope that effective!")</f>
        <v>👍 good baby good, not with the hope that effective!</v>
      </c>
    </row>
    <row r="16630">
      <c r="A16630" s="1">
        <v>5.0</v>
      </c>
      <c r="B16630" s="1" t="s">
        <v>16430</v>
      </c>
      <c r="C16630" t="str">
        <f>IFERROR(__xludf.DUMMYFUNCTION("GOOGLETRANSLATE(B16630, ""zh"", ""en"")"),"Speed ​​quickly, the outlook is also good, bought not suffer.")</f>
        <v>Speed ​​quickly, the outlook is also good, bought not suffer.</v>
      </c>
    </row>
    <row r="16631">
      <c r="A16631" s="1">
        <v>5.0</v>
      </c>
      <c r="B16631" s="1" t="s">
        <v>16431</v>
      </c>
      <c r="C16631" t="str">
        <f>IFERROR(__xludf.DUMMYFUNCTION("GOOGLETRANSLATE(B16631, ""zh"", ""en"")"),"Breathable waterproof breathable waterproof, really good!")</f>
        <v>Breathable waterproof breathable waterproof, really good!</v>
      </c>
    </row>
    <row r="16632">
      <c r="A16632" s="1">
        <v>5.0</v>
      </c>
      <c r="B16632" s="1" t="s">
        <v>16432</v>
      </c>
      <c r="C16632" t="str">
        <f>IFERROR(__xludf.DUMMYFUNCTION("GOOGLETRANSLATE(B16632, ""zh"", ""en"")"),"Japan is much better to buy overseas than in the US, the packaging is very neat, elegant, unlike the United States to casually throw the box, you sent over, the cup is good, should start thinking like an adult mug insulation, almost thought to buy a fake "&amp;", in fact, later found to be safe, not insulation,")</f>
        <v>Japan is much better to buy overseas than in the US, the packaging is very neat, elegant, unlike the United States to casually throw the box, you sent over, the cup is good, should start thinking like an adult mug insulation, almost thought to buy a fake , in fact, later found to be safe, not insulation,</v>
      </c>
    </row>
    <row r="16633">
      <c r="A16633" s="1">
        <v>5.0</v>
      </c>
      <c r="B16633" s="1" t="s">
        <v>16433</v>
      </c>
      <c r="C16633" t="str">
        <f>IFERROR(__xludf.DUMMYFUNCTION("GOOGLETRANSLATE(B16633, ""zh"", ""en"")"),"Thermos second purchase, a friend gave optimistic about a friend with a very satisfied. Amazon packaging is very delicate")</f>
        <v>Thermos second purchase, a friend gave optimistic about a friend with a very satisfied. Amazon packaging is very delicate</v>
      </c>
    </row>
    <row r="16634">
      <c r="A16634" s="1">
        <v>5.0</v>
      </c>
      <c r="B16634" s="1" t="s">
        <v>16434</v>
      </c>
      <c r="C16634" t="str">
        <f>IFERROR(__xludf.DUMMYFUNCTION("GOOGLETRANSLATE(B16634, ""zh"", ""en"")"),"Well, as always, good is not easy deformation")</f>
        <v>Well, as always, good is not easy deformation</v>
      </c>
    </row>
    <row r="16635">
      <c r="A16635" s="1">
        <v>5.0</v>
      </c>
      <c r="B16635" s="1" t="s">
        <v>16435</v>
      </c>
      <c r="C16635" t="str">
        <f>IFERROR(__xludf.DUMMYFUNCTION("GOOGLETRANSLATE(B16635, ""zh"", ""en"")"),"Good to help people buy, said good feedback")</f>
        <v>Good to help people buy, said good feedback</v>
      </c>
    </row>
    <row r="16636">
      <c r="A16636" s="1">
        <v>5.0</v>
      </c>
      <c r="B16636" s="1" t="s">
        <v>16436</v>
      </c>
      <c r="C16636" t="str">
        <f>IFERROR(__xludf.DUMMYFUNCTION("GOOGLETRANSLATE(B16636, ""zh"", ""en"")"),"Powerful private cloud Guards. . . Private Cloud things concern for a long time, noon decided to buy 416PLAY, AIU something affordable, Prime also free shipping. This is the beginning of a completely did not understand how to use the goods studied less th"&amp;"an a month, simply save the data artifact, powerful, in addition to the price is perfect. . . . .")</f>
        <v>Powerful private cloud Guards. . . Private Cloud things concern for a long time, noon decided to buy 416PLAY, AIU something affordable, Prime also free shipping. This is the beginning of a completely did not understand how to use the goods studied less than a month, simply save the data artifact, powerful, in addition to the price is perfect. . . . .</v>
      </c>
    </row>
    <row r="16637">
      <c r="A16637" s="1">
        <v>5.0</v>
      </c>
      <c r="B16637" s="1" t="s">
        <v>16437</v>
      </c>
      <c r="C16637" t="str">
        <f>IFERROR(__xludf.DUMMYFUNCTION("GOOGLETRANSLATE(B16637, ""zh"", ""en"")"),"Good very good pen to write, write, but also can auto-rotate, you have your truth.")</f>
        <v>Good very good pen to write, write, but also can auto-rotate, you have your truth.</v>
      </c>
    </row>
    <row r="16638">
      <c r="A16638" s="1">
        <v>5.0</v>
      </c>
      <c r="B16638" s="1" t="s">
        <v>16438</v>
      </c>
      <c r="C16638" t="str">
        <f>IFERROR(__xludf.DUMMYFUNCTION("GOOGLETRANSLATE(B16638, ""zh"", ""en"")"),"The right size, fabric soft and delicate, it is worth buying! The right size, fabric soft and delicate, it is worth buying!")</f>
        <v>The right size, fabric soft and delicate, it is worth buying! The right size, fabric soft and delicate, it is worth buying!</v>
      </c>
    </row>
    <row r="16639">
      <c r="A16639" s="1">
        <v>5.0</v>
      </c>
      <c r="B16639" s="1" t="s">
        <v>16439</v>
      </c>
      <c r="C16639" t="str">
        <f>IFERROR(__xludf.DUMMYFUNCTION("GOOGLETRANSLATE(B16639, ""zh"", ""en"")"),"Has been in the Amazon to buy ECCO shoes, high cost has been in the Amazon to buy ECCO shoes, high cost")</f>
        <v>Has been in the Amazon to buy ECCO shoes, high cost has been in the Amazon to buy ECCO shoes, high cost</v>
      </c>
    </row>
    <row r="16640">
      <c r="A16640" s="1">
        <v>2.0</v>
      </c>
      <c r="B16640" s="1" t="s">
        <v>16440</v>
      </c>
      <c r="C16640" t="str">
        <f>IFERROR(__xludf.DUMMYFUNCTION("GOOGLETRANSLATE(B16640, ""zh"", ""en"")"),"Began to stick pan pot is not a perfect circle found when arrived, the handle a little loose. With a year is not enough, non-stick pan performance dropped significantly, omelettes and hold the oil when originally bought are non-stick, put less oil now are"&amp;" sticky, disappointment. Usually wash pot with a soft cloth, always careful.")</f>
        <v>Began to stick pan pot is not a perfect circle found when arrived, the handle a little loose. With a year is not enough, non-stick pan performance dropped significantly, omelettes and hold the oil when originally bought are non-stick, put less oil now are sticky, disappointment. Usually wash pot with a soft cloth, always careful.</v>
      </c>
    </row>
    <row r="16641">
      <c r="A16641" s="1">
        <v>3.0</v>
      </c>
      <c r="B16641" s="1" t="s">
        <v>16441</v>
      </c>
      <c r="C16641" t="str">
        <f>IFERROR(__xludf.DUMMYFUNCTION("GOOGLETRANSLATE(B16641, ""zh"", ""en"")"),"No matter did not feel useful")</f>
        <v>No matter did not feel useful</v>
      </c>
    </row>
    <row r="16642">
      <c r="A16642" s="1">
        <v>3.0</v>
      </c>
      <c r="B16642" s="1" t="s">
        <v>16442</v>
      </c>
      <c r="C16642" t="str">
        <f>IFERROR(__xludf.DUMMYFUNCTION("GOOGLETRANSLATE(B16642, ""zh"", ""en"")"),"Pocket is a double function well, there is the inner layer of the zipper, the design is very safe and convenient. Work a little rough. On the computer a bit deep color, the color of the actual number is more gray.")</f>
        <v>Pocket is a double function well, there is the inner layer of the zipper, the design is very safe and convenient. Work a little rough. On the computer a bit deep color, the color of the actual number is more gray.</v>
      </c>
    </row>
    <row r="16643">
      <c r="A16643" s="1">
        <v>3.0</v>
      </c>
      <c r="B16643" s="1" t="s">
        <v>16443</v>
      </c>
      <c r="C16643" t="str">
        <f>IFERROR(__xludf.DUMMYFUNCTION("GOOGLETRANSLATE(B16643, ""zh"", ""en"")"),"Overall general, a good number of smaller small, at least buy a bigger size shoes")</f>
        <v>Overall general, a good number of smaller small, at least buy a bigger size shoes</v>
      </c>
    </row>
    <row r="16644">
      <c r="A16644" s="1">
        <v>1.0</v>
      </c>
      <c r="B16644" s="1" t="s">
        <v>16444</v>
      </c>
      <c r="C16644" t="str">
        <f>IFERROR(__xludf.DUMMYFUNCTION("GOOGLETRANSLATE(B16644, ""zh"", ""en"")"),"Mao Mao suck suck, vast expanse. Ugh")</f>
        <v>Mao Mao suck suck, vast expanse. Ugh</v>
      </c>
    </row>
    <row r="16645">
      <c r="A16645" s="1">
        <v>1.0</v>
      </c>
      <c r="B16645" s="1" t="s">
        <v>16445</v>
      </c>
      <c r="C16645" t="str">
        <f>IFERROR(__xludf.DUMMYFUNCTION("GOOGLETRANSLATE(B16645, ""zh"", ""en"")"),"Quality and workmanship can be good!")</f>
        <v>Quality and workmanship can be good!</v>
      </c>
    </row>
    <row r="16646">
      <c r="A16646" s="1">
        <v>4.0</v>
      </c>
      <c r="B16646" s="1" t="s">
        <v>16446</v>
      </c>
      <c r="C16646" t="str">
        <f>IFERROR(__xludf.DUMMYFUNCTION("GOOGLETRANSLATE(B16646, ""zh"", ""en"")"),"Here marked buy buyers can get a first hand look at the next try did not comment particularly large, mark here note that buyers, elastic waist size to full size after it is placed in maximum 36 36 Do not be deceived we compare these burly of normal size o"&amp;"r slightly larger or better some goblins. In addition to wearing experience waist tight buttocks rest thighs and other parts are loose pocket pants are consistent features 5.11-bit reserved tether to tie your legs but did not really pull the rope to tag w"&amp;"ashing Mark foreigner taste but very humble origin countries of Cambodia there is complete description Chinese")</f>
        <v>Here marked buy buyers can get a first hand look at the next try did not comment particularly large, mark here note that buyers, elastic waist size to full size after it is placed in maximum 36 36 Do not be deceived we compare these burly of normal size or slightly larger or better some goblins. In addition to wearing experience waist tight buttocks rest thighs and other parts are loose pocket pants are consistent features 5.11-bit reserved tether to tie your legs but did not really pull the rope to tag washing Mark foreigner taste but very humble origin countries of Cambodia there is complete description Chinese</v>
      </c>
    </row>
    <row r="16647">
      <c r="A16647" s="1">
        <v>4.0</v>
      </c>
      <c r="B16647" s="1" t="s">
        <v>16447</v>
      </c>
      <c r="C16647" t="str">
        <f>IFERROR(__xludf.DUMMYFUNCTION("GOOGLETRANSLATE(B16647, ""zh"", ""en"")"),"Hard soles, the shoes go a long time foot pain is good, but take a long time foot pain, hard soles")</f>
        <v>Hard soles, the shoes go a long time foot pain is good, but take a long time foot pain, hard soles</v>
      </c>
    </row>
    <row r="16648">
      <c r="A16648" s="1">
        <v>4.0</v>
      </c>
      <c r="B16648" s="1" t="s">
        <v>16448</v>
      </c>
      <c r="C16648" t="str">
        <f>IFERROR(__xludf.DUMMYFUNCTION("GOOGLETRANSLATE(B16648, ""zh"", ""en"")"),"Like really like, bright colors, small size, suitable for girls on the bag.")</f>
        <v>Like really like, bright colors, small size, suitable for girls on the bag.</v>
      </c>
    </row>
    <row r="16649">
      <c r="A16649" s="1">
        <v>4.0</v>
      </c>
      <c r="B16649" s="1" t="s">
        <v>16449</v>
      </c>
      <c r="C16649" t="str">
        <f>IFERROR(__xludf.DUMMYFUNCTION("GOOGLETRANSLATE(B16649, ""zh"", ""en"")"),"Pasta machine with just two people can. Pot noodles directly pressed out, we did not have to eat the noodles. It can easily clean all parts.")</f>
        <v>Pasta machine with just two people can. Pot noodles directly pressed out, we did not have to eat the noodles. It can easily clean all parts.</v>
      </c>
    </row>
    <row r="16650">
      <c r="A16650" s="1">
        <v>4.0</v>
      </c>
      <c r="B16650" s="1" t="s">
        <v>16450</v>
      </c>
      <c r="C16650" t="str">
        <f>IFERROR(__xludf.DUMMYFUNCTION("GOOGLETRANSLATE(B16650, ""zh"", ""en"")"),"Exterior paint colors cup like a general is not very good, open the lid and shake to hear a clear sound? Why is there something collision sound of it? The insulation effect can also be")</f>
        <v>Exterior paint colors cup like a general is not very good, open the lid and shake to hear a clear sound? Why is there something collision sound of it? The insulation effect can also be</v>
      </c>
    </row>
    <row r="16651">
      <c r="A16651" s="1">
        <v>5.0</v>
      </c>
      <c r="B16651" s="1" t="s">
        <v>16451</v>
      </c>
      <c r="C16651" t="str">
        <f>IFERROR(__xludf.DUMMYFUNCTION("GOOGLETRANSLATE(B16651, ""zh"", ""en"")"),"Speakers also has received the goods. Speaker also has received the goods.")</f>
        <v>Speakers also has received the goods. Speaker also has received the goods.</v>
      </c>
    </row>
    <row r="16652">
      <c r="A16652" s="1">
        <v>5.0</v>
      </c>
      <c r="B16652" s="1" t="s">
        <v>16452</v>
      </c>
      <c r="C16652" t="str">
        <f>IFERROR(__xludf.DUMMYFUNCTION("GOOGLETRANSLATE(B16652, ""zh"", ""en"")"),"Very very practical thick cotton, comfortable to wear, collar cuffs are good.")</f>
        <v>Very very practical thick cotton, comfortable to wear, collar cuffs are good.</v>
      </c>
    </row>
    <row r="16653">
      <c r="A16653" s="1">
        <v>5.0</v>
      </c>
      <c r="B16653" s="1" t="s">
        <v>16453</v>
      </c>
      <c r="C16653" t="str">
        <f>IFERROR(__xludf.DUMMYFUNCTION("GOOGLETRANSLATE(B16653, ""zh"", ""en"")"),"Good quality very pleasantly surprised, this is my best buy a hose.")</f>
        <v>Good quality very pleasantly surprised, this is my best buy a hose.</v>
      </c>
    </row>
    <row r="16654">
      <c r="A16654" s="1">
        <v>5.0</v>
      </c>
      <c r="B16654" s="1" t="s">
        <v>16454</v>
      </c>
      <c r="C16654" t="str">
        <f>IFERROR(__xludf.DUMMYFUNCTION("GOOGLETRANSLATE(B16654, ""zh"", ""en"")"),"Very good, but a little heavy good, that is a bit heavy. Pumpkin, sweet potato mud fight very smooth and delicate. Apple is still playing mud particles. It is probably not skilled operation.")</f>
        <v>Very good, but a little heavy good, that is a bit heavy. Pumpkin, sweet potato mud fight very smooth and delicate. Apple is still playing mud particles. It is probably not skilled operation.</v>
      </c>
    </row>
    <row r="16655">
      <c r="A16655" s="1">
        <v>5.0</v>
      </c>
      <c r="B16655" s="1" t="s">
        <v>16455</v>
      </c>
      <c r="C16655" t="str">
        <f>IFERROR(__xludf.DUMMYFUNCTION("GOOGLETRANSLATE(B16655, ""zh"", ""en"")"),"Security texture, appearance, very good, very cost-effective price")</f>
        <v>Security texture, appearance, very good, very cost-effective price</v>
      </c>
    </row>
    <row r="16656">
      <c r="A16656" s="1">
        <v>5.0</v>
      </c>
      <c r="B16656" s="1" t="s">
        <v>2477</v>
      </c>
      <c r="C16656" t="str">
        <f>IFERROR(__xludf.DUMMYFUNCTION("GOOGLETRANSLATE(B16656, ""zh"", ""en"")"),"Not bad")</f>
        <v>Not bad</v>
      </c>
    </row>
    <row r="16657">
      <c r="A16657" s="1">
        <v>5.0</v>
      </c>
      <c r="B16657" s="1" t="s">
        <v>16456</v>
      </c>
      <c r="C16657" t="str">
        <f>IFERROR(__xludf.DUMMYFUNCTION("GOOGLETRANSLATE(B16657, ""zh"", ""en"")"),"Very satisfied! ! I love Amazon! ! ! Super invincible satisfaction! ! Before tangled for a long time in the end to buy a hardcover or soft leather, soft leather a bit cheaper last, decisive soft leather ha ha ha. Cheaper than domestic prices too much! And"&amp;" lighter than some imagine, it is the female version of the toe a little Alice, a little pressure feet, not very accustomed to. In general wear 36 will be a little gap, but this just feels good, do not know will not wear thick socks crowded. Traces of the"&amp;"se work just fine leather, I would be more critical, are very satisfied, not until some friends say other defects, the shares out of the box a large leather taste. There are suggestions to buy a small partner as soon as the next one, because coming from t"&amp;"he United States is still a little slow, really recommend!")</f>
        <v>Very satisfied! ! I love Amazon! ! ! Super invincible satisfaction! ! Before tangled for a long time in the end to buy a hardcover or soft leather, soft leather a bit cheaper last, decisive soft leather ha ha ha. Cheaper than domestic prices too much! And lighter than some imagine, it is the female version of the toe a little Alice, a little pressure feet, not very accustomed to. In general wear 36 will be a little gap, but this just feels good, do not know will not wear thick socks crowded. Traces of these work just fine leather, I would be more critical, are very satisfied, not until some friends say other defects, the shares out of the box a large leather taste. There are suggestions to buy a small partner as soon as the next one, because coming from the United States is still a little slow, really recommend!</v>
      </c>
    </row>
    <row r="16658">
      <c r="A16658" s="1">
        <v>5.0</v>
      </c>
      <c r="B16658" s="1" t="s">
        <v>16457</v>
      </c>
      <c r="C16658" t="str">
        <f>IFERROR(__xludf.DUMMYFUNCTION("GOOGLETRANSLATE(B16658, ""zh"", ""en"")"),"ECCO soft foot feeling very comfortable, very much like a sporty white summer sandals looked very cool")</f>
        <v>ECCO soft foot feeling very comfortable, very much like a sporty white summer sandals looked very cool</v>
      </c>
    </row>
    <row r="16659">
      <c r="A16659" s="1">
        <v>5.0</v>
      </c>
      <c r="B16659" s="1" t="s">
        <v>16458</v>
      </c>
      <c r="C16659" t="str">
        <f>IFERROR(__xludf.DUMMYFUNCTION("GOOGLETRANSLATE(B16659, ""zh"", ""en"")"),"Quality, the right size shoes no obvious flaws, quite satisfactory, the insole is out of good quality uppers, comfortable, accurate size. No plug-in is the only shoe sign?")</f>
        <v>Quality, the right size shoes no obvious flaws, quite satisfactory, the insole is out of good quality uppers, comfortable, accurate size. No plug-in is the only shoe sign?</v>
      </c>
    </row>
    <row r="16660">
      <c r="A16660" s="1">
        <v>5.0</v>
      </c>
      <c r="B16660" s="1" t="s">
        <v>16459</v>
      </c>
      <c r="C16660" t="str">
        <f>IFERROR(__xludf.DUMMYFUNCTION("GOOGLETRANSLATE(B16660, ""zh"", ""en"")"),"Good clothes is very good, except the sleeves a little longer, others are perfect. Logistics is too slow!")</f>
        <v>Good clothes is very good, except the sleeves a little longer, others are perfect. Logistics is too slow!</v>
      </c>
    </row>
    <row r="16661">
      <c r="A16661" s="1">
        <v>5.0</v>
      </c>
      <c r="B16661" s="1" t="s">
        <v>16460</v>
      </c>
      <c r="C16661" t="str">
        <f>IFERROR(__xludf.DUMMYFUNCTION("GOOGLETRANSLATE(B16661, ""zh"", ""en"")"),"A big bottle of Amazon to do things better and better, something authentic and delivery on time. The calcium recommended!")</f>
        <v>A big bottle of Amazon to do things better and better, something authentic and delivery on time. The calcium recommended!</v>
      </c>
    </row>
    <row r="16662">
      <c r="A16662" s="1">
        <v>5.0</v>
      </c>
      <c r="B16662" s="1" t="s">
        <v>16461</v>
      </c>
      <c r="C16662" t="str">
        <f>IFERROR(__xludf.DUMMYFUNCTION("GOOGLETRANSLATE(B16662, ""zh"", ""en"")"),"The following important reminders and comments unrelated to this article. From the beginning of 2014 on Amazon shopping, we have been very pleasant, also bought something tens of thousands of blocks of it until the last shopping makes me extremely disappo"&amp;"inted, the seller ""THE FIRST OUTDOOR"" fake sales, Amazon's platform is no supervision, no efforts, no rules and regulations, to remind all buyers, keep their eyes open, be careful to buy!")</f>
        <v>The following important reminders and comments unrelated to this article. From the beginning of 2014 on Amazon shopping, we have been very pleasant, also bought something tens of thousands of blocks of it until the last shopping makes me extremely disappointed, the seller "THE FIRST OUTDOOR" fake sales, Amazon's platform is no supervision, no efforts, no rules and regulations, to remind all buyers, keep their eyes open, be careful to buy!</v>
      </c>
    </row>
    <row r="16663">
      <c r="A16663" s="1">
        <v>5.0</v>
      </c>
      <c r="B16663" s="1" t="s">
        <v>16462</v>
      </c>
      <c r="C16663" t="str">
        <f>IFERROR(__xludf.DUMMYFUNCTION("GOOGLETRANSLATE(B16663, ""zh"", ""en"")"),"Yes genuine authentic! perfectly worked. After buying has been in use")</f>
        <v>Yes genuine authentic! perfectly worked. After buying has been in use</v>
      </c>
    </row>
    <row r="16664">
      <c r="A16664" s="1">
        <v>5.0</v>
      </c>
      <c r="B16664" s="1" t="s">
        <v>16463</v>
      </c>
      <c r="C16664" t="str">
        <f>IFERROR(__xludf.DUMMYFUNCTION("GOOGLETRANSLATE(B16664, ""zh"", ""en"")"),"Applied highest の Dui recently, Shi Shi wo ya go before the iPad で と ko ga zo u ta の で え purchased shi ma shi ta. By Du wa za イ nn su ta ri ッ ッ grades U Silicone ュ で い い desu. Ke ke ー su wo pay ta te mo AMARI ッ Ciba under の sensitivity problem zu ga ga ra"&amp;" na ku え ma shi ta make. Moo moo ち ro san fingerprint authentication real man で shi ta. Wan ga a, to prevent falling と の IMPACT waterproof function ri ni mo mo na ~ te pay IRU の で Confidence resolved after making え masu when shi ta.")</f>
        <v>Applied highest の Dui recently, Shi Shi wo ya go before the iPad で と ko ga zo u ta の で え purchased shi ma shi ta. By Du wa za イ nn su ta ri ッ ッ grades U Silicone ュ で い い desu. Ke ke ー su wo pay ta te mo AMARI ッ Ciba under の sensitivity problem zu ga ga ra na ku え ma shi ta make. Moo moo ち ro san fingerprint authentication real man で shi ta. Wan ga a, to prevent falling と の IMPACT waterproof function ri ni mo mo na ~ te pay IRU の で Confidence resolved after making え masu when shi ta.</v>
      </c>
    </row>
    <row r="16665">
      <c r="A16665" s="1">
        <v>5.0</v>
      </c>
      <c r="B16665" s="1" t="s">
        <v>16464</v>
      </c>
      <c r="C16665" t="str">
        <f>IFERROR(__xludf.DUMMYFUNCTION("GOOGLETRANSLATE(B16665, ""zh"", ""en"")"),"Cost can &lt;div id = ""video-block-R1A9BHYS08ZSAB"" class = ""a-section a-spacing-small a-spacing-top-mini video-block""&gt; &lt;div tabindex = ""0"" class = ""airy airy-svg vmin-unsupported airy-skin-beacon ""style ="" background-color: rgb (0, 0, 0); position: "&amp;"relative; width: 100%; height: 100%; font-size: 0px; overflow: hidden; outline : none; ""&gt; &lt;div class ="" airy-renderer-container ""style ="" position: relative; height: 100%; width: 100%; ""&gt; &lt;video id ="" 14 ""preload ="" auto ""src ="" https://images-c"&amp;"n.ssl-images-amazon.com/images/I/A1SDnW-v30S.mp4 ""style ="" position: absolute; left: 0px; top: 0px; overflow: hidden; height: 1px; width : 1px; ""&gt; &lt;/ video&gt; &lt;/ div&gt; &lt;div id ="" airy-slate-preload ""style ="" background-color: rgb (0, 0, 0); background-"&amp;"image: url (&amp; quot; https: //images-cn.ssl-images-amazon.com/images/I/71tVc7nIv0S.png&amp;quot;); background-size: contain; background-position: center center; background-repeat: no-repeat; position: absolute; top : 0px; left: 0px; visibility: visible; width:"&amp;" 100%; height: 100%; ""&gt; &lt;/ div&gt; &lt;iframe scrollin g = ""no"" frameborder = ""0"" src = ""about: blank"" style = ""display: none;""&gt; &lt;/ iframe&gt; &lt;div tabindex = ""- 1"" class = ""airy-controls-container"" style = "" opacity: 0; visibility: hidden; ""&gt; &lt;div "&amp;"tabindex ="" - 1 ""class ="" airy-screen-size-toggle airy-fullscreen ""&gt; &lt;/ div&gt; &lt;div tabindex ="" - 1 ""class ="" airy- container-bottom ""&gt; &lt;div tabindex ="" - 1 ""class ="" airy-track-bar-spacer-left ""style ="" width: 11px; ""&gt; &lt;/ div&gt; &lt;div tabindex ="&amp;""" - 1 ""class ="" airy-play-toggle airy-play ""style ="" width: 12px; margin-right: 12px; ""&gt; &lt;/ div&gt; &lt;div tabindex ="" - 1 ""class ="" airy-audio-elements ""style ="" float: right; width: 34px; ""&gt; &lt;div tabindex ="" - 1 ""class ="" airy-audio-toggle air"&amp;"y-on ""&gt; &lt;/ div&gt; &lt;div tabindex ="" - 1 ""class ="" airy-audio-container "" style = ""opacity: 0; visibility: hidden;""&gt; &lt;div tabindex = ""- 1"" class = ""airy-audio-track-bar"" style = ""height: 80%;""&gt; &lt;div tabindex = ""- 1"" class = ""airy-audio-scrubbe"&amp;"r-bar"" style = ""height: 85%;""&gt; &lt;/ div&gt; &lt;div tabindex = ""- 1"" class = ""airy-audio-scrubber"" style = ""height: 12px; bottom : 85%; ""&gt; &lt;/ div&gt; &lt;/ div&gt; &lt;/ div&gt; &lt;/ div&gt; &lt;div tabindex ="" - 1 ""class ="" airy-duration-label ""sty le = ""float: right; wi"&amp;"dth: 26px; margin-right: 4px; text-align: center;""&gt; 0:15 &lt;/ div&gt; &lt;div tabindex = ""- 1"" class = ""airy-track-bar-spacer -right ""style ="" float: right; width: 11px; ""&gt; &lt;/ div&gt; &lt;div tabindex ="" - 1 ""class ="" airy-track-bar-container ""style ="" marg"&amp;"in-left: 35px; margin- right: 75px; ""&gt; &lt;div tabindex ="" - 1 ""class ="" airy-track-bar airy-vertical-centering-table ""&gt; &lt;div tabindex ="" - 1 ""class ="" airy-vertical-centering-table- cell ""&gt; &lt;div tabindex ="" - 1 ""class ="" airy-track-bar-elements "&amp;"""&gt; &lt;div tabindex ="" - 1 ""class ="" airy-progress-bar ""style ="" width: 3.68404%; ""&gt; &lt;/ div&gt; &lt;div tabindex = ""- 1"" class = ""airy-scrubber-bar""&gt; &lt;/ div&gt; &lt;div tabindex = ""- 1"" class = ""airy-scrubber""&gt; &lt;div tabindex = ""- 1"" class = ""airy-scrub"&amp;"ber-icon""&gt; &lt;/ div&gt; &lt;div tabindex = ""- 1"" class = ""airy-adjusted-aui-tooltip"" style = ""opacity: 0; visibility: hidden;""&gt; &lt;div tabindex = ""-1"" class = ""airy-adjusted-aui-tooltip-inner""&gt; &lt;div tabindex = ""- 1"" class = ""airy-current-time-label""&gt;"&amp;" 0:00 &lt;/ div&gt; &lt;/ div&gt; &lt; div tabindex = ""- 1"" class = ""airy-adjusted-aui-arrow-border""&gt; &lt;div tabindex = ""- 1"" class = ""airy-adjusted-au i-arrow ""&gt; &lt;/ div&gt; &lt;/ div&gt; &lt;/ div&gt; &lt;/ div&gt; &lt;/ div&gt; &lt;/ div&gt; &lt;/ div&gt; &lt;/ div&gt; &lt;/ div&gt; &lt;/ div&gt; &lt;div tabindex ="" -1 "&amp;"""class ="" airy-age-gate airy-stage airy-vertical-centering-table airy-dialog ""style ="" opacity: 0; visibility: hidden; ""&gt; &lt;div tabindex ="" - 1 ""class ="" airy -age-gate-vertical-centering-table-cell airy-vertical-centering-table-cell ""&gt; &lt;div tabin"&amp;"dex ="" - 1 ""class ="" airy-vertical-centering-wrapper airy-age-gate-elements-wrapper ""&gt; &lt;div tabindex ="" - 1 ""class ="" airy-age-gate-elements airy-dialog-elements ""&gt; &lt;div tabindex ="" - 1 ""class ="" airy-age-gate-prompt ""&gt; This video is . not int"&amp;"ended for all audiences What date were you born &lt;/ div&gt; &lt;div tabindex = ""- 1"" class = ""airy-age-gate-inputs airy-dialog-inner-elements""&gt;? &lt;select tabindex = ""- 1 ""class ="" airy-age-gate-month ""&gt; &lt;option value ="" 1 ""&gt; January &lt;/ option&gt; &lt;option v"&amp;"alue ="" 2 ""&gt; February &lt;/ option&gt; &lt;option value ="" 3 ""&gt; March &lt;/ option&gt; &lt;option value = ""4""&gt; April &lt;/ option&gt; &lt;option value = ""5""&gt; May &lt;/ option&gt; &lt;option value = ""6""&gt; June &lt;/ option&gt; &lt;option value = ""7""&gt; July &lt;/ option&gt; &lt;option value = ""8""&gt; "&amp;"August &lt;/ option&gt; &lt;option value = ""9""&gt; Septe mber &lt;/ option&gt; &lt;option value = ""10""&gt; October &lt;/ option&gt; &lt;option value = ""11""&gt; November &lt;/ option&gt; &lt;option value = ""12""&gt; December &lt;/ option&gt; &lt;/ select&gt; &lt;select tabindex = ""- 1"" class = ""airy-age-gate"&amp;"-day""&gt; &lt;option value = ""1""&gt; 1 &lt;/ option&gt; &lt;option value = ""2""&gt; 2 &lt;/ option&gt; &lt;option value = ""3 ""&gt; 3 &lt;/ option&gt; &lt;option value ="" 4 ""&gt; 4 &lt;/ option&gt; &lt;option value ="" 5 ""&gt; 5 &lt;/ option&gt; &lt;option value ="" 6 ""&gt; 6 &lt;/ option&gt; &lt;option value = ""7""&gt; 7 &lt;/"&amp;" option&gt; &lt;option value = ""8""&gt; 8 &lt;/ option&gt; &lt;option value = ""9""&gt; 9 &lt;/ option&gt; &lt;option value = ""10""&gt; 10 &lt;/ option&gt; &lt;option value = ""11""&gt; 11 &lt;/ option&gt; &lt;option value = ""12""&gt; 12 &lt;/ option&gt; &lt;option value = ""13""&gt; 13 &lt;/ option&gt; &lt;option value = ""14"""&amp;"&gt; 14 &lt;/ option&gt; &lt;option value = ""15""&gt; 15 &lt;/ option&gt; &lt;option value = ""16""&gt; 16 &lt;/ option&gt; &lt;option value = ""17""&gt; 17 &lt;/ option&gt; &lt;option value = ""18""&gt; 18 &lt;/ option&gt; &lt;option value = ""19""&gt; 19 &lt;/ option&gt; &lt;option value = ""20""&gt; 20 &lt;/ option&gt; &lt;option val"&amp;"ue = ""21""&gt; 21 &lt;/ option&gt; &lt;option value = ""22""&gt; 22 &lt;/ option&gt; &lt;option value = ""23""&gt; 23 &lt;/ option&gt; &lt;option value = ""24""&gt; 24 &lt;/ option&gt; &lt;option value = ""25""&gt; 25 &lt;/ option&gt; &lt;option value = ""26"" &gt; 26 &lt;/ option&gt; &lt;option value = ""27""&gt; 27 &lt;/ option&gt;"&amp;" &lt;option value = ""28""&gt; 28 &lt;/ option&gt; &lt; option value = ""29""&gt; 29 &lt;/ option&gt; &lt;option value = ""30""&gt; 30 &lt;/ option&gt; &lt;option value = ""31""&gt; 31 &lt;/ option&gt; &lt;/ select&gt; &lt;select tabindex = ""- 1"" class = ""airy-age-gate-year""&gt; &lt;option value = ""2019""&gt; 2019 "&amp;"&lt;/ option&gt; &lt;option value = ""2018""&gt; 2018 &lt;/ option&gt; &lt;option value = ""2017""&gt; 2017 &lt;/ option &gt; &lt;option value = ""2016""&gt; ​​2016 &lt;/ option&gt; &lt;option value = ""2015""&gt; 2015 &lt;/ option&gt; &lt;option value = ""2014""&gt; 2014 &lt;/ option&gt; &lt;option value = ""2013""&gt; 2013 "&amp;"&lt; / option&gt; &lt;option value = ""2012""&gt; 2012 &lt;/ option&gt; &lt;option value = ""2011""&gt; 2011 &lt;/ option&gt; &lt;option value = ""2010""&gt; 2010 &lt;/ option&gt; &lt;option value = ""2009""&gt; 2009 &lt;/ option&gt; &lt;option value = ""2008""&gt; 2008 &lt;/ option&gt; &lt;option value = ""2007""&gt; 2007 &lt;/"&amp;" option&gt; &lt;option value = ""2006""&gt; 2006 &lt;/ option&gt; &lt;option value = ""2005 ""&gt; 2005 &lt;/ option&gt; &lt;option value ="" 2004 ""&gt; 2004 &lt;/ option&gt; &lt;option value ="" 2003 ""&gt; 2003 &lt;/ option&gt; &lt;option value ="" 2002 ""&gt; 2002 &lt;/ option&gt; &lt;option value = ""2001""&gt; 2001 &lt;"&amp;"/ option&gt; &lt;option value = ""2000""&gt; 2000 &lt;/ option&gt; &lt;option value = ""1999""&gt; 1999 &lt;/ option&gt; &lt;option value = ""1998""&gt; 1998 &lt;/ option&gt; &lt;option value = ""1997""&gt; 1997 &lt;/ option&gt; &lt;option value = ""1996""&gt; 1996 &lt;/ option&gt; &lt;option value = ""1995""&gt; 1995 &lt;/ o"&amp;"ption&gt; &lt;op tion value = ""1994""&gt; 1994 &lt;/ option&gt; &lt;option value = ""1993""&gt; 1993 &lt;/ option&gt; &lt;option value = ""1992""&gt; 1992 &lt;/ option&gt; &lt;option value = ""1991""&gt; 1991 &lt;/ option &gt; &lt;option value = ""1990""&gt; 1990 &lt;/ option&gt; &lt;option value = ""1989""&gt; 1989 &lt;/ op"&amp;"tion&gt; &lt;option value = ""1988""&gt; 1988 &lt;/ option&gt; &lt;option value = ""1987""&gt; 1987 &lt; / option&gt; &lt;option value = ""1986""&gt; 1986 &lt;/ option&gt; &lt;option value = ""1985""&gt; 1985 &lt;/ option&gt; &lt;option value = ""1984""&gt; 1984 &lt;/ option&gt; &lt;option value = ""1983""&gt; 1983 &lt;/ opti"&amp;"on&gt; &lt;option value = ""1982""&gt; 1982 &lt;/ option&gt; &lt;option value = ""1981""&gt; 1981 &lt;/ option&gt; &lt;option value = ""1980""&gt; 1980 &lt;/ option&gt; &lt;option value = ""1979 ""&gt; 1979 &lt;/ option&gt; &lt;option value ="" 1978 ""&gt; 1978 &lt;/ option&gt; &lt;option value ="" 1977 ""&gt; 1977 &lt;/ opti"&amp;"on&gt; &lt;option value ="" 1976 ""&gt; 1976 &lt;/ option&gt; &lt;option value = ""1975""&gt; 1975 &lt;/ option&gt; &lt;option value = ""1974""&gt; 1974 &lt;/ option&gt; &lt;option value = ""1973""&gt; 1973 &lt;/ option&gt; &lt;option value = ""1972""&gt; 1972 &lt;/ option&gt; &lt;option value = ""1971""&gt; 1971 &lt;/ option"&amp;"&gt; &lt;option value = ""1970""&gt; 1970 &lt;/ option&gt; &lt;option value = ""1969""&gt; 1969 &lt;/ option&gt; &lt;option value = ""1968""&gt; 1968 &lt;/ option&gt; &lt;option value = ""1967""&gt; 1967 &lt;/ option&gt; &lt;option value = ""1966""&gt; 1966 &lt;/ option&gt; &lt;option value = ""19 65 ""&gt; 1965 &lt;/ option&gt;"&amp;" &lt;option value ="" 1964 ""&gt; 1964 &lt;/ option&gt; &lt;option value ="" 1963 ""&gt; 1963 &lt;/ option&gt; &lt;option value ="" 1962 ""&gt; 1962 &lt;/ option&gt; &lt;option value = ""1961""&gt; 1961 &lt;/ option&gt; &lt;option value = ""1960""&gt; 1960 &lt;/ option&gt; &lt;option value = ""1959""&gt; 1959 &lt;/ option&gt;"&amp;" &lt;option value = ""1958""&gt; 1958 &lt;/ option&gt; &lt; option value = ""1957""&gt; 1957 &lt;/ option&gt; &lt;option value = ""1956""&gt; 1956 &lt;/ option&gt; &lt;option value = ""1955""&gt; 1955 &lt;/ option&gt; &lt;option value = ""1954""&gt; 1954 &lt;/ option &gt; &lt;option value = ""1953""&gt; 1953 &lt;/ option&gt; "&amp;"&lt;option value = ""1952""&gt; 1952 &lt;/ option&gt; &lt;option value = ""1951""&gt; 1951 &lt;/ option&gt; &lt;option value = ""1950""&gt; 1950 &lt; / option&gt; &lt;option value = ""1949""&gt; 1949 &lt;/ option&gt; &lt;option value = ""1948""&gt; 1948 &lt;/ option&gt; &lt;option value = ""1947""&gt; 1947 &lt;/ option&gt; &lt;o"&amp;"ption value = ""1946""&gt; 1946 &lt;/ option&gt; &lt;option value = ""1945""&gt; 1945 &lt;/ option&gt; &lt;option value = ""1944""&gt; 1944 &lt;/ option&gt; &lt;option value = ""1943""&gt; 1943 &lt;/ option&gt; &lt;option value = ""1942 ""&gt; 1942 &lt;/ option&gt; &lt;option value ="" 1941 ""&gt; 1941 &lt;/ option&gt; &lt;op"&amp;"tion value ="" 1940 ""&gt; 1940 &lt;/ option&gt; &lt;option value ="" 1939 ""&gt; 1939 &lt;/ option&gt; &lt;option value = ""1938""&gt; 1938 &lt;/ option&gt; &lt;option value = ""1937""&gt; 1937 &lt;/ option&gt; &lt;option value = ""1936""&gt; 1936 &lt;/ opti on&gt; &lt;option value = ""1935""&gt; 1935 &lt;/ option&gt; &lt;op"&amp;"tion value = ""1934""&gt; 1934 &lt;/ option&gt; &lt;option value = ""1933""&gt; 1933 &lt;/ option&gt; &lt;option value = ""1932""&gt; 1932 &lt;/ option&gt; &lt;option value = ""1931""&gt; 1931 &lt;/ option&gt; &lt;option value = ""1930""&gt; 1930 &lt;/ option&gt; &lt;option value = ""1929""&gt; 1929 &lt;/ option&gt; &lt;optio"&amp;"n value = ""1928"" &gt; 1928 &lt;/ option&gt; &lt;option value = ""1927""&gt; 1927 &lt;/ option&gt; &lt;option value = ""1926""&gt; 1926 &lt;/ option&gt; &lt;option value = ""1925""&gt; 1925 &lt;/ option&gt; &lt;option value = "" 1924 ""&gt; 1924 &lt;/ option&gt; &lt;option value ="" 1923 ""&gt; 1923 &lt;/ option&gt; &lt;opti"&amp;"on value ="" 1922 ""&gt; 1922 &lt;/ option&gt; &lt;option value ="" 1921 ""&gt; 1921 &lt;/ option&gt; &lt;option value = ""1920""&gt; 1920 &lt;/ option&gt; &lt;option value = ""1919""&gt; 1919 &lt;/ option&gt; &lt;option value = ""1918""&gt; 1918 &lt;/ option&gt; &lt;option value = ""1917""&gt; 1917 &lt;/ option&gt; &lt; opti"&amp;"on value = ""1916""&gt; 1916 &lt;/ option&gt; &lt;option value = ""1915""&gt; 1915 &lt;/ option&gt; &lt;option value = ""1914""&gt; 1914 &lt;/ option&gt; &lt;option value = ""1913""&gt; 1913 &lt;/ option &gt; &lt;option value = ""1912""&gt; 1912 &lt;/ option&gt; &lt;option value = ""1911""&gt; 1911 &lt;/ option&gt; &lt;option"&amp;" value = ""1910""&gt; 1910 &lt;/ option&gt; &lt;option value = ""1909""&gt; 1909 &lt; / option&gt; &lt;option value = ""1908""&gt; 1908 &lt;/ option&gt; &lt;option value = ""1907""&gt; 1907 &lt;/ option&gt; &lt;option val ue = ""1906""&gt; 1906 &lt;/ option&gt; &lt;option value = ""1905""&gt; 1905 &lt;/ option&gt; &lt;option "&amp;"value = ""1904""&gt; 1904 &lt;/ option&gt; &lt;option value = ""1903""&gt; 1903 &lt;/ option&gt; &lt;option value = ""1902""&gt; 1902 &lt;/ option&gt; &lt;option value = ""1901""&gt; 1901 &lt;/ option&gt; &lt;option value = ""1900""&gt; 1900 &lt;/ option&gt; &lt;/ select&gt; &lt;div tabindex = ""- 1 ""class ="" airy-age"&amp;"-gate-submit airy-submit airy-button airy-submit-disabled ""&gt; Submit &lt;/ div&gt; &lt;/ div&gt; &lt;/ div&gt; &lt;/ div&gt; &lt;/ div&gt; &lt;/ div&gt; &lt; div tabindex = ""- 1"" class = ""airy-install-flash-dialog airy-stage airy-vertical-centering-table airy-dialog airy-denied"" style = """&amp;"opacity: 0; visibility: hidden;""&gt; &lt;div tabindex = ""- 1"" class = ""airy-install-flash-vertical-centering-table-cell airy-vertical-centering-table-cell""&gt; &lt;div tabindex = ""- 1"" class = ""airy-vertical-centering-wrapper airy-install-flash-elements-wrapp"&amp;"er ""&gt; &lt;div tabindex ="" - 1 ""class ="" airy-install-flash-elements airy-dialog-elements ""&gt; &lt;div tabindex ="" - 1 ""class ="" airy-install -flash-prompt ""&gt; Adobe Flash Player is required to watch this video &lt;/ div&gt; &lt;div tabindex =."" - 1 ""class ="" ai"&amp;"ry-install-flash-button-wrapper airy-dialog-inner-e lements ""&gt; &lt;div tabindex ="" - 1 ""class ="" airy-install-flash-button airy-button ""&gt; Install Flash Player &lt;/ div&gt; &lt;/ div&gt; &lt;/ div&gt; &lt;/ div&gt; &lt;/ div&gt; &lt; / div&gt; &lt;div tabindex = ""- 1"" class = ""airy-video-"&amp;"unsupported-dialog airy-stage airy-vertical-centering-table airy-dialog airy-denied"" style = ""opacity: 0; visibility: hidden;"" &gt; &lt;div tabindex = ""- 1"" class = ""airy-video-unsupported-vertical-centering-table-cell airy-vertical-centering-table-cell"""&amp;"&gt; &lt;div tabindex = ""- 1"" class = ""airy-vertical -centering-wrapper airy-video-unsupported-elements-wrapper ""&gt; &lt;div tabindex ="" - 1 ""class ="" airy-video-unsupported-elements airy-dialog-elements ""&gt; &lt;div tabindex ="" - 1 ""class = ""airy-video-unsupp"&amp;"orted-prompt""&gt; &lt;/ div&gt; &lt;/ div&gt; &lt;/ div&gt; &lt;/ div&gt; &lt;/ div&gt; &lt;div tabindex = ""- 1"" class = ""airy-loading-spinner-stage airy- stage ""&gt; &lt;div tabindex ="" - 1 ""class ="" airy-loading-spinner-vertical-centering-table-cell airy-vertical-centering-table-cell """&amp;"&gt; &lt;div tabindex ="" - 1 ""class ="" airy -loading-spinner-container airy-scalable-hint-container ""&gt; &lt;div tabindex ="" - 1 ""class ="" airy-loading-spinner-dummy airy-scal able-dummy ""&gt; &lt;/ div&gt; &lt;div tabindex ="" - 1 ""class ="" airy-loading-spinner airy-"&amp;"hint ""style ="" visibility: hidden; ""&gt; &lt;/ div&gt; &lt;/ div&gt; &lt;/ div&gt; &lt;/ div&gt; &lt;div tabindex = ""- 1"" class = ""airy-ads-screen-size-toggle airy-screen-size-toggle airy-fullscreen"" style = ""visibility: hidden;""&gt; &lt;/ div&gt; &lt;div tabindex = ""- 1"" class = ""air"&amp;"y-ad-prompt-container"" style = ""visibility: hidden;""&gt; &lt;div tabindex = ""- 1"" class = ""airy-ad-prompt-vertical-centering-table airy- vertical-centering-table ""&gt; &lt;div tabindex ="" - 1 ""class ="" airy-ad-prompt-vertical-centering-table-cell airy-verti"&amp;"cal-centering-table-cell ""&gt; &lt;div tabindex ="" - 1 "" class = ""airy-ad-prompt-label""&gt; &lt;/ div&gt; &lt;/ div&gt; &lt;/ div&gt; &lt;/ div&gt; &lt;div tabindex = ""- 1"" class = ""airy-ads-controls-container"" style = "" visibility: hidden; ""&gt; &lt;div tabindex ="" - 1 ""class ="" ai"&amp;"ry-ads-audio-toggle airy-audio-toggle airy-on ""style ="" visibility: hidden; ""&gt; &lt;/ div&gt; &lt;div tabindex = ""-1"" class = ""airy-time-remaining-label-container""&gt; &lt;div tabindex = ""- 1"" class = ""airy-time-remaining-vertical-centering-table airy-vertical-"&amp;"centering-table""&gt; &lt; div tabindex = ""- 1"" class = ""airy -time-remaining-vertical-centering-table-cell airy-vertical-centering-table-cell ""&gt; &lt;div tabindex ="" - 1 ""class ="" airy-vertical-centering-wrapper airy-time-remaining-label-wrapper ""&gt; &lt;div ta"&amp;"bindex ="" - 1 ""class ="" airy-time-remaining-label ""style ="" visibility: hidden; ""&gt; &lt;/ div&gt; &lt;div tabindex ="" - 1 ""class ="" airy-ad-skip ""style ="" visibility: hidden; ""&gt; &lt;/ div&gt; &lt;div tabindex ="" - 1 ""class ="" airy-ad-end ""style ="" visibilit"&amp;"y: hidden; ""&gt; &lt;/ div&gt; &lt;/ div&gt; &lt;/ div&gt; &lt;/ div&gt; &lt;/ div&gt; &lt;div tabindex = ""- 1"" class = ""airy-learn-more"" style = ""visibility: hidden;""&gt; &lt;/ div&gt; &lt;/ div&gt; &lt;div tabindex = ""- 1 ""class ="" airy-play-toggle-hint-stage airy-stage airy-cursor ""&gt; &lt;div tabin"&amp;"dex ="" - 1 ""class ="" airy-play-toggle-hint-vertical-centering-table-cell airy- vertical-centering-table-cell airy-cursor ""&gt; &lt;div tabindex ="" - 1 ""class ="" airy-play-toggle-hint-container airy-scalable-hint-container ""&gt; &lt;div tabindex ="" - 1 ""clas"&amp;"s = ""airy-play-toggle-hint-dummy airy-scalable-dummy""&gt; &lt;/ div&gt; &lt;div tabindex = ""- 1"" class = ""airy-play-toggle-hint airy-hint airy-play-hint"" style = ""opacity: 1; visibility: visibl e; ""&gt; &lt;/ div&gt; &lt;/ div&gt; &lt;/ div&gt; &lt;/ div&gt; &lt;div tabindex ="" - 1 ""cla"&amp;"ss ="" airy-replay-hint-stage airy-stage ""style ="" visibility: hidden; "" &gt; &lt;div tabindex = ""- 1"" class = ""airy-replay-hint-vertical-centering-table-cell airy-vertical-centering-table-cell airy-cursor""&gt; &lt;div tabindex = ""- 1"" class = "" airy-replay"&amp;"-hint-container airy-scalable-hint-container ""&gt; &lt;div tabindex ="" - 1 ""class ="" airy-replay-hint-dummy airy-scalable-dummy ""&gt; &lt;/ div&gt; &lt;div tabindex ="" -1 ""class ="" airy-replay-hint airy-hint ""&gt; &lt;/ div&gt; &lt;/ div&gt; &lt;/ div&gt; &lt;/ div&gt; &lt;div tabindex ="" - 1"&amp;" ""class ="" airy-autoplay-hint-stage airy-stage ""style ="" visibility: hidden; ""&gt; &lt;div tabindex ="" - 1 ""class ="" airy-autoplay-hint-vertical-centering-table-cell airy-vertical-centering-table-cell airy-cursor "" &gt; &lt;div tabindex = ""- 1"" class = ""a"&amp;"iry-autoplay-hint-container airy-scalable-hint-container""&gt; &lt;div tabindex = ""- 1"" class = ""airy-autoplay-hint-dummy airy-scalable- dummy ""&gt; &lt;/ div&gt; &lt;/ div&gt; &lt;/ div&gt; &lt;/ div&gt; &lt;/ div&gt; &lt;/ div&gt; &lt;input type ="" hidden ""name ="" ""value ="" https: //images-c"&amp;"n.ssl -images-amazon.com/images/I/A1SDnW-v30S.mp4 ""class ="" video-url ""&gt; &lt;Input type ="" hidden ""name ="" ""value ="" https://images-cn.ssl-images-amazon.com/images/I/71tVc7nIv0S.png ""class ="" video-slate-img-url ""&gt; &amp; nbsp; only arrived six days is"&amp;" very fast. Prior to their comparison with very good sound quality is very obvious that the multimedia speakers, being not equipped with an external decoder bought a Canon 3.5 to dual line with a green plus 3.5 onboard audio extension line direct push plu"&amp;"g (motherboard Asus B450-F, onboard sound is S1220A), foobar2000 player software is actually out of the sound can be. Further bought two own national standard power cord on the desktop with a single easy to operate master control panel switch Plug above, "&amp;"then add 80 cm high on both sides of one pair of floor stand computer desk spaced about two meters about the distance, then adjusted his tripod angle so that the two speakers aligned with the middle seat forms an angle, usually sitting at the table in fro"&amp;"nt of you can clearly feel the sound is from the middle position computer monitors issued to, some songs can very clearly feel the level of distance and location, I do not know exactly how fans do not describe, is also strong low frequency that is not pas"&amp;"te anyway, is very three-dimensional sound, even the entry-level 305 that is used to monitor box daily listen to MP3 songs 320K contrast to the common 2.0 or 2.1 multimedia desktop speakers is quite obvious advantages, of course, provided that the placeme"&amp;"nt must be reasonable. Also on the noise floor this time with only occasional stand-down time but appears obvious that probability is not high, I can not understand in the end of the wire is not only green issues so then again with 3.5 extension cable int"&amp;"o the autumn leaves original extension cords, the noise floor after only appeared occasionally put'd basically gone, but the accompanying sound quality is impaired, especially the bass becomes a paste, so again that line in exchange for cheap, this it is "&amp;"relatively silent place, temporarily did not change more expensive extension cord so I do not know in the end how it is, and so will have the opportunity with a balanced mouth with an external decoder estimate this respect there is no thing. In short LSR3"&amp;"05 at this price is very cost-effective prominent speakers (BNM JBL too pit), if the onboard sound okay, then do not ask for much independent external sound card and decoding can launch a good sound.")</f>
        <v>Cost can &lt;div id = "video-block-R1A9BHYS08ZSAB" class = "a-section a-spacing-small a-spacing-top-mini video-block"&gt; &lt;div tabindex = "0" class = "airy airy-svg vmin-unsupported airy-skin-beacon "style =" background-color: rgb (0, 0, 0); position: relative; width: 100%; height: 100%; font-size: 0px; overflow: hidden; outline : none; "&gt; &lt;div class =" airy-renderer-container "style =" position: relative; height: 100%; width: 100%; "&gt; &lt;video id =" 14 "preload =" auto "src =" https://images-cn.ssl-images-amazon.com/images/I/A1SDnW-v30S.mp4 "style =" position: absolute; left: 0px; top: 0px; overflow: hidden; height: 1px; width : 1px; "&gt; &lt;/ video&gt; &lt;/ div&gt; &lt;div id =" airy-slate-preload "style =" background-color: rgb (0, 0, 0); background-image: url (&amp; quot; https: //images-cn.ssl-images-amazon.com/images/I/71tVc7nIv0S.png&amp;quot;); background-size: contain; background-position: center center; background-repeat: no-repeat; position: absolute; top : 0px; left: 0px; visibility: visible; width: 100%; height: 100%; "&gt; &lt;/ div&gt; &lt;iframe scrollin g = "no" frameborder = "0" src = "about: blank" style = "display: none;"&gt; &lt;/ iframe&gt; &lt;div tabindex = "- 1" class = "airy-controls-container" style = " opacity: 0; visibility: hidden; "&gt; &lt;div tabindex =" - 1 "class =" airy-screen-size-toggle airy-fullscreen "&gt; &lt;/ div&gt; &lt;div tabindex =" - 1 "class =" airy- container-bottom "&gt; &lt;div tabindex =" - 1 "class =" airy-track-bar-spacer-left "style =" width: 11px; "&gt; &lt;/ div&gt; &lt;div tabindex =" - 1 "class =" airy-play-toggle airy-play "style =" width: 12px; margin-right: 12px; "&gt; &lt;/ div&gt; &lt;div tabindex =" - 1 "class =" airy-audio-elements "style =" float: right; width: 34px; "&gt; &lt;div tabindex =" - 1 "class =" airy-audio-toggle airy-on "&gt; &lt;/ div&gt; &lt;div tabindex =" - 1 "class =" airy-audio-container " style = "opacity: 0; visibility: hidden;"&gt; &lt;div tabindex = "- 1" class = "airy-audio-track-bar" style = "height: 80%;"&gt; &lt;div tabindex = "- 1" class = "airy-audio-scrubber-bar" style = "height: 85%;"&gt; &lt;/ div&gt; &lt;div tabindex = "- 1" class = "airy-audio-scrubber" style = "height: 12px; bottom : 85%; "&gt; &lt;/ div&gt; &lt;/ div&gt; &lt;/ div&gt; &lt;/ div&gt; &lt;div tabindex =" - 1 "class =" airy-duration-label "sty le = "float: right; width: 26px; margin-right: 4px; text-align: center;"&gt; 0:15 &lt;/ div&gt; &lt;div tabindex = "- 1" class = "airy-track-bar-spacer -right "style =" float: right; width: 11px; "&gt; &lt;/ div&gt; &lt;div tabindex =" - 1 "class =" airy-track-bar-container "style =" margin-left: 35px; margin- right: 75px; "&gt; &lt;div tabindex =" - 1 "class =" airy-track-bar airy-vertical-centering-table "&gt; &lt;div tabindex =" - 1 "class =" airy-vertical-centering-table- cell "&gt; &lt;div tabindex =" - 1 "class =" airy-track-bar-elements "&gt; &lt;div tabindex =" - 1 "class =" airy-progress-bar "style =" width: 3.68404%; "&gt; &lt;/ div&gt; &lt;div tabindex = "- 1" class = "airy-scrubber-bar"&gt; &lt;/ div&gt; &lt;div tabindex = "- 1" class = "airy-scrubber"&gt; &lt;div tabindex = "- 1" class = "airy-scrubber-icon"&gt; &lt;/ div&gt; &lt;div tabindex = "- 1" class = "airy-adjusted-aui-tooltip" style = "opacity: 0; visibility: hidden;"&gt; &lt;div tabindex = "-1" class = "airy-adjusted-aui-tooltip-inner"&gt; &lt;div tabindex = "- 1" class = "airy-current-time-label"&gt; 0:00 &lt;/ div&gt; &lt;/ div&gt; &lt; div tabindex = "- 1" class = "airy-adjusted-aui-arrow-border"&gt; &lt;div tabindex = "- 1" class = "airy-adjusted-au i-arrow "&gt; &lt;/ div&gt; &lt;/ div&gt; &lt;/ div&gt; &lt;/ div&gt; &lt;/ div&gt; &lt;/ div&gt; &lt;/ div&gt; &lt;/ div&gt; &lt;/ div&gt; &lt;/ div&gt; &lt;div tabindex =" -1 "class =" airy-age-gate airy-stage airy-vertical-centering-table airy-dialog "style =" opacity: 0; visibility: hidden; "&gt; &lt;div tabindex =" - 1 "class =" airy -age-gate-vertical-centering-table-cell airy-vertical-centering-table-cell "&gt; &lt;div tabindex =" - 1 "class =" airy-vertical-centering-wrapper airy-age-gate-elements-wrapper "&gt; &lt;div tabindex =" - 1 "class =" airy-age-gate-elements airy-dialog-elements "&gt; &lt;div tabindex =" - 1 "class =" airy-age-gate-prompt "&gt; This video is . not intended for all audiences What date were you born &lt;/ div&gt; &lt;div tabindex = "- 1" class = "airy-age-gate-inputs airy-dialog-inner-elements"&gt;? &lt;select tabindex = "- 1 "class =" airy-age-gate-month "&gt; &lt;option value =" 1 "&gt; January &lt;/ option&gt; &lt;option value =" 2 "&gt; February &lt;/ option&gt; &lt;option value =" 3 "&gt; March &lt;/ option&gt; &lt;option value = "4"&gt; April &lt;/ option&gt; &lt;option value = "5"&gt; May &lt;/ option&gt; &lt;option value = "6"&gt; June &lt;/ option&gt; &lt;option value = "7"&gt; July &lt;/ option&gt; &lt;option value = "8"&gt; August &lt;/ option&gt; &lt;option value = "9"&gt; Septe mber &lt;/ option&gt; &lt;option value = "10"&gt; October &lt;/ option&gt; &lt;option value = "11"&gt; November &lt;/ option&gt; &lt;option value = "12"&gt; December &lt;/ option&gt; &lt;/ select&gt; &lt;select tabindex = "- 1" class = "airy-age-gate-day"&gt; &lt;option value = "1"&gt; 1 &lt;/ option&gt; &lt;option value = "2"&gt; 2 &lt;/ option&gt; &lt;option value = "3 "&gt; 3 &lt;/ option&gt; &lt;option value =" 4 "&gt; 4 &lt;/ option&gt; &lt;option value =" 5 "&gt; 5 &lt;/ option&gt; &lt;option value =" 6 "&gt; 6 &lt;/ option&gt; &lt;option value = "7"&gt; 7 &lt;/ option&gt; &lt;option value = "8"&gt; 8 &lt;/ option&gt; &lt;option value = "9"&gt; 9 &lt;/ option&gt; &lt;option value = "10"&gt; 10 &lt;/ option&gt; &lt;option value = "11"&gt; 11 &lt;/ option&gt; &lt;option value = "12"&gt; 12 &lt;/ option&gt; &lt;option value = "13"&gt; 13 &lt;/ option&gt; &lt;option value = "14"&gt; 14 &lt;/ option&gt; &lt;option value = "15"&gt; 15 &lt;/ option&gt; &lt;option value = "16"&gt; 16 &lt;/ option&gt; &lt;option value = "17"&gt; 17 &lt;/ option&gt; &lt;option value = "18"&gt; 18 &lt;/ option&gt; &lt;option value = "19"&gt; 19 &lt;/ option&gt; &lt;option value = "20"&gt; 20 &lt;/ option&gt; &lt;option value = "21"&gt; 21 &lt;/ option&gt; &lt;option value = "22"&gt; 22 &lt;/ option&gt; &lt;option value = "23"&gt; 23 &lt;/ option&gt; &lt;option value = "24"&gt; 24 &lt;/ option&gt; &lt;option value = "25"&gt; 25 &lt;/ option&gt; &lt;option value = "26" &gt; 26 &lt;/ option&gt; &lt;option value = "27"&gt; 27 &lt;/ option&gt; &lt;option value = "28"&gt; 28 &lt;/ option&gt; &lt; option value = "29"&gt; 29 &lt;/ option&gt; &lt;option value = "30"&gt; 30 &lt;/ option&gt; &lt;option value = "31"&gt; 31 &lt;/ option&gt; &lt;/ select&gt; &lt;select tabindex = "- 1" class = "airy-age-gate-year"&gt; &lt;option value = "2019"&gt; 2019 &lt;/ option&gt; &lt;option value = "2018"&gt; 2018 &lt;/ option&gt; &lt;option value = "2017"&gt; 2017 &lt;/ option &gt; &lt;option value = "2016"&gt; ​​2016 &lt;/ option&gt; &lt;option value = "2015"&gt; 2015 &lt;/ option&gt; &lt;option value = "2014"&gt; 2014 &lt;/ option&gt; &lt;option value = "2013"&gt; 2013 &lt; / option&gt; &lt;option value = "2012"&gt; 2012 &lt;/ option&gt; &lt;option value = "2011"&gt; 2011 &lt;/ option&gt; &lt;option value = "2010"&gt; 2010 &lt;/ option&gt; &lt;option value = "2009"&gt; 2009 &lt;/ option&gt; &lt;option value = "2008"&gt; 2008 &lt;/ option&gt; &lt;option value = "2007"&gt; 2007 &lt;/ option&gt; &lt;option value = "2006"&gt; 2006 &lt;/ option&gt; &lt;option value = "2005 "&gt; 2005 &lt;/ option&gt; &lt;option value =" 2004 "&gt; 2004 &lt;/ option&gt; &lt;option value =" 2003 "&gt; 2003 &lt;/ option&gt; &lt;option value =" 2002 "&gt; 2002 &lt;/ option&gt; &lt;option value = "2001"&gt; 2001 &lt;/ option&gt; &lt;option value = "2000"&gt; 2000 &lt;/ option&gt; &lt;option value = "1999"&gt; 1999 &lt;/ option&gt; &lt;option value = "1998"&gt; 1998 &lt;/ option&gt; &lt;option value = "1997"&gt; 1997 &lt;/ option&gt; &lt;option value = "1996"&gt; 1996 &lt;/ option&gt; &lt;option value = "1995"&gt; 1995 &lt;/ option&gt; &lt;op tion value = "1994"&gt; 1994 &lt;/ option&gt; &lt;option value = "1993"&gt; 1993 &lt;/ option&gt; &lt;option value = "1992"&gt; 1992 &lt;/ option&gt; &lt;option value = "1991"&gt; 1991 &lt;/ option &gt; &lt;option value = "1990"&gt; 1990 &lt;/ option&gt; &lt;option value = "1989"&gt; 1989 &lt;/ option&gt; &lt;option value = "1988"&gt; 1988 &lt;/ option&gt; &lt;option value = "1987"&gt; 1987 &lt; / option&gt; &lt;option value = "1986"&gt; 1986 &lt;/ option&gt; &lt;option value = "1985"&gt; 1985 &lt;/ option&gt; &lt;option value = "1984"&gt; 1984 &lt;/ option&gt; &lt;option value = "1983"&gt; 1983 &lt;/ option&gt; &lt;option value = "1982"&gt; 1982 &lt;/ option&gt; &lt;option value = "1981"&gt; 1981 &lt;/ option&gt; &lt;option value = "1980"&gt; 1980 &lt;/ option&gt; &lt;option value = "1979 "&gt; 1979 &lt;/ option&gt; &lt;option value =" 1978 "&gt; 1978 &lt;/ option&gt; &lt;option value =" 1977 "&gt; 1977 &lt;/ option&gt; &lt;option value =" 1976 "&gt; 1976 &lt;/ option&gt; &lt;option value = "1975"&gt; 1975 &lt;/ option&gt; &lt;option value = "1974"&gt; 1974 &lt;/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"1966"&gt; 1966 &lt;/ option&gt; &lt;option value = "19 65 "&gt; 1965 &lt;/ option&gt; &lt;option value =" 1964 "&gt; 1964 &lt;/ option&gt; &lt;option value =" 1963 "&gt; 1963 &lt;/ option&gt; &lt;option value =" 1962 "&gt; 1962 &lt;/ option&gt; &lt;option value = "1961"&gt; 1961 &lt;/ option&gt; &lt;option value = "1960"&gt; 1960 &lt;/ option&gt; &lt;option value = "1959"&gt; 1959 &lt;/ option&gt; &lt;option value = "1958"&gt; 1958 &lt;/ option&gt; &lt; option value = "1957"&gt; 1957 &lt;/ option&gt; &lt;option value = "1956"&gt; 1956 &lt;/ option&gt; &lt;option value = "1955"&gt; 1955 &lt;/ option&gt; &lt;option value = "1954"&gt; 1954 &lt;/ option &gt; &lt;option value = "1953"&gt; 1953 &lt;/ option&gt; &lt;option value = "1952"&gt; 1952 &lt;/ option&gt; &lt;option value = "1951"&gt; 1951 &lt;/ option&gt; &lt;option value = "1950"&gt; 1950 &lt; / option&gt; &lt;option value = "1949"&gt; 1949 &lt;/ option&gt; &lt;option value = "1948"&gt; 1948 &lt;/ option&gt; &lt;option value = "1947"&gt; 1947 &lt;/ option&gt; &lt;option value = "1946"&gt; 1946 &lt;/ option&gt; &lt;option value = "1945"&gt; 1945 &lt;/ option&gt; &lt;option value = "1944"&gt; 1944 &lt;/ option&gt; &lt;option value = "1943"&gt; 1943 &lt;/ option&gt; &lt;option value = "1942 "&gt; 1942 &lt;/ option&gt; &lt;option value =" 1941 "&gt; 1941 &lt;/ option&gt; &lt;option value =" 1940 "&gt; 1940 &lt;/ option&gt; &lt;option value =" 1939 "&gt; 1939 &lt;/ option&gt; &lt;option value = "1938"&gt; 1938 &lt;/ option&gt; &lt;option value = "1937"&gt; 1937 &lt;/ option&gt; &lt;option value = "1936"&gt; 1936 &lt;/ opti on&gt; &lt;option value = "1935"&gt; 1935 &lt;/ option&gt; &lt;option value = "1934"&gt; 1934 &lt;/ option&gt; &lt;option value = "1933"&gt; 1933 &lt;/ option&gt; &lt;option value = "1932"&gt; 1932 &lt;/ option&gt; &lt;option value = "1931"&gt; 1931 &lt;/ option&gt; &lt;option value = "1930"&gt; 1930 &lt;/ option&gt; &lt;option value = "1929"&gt; 1929 &lt;/ option&gt; &lt;option value = "1928" &gt; 1928 &lt;/ option&gt; &lt;option value = "1927"&gt; 1927 &lt;/ option&gt; &lt;option value = "1926"&gt; 1926 &lt;/ option&gt; &lt;option value = "1925"&gt; 1925 &lt;/ option&gt; &lt;option value = " 1924 "&gt; 1924 &lt;/ option&gt; &lt;option value =" 1923 "&gt; 1923 &lt;/ option&gt; &lt;option value =" 1922 "&gt; 1922 &lt;/ option&gt; &lt;option value =" 1921 "&gt; 1921 &lt;/ option&gt; &lt;option value = "1920"&gt; 1920 &lt;/ option&gt; &lt;option value = "1919"&gt; 1919 &lt;/ option&gt; &lt;option value = "1918"&gt; 1918 &lt;/ option&gt; &lt;option value = "1917"&gt; 1917 &lt;/ option&gt; &lt; option value = "1916"&gt; 1916 &lt;/ option&gt; &lt;option value = "1915"&gt; 1915 &lt;/ option&gt; &lt;option value = "1914"&gt; 1914 &lt;/ option&gt; &lt;option value = "1913"&gt; 1913 &lt;/ option &gt; &lt;option value = "1912"&gt; 1912 &lt;/ option&gt; &lt;option value = "1911"&gt; 1911 &lt;/ option&gt; &lt;option value = "1910"&gt; 1910 &lt;/ option&gt; &lt;option value = "1909"&gt; 1909 &lt; / option&gt; &lt;option value = "1908"&gt; 1908 &lt;/ option&gt; &lt;option value = "1907"&gt; 1907 &lt;/ option&gt; &lt;option val ue = "1906"&gt; 1906 &lt;/ option&gt; &lt;option value = "1905"&gt; 1905 &lt;/ option&gt; &lt;option value = "1904"&gt; 1904 &lt;/ option&gt; &lt;option value = "1903"&gt; 1903 &lt;/ option&gt; &lt;option value = "1902"&gt; 1902 &lt;/ option&gt; &lt;option value = "1901"&gt; 1901 &lt;/ option&gt; &lt;option value = "1900"&gt; 1900 &lt;/ option&gt; &lt;/ select&gt; &lt;div tabindex = "- 1 "class =" airy-age-gate-submit airy-submit airy-button airy-submit-disabled "&gt; Submit &lt;/ div&gt; &lt;/ div&gt; &lt;/ div&gt; &lt;/ div&gt; &lt;/ div&gt; &lt;/ div&gt; &lt; div tabindex = "- 1" class = "airy-install-flash-dialog airy-stage airy-vertical-centering-table airy-dialog airy-denied" style = "opacity: 0; visibility: hidden;"&gt; &lt;div tabindex = "- 1" class = "airy-install-flash-vertical-centering-table-cell airy-vertical-centering-table-cell"&gt; &lt;div tabindex = "- 1" class = "airy-vertical-centering-wrapper airy-install-flash-elements-wrapper "&gt; &lt;div tabindex =" - 1 "class =" airy-install-flash-elements airy-dialog-elements "&gt; &lt;div tabindex =" - 1 "class =" airy-install -flash-prompt "&gt; Adobe Flash Player is required to watch this video &lt;/ div&gt; &lt;div tabindex =." - 1 "class =" airy-install-flash-button-wrapper airy-dialog-inner-e lements "&gt; &lt;div tabindex =" - 1 "class =" airy-install-flash-button airy-button "&gt; Install Flash Player &lt;/ div&gt; &lt;/ div&gt; &lt;/ div&gt; &lt;/ div&gt; &lt;/ div&gt; &lt; / div&gt; &lt;div tabindex = "- 1" class = "airy-video-unsupported-dialog airy-stage airy-vertical-centering-table airy-dialog airy-denied" style = "opacity: 0; visibility: hidden;" &gt; &lt;div tabindex = "- 1" class = "airy-video-unsupported-vertical-centering-table-cell airy-vertical-centering-table-cell"&gt; &lt;div tabindex = "- 1" class = "airy-vertical -centering-wrapper airy-video-unsupported-elements-wrapper "&gt; &lt;div tabindex =" - 1 "class =" airy-video-unsupported-elements airy-dialog-elements "&gt; &lt;div tabindex =" - 1 "class = "airy-video-unsupported-prompt"&gt; &lt;/ div&gt; &lt;/ div&gt; &lt;/ div&gt; &lt;/ div&gt; &lt;/ div&gt; &lt;div tabindex = "- 1" class = "airy-loading-spinner-stage airy- stage "&gt; &lt;div tabindex =" - 1 "class =" airy-loading-spinner-vertical-centering-table-cell airy-vertical-centering-table-cell "&gt; &lt;div tabindex =" - 1 "class =" airy -loading-spinner-container airy-scalable-hint-container "&gt; &lt;div tabindex =" - 1 "class =" airy-loading-spinner-dummy airy-scal able-dummy "&gt; &lt;/ div&gt; &lt;div tabindex =" - 1 "class =" airy-loading-spinner airy-hint "style =" visibility: hidden; "&gt; &lt;/ div&gt; &lt;/ div&gt; &lt;/ div&gt; &lt;/ div&gt; &lt;div tabindex = "- 1" class = "airy-ads-screen-size-toggle airy-screen-size-toggle airy-fullscreen" style = "visibility: hidden;"&gt; &lt;/ div&gt; &lt;div tabindex = "- 1" class = "airy-ad-prompt-container" style = "visibility: hidden;"&gt; &lt;div tabindex = "- 1" class = "airy-ad-prompt-vertical-centering-table airy- vertical-centering-table "&gt; &lt;div tabindex =" - 1 "class =" airy-ad-prompt-vertical-centering-table-cell airy-vertical-centering-table-cell "&gt; &lt;div tabindex =" - 1 " class = "airy-ad-prompt-label"&gt; &lt;/ div&gt; &lt;/ div&gt; &lt;/ div&gt; &lt;/ div&gt; &lt;div tabindex = "- 1" class = "airy-ads-controls-container" style = " visibility: hidden; "&gt; &lt;div tabindex =" - 1 "class =" airy-ads-audio-toggle airy-audio-toggle airy-on "style =" visibility: hidden; "&gt; &lt;/ div&gt; &lt;div tabindex = "-1" class = "airy-time-remaining-label-container"&gt; &lt;div tabindex = "- 1" class = "airy-time-remaining-vertical-centering-table airy-vertical-centering-table"&gt; &lt; div tabindex = "- 1" class = "airy -time-remaining-vertical-centering-table-cell airy-vertical-centering-table-cell "&gt; &lt;div tabindex =" - 1 "class =" airy-vertical-centering-wrapper airy-time-remaining-label-wrapper "&gt; &lt;div tabindex =" - 1 "class =" airy-time-remaining-label "style =" visibility: hidden; "&gt; &lt;/ div&gt; &lt;div tabindex =" - 1 "class =" airy-ad-skip "style =" visibility: hidden; "&gt; &lt;/ div&gt; &lt;div tabindex =" - 1 "class =" airy-ad-end "style =" visibility: hidden; "&gt; &lt;/ div&gt; &lt;/ div&gt; &lt;/ div&gt; &lt;/ div&gt; &lt;/ div&gt; &lt;div tabindex = "- 1" class = "airy-learn-more" style = "visibility: hidden;"&gt; &lt;/ div&gt; &lt;/ div&gt; &lt;div tabindex = "- 1 "class =" airy-play-toggle-hint-stage airy-stage airy-cursor "&gt; &lt;div tabindex =" - 1 "class =" airy-play-toggle-hint-vertical-centering-table-cell airy- vertical-centering-table-cell airy-cursor "&gt; &lt;div tabindex =" - 1 "class =" airy-play-toggle-hint-container airy-scalable-hint-container "&gt; &lt;div tabindex =" - 1 "class = "airy-play-toggle-hint-dummy airy-scalable-dummy"&gt; &lt;/ div&gt; &lt;div tabindex = "- 1" class = "airy-play-toggle-hint airy-hint airy-play-hint" style = "opacity: 1; visibility: visibl e; "&gt; &lt;/ div&gt; &lt;/ div&gt; &lt;/ div&gt; &lt;/ div&gt; &lt;div tabindex =" - 1 "class =" airy-replay-hint-stage airy-stage "style =" visibility: hidden; " &gt; &lt;div tabindex = "- 1" class = "airy-replay-hint-vertical-centering-table-cell airy-vertical-centering-table-cell airy-cursor"&gt; &lt;div tabindex = "- 1" class = " airy-replay-hint-container airy-scalable-hint-container "&gt; &lt;div tabindex =" - 1 "class =" airy-replay-hint-dummy airy-scalable-dummy "&gt; &lt;/ div&gt; &lt;div tabindex =" -1 "class =" airy-replay-hint airy-hint "&gt; &lt;/ div&gt; &lt;/ div&gt; &lt;/ div&gt; &lt;/ div&gt; &lt;div tabindex =" - 1 "class =" airy-autoplay-hint-stage airy-stage "style =" visibility: hidden; "&gt; &lt;div tabindex =" - 1 "class =" airy-autoplay-hint-vertical-centering-table-cell airy-vertical-centering-table-cell airy-cursor " &gt; &lt;div tabindex = "- 1" class = "airy-autoplay-hint-container airy-scalable-hint-container"&gt; &lt;div tabindex = "- 1" class = "airy-autoplay-hint-dummy airy-scalable- dummy "&gt; &lt;/ div&gt; &lt;/ div&gt; &lt;/ div&gt; &lt;/ div&gt; &lt;/ div&gt; &lt;/ div&gt; &lt;input type =" hidden "name =" "value =" https: //images-cn.ssl -images-amazon.com/images/I/A1SDnW-v30S.mp4 "class =" video-url "&gt; &lt;Input type =" hidden "name =" "value =" https://images-cn.ssl-images-amazon.com/images/I/71tVc7nIv0S.png "class =" video-slate-img-url "&gt; &amp; nbsp; only arrived six days is very fast. Prior to their comparison with very good sound quality is very obvious that the multimedia speakers, being not equipped with an external decoder bought a Canon 3.5 to dual line with a green plus 3.5 onboard audio extension line direct push plug (motherboard Asus B450-F, onboard sound is S1220A), foobar2000 player software is actually out of the sound can be. Further bought two own national standard power cord on the desktop with a single easy to operate master control panel switch Plug above, then add 80 cm high on both sides of one pair of floor stand computer desk spaced about two meters about the distance, then adjusted his tripod angle so that the two speakers aligned with the middle seat forms an angle, usually sitting at the table in front of you can clearly feel the sound is from the middle position computer monitors issued to, some songs can very clearly feel the level of distance and location, I do not know exactly how fans do not describe, is also strong low frequency that is not paste anyway, is very three-dimensional sound, even the entry-level 305 that is used to monitor box daily listen to MP3 songs 320K contrast to the common 2.0 or 2.1 multimedia desktop speakers is quite obvious advantages, of course, provided that the placement must be reasonable. Also on the noise floor this time with only occasional stand-down time but appears obvious that probability is not high, I can not understand in the end of the wire is not only green issues so then again with 3.5 extension cable into the autumn leaves original extension cords, the noise floor after only appeared occasionally put'd basically gone, but the accompanying sound quality is impaired, especially the bass becomes a paste, so again that line in exchange for cheap, this it is relatively silent place, temporarily did not change more expensive extension cord so I do not know in the end how it is, and so will have the opportunity with a balanced mouth with an external decoder estimate this respect there is no thing. In short LSR305 at this price is very cost-effective prominent speakers (BNM JBL too pit), if the onboard sound okay, then do not ask for much independent external sound card and decoding can launch a good sound.</v>
      </c>
    </row>
    <row r="16666">
      <c r="A16666" s="1">
        <v>5.0</v>
      </c>
      <c r="B16666" s="1" t="s">
        <v>16465</v>
      </c>
      <c r="C16666" t="str">
        <f>IFERROR(__xludf.DUMMYFUNCTION("GOOGLETRANSLATE(B16666, ""zh"", ""en"")"),"Nike big two completely different than praise it, nike10.5 44.5, this pair of 43,9 yards on the line. Anti-fur should be loose. Yes cortex")</f>
        <v>Nike big two completely different than praise it, nike10.5 44.5, this pair of 43,9 yards on the line. Anti-fur should be loose. Yes cortex</v>
      </c>
    </row>
    <row r="16667">
      <c r="A16667" s="1">
        <v>5.0</v>
      </c>
      <c r="B16667" s="1" t="s">
        <v>16466</v>
      </c>
      <c r="C16667" t="str">
        <f>IFERROR(__xludf.DUMMYFUNCTION("GOOGLETRANSLATE(B16667, ""zh"", ""en"")"),"Leather soft, comfortable, usually 35, this shoe a bit too small, buy a freshman code just wearing soft leather, comfortable, usually 35, this shoe a bit too small, buy a freshman code wearing just")</f>
        <v>Leather soft, comfortable, usually 35, this shoe a bit too small, buy a freshman code just wearing soft leather, comfortable, usually 35, this shoe a bit too small, buy a freshman code wearing just</v>
      </c>
    </row>
    <row r="16668">
      <c r="A16668" s="1">
        <v>5.0</v>
      </c>
      <c r="B16668" s="1" t="s">
        <v>16467</v>
      </c>
      <c r="C16668" t="str">
        <f>IFERROR(__xludf.DUMMYFUNCTION("GOOGLETRANSLATE(B16668, ""zh"", ""en"")"),"Good dimensional cut very comfortable")</f>
        <v>Good dimensional cut very comfortable</v>
      </c>
    </row>
    <row r="16669">
      <c r="A16669" s="1">
        <v>5.0</v>
      </c>
      <c r="B16669" s="1" t="s">
        <v>16468</v>
      </c>
      <c r="C16669" t="str">
        <f>IFERROR(__xludf.DUMMYFUNCTION("GOOGLETRANSLATE(B16669, ""zh"", ""en"")"),"Comfortable to wear, size suitable for spring and early summer, loose trousers and comfortable to wear.")</f>
        <v>Comfortable to wear, size suitable for spring and early summer, loose trousers and comfortable to wear.</v>
      </c>
    </row>
    <row r="16670">
      <c r="A16670" s="1">
        <v>5.0</v>
      </c>
      <c r="B16670" s="1" t="s">
        <v>16469</v>
      </c>
      <c r="C16670" t="str">
        <f>IFERROR(__xludf.DUMMYFUNCTION("GOOGLETRANSLATE(B16670, ""zh"", ""en"")"),"Shoe size is really bad master shoe size just right. ecco shoes 40 yards, shoes and sandals would scoop 41 yards, this is the need to spend money to buy the experience. Domestic counter shoes basically no more than 39 yards, it is silent. Wear very comfor"&amp;"table shoes, shoes lining seemingly more slippery, but wear walking okay. Slip resistant soles. worth buying.")</f>
        <v>Shoe size is really bad master shoe size just right. ecco shoes 40 yards, shoes and sandals would scoop 41 yards, this is the need to spend money to buy the experience. Domestic counter shoes basically no more than 39 yards, it is silent. Wear very comfortable shoes, shoes lining seemingly more slippery, but wear walking okay. Slip resistant soles. worth buying.</v>
      </c>
    </row>
    <row r="16671">
      <c r="A16671" s="1">
        <v>5.0</v>
      </c>
      <c r="B16671" s="1" t="s">
        <v>16470</v>
      </c>
      <c r="C16671" t="str">
        <f>IFERROR(__xludf.DUMMYFUNCTION("GOOGLETRANSLATE(B16671, ""zh"", ""en"")"),"The title does not understand what it's like simplicity and gentle and exquisite workmanship")</f>
        <v>The title does not understand what it's like simplicity and gentle and exquisite workmanship</v>
      </c>
    </row>
    <row r="16672">
      <c r="A16672" s="1">
        <v>5.0</v>
      </c>
      <c r="B16672" s="1" t="s">
        <v>16471</v>
      </c>
      <c r="C16672" t="str">
        <f>IFERROR(__xludf.DUMMYFUNCTION("GOOGLETRANSLATE(B16672, ""zh"", ""en"")"),"Brand is the last word sometimes things are good, packaging is not damaged, I bought a second Sanford Charlie Horse color of lead, and with the still very good! High cost, it is recommended to start to love painting a color of lead")</f>
        <v>Brand is the last word sometimes things are good, packaging is not damaged, I bought a second Sanford Charlie Horse color of lead, and with the still very good! High cost, it is recommended to start to love painting a color of lead</v>
      </c>
    </row>
    <row r="16673">
      <c r="A16673" s="1">
        <v>2.0</v>
      </c>
      <c r="B16673" s="1" t="s">
        <v>16472</v>
      </c>
      <c r="C16673" t="str">
        <f>IFERROR(__xludf.DUMMYFUNCTION("GOOGLETRANSLATE(B16673, ""zh"", ""en"")"),"Packaging problems minimalist packaging, we have a taste before. The more a joke, with a very cheap pen packaging transparent tape to stick a large section, I understand you want to stick pen box packaging to prevent damage during transport, but this beha"&amp;"vior has seriously undermined the product packaging , how to give it away? Cheap Scotch tape also unglued. Tear Shihai get dirty, sticky see what what.")</f>
        <v>Packaging problems minimalist packaging, we have a taste before. The more a joke, with a very cheap pen packaging transparent tape to stick a large section, I understand you want to stick pen box packaging to prevent damage during transport, but this behavior has seriously undermined the product packaging , how to give it away? Cheap Scotch tape also unglued. Tear Shihai get dirty, sticky see what what.</v>
      </c>
    </row>
    <row r="16674">
      <c r="A16674" s="1">
        <v>3.0</v>
      </c>
      <c r="B16674" s="1" t="s">
        <v>16473</v>
      </c>
      <c r="C16674" t="str">
        <f>IFERROR(__xludf.DUMMYFUNCTION("GOOGLETRANSLATE(B16674, ""zh"", ""en"")"),"See comments say code big, buy the smallest code, but the waist a little small 175,75kg, s number just right rotator cuff, but below the waist a little tight. m number should be a good point, but because the clothing styles, certainly long sleeves m numbe"&amp;"r, can make do with wear")</f>
        <v>See comments say code big, buy the smallest code, but the waist a little small 175,75kg, s number just right rotator cuff, but below the waist a little tight. m number should be a good point, but because the clothing styles, certainly long sleeves m number, can make do with wear</v>
      </c>
    </row>
    <row r="16675">
      <c r="A16675" s="1">
        <v>3.0</v>
      </c>
      <c r="B16675" s="1" t="s">
        <v>16474</v>
      </c>
      <c r="C16675" t="str">
        <f>IFERROR(__xludf.DUMMYFUNCTION("GOOGLETRANSLATE(B16675, ""zh"", ""en"")"),"As expected there is a long gap between the general quality, style is good, do not feel fine")</f>
        <v>As expected there is a long gap between the general quality, style is good, do not feel fine</v>
      </c>
    </row>
    <row r="16676">
      <c r="A16676" s="1">
        <v>1.0</v>
      </c>
      <c r="B16676" s="1" t="s">
        <v>16475</v>
      </c>
      <c r="C16676" t="str">
        <f>IFERROR(__xludf.DUMMYFUNCTION("GOOGLETRANSLATE(B16676, ""zh"", ""en"")"),"Neckline neckline is too large, it is better quality Taobao twenty-nine one piece, do not recommend buying")</f>
        <v>Neckline neckline is too large, it is better quality Taobao twenty-nine one piece, do not recommend buying</v>
      </c>
    </row>
    <row r="16677">
      <c r="A16677" s="1">
        <v>1.0</v>
      </c>
      <c r="B16677" s="1" t="s">
        <v>16476</v>
      </c>
      <c r="C16677" t="str">
        <f>IFERROR(__xludf.DUMMYFUNCTION("GOOGLETRANSLATE(B16677, ""zh"", ""en"")"),"There is a hole on the clothes tried to buy back after the tag directly under the size of the cut yesterday wear out when it found the right chest has a hole the size of soybean 😒 tag did not dare return shipping to over one hundred")</f>
        <v>There is a hole on the clothes tried to buy back after the tag directly under the size of the cut yesterday wear out when it found the right chest has a hole the size of soybean 😒 tag did not dare return shipping to over one hundred</v>
      </c>
    </row>
    <row r="16678">
      <c r="A16678" s="1">
        <v>1.0</v>
      </c>
      <c r="B16678" s="1" t="s">
        <v>16477</v>
      </c>
      <c r="C16678" t="str">
        <f>IFERROR(__xludf.DUMMYFUNCTION("GOOGLETRANSLATE(B16678, ""zh"", ""en"")"),"It is the real thing zipper slim ykk, do not buckle thick, front pocket silk cloth is too long, fifty or sixty dollars with domestic materials similar, serious doubt is not genuine")</f>
        <v>It is the real thing zipper slim ykk, do not buckle thick, front pocket silk cloth is too long, fifty or sixty dollars with domestic materials similar, serious doubt is not genuine</v>
      </c>
    </row>
    <row r="16679">
      <c r="A16679" s="1">
        <v>4.0</v>
      </c>
      <c r="B16679" s="1" t="s">
        <v>16478</v>
      </c>
      <c r="C16679" t="str">
        <f>IFERROR(__xludf.DUMMYFUNCTION("GOOGLETRANSLATE(B16679, ""zh"", ""en"")"),"Shoes Fortunately, express speed is questionable, Europe 4 days to shoes Fortunately, express speed is doubtful, four days to Europe")</f>
        <v>Shoes Fortunately, express speed is questionable, Europe 4 days to shoes Fortunately, express speed is doubtful, four days to Europe</v>
      </c>
    </row>
    <row r="16680">
      <c r="A16680" s="1">
        <v>4.0</v>
      </c>
      <c r="B16680" s="1" t="s">
        <v>16479</v>
      </c>
      <c r="C16680" t="str">
        <f>IFERROR(__xludf.DUMMYFUNCTION("GOOGLETRANSLATE(B16680, ""zh"", ""en"")"),"The right size, warm effect good right size, comfort, warmth and good effect")</f>
        <v>The right size, warm effect good right size, comfort, warmth and good effect</v>
      </c>
    </row>
    <row r="16681">
      <c r="A16681" s="1">
        <v>4.0</v>
      </c>
      <c r="B16681" s="1" t="s">
        <v>16480</v>
      </c>
      <c r="C16681" t="str">
        <f>IFERROR(__xludf.DUMMYFUNCTION("GOOGLETRANSLATE(B16681, ""zh"", ""en"")"),"Cost-effective, but have been severely crushed pot top of the box, but fortunately, not down to the headset, minus a star. Open feel so small, very fine smaller than imagined, but the line is very soft, very comfortable to wear, stethoscope effect in gene"&amp;"ral, need to first ear boring, said the final ruthlessly pot, boil for some time to see.")</f>
        <v>Cost-effective, but have been severely crushed pot top of the box, but fortunately, not down to the headset, minus a star. Open feel so small, very fine smaller than imagined, but the line is very soft, very comfortable to wear, stethoscope effect in general, need to first ear boring, said the final ruthlessly pot, boil for some time to see.</v>
      </c>
    </row>
    <row r="16682">
      <c r="A16682" s="1">
        <v>4.0</v>
      </c>
      <c r="B16682" s="1" t="s">
        <v>16481</v>
      </c>
      <c r="C16682" t="str">
        <f>IFERROR(__xludf.DUMMYFUNCTION("GOOGLETRANSLATE(B16682, ""zh"", ""en"")"),"Shoes code size with the same texture can be. Jiaogan hard than expected, did not even buffer. Insole really slippery.")</f>
        <v>Shoes code size with the same texture can be. Jiaogan hard than expected, did not even buffer. Insole really slippery.</v>
      </c>
    </row>
    <row r="16683">
      <c r="A16683" s="1">
        <v>4.0</v>
      </c>
      <c r="B16683" s="1" t="s">
        <v>16482</v>
      </c>
      <c r="C16683" t="str">
        <f>IFERROR(__xludf.DUMMYFUNCTION("GOOGLETRANSLATE(B16683, ""zh"", ""en"")"),"Fabric generally like size is standard, but the fabric is really general series")</f>
        <v>Fabric generally like size is standard, but the fabric is really general series</v>
      </c>
    </row>
    <row r="16684">
      <c r="A16684" s="1">
        <v>5.0</v>
      </c>
      <c r="B16684" s="1" t="s">
        <v>16483</v>
      </c>
      <c r="C16684" t="str">
        <f>IFERROR(__xludf.DUMMYFUNCTION("GOOGLETRANSLATE(B16684, ""zh"", ""en"")"),"Champion sweater bought a second piece, affordable")</f>
        <v>Champion sweater bought a second piece, affordable</v>
      </c>
    </row>
    <row r="16685">
      <c r="A16685" s="1">
        <v>5.0</v>
      </c>
      <c r="B16685" s="1" t="s">
        <v>16484</v>
      </c>
      <c r="C16685" t="str">
        <f>IFERROR(__xludf.DUMMYFUNCTION("GOOGLETRANSLATE(B16685, ""zh"", ""en"")"),"Commodity good, very satisfied with the price is right")</f>
        <v>Commodity good, very satisfied with the price is right</v>
      </c>
    </row>
    <row r="16686">
      <c r="A16686" s="1">
        <v>5.0</v>
      </c>
      <c r="B16686" s="1" t="s">
        <v>16485</v>
      </c>
      <c r="C16686" t="str">
        <f>IFERROR(__xludf.DUMMYFUNCTION("GOOGLETRANSLATE(B16686, ""zh"", ""en"")"),"Comfortable, lightweight, good-looking! Ecco shoes, choosing the right number, the foot is very comfortable. The relatively light, good-looking!")</f>
        <v>Comfortable, lightweight, good-looking! Ecco shoes, choosing the right number, the foot is very comfortable. The relatively light, good-looking!</v>
      </c>
    </row>
    <row r="16687">
      <c r="A16687" s="1">
        <v>5.0</v>
      </c>
      <c r="B16687" s="1" t="s">
        <v>16486</v>
      </c>
      <c r="C16687" t="str">
        <f>IFERROR(__xludf.DUMMYFUNCTION("GOOGLETRANSLATE(B16687, ""zh"", ""en"")"),"Why did not bowl lid I wonder why I bought this bowl is not cover!")</f>
        <v>Why did not bowl lid I wonder why I bought this bowl is not cover!</v>
      </c>
    </row>
    <row r="16688">
      <c r="A16688" s="1">
        <v>5.0</v>
      </c>
      <c r="B16688" s="1" t="s">
        <v>16487</v>
      </c>
      <c r="C16688" t="str">
        <f>IFERROR(__xludf.DUMMYFUNCTION("GOOGLETRANSLATE(B16688, ""zh"", ""en"")"),"Ok! Ok!")</f>
        <v>Ok! Ok!</v>
      </c>
    </row>
    <row r="16689">
      <c r="A16689" s="1">
        <v>5.0</v>
      </c>
      <c r="B16689" s="1" t="s">
        <v>16488</v>
      </c>
      <c r="C16689" t="str">
        <f>IFERROR(__xludf.DUMMYFUNCTION("GOOGLETRANSLATE(B16689, ""zh"", ""en"")"),"Not too thick, just inside a thin layer of thick are M code, buy is M code, less thick")</f>
        <v>Not too thick, just inside a thin layer of thick are M code, buy is M code, less thick</v>
      </c>
    </row>
    <row r="16690">
      <c r="A16690" s="1">
        <v>5.0</v>
      </c>
      <c r="B16690" s="1" t="s">
        <v>16489</v>
      </c>
      <c r="C16690" t="str">
        <f>IFERROR(__xludf.DUMMYFUNCTION("GOOGLETRANSLATE(B16690, ""zh"", ""en"")"),"Very good stew beaker, bought the children out to play with a meal with! Very good stew beaker, bought the children out to play with a meal with! Very practical, very good insulation effect!")</f>
        <v>Very good stew beaker, bought the children out to play with a meal with! Very good stew beaker, bought the children out to play with a meal with! Very practical, very good insulation effect!</v>
      </c>
    </row>
    <row r="16691">
      <c r="A16691" s="1">
        <v>5.0</v>
      </c>
      <c r="B16691" s="1" t="s">
        <v>16490</v>
      </c>
      <c r="C16691" t="str">
        <f>IFERROR(__xludf.DUMMYFUNCTION("GOOGLETRANSLATE(B16691, ""zh"", ""en"")"),"The leather boots have purchased good, code is very accurate, usually wear what code on what to buy code.")</f>
        <v>The leather boots have purchased good, code is very accurate, usually wear what code on what to buy code.</v>
      </c>
    </row>
    <row r="16692">
      <c r="A16692" s="1">
        <v>5.0</v>
      </c>
      <c r="B16692" s="1" t="s">
        <v>16491</v>
      </c>
      <c r="C16692" t="str">
        <f>IFERROR(__xludf.DUMMYFUNCTION("GOOGLETRANSLATE(B16692, ""zh"", ""en"")"),"Kettle nice new house purchase, has not started, looks pretty good.")</f>
        <v>Kettle nice new house purchase, has not started, looks pretty good.</v>
      </c>
    </row>
    <row r="16693">
      <c r="A16693" s="1">
        <v>5.0</v>
      </c>
      <c r="B16693" s="1" t="s">
        <v>16492</v>
      </c>
      <c r="C16693" t="str">
        <f>IFERROR(__xludf.DUMMYFUNCTION("GOOGLETRANSLATE(B16693, ""zh"", ""en"")"),"Wanderers like silicone baby bottle is useful, purchase orders abroad in the Amazon April 2, the result of transit packaging is broken, Amazon went directly to the return of goods, bought a last resort in the country, a 199, with the wanderers also began "&amp;"to eat the bottle, and hurried on Amazon and overseas purchase orders to buy two, buy two a cheaper abroad than at home on the purchase, packaging is too simple, it is a set of a plastic bag outside the box. The estimate is too simple packaging, for the f"&amp;"irst time to buy the packaging is damaged directly returned. After the bottle to get apart smell, no odor, cleaning and disinfection after use directly to toddlers.")</f>
        <v>Wanderers like silicone baby bottle is useful, purchase orders abroad in the Amazon April 2, the result of transit packaging is broken, Amazon went directly to the return of goods, bought a last resort in the country, a 199, with the wanderers also began to eat the bottle, and hurried on Amazon and overseas purchase orders to buy two, buy two a cheaper abroad than at home on the purchase, packaging is too simple, it is a set of a plastic bag outside the box. The estimate is too simple packaging, for the first time to buy the packaging is damaged directly returned. After the bottle to get apart smell, no odor, cleaning and disinfection after use directly to toddlers.</v>
      </c>
    </row>
    <row r="16694">
      <c r="A16694" s="1">
        <v>5.0</v>
      </c>
      <c r="B16694" s="1" t="s">
        <v>16493</v>
      </c>
      <c r="C16694" t="str">
        <f>IFERROR(__xludf.DUMMYFUNCTION("GOOGLETRANSLATE(B16694, ""zh"", ""en"")"),"Affordable affordable, you can eat for a long time")</f>
        <v>Affordable affordable, you can eat for a long time</v>
      </c>
    </row>
    <row r="16695">
      <c r="A16695" s="1">
        <v>5.0</v>
      </c>
      <c r="B16695" s="1" t="s">
        <v>16494</v>
      </c>
      <c r="C16695" t="str">
        <f>IFERROR(__xludf.DUMMYFUNCTION("GOOGLETRANSLATE(B16695, ""zh"", ""en"")"),"good, very good! Comfortable, self-cultivation, the price is right!")</f>
        <v>good, very good! Comfortable, self-cultivation, the price is right!</v>
      </c>
    </row>
    <row r="16696">
      <c r="A16696" s="1">
        <v>5.0</v>
      </c>
      <c r="B16696" s="1" t="s">
        <v>16495</v>
      </c>
      <c r="C16696" t="str">
        <f>IFERROR(__xludf.DUMMYFUNCTION("GOOGLETRANSLATE(B16696, ""zh"", ""en"")"),"I received good shoes good shoes, no flaws. Very comfortable shoes, style is simple and elegant, the price to buy is still very good. I am a long slim legs, usually wear 36 yards, often long 36 suitable shoes but sometimes some brands is too large shoe si"&amp;"ze can wear a longer length 35. pay shoes, the shoes of the right size 35, but is shorter. I bought these shoes 3.5 yards, right size, slant a little longer, but does not affect the wear, do not need to put insoles. It is this experience that I bought sho"&amp;"es for your reference.")</f>
        <v>I received good shoes good shoes, no flaws. Very comfortable shoes, style is simple and elegant, the price to buy is still very good. I am a long slim legs, usually wear 36 yards, often long 36 suitable shoes but sometimes some brands is too large shoe size can wear a longer length 35. pay shoes, the shoes of the right size 35, but is shorter. I bought these shoes 3.5 yards, right size, slant a little longer, but does not affect the wear, do not need to put insoles. It is this experience that I bought shoes for your reference.</v>
      </c>
    </row>
    <row r="16697">
      <c r="A16697" s="1">
        <v>5.0</v>
      </c>
      <c r="B16697" s="1" t="s">
        <v>16496</v>
      </c>
      <c r="C16697" t="str">
        <f>IFERROR(__xludf.DUMMYFUNCTION("GOOGLETRANSLATE(B16697, ""zh"", ""en"")"),"Nice little elastic fabric, very comfortable to wear. And usually wear the same code number.")</f>
        <v>Nice little elastic fabric, very comfortable to wear. And usually wear the same code number.</v>
      </c>
    </row>
    <row r="16698">
      <c r="A16698" s="1">
        <v>5.0</v>
      </c>
      <c r="B16698" s="1" t="s">
        <v>16497</v>
      </c>
      <c r="C16698" t="str">
        <f>IFERROR(__xludf.DUMMYFUNCTION("GOOGLETRANSLATE(B16698, ""zh"", ""en"")"),"Nice thick more than the same AIU much better brand of T-shirts")</f>
        <v>Nice thick more than the same AIU much better brand of T-shirts</v>
      </c>
    </row>
    <row r="16699">
      <c r="A16699" s="1">
        <v>5.0</v>
      </c>
      <c r="B16699" s="1" t="s">
        <v>16498</v>
      </c>
      <c r="C16699" t="str">
        <f>IFERROR(__xludf.DUMMYFUNCTION("GOOGLETRANSLATE(B16699, ""zh"", ""en"")"),"High cost quality is great, with the original sound better with")</f>
        <v>High cost quality is great, with the original sound better with</v>
      </c>
    </row>
    <row r="16700">
      <c r="A16700" s="1">
        <v>5.0</v>
      </c>
      <c r="B16700" s="1" t="s">
        <v>16499</v>
      </c>
      <c r="C16700" t="str">
        <f>IFERROR(__xludf.DUMMYFUNCTION("GOOGLETRANSLATE(B16700, ""zh"", ""en"")"),"Clean teeth can be assured smile just fine with, bought after m has been using, wash the meal, good teeth clean, do not worry there is a foreign body in the teeth.")</f>
        <v>Clean teeth can be assured smile just fine with, bought after m has been using, wash the meal, good teeth clean, do not worry there is a foreign body in the teeth.</v>
      </c>
    </row>
    <row r="16701">
      <c r="A16701" s="1">
        <v>5.0</v>
      </c>
      <c r="B16701" s="1" t="s">
        <v>16500</v>
      </c>
      <c r="C16701" t="str">
        <f>IFERROR(__xludf.DUMMYFUNCTION("GOOGLETRANSLATE(B16701, ""zh"", ""en"")"),"Very good like this brand! it is good! it is good! Still say: Good! 👍🤗")</f>
        <v>Very good like this brand! it is good! it is good! Still say: Good! 👍🤗</v>
      </c>
    </row>
    <row r="16702">
      <c r="A16702" s="1">
        <v>5.0</v>
      </c>
      <c r="B16702" s="1" t="s">
        <v>16501</v>
      </c>
      <c r="C16702" t="str">
        <f>IFERROR(__xludf.DUMMYFUNCTION("GOOGLETRANSLATE(B16702, ""zh"", ""en"")"),"No damage is very delicate, it seems very delicate ah")</f>
        <v>No damage is very delicate, it seems very delicate ah</v>
      </c>
    </row>
    <row r="16703">
      <c r="A16703" s="1">
        <v>5.0</v>
      </c>
      <c r="B16703" s="1" t="s">
        <v>16502</v>
      </c>
      <c r="C16703" t="str">
        <f>IFERROR(__xludf.DUMMYFUNCTION("GOOGLETRANSLATE(B16703, ""zh"", ""en"")"),"Something good not bad Initial D Jay mainly to the upper right corner of the key selling feelings you do not tangle the concave originally designed not so bad anti inadvertently")</f>
        <v>Something good not bad Initial D Jay mainly to the upper right corner of the key selling feelings you do not tangle the concave originally designed not so bad anti inadvertently</v>
      </c>
    </row>
    <row r="16704">
      <c r="A16704" s="1">
        <v>5.0</v>
      </c>
      <c r="B16704" s="1" t="s">
        <v>16503</v>
      </c>
      <c r="C16704" t="str">
        <f>IFERROR(__xludf.DUMMYFUNCTION("GOOGLETRANSLATE(B16704, ""zh"", ""en"")"),"See Table before some negative feedback is very good, a little worried, but still believe that the quality of self Amazon. After buying up to find a good watch, travel time is very accurate, spent more than a week, basically no errors. The watch also look"&amp;"s good, with the picture a few goes.")</f>
        <v>See Table before some negative feedback is very good, a little worried, but still believe that the quality of self Amazon. After buying up to find a good watch, travel time is very accurate, spent more than a week, basically no errors. The watch also looks good, with the picture a few goes.</v>
      </c>
    </row>
    <row r="16705">
      <c r="A16705" s="1">
        <v>5.0</v>
      </c>
      <c r="B16705" s="1" t="s">
        <v>16504</v>
      </c>
      <c r="C16705" t="str">
        <f>IFERROR(__xludf.DUMMYFUNCTION("GOOGLETRANSLATE(B16705, ""zh"", ""en"")"),"Attractive Attractive, spirit wear")</f>
        <v>Attractive Attractive, spirit wear</v>
      </c>
    </row>
    <row r="16706">
      <c r="A16706" s="1">
        <v>2.0</v>
      </c>
      <c r="B16706" s="1" t="s">
        <v>16505</v>
      </c>
      <c r="C16706" t="str">
        <f>IFERROR(__xludf.DUMMYFUNCTION("GOOGLETRANSLATE(B16706, ""zh"", ""en"")"),"Too, knew to be a replacement of, hey, buy a lesson too, knew to be a replacement of, hey, buy a lesson too, I knew to be a replacement of, hey, buy a big lesson the early replacement of know, hey, buy a lesson")</f>
        <v>Too, knew to be a replacement of, hey, buy a lesson too, knew to be a replacement of, hey, buy a lesson too, I knew to be a replacement of, hey, buy a big lesson the early replacement of know, hey, buy a lesson</v>
      </c>
    </row>
    <row r="16707">
      <c r="A16707" s="1">
        <v>3.0</v>
      </c>
      <c r="B16707" s="1" t="s">
        <v>16506</v>
      </c>
      <c r="C16707" t="str">
        <f>IFERROR(__xludf.DUMMYFUNCTION("GOOGLETRANSLATE(B16707, ""zh"", ""en"")"),"Leather cortical too hard too hard to recommend businesses employ slightly more soft leather")</f>
        <v>Leather cortical too hard too hard to recommend businesses employ slightly more soft leather</v>
      </c>
    </row>
    <row r="16708">
      <c r="A16708" s="1">
        <v>3.0</v>
      </c>
      <c r="B16708" s="1" t="s">
        <v>16507</v>
      </c>
      <c r="C16708" t="str">
        <f>IFERROR(__xludf.DUMMYFUNCTION("GOOGLETRANSLATE(B16708, ""zh"", ""en"")"),"Write a comment ... I have to say seriously work in general, and even some rough, cable head, corner handling it very well, but it is also good gloss leather, leather hard. Upper relatively high, a little poke leg; more hard look at running a few days. Re"&amp;"ceived surface dust, does not affect the wear. Usually 36 yards, feet skinny feet is not high, the shoes too large, to buy three yards, wear thin cotton socks just right.")</f>
        <v>Write a comment ... I have to say seriously work in general, and even some rough, cable head, corner handling it very well, but it is also good gloss leather, leather hard. Upper relatively high, a little poke leg; more hard look at running a few days. Received surface dust, does not affect the wear. Usually 36 yards, feet skinny feet is not high, the shoes too large, to buy three yards, wear thin cotton socks just right.</v>
      </c>
    </row>
    <row r="16709">
      <c r="A16709" s="1">
        <v>1.0</v>
      </c>
      <c r="B16709" s="1" t="s">
        <v>16508</v>
      </c>
      <c r="C16709" t="str">
        <f>IFERROR(__xludf.DUMMYFUNCTION("GOOGLETRANSLATE(B16709, ""zh"", ""en"")"),"Useless to see a lot of comments saying receipt of the machine is used in this package arrived I found much of stickers are very good appearance is nothing wrong inside the machine did not use trace this effect is also ok but I say the slightest use respo"&amp;"nsibly do not use after hair removal from the receipt of the goods on a weekly basis now and then now how long tapering how long even though conditions are not black is buying very cheap now but basically this money is wasted")</f>
        <v>Useless to see a lot of comments saying receipt of the machine is used in this package arrived I found much of stickers are very good appearance is nothing wrong inside the machine did not use trace this effect is also ok but I say the slightest use responsibly do not use after hair removal from the receipt of the goods on a weekly basis now and then now how long tapering how long even though conditions are not black is buying very cheap now but basically this money is wasted</v>
      </c>
    </row>
    <row r="16710">
      <c r="A16710" s="1">
        <v>1.0</v>
      </c>
      <c r="B16710" s="1" t="s">
        <v>16509</v>
      </c>
      <c r="C16710" t="str">
        <f>IFERROR(__xludf.DUMMYFUNCTION("GOOGLETRANSLATE(B16710, ""zh"", ""en"")"),"Quality, but off the summer put two months to go to listen to, it can not be listened to. Quality is something wrong")</f>
        <v>Quality, but off the summer put two months to go to listen to, it can not be listened to. Quality is something wrong</v>
      </c>
    </row>
    <row r="16711">
      <c r="A16711" s="1">
        <v>1.0</v>
      </c>
      <c r="B16711" s="1" t="s">
        <v>16510</v>
      </c>
      <c r="C16711" t="str">
        <f>IFERROR(__xludf.DUMMYFUNCTION("GOOGLETRANSLATE(B16711, ""zh"", ""en"")"),"There are also self-employed overseas buy fakes for the first time to buy a fake self know in the Amazon, faith is gone. Just started unpacking to see the logo blurred, I thought it was only printing problem, find the feeling after using far more than pre"&amp;"viously bought poor")</f>
        <v>There are also self-employed overseas buy fakes for the first time to buy a fake self know in the Amazon, faith is gone. Just started unpacking to see the logo blurred, I thought it was only printing problem, find the feeling after using far more than previously bought poor</v>
      </c>
    </row>
    <row r="16712">
      <c r="A16712" s="1">
        <v>4.0</v>
      </c>
      <c r="B16712" s="1" t="s">
        <v>16511</v>
      </c>
      <c r="C16712" t="str">
        <f>IFERROR(__xludf.DUMMYFUNCTION("GOOGLETRANSLATE(B16712, ""zh"", ""en"")"),"Grimm looks good, and then cheaper better")</f>
        <v>Grimm looks good, and then cheaper better</v>
      </c>
    </row>
    <row r="16713">
      <c r="A16713" s="1">
        <v>4.0</v>
      </c>
      <c r="B16713" s="1" t="s">
        <v>16512</v>
      </c>
      <c r="C16713" t="str">
        <f>IFERROR(__xludf.DUMMYFUNCTION("GOOGLETRANSLATE(B16713, ""zh"", ""en"")"),"Okay, is not genuine pure white, sports shoes 40 yards, this 7US slightly larger, amounting to 320.")</f>
        <v>Okay, is not genuine pure white, sports shoes 40 yards, this 7US slightly larger, amounting to 320.</v>
      </c>
    </row>
    <row r="16714">
      <c r="A16714" s="1">
        <v>4.0</v>
      </c>
      <c r="B16714" s="1" t="s">
        <v>16513</v>
      </c>
      <c r="C16714" t="str">
        <f>IFERROR(__xludf.DUMMYFUNCTION("GOOGLETRANSLATE(B16714, ""zh"", ""en"")"),"Something good, but useless on something good, no smell, but my baby like the whole feel of the entrance, more like a banana corn this shape")</f>
        <v>Something good, but useless on something good, no smell, but my baby like the whole feel of the entrance, more like a banana corn this shape</v>
      </c>
    </row>
    <row r="16715">
      <c r="A16715" s="1">
        <v>4.0</v>
      </c>
      <c r="B16715" s="1" t="s">
        <v>16514</v>
      </c>
      <c r="C16715" t="str">
        <f>IFERROR(__xludf.DUMMYFUNCTION("GOOGLETRANSLATE(B16715, ""zh"", ""en"")"),"Size 183 high, 80 weight, xl.17.32-33 just right. I hope everyone has to help.")</f>
        <v>Size 183 high, 80 weight, xl.17.32-33 just right. I hope everyone has to help.</v>
      </c>
    </row>
    <row r="16716">
      <c r="A16716" s="1">
        <v>4.0</v>
      </c>
      <c r="B16716" s="1" t="s">
        <v>16515</v>
      </c>
      <c r="C16716" t="str">
        <f>IFERROR(__xludf.DUMMYFUNCTION("GOOGLETRANSLATE(B16716, ""zh"", ""en"")"),"Clothes are a bit smaller size can not grasp buy foreign short clothes")</f>
        <v>Clothes are a bit smaller size can not grasp buy foreign short clothes</v>
      </c>
    </row>
    <row r="16717">
      <c r="A16717" s="1">
        <v>5.0</v>
      </c>
      <c r="B16717" s="1" t="s">
        <v>16516</v>
      </c>
      <c r="C16717" t="str">
        <f>IFERROR(__xludf.DUMMYFUNCTION("GOOGLETRANSLATE(B16717, ""zh"", ""en"")"),"WYSIWYG is very good, simple and easy shaving, razor for very satisfied. But packing too simple, perhaps through customs in relation to, the packaging is open.")</f>
        <v>WYSIWYG is very good, simple and easy shaving, razor for very satisfied. But packing too simple, perhaps through customs in relation to, the packaging is open.</v>
      </c>
    </row>
    <row r="16718">
      <c r="A16718" s="1">
        <v>5.0</v>
      </c>
      <c r="B16718" s="1" t="s">
        <v>16517</v>
      </c>
      <c r="C16718" t="str">
        <f>IFERROR(__xludf.DUMMYFUNCTION("GOOGLETRANSLATE(B16718, ""zh"", ""en"")"),"Once regarded as happy not happy shopping experience thing to hand, it really is a very good full weight, but not too smooth damping, and I would like to bring calligraphy feel completely unable to control the pen, I do not know what went where to go ! ! "&amp;"Daily writing is very comfortable, but the feeling is not suitable for calligraphy.")</f>
        <v>Once regarded as happy not happy shopping experience thing to hand, it really is a very good full weight, but not too smooth damping, and I would like to bring calligraphy feel completely unable to control the pen, I do not know what went where to go ! ! Daily writing is very comfortable, but the feeling is not suitable for calligraphy.</v>
      </c>
    </row>
    <row r="16719">
      <c r="A16719" s="1">
        <v>5.0</v>
      </c>
      <c r="B16719" s="1" t="s">
        <v>16518</v>
      </c>
      <c r="C16719" t="str">
        <f>IFERROR(__xludf.DUMMYFUNCTION("GOOGLETRANSLATE(B16719, ""zh"", ""en"")"),"Men Vitamin husband ate pretty good the price is right also to buy two boxes at amortized taxes. Further wherein the group b will start urine is fluorescent yellow surprised. But as long as drink plenty of water hydrolysis out on ok")</f>
        <v>Men Vitamin husband ate pretty good the price is right also to buy two boxes at amortized taxes. Further wherein the group b will start urine is fluorescent yellow surprised. But as long as drink plenty of water hydrolysis out on ok</v>
      </c>
    </row>
    <row r="16720">
      <c r="A16720" s="1">
        <v>5.0</v>
      </c>
      <c r="B16720" s="1" t="s">
        <v>16519</v>
      </c>
      <c r="C16720" t="str">
        <f>IFERROR(__xludf.DUMMYFUNCTION("GOOGLETRANSLATE(B16720, ""zh"", ""en"")"),"Very satisfied with the shopping shoes quality is very good all-belt edging is cheap to buy a good deal")</f>
        <v>Very satisfied with the shopping shoes quality is very good all-belt edging is cheap to buy a good deal</v>
      </c>
    </row>
    <row r="16721">
      <c r="A16721" s="1">
        <v>5.0</v>
      </c>
      <c r="B16721" s="1" t="s">
        <v>16520</v>
      </c>
      <c r="C16721" t="str">
        <f>IFERROR(__xludf.DUMMYFUNCTION("GOOGLETRANSLATE(B16721, ""zh"", ""en"")"),"Good product wife said great, small hair frizz gone. Outlet to divert attention.")</f>
        <v>Good product wife said great, small hair frizz gone. Outlet to divert attention.</v>
      </c>
    </row>
    <row r="16722">
      <c r="A16722" s="1">
        <v>5.0</v>
      </c>
      <c r="B16722" s="1" t="s">
        <v>16521</v>
      </c>
      <c r="C16722" t="str">
        <f>IFERROR(__xludf.DUMMYFUNCTION("GOOGLETRANSLATE(B16722, ""zh"", ""en"")"),"Fit athletic shoes dress shoes more suitable than the thicker soles of people.")</f>
        <v>Fit athletic shoes dress shoes more suitable than the thicker soles of people.</v>
      </c>
    </row>
    <row r="16723">
      <c r="A16723" s="1">
        <v>5.0</v>
      </c>
      <c r="B16723" s="1" t="s">
        <v>16522</v>
      </c>
      <c r="C16723" t="str">
        <f>IFERROR(__xludf.DUMMYFUNCTION("GOOGLETRANSLATE(B16723, ""zh"", ""en"")"),"Essential basic models is very good, clarks shoes really great, basic models, essential, looking like a black sun showing a dark blue, very elegant")</f>
        <v>Essential basic models is very good, clarks shoes really great, basic models, essential, looking like a black sun showing a dark blue, very elegant</v>
      </c>
    </row>
    <row r="16724">
      <c r="A16724" s="1">
        <v>5.0</v>
      </c>
      <c r="B16724" s="1" t="s">
        <v>16523</v>
      </c>
      <c r="C16724" t="str">
        <f>IFERROR(__xludf.DUMMYFUNCTION("GOOGLETRANSLATE(B16724, ""zh"", ""en"")"),"Fit a price goods, on the whole pretty good.")</f>
        <v>Fit a price goods, on the whole pretty good.</v>
      </c>
    </row>
    <row r="16725">
      <c r="A16725" s="1">
        <v>5.0</v>
      </c>
      <c r="B16725" s="1" t="s">
        <v>16524</v>
      </c>
      <c r="C16725" t="str">
        <f>IFERROR(__xludf.DUMMYFUNCTION("GOOGLETRANSLATE(B16725, ""zh"", ""en"")"),"Mainly the high cost packaging intact, relatively fast delivery, high cost, the basic models sold in the country is too expensive.")</f>
        <v>Mainly the high cost packaging intact, relatively fast delivery, high cost, the basic models sold in the country is too expensive.</v>
      </c>
    </row>
    <row r="16726">
      <c r="A16726" s="1">
        <v>5.0</v>
      </c>
      <c r="B16726" s="1" t="s">
        <v>16525</v>
      </c>
      <c r="C16726" t="str">
        <f>IFERROR(__xludf.DUMMYFUNCTION("GOOGLETRANSLATE(B16726, ""zh"", ""en"")"),"Buy two very good, red is the second purchase")</f>
        <v>Buy two very good, red is the second purchase</v>
      </c>
    </row>
    <row r="16727">
      <c r="A16727" s="1">
        <v>5.0</v>
      </c>
      <c r="B16727" s="1" t="s">
        <v>16526</v>
      </c>
      <c r="C16727" t="str">
        <f>IFERROR(__xludf.DUMMYFUNCTION("GOOGLETRANSLATE(B16727, ""zh"", ""en"")"),"Do no wrong choice of good, classic style, comfortable to wear")</f>
        <v>Do no wrong choice of good, classic style, comfortable to wear</v>
      </c>
    </row>
    <row r="16728">
      <c r="A16728" s="1">
        <v>5.0</v>
      </c>
      <c r="B16728" s="1" t="s">
        <v>16527</v>
      </c>
      <c r="C16728" t="str">
        <f>IFERROR(__xludf.DUMMYFUNCTION("GOOGLETRANSLATE(B16728, ""zh"", ""en"")"),"Home wear comfortable soft, Japanese-style")</f>
        <v>Home wear comfortable soft, Japanese-style</v>
      </c>
    </row>
    <row r="16729">
      <c r="A16729" s="1">
        <v>5.0</v>
      </c>
      <c r="B16729" s="1" t="s">
        <v>16528</v>
      </c>
      <c r="C16729" t="str">
        <f>IFERROR(__xludf.DUMMYFUNCTION("GOOGLETRANSLATE(B16729, ""zh"", ""en"")"),"Good quality, authentic, worthy of recommendation.")</f>
        <v>Good quality, authentic, worthy of recommendation.</v>
      </c>
    </row>
    <row r="16730">
      <c r="A16730" s="1">
        <v>5.0</v>
      </c>
      <c r="B16730" s="1" t="s">
        <v>16529</v>
      </c>
      <c r="C16730" t="str">
        <f>IFERROR(__xludf.DUMMYFUNCTION("GOOGLETRANSLATE(B16730, ""zh"", ""en"")"),"The price is high for the first time overseas Amazon purchase, the watch happened to meet AIU great discount efforts, the hand was less than 190, Taobao Shopping basically in 350, the high cost! The difference between good logistics to go for two weeks, c"&amp;"an accept, the watch is also very good! very satisfied!")</f>
        <v>The price is high for the first time overseas Amazon purchase, the watch happened to meet AIU great discount efforts, the hand was less than 190, Taobao Shopping basically in 350, the high cost! The difference between good logistics to go for two weeks, can accept, the watch is also very good! very satisfied!</v>
      </c>
    </row>
    <row r="16731">
      <c r="A16731" s="1">
        <v>5.0</v>
      </c>
      <c r="B16731" s="1" t="s">
        <v>16530</v>
      </c>
      <c r="C16731" t="str">
        <f>IFERROR(__xludf.DUMMYFUNCTION("GOOGLETRANSLATE(B16731, ""zh"", ""en"")"),"Well repurchase big bottle of soft candy, the price is very cheap")</f>
        <v>Well repurchase big bottle of soft candy, the price is very cheap</v>
      </c>
    </row>
    <row r="16732">
      <c r="A16732" s="1">
        <v>5.0</v>
      </c>
      <c r="B16732" s="1" t="s">
        <v>16531</v>
      </c>
      <c r="C16732" t="str">
        <f>IFERROR(__xludf.DUMMYFUNCTION("GOOGLETRANSLATE(B16732, ""zh"", ""en"")"),"Height is very good clothes, material is also feeling comfortable, I 175, weight 140 pounds, m code Slim, l code loose. for reference")</f>
        <v>Height is very good clothes, material is also feeling comfortable, I 175, weight 140 pounds, m code Slim, l code loose. for reference</v>
      </c>
    </row>
    <row r="16733">
      <c r="A16733" s="1">
        <v>5.0</v>
      </c>
      <c r="B16733" s="1" t="s">
        <v>16532</v>
      </c>
      <c r="C16733" t="str">
        <f>IFERROR(__xludf.DUMMYFUNCTION("GOOGLETRANSLATE(B16733, ""zh"", ""en"")"),"soft skin. Really OK, very like soft leather, wearing foot wear completely, very comfortable. like very much.")</f>
        <v>soft skin. Really OK, very like soft leather, wearing foot wear completely, very comfortable. like very much.</v>
      </c>
    </row>
    <row r="16734">
      <c r="A16734" s="1">
        <v>5.0</v>
      </c>
      <c r="B16734" s="1" t="s">
        <v>16533</v>
      </c>
      <c r="C16734" t="str">
        <f>IFERROR(__xludf.DUMMYFUNCTION("GOOGLETRANSLATE(B16734, ""zh"", ""en"")"),"Bang Bang is a perfect yo ~ ~ the store tried, very comfortable on the feet, the store can buy three pairs one pair of the Amazon.")</f>
        <v>Bang Bang is a perfect yo ~ ~ the store tried, very comfortable on the feet, the store can buy three pairs one pair of the Amazon.</v>
      </c>
    </row>
    <row r="16735">
      <c r="A16735" s="1">
        <v>5.0</v>
      </c>
      <c r="B16735" s="1" t="s">
        <v>16534</v>
      </c>
      <c r="C16735" t="str">
        <f>IFERROR(__xludf.DUMMYFUNCTION("GOOGLETRANSLATE(B16735, ""zh"", ""en"")"),"Value for money although a little expensive, really value ah. Not only beautiful, but not boiling water noise.")</f>
        <v>Value for money although a little expensive, really value ah. Not only beautiful, but not boiling water noise.</v>
      </c>
    </row>
    <row r="16736">
      <c r="A16736" s="1">
        <v>5.0</v>
      </c>
      <c r="B16736" s="1" t="s">
        <v>16535</v>
      </c>
      <c r="C16736" t="str">
        <f>IFERROR(__xludf.DUMMYFUNCTION("GOOGLETRANSLATE(B16736, ""zh"", ""en"")"),"Super like super like the color, look good")</f>
        <v>Super like super like the color, look good</v>
      </c>
    </row>
    <row r="16737">
      <c r="A16737" s="1">
        <v>5.0</v>
      </c>
      <c r="B16737" s="1" t="s">
        <v>16536</v>
      </c>
      <c r="C16737" t="str">
        <f>IFERROR(__xludf.DUMMYFUNCTION("GOOGLETRANSLATE(B16737, ""zh"", ""en"")"),"Genuine easy to use. Very easy to use pen and genuine. Jingdong than buying on Taobao to worry more.")</f>
        <v>Genuine easy to use. Very easy to use pen and genuine. Jingdong than buying on Taobao to worry more.</v>
      </c>
    </row>
    <row r="16738">
      <c r="A16738" s="1">
        <v>5.0</v>
      </c>
      <c r="B16738" s="1" t="s">
        <v>16537</v>
      </c>
      <c r="C16738" t="str">
        <f>IFERROR(__xludf.DUMMYFUNCTION("GOOGLETRANSLATE(B16738, ""zh"", ""en"")"),"Winter wear thick section price is very close to the people, is the third of a multi-store, The pants are thick section, suitable for winter wear, looks back pocket and domestic models are not the same")</f>
        <v>Winter wear thick section price is very close to the people, is the third of a multi-store, The pants are thick section, suitable for winter wear, looks back pocket and domestic models are not the same</v>
      </c>
    </row>
    <row r="16739">
      <c r="A16739" s="1">
        <v>2.0</v>
      </c>
      <c r="B16739" s="1" t="s">
        <v>16538</v>
      </c>
      <c r="C16739" t="str">
        <f>IFERROR(__xludf.DUMMYFUNCTION("GOOGLETRANSLATE(B16739, ""zh"", ""en"")"),"Size 40/32 chaos of large size, small size 38/30. And I bought from abroad levi's 38/30 is just the size. The reason is not because it is ""self-employed"", size caused confusion. I also bought two, can only be given away.")</f>
        <v>Size 40/32 chaos of large size, small size 38/30. And I bought from abroad levi's 38/30 is just the size. The reason is not because it is "self-employed", size caused confusion. I also bought two, can only be given away.</v>
      </c>
    </row>
    <row r="16740">
      <c r="A16740" s="1">
        <v>3.0</v>
      </c>
      <c r="B16740" s="1" t="s">
        <v>16539</v>
      </c>
      <c r="C16740" t="str">
        <f>IFERROR(__xludf.DUMMYFUNCTION("GOOGLETRANSLATE(B16740, ""zh"", ""en"")"),"General pants fit, some intimate design. Bleaching, hair stick")</f>
        <v>General pants fit, some intimate design. Bleaching, hair stick</v>
      </c>
    </row>
    <row r="16741">
      <c r="A16741" s="1">
        <v>3.0</v>
      </c>
      <c r="B16741" s="1" t="s">
        <v>16540</v>
      </c>
      <c r="C16741" t="str">
        <f>IFERROR(__xludf.DUMMYFUNCTION("GOOGLETRANSLATE(B16741, ""zh"", ""en"")"),"Japanese small code size before buying note, date code is small")</f>
        <v>Japanese small code size before buying note, date code is small</v>
      </c>
    </row>
    <row r="16742">
      <c r="A16742" s="1">
        <v>3.0</v>
      </c>
      <c r="B16742" s="1" t="s">
        <v>16541</v>
      </c>
      <c r="C16742" t="str">
        <f>IFERROR(__xludf.DUMMYFUNCTION("GOOGLETRANSLATE(B16742, ""zh"", ""en"")"),"Yes I bought the S number, my height 168,61kg, wore basic fit, but slightly wider shoulder")</f>
        <v>Yes I bought the S number, my height 168,61kg, wore basic fit, but slightly wider shoulder</v>
      </c>
    </row>
    <row r="16743">
      <c r="A16743" s="1">
        <v>1.0</v>
      </c>
      <c r="B16743" s="1" t="s">
        <v>16542</v>
      </c>
      <c r="C16743" t="str">
        <f>IFERROR(__xludf.DUMMYFUNCTION("GOOGLETRANSLATE(B16743, ""zh"", ""en"")"),"Please do not send defective products, okay? ! There are stains on the belt buckle metal block, it is difficult to remove, and finally Cuocuo a setback, and then a grinding mill toothpaste, too lazy back, Minato utilize it. Defective products also sent me"&amp;", bully Chinese consumers ye?")</f>
        <v>Please do not send defective products, okay? ! There are stains on the belt buckle metal block, it is difficult to remove, and finally Cuocuo a setback, and then a grinding mill toothpaste, too lazy back, Minato utilize it. Defective products also sent me, bully Chinese consumers ye?</v>
      </c>
    </row>
    <row r="16744">
      <c r="A16744" s="1">
        <v>1.0</v>
      </c>
      <c r="B16744" s="1" t="s">
        <v>16543</v>
      </c>
      <c r="C16744" t="str">
        <f>IFERROR(__xludf.DUMMYFUNCTION("GOOGLETRANSLATE(B16744, ""zh"", ""en"")"),"Lint! The inner surface of lint powerful! Material poor")</f>
        <v>Lint! The inner surface of lint powerful! Material poor</v>
      </c>
    </row>
    <row r="16745">
      <c r="A16745" s="1">
        <v>4.0</v>
      </c>
      <c r="B16745" s="1" t="s">
        <v>16544</v>
      </c>
      <c r="C16745" t="str">
        <f>IFERROR(__xludf.DUMMYFUNCTION("GOOGLETRANSLATE(B16745, ""zh"", ""en"")"),"Leather following splicing tongue piece can be shorter to avoid wrinkles appeared by eliminating friction on the wearer's toes, or the use of a thin, flexible leather substitute. Tough style, good workmanship. Leather hard, rigid soles. I usually wear sne"&amp;"akers 40 this 39.5ee, length and width are appropriate, that is, below the tongue piece of mosaic skin for far too long, the formation of wrinkles, a little pressure feet, especially the toes heel.")</f>
        <v>Leather following splicing tongue piece can be shorter to avoid wrinkles appeared by eliminating friction on the wearer's toes, or the use of a thin, flexible leather substitute. Tough style, good workmanship. Leather hard, rigid soles. I usually wear sneakers 40 this 39.5ee, length and width are appropriate, that is, below the tongue piece of mosaic skin for far too long, the formation of wrinkles, a little pressure feet, especially the toes heel.</v>
      </c>
    </row>
    <row r="16746">
      <c r="A16746" s="1">
        <v>4.0</v>
      </c>
      <c r="B16746" s="1" t="s">
        <v>16545</v>
      </c>
      <c r="C16746" t="str">
        <f>IFERROR(__xludf.DUMMYFUNCTION("GOOGLETRANSLATE(B16746, ""zh"", ""en"")"),"Suitable 176cm / 65kg very slim, if little longer to perfect.")</f>
        <v>Suitable 176cm / 65kg very slim, if little longer to perfect.</v>
      </c>
    </row>
    <row r="16747">
      <c r="A16747" s="1">
        <v>4.0</v>
      </c>
      <c r="B16747" s="1" t="s">
        <v>16546</v>
      </c>
      <c r="C16747" t="str">
        <f>IFERROR(__xludf.DUMMYFUNCTION("GOOGLETRANSLATE(B16747, ""zh"", ""en"")"),"This right size is really strange title can only wear it s home number, this is appropriate")</f>
        <v>This right size is really strange title can only wear it s home number, this is appropriate</v>
      </c>
    </row>
    <row r="16748">
      <c r="A16748" s="1">
        <v>4.0</v>
      </c>
      <c r="B16748" s="1" t="s">
        <v>16547</v>
      </c>
      <c r="C16748" t="str">
        <f>IFERROR(__xludf.DUMMYFUNCTION("GOOGLETRANSLATE(B16748, ""zh"", ""en"")"),"Packing and moving the pen should be genuine, but too simple packaging wrapped, boxes are broken, I really was not demolished, but fortunately nothing pen")</f>
        <v>Packing and moving the pen should be genuine, but too simple packaging wrapped, boxes are broken, I really was not demolished, but fortunately nothing pen</v>
      </c>
    </row>
    <row r="16749">
      <c r="A16749" s="1">
        <v>5.0</v>
      </c>
      <c r="B16749" s="1" t="s">
        <v>16548</v>
      </c>
      <c r="C16749" t="str">
        <f>IFERROR(__xludf.DUMMYFUNCTION("GOOGLETRANSLATE(B16749, ""zh"", ""en"")"),"Boots shoes very comfortable, soft leather, bought most of the code, a bit big to wear stockings, wear thick socks just is relatively large feet seemed, in short, not bad!")</f>
        <v>Boots shoes very comfortable, soft leather, bought most of the code, a bit big to wear stockings, wear thick socks just is relatively large feet seemed, in short, not bad!</v>
      </c>
    </row>
    <row r="16750">
      <c r="A16750" s="1">
        <v>5.0</v>
      </c>
      <c r="B16750" s="1" t="s">
        <v>16549</v>
      </c>
      <c r="C16750" t="str">
        <f>IFERROR(__xludf.DUMMYFUNCTION("GOOGLETRANSLATE(B16750, ""zh"", ""en"")"),"Very good insulation pot a really nice, good insulation effect, poor quality affordable")</f>
        <v>Very good insulation pot a really nice, good insulation effect, poor quality affordable</v>
      </c>
    </row>
    <row r="16751">
      <c r="A16751" s="1">
        <v>5.0</v>
      </c>
      <c r="B16751" s="1" t="s">
        <v>16550</v>
      </c>
      <c r="C16751" t="str">
        <f>IFERROR(__xludf.DUMMYFUNCTION("GOOGLETRANSLATE(B16751, ""zh"", ""en"")"),"This pen is not ugly but also very good writing. Worthy of the price")</f>
        <v>This pen is not ugly but also very good writing. Worthy of the price</v>
      </c>
    </row>
    <row r="16752">
      <c r="A16752" s="1">
        <v>5.0</v>
      </c>
      <c r="B16752" s="1" t="s">
        <v>16551</v>
      </c>
      <c r="C16752" t="str">
        <f>IFERROR(__xludf.DUMMYFUNCTION("GOOGLETRANSLATE(B16752, ""zh"", ""en"")"),"Like good")</f>
        <v>Like good</v>
      </c>
    </row>
    <row r="16753">
      <c r="A16753" s="1">
        <v>5.0</v>
      </c>
      <c r="B16753" s="1" t="s">
        <v>16552</v>
      </c>
      <c r="C16753" t="str">
        <f>IFERROR(__xludf.DUMMYFUNCTION("GOOGLETRANSLATE(B16753, ""zh"", ""en"")"),"Lee's personal fashion design has been good, very close, feel good.")</f>
        <v>Lee's personal fashion design has been good, very close, feel good.</v>
      </c>
    </row>
    <row r="16754">
      <c r="A16754" s="1">
        <v>5.0</v>
      </c>
      <c r="B16754" s="1" t="s">
        <v>16553</v>
      </c>
      <c r="C16754" t="str">
        <f>IFERROR(__xludf.DUMMYFUNCTION("GOOGLETRANSLATE(B16754, ""zh"", ""en"")"),"Smoldering insulation effect can be good, that is boring only one or two eggs, more than to die ~~")</f>
        <v>Smoldering insulation effect can be good, that is boring only one or two eggs, more than to die ~~</v>
      </c>
    </row>
    <row r="16755">
      <c r="A16755" s="1">
        <v>5.0</v>
      </c>
      <c r="B16755" s="1" t="s">
        <v>16554</v>
      </c>
      <c r="C16755" t="str">
        <f>IFERROR(__xludf.DUMMYFUNCTION("GOOGLETRANSLATE(B16755, ""zh"", ""en"")"),"No it's clear that the US Amazon shipped from Hong Kong but it is made of, this looked pretty good, I hope unborn baby will love")</f>
        <v>No it's clear that the US Amazon shipped from Hong Kong but it is made of, this looked pretty good, I hope unborn baby will love</v>
      </c>
    </row>
    <row r="16756">
      <c r="A16756" s="1">
        <v>5.0</v>
      </c>
      <c r="B16756" s="1" t="s">
        <v>16555</v>
      </c>
      <c r="C16756" t="str">
        <f>IFERROR(__xludf.DUMMYFUNCTION("GOOGLETRANSLATE(B16756, ""zh"", ""en"")"),"Cheap My feet usually wear 38 yards shoes, this pair bought five yards, to wear socks, then a single shoe length and width are very appropriate, but if want to wear cotton socks to wear, then this part will be tight heel uncomfortable, for your reference."&amp;" Shoes look good, cheap.")</f>
        <v>Cheap My feet usually wear 38 yards shoes, this pair bought five yards, to wear socks, then a single shoe length and width are very appropriate, but if want to wear cotton socks to wear, then this part will be tight heel uncomfortable, for your reference. Shoes look good, cheap.</v>
      </c>
    </row>
    <row r="16757">
      <c r="A16757" s="1">
        <v>5.0</v>
      </c>
      <c r="B16757" s="1" t="s">
        <v>16556</v>
      </c>
      <c r="C16757" t="str">
        <f>IFERROR(__xludf.DUMMYFUNCTION("GOOGLETRANSLATE(B16757, ""zh"", ""en"")"),"Good height 180, weight 76,33 / 32 size just right, very fit, the fabric is fairly robust, can be said of the perfection, the more successful of the sea Amoy")</f>
        <v>Good height 180, weight 76,33 / 32 size just right, very fit, the fabric is fairly robust, can be said of the perfection, the more successful of the sea Amoy</v>
      </c>
    </row>
    <row r="16758">
      <c r="A16758" s="1">
        <v>5.0</v>
      </c>
      <c r="B16758" s="1" t="s">
        <v>16557</v>
      </c>
      <c r="C16758" t="str">
        <f>IFERROR(__xludf.DUMMYFUNCTION("GOOGLETRANSLATE(B16758, ""zh"", ""en"")"),"Very satisfied very satisfied, style fabrics are very good!")</f>
        <v>Very satisfied very satisfied, style fabrics are very good!</v>
      </c>
    </row>
    <row r="16759">
      <c r="A16759" s="1">
        <v>5.0</v>
      </c>
      <c r="B16759" s="1" t="s">
        <v>11675</v>
      </c>
      <c r="C16759" t="str">
        <f>IFERROR(__xludf.DUMMYFUNCTION("GOOGLETRANSLATE(B16759, ""zh"", ""en"")"),"Comfortable and warm. Comfortable and not tight, very soft, warm and good.")</f>
        <v>Comfortable and warm. Comfortable and not tight, very soft, warm and good.</v>
      </c>
    </row>
    <row r="16760">
      <c r="A16760" s="1">
        <v>5.0</v>
      </c>
      <c r="B16760" s="1" t="s">
        <v>16558</v>
      </c>
      <c r="C16760" t="str">
        <f>IFERROR(__xludf.DUMMYFUNCTION("GOOGLETRANSLATE(B16760, ""zh"", ""en"")"),"Very good use of it was the feel sea Amoy price than the domestic price advantage before buying. But the follow-up work was grueling, to go with transformers, three-way, find workers to tap and installation. Like tossing people consider it, almost in the "&amp;"country to buy on the line.")</f>
        <v>Very good use of it was the feel sea Amoy price than the domestic price advantage before buying. But the follow-up work was grueling, to go with transformers, three-way, find workers to tap and installation. Like tossing people consider it, almost in the country to buy on the line.</v>
      </c>
    </row>
    <row r="16761">
      <c r="A16761" s="1">
        <v>5.0</v>
      </c>
      <c r="B16761" s="1" t="s">
        <v>16559</v>
      </c>
      <c r="C16761" t="str">
        <f>IFERROR(__xludf.DUMMYFUNCTION("GOOGLETRANSLATE(B16761, ""zh"", ""en"")"),"Good quality, size appropriate height 170MM, weight 60KG, XS is appropriate")</f>
        <v>Good quality, size appropriate height 170MM, weight 60KG, XS is appropriate</v>
      </c>
    </row>
    <row r="16762">
      <c r="A16762" s="1">
        <v>5.0</v>
      </c>
      <c r="B16762" s="1" t="s">
        <v>16560</v>
      </c>
      <c r="C16762" t="str">
        <f>IFERROR(__xludf.DUMMYFUNCTION("GOOGLETRANSLATE(B16762, ""zh"", ""en"")"),"All aspects of good, that is, pants too big, stout little man who Shenru. All aspects of good, that is, pants too big, stout little man who Shenru. Number and almost home, my Neiliweisi buy 36W, this is similar, waist slightly loose, pants on is not an or"&amp;"dinary big.")</f>
        <v>All aspects of good, that is, pants too big, stout little man who Shenru. All aspects of good, that is, pants too big, stout little man who Shenru. Number and almost home, my Neiliweisi buy 36W, this is similar, waist slightly loose, pants on is not an ordinary big.</v>
      </c>
    </row>
    <row r="16763">
      <c r="A16763" s="1">
        <v>5.0</v>
      </c>
      <c r="B16763" s="1" t="s">
        <v>16561</v>
      </c>
      <c r="C16763" t="str">
        <f>IFERROR(__xludf.DUMMYFUNCTION("GOOGLETRANSLATE(B16763, ""zh"", ""en"")"),"Use Look commented that buy second-hand, worried for a long time, carefully took a look, but fortunately is new, happy!")</f>
        <v>Use Look commented that buy second-hand, worried for a long time, carefully took a look, but fortunately is new, happy!</v>
      </c>
    </row>
    <row r="16764">
      <c r="A16764" s="1">
        <v>5.0</v>
      </c>
      <c r="B16764" s="1" t="s">
        <v>16562</v>
      </c>
      <c r="C16764" t="str">
        <f>IFERROR(__xludf.DUMMYFUNCTION("GOOGLETRANSLATE(B16764, ""zh"", ""en"")"),"Impression Cup for the first time to buy, really quite amazing so can rest assured that next time to buy really good with the bad of a mug, March and April last year to buy, then still a little cold water in the morning at 7 am to 20:00 still warm, it has"&amp;" been installed only boiled water used now. Well, just go to Hong Kong it fell under the lids took the point, but fortunately, with a set of cup body, a cup body beautiful, or else uncomfortable. . . To work out suitable tool")</f>
        <v>Impression Cup for the first time to buy, really quite amazing so can rest assured that next time to buy really good with the bad of a mug, March and April last year to buy, then still a little cold water in the morning at 7 am to 20:00 still warm, it has been installed only boiled water used now. Well, just go to Hong Kong it fell under the lids took the point, but fortunately, with a set of cup body, a cup body beautiful, or else uncomfortable. . . To work out suitable tool</v>
      </c>
    </row>
    <row r="16765">
      <c r="A16765" s="1">
        <v>5.0</v>
      </c>
      <c r="B16765" s="1" t="s">
        <v>16563</v>
      </c>
      <c r="C16765" t="str">
        <f>IFERROR(__xludf.DUMMYFUNCTION("GOOGLETRANSLATE(B16765, ""zh"", ""en"")"),"Well 160cm, 98 pounds ... s just ... very cheap")</f>
        <v>Well 160cm, 98 pounds ... s just ... very cheap</v>
      </c>
    </row>
    <row r="16766">
      <c r="A16766" s="1">
        <v>5.0</v>
      </c>
      <c r="B16766" s="1" t="s">
        <v>16564</v>
      </c>
      <c r="C16766" t="str">
        <f>IFERROR(__xludf.DUMMYFUNCTION("GOOGLETRANSLATE(B16766, ""zh"", ""en"")"),"High practicality all accessories can be boiled disinfection, as well as spare straw fine. Baby five months, only the initial set of large water nozzle, convenient, baby love.")</f>
        <v>High practicality all accessories can be boiled disinfection, as well as spare straw fine. Baby five months, only the initial set of large water nozzle, convenient, baby love.</v>
      </c>
    </row>
    <row r="16767">
      <c r="A16767" s="1">
        <v>5.0</v>
      </c>
      <c r="B16767" s="1" t="s">
        <v>16565</v>
      </c>
      <c r="C16767" t="str">
        <f>IFERROR(__xludf.DUMMYFUNCTION("GOOGLETRANSLATE(B16767, ""zh"", ""en"")"),"Made in China Made in China, insulation is very good")</f>
        <v>Made in China Made in China, insulation is very good</v>
      </c>
    </row>
    <row r="16768">
      <c r="A16768" s="1">
        <v>5.0</v>
      </c>
      <c r="B16768" s="1" t="s">
        <v>16566</v>
      </c>
      <c r="C16768" t="str">
        <f>IFERROR(__xludf.DUMMYFUNCTION("GOOGLETRANSLATE(B16768, ""zh"", ""en"")"),"Size exactly. And expected the same size! Particularly suitable, I would have thought if the big, give her husband to wear, the results still suit me. Height 170, buy this size, the length of just ~ very satisfied with the shopping. The key price is right"&amp;". Just bought the next day up more than 200. I feel earned.")</f>
        <v>Size exactly. And expected the same size! Particularly suitable, I would have thought if the big, give her husband to wear, the results still suit me. Height 170, buy this size, the length of just ~ very satisfied with the shopping. The key price is right. Just bought the next day up more than 200. I feel earned.</v>
      </c>
    </row>
    <row r="16769">
      <c r="A16769" s="1">
        <v>5.0</v>
      </c>
      <c r="B16769" s="1" t="s">
        <v>16567</v>
      </c>
      <c r="C16769" t="str">
        <f>IFERROR(__xludf.DUMMYFUNCTION("GOOGLETRANSLATE(B16769, ""zh"", ""en"")"),"Choose small, cheap son of a son, 1.86,53KG, very appropriate")</f>
        <v>Choose small, cheap son of a son, 1.86,53KG, very appropriate</v>
      </c>
    </row>
    <row r="16770">
      <c r="A16770" s="1">
        <v>2.0</v>
      </c>
      <c r="B16770" s="1" t="s">
        <v>16568</v>
      </c>
      <c r="C16770" t="str">
        <f>IFERROR(__xludf.DUMMYFUNCTION("GOOGLETRANSLATE(B16770, ""zh"", ""en"")"),"With the same kind of treasure * * with a treasure inside to sell something like that is new, but the overall feeling is very awkward middle of the day ......")</f>
        <v>With the same kind of treasure * * with a treasure inside to sell something like that is new, but the overall feeling is very awkward middle of the day ......</v>
      </c>
    </row>
    <row r="16771">
      <c r="A16771" s="1">
        <v>3.0</v>
      </c>
      <c r="B16771" s="1" t="s">
        <v>16569</v>
      </c>
      <c r="C16771" t="str">
        <f>IFERROR(__xludf.DUMMYFUNCTION("GOOGLETRANSLATE(B16771, ""zh"", ""en"")"),"Delivery fast but small flaws with minor flaws, still like it")</f>
        <v>Delivery fast but small flaws with minor flaws, still like it</v>
      </c>
    </row>
    <row r="16772">
      <c r="A16772" s="1">
        <v>3.0</v>
      </c>
      <c r="B16772" s="1" t="s">
        <v>16570</v>
      </c>
      <c r="C16772" t="str">
        <f>IFERROR(__xludf.DUMMYFUNCTION("GOOGLETRANSLATE(B16772, ""zh"", ""en"")"),"Packaging Packaging demolished demolished a couple of times, I do not know whether the product is original, people do not trust")</f>
        <v>Packaging Packaging demolished demolished a couple of times, I do not know whether the product is original, people do not trust</v>
      </c>
    </row>
    <row r="16773">
      <c r="A16773" s="1">
        <v>1.0</v>
      </c>
      <c r="B16773" s="1" t="s">
        <v>16571</v>
      </c>
      <c r="C16773" t="str">
        <f>IFERROR(__xludf.DUMMYFUNCTION("GOOGLETRANSLATE(B16773, ""zh"", ""en"")"),"Less than three years after the retail bad, and Amazon does not have any service here, negative feedback!")</f>
        <v>Less than three years after the retail bad, and Amazon does not have any service here, negative feedback!</v>
      </c>
    </row>
    <row r="16774">
      <c r="A16774" s="1">
        <v>1.0</v>
      </c>
      <c r="B16774" s="1" t="s">
        <v>16572</v>
      </c>
      <c r="C16774" t="str">
        <f>IFERROR(__xludf.DUMMYFUNCTION("GOOGLETRANSLATE(B16774, ""zh"", ""en"")"),"From the Amazon to black powder full of expectations, is getting old, what kind of thing! ! ! Not consumers pot, consumers themselves have to contact the courier, had to advance their own freight, have to follow to go to them for reimbursement! Suffice it"&amp;" to say so advanced electricity supplier in 2018, this quality, or wash sleep! Amazon has been good praise, prime pay membership fees have been, Oh, this is the membership service, either there is a kindle, delete the account! From the Amazon to black pow"&amp;"der, in addition to e-books, Amazon no longer removed from the electricity supplier, and follow-up if there are other issues, it is directly on 12315")</f>
        <v>From the Amazon to black powder full of expectations, is getting old, what kind of thing! ! ! Not consumers pot, consumers themselves have to contact the courier, had to advance their own freight, have to follow to go to them for reimbursement! Suffice it to say so advanced electricity supplier in 2018, this quality, or wash sleep! Amazon has been good praise, prime pay membership fees have been, Oh, this is the membership service, either there is a kindle, delete the account! From the Amazon to black powder, in addition to e-books, Amazon no longer removed from the electricity supplier, and follow-up if there are other issues, it is directly on 12315</v>
      </c>
    </row>
    <row r="16775">
      <c r="A16775" s="1">
        <v>4.0</v>
      </c>
      <c r="B16775" s="1" t="s">
        <v>16573</v>
      </c>
      <c r="C16775" t="str">
        <f>IFERROR(__xludf.DUMMYFUNCTION("GOOGLETRANSLATE(B16775, ""zh"", ""en"")"),"Good quality clothes, I was seven meters large three sixty-eight kg, S number of nice plump for reference purposes only.")</f>
        <v>Good quality clothes, I was seven meters large three sixty-eight kg, S number of nice plump for reference purposes only.</v>
      </c>
    </row>
    <row r="16776">
      <c r="A16776" s="1">
        <v>4.0</v>
      </c>
      <c r="B16776" s="1" t="s">
        <v>16574</v>
      </c>
      <c r="C16776" t="str">
        <f>IFERROR(__xludf.DUMMYFUNCTION("GOOGLETRANSLATE(B16776, ""zh"", ""en"")"),"Thread multi-material good, but too small")</f>
        <v>Thread multi-material good, but too small</v>
      </c>
    </row>
    <row r="16777">
      <c r="A16777" s="1">
        <v>4.0</v>
      </c>
      <c r="B16777" s="1" t="s">
        <v>16575</v>
      </c>
      <c r="C16777" t="str">
        <f>IFERROR(__xludf.DUMMYFUNCTION("GOOGLETRANSLATE(B16777, ""zh"", ""en"")"),"Fabrics are generally low price I 170cm, 80kg, L numbers just play, not Slim models.")</f>
        <v>Fabrics are generally low price I 170cm, 80kg, L numbers just play, not Slim models.</v>
      </c>
    </row>
    <row r="16778">
      <c r="A16778" s="1">
        <v>4.0</v>
      </c>
      <c r="B16778" s="1" t="s">
        <v>16576</v>
      </c>
      <c r="C16778" t="str">
        <f>IFERROR(__xludf.DUMMYFUNCTION("GOOGLETRANSLATE(B16778, ""zh"", ""en"")"),"General quality in general, not for me cup.")</f>
        <v>General quality in general, not for me cup.</v>
      </c>
    </row>
    <row r="16779">
      <c r="A16779" s="1">
        <v>4.0</v>
      </c>
      <c r="B16779" s="1" t="s">
        <v>16577</v>
      </c>
      <c r="C16779" t="str">
        <f>IFERROR(__xludf.DUMMYFUNCTION("GOOGLETRANSLATE(B16779, ""zh"", ""en"")"),"Good color depth than the picture a little ,,")</f>
        <v>Good color depth than the picture a little ,,</v>
      </c>
    </row>
    <row r="16780">
      <c r="A16780" s="1">
        <v>5.0</v>
      </c>
      <c r="B16780" s="1" t="s">
        <v>16578</v>
      </c>
      <c r="C16780" t="str">
        <f>IFERROR(__xludf.DUMMYFUNCTION("GOOGLETRANSLATE(B16780, ""zh"", ""en"")"),"Lightweight and warm, especially practical models dark blue M code, written on the label 165/88, 167 tall and very fit lightweight thick, Sleeve just. Two exterior zippered pocket intervene, inside a pocket, a wind knit cuffs, in the back side, the pocket"&amp;" is warm velvet, removable hat, the hat removable burrs. Vietnamese. Two years ago bought the same paragraph knee winter ski station completely cold for a long time, this year to buy a short paragraph.")</f>
        <v>Lightweight and warm, especially practical models dark blue M code, written on the label 165/88, 167 tall and very fit lightweight thick, Sleeve just. Two exterior zippered pocket intervene, inside a pocket, a wind knit cuffs, in the back side, the pocket is warm velvet, removable hat, the hat removable burrs. Vietnamese. Two years ago bought the same paragraph knee winter ski station completely cold for a long time, this year to buy a short paragraph.</v>
      </c>
    </row>
    <row r="16781">
      <c r="A16781" s="1">
        <v>5.0</v>
      </c>
      <c r="B16781" s="1" t="s">
        <v>16579</v>
      </c>
      <c r="C16781" t="str">
        <f>IFERROR(__xludf.DUMMYFUNCTION("GOOGLETRANSLATE(B16781, ""zh"", ""en"")"),"Overall very satisfied. Height 178 cm, weight 72 kg, long Kujiao some, overall very satisfied.")</f>
        <v>Overall very satisfied. Height 178 cm, weight 72 kg, long Kujiao some, overall very satisfied.</v>
      </c>
    </row>
    <row r="16782">
      <c r="A16782" s="1">
        <v>5.0</v>
      </c>
      <c r="B16782" s="1" t="s">
        <v>16580</v>
      </c>
      <c r="C16782" t="str">
        <f>IFERROR(__xludf.DUMMYFUNCTION("GOOGLETRANSLATE(B16782, ""zh"", ""en"")"),"Comfortable to wear comfortable, warm, appropriate")</f>
        <v>Comfortable to wear comfortable, warm, appropriate</v>
      </c>
    </row>
    <row r="16783">
      <c r="A16783" s="1">
        <v>5.0</v>
      </c>
      <c r="B16783" s="1" t="s">
        <v>16581</v>
      </c>
      <c r="C16783" t="str">
        <f>IFERROR(__xludf.DUMMYFUNCTION("GOOGLETRANSLATE(B16783, ""zh"", ""en"")"),"Sennheiser really is my choice Sennheiser or Sennheiser! Genuine doubt, the election is to choose a girlfriend like headset, you look like a big ass black girl beats Sennheiser still like the girl next door, smoked marijuana dry black girl, really cool, t"&amp;"hat's right. But Sennheiser need your tender loving care, just walked the streets to accompany first love and miss countless days and nights, and sweet and delicate love. Which Which to buy their favorite, I prefer the latter, so I chose the Sennheiser.")</f>
        <v>Sennheiser really is my choice Sennheiser or Sennheiser! Genuine doubt, the election is to choose a girlfriend like headset, you look like a big ass black girl beats Sennheiser still like the girl next door, smoked marijuana dry black girl, really cool, that's right. But Sennheiser need your tender loving care, just walked the streets to accompany first love and miss countless days and nights, and sweet and delicate love. Which Which to buy their favorite, I prefer the latter, so I chose the Sennheiser.</v>
      </c>
    </row>
    <row r="16784">
      <c r="A16784" s="1">
        <v>5.0</v>
      </c>
      <c r="B16784" s="1" t="s">
        <v>16582</v>
      </c>
      <c r="C16784" t="str">
        <f>IFERROR(__xludf.DUMMYFUNCTION("GOOGLETRANSLATE(B16784, ""zh"", ""en"")"),"Nice color prefer the color of the pants.")</f>
        <v>Nice color prefer the color of the pants.</v>
      </c>
    </row>
    <row r="16785">
      <c r="A16785" s="1">
        <v>5.0</v>
      </c>
      <c r="B16785" s="1" t="s">
        <v>16583</v>
      </c>
      <c r="C16785" t="str">
        <f>IFERROR(__xludf.DUMMYFUNCTION("GOOGLETRANSLATE(B16785, ""zh"", ""en"")"),"Satisfied with ah! Like it! happy! Good to wear! Material is very comfortable, not curling. Physical color than the picture look good, a number of partial meat.")</f>
        <v>Satisfied with ah! Like it! happy! Good to wear! Material is very comfortable, not curling. Physical color than the picture look good, a number of partial meat.</v>
      </c>
    </row>
    <row r="16786">
      <c r="A16786" s="1">
        <v>5.0</v>
      </c>
      <c r="B16786" s="1" t="s">
        <v>16584</v>
      </c>
      <c r="C16786" t="str">
        <f>IFERROR(__xludf.DUMMYFUNCTION("GOOGLETRANSLATE(B16786, ""zh"", ""en"")"),"Fine clothes fit, my height 173 weight 76kg selected L size is very fit, very fit body clothes, more self-cultivation, overall very satisfied!")</f>
        <v>Fine clothes fit, my height 173 weight 76kg selected L size is very fit, very fit body clothes, more self-cultivation, overall very satisfied!</v>
      </c>
    </row>
    <row r="16787">
      <c r="A16787" s="1">
        <v>5.0</v>
      </c>
      <c r="B16787" s="1" t="s">
        <v>16585</v>
      </c>
      <c r="C16787" t="str">
        <f>IFERROR(__xludf.DUMMYFUNCTION("GOOGLETRANSLATE(B16787, ""zh"", ""en"")"),"It looked lovely, speed is good looking very cute, speed is good")</f>
        <v>It looked lovely, speed is good looking very cute, speed is good</v>
      </c>
    </row>
    <row r="16788">
      <c r="A16788" s="1">
        <v>5.0</v>
      </c>
      <c r="B16788" s="1" t="s">
        <v>16586</v>
      </c>
      <c r="C16788" t="str">
        <f>IFERROR(__xludf.DUMMYFUNCTION("GOOGLETRANSLATE(B16788, ""zh"", ""en"")"),"Practical finish, practical, general design")</f>
        <v>Practical finish, practical, general design</v>
      </c>
    </row>
    <row r="16789">
      <c r="A16789" s="1">
        <v>5.0</v>
      </c>
      <c r="B16789" s="1" t="s">
        <v>16587</v>
      </c>
      <c r="C16789" t="str">
        <f>IFERROR(__xludf.DUMMYFUNCTION("GOOGLETRANSLATE(B16789, ""zh"", ""en"")"),"First online shopping brand, worth recommending very good clothes, work can be. 170,65kg, S buy the most appropriate. Not from the previous evaluation, I do not know how many wasted points, points can change money now know, they should look carefully eval"&amp;"uated, then I put these words to copy to go, both to earn points, but also save trouble, they go where copy the most important thing is, do not seriously review, do not think how much worse word, sent directly to it, recommend it to everyone")</f>
        <v>First online shopping brand, worth recommending very good clothes, work can be. 170,65kg, S buy the most appropriate. Not from the previous evaluation, I do not know how many wasted points, points can change money now know, they should look carefully evaluated, then I put these words to copy to go, both to earn points, but also save trouble, they go where copy the most important thing is, do not seriously review, do not think how much worse word, sent directly to it, recommend it to everyone</v>
      </c>
    </row>
    <row r="16790">
      <c r="A16790" s="1">
        <v>5.0</v>
      </c>
      <c r="B16790" s="1" t="s">
        <v>16588</v>
      </c>
      <c r="C16790" t="str">
        <f>IFERROR(__xludf.DUMMYFUNCTION("GOOGLETRANSLATE(B16790, ""zh"", ""en"")"),"Worth of goods purchased. The results were pretty good. When received packaging intact. Cost-effective. Worn on the ear movement will not come off. For sports, but the noise is really general, but for people to be very good for outdoor sports.")</f>
        <v>Worth of goods purchased. The results were pretty good. When received packaging intact. Cost-effective. Worn on the ear movement will not come off. For sports, but the noise is really general, but for people to be very good for outdoor sports.</v>
      </c>
    </row>
    <row r="16791">
      <c r="A16791" s="1">
        <v>5.0</v>
      </c>
      <c r="B16791" s="1" t="s">
        <v>16589</v>
      </c>
      <c r="C16791" t="str">
        <f>IFERROR(__xludf.DUMMYFUNCTION("GOOGLETRANSLATE(B16791, ""zh"", ""en"")"),"Good quality dress is not tight, very comfortable, continental northern winter wear")</f>
        <v>Good quality dress is not tight, very comfortable, continental northern winter wear</v>
      </c>
    </row>
    <row r="16792">
      <c r="A16792" s="1">
        <v>5.0</v>
      </c>
      <c r="B16792" s="1" t="s">
        <v>16590</v>
      </c>
      <c r="C16792" t="str">
        <f>IFERROR(__xludf.DUMMYFUNCTION("GOOGLETRANSLATE(B16792, ""zh"", ""en"")"),"Starfish very good, with the okay. It cheaper and better")</f>
        <v>Starfish very good, with the okay. It cheaper and better</v>
      </c>
    </row>
    <row r="16793">
      <c r="A16793" s="1">
        <v>5.0</v>
      </c>
      <c r="B16793" s="1" t="s">
        <v>16591</v>
      </c>
      <c r="C16793" t="str">
        <f>IFERROR(__xludf.DUMMYFUNCTION("GOOGLETRANSLATE(B16793, ""zh"", ""en"")"),"Like very comfortable cotton underwear, like.")</f>
        <v>Like very comfortable cotton underwear, like.</v>
      </c>
    </row>
    <row r="16794">
      <c r="A16794" s="1">
        <v>5.0</v>
      </c>
      <c r="B16794" s="1" t="s">
        <v>16592</v>
      </c>
      <c r="C16794" t="str">
        <f>IFERROR(__xludf.DUMMYFUNCTION("GOOGLETRANSLATE(B16794, ""zh"", ""en"")"),"Handsome color and picture breaks, wear comfortable shoes is a delicate semi significant, positive number, origin Cambodia, this section will take off or wear boots a little more effort.")</f>
        <v>Handsome color and picture breaks, wear comfortable shoes is a delicate semi significant, positive number, origin Cambodia, this section will take off or wear boots a little more effort.</v>
      </c>
    </row>
    <row r="16795">
      <c r="A16795" s="1">
        <v>5.0</v>
      </c>
      <c r="B16795" s="1" t="s">
        <v>16593</v>
      </c>
      <c r="C16795" t="str">
        <f>IFERROR(__xludf.DUMMYFUNCTION("GOOGLETRANSLATE(B16795, ""zh"", ""en"")"),"A little bit expensive, but the bottle broke. Bottle discontinued, this, a lot of the rest of the pacifier, wasted little bit expensive, but the bottle broke. Bottle discontinued, this, leaving a lot of pacifiers, waste")</f>
        <v>A little bit expensive, but the bottle broke. Bottle discontinued, this, a lot of the rest of the pacifier, wasted little bit expensive, but the bottle broke. Bottle discontinued, this, leaving a lot of pacifiers, waste</v>
      </c>
    </row>
    <row r="16796">
      <c r="A16796" s="1">
        <v>5.0</v>
      </c>
      <c r="B16796" s="1" t="s">
        <v>16594</v>
      </c>
      <c r="C16796" t="str">
        <f>IFERROR(__xludf.DUMMYFUNCTION("GOOGLETRANSLATE(B16796, ""zh"", ""en"")"),"Material that is expensive, stainless steel! How is plastic?")</f>
        <v>Material that is expensive, stainless steel! How is plastic?</v>
      </c>
    </row>
    <row r="16797">
      <c r="A16797" s="1">
        <v>5.0</v>
      </c>
      <c r="B16797" s="1" t="s">
        <v>16595</v>
      </c>
      <c r="C16797" t="str">
        <f>IFERROR(__xludf.DUMMYFUNCTION("GOOGLETRANSLATE(B16797, ""zh"", ""en"")"),"Super insulation to goods still very careful packaging, packaging is also very complete new, easy to clean, the effect is not a good evaluation")</f>
        <v>Super insulation to goods still very careful packaging, packaging is also very complete new, easy to clean, the effect is not a good evaluation</v>
      </c>
    </row>
    <row r="16798">
      <c r="A16798" s="1">
        <v>5.0</v>
      </c>
      <c r="B16798" s="1" t="s">
        <v>16596</v>
      </c>
      <c r="C16798" t="str">
        <f>IFERROR(__xludf.DUMMYFUNCTION("GOOGLETRANSLATE(B16798, ""zh"", ""en"")"),"thinkbaby tableware logistics to the force, inexpensive, great love, like, like this one. Club da da da club club club club da da da club club club da da da club club club da da da club club club da da da club club club pyridazin club da da da club club c"&amp;"lub da da da club club club da da da club club club da da da club club club da da da club club club da da bar club da da da club bar club club da da da club club pyridazin")</f>
        <v>thinkbaby tableware logistics to the force, inexpensive, great love, like, like this one. Club da da da club club club club da da da club club club da da da club club club da da da club club club da da da club club club pyridazin club da da da club club club da da da club club club da da da club club club da da da club club club da da da club club club da da bar club da da da club bar club club da da da club club pyridazin</v>
      </c>
    </row>
    <row r="16799">
      <c r="A16799" s="1">
        <v>5.0</v>
      </c>
      <c r="B16799" s="1" t="s">
        <v>16597</v>
      </c>
      <c r="C16799" t="str">
        <f>IFERROR(__xludf.DUMMYFUNCTION("GOOGLETRANSLATE(B16799, ""zh"", ""en"")"),"Good-looking gray better not expensive version is very good, looking very pretty, buy everyday wear l m on the line. Gray look better than black.")</f>
        <v>Good-looking gray better not expensive version is very good, looking very pretty, buy everyday wear l m on the line. Gray look better than black.</v>
      </c>
    </row>
    <row r="16800">
      <c r="A16800" s="1">
        <v>5.0</v>
      </c>
      <c r="B16800" s="1" t="s">
        <v>16598</v>
      </c>
      <c r="C16800" t="str">
        <f>IFERROR(__xludf.DUMMYFUNCTION("GOOGLETRANSLATE(B16800, ""zh"", ""en"")"),"Like the sound quality is very good, she is wearing some hot summer")</f>
        <v>Like the sound quality is very good, she is wearing some hot summer</v>
      </c>
    </row>
    <row r="16801">
      <c r="A16801" s="1">
        <v>5.0</v>
      </c>
      <c r="B16801" s="1" t="s">
        <v>16599</v>
      </c>
      <c r="C16801" t="str">
        <f>IFERROR(__xludf.DUMMYFUNCTION("GOOGLETRANSLATE(B16801, ""zh"", ""en"")"),"Very satisfied, simple and generous very satisfied, value for money, after all, only the price, personally think that a bargain!")</f>
        <v>Very satisfied, simple and generous very satisfied, value for money, after all, only the price, personally think that a bargain!</v>
      </c>
    </row>
    <row r="16802">
      <c r="A16802" s="1">
        <v>2.0</v>
      </c>
      <c r="B16802" s="1" t="s">
        <v>16600</v>
      </c>
      <c r="C16802" t="str">
        <f>IFERROR(__xludf.DUMMYFUNCTION("GOOGLETRANSLATE(B16802, ""zh"", ""en"")"),"Commodity scratches pen cover has obvious scratches, blemishes in the work")</f>
        <v>Commodity scratches pen cover has obvious scratches, blemishes in the work</v>
      </c>
    </row>
    <row r="16803">
      <c r="A16803" s="1">
        <v>3.0</v>
      </c>
      <c r="B16803" s="1" t="s">
        <v>16601</v>
      </c>
      <c r="C16803" t="str">
        <f>IFERROR(__xludf.DUMMYFUNCTION("GOOGLETRANSLATE(B16803, ""zh"", ""en"")"),"Made a defective product over a receipt, a big stain on the shoulders of the bag, a look, and sure enough there. First, whether you can not wash clean, so inappropriate it also sent me?")</f>
        <v>Made a defective product over a receipt, a big stain on the shoulders of the bag, a look, and sure enough there. First, whether you can not wash clean, so inappropriate it also sent me?</v>
      </c>
    </row>
    <row r="16804">
      <c r="A16804" s="1">
        <v>3.0</v>
      </c>
      <c r="B16804" s="1" t="s">
        <v>16602</v>
      </c>
      <c r="C16804" t="str">
        <f>IFERROR(__xludf.DUMMYFUNCTION("GOOGLETRANSLATE(B16804, ""zh"", ""en"")"),"Also, but do not expect too much. In fact Fortunately, I bought some regret, in fact, three anti-used up to a defense. As for the good-looking, I do not know where the aesthetic. . . . Another is mlc.")</f>
        <v>Also, but do not expect too much. In fact Fortunately, I bought some regret, in fact, three anti-used up to a defense. As for the good-looking, I do not know where the aesthetic. . . . Another is mlc.</v>
      </c>
    </row>
    <row r="16805">
      <c r="A16805" s="1">
        <v>1.0</v>
      </c>
      <c r="B16805" s="1" t="s">
        <v>16603</v>
      </c>
      <c r="C16805" t="str">
        <f>IFERROR(__xludf.DUMMYFUNCTION("GOOGLETRANSLATE(B16805, ""zh"", ""en"")"),"Poor quality disappointed, very disappointed, poor quality, the first negative feedback, crying, ooo, ooo")</f>
        <v>Poor quality disappointed, very disappointed, poor quality, the first negative feedback, crying, ooo, ooo</v>
      </c>
    </row>
    <row r="16806">
      <c r="A16806" s="1">
        <v>1.0</v>
      </c>
      <c r="B16806" s="1" t="s">
        <v>16604</v>
      </c>
      <c r="C16806" t="str">
        <f>IFERROR(__xludf.DUMMYFUNCTION("GOOGLETRANSLATE(B16806, ""zh"", ""en"")"),"Doubt the authenticity of the German overseas purchase, logistics show Dutch ship, only five days actually sent, suspected the authenticity of goods and delivery channels, multiple communication completely unable to provide any customs documents, and ther"&amp;"e is not even attached to Beijing during security checks prove nineteen large after the shoe box label sewn crooked, can not afford to wear a permanent pleats characterized by ecco shoes, wearing not have clear skin fold, I hope you carefully verify the a"&amp;"uthenticity, do not suffer losses")</f>
        <v>Doubt the authenticity of the German overseas purchase, logistics show Dutch ship, only five days actually sent, suspected the authenticity of goods and delivery channels, multiple communication completely unable to provide any customs documents, and there is not even attached to Beijing during security checks prove nineteen large after the shoe box label sewn crooked, can not afford to wear a permanent pleats characterized by ecco shoes, wearing not have clear skin fold, I hope you carefully verify the authenticity, do not suffer losses</v>
      </c>
    </row>
    <row r="16807">
      <c r="A16807" s="1">
        <v>1.0</v>
      </c>
      <c r="B16807" s="1" t="s">
        <v>16605</v>
      </c>
      <c r="C16807" t="str">
        <f>IFERROR(__xludf.DUMMYFUNCTION("GOOGLETRANSLATE(B16807, ""zh"", ""en"")"),"Poor quality feeling is fake, a few months on the peel. Very poor")</f>
        <v>Poor quality feeling is fake, a few months on the peel. Very poor</v>
      </c>
    </row>
    <row r="16808">
      <c r="A16808" s="1">
        <v>4.0</v>
      </c>
      <c r="B16808" s="1" t="s">
        <v>16606</v>
      </c>
      <c r="C16808" t="str">
        <f>IFERROR(__xludf.DUMMYFUNCTION("GOOGLETRANSLATE(B16808, ""zh"", ""en"")"),"Hard look pretty, but such material is hard to estimate, patagonia is also true hard.")</f>
        <v>Hard look pretty, but such material is hard to estimate, patagonia is also true hard.</v>
      </c>
    </row>
    <row r="16809">
      <c r="A16809" s="1">
        <v>4.0</v>
      </c>
      <c r="B16809" s="1" t="s">
        <v>16607</v>
      </c>
      <c r="C16809" t="str">
        <f>IFERROR(__xludf.DUMMYFUNCTION("GOOGLETRANSLATE(B16809, ""zh"", ""en"")"),"Also, good speed. Speed ​​can also be received from the single to the present 11 days. The sound quality did not exceed expectations, some muddy bass, of course, and perhaps not to force about Asus sound cards, alt or structured charm, feeling better than"&amp;" last triangle mx50, listen to good music, so-called cool feeling loved.")</f>
        <v>Also, good speed. Speed ​​can also be received from the single to the present 11 days. The sound quality did not exceed expectations, some muddy bass, of course, and perhaps not to force about Asus sound cards, alt or structured charm, feeling better than last triangle mx50, listen to good music, so-called cool feeling loved.</v>
      </c>
    </row>
    <row r="16810">
      <c r="A16810" s="1">
        <v>4.0</v>
      </c>
      <c r="B16810" s="1" t="s">
        <v>16608</v>
      </c>
      <c r="C16810" t="str">
        <f>IFERROR(__xludf.DUMMYFUNCTION("GOOGLETRANSLATE(B16810, ""zh"", ""en"")"),"Received in advance, shoes are very good for 4 stars is because just bought on price cuts have not received, customer service does not make up the difference, depressed. I was 248 feet long by 107 wide and high instep, chose to see the comments of this si"&amp;"ze right length, is about to buy a yard wide or narrow a little bit, but little effect, height is no problem. The quality looks very good.")</f>
        <v>Received in advance, shoes are very good for 4 stars is because just bought on price cuts have not received, customer service does not make up the difference, depressed. I was 248 feet long by 107 wide and high instep, chose to see the comments of this size right length, is about to buy a yard wide or narrow a little bit, but little effect, height is no problem. The quality looks very good.</v>
      </c>
    </row>
    <row r="16811">
      <c r="A16811" s="1">
        <v>4.0</v>
      </c>
      <c r="B16811" s="1" t="s">
        <v>16609</v>
      </c>
      <c r="C16811" t="str">
        <f>IFERROR(__xludf.DUMMYFUNCTION("GOOGLETRANSLATE(B16811, ""zh"", ""en"")"),"Standard color is not the same picture with the picture is why I bought the silver standard is the subject of gold")</f>
        <v>Standard color is not the same picture with the picture is why I bought the silver standard is the subject of gold</v>
      </c>
    </row>
    <row r="16812">
      <c r="A16812" s="1">
        <v>4.0</v>
      </c>
      <c r="B16812" s="1" t="s">
        <v>16610</v>
      </c>
      <c r="C16812" t="str">
        <f>IFERROR(__xludf.DUMMYFUNCTION("GOOGLETRANSLATE(B16812, ""zh"", ""en"")"),"Spoon spoon handle thick appearance is very beautiful quality is also good but very good boy holding a spoon handle less convenient")</f>
        <v>Spoon spoon handle thick appearance is very beautiful quality is also good but very good boy holding a spoon handle less convenient</v>
      </c>
    </row>
    <row r="16813">
      <c r="A16813" s="1">
        <v>5.0</v>
      </c>
      <c r="B16813" s="1" t="s">
        <v>16611</v>
      </c>
      <c r="C16813" t="str">
        <f>IFERROR(__xludf.DUMMYFUNCTION("GOOGLETRANSLATE(B16813, ""zh"", ""en"")"),"A little exaggerated soles very long, suitable for walking, driving too convenient.")</f>
        <v>A little exaggerated soles very long, suitable for walking, driving too convenient.</v>
      </c>
    </row>
    <row r="16814">
      <c r="A16814" s="1">
        <v>5.0</v>
      </c>
      <c r="B16814" s="1" t="s">
        <v>16612</v>
      </c>
      <c r="C16814" t="str">
        <f>IFERROR(__xludf.DUMMYFUNCTION("GOOGLETRANSLATE(B16814, ""zh"", ""en"")"),"Value shipping 267,8 branch members even can be said very low. HX6730 with the same with the original.")</f>
        <v>Value shipping 267,8 branch members even can be said very low. HX6730 with the same with the original.</v>
      </c>
    </row>
    <row r="16815">
      <c r="A16815" s="1">
        <v>5.0</v>
      </c>
      <c r="B16815" s="1" t="s">
        <v>16613</v>
      </c>
      <c r="C16815" t="str">
        <f>IFERROR(__xludf.DUMMYFUNCTION("GOOGLETRANSLATE(B16815, ""zh"", ""en"")"),"Satisfied very satisfied with the shopping, the price can be very good quality, but also to the future")</f>
        <v>Satisfied very satisfied with the shopping, the price can be very good quality, but also to the future</v>
      </c>
    </row>
    <row r="16816">
      <c r="A16816" s="1">
        <v>5.0</v>
      </c>
      <c r="B16816" s="1" t="s">
        <v>16614</v>
      </c>
      <c r="C16816" t="str">
        <f>IFERROR(__xludf.DUMMYFUNCTION("GOOGLETRANSLATE(B16816, ""zh"", ""en"")"),"Great watch, like the original point I do not know this brand, very affordable cost, students with a very appropriate, very good, very satisfied with the current.")</f>
        <v>Great watch, like the original point I do not know this brand, very affordable cost, students with a very appropriate, very good, very satisfied with the current.</v>
      </c>
    </row>
    <row r="16817">
      <c r="A16817" s="1">
        <v>5.0</v>
      </c>
      <c r="B16817" s="1" t="s">
        <v>16615</v>
      </c>
      <c r="C16817" t="str">
        <f>IFERROR(__xludf.DUMMYFUNCTION("GOOGLETRANSLATE(B16817, ""zh"", ""en"")"),"Small quiet cost-effective, cheaper than domestic.")</f>
        <v>Small quiet cost-effective, cheaper than domestic.</v>
      </c>
    </row>
    <row r="16818">
      <c r="A16818" s="1">
        <v>5.0</v>
      </c>
      <c r="B16818" s="1" t="s">
        <v>16616</v>
      </c>
      <c r="C16818" t="str">
        <f>IFERROR(__xludf.DUMMYFUNCTION("GOOGLETRANSLATE(B16818, ""zh"", ""en"")"),"1000 buy must control the size of the table and the length of his own foot, I usually wear 43, the US version European version of 42 is enough. Members free of shipping costs")</f>
        <v>1000 buy must control the size of the table and the length of his own foot, I usually wear 43, the US version European version of 42 is enough. Members free of shipping costs</v>
      </c>
    </row>
    <row r="16819">
      <c r="A16819" s="1">
        <v>5.0</v>
      </c>
      <c r="B16819" s="1" t="s">
        <v>16617</v>
      </c>
      <c r="C16819" t="str">
        <f>IFERROR(__xludf.DUMMYFUNCTION("GOOGLETRANSLATE(B16819, ""zh"", ""en"")"),"Very value! Bought this table, I was in high school with the brother! Simple, clean, and this is what I need to give him, this is also demonstrated by the table, and the price is very fair, it is ""very much."" Recommended for primary, secondary and wear.")</f>
        <v>Very value! Bought this table, I was in high school with the brother! Simple, clean, and this is what I need to give him, this is also demonstrated by the table, and the price is very fair, it is "very much." Recommended for primary, secondary and wear.</v>
      </c>
    </row>
    <row r="16820">
      <c r="A16820" s="1">
        <v>5.0</v>
      </c>
      <c r="B16820" s="1" t="s">
        <v>16618</v>
      </c>
      <c r="C16820" t="str">
        <f>IFERROR(__xludf.DUMMYFUNCTION("GOOGLETRANSLATE(B16820, ""zh"", ""en"")"),"The good speed is also very fast, received the packaging is not damaged, there is outside the box, worth buying, Amazon's first-class service, great shopping experience")</f>
        <v>The good speed is also very fast, received the packaging is not damaged, there is outside the box, worth buying, Amazon's first-class service, great shopping experience</v>
      </c>
    </row>
    <row r="16821">
      <c r="A16821" s="1">
        <v>5.0</v>
      </c>
      <c r="B16821" s="1" t="s">
        <v>16619</v>
      </c>
      <c r="C16821" t="str">
        <f>IFERROR(__xludf.DUMMYFUNCTION("GOOGLETRANSLATE(B16821, ""zh"", ""en"")"),"Good waterproof shoes, well, that cover their feet, autumn and winter wear,")</f>
        <v>Good waterproof shoes, well, that cover their feet, autumn and winter wear,</v>
      </c>
    </row>
    <row r="16822">
      <c r="A16822" s="1">
        <v>5.0</v>
      </c>
      <c r="B16822" s="1" t="s">
        <v>16620</v>
      </c>
      <c r="C16822" t="str">
        <f>IFERROR(__xludf.DUMMYFUNCTION("GOOGLETRANSLATE(B16822, ""zh"", ""en"")"),"Very nice pants pants is really good very satisfied with the firm I chose waistband pants just a little fat to wear trousers but if there should be just good activities must be more comfortable when large movements are well selected waistband own code tha"&amp;"t is not waterproof pants")</f>
        <v>Very nice pants pants is really good very satisfied with the firm I chose waistband pants just a little fat to wear trousers but if there should be just good activities must be more comfortable when large movements are well selected waistband own code that is not waterproof pants</v>
      </c>
    </row>
    <row r="16823">
      <c r="A16823" s="1">
        <v>5.0</v>
      </c>
      <c r="B16823" s="1" t="s">
        <v>16621</v>
      </c>
      <c r="C16823" t="str">
        <f>IFERROR(__xludf.DUMMYFUNCTION("GOOGLETRANSLATE(B16823, ""zh"", ""en"")"),"No invoice package of better toe a little hard")</f>
        <v>No invoice package of better toe a little hard</v>
      </c>
    </row>
    <row r="16824">
      <c r="A16824" s="1">
        <v>5.0</v>
      </c>
      <c r="B16824" s="1" t="s">
        <v>16622</v>
      </c>
      <c r="C16824" t="str">
        <f>IFERROR(__xludf.DUMMYFUNCTION("GOOGLETRANSLATE(B16824, ""zh"", ""en"")"),"All aspects of good, only downside is no logo outside. I 178,72kg, slightly dark skin, green is very suitable, L code is very appropriate size, the clothes just fine.")</f>
        <v>All aspects of good, only downside is no logo outside. I 178,72kg, slightly dark skin, green is very suitable, L code is very appropriate size, the clothes just fine.</v>
      </c>
    </row>
    <row r="16825">
      <c r="A16825" s="1">
        <v>5.0</v>
      </c>
      <c r="B16825" s="1" t="s">
        <v>16623</v>
      </c>
      <c r="C16825" t="str">
        <f>IFERROR(__xludf.DUMMYFUNCTION("GOOGLETRANSLATE(B16825, ""zh"", ""en"")"),"37 yards just to buy 6.5 scouring the sea for the first time to buy the right size, usually 37 yards, to buy 6.5, loosely - just the price of tax-over nine hundred thousand less, the price is not good, but the style and quality are satisfied, happy")</f>
        <v>37 yards just to buy 6.5 scouring the sea for the first time to buy the right size, usually 37 yards, to buy 6.5, loosely - just the price of tax-over nine hundred thousand less, the price is not good, but the style and quality are satisfied, happy</v>
      </c>
    </row>
    <row r="16826">
      <c r="A16826" s="1">
        <v>5.0</v>
      </c>
      <c r="B16826" s="1" t="s">
        <v>16624</v>
      </c>
      <c r="C16826" t="str">
        <f>IFERROR(__xludf.DUMMYFUNCTION("GOOGLETRANSLATE(B16826, ""zh"", ""en"")"),"493, 493 almost the lowest in the history of the party hand to tell you what is cost-effective")</f>
        <v>493, 493 almost the lowest in the history of the party hand to tell you what is cost-effective</v>
      </c>
    </row>
    <row r="16827">
      <c r="A16827" s="1">
        <v>5.0</v>
      </c>
      <c r="B16827" s="1" t="s">
        <v>16625</v>
      </c>
      <c r="C16827" t="str">
        <f>IFERROR(__xludf.DUMMYFUNCTION("GOOGLETRANSLATE(B16827, ""zh"", ""en"")"),"Very good very good, very value")</f>
        <v>Very good very good, very value</v>
      </c>
    </row>
    <row r="16828">
      <c r="A16828" s="1">
        <v>5.0</v>
      </c>
      <c r="B16828" s="1" t="s">
        <v>16626</v>
      </c>
      <c r="C16828" t="str">
        <f>IFERROR(__xludf.DUMMYFUNCTION("GOOGLETRANSLATE(B16828, ""zh"", ""en"")"),"Amazon and the actual size of the table there is a large difference in the size of the table because Amazon has a problem, because it is the first time its own sea Amoy shoes, worry too much, so choose big, in fact, and domestic brand counters size chart "&amp;"exactly the same, in accordance with domestic counter purchase a full size table with the money no problem, shoes origin Cambodia, classic indeed very beautiful, next time you buy a pair of more appropriate size.")</f>
        <v>Amazon and the actual size of the table there is a large difference in the size of the table because Amazon has a problem, because it is the first time its own sea Amoy shoes, worry too much, so choose big, in fact, and domestic brand counters size chart exactly the same, in accordance with domestic counter purchase a full size table with the money no problem, shoes origin Cambodia, classic indeed very beautiful, next time you buy a pair of more appropriate size.</v>
      </c>
    </row>
    <row r="16829">
      <c r="A16829" s="1">
        <v>5.0</v>
      </c>
      <c r="B16829" s="1" t="s">
        <v>16627</v>
      </c>
      <c r="C16829" t="str">
        <f>IFERROR(__xludf.DUMMYFUNCTION("GOOGLETRANSLATE(B16829, ""zh"", ""en"")"),"Children have become like wash your hands well, the children liked!")</f>
        <v>Children have become like wash your hands well, the children liked!</v>
      </c>
    </row>
    <row r="16830">
      <c r="A16830" s="1">
        <v>5.0</v>
      </c>
      <c r="B16830" s="1" t="s">
        <v>16628</v>
      </c>
      <c r="C16830" t="str">
        <f>IFERROR(__xludf.DUMMYFUNCTION("GOOGLETRANSLATE(B16830, ""zh"", ""en"")"),"worth buying! Ecco shoes is comfortable to wear! However, there is a little flaw, the tile will creak sound outdated, small embarrassment")</f>
        <v>worth buying! Ecco shoes is comfortable to wear! However, there is a little flaw, the tile will creak sound outdated, small embarrassment</v>
      </c>
    </row>
    <row r="16831">
      <c r="A16831" s="1">
        <v>5.0</v>
      </c>
      <c r="B16831" s="1" t="s">
        <v>16629</v>
      </c>
      <c r="C16831" t="str">
        <f>IFERROR(__xludf.DUMMYFUNCTION("GOOGLETRANSLATE(B16831, ""zh"", ""en"")"),"Practical, very affordable, and practical support as always, is very affordable, as always, support")</f>
        <v>Practical, very affordable, and practical support as always, is very affordable, as always, support</v>
      </c>
    </row>
    <row r="16832">
      <c r="A16832" s="1">
        <v>5.0</v>
      </c>
      <c r="B16832" s="1" t="s">
        <v>16630</v>
      </c>
      <c r="C16832" t="str">
        <f>IFERROR(__xludf.DUMMYFUNCTION("GOOGLETRANSLATE(B16832, ""zh"", ""en"")"),"1. Very good tableware is very pretty; 2 can be opened, easy to clean; 3. The material is very good")</f>
        <v>1. Very good tableware is very pretty; 2 can be opened, easy to clean; 3. The material is very good</v>
      </c>
    </row>
    <row r="16833">
      <c r="A16833" s="1">
        <v>5.0</v>
      </c>
      <c r="B16833" s="1" t="s">
        <v>16631</v>
      </c>
      <c r="C16833" t="str">
        <f>IFERROR(__xludf.DUMMYFUNCTION("GOOGLETRANSLATE(B16833, ""zh"", ""en"")"),"180 85kg usually wear No. L bit tight feeling not as good as cotton comfortable, breathable did not think so good, may be suitable for sports wear it!")</f>
        <v>180 85kg usually wear No. L bit tight feeling not as good as cotton comfortable, breathable did not think so good, may be suitable for sports wear it!</v>
      </c>
    </row>
    <row r="16834">
      <c r="A16834" s="1">
        <v>5.0</v>
      </c>
      <c r="B16834" s="1" t="s">
        <v>16632</v>
      </c>
      <c r="C16834" t="str">
        <f>IFERROR(__xludf.DUMMYFUNCTION("GOOGLETRANSLATE(B16834, ""zh"", ""en"")"),"Final within E3000 500-yuan dynamic headphones cost-effective color value of the first from the likes of its color value starts, Nichia when the price is relatively low from hand, the tax package freight than Taobao domestic agency cheaper $ 100, after fe"&amp;"eling audition three days , high-step clear and bright, IF texture, low-frequency slightly less, but this is a common problem moving coil micro headphones, voice and high-resolution pure music, musical instrument separation effect is obvious, do not know "&amp;"how effective after a period of time and then burn . Wear good sense, because the headphone unit is small, can be inserted into the ear canal, wire soft easy to tie, there is no benefit after wearing a stethoscope, in short, a word value!")</f>
        <v>Final within E3000 500-yuan dynamic headphones cost-effective color value of the first from the likes of its color value starts, Nichia when the price is relatively low from hand, the tax package freight than Taobao domestic agency cheaper $ 100, after feeling audition three days , high-step clear and bright, IF texture, low-frequency slightly less, but this is a common problem moving coil micro headphones, voice and high-resolution pure music, musical instrument separation effect is obvious, do not know how effective after a period of time and then burn . Wear good sense, because the headphone unit is small, can be inserted into the ear canal, wire soft easy to tie, there is no benefit after wearing a stethoscope, in short, a word value!</v>
      </c>
    </row>
    <row r="16835">
      <c r="A16835" s="1">
        <v>2.0</v>
      </c>
      <c r="B16835" s="1" t="s">
        <v>16633</v>
      </c>
      <c r="C16835" t="str">
        <f>IFERROR(__xludf.DUMMYFUNCTION("GOOGLETRANSLATE(B16835, ""zh"", ""en"")"),"Small number, I 176,72 kg, waist 32, M number of this type can not wear, small size. I bought another model number can be m, m such numbers do not wear. Underwear subside and the press box at the end.")</f>
        <v>Small number, I 176,72 kg, waist 32, M number of this type can not wear, small size. I bought another model number can be m, m such numbers do not wear. Underwear subside and the press box at the end.</v>
      </c>
    </row>
    <row r="16836">
      <c r="A16836" s="1">
        <v>3.0</v>
      </c>
      <c r="B16836" s="1" t="s">
        <v>16634</v>
      </c>
      <c r="C16836" t="str">
        <f>IFERROR(__xludf.DUMMYFUNCTION("GOOGLETRANSLATE(B16836, ""zh"", ""en"")"),"Buy big. . . Never bought before, the usual yardage buy, where to buy buy big, as well as the size here, only the bust, there is no reference long clothing and the like, next time you buy to pay attention")</f>
        <v>Buy big. . . Never bought before, the usual yardage buy, where to buy buy big, as well as the size here, only the bust, there is no reference long clothing and the like, next time you buy to pay attention</v>
      </c>
    </row>
    <row r="16837">
      <c r="A16837" s="1">
        <v>3.0</v>
      </c>
      <c r="B16837" s="1" t="s">
        <v>16635</v>
      </c>
      <c r="C16837" t="str">
        <f>IFERROR(__xludf.DUMMYFUNCTION("GOOGLETRANSLATE(B16837, ""zh"", ""en"")"),"Too small a size too small dial")</f>
        <v>Too small a size too small dial</v>
      </c>
    </row>
    <row r="16838">
      <c r="A16838" s="1">
        <v>3.0</v>
      </c>
      <c r="B16838" s="1" t="s">
        <v>16636</v>
      </c>
      <c r="C16838" t="str">
        <f>IFERROR(__xludf.DUMMYFUNCTION("GOOGLETRANSLATE(B16838, ""zh"", ""en"")"),"Difficile true work too times, a lot of thread, unlike Slim straight legs around sloppy. But this price is estimated also be able to buy this.")</f>
        <v>Difficile true work too times, a lot of thread, unlike Slim straight legs around sloppy. But this price is estimated also be able to buy this.</v>
      </c>
    </row>
    <row r="16839">
      <c r="A16839" s="1">
        <v>1.0</v>
      </c>
      <c r="B16839" s="1" t="s">
        <v>16637</v>
      </c>
      <c r="C16839" t="str">
        <f>IFERROR(__xludf.DUMMYFUNCTION("GOOGLETRANSLATE(B16839, ""zh"", ""en"")"),"Do not buy the bottom of the seepage phenomenon, I thought it was not plugged in, the result is the norm! ! !")</f>
        <v>Do not buy the bottom of the seepage phenomenon, I thought it was not plugged in, the result is the norm! ! !</v>
      </c>
    </row>
    <row r="16840">
      <c r="A16840" s="1">
        <v>1.0</v>
      </c>
      <c r="B16840" s="1" t="s">
        <v>16638</v>
      </c>
      <c r="C16840" t="str">
        <f>IFERROR(__xludf.DUMMYFUNCTION("GOOGLETRANSLATE(B16840, ""zh"", ""en"")"),"Good store goods, the praise")</f>
        <v>Good store goods, the praise</v>
      </c>
    </row>
    <row r="16841">
      <c r="A16841" s="1">
        <v>1.0</v>
      </c>
      <c r="B16841" s="1" t="s">
        <v>16639</v>
      </c>
      <c r="C16841" t="str">
        <f>IFERROR(__xludf.DUMMYFUNCTION("GOOGLETRANSLATE(B16841, ""zh"", ""en"")"),"A year, the bad, not durable! I only spent three months a year on the bad, we do not know where to go to repair! ! ! !")</f>
        <v>A year, the bad, not durable! I only spent three months a year on the bad, we do not know where to go to repair! ! ! !</v>
      </c>
    </row>
    <row r="16842">
      <c r="A16842" s="1">
        <v>4.0</v>
      </c>
      <c r="B16842" s="1" t="s">
        <v>16640</v>
      </c>
      <c r="C16842" t="str">
        <f>IFERROR(__xludf.DUMMYFUNCTION("GOOGLETRANSLATE(B16842, ""zh"", ""en"")"),"Shoes are not genuine? Shoes did not sign? There was a shoelace hanging bad, the feeling of being tried on the soles, the most important is the logistics makes me a little confused, sent one week in advance! ! ! It makes me suspect that was not a domestic"&amp;" shipment. Let me wear after a period of time determined that this is genuine, so I decided to buy another pair.")</f>
        <v>Shoes are not genuine? Shoes did not sign? There was a shoelace hanging bad, the feeling of being tried on the soles, the most important is the logistics makes me a little confused, sent one week in advance! ! ! It makes me suspect that was not a domestic shipment. Let me wear after a period of time determined that this is genuine, so I decided to buy another pair.</v>
      </c>
    </row>
    <row r="16843">
      <c r="A16843" s="1">
        <v>4.0</v>
      </c>
      <c r="B16843" s="1" t="s">
        <v>16641</v>
      </c>
      <c r="C16843" t="str">
        <f>IFERROR(__xludf.DUMMYFUNCTION("GOOGLETRANSLATE(B16843, ""zh"", ""en"")"),"Will the original shoebox it? Do not know why the original shoebox shoebox is not a puma, it is a no pattern of cardboard boxes")</f>
        <v>Will the original shoebox it? Do not know why the original shoebox shoebox is not a puma, it is a no pattern of cardboard boxes</v>
      </c>
    </row>
    <row r="16844">
      <c r="A16844" s="1">
        <v>4.0</v>
      </c>
      <c r="B16844" s="1" t="s">
        <v>16642</v>
      </c>
      <c r="C16844" t="str">
        <f>IFERROR(__xludf.DUMMYFUNCTION("GOOGLETRANSLATE(B16844, ""zh"", ""en"")"),"Awkward bulk, a little speechless.")</f>
        <v>Awkward bulk, a little speechless.</v>
      </c>
    </row>
    <row r="16845">
      <c r="A16845" s="1">
        <v>4.0</v>
      </c>
      <c r="B16845" s="1" t="s">
        <v>16643</v>
      </c>
      <c r="C16845" t="str">
        <f>IFERROR(__xludf.DUMMYFUNCTION("GOOGLETRANSLATE(B16845, ""zh"", ""en"")"),"As waistband at some off-line buyers mentioned overall very good pants, for summer is not too hot weather wear. The only downside is, elastic waistband at work can not. Of purchase, it off-line. Sewing shop to deal with their own look, more comfortable to"&amp;" wear.")</f>
        <v>As waistband at some off-line buyers mentioned overall very good pants, for summer is not too hot weather wear. The only downside is, elastic waistband at work can not. Of purchase, it off-line. Sewing shop to deal with their own look, more comfortable to wear.</v>
      </c>
    </row>
    <row r="16846">
      <c r="A16846" s="1">
        <v>4.0</v>
      </c>
      <c r="B16846" s="1" t="s">
        <v>16644</v>
      </c>
      <c r="C16846" t="str">
        <f>IFERROR(__xludf.DUMMYFUNCTION("GOOGLETRANSLATE(B16846, ""zh"", ""en"")"),"Generally I do not like")</f>
        <v>Generally I do not like</v>
      </c>
    </row>
    <row r="16847">
      <c r="A16847" s="1">
        <v>5.0</v>
      </c>
      <c r="B16847" s="1" t="s">
        <v>16645</v>
      </c>
      <c r="C16847" t="str">
        <f>IFERROR(__xludf.DUMMYFUNCTION("GOOGLETRANSLATE(B16847, ""zh"", ""en"")"),"Very good pants tried it, very appropriate, there is a small micro-bomb comfortable")</f>
        <v>Very good pants tried it, very appropriate, there is a small micro-bomb comfortable</v>
      </c>
    </row>
    <row r="16848">
      <c r="A16848" s="1">
        <v>5.0</v>
      </c>
      <c r="B16848" s="1" t="s">
        <v>16646</v>
      </c>
      <c r="C16848" t="str">
        <f>IFERROR(__xludf.DUMMYFUNCTION("GOOGLETRANSLATE(B16848, ""zh"", ""en"")"),"Just open to genuine taste of the big time, and the packaging are rotten, the first sterilized with boiling water, then steam sterilization or taste, smell and it did not, and I think it should be genuine, or should still have the taste of")</f>
        <v>Just open to genuine taste of the big time, and the packaging are rotten, the first sterilized with boiling water, then steam sterilization or taste, smell and it did not, and I think it should be genuine, or should still have the taste of</v>
      </c>
    </row>
    <row r="16849">
      <c r="A16849" s="1">
        <v>5.0</v>
      </c>
      <c r="B16849" s="1" t="s">
        <v>16647</v>
      </c>
      <c r="C16849" t="str">
        <f>IFERROR(__xludf.DUMMYFUNCTION("GOOGLETRANSLATE(B16849, ""zh"", ""en"")"),"Something good, is the price a little more expensive than an adult's something good, is the price a little more expensive than adults")</f>
        <v>Something good, is the price a little more expensive than an adult's something good, is the price a little more expensive than adults</v>
      </c>
    </row>
    <row r="16850">
      <c r="A16850" s="1">
        <v>5.0</v>
      </c>
      <c r="B16850" s="1" t="s">
        <v>16648</v>
      </c>
      <c r="C16850" t="str">
        <f>IFERROR(__xludf.DUMMYFUNCTION("GOOGLETRANSLATE(B16850, ""zh"", ""en"")"),"Quality is very good very fine gift girlfriends baby, but also in addition to her with a pacifier, really very affordable, much cheaper than a lot of Taobao Lynx, workmanship is very fine")</f>
        <v>Quality is very good very fine gift girlfriends baby, but also in addition to her with a pacifier, really very affordable, much cheaper than a lot of Taobao Lynx, workmanship is very fine</v>
      </c>
    </row>
    <row r="16851">
      <c r="A16851" s="1">
        <v>5.0</v>
      </c>
      <c r="B16851" s="1" t="s">
        <v>16649</v>
      </c>
      <c r="C16851" t="str">
        <f>IFERROR(__xludf.DUMMYFUNCTION("GOOGLETRANSLATE(B16851, ""zh"", ""en"")"),"Temperature stable, easy to use like this heavy feeling, temperature stability")</f>
        <v>Temperature stable, easy to use like this heavy feeling, temperature stability</v>
      </c>
    </row>
    <row r="16852">
      <c r="A16852" s="1">
        <v>5.0</v>
      </c>
      <c r="B16852" s="1" t="s">
        <v>16650</v>
      </c>
      <c r="C16852" t="str">
        <f>IFERROR(__xludf.DUMMYFUNCTION("GOOGLETRANSLATE(B16852, ""zh"", ""en"")"),"Clarks Orinoco Spice women's boots Black (Black WLined ... been using the brand, good.")</f>
        <v>Clarks Orinoco Spice women's boots Black (Black WLined ... been using the brand, good.</v>
      </c>
    </row>
    <row r="16853">
      <c r="A16853" s="1">
        <v>5.0</v>
      </c>
      <c r="B16853" s="1" t="s">
        <v>16651</v>
      </c>
      <c r="C16853" t="str">
        <f>IFERROR(__xludf.DUMMYFUNCTION("GOOGLETRANSLATE(B16853, ""zh"", ""en"")"),"Inexpensive looked less than three hundred high-end, but the band play very good shape, large dial and leather strap let other people mistakenly think very upscale haha")</f>
        <v>Inexpensive looked less than three hundred high-end, but the band play very good shape, large dial and leather strap let other people mistakenly think very upscale haha</v>
      </c>
    </row>
    <row r="16854">
      <c r="A16854" s="1">
        <v>5.0</v>
      </c>
      <c r="B16854" s="1" t="s">
        <v>16652</v>
      </c>
      <c r="C16854" t="str">
        <f>IFERROR(__xludf.DUMMYFUNCTION("GOOGLETRANSLATE(B16854, ""zh"", ""en"")"),"""The clean sea Amoy an"" Chelsea shoes, very Italian, bare feet long 265MM, 41.5 yards. For Yizhenyijia test Lahaina Amoy, now Amazon overseas purchase you become a clear stream. Timeliness is very high, the entire transport process took a total of 9 day"&amp;"s.")</f>
        <v>"The clean sea Amoy an" Chelsea shoes, very Italian, bare feet long 265MM, 41.5 yards. For Yizhenyijia test Lahaina Amoy, now Amazon overseas purchase you become a clear stream. Timeliness is very high, the entire transport process took a total of 9 days.</v>
      </c>
    </row>
    <row r="16855">
      <c r="A16855" s="1">
        <v>5.0</v>
      </c>
      <c r="B16855" s="1" t="s">
        <v>16653</v>
      </c>
      <c r="C16855" t="str">
        <f>IFERROR(__xludf.DUMMYFUNCTION("GOOGLETRANSLATE(B16855, ""zh"", ""en"")"),"Very easy to use toothpaste love my daughter very practical use for a long time can be too easy to use.")</f>
        <v>Very easy to use toothpaste love my daughter very practical use for a long time can be too easy to use.</v>
      </c>
    </row>
    <row r="16856">
      <c r="A16856" s="1">
        <v>5.0</v>
      </c>
      <c r="B16856" s="1" t="s">
        <v>16654</v>
      </c>
      <c r="C16856" t="str">
        <f>IFERROR(__xludf.DUMMYFUNCTION("GOOGLETRANSLATE(B16856, ""zh"", ""en"")"),"nice easy to use, use it with a baby like to eat out.")</f>
        <v>nice easy to use, use it with a baby like to eat out.</v>
      </c>
    </row>
    <row r="16857">
      <c r="A16857" s="1">
        <v>5.0</v>
      </c>
      <c r="B16857" s="1" t="s">
        <v>16655</v>
      </c>
      <c r="C16857" t="str">
        <f>IFERROR(__xludf.DUMMYFUNCTION("GOOGLETRANSLATE(B16857, ""zh"", ""en"")"),"Buy a second double standard size, standard size, when the discount purchase price is one-third of domestic counter.")</f>
        <v>Buy a second double standard size, standard size, when the discount purchase price is one-third of domestic counter.</v>
      </c>
    </row>
    <row r="16858">
      <c r="A16858" s="1">
        <v>5.0</v>
      </c>
      <c r="B16858" s="1" t="s">
        <v>16656</v>
      </c>
      <c r="C16858" t="str">
        <f>IFERROR(__xludf.DUMMYFUNCTION("GOOGLETRANSLATE(B16858, ""zh"", ""en"")"),"Suitable 178cm.74kg. The appropriate number, hoping to help other buyers.")</f>
        <v>Suitable 178cm.74kg. The appropriate number, hoping to help other buyers.</v>
      </c>
    </row>
    <row r="16859">
      <c r="A16859" s="1">
        <v>5.0</v>
      </c>
      <c r="B16859" s="1" t="s">
        <v>16657</v>
      </c>
      <c r="C16859" t="str">
        <f>IFERROR(__xludf.DUMMYFUNCTION("GOOGLETRANSLATE(B16859, ""zh"", ""en"")"),"The legendary three-band equalizer fungus blind burn, good to hear, a little card ear, cheap. very satisfied")</f>
        <v>The legendary three-band equalizer fungus blind burn, good to hear, a little card ear, cheap. very satisfied</v>
      </c>
    </row>
    <row r="16860">
      <c r="A16860" s="1">
        <v>5.0</v>
      </c>
      <c r="B16860" s="1" t="s">
        <v>16658</v>
      </c>
      <c r="C16860" t="str">
        <f>IFERROR(__xludf.DUMMYFUNCTION("GOOGLETRANSLATE(B16860, ""zh"", ""en"")"),"A great look that good, great set of colored pencils, the only bad thing is expensive! Not willing to use ah")</f>
        <v>A great look that good, great set of colored pencils, the only bad thing is expensive! Not willing to use ah</v>
      </c>
    </row>
    <row r="16861">
      <c r="A16861" s="1">
        <v>5.0</v>
      </c>
      <c r="B16861" s="1" t="s">
        <v>16659</v>
      </c>
      <c r="C16861" t="str">
        <f>IFERROR(__xludf.DUMMYFUNCTION("GOOGLETRANSLATE(B16861, ""zh"", ""en"")"),"Wild section, likes to wear good, wild. For the first time in the Amazon shopping, merchandise is very positive, special buy Shuangwai, the tariff is a little distressed.")</f>
        <v>Wild section, likes to wear good, wild. For the first time in the Amazon shopping, merchandise is very positive, special buy Shuangwai, the tariff is a little distressed.</v>
      </c>
    </row>
    <row r="16862">
      <c r="A16862" s="1">
        <v>5.0</v>
      </c>
      <c r="B16862" s="1" t="s">
        <v>16660</v>
      </c>
      <c r="C16862" t="str">
        <f>IFERROR(__xludf.DUMMYFUNCTION("GOOGLETRANSLATE(B16862, ""zh"", ""en"")"),"Usually wear 36, just wear four yards, four yards is 37 yards ah usually wear 36, just wear four yards, four yards is 37 yards, ah, I wear the United States code 5.5")</f>
        <v>Usually wear 36, just wear four yards, four yards is 37 yards ah usually wear 36, just wear four yards, four yards is 37 yards, ah, I wear the United States code 5.5</v>
      </c>
    </row>
    <row r="16863">
      <c r="A16863" s="1">
        <v>5.0</v>
      </c>
      <c r="B16863" s="1" t="s">
        <v>16661</v>
      </c>
      <c r="C16863" t="str">
        <f>IFERROR(__xludf.DUMMYFUNCTION("GOOGLETRANSLATE(B16863, ""zh"", ""en"")"),"Very satisfied! Very good hoodies, suitable for spring and autumn wear, velvet inside a very warm, comfortable and nice, very satisfied!")</f>
        <v>Very satisfied! Very good hoodies, suitable for spring and autumn wear, velvet inside a very warm, comfortable and nice, very satisfied!</v>
      </c>
    </row>
    <row r="16864">
      <c r="A16864" s="1">
        <v>5.0</v>
      </c>
      <c r="B16864" s="1" t="s">
        <v>16662</v>
      </c>
      <c r="C16864" t="str">
        <f>IFERROR(__xludf.DUMMYFUNCTION("GOOGLETRANSLATE(B16864, ""zh"", ""en"")"),"Good shoes cost, logistics speed is also good, the shoes comfortable to wear than domestic brands, the overall feeling is one word, great!")</f>
        <v>Good shoes cost, logistics speed is also good, the shoes comfortable to wear than domestic brands, the overall feeling is one word, great!</v>
      </c>
    </row>
    <row r="16865">
      <c r="A16865" s="1">
        <v>5.0</v>
      </c>
      <c r="B16865" s="1" t="s">
        <v>6801</v>
      </c>
      <c r="C16865" t="str">
        <f>IFERROR(__xludf.DUMMYFUNCTION("GOOGLETRANSLATE(B16865, ""zh"", ""en"")"),"Inexpensive, very satisfied quite satisfied. 164,60kg, M code is appropriate. The sleeves a bit long, after all, not Europeans and Americans. The price is right, plus shipping costs less than 450. Satisfied.")</f>
        <v>Inexpensive, very satisfied quite satisfied. 164,60kg, M code is appropriate. The sleeves a bit long, after all, not Europeans and Americans. The price is right, plus shipping costs less than 450. Satisfied.</v>
      </c>
    </row>
    <row r="16866">
      <c r="A16866" s="1">
        <v>5.0</v>
      </c>
      <c r="B16866" s="1" t="s">
        <v>16663</v>
      </c>
      <c r="C16866" t="str">
        <f>IFERROR(__xludf.DUMMYFUNCTION("GOOGLETRANSLATE(B16866, ""zh"", ""en"")"),"Wumart cheap Wumart cheap Oh, cheaper than the domestic half, is the really big number, try to counter it, and then come to buy")</f>
        <v>Wumart cheap Wumart cheap Oh, cheaper than the domestic half, is the really big number, try to counter it, and then come to buy</v>
      </c>
    </row>
    <row r="16867">
      <c r="A16867" s="1">
        <v>5.0</v>
      </c>
      <c r="B16867" s="1" t="s">
        <v>16664</v>
      </c>
      <c r="C16867" t="str">
        <f>IFERROR(__xludf.DUMMYFUNCTION("GOOGLETRANSLATE(B16867, ""zh"", ""en"")"),"Material feel good good good material, feel Bang Bang, each part has the highest temperature can withstand the label, details very good. Two nipple holes after the water upside down is filled with water drops down, even as compared AVENT line down much be"&amp;"tter. Taste is the taste of silicone, there is no disinfection, after a chase comment.")</f>
        <v>Material feel good good good material, feel Bang Bang, each part has the highest temperature can withstand the label, details very good. Two nipple holes after the water upside down is filled with water drops down, even as compared AVENT line down much better. Taste is the taste of silicone, there is no disinfection, after a chase comment.</v>
      </c>
    </row>
    <row r="16868">
      <c r="A16868" s="1">
        <v>5.0</v>
      </c>
      <c r="B16868" s="1" t="s">
        <v>16665</v>
      </c>
      <c r="C16868" t="str">
        <f>IFERROR(__xludf.DUMMYFUNCTION("GOOGLETRANSLATE(B16868, ""zh"", ""en"")"),"Compared with other brands and good style a little small, 183,92 a little tight, you can. Pima cotton is.")</f>
        <v>Compared with other brands and good style a little small, 183,92 a little tight, you can. Pima cotton is.</v>
      </c>
    </row>
    <row r="16869">
      <c r="A16869" s="1">
        <v>2.0</v>
      </c>
      <c r="B16869" s="1" t="s">
        <v>16666</v>
      </c>
      <c r="C16869" t="str">
        <f>IFERROR(__xludf.DUMMYFUNCTION("GOOGLETRANSLATE(B16869, ""zh"", ""en"")"),"2 stars receive no more! Severe pressure left instep (not to mention my high instep, soccer shoes never drown out), the right foot is very appropriate. In addition, the friction will be lined with white trousers and socks stick to the focus of the lining "&amp;"or plastic, can not afford to completely stick! FIG trousers on a white dot-shaped portion has been treated several times after remaining! Waste is also equal to a pair of pants?")</f>
        <v>2 stars receive no more! Severe pressure left instep (not to mention my high instep, soccer shoes never drown out), the right foot is very appropriate. In addition, the friction will be lined with white trousers and socks stick to the focus of the lining or plastic, can not afford to completely stick! FIG trousers on a white dot-shaped portion has been treated several times after remaining! Waste is also equal to a pair of pants?</v>
      </c>
    </row>
    <row r="16870">
      <c r="A16870" s="1">
        <v>3.0</v>
      </c>
      <c r="B16870" s="1" t="s">
        <v>16667</v>
      </c>
      <c r="C16870" t="str">
        <f>IFERROR(__xludf.DUMMYFUNCTION("GOOGLETRANSLATE(B16870, ""zh"", ""en"")"),"Damaged! Wear scar! &lt;Div id = ""video-block-R2I4MG625G40QE"" class = ""a-section a-spacing-small a-spacing-top-mini video-block""&gt; &lt;/ div&gt; &lt;input type = ""hidden"" name = """" value = ""https://images-cn.ssl-images-amazon.com/images/I/A1RWDEEoPPS.mp4"" cl"&amp;"ass = ""video-url""&gt; &lt;input type = ""hidden"" name = """" value = ""https: //images-cn.ssl-images-amazon.com/images/I/91Oue58qjnS.png ""class ="" video-slate-img-url ""&gt; &amp; nbsp; Why buy new shoes will scratch and wear scar? It is a lot cheaper to send def"&amp;"ective products that can not ah!")</f>
        <v>Damaged! Wear scar! &lt;Div id = "video-block-R2I4MG625G40QE" class = "a-section a-spacing-small a-spacing-top-mini video-block"&gt; &lt;/ div&gt; &lt;input type = "hidden" name = "" value = "https://images-cn.ssl-images-amazon.com/images/I/A1RWDEEoPPS.mp4" class = "video-url"&gt; &lt;input type = "hidden" name = "" value = "https: //images-cn.ssl-images-amazon.com/images/I/91Oue58qjnS.png "class =" video-slate-img-url "&gt; &amp; nbsp; Why buy new shoes will scratch and wear scar? It is a lot cheaper to send defective products that can not ah!</v>
      </c>
    </row>
    <row r="16871">
      <c r="A16871" s="1">
        <v>3.0</v>
      </c>
      <c r="B16871" s="1" t="s">
        <v>16668</v>
      </c>
      <c r="C16871" t="str">
        <f>IFERROR(__xludf.DUMMYFUNCTION("GOOGLETRANSLATE(B16871, ""zh"", ""en"")"),"Quality in general how should I say, that the quality hard to describe ah!")</f>
        <v>Quality in general how should I say, that the quality hard to describe ah!</v>
      </c>
    </row>
    <row r="16872">
      <c r="A16872" s="1">
        <v>3.0</v>
      </c>
      <c r="B16872" s="1" t="s">
        <v>16669</v>
      </c>
      <c r="C16872" t="str">
        <f>IFERROR(__xludf.DUMMYFUNCTION("GOOGLETRANSLATE(B16872, ""zh"", ""en"")"),"Than the United States brought back much worse. Taste is very large plastic bag is thin, rough. The United States than before with the back of a lot worse.")</f>
        <v>Than the United States brought back much worse. Taste is very large plastic bag is thin, rough. The United States than before with the back of a lot worse.</v>
      </c>
    </row>
    <row r="16873">
      <c r="A16873" s="1">
        <v>1.0</v>
      </c>
      <c r="B16873" s="1" t="s">
        <v>16670</v>
      </c>
      <c r="C16873" t="str">
        <f>IFERROR(__xludf.DUMMYFUNCTION("GOOGLETRANSLATE(B16873, ""zh"", ""en"")"),"After connecting quality headphones micro-channel has been flashing back, Bluetooth headset phone or open a voice call when suddenly became loud, this is a Oh, several times so I am particularly embarrassed. To buy back more than a month. Use less than tw"&amp;"o hours show has run out of power, turn off the headset and then restart the display left half of the electricity. Contact Amazon customer service, customer service let me in relation to domestic sales point JBL, playing the domestic point of sale phone, "&amp;"they say overseas purchase goods without warranty. The relatively high cost of maintenance needs, I was drunk, buy carefully consider it, this has been my ""collection"" in the corner of the drawer")</f>
        <v>After connecting quality headphones micro-channel has been flashing back, Bluetooth headset phone or open a voice call when suddenly became loud, this is a Oh, several times so I am particularly embarrassed. To buy back more than a month. Use less than two hours show has run out of power, turn off the headset and then restart the display left half of the electricity. Contact Amazon customer service, customer service let me in relation to domestic sales point JBL, playing the domestic point of sale phone, they say overseas purchase goods without warranty. The relatively high cost of maintenance needs, I was drunk, buy carefully consider it, this has been my "collection" in the corner of the drawer</v>
      </c>
    </row>
    <row r="16874">
      <c r="A16874" s="1">
        <v>1.0</v>
      </c>
      <c r="B16874" s="1" t="s">
        <v>16671</v>
      </c>
      <c r="C16874" t="str">
        <f>IFERROR(__xludf.DUMMYFUNCTION("GOOGLETRANSLATE(B16874, ""zh"", ""en"")"),"Quality is very poor, with a month lid snaps on their own can not do it very, very poor, overseas purchase a lifetime black")</f>
        <v>Quality is very poor, with a month lid snaps on their own can not do it very, very poor, overseas purchase a lifetime black</v>
      </c>
    </row>
    <row r="16875">
      <c r="A16875" s="1">
        <v>4.0</v>
      </c>
      <c r="B16875" s="1" t="s">
        <v>16672</v>
      </c>
      <c r="C16875" t="str">
        <f>IFERROR(__xludf.DUMMYFUNCTION("GOOGLETRANSLATE(B16875, ""zh"", ""en"")"),"Fabric good, self-cultivation, not specifically to buy a smaller size fabric good, self-cultivation, not specifically to buy a smaller size")</f>
        <v>Fabric good, self-cultivation, not specifically to buy a smaller size fabric good, self-cultivation, not specifically to buy a smaller size</v>
      </c>
    </row>
    <row r="16876">
      <c r="A16876" s="1">
        <v>4.0</v>
      </c>
      <c r="B16876" s="1" t="s">
        <v>16673</v>
      </c>
      <c r="C16876" t="str">
        <f>IFERROR(__xludf.DUMMYFUNCTION("GOOGLETRANSLATE(B16876, ""zh"", ""en"")"),"Color deeper than imagined. Thin, breathable, 175.78 kg, M number, the right size.")</f>
        <v>Color deeper than imagined. Thin, breathable, 175.78 kg, M number, the right size.</v>
      </c>
    </row>
    <row r="16877">
      <c r="A16877" s="1">
        <v>4.0</v>
      </c>
      <c r="B16877" s="1" t="s">
        <v>16674</v>
      </c>
      <c r="C16877" t="str">
        <f>IFERROR(__xludf.DUMMYFUNCTION("GOOGLETRANSLATE(B16877, ""zh"", ""en"")"),"Valid for one year results need to see results just received valid for next year in November 2020. Not sure about the effectiveness.")</f>
        <v>Valid for one year results need to see results just received valid for next year in November 2020. Not sure about the effectiveness.</v>
      </c>
    </row>
    <row r="16878">
      <c r="A16878" s="1">
        <v>4.0</v>
      </c>
      <c r="B16878" s="1" t="s">
        <v>16675</v>
      </c>
      <c r="C16878" t="str">
        <f>IFERROR(__xludf.DUMMYFUNCTION("GOOGLETRANSLATE(B16878, ""zh"", ""en"")"),"Buy big for me just right, choose 40 bit large, 24.5cm computing One of about 39, according to sports shoe size is easy to choose the wrong shoes.")</f>
        <v>Buy big for me just right, choose 40 bit large, 24.5cm computing One of about 39, according to sports shoe size is easy to choose the wrong shoes.</v>
      </c>
    </row>
    <row r="16879">
      <c r="A16879" s="1">
        <v>4.0</v>
      </c>
      <c r="B16879" s="1" t="s">
        <v>16676</v>
      </c>
      <c r="C16879" t="str">
        <f>IFERROR(__xludf.DUMMYFUNCTION("GOOGLETRANSLATE(B16879, ""zh"", ""en"")"),"Yen value can be comfortable enough sports shoes are usually 38, this pair a bit big 6us estimated 5.5 exactly. Indian origin, soles a little hard.")</f>
        <v>Yen value can be comfortable enough sports shoes are usually 38, this pair a bit big 6us estimated 5.5 exactly. Indian origin, soles a little hard.</v>
      </c>
    </row>
    <row r="16880">
      <c r="A16880" s="1">
        <v>5.0</v>
      </c>
      <c r="B16880" s="1" t="s">
        <v>16677</v>
      </c>
      <c r="C16880" t="str">
        <f>IFERROR(__xludf.DUMMYFUNCTION("GOOGLETRANSLATE(B16880, ""zh"", ""en"")"),"The price is better. Structure is simple, but good work, dismantling is relatively simple. NAS is very easy to do.")</f>
        <v>The price is better. Structure is simple, but good work, dismantling is relatively simple. NAS is very easy to do.</v>
      </c>
    </row>
    <row r="16881">
      <c r="A16881" s="1">
        <v>5.0</v>
      </c>
      <c r="B16881" s="1" t="s">
        <v>16678</v>
      </c>
      <c r="C16881" t="str">
        <f>IFERROR(__xludf.DUMMYFUNCTION("GOOGLETRANSLATE(B16881, ""zh"", ""en"")"),"Very, very good to wear very comfortable clothes, soft close.")</f>
        <v>Very, very good to wear very comfortable clothes, soft close.</v>
      </c>
    </row>
    <row r="16882">
      <c r="A16882" s="1">
        <v>5.0</v>
      </c>
      <c r="B16882" s="1" t="s">
        <v>16679</v>
      </c>
      <c r="C16882" t="str">
        <f>IFERROR(__xludf.DUMMYFUNCTION("GOOGLETRANSLATE(B16882, ""zh"", ""en"")"),"Value for money casual plaid shirt style is very fond of. Wear felt very warm in the cold and wet weather in the south.")</f>
        <v>Value for money casual plaid shirt style is very fond of. Wear felt very warm in the cold and wet weather in the south.</v>
      </c>
    </row>
    <row r="16883">
      <c r="A16883" s="1">
        <v>5.0</v>
      </c>
      <c r="B16883" s="1" t="s">
        <v>16680</v>
      </c>
      <c r="C16883" t="str">
        <f>IFERROR(__xludf.DUMMYFUNCTION("GOOGLETRANSLATE(B16883, ""zh"", ""en"")"),"Difficult to use, no place to repair a few times on broken, repair to your local Bosch no one would dare dismantle, no accessories ah! ! ! ! ! Especially disappointed 😔")</f>
        <v>Difficult to use, no place to repair a few times on broken, repair to your local Bosch no one would dare dismantle, no accessories ah! ! ! ! ! Especially disappointed 😔</v>
      </c>
    </row>
    <row r="16884">
      <c r="A16884" s="1">
        <v>5.0</v>
      </c>
      <c r="B16884" s="1" t="s">
        <v>16681</v>
      </c>
      <c r="C16884" t="str">
        <f>IFERROR(__xludf.DUMMYFUNCTION("GOOGLETRANSLATE(B16884, ""zh"", ""en"")"),"Beautiful shoes to help her daughter to buy, she likes.")</f>
        <v>Beautiful shoes to help her daughter to buy, she likes.</v>
      </c>
    </row>
    <row r="16885">
      <c r="A16885" s="1">
        <v>5.0</v>
      </c>
      <c r="B16885" s="1" t="s">
        <v>16682</v>
      </c>
      <c r="C16885" t="str">
        <f>IFERROR(__xludf.DUMMYFUNCTION("GOOGLETRANSLATE(B16885, ""zh"", ""en"")"),"Good good, worth buying, very worth buying")</f>
        <v>Good good, worth buying, very worth buying</v>
      </c>
    </row>
    <row r="16886">
      <c r="A16886" s="1">
        <v>5.0</v>
      </c>
      <c r="B16886" s="1" t="s">
        <v>16683</v>
      </c>
      <c r="C16886" t="str">
        <f>IFERROR(__xludf.DUMMYFUNCTION("GOOGLETRANSLATE(B16886, ""zh"", ""en"")"),"Well every day use, very good, Pigeon also used, easy feeling")</f>
        <v>Well every day use, very good, Pigeon also used, easy feeling</v>
      </c>
    </row>
    <row r="16887">
      <c r="A16887" s="1">
        <v>5.0</v>
      </c>
      <c r="B16887" s="1" t="s">
        <v>16684</v>
      </c>
      <c r="C16887" t="str">
        <f>IFERROR(__xludf.DUMMYFUNCTION("GOOGLETRANSLATE(B16887, ""zh"", ""en"")"),"This thing is really quite good tide, the strap is a little hard")</f>
        <v>This thing is really quite good tide, the strap is a little hard</v>
      </c>
    </row>
    <row r="16888">
      <c r="A16888" s="1">
        <v>5.0</v>
      </c>
      <c r="B16888" s="1" t="s">
        <v>16685</v>
      </c>
      <c r="C16888" t="str">
        <f>IFERROR(__xludf.DUMMYFUNCTION("GOOGLETRANSLATE(B16888, ""zh"", ""en"")"),"The first sea scouring all in English, should be genuine, holding weighty, pacifiers very weak, one large and one small plus postage, cheaper than my colleagues in South Korea to buy, Taobao also cheaper faster than 100, in fact shipments pretty fast ????")</f>
        <v>The first sea scouring all in English, should be genuine, holding weighty, pacifiers very weak, one large and one small plus postage, cheaper than my colleagues in South Korea to buy, Taobao also cheaper faster than 100, in fact shipments pretty fast ????</v>
      </c>
    </row>
    <row r="16889">
      <c r="A16889" s="1">
        <v>5.0</v>
      </c>
      <c r="B16889" s="1" t="s">
        <v>16686</v>
      </c>
      <c r="C16889" t="str">
        <f>IFERROR(__xludf.DUMMYFUNCTION("GOOGLETRANSLATE(B16889, ""zh"", ""en"")"),"Great shoes really to force")</f>
        <v>Great shoes really to force</v>
      </c>
    </row>
    <row r="16890">
      <c r="A16890" s="1">
        <v>5.0</v>
      </c>
      <c r="B16890" s="1" t="s">
        <v>16687</v>
      </c>
      <c r="C16890" t="str">
        <f>IFERROR(__xludf.DUMMYFUNCTION("GOOGLETRANSLATE(B16890, ""zh"", ""en"")"),"200, which is the value of work, club pyridazine, cut very nicely. Winter cold. Inside to add clothes to wear, so he bought a XL, and I expected the same. Size standards are given official. My own body measurements as follows, for your reference. : 81 Wei"&amp;"ght, height 172, 106 bust, waist 86, shoulder 55, arm circumference 40. I added the figure wore a cashmere sweater no champion. . Shoulder wide enough to hold up the sleeve, will not be long.")</f>
        <v>200, which is the value of work, club pyridazine, cut very nicely. Winter cold. Inside to add clothes to wear, so he bought a XL, and I expected the same. Size standards are given official. My own body measurements as follows, for your reference. : 81 Weight, height 172, 106 bust, waist 86, shoulder 55, arm circumference 40. I added the figure wore a cashmere sweater no champion. . Shoulder wide enough to hold up the sleeve, will not be long.</v>
      </c>
    </row>
    <row r="16891">
      <c r="A16891" s="1">
        <v>5.0</v>
      </c>
      <c r="B16891" s="1" t="s">
        <v>16688</v>
      </c>
      <c r="C16891" t="str">
        <f>IFERROR(__xludf.DUMMYFUNCTION("GOOGLETRANSLATE(B16891, ""zh"", ""en"")"),"Inexpensive one thousand cheaper than the mall does, put the office in the morning to a cup of hot coffee turned busy working hours, good taste")</f>
        <v>Inexpensive one thousand cheaper than the mall does, put the office in the morning to a cup of hot coffee turned busy working hours, good taste</v>
      </c>
    </row>
    <row r="16892">
      <c r="A16892" s="1">
        <v>5.0</v>
      </c>
      <c r="B16892" s="1" t="s">
        <v>16689</v>
      </c>
      <c r="C16892" t="str">
        <f>IFERROR(__xludf.DUMMYFUNCTION("GOOGLETRANSLATE(B16892, ""zh"", ""en"")"),"Size is very appropriate indeed widening, my little fat feet are incurable O (∩_∩) O")</f>
        <v>Size is very appropriate indeed widening, my little fat feet are incurable O (∩_∩) O</v>
      </c>
    </row>
    <row r="16893">
      <c r="A16893" s="1">
        <v>5.0</v>
      </c>
      <c r="B16893" s="1" t="s">
        <v>16690</v>
      </c>
      <c r="C16893" t="str">
        <f>IFERROR(__xludf.DUMMYFUNCTION("GOOGLETRANSLATE(B16893, ""zh"", ""en"")"),"British-packaging, as always, humble Nichia Central Asia has always been excessive packaging, the British sub has never packaging, original box posted on the express orders sent up. Inside stuff no problem.")</f>
        <v>British-packaging, as always, humble Nichia Central Asia has always been excessive packaging, the British sub has never packaging, original box posted on the express orders sent up. Inside stuff no problem.</v>
      </c>
    </row>
    <row r="16894">
      <c r="A16894" s="1">
        <v>5.0</v>
      </c>
      <c r="B16894" s="1" t="s">
        <v>16691</v>
      </c>
      <c r="C16894" t="str">
        <f>IFERROR(__xludf.DUMMYFUNCTION("GOOGLETRANSLATE(B16894, ""zh"", ""en"")"),"Good very good, breathable warmth, longer thicker enough.")</f>
        <v>Good very good, breathable warmth, longer thicker enough.</v>
      </c>
    </row>
    <row r="16895">
      <c r="A16895" s="1">
        <v>5.0</v>
      </c>
      <c r="B16895" s="1" t="s">
        <v>16692</v>
      </c>
      <c r="C16895" t="str">
        <f>IFERROR(__xludf.DUMMYFUNCTION("GOOGLETRANSLATE(B16895, ""zh"", ""en"")"),"See is cost-effective. Which is the model for the ST8000DM004 desktop disk speed limit.")</f>
        <v>See is cost-effective. Which is the model for the ST8000DM004 desktop disk speed limit.</v>
      </c>
    </row>
    <row r="16896">
      <c r="A16896" s="1">
        <v>5.0</v>
      </c>
      <c r="B16896" s="1" t="s">
        <v>16693</v>
      </c>
      <c r="C16896" t="str">
        <f>IFERROR(__xludf.DUMMYFUNCTION("GOOGLETRANSLATE(B16896, ""zh"", ""en"")"),"Very satisfied with the first cross-border purchase of expensive things, in general, pretty good. Friends do not understand a foreign language, this can be downloaded 350.75 Chinese manual, essentially the same ~~~")</f>
        <v>Very satisfied with the first cross-border purchase of expensive things, in general, pretty good. Friends do not understand a foreign language, this can be downloaded 350.75 Chinese manual, essentially the same ~~~</v>
      </c>
    </row>
    <row r="16897">
      <c r="A16897" s="1">
        <v>5.0</v>
      </c>
      <c r="B16897" s="1" t="s">
        <v>16694</v>
      </c>
      <c r="C16897" t="str">
        <f>IFERROR(__xludf.DUMMYFUNCTION("GOOGLETRANSLATE(B16897, ""zh"", ""en"")"),"Nice very lightweight, laminated and more, the size of a book can put it down.")</f>
        <v>Nice very lightweight, laminated and more, the size of a book can put it down.</v>
      </c>
    </row>
    <row r="16898">
      <c r="A16898" s="1">
        <v>5.0</v>
      </c>
      <c r="B16898" s="1" t="s">
        <v>13137</v>
      </c>
      <c r="C16898" t="str">
        <f>IFERROR(__xludf.DUMMYFUNCTION("GOOGLETRANSLATE(B16898, ""zh"", ""en"")"),"The right size is very comfortable to wear comfortable waist style!")</f>
        <v>The right size is very comfortable to wear comfortable waist style!</v>
      </c>
    </row>
    <row r="16899">
      <c r="A16899" s="1">
        <v>5.0</v>
      </c>
      <c r="B16899" s="1" t="s">
        <v>16695</v>
      </c>
      <c r="C16899" t="str">
        <f>IFERROR(__xludf.DUMMYFUNCTION("GOOGLETRANSLATE(B16899, ""zh"", ""en"")"),"Insulation works well on hand to personally test it, the insulation effect, the result is very satisfactory. Water fill 73 degrees, 63 degrees after 6 hours, 18 hours 49 degrees, 45 degrees for 24 hours.")</f>
        <v>Insulation works well on hand to personally test it, the insulation effect, the result is very satisfactory. Water fill 73 degrees, 63 degrees after 6 hours, 18 hours 49 degrees, 45 degrees for 24 hours.</v>
      </c>
    </row>
    <row r="16900">
      <c r="A16900" s="1">
        <v>5.0</v>
      </c>
      <c r="B16900" s="1" t="s">
        <v>16696</v>
      </c>
      <c r="C16900" t="str">
        <f>IFERROR(__xludf.DUMMYFUNCTION("GOOGLETRANSLATE(B16900, ""zh"", ""en"")"),"Most cost-effective and accurate size, comfortable shoes, delivery speed is great, Amazon members experience good")</f>
        <v>Most cost-effective and accurate size, comfortable shoes, delivery speed is great, Amazon members experience good</v>
      </c>
    </row>
    <row r="16901">
      <c r="A16901" s="1">
        <v>5.0</v>
      </c>
      <c r="B16901" s="1" t="s">
        <v>16697</v>
      </c>
      <c r="C16901" t="str">
        <f>IFERROR(__xludf.DUMMYFUNCTION("GOOGLETRANSLATE(B16901, ""zh"", ""en"")"),"Value for money price factors, is worth so much money, but do not expect one hundred dollars of high-tech sportswear fabrics, unrealistic")</f>
        <v>Value for money price factors, is worth so much money, but do not expect one hundred dollars of high-tech sportswear fabrics, unrealistic</v>
      </c>
    </row>
    <row r="16902">
      <c r="A16902" s="1">
        <v>2.0</v>
      </c>
      <c r="B16902" s="1" t="s">
        <v>16698</v>
      </c>
      <c r="C16902" t="str">
        <f>IFERROR(__xludf.DUMMYFUNCTION("GOOGLETRANSLATE(B16902, ""zh"", ""en"")"),"Quality time, not domestic goods and compare the quality is really something very general, special fabric hard, not suitable for everyday wear.")</f>
        <v>Quality time, not domestic goods and compare the quality is really something very general, special fabric hard, not suitable for everyday wear.</v>
      </c>
    </row>
    <row r="16903">
      <c r="A16903" s="1">
        <v>3.0</v>
      </c>
      <c r="B16903" s="1" t="s">
        <v>16699</v>
      </c>
      <c r="C16903" t="str">
        <f>IFERROR(__xludf.DUMMYFUNCTION("GOOGLETRANSLATE(B16903, ""zh"", ""en"")"),"There is a bit difficult to wear off hard hard to put foot ah is that the elastic band is too tight or too laborious to take off")</f>
        <v>There is a bit difficult to wear off hard hard to put foot ah is that the elastic band is too tight or too laborious to take off</v>
      </c>
    </row>
    <row r="16904">
      <c r="A16904" s="1">
        <v>3.0</v>
      </c>
      <c r="B16904" s="1" t="s">
        <v>16700</v>
      </c>
      <c r="C16904" t="str">
        <f>IFERROR(__xludf.DUMMYFUNCTION("GOOGLETRANSLATE(B16904, ""zh"", ""en"")"),"Good Resolution Resolution is basically very good cheap plastic feel too strong, a little of your side")</f>
        <v>Good Resolution Resolution is basically very good cheap plastic feel too strong, a little of your side</v>
      </c>
    </row>
    <row r="16905">
      <c r="A16905" s="1">
        <v>1.0</v>
      </c>
      <c r="B16905" s="1" t="s">
        <v>16701</v>
      </c>
      <c r="C16905" t="str">
        <f>IFERROR(__xludf.DUMMYFUNCTION("GOOGLETRANSLATE(B16905, ""zh"", ""en"")"),"Fade mildew smell! The same page to buy clothes and some good and some of the difference between the buy fade serious musty also a great brand LOGO hey just to feel very disappointed with the results of quality assurance")</f>
        <v>Fade mildew smell! The same page to buy clothes and some good and some of the difference between the buy fade serious musty also a great brand LOGO hey just to feel very disappointed with the results of quality assurance</v>
      </c>
    </row>
    <row r="16906">
      <c r="A16906" s="1">
        <v>1.0</v>
      </c>
      <c r="B16906" s="1" t="s">
        <v>16702</v>
      </c>
      <c r="C16906" t="str">
        <f>IFERROR(__xludf.DUMMYFUNCTION("GOOGLETRANSLATE(B16906, ""zh"", ""en"")"),"Send the wrong goods, do not know can not change 58200 under orders, sent 52120 ......")</f>
        <v>Send the wrong goods, do not know can not change 58200 under orders, sent 52120 ......</v>
      </c>
    </row>
    <row r="16907">
      <c r="A16907" s="1">
        <v>1.0</v>
      </c>
      <c r="B16907" s="1" t="s">
        <v>16703</v>
      </c>
      <c r="C16907" t="str">
        <f>IFERROR(__xludf.DUMMYFUNCTION("GOOGLETRANSLATE(B16907, ""zh"", ""en"")"),"Not worth buying high 178, buy L code is too large, the hem is really long. To wear a little afraid to take to the streets, I really like trafficking ** small roadside bargains.")</f>
        <v>Not worth buying high 178, buy L code is too large, the hem is really long. To wear a little afraid to take to the streets, I really like trafficking ** small roadside bargains.</v>
      </c>
    </row>
    <row r="16908">
      <c r="A16908" s="1">
        <v>4.0</v>
      </c>
      <c r="B16908" s="1" t="s">
        <v>16704</v>
      </c>
      <c r="C16908" t="str">
        <f>IFERROR(__xludf.DUMMYFUNCTION("GOOGLETRANSLATE(B16908, ""zh"", ""en"")"),"For sports and get our hands on feeling a little different, but not suitable for sports suitable for everyday casual wear, sewing material is good, the price can not ask too much of it")</f>
        <v>For sports and get our hands on feeling a little different, but not suitable for sports suitable for everyday casual wear, sewing material is good, the price can not ask too much of it</v>
      </c>
    </row>
    <row r="16909">
      <c r="A16909" s="1">
        <v>4.0</v>
      </c>
      <c r="B16909" s="1" t="s">
        <v>16705</v>
      </c>
      <c r="C16909" t="str">
        <f>IFERROR(__xludf.DUMMYFUNCTION("GOOGLETRANSLATE(B16909, ""zh"", ""en"")"),"Fabric is thin secondary buy-back, this time overseas a little bit long time direct mail, packaging is still very simple, I feel the clothes even thinner than the first time to buy a little, 177,77 kg, bought M, personally I feel fit, like to wear loose c"&amp;"an beat freshman yards.")</f>
        <v>Fabric is thin secondary buy-back, this time overseas a little bit long time direct mail, packaging is still very simple, I feel the clothes even thinner than the first time to buy a little, 177,77 kg, bought M, personally I feel fit, like to wear loose can beat freshman yards.</v>
      </c>
    </row>
    <row r="16910">
      <c r="A16910" s="1">
        <v>4.0</v>
      </c>
      <c r="B16910" s="1" t="s">
        <v>16706</v>
      </c>
      <c r="C16910" t="str">
        <f>IFERROR(__xludf.DUMMYFUNCTION("GOOGLETRANSLATE(B16910, ""zh"", ""en"")"),"OK 19.07 is probably 650 to start, seems to be new, stickers intact, what the machine does not fingerprints. In fact, I guess, some people should return after summer finished off the hair, so the fall and winter of second-hand goods and more.")</f>
        <v>OK 19.07 is probably 650 to start, seems to be new, stickers intact, what the machine does not fingerprints. In fact, I guess, some people should return after summer finished off the hair, so the fall and winter of second-hand goods and more.</v>
      </c>
    </row>
    <row r="16911">
      <c r="A16911" s="1">
        <v>4.0</v>
      </c>
      <c r="B16911" s="1" t="s">
        <v>16707</v>
      </c>
      <c r="C16911" t="str">
        <f>IFERROR(__xludf.DUMMYFUNCTION("GOOGLETRANSLATE(B16911, ""zh"", ""en"")"),"Classic style cool necessary, grew up on the other foot,")</f>
        <v>Classic style cool necessary, grew up on the other foot,</v>
      </c>
    </row>
    <row r="16912">
      <c r="A16912" s="1">
        <v>5.0</v>
      </c>
      <c r="B16912" s="1" t="s">
        <v>16708</v>
      </c>
      <c r="C16912" t="str">
        <f>IFERROR(__xludf.DUMMYFUNCTION("GOOGLETRANSLATE(B16912, ""zh"", ""en"")"),"Appropriate, cheap cheap, ha ha. 185 185 bought L🐴, just right.")</f>
        <v>Appropriate, cheap cheap, ha ha. 185 185 bought L🐴, just right.</v>
      </c>
    </row>
    <row r="16913">
      <c r="A16913" s="1">
        <v>5.0</v>
      </c>
      <c r="B16913" s="1" t="s">
        <v>16709</v>
      </c>
      <c r="C16913" t="str">
        <f>IFERROR(__xludf.DUMMYFUNCTION("GOOGLETRANSLATE(B16913, ""zh"", ""en"")"),"On foot good results consistent with the picture, on foot good results. I usually wear five yards, because the shoes have a high instep and occasionally some six yards, 5.5 yards this I wore a little loose, but little effect.")</f>
        <v>On foot good results consistent with the picture, on foot good results. I usually wear five yards, because the shoes have a high instep and occasionally some six yards, 5.5 yards this I wore a little loose, but little effect.</v>
      </c>
    </row>
    <row r="16914">
      <c r="A16914" s="1">
        <v>5.0</v>
      </c>
      <c r="B16914" s="1" t="s">
        <v>16710</v>
      </c>
      <c r="C16914" t="str">
        <f>IFERROR(__xludf.DUMMYFUNCTION("GOOGLETRANSLATE(B16914, ""zh"", ""en"")"),"Angry gas miserable, buy smaller on the 1st, 172,190 pounds to buy M number, L number just to buy, I do not want to retire, give it away! ! !")</f>
        <v>Angry gas miserable, buy smaller on the 1st, 172,190 pounds to buy M number, L number just to buy, I do not want to retire, give it away! ! !</v>
      </c>
    </row>
    <row r="16915">
      <c r="A16915" s="1">
        <v>5.0</v>
      </c>
      <c r="B16915" s="1" t="s">
        <v>16711</v>
      </c>
      <c r="C16915" t="str">
        <f>IFERROR(__xludf.DUMMYFUNCTION("GOOGLETRANSLATE(B16915, ""zh"", ""en"")"),"Just right height 169Cm, weight 75 kg. Waist 2 feet 9.34W29L just right.")</f>
        <v>Just right height 169Cm, weight 75 kg. Waist 2 feet 9.34W29L just right.</v>
      </c>
    </row>
    <row r="16916">
      <c r="A16916" s="1">
        <v>5.0</v>
      </c>
      <c r="B16916" s="1" t="s">
        <v>16712</v>
      </c>
      <c r="C16916" t="str">
        <f>IFERROR(__xludf.DUMMYFUNCTION("GOOGLETRANSLATE(B16916, ""zh"", ""en"")"),"Always early enough to burn grass, wait until the two-eleven. Speakers at hand, packaging simple, box-corner bump some deformation due to transport, fortunately speakers inside surface appearance of no damage, one of the speakers corner flawed, it seems a"&amp;" bit poor quality control, could Figure. These are little things, but fortunately the sound is still possible, than the original significantly enhance multimedia speakers, heard better, satisfied.")</f>
        <v>Always early enough to burn grass, wait until the two-eleven. Speakers at hand, packaging simple, box-corner bump some deformation due to transport, fortunately speakers inside surface appearance of no damage, one of the speakers corner flawed, it seems a bit poor quality control, could Figure. These are little things, but fortunately the sound is still possible, than the original significantly enhance multimedia speakers, heard better, satisfied.</v>
      </c>
    </row>
    <row r="16917">
      <c r="A16917" s="1">
        <v>5.0</v>
      </c>
      <c r="B16917" s="1" t="s">
        <v>16713</v>
      </c>
      <c r="C16917" t="str">
        <f>IFERROR(__xludf.DUMMYFUNCTION("GOOGLETRANSLATE(B16917, ""zh"", ""en"")"),"Lightweight fine cup, is slightly smaller than expected a little, very lightweight.")</f>
        <v>Lightweight fine cup, is slightly smaller than expected a little, very lightweight.</v>
      </c>
    </row>
    <row r="16918">
      <c r="A16918" s="1">
        <v>5.0</v>
      </c>
      <c r="B16918" s="1" t="s">
        <v>16714</v>
      </c>
      <c r="C16918" t="str">
        <f>IFERROR(__xludf.DUMMYFUNCTION("GOOGLETRANSLATE(B16918, ""zh"", ""en"")"),"Good to wear comfortable, cost-effective good to wear comfortable, cost-effective")</f>
        <v>Good to wear comfortable, cost-effective good to wear comfortable, cost-effective</v>
      </c>
    </row>
    <row r="16919">
      <c r="A16919" s="1">
        <v>5.0</v>
      </c>
      <c r="B16919" s="1" t="s">
        <v>16715</v>
      </c>
      <c r="C16919" t="str">
        <f>IFERROR(__xludf.DUMMYFUNCTION("GOOGLETRANSLATE(B16919, ""zh"", ""en"")"),"176,73 fitting long pants wrong, slightly longer, the size should be registered")</f>
        <v>176,73 fitting long pants wrong, slightly longer, the size should be registered</v>
      </c>
    </row>
    <row r="16920">
      <c r="A16920" s="1">
        <v>5.0</v>
      </c>
      <c r="B16920" s="1" t="s">
        <v>16716</v>
      </c>
      <c r="C16920" t="str">
        <f>IFERROR(__xludf.DUMMYFUNCTION("GOOGLETRANSLATE(B16920, ""zh"", ""en"")"),"Fat choice to buy this beauty for those of us fat paragraph 18 just a few two hundred kilos! Workmanship is not very fine small countries are Honduras copper production work, right? Wan amount of capital note!")</f>
        <v>Fat choice to buy this beauty for those of us fat paragraph 18 just a few two hundred kilos! Workmanship is not very fine small countries are Honduras copper production work, right? Wan amount of capital note!</v>
      </c>
    </row>
    <row r="16921">
      <c r="A16921" s="1">
        <v>5.0</v>
      </c>
      <c r="B16921" s="1" t="s">
        <v>1920</v>
      </c>
      <c r="C16921" t="str">
        <f>IFERROR(__xludf.DUMMYFUNCTION("GOOGLETRANSLATE(B16921, ""zh"", ""en"")"),"Nice purple very cute! Also very comfortable to wear")</f>
        <v>Nice purple very cute! Also very comfortable to wear</v>
      </c>
    </row>
    <row r="16922">
      <c r="A16922" s="1">
        <v>5.0</v>
      </c>
      <c r="B16922" s="1" t="s">
        <v>16717</v>
      </c>
      <c r="C16922" t="str">
        <f>IFERROR(__xludf.DUMMYFUNCTION("GOOGLETRANSLATE(B16922, ""zh"", ""en"")"),"Casio perfect 493 to buy but also what classic bike Naicao")</f>
        <v>Casio perfect 493 to buy but also what classic bike Naicao</v>
      </c>
    </row>
    <row r="16923">
      <c r="A16923" s="1">
        <v>5.0</v>
      </c>
      <c r="B16923" s="1" t="s">
        <v>16718</v>
      </c>
      <c r="C16923" t="str">
        <f>IFERROR(__xludf.DUMMYFUNCTION("GOOGLETRANSLATE(B16923, ""zh"", ""en"")"),"Super good pot a little big, quality feel awesome black five discount flotilla, even freight less than 300 yuan, can not help heart secretly pleased to see the restore the original price")</f>
        <v>Super good pot a little big, quality feel awesome black five discount flotilla, even freight less than 300 yuan, can not help heart secretly pleased to see the restore the original price</v>
      </c>
    </row>
    <row r="16924">
      <c r="A16924" s="1">
        <v>5.0</v>
      </c>
      <c r="B16924" s="1" t="s">
        <v>16719</v>
      </c>
      <c r="C16924" t="str">
        <f>IFERROR(__xludf.DUMMYFUNCTION("GOOGLETRANSLATE(B16924, ""zh"", ""en"")"),"Good things continue to chase a single help a friend buy, very satisfied, and ready to chase up the order")</f>
        <v>Good things continue to chase a single help a friend buy, very satisfied, and ready to chase up the order</v>
      </c>
    </row>
    <row r="16925">
      <c r="A16925" s="1">
        <v>5.0</v>
      </c>
      <c r="B16925" s="1" t="s">
        <v>16720</v>
      </c>
      <c r="C16925" t="str">
        <f>IFERROR(__xludf.DUMMYFUNCTION("GOOGLETRANSLATE(B16925, ""zh"", ""en"")"),"Good bag good, the right size, but it feels like anello label made of paper, a little low")</f>
        <v>Good bag good, the right size, but it feels like anello label made of paper, a little low</v>
      </c>
    </row>
    <row r="16926">
      <c r="A16926" s="1">
        <v>5.0</v>
      </c>
      <c r="B16926" s="1" t="s">
        <v>16721</v>
      </c>
      <c r="C16926" t="str">
        <f>IFERROR(__xludf.DUMMYFUNCTION("GOOGLETRANSLATE(B16926, ""zh"", ""en"")"),"Logistics Information vitamin supplements very good product")</f>
        <v>Logistics Information vitamin supplements very good product</v>
      </c>
    </row>
    <row r="16927">
      <c r="A16927" s="1">
        <v>5.0</v>
      </c>
      <c r="B16927" s="1" t="s">
        <v>16722</v>
      </c>
      <c r="C16927" t="str">
        <f>IFERROR(__xludf.DUMMYFUNCTION("GOOGLETRANSLATE(B16927, ""zh"", ""en"")"),"Super easy to use! I can say I have been waiting for over a year yet? Ha ha. There has been wet-cup, on the other grain Cheers to play it, but also delicate than flour. Is sesame, walnuts, peanuts and other nuts oily big unbreakable, but also can understa"&amp;"nd. Super recommended.")</f>
        <v>Super easy to use! I can say I have been waiting for over a year yet? Ha ha. There has been wet-cup, on the other grain Cheers to play it, but also delicate than flour. Is sesame, walnuts, peanuts and other nuts oily big unbreakable, but also can understand. Super recommended.</v>
      </c>
    </row>
    <row r="16928">
      <c r="A16928" s="1">
        <v>5.0</v>
      </c>
      <c r="B16928" s="1" t="s">
        <v>16723</v>
      </c>
      <c r="C16928" t="str">
        <f>IFERROR(__xludf.DUMMYFUNCTION("GOOGLETRANSLATE(B16928, ""zh"", ""en"")"),"timberland classic good look good, help students to buy, affordable, hope the quality is also good")</f>
        <v>timberland classic good look good, help students to buy, affordable, hope the quality is also good</v>
      </c>
    </row>
    <row r="16929">
      <c r="A16929" s="1">
        <v>5.0</v>
      </c>
      <c r="B16929" s="1" t="s">
        <v>16724</v>
      </c>
      <c r="C16929" t="str">
        <f>IFERROR(__xludf.DUMMYFUNCTION("GOOGLETRANSLATE(B16929, ""zh"", ""en"")"),"Clarks is a big sign of trust big brands, the price of 300 + price not to say, very satisfied with work")</f>
        <v>Clarks is a big sign of trust big brands, the price of 300 + price not to say, very satisfied with work</v>
      </c>
    </row>
    <row r="16930">
      <c r="A16930" s="1">
        <v>5.0</v>
      </c>
      <c r="B16930" s="1" t="s">
        <v>16725</v>
      </c>
      <c r="C16930" t="str">
        <f>IFERROR(__xludf.DUMMYFUNCTION("GOOGLETRANSLATE(B16930, ""zh"", ""en"")"),"Bilateral breast pump easy to use convenient bought them with a daughter, she said, very easy to use")</f>
        <v>Bilateral breast pump easy to use convenient bought them with a daughter, she said, very easy to use</v>
      </c>
    </row>
    <row r="16931">
      <c r="A16931" s="1">
        <v>5.0</v>
      </c>
      <c r="B16931" s="1" t="s">
        <v>16726</v>
      </c>
      <c r="C16931" t="str">
        <f>IFERROR(__xludf.DUMMYFUNCTION("GOOGLETRANSLATE(B16931, ""zh"", ""en"")"),"Please buy more than 170 L quality is good, size is misguided comments, alas, this dress is to buy big point of it. I 174,130 pounds, m number is too small, more personal, wearing running almost. No. l buy")</f>
        <v>Please buy more than 170 L quality is good, size is misguided comments, alas, this dress is to buy big point of it. I 174,130 pounds, m number is too small, more personal, wearing running almost. No. l buy</v>
      </c>
    </row>
    <row r="16932">
      <c r="A16932" s="1">
        <v>5.0</v>
      </c>
      <c r="B16932" s="1" t="s">
        <v>16727</v>
      </c>
      <c r="C16932" t="str">
        <f>IFERROR(__xludf.DUMMYFUNCTION("GOOGLETRANSLATE(B16932, ""zh"", ""en"")"),"Good cup cup to give as gifts, friends are like, but still a lot of people out to buy this series, Yen value is high.")</f>
        <v>Good cup cup to give as gifts, friends are like, but still a lot of people out to buy this series, Yen value is high.</v>
      </c>
    </row>
    <row r="16933">
      <c r="A16933" s="1">
        <v>2.0</v>
      </c>
      <c r="B16933" s="1" t="s">
        <v>16728</v>
      </c>
      <c r="C16933" t="str">
        <f>IFERROR(__xludf.DUMMYFUNCTION("GOOGLETRANSLATE(B16933, ""zh"", ""en"")"),"Size 37 is usually too small to buy the 37.5 front of a small but very tight only will the replacement is not convenient")</f>
        <v>Size 37 is usually too small to buy the 37.5 front of a small but very tight only will the replacement is not convenient</v>
      </c>
    </row>
    <row r="16934">
      <c r="A16934" s="1">
        <v>3.0</v>
      </c>
      <c r="B16934" s="1" t="s">
        <v>16729</v>
      </c>
      <c r="C16934" t="str">
        <f>IFERROR(__xludf.DUMMYFUNCTION("GOOGLETRANSLATE(B16934, ""zh"", ""en"")"),"Quality okay Kenya, the general fabric, elastic feel no elasticity, work is also very general, trademarks to tear down, or very slightly person, not worth the price")</f>
        <v>Quality okay Kenya, the general fabric, elastic feel no elasticity, work is also very general, trademarks to tear down, or very slightly person, not worth the price</v>
      </c>
    </row>
    <row r="16935">
      <c r="A16935" s="1">
        <v>3.0</v>
      </c>
      <c r="B16935" s="1" t="s">
        <v>16730</v>
      </c>
      <c r="C16935" t="str">
        <f>IFERROR(__xludf.DUMMYFUNCTION("GOOGLETRANSLATE(B16935, ""zh"", ""en"")"),"Yen value is very high, but unfortunately soiled color wash off? Children to do the carrot, how yellow color on the spoon wash off, now looks a bit dirty.")</f>
        <v>Yen value is very high, but unfortunately soiled color wash off? Children to do the carrot, how yellow color on the spoon wash off, now looks a bit dirty.</v>
      </c>
    </row>
    <row r="16936">
      <c r="A16936" s="1">
        <v>3.0</v>
      </c>
      <c r="B16936" s="1" t="s">
        <v>16731</v>
      </c>
      <c r="C16936" t="str">
        <f>IFERROR(__xludf.DUMMYFUNCTION("GOOGLETRANSLATE(B16936, ""zh"", ""en"")"),"Default and scratches goods neck scratches Diaoqi phenomenon, the lack of a screw behind the nose")</f>
        <v>Default and scratches goods neck scratches Diaoqi phenomenon, the lack of a screw behind the nose</v>
      </c>
    </row>
    <row r="16937">
      <c r="A16937" s="1">
        <v>1.0</v>
      </c>
      <c r="B16937" s="1" t="s">
        <v>16732</v>
      </c>
      <c r="C16937" t="str">
        <f>IFERROR(__xludf.DUMMYFUNCTION("GOOGLETRANSLATE(B16937, ""zh"", ""en"")"),"Misnomer shoes rather long, Ouma, United States Code 9.5 corresponds to 43 domestic, 44 of which have shoes.")</f>
        <v>Misnomer shoes rather long, Ouma, United States Code 9.5 corresponds to 43 domestic, 44 of which have shoes.</v>
      </c>
    </row>
    <row r="16938">
      <c r="A16938" s="1">
        <v>1.0</v>
      </c>
      <c r="B16938" s="1" t="s">
        <v>16733</v>
      </c>
      <c r="C16938" t="str">
        <f>IFERROR(__xludf.DUMMYFUNCTION("GOOGLETRANSLATE(B16938, ""zh"", ""en"")"),"Something stinks it stinks it was almost smoked dizzy and threw the balcony Hanging go, do not know the future can not be used, returns too much trouble, serious doubts are fake!")</f>
        <v>Something stinks it stinks it was almost smoked dizzy and threw the balcony Hanging go, do not know the future can not be used, returns too much trouble, serious doubts are fake!</v>
      </c>
    </row>
    <row r="16939">
      <c r="A16939" s="1">
        <v>4.0</v>
      </c>
      <c r="B16939" s="1" t="s">
        <v>16734</v>
      </c>
      <c r="C16939" t="str">
        <f>IFERROR(__xludf.DUMMYFUNCTION("GOOGLETRANSLATE(B16939, ""zh"", ""en"")"),"Small and color is very nice, the capacity is not big enough, fine workmanship")</f>
        <v>Small and color is very nice, the capacity is not big enough, fine workmanship</v>
      </c>
    </row>
    <row r="16940">
      <c r="A16940" s="1">
        <v>4.0</v>
      </c>
      <c r="B16940" s="1" t="s">
        <v>16735</v>
      </c>
      <c r="C16940" t="str">
        <f>IFERROR(__xludf.DUMMYFUNCTION("GOOGLETRANSLATE(B16940, ""zh"", ""en"")"),"Bangladesh origin of goods quality clothes, soft materials, the proposed Asian small one yards to buy, I would be overweight worn alone or big points, plus a sweater or sweater on the right.")</f>
        <v>Bangladesh origin of goods quality clothes, soft materials, the proposed Asian small one yards to buy, I would be overweight worn alone or big points, plus a sweater or sweater on the right.</v>
      </c>
    </row>
    <row r="16941">
      <c r="A16941" s="1">
        <v>4.0</v>
      </c>
      <c r="B16941" s="1" t="s">
        <v>16736</v>
      </c>
      <c r="C16941" t="str">
        <f>IFERROR(__xludf.DUMMYFUNCTION("GOOGLETRANSLATE(B16941, ""zh"", ""en"")"),"Did not seriously opened the pot, but with a few back rusty fried steak pattern beautiful, but super easy to rust, sad,")</f>
        <v>Did not seriously opened the pot, but with a few back rusty fried steak pattern beautiful, but super easy to rust, sad,</v>
      </c>
    </row>
    <row r="16942">
      <c r="A16942" s="1">
        <v>4.0</v>
      </c>
      <c r="B16942" s="1" t="s">
        <v>16737</v>
      </c>
      <c r="C16942" t="str">
        <f>IFERROR(__xludf.DUMMYFUNCTION("GOOGLETRANSLATE(B16942, ""zh"", ""en"")"),"Why is there wood flavor? With a period of time, pitting pit in the bottom of the cup, there was a smell of wood, not get to know Editor's Note. Who knows the reason?")</f>
        <v>Why is there wood flavor? With a period of time, pitting pit in the bottom of the cup, there was a smell of wood, not get to know Editor's Note. Who knows the reason?</v>
      </c>
    </row>
    <row r="16943">
      <c r="A16943" s="1">
        <v>4.0</v>
      </c>
      <c r="B16943" s="1" t="s">
        <v>16738</v>
      </c>
      <c r="C16943" t="str">
        <f>IFERROR(__xludf.DUMMYFUNCTION("GOOGLETRANSLATE(B16943, ""zh"", ""en"")"),"Shoes too large, significant foot long international express delivery is also very fast, one-under 10, No. 4 went to! Very very comfortable shoes, brand new. Is too large shoes, I wear sneakers 38.5 or 39, the uk5.5 a big finger a little more. And shoes v"&amp;"ery significant foot long")</f>
        <v>Shoes too large, significant foot long international express delivery is also very fast, one-under 10, No. 4 went to! Very very comfortable shoes, brand new. Is too large shoes, I wear sneakers 38.5 or 39, the uk5.5 a big finger a little more. And shoes very significant foot long</v>
      </c>
    </row>
    <row r="16944">
      <c r="A16944" s="1">
        <v>5.0</v>
      </c>
      <c r="B16944" s="1" t="s">
        <v>16739</v>
      </c>
      <c r="C16944" t="str">
        <f>IFERROR(__xludf.DUMMYFUNCTION("GOOGLETRANSLATE(B16944, ""zh"", ""en"")"),"2 cups good watertight installation cost-effective easy to wash")</f>
        <v>2 cups good watertight installation cost-effective easy to wash</v>
      </c>
    </row>
    <row r="16945">
      <c r="A16945" s="1">
        <v>5.0</v>
      </c>
      <c r="B16945" s="1" t="s">
        <v>16740</v>
      </c>
      <c r="C16945" t="str">
        <f>IFERROR(__xludf.DUMMYFUNCTION("GOOGLETRANSLATE(B16945, ""zh"", ""en"")"),"Hey crying, has not met, aunt home disinfected, all deformed")</f>
        <v>Hey crying, has not met, aunt home disinfected, all deformed</v>
      </c>
    </row>
    <row r="16946">
      <c r="A16946" s="1">
        <v>5.0</v>
      </c>
      <c r="B16946" s="1" t="s">
        <v>16741</v>
      </c>
      <c r="C16946" t="str">
        <f>IFERROR(__xludf.DUMMYFUNCTION("GOOGLETRANSLATE(B16946, ""zh"", ""en"")"),"Awesome shoes, I love Amazon received, so beautiful! Two woven lace and satin, the code has been broken, lost and love for her, according to buy sports shoes size 38 is 6.5, wear shoes 36 (after orders have 5.5 and 6, and also gas knot), it will not put o"&amp;"n much larger, high-key color value ah, how have put up! Bought a prime, 587 plus tax, about 670 hand, we can accept. Also I want to buy suede, not afraid of dirt, pink cute ah")</f>
        <v>Awesome shoes, I love Amazon received, so beautiful! Two woven lace and satin, the code has been broken, lost and love for her, according to buy sports shoes size 38 is 6.5, wear shoes 36 (after orders have 5.5 and 6, and also gas knot), it will not put on much larger, high-key color value ah, how have put up! Bought a prime, 587 plus tax, about 670 hand, we can accept. Also I want to buy suede, not afraid of dirt, pink cute ah</v>
      </c>
    </row>
    <row r="16947">
      <c r="A16947" s="1">
        <v>5.0</v>
      </c>
      <c r="B16947" s="1" t="s">
        <v>16742</v>
      </c>
      <c r="C16947" t="str">
        <f>IFERROR(__xludf.DUMMYFUNCTION("GOOGLETRANSLATE(B16947, ""zh"", ""en"")"),"Praise good son like this cup, drink water a lot more.")</f>
        <v>Praise good son like this cup, drink water a lot more.</v>
      </c>
    </row>
    <row r="16948">
      <c r="A16948" s="1">
        <v>5.0</v>
      </c>
      <c r="B16948" s="1" t="s">
        <v>16743</v>
      </c>
      <c r="C16948" t="str">
        <f>IFERROR(__xludf.DUMMYFUNCTION("GOOGLETRANSLATE(B16948, ""zh"", ""en"")"),"Lightweight, stylish, good sound quality, it is recommended lightweight, stylish, good sound quality, it is recommended")</f>
        <v>Lightweight, stylish, good sound quality, it is recommended lightweight, stylish, good sound quality, it is recommended</v>
      </c>
    </row>
    <row r="16949">
      <c r="A16949" s="1">
        <v>5.0</v>
      </c>
      <c r="B16949" s="1" t="s">
        <v>16744</v>
      </c>
      <c r="C16949" t="str">
        <f>IFERROR(__xludf.DUMMYFUNCTION("GOOGLETRANSLATE(B16949, ""zh"", ""en"")"),"After eating fitness effect, yes.")</f>
        <v>After eating fitness effect, yes.</v>
      </c>
    </row>
    <row r="16950">
      <c r="A16950" s="1">
        <v>5.0</v>
      </c>
      <c r="B16950" s="1" t="s">
        <v>16745</v>
      </c>
      <c r="C16950" t="str">
        <f>IFERROR(__xludf.DUMMYFUNCTION("GOOGLETRANSLATE(B16950, ""zh"", ""en"")"),"The new odorless, cost-effective, less than half the appropriate bar code than expected, the new packaging intact, some people say there is no smell, according to a small one yard to buy, the right length, instep and slightly small, but perfectly acceptab"&amp;"le. I knew not to be misled reviews, buy a few pairs of.")</f>
        <v>The new odorless, cost-effective, less than half the appropriate bar code than expected, the new packaging intact, some people say there is no smell, according to a small one yard to buy, the right length, instep and slightly small, but perfectly acceptable. I knew not to be misled reviews, buy a few pairs of.</v>
      </c>
    </row>
    <row r="16951">
      <c r="A16951" s="1">
        <v>5.0</v>
      </c>
      <c r="B16951" s="1" t="s">
        <v>16746</v>
      </c>
      <c r="C16951" t="str">
        <f>IFERROR(__xludf.DUMMYFUNCTION("GOOGLETRANSLATE(B16951, ""zh"", ""en"")"),"Affordable workmanship rough, fried steak special, non-stick pan.")</f>
        <v>Affordable workmanship rough, fried steak special, non-stick pan.</v>
      </c>
    </row>
    <row r="16952">
      <c r="A16952" s="1">
        <v>5.0</v>
      </c>
      <c r="B16952" s="1" t="s">
        <v>16747</v>
      </c>
      <c r="C16952" t="str">
        <f>IFERROR(__xludf.DUMMYFUNCTION("GOOGLETRANSLATE(B16952, ""zh"", ""en"")"),"Good shoes to wear comfortable, soft soles, size a little too large for my kind of slim, style and easy with, like.")</f>
        <v>Good shoes to wear comfortable, soft soles, size a little too large for my kind of slim, style and easy with, like.</v>
      </c>
    </row>
    <row r="16953">
      <c r="A16953" s="1">
        <v>5.0</v>
      </c>
      <c r="B16953" s="1" t="s">
        <v>16748</v>
      </c>
      <c r="C16953" t="str">
        <f>IFERROR(__xludf.DUMMYFUNCTION("GOOGLETRANSLATE(B16953, ""zh"", ""en"")"),"Very good, very comfortable to wear like the Amazon shopping overseas, this pants elastic good very comfortable, size is accurate, the data for your reference: 183cm, 74kg, waist 90cm, balls to heel 80cm, just select w34,32. If there w35 good, winter wear"&amp;" appropriate.")</f>
        <v>Very good, very comfortable to wear like the Amazon shopping overseas, this pants elastic good very comfortable, size is accurate, the data for your reference: 183cm, 74kg, waist 90cm, balls to heel 80cm, just select w34,32. If there w35 good, winter wear appropriate.</v>
      </c>
    </row>
    <row r="16954">
      <c r="A16954" s="1">
        <v>5.0</v>
      </c>
      <c r="B16954" s="1" t="s">
        <v>16749</v>
      </c>
      <c r="C16954" t="str">
        <f>IFERROR(__xludf.DUMMYFUNCTION("GOOGLETRANSLATE(B16954, ""zh"", ""en"")"),"Comfortable arrived quickly, very satisfied")</f>
        <v>Comfortable arrived quickly, very satisfied</v>
      </c>
    </row>
    <row r="16955">
      <c r="A16955" s="1">
        <v>5.0</v>
      </c>
      <c r="B16955" s="1" t="s">
        <v>16750</v>
      </c>
      <c r="C16955" t="str">
        <f>IFERROR(__xludf.DUMMYFUNCTION("GOOGLETRANSLATE(B16955, ""zh"", ""en"")"),"The old model with the evaluation remembered for a long time, the sound quality is quite high, is not easy to promote, treble scalability is not very expressive enough, vocals and sound field highlight, for the average enthusiast worth next tasting.")</f>
        <v>The old model with the evaluation remembered for a long time, the sound quality is quite high, is not easy to promote, treble scalability is not very expressive enough, vocals and sound field highlight, for the average enthusiast worth next tasting.</v>
      </c>
    </row>
    <row r="16956">
      <c r="A16956" s="1">
        <v>5.0</v>
      </c>
      <c r="B16956" s="1" t="s">
        <v>16751</v>
      </c>
      <c r="C16956" t="str">
        <f>IFERROR(__xludf.DUMMYFUNCTION("GOOGLETRANSLATE(B16956, ""zh"", ""en"")"),"Under Armor T-shirt good shape, fabric and personal comfort is not good enough")</f>
        <v>Under Armor T-shirt good shape, fabric and personal comfort is not good enough</v>
      </c>
    </row>
    <row r="16957">
      <c r="A16957" s="1">
        <v>5.0</v>
      </c>
      <c r="B16957" s="1" t="s">
        <v>14604</v>
      </c>
      <c r="C16957" t="str">
        <f>IFERROR(__xludf.DUMMYFUNCTION("GOOGLETRANSLATE(B16957, ""zh"", ""en"")"),"Goods very good, overseas purchase a good and convenient. Goods very good, overseas purchase a good and convenient.")</f>
        <v>Goods very good, overseas purchase a good and convenient. Goods very good, overseas purchase a good and convenient.</v>
      </c>
    </row>
    <row r="16958">
      <c r="A16958" s="1">
        <v>5.0</v>
      </c>
      <c r="B16958" s="1" t="s">
        <v>16752</v>
      </c>
      <c r="C16958" t="str">
        <f>IFERROR(__xludf.DUMMYFUNCTION("GOOGLETRANSLATE(B16958, ""zh"", ""en"")"),"The first written just received today (trace pen with ink, after the water pipe in blue ink pen, not before the water can not see any night of the body) to clean a bit on the water. Writing ink, every 3 minutes, 6 minutes in each of the write once, and a "&amp;"number of heroes 329 8 Comparative written. Expensive but also has his reasons. Figure details.")</f>
        <v>The first written just received today (trace pen with ink, after the water pipe in blue ink pen, not before the water can not see any night of the body) to clean a bit on the water. Writing ink, every 3 minutes, 6 minutes in each of the write once, and a number of heroes 329 8 Comparative written. Expensive but also has his reasons. Figure details.</v>
      </c>
    </row>
    <row r="16959">
      <c r="A16959" s="1">
        <v>5.0</v>
      </c>
      <c r="B16959" s="1" t="s">
        <v>16753</v>
      </c>
      <c r="C16959" t="str">
        <f>IFERROR(__xludf.DUMMYFUNCTION("GOOGLETRANSLATE(B16959, ""zh"", ""en"")"),"Product quality beautiful fashion")</f>
        <v>Product quality beautiful fashion</v>
      </c>
    </row>
    <row r="16960">
      <c r="A16960" s="1">
        <v>5.0</v>
      </c>
      <c r="B16960" s="1" t="s">
        <v>16754</v>
      </c>
      <c r="C16960" t="str">
        <f>IFERROR(__xludf.DUMMYFUNCTION("GOOGLETRANSLATE(B16960, ""zh"", ""en"")"),"From the evaluation have not previously pearl super nice, do not know how many points wasted, now know that integration can change money, they should look carefully evaluated, then I put these words to copy to go, both to earn points, but also save troubl"&amp;"e, went to which copy where, most importantly, do not seriously review, do not think how much worse word, sent directly to it, recommend it to everyone! !")</f>
        <v>From the evaluation have not previously pearl super nice, do not know how many points wasted, now know that integration can change money, they should look carefully evaluated, then I put these words to copy to go, both to earn points, but also save trouble, went to which copy where, most importantly, do not seriously review, do not think how much worse word, sent directly to it, recommend it to everyone! !</v>
      </c>
    </row>
    <row r="16961">
      <c r="A16961" s="1">
        <v>5.0</v>
      </c>
      <c r="B16961" s="1" t="s">
        <v>16755</v>
      </c>
      <c r="C16961" t="str">
        <f>IFERROR(__xludf.DUMMYFUNCTION("GOOGLETRANSLATE(B16961, ""zh"", ""en"")"),"Nice pants pants color photo quality is not good, slightly worse, but it has been good, the domestic price is at least two times more value for money. Waist accurate, leg circumference slightly too large, pay attention.")</f>
        <v>Nice pants pants color photo quality is not good, slightly worse, but it has been good, the domestic price is at least two times more value for money. Waist accurate, leg circumference slightly too large, pay attention.</v>
      </c>
    </row>
    <row r="16962">
      <c r="A16962" s="1">
        <v>5.0</v>
      </c>
      <c r="B16962" s="1" t="s">
        <v>16756</v>
      </c>
      <c r="C16962" t="str">
        <f>IFERROR(__xludf.DUMMYFUNCTION("GOOGLETRANSLATE(B16962, ""zh"", ""en"")"),"Size is too large quality is good, that is a little too large, smaller than usual wear yardage One would just")</f>
        <v>Size is too large quality is good, that is a little too large, smaller than usual wear yardage One would just</v>
      </c>
    </row>
    <row r="16963">
      <c r="A16963" s="1">
        <v>5.0</v>
      </c>
      <c r="B16963" s="1" t="s">
        <v>16757</v>
      </c>
      <c r="C16963" t="str">
        <f>IFERROR(__xludf.DUMMYFUNCTION("GOOGLETRANSLATE(B16963, ""zh"", ""en"")"),"Easy to use, as always, easy to use")</f>
        <v>Easy to use, as always, easy to use</v>
      </c>
    </row>
    <row r="16964">
      <c r="A16964" s="1">
        <v>5.0</v>
      </c>
      <c r="B16964" s="1" t="s">
        <v>16758</v>
      </c>
      <c r="C16964" t="str">
        <f>IFERROR(__xludf.DUMMYFUNCTION("GOOGLETRANSLATE(B16964, ""zh"", ""en"")"),"Speed ​​is useful, read and write speeds are fast. 3 years ago I bought a 64G not enough to buy 256 of the direct")</f>
        <v>Speed ​​is useful, read and write speeds are fast. 3 years ago I bought a 64G not enough to buy 256 of the direct</v>
      </c>
    </row>
    <row r="16965">
      <c r="A16965" s="1">
        <v>5.0</v>
      </c>
      <c r="B16965" s="1" t="s">
        <v>16759</v>
      </c>
      <c r="C16965" t="str">
        <f>IFERROR(__xludf.DUMMYFUNCTION("GOOGLETRANSLATE(B16965, ""zh"", ""en"")"),"Shoes are very comfortable to wear very comfortable shoes, the soles are soft, casual wear suitable for office workers. To be softer than I previously purchased chark shoes. Good product")</f>
        <v>Shoes are very comfortable to wear very comfortable shoes, the soles are soft, casual wear suitable for office workers. To be softer than I previously purchased chark shoes. Good product</v>
      </c>
    </row>
    <row r="16966">
      <c r="A16966" s="1">
        <v>2.0</v>
      </c>
      <c r="B16966" s="1" t="s">
        <v>16760</v>
      </c>
      <c r="C16966" t="str">
        <f>IFERROR(__xludf.DUMMYFUNCTION("GOOGLETRANSLATE(B16966, ""zh"", ""en"")"),"Colombia has always been good trustworthy, except the belt. Leather is spent, the quality of general.")</f>
        <v>Colombia has always been good trustworthy, except the belt. Leather is spent, the quality of general.</v>
      </c>
    </row>
    <row r="16967">
      <c r="A16967" s="1">
        <v>3.0</v>
      </c>
      <c r="B16967" s="1" t="s">
        <v>16761</v>
      </c>
      <c r="C16967" t="str">
        <f>IFERROR(__xludf.DUMMYFUNCTION("GOOGLETRANSLATE(B16967, ""zh"", ""en"")"),"Than before to buy 128g to 128g slower than before to buy a slower write about 60mb")</f>
        <v>Than before to buy 128g to 128g slower than before to buy a slower write about 60mb</v>
      </c>
    </row>
    <row r="16968">
      <c r="A16968" s="1">
        <v>1.0</v>
      </c>
      <c r="B16968" s="1" t="s">
        <v>16762</v>
      </c>
      <c r="C16968" t="str">
        <f>IFERROR(__xludf.DUMMYFUNCTION("GOOGLETRANSLATE(B16968, ""zh"", ""en"")"),"No sale two months, completely according to the instruction, the fire is small, only wash cold after the result was a jump porcelain. Obviously ten years warranty pot, domestic sale and purchase of overseas say they do not care, Amazon said I need after-s"&amp;"ales monopoly tube, anyway, is that everything chant. Consider the issue of the sale to buy it.")</f>
        <v>No sale two months, completely according to the instruction, the fire is small, only wash cold after the result was a jump porcelain. Obviously ten years warranty pot, domestic sale and purchase of overseas say they do not care, Amazon said I need after-sales monopoly tube, anyway, is that everything chant. Consider the issue of the sale to buy it.</v>
      </c>
    </row>
    <row r="16969">
      <c r="A16969" s="1">
        <v>1.0</v>
      </c>
      <c r="B16969" s="1" t="s">
        <v>16763</v>
      </c>
      <c r="C16969" t="str">
        <f>IFERROR(__xludf.DUMMYFUNCTION("GOOGLETRANSLATE(B16969, ""zh"", ""en"")"),"Quality problems in October 2017 to purchase, until now no time of the year, the situation appears out of the data. No problem into actual copy files (video), has been played on an error occurs, the self-built more lost folders on your hard drive, many ca"&amp;"n not find the file copy into it to find the missing folder, do not know how to go back things, not previously encountered such a situation. Want to format it now to see whether the repair, but 8T hard disk files and more, can not have the hard copy, very"&amp;" depressing time shopping!")</f>
        <v>Quality problems in October 2017 to purchase, until now no time of the year, the situation appears out of the data. No problem into actual copy files (video), has been played on an error occurs, the self-built more lost folders on your hard drive, many can not find the file copy into it to find the missing folder, do not know how to go back things, not previously encountered such a situation. Want to format it now to see whether the repair, but 8T hard disk files and more, can not have the hard copy, very depressing time shopping!</v>
      </c>
    </row>
    <row r="16970">
      <c r="A16970" s="1">
        <v>1.0</v>
      </c>
      <c r="B16970" s="1" t="s">
        <v>16764</v>
      </c>
      <c r="C16970" t="str">
        <f>IFERROR(__xludf.DUMMYFUNCTION("GOOGLETRANSLATE(B16970, ""zh"", ""en"")"),"Absolutely not recommended the purchase price is good, but open to use, I found that a pack of 18, there are more than half were broken and the white particles all leak out")</f>
        <v>Absolutely not recommended the purchase price is good, but open to use, I found that a pack of 18, there are more than half were broken and the white particles all leak out</v>
      </c>
    </row>
    <row r="16971">
      <c r="A16971" s="1">
        <v>4.0</v>
      </c>
      <c r="B16971" s="1" t="s">
        <v>16765</v>
      </c>
      <c r="C16971" t="str">
        <f>IFERROR(__xludf.DUMMYFUNCTION("GOOGLETRANSLATE(B16971, ""zh"", ""en"")"),"From the logistics soon go before the evaluation, I do not know how many points wasted, they should look carefully evaluated, then I put these words to copy to go, both to earn points, but also save trouble, they go where to copy the most important I am, "&amp;"do not think how much worse word, sent directly to it, recommend it to everyone! ! Or to say under the product, good quality shoes, basically no color. Is the price ups and downs.")</f>
        <v>From the logistics soon go before the evaluation, I do not know how many points wasted, they should look carefully evaluated, then I put these words to copy to go, both to earn points, but also save trouble, they go where to copy the most important I am, do not think how much worse word, sent directly to it, recommend it to everyone! ! Or to say under the product, good quality shoes, basically no color. Is the price ups and downs.</v>
      </c>
    </row>
    <row r="16972">
      <c r="A16972" s="1">
        <v>4.0</v>
      </c>
      <c r="B16972" s="1" t="s">
        <v>16766</v>
      </c>
      <c r="C16972" t="str">
        <f>IFERROR(__xludf.DUMMYFUNCTION("GOOGLETRANSLATE(B16972, ""zh"", ""en"")"),"f-91 is smaller than expected. .")</f>
        <v>f-91 is smaller than expected. .</v>
      </c>
    </row>
    <row r="16973">
      <c r="A16973" s="1">
        <v>4.0</v>
      </c>
      <c r="B16973" s="1" t="s">
        <v>16767</v>
      </c>
      <c r="C16973" t="str">
        <f>IFERROR(__xludf.DUMMYFUNCTION("GOOGLETRANSLATE(B16973, ""zh"", ""en"")"),"Lovely tableware directly in the United States and Asia to buy above this, the whole can, but there are circumstances in which a rusty, but Amazon help solve the high demands Baoma careful consideration!")</f>
        <v>Lovely tableware directly in the United States and Asia to buy above this, the whole can, but there are circumstances in which a rusty, but Amazon help solve the high demands Baoma careful consideration!</v>
      </c>
    </row>
    <row r="16974">
      <c r="A16974" s="1">
        <v>4.0</v>
      </c>
      <c r="B16974" s="1" t="s">
        <v>16768</v>
      </c>
      <c r="C16974" t="str">
        <f>IFERROR(__xludf.DUMMYFUNCTION("GOOGLETRANSLATE(B16974, ""zh"", ""en"")"),"Mainly cheap too large too large, size is too large, the Amazon shopping is less product information, blind buy, 175.75 wear s code are bigger")</f>
        <v>Mainly cheap too large too large, size is too large, the Amazon shopping is less product information, blind buy, 175.75 wear s code are bigger</v>
      </c>
    </row>
    <row r="16975">
      <c r="A16975" s="1">
        <v>4.0</v>
      </c>
      <c r="B16975" s="1" t="s">
        <v>16769</v>
      </c>
      <c r="C16975" t="str">
        <f>IFERROR(__xludf.DUMMYFUNCTION("GOOGLETRANSLATE(B16975, ""zh"", ""en"")"),"Amazon bought too thick nib pen, really twists and turns, good communication and customer service several times, Mail almost a month today be received; Kensington series of pens spit ink fairly uniform, except a little bad, nib is too thick, coarse than t"&amp;"he written word cow, combined with weather in the South heavy moisture, the paper is not very dry, it can not display the value of anytime, anywhere.")</f>
        <v>Amazon bought too thick nib pen, really twists and turns, good communication and customer service several times, Mail almost a month today be received; Kensington series of pens spit ink fairly uniform, except a little bad, nib is too thick, coarse than the written word cow, combined with weather in the South heavy moisture, the paper is not very dry, it can not display the value of anytime, anywhere.</v>
      </c>
    </row>
    <row r="16976">
      <c r="A16976" s="1">
        <v>5.0</v>
      </c>
      <c r="B16976" s="1" t="s">
        <v>16770</v>
      </c>
      <c r="C16976" t="str">
        <f>IFERROR(__xludf.DUMMYFUNCTION("GOOGLETRANSLATE(B16976, ""zh"", ""en"")"),"Quality Hill branch of Big Brother fans for the first time in the Amazon to buy something nice hat")</f>
        <v>Quality Hill branch of Big Brother fans for the first time in the Amazon to buy something nice hat</v>
      </c>
    </row>
    <row r="16977">
      <c r="A16977" s="1">
        <v>5.0</v>
      </c>
      <c r="B16977" s="1" t="s">
        <v>16771</v>
      </c>
      <c r="C16977" t="str">
        <f>IFERROR(__xludf.DUMMYFUNCTION("GOOGLETRANSLATE(B16977, ""zh"", ""en"")"),"Appropriate, there is a successful shopping Under Amour Under Amour buy clothes several times in the Amazon, this time to buy is also very successful. European version of the clothes must buy a smaller size! I 178cm, 100kg, wearing L suitable for referenc"&amp;"e. The fabric is thick, the kind of quick-drying.")</f>
        <v>Appropriate, there is a successful shopping Under Amour Under Amour buy clothes several times in the Amazon, this time to buy is also very successful. European version of the clothes must buy a smaller size! I 178cm, 100kg, wearing L suitable for reference. The fabric is thick, the kind of quick-drying.</v>
      </c>
    </row>
    <row r="16978">
      <c r="A16978" s="1">
        <v>5.0</v>
      </c>
      <c r="B16978" s="1" t="s">
        <v>16772</v>
      </c>
      <c r="C16978" t="str">
        <f>IFERROR(__xludf.DUMMYFUNCTION("GOOGLETRANSLATE(B16978, ""zh"", ""en"")"),"When STAUB enamel cast iron pot received takeaway cartons cracking, shocked, but fortunately there intact, is cheaper Jiuhaola")</f>
        <v>When STAUB enamel cast iron pot received takeaway cartons cracking, shocked, but fortunately there intact, is cheaper Jiuhaola</v>
      </c>
    </row>
    <row r="16979">
      <c r="A16979" s="1">
        <v>5.0</v>
      </c>
      <c r="B16979" s="1" t="s">
        <v>16773</v>
      </c>
      <c r="C16979" t="str">
        <f>IFERROR(__xludf.DUMMYFUNCTION("GOOGLETRANSLATE(B16979, ""zh"", ""en"")"),"Very satisfied very comfortable, suitable for summer, shoulder strap will not decline")</f>
        <v>Very satisfied very comfortable, suitable for summer, shoulder strap will not decline</v>
      </c>
    </row>
    <row r="16980">
      <c r="A16980" s="1">
        <v>5.0</v>
      </c>
      <c r="B16980" s="1" t="s">
        <v>16774</v>
      </c>
      <c r="C16980" t="str">
        <f>IFERROR(__xludf.DUMMYFUNCTION("GOOGLETRANSLATE(B16980, ""zh"", ""en"")"),"Long things with good, quality is better, hair the results were OK, but did not imagine so good, I feel you can use for a long time.")</f>
        <v>Long things with good, quality is better, hair the results were OK, but did not imagine so good, I feel you can use for a long time.</v>
      </c>
    </row>
    <row r="16981">
      <c r="A16981" s="1">
        <v>5.0</v>
      </c>
      <c r="B16981" s="1" t="s">
        <v>16775</v>
      </c>
      <c r="C16981" t="str">
        <f>IFERROR(__xludf.DUMMYFUNCTION("GOOGLETRANSLATE(B16981, ""zh"", ""en"")"),"Fine work to help a friend buy, she said, just the right size, comfortable upper body.")</f>
        <v>Fine work to help a friend buy, she said, just the right size, comfortable upper body.</v>
      </c>
    </row>
    <row r="16982">
      <c r="A16982" s="1">
        <v>5.0</v>
      </c>
      <c r="B16982" s="1" t="s">
        <v>16776</v>
      </c>
      <c r="C16982" t="str">
        <f>IFERROR(__xludf.DUMMYFUNCTION("GOOGLETRANSLATE(B16982, ""zh"", ""en"")"),"Size standards, delivery speed acceptable delivery rate than expected, the size standard of comparison, praise.")</f>
        <v>Size standards, delivery speed acceptable delivery rate than expected, the size standard of comparison, praise.</v>
      </c>
    </row>
    <row r="16983">
      <c r="A16983" s="1">
        <v>5.0</v>
      </c>
      <c r="B16983" s="1" t="s">
        <v>16777</v>
      </c>
      <c r="C16983" t="str">
        <f>IFERROR(__xludf.DUMMYFUNCTION("GOOGLETRANSLATE(B16983, ""zh"", ""en"")"),"Also, can also be worth buying, can also be worth buying, worth pretty cool, I bought a second time. The one-time buy three bottles, and supplement the family together.")</f>
        <v>Also, can also be worth buying, can also be worth buying, worth pretty cool, I bought a second time. The one-time buy three bottles, and supplement the family together.</v>
      </c>
    </row>
    <row r="16984">
      <c r="A16984" s="1">
        <v>5.0</v>
      </c>
      <c r="B16984" s="1" t="s">
        <v>16778</v>
      </c>
      <c r="C16984" t="str">
        <f>IFERROR(__xludf.DUMMYFUNCTION("GOOGLETRANSLATE(B16984, ""zh"", ""en"")"),"Good use good use, run out of storage when you first boot, now charged, I do not know how persistent storage. If the battery is long-lasting, perfect.")</f>
        <v>Good use good use, run out of storage when you first boot, now charged, I do not know how persistent storage. If the battery is long-lasting, perfect.</v>
      </c>
    </row>
    <row r="16985">
      <c r="A16985" s="1">
        <v>5.0</v>
      </c>
      <c r="B16985" s="1" t="s">
        <v>16779</v>
      </c>
      <c r="C16985" t="str">
        <f>IFERROR(__xludf.DUMMYFUNCTION("GOOGLETRANSLATE(B16985, ""zh"", ""en"")"),"Inexpensive! ! Jixin Ling bought last year, this time bought a round neck. Yes, two hundred dollars all the way from home by air, inexpensive! Friendly reminder, my height 183 weight 80, M just wear positive, do not buy according to the size of the countr"&amp;"y.")</f>
        <v>Inexpensive! ! Jixin Ling bought last year, this time bought a round neck. Yes, two hundred dollars all the way from home by air, inexpensive! Friendly reminder, my height 183 weight 80, M just wear positive, do not buy according to the size of the country.</v>
      </c>
    </row>
    <row r="16986">
      <c r="A16986" s="1">
        <v>5.0</v>
      </c>
      <c r="B16986" s="1" t="s">
        <v>16780</v>
      </c>
      <c r="C16986" t="str">
        <f>IFERROR(__xludf.DUMMYFUNCTION("GOOGLETRANSLATE(B16986, ""zh"", ""en"")"),"Helium is cost-effective")</f>
        <v>Helium is cost-effective</v>
      </c>
    </row>
    <row r="16987">
      <c r="A16987" s="1">
        <v>5.0</v>
      </c>
      <c r="B16987" s="1" t="s">
        <v>16781</v>
      </c>
      <c r="C16987" t="str">
        <f>IFERROR(__xludf.DUMMYFUNCTION("GOOGLETRANSLATE(B16987, ""zh"", ""en"")"),"And the price is pretty suitable to send his wife to buy a shirt, very fit, the version is very good.")</f>
        <v>And the price is pretty suitable to send his wife to buy a shirt, very fit, the version is very good.</v>
      </c>
    </row>
    <row r="16988">
      <c r="A16988" s="1">
        <v>5.0</v>
      </c>
      <c r="B16988" s="1" t="s">
        <v>16782</v>
      </c>
      <c r="C16988" t="str">
        <f>IFERROR(__xludf.DUMMYFUNCTION("GOOGLETRANSLATE(B16988, ""zh"", ""en"")"),"Fast read and write very fast, as if the shell is metallic, very satisfied")</f>
        <v>Fast read and write very fast, as if the shell is metallic, very satisfied</v>
      </c>
    </row>
    <row r="16989">
      <c r="A16989" s="1">
        <v>5.0</v>
      </c>
      <c r="B16989" s="1" t="s">
        <v>16783</v>
      </c>
      <c r="C16989" t="str">
        <f>IFERROR(__xludf.DUMMYFUNCTION("GOOGLETRANSLATE(B16989, ""zh"", ""en"")"),"Table very affordable, design minor changes would be better for people who like sports, this table is very good, accurate travel time, good waterproof performance, affordable! In particular clasp very very strong, whether it is swimming beach, bar or disc"&amp;"o, do not have to worry about falling off! Table glass mirror should be designed and should not be flush with the sides are slightly higher, which can prevent scratches mirror!")</f>
        <v>Table very affordable, design minor changes would be better for people who like sports, this table is very good, accurate travel time, good waterproof performance, affordable! In particular clasp very very strong, whether it is swimming beach, bar or disco, do not have to worry about falling off! Table glass mirror should be designed and should not be flush with the sides are slightly higher, which can prevent scratches mirror!</v>
      </c>
    </row>
    <row r="16990">
      <c r="A16990" s="1">
        <v>5.0</v>
      </c>
      <c r="B16990" s="1" t="s">
        <v>16784</v>
      </c>
      <c r="C16990" t="str">
        <f>IFERROR(__xludf.DUMMYFUNCTION("GOOGLETRANSLATE(B16990, ""zh"", ""en"")"),"Very good waist 82cm buy 32 just right, black is produced in the United States, India produced brown, black belt work much better than the head of a brown, brown belt head appears to have a sense of indelible stain However, there is no black")</f>
        <v>Very good waist 82cm buy 32 just right, black is produced in the United States, India produced brown, black belt work much better than the head of a brown, brown belt head appears to have a sense of indelible stain However, there is no black</v>
      </c>
    </row>
    <row r="16991">
      <c r="A16991" s="1">
        <v>5.0</v>
      </c>
      <c r="B16991" s="1" t="s">
        <v>16785</v>
      </c>
      <c r="C16991" t="str">
        <f>IFERROR(__xludf.DUMMYFUNCTION("GOOGLETRANSLATE(B16991, ""zh"", ""en"")"),"Comfortable, light and love, a very lightweight table, in the summer with very comfortable, but the dial is small, suitable for children and girls")</f>
        <v>Comfortable, light and love, a very lightweight table, in the summer with very comfortable, but the dial is small, suitable for children and girls</v>
      </c>
    </row>
    <row r="16992">
      <c r="A16992" s="1">
        <v>5.0</v>
      </c>
      <c r="B16992" s="1" t="s">
        <v>16786</v>
      </c>
      <c r="C16992" t="str">
        <f>IFERROR(__xludf.DUMMYFUNCTION("GOOGLETRANSLATE(B16992, ""zh"", ""en"")"),"Ten lbs large package strong enough to no friends ha ha fun")</f>
        <v>Ten lbs large package strong enough to no friends ha ha fun</v>
      </c>
    </row>
    <row r="16993">
      <c r="A16993" s="1">
        <v>5.0</v>
      </c>
      <c r="B16993" s="1" t="s">
        <v>16787</v>
      </c>
      <c r="C16993" t="str">
        <f>IFERROR(__xludf.DUMMYFUNCTION("GOOGLETRANSLATE(B16993, ""zh"", ""en"")"),"Very convenient, good installation is good, very good use")</f>
        <v>Very convenient, good installation is good, very good use</v>
      </c>
    </row>
    <row r="16994">
      <c r="A16994" s="1">
        <v>5.0</v>
      </c>
      <c r="B16994" s="1" t="s">
        <v>16788</v>
      </c>
      <c r="C16994" t="str">
        <f>IFERROR(__xludf.DUMMYFUNCTION("GOOGLETRANSLATE(B16994, ""zh"", ""en"")"),"Comfort is also good-looking Attractive Attractive mom let me buy her a really good this Kanla")</f>
        <v>Comfort is also good-looking Attractive Attractive mom let me buy her a really good this Kanla</v>
      </c>
    </row>
    <row r="16995">
      <c r="A16995" s="1">
        <v>5.0</v>
      </c>
      <c r="B16995" s="1" t="s">
        <v>16789</v>
      </c>
      <c r="C16995" t="str">
        <f>IFERROR(__xludf.DUMMYFUNCTION("GOOGLETRANSLATE(B16995, ""zh"", ""en"")"),"Quality good quality shoes, very comfortable to wear, style is also like")</f>
        <v>Quality good quality shoes, very comfortable to wear, style is also like</v>
      </c>
    </row>
    <row r="16996">
      <c r="A16996" s="1">
        <v>5.0</v>
      </c>
      <c r="B16996" s="1" t="s">
        <v>16790</v>
      </c>
      <c r="C16996" t="str">
        <f>IFERROR(__xludf.DUMMYFUNCTION("GOOGLETRANSLATE(B16996, ""zh"", ""en"")"),"Nice nice colors, bright colors, easy to use")</f>
        <v>Nice nice colors, bright colors, easy to use</v>
      </c>
    </row>
    <row r="16997">
      <c r="A16997" s="1">
        <v>5.0</v>
      </c>
      <c r="B16997" s="1" t="s">
        <v>16791</v>
      </c>
      <c r="C16997" t="str">
        <f>IFERROR(__xludf.DUMMYFUNCTION("GOOGLETRANSLATE(B16997, ""zh"", ""en"")"),"Very handsome toothbrush easy to use, full-featured, easy to use")</f>
        <v>Very handsome toothbrush easy to use, full-featured, easy to use</v>
      </c>
    </row>
    <row r="16998">
      <c r="A16998" s="1">
        <v>2.0</v>
      </c>
      <c r="B16998" s="1" t="s">
        <v>16792</v>
      </c>
      <c r="C16998" t="str">
        <f>IFERROR(__xludf.DUMMYFUNCTION("GOOGLETRANSLATE(B16998, ""zh"", ""en"")"),"Roll-over feeling to be overturned, right foot inside a significant wrinkles, bulges, should work the problem, do not know how through quality control ......")</f>
        <v>Roll-over feeling to be overturned, right foot inside a significant wrinkles, bulges, should work the problem, do not know how through quality control ......</v>
      </c>
    </row>
    <row r="16999">
      <c r="A16999" s="1">
        <v>3.0</v>
      </c>
      <c r="B16999" s="1" t="s">
        <v>16793</v>
      </c>
      <c r="C16999" t="str">
        <f>IFERROR(__xludf.DUMMYFUNCTION("GOOGLETRANSLATE(B16999, ""zh"", ""en"")"),"Work in general work in general, domestic")</f>
        <v>Work in general work in general, domestic</v>
      </c>
    </row>
    <row r="17000">
      <c r="A17000" s="1">
        <v>3.0</v>
      </c>
      <c r="B17000" s="1" t="s">
        <v>16794</v>
      </c>
      <c r="C17000" t="str">
        <f>IFERROR(__xludf.DUMMYFUNCTION("GOOGLETRANSLATE(B17000, ""zh"", ""en"")"),"Page information sheet when looking at is not the same with the received comments and questions and answers mostly said to be cotton, thin, with the money before bought a gray, cotton is thin. The buy a black, received a thick, 82% cotton. Not meeting boa"&amp;"rd, too confusing.")</f>
        <v>Page information sheet when looking at is not the same with the received comments and questions and answers mostly said to be cotton, thin, with the money before bought a gray, cotton is thin. The buy a black, received a thick, 82% cotton. Not meeting board, too confusing.</v>
      </c>
    </row>
    <row r="17001">
      <c r="A17001" s="1">
        <v>3.0</v>
      </c>
      <c r="B17001" s="1" t="s">
        <v>16795</v>
      </c>
      <c r="C17001" t="str">
        <f>IFERROR(__xludf.DUMMYFUNCTION("GOOGLETRANSLATE(B17001, ""zh"", ""en"")"),"Too big too big. At least two big numbers! Buy XL, I think the M on the line.")</f>
        <v>Too big too big. At least two big numbers! Buy XL, I think the M on the line.</v>
      </c>
    </row>
    <row r="17002">
      <c r="A17002" s="1">
        <v>1.0</v>
      </c>
      <c r="B17002" s="1" t="s">
        <v>16796</v>
      </c>
      <c r="C17002" t="str">
        <f>IFERROR(__xludf.DUMMYFUNCTION("GOOGLETRANSLATE(B17002, ""zh"", ""en"")"),"These shoes can not buy fakes, the firm can not buy")</f>
        <v>These shoes can not buy fakes, the firm can not buy</v>
      </c>
    </row>
    <row r="17003">
      <c r="A17003" s="1">
        <v>1.0</v>
      </c>
      <c r="B17003" s="1" t="s">
        <v>16797</v>
      </c>
      <c r="C17003" t="str">
        <f>IFERROR(__xludf.DUMMYFUNCTION("GOOGLETRANSLATE(B17003, ""zh"", ""en"")"),"Size large size than the large domestic and large, the same XL than domestic large-dozen centimeters thick section fabric, summer wear will be relatively hot, because the first time to buy, do not understand the size, select the merchandise simply can not"&amp;" wear, recommended to buy a small number two")</f>
        <v>Size large size than the large domestic and large, the same XL than domestic large-dozen centimeters thick section fabric, summer wear will be relatively hot, because the first time to buy, do not understand the size, select the merchandise simply can not wear, recommended to buy a small number two</v>
      </c>
    </row>
    <row r="17004">
      <c r="A17004" s="1">
        <v>4.0</v>
      </c>
      <c r="B17004" s="1" t="s">
        <v>16798</v>
      </c>
      <c r="C17004" t="str">
        <f>IFERROR(__xludf.DUMMYFUNCTION("GOOGLETRANSLATE(B17004, ""zh"", ""en"")"),"Size is too large, comfortable fabrics, size is too large.")</f>
        <v>Size is too large, comfortable fabrics, size is too large.</v>
      </c>
    </row>
    <row r="17005">
      <c r="A17005" s="1">
        <v>4.0</v>
      </c>
      <c r="B17005" s="1" t="s">
        <v>16799</v>
      </c>
      <c r="C17005" t="str">
        <f>IFERROR(__xludf.DUMMYFUNCTION("GOOGLETRANSLATE(B17005, ""zh"", ""en"")"),"Hard low waist, legs a little long, hard pants, washed still very hard")</f>
        <v>Hard low waist, legs a little long, hard pants, washed still very hard</v>
      </c>
    </row>
    <row r="17006">
      <c r="A17006" s="1">
        <v>4.0</v>
      </c>
      <c r="B17006" s="1" t="s">
        <v>16800</v>
      </c>
      <c r="C17006" t="str">
        <f>IFERROR(__xludf.DUMMYFUNCTION("GOOGLETRANSLATE(B17006, ""zh"", ""en"")"),"36 flats worth having, this buy 6m, very appropriate. Soft leather, very docile, walking, running, jumping, wading, so entirely without discomfort. With socks, pants very beautiful. Time to buy four thousand head, much cheaper than the counter. A week lat"&amp;"er hand.")</f>
        <v>36 flats worth having, this buy 6m, very appropriate. Soft leather, very docile, walking, running, jumping, wading, so entirely without discomfort. With socks, pants very beautiful. Time to buy four thousand head, much cheaper than the counter. A week later hand.</v>
      </c>
    </row>
    <row r="17007">
      <c r="A17007" s="1">
        <v>4.0</v>
      </c>
      <c r="B17007" s="1" t="s">
        <v>16801</v>
      </c>
      <c r="C17007" t="str">
        <f>IFERROR(__xludf.DUMMYFUNCTION("GOOGLETRANSLATE(B17007, ""zh"", ""en"")"),"Evaluation useless, feeling okay. He said to have returned to active vouchers, but I have not received, bad faith.")</f>
        <v>Evaluation useless, feeling okay. He said to have returned to active vouchers, but I have not received, bad faith.</v>
      </c>
    </row>
    <row r="17008">
      <c r="A17008" s="1">
        <v>4.0</v>
      </c>
      <c r="B17008" s="1" t="s">
        <v>16802</v>
      </c>
      <c r="C17008" t="str">
        <f>IFERROR(__xludf.DUMMYFUNCTION("GOOGLETRANSLATE(B17008, ""zh"", ""en"")"),"Stick together in the same brand, women multivitamin candy well, this stick into the cook")</f>
        <v>Stick together in the same brand, women multivitamin candy well, this stick into the cook</v>
      </c>
    </row>
    <row r="17009">
      <c r="A17009" s="1">
        <v>5.0</v>
      </c>
      <c r="B17009" s="1" t="s">
        <v>16803</v>
      </c>
      <c r="C17009" t="str">
        <f>IFERROR(__xludf.DUMMYFUNCTION("GOOGLETRANSLATE(B17009, ""zh"", ""en"")"),"Grohe faucet select Yes good weight of a leader, a leader of the packaging is quite good.")</f>
        <v>Grohe faucet select Yes good weight of a leader, a leader of the packaging is quite good.</v>
      </c>
    </row>
    <row r="17010">
      <c r="A17010" s="1">
        <v>5.0</v>
      </c>
      <c r="B17010" s="1" t="s">
        <v>16804</v>
      </c>
      <c r="C17010" t="str">
        <f>IFERROR(__xludf.DUMMYFUNCTION("GOOGLETRANSLATE(B17010, ""zh"", ""en"")"),"Zojirushi insulation effect is easy to use! Just received the cup! Old brand is different! Insulation easy to use! Friends and colleagues have been using this brand! worth having!")</f>
        <v>Zojirushi insulation effect is easy to use! Just received the cup! Old brand is different! Insulation easy to use! Friends and colleagues have been using this brand! worth having!</v>
      </c>
    </row>
    <row r="17011">
      <c r="A17011" s="1">
        <v>5.0</v>
      </c>
      <c r="B17011" s="1" t="s">
        <v>16805</v>
      </c>
      <c r="C17011" t="str">
        <f>IFERROR(__xludf.DUMMYFUNCTION("GOOGLETRANSLATE(B17011, ""zh"", ""en"")"),"Orders received five days? No detailed logistics information! Who to science? United States so quickly? After using the modified assessment, authentic! A significant effect, with the customer to verify the issue is the United States! It will buy back! No."&amp;" 12 in the afternoon under a single, 15 domestic, 16 to my hands! US shipments? No detailed logistics information, as a sea Amoy n single person I do not know is where's the stuff!")</f>
        <v>Orders received five days? No detailed logistics information! Who to science? United States so quickly? After using the modified assessment, authentic! A significant effect, with the customer to verify the issue is the United States! It will buy back! No. 12 in the afternoon under a single, 15 domestic, 16 to my hands! US shipments? No detailed logistics information, as a sea Amoy n single person I do not know is where's the stuff!</v>
      </c>
    </row>
    <row r="17012">
      <c r="A17012" s="1">
        <v>5.0</v>
      </c>
      <c r="B17012" s="1" t="s">
        <v>16806</v>
      </c>
      <c r="C17012" t="str">
        <f>IFERROR(__xludf.DUMMYFUNCTION("GOOGLETRANSLATE(B17012, ""zh"", ""en"")"),"Shoes are very light, wear comfortable shoes fit very light, wear comfortable fit")</f>
        <v>Shoes are very light, wear comfortable shoes fit very light, wear comfortable fit</v>
      </c>
    </row>
    <row r="17013">
      <c r="A17013" s="1">
        <v>5.0</v>
      </c>
      <c r="B17013" s="1" t="s">
        <v>16807</v>
      </c>
      <c r="C17013" t="str">
        <f>IFERROR(__xludf.DUMMYFUNCTION("GOOGLETRANSLATE(B17013, ""zh"", ""en"")"),"Why grief only Dukang long before the pen concerned about this, because of the price has not start. This finally decided to start with, and she received a very pleasant surprise. Germany will come to more than a week, after opening the ink dipped tried ve"&amp;"ry smooth, and dipped in ink to write a little about twenty words, then refilled, have to say very uniform ink tip of the nose is very smooth, matte feel too great, but the ink is larger than we say water gun, but can accept, very much.")</f>
        <v>Why grief only Dukang long before the pen concerned about this, because of the price has not start. This finally decided to start with, and she received a very pleasant surprise. Germany will come to more than a week, after opening the ink dipped tried very smooth, and dipped in ink to write a little about twenty words, then refilled, have to say very uniform ink tip of the nose is very smooth, matte feel too great, but the ink is larger than we say water gun, but can accept, very much.</v>
      </c>
    </row>
    <row r="17014">
      <c r="A17014" s="1">
        <v>5.0</v>
      </c>
      <c r="B17014" s="1" t="s">
        <v>16808</v>
      </c>
      <c r="C17014" t="str">
        <f>IFERROR(__xludf.DUMMYFUNCTION("GOOGLETRANSLATE(B17014, ""zh"", ""en"")"),"Well done to the baby food supplement, and spent three months, just fine, no problem found")</f>
        <v>Well done to the baby food supplement, and spent three months, just fine, no problem found</v>
      </c>
    </row>
    <row r="17015">
      <c r="A17015" s="1">
        <v>5.0</v>
      </c>
      <c r="B17015" s="1" t="s">
        <v>4215</v>
      </c>
      <c r="C17015" t="str">
        <f>IFERROR(__xludf.DUMMYFUNCTION("GOOGLETRANSLATE(B17015, ""zh"", ""en"")"),"Never go to a good evaluation before, I do not know how many wasted points, points can change money now know, they should look carefully evaluated, then I put these words to copy to go, both to earn points, but also save trouble, where one copy where, mos"&amp;"t importantly, do not seriously review, do not think how much worse word, sent directly to it, recommend it to everyone! !")</f>
        <v>Never go to a good evaluation before, I do not know how many wasted points, points can change money now know, they should look carefully evaluated, then I put these words to copy to go, both to earn points, but also save trouble, where one copy where, most importantly, do not seriously review, do not think how much worse word, sent directly to it, recommend it to everyone! !</v>
      </c>
    </row>
    <row r="17016">
      <c r="A17016" s="1">
        <v>5.0</v>
      </c>
      <c r="B17016" s="1" t="s">
        <v>16809</v>
      </c>
      <c r="C17016" t="str">
        <f>IFERROR(__xludf.DUMMYFUNCTION("GOOGLETRANSLATE(B17016, ""zh"", ""en"")"),"A good product! Very good product, fresh and transparent sound quality, classic style, moderate scale, praise!")</f>
        <v>A good product! Very good product, fresh and transparent sound quality, classic style, moderate scale, praise!</v>
      </c>
    </row>
    <row r="17017">
      <c r="A17017" s="1">
        <v>5.0</v>
      </c>
      <c r="B17017" s="1" t="s">
        <v>16810</v>
      </c>
      <c r="C17017" t="str">
        <f>IFERROR(__xludf.DUMMYFUNCTION("GOOGLETRANSLATE(B17017, ""zh"", ""en"")"),"Cheap, quality assurance, the price is really affordable, and other really good price cheaper than starting a bare disc. Packaging is too outrageous, a box outside the box sets just sent a pass across the sea! AIU is not too confident?")</f>
        <v>Cheap, quality assurance, the price is really affordable, and other really good price cheaper than starting a bare disc. Packaging is too outrageous, a box outside the box sets just sent a pass across the sea! AIU is not too confident?</v>
      </c>
    </row>
    <row r="17018">
      <c r="A17018" s="1">
        <v>5.0</v>
      </c>
      <c r="B17018" s="1" t="s">
        <v>16811</v>
      </c>
      <c r="C17018" t="str">
        <f>IFERROR(__xludf.DUMMYFUNCTION("GOOGLETRANSLATE(B17018, ""zh"", ""en"")"),"Heard the more like small stature, loud, low bass, the sound field is wide, clean and transparent, Naiting, professional quality multimedia speakers generally lose a few blocks. More than 60 square meters large living room box has not arrived yet, at firs"&amp;"t with a small point of this transition, actually still constantly surprises, small works and listen to white noise, a sort of professional HiFi gas field big box. 90s playing boxes and headsets, the older the more easily moved, the lower the required ret"&amp;"urn to enjoy the music.")</f>
        <v>Heard the more like small stature, loud, low bass, the sound field is wide, clean and transparent, Naiting, professional quality multimedia speakers generally lose a few blocks. More than 60 square meters large living room box has not arrived yet, at first with a small point of this transition, actually still constantly surprises, small works and listen to white noise, a sort of professional HiFi gas field big box. 90s playing boxes and headsets, the older the more easily moved, the lower the required return to enjoy the music.</v>
      </c>
    </row>
    <row r="17019">
      <c r="A17019" s="1">
        <v>5.0</v>
      </c>
      <c r="B17019" s="1" t="s">
        <v>16812</v>
      </c>
      <c r="C17019" t="str">
        <f>IFERROR(__xludf.DUMMYFUNCTION("GOOGLETRANSLATE(B17019, ""zh"", ""en"")"),"Oh good can stretch waistband, slim fit people want to retire crude")</f>
        <v>Oh good can stretch waistband, slim fit people want to retire crude</v>
      </c>
    </row>
    <row r="17020">
      <c r="A17020" s="1">
        <v>5.0</v>
      </c>
      <c r="B17020" s="1" t="s">
        <v>16813</v>
      </c>
      <c r="C17020" t="str">
        <f>IFERROR(__xludf.DUMMYFUNCTION("GOOGLETRANSLATE(B17020, ""zh"", ""en"")"),"Good very good first experience, cheaper than the store half")</f>
        <v>Good very good first experience, cheaper than the store half</v>
      </c>
    </row>
    <row r="17021">
      <c r="A17021" s="1">
        <v>5.0</v>
      </c>
      <c r="B17021" s="1" t="s">
        <v>16814</v>
      </c>
      <c r="C17021" t="str">
        <f>IFERROR(__xludf.DUMMYFUNCTION("GOOGLETRANSLATE(B17021, ""zh"", ""en"")"),"183CM86KG 183CM86KG, muscular, get the clothes to wear just a good, but understand you to say short sleeves long body whatever reason, and you too narrow shoulders and back, you do not hold up the normal code of")</f>
        <v>183CM86KG 183CM86KG, muscular, get the clothes to wear just a good, but understand you to say short sleeves long body whatever reason, and you too narrow shoulders and back, you do not hold up the normal code of</v>
      </c>
    </row>
    <row r="17022">
      <c r="A17022" s="1">
        <v>5.0</v>
      </c>
      <c r="B17022" s="1" t="s">
        <v>16815</v>
      </c>
      <c r="C17022" t="str">
        <f>IFERROR(__xludf.DUMMYFUNCTION("GOOGLETRANSLATE(B17022, ""zh"", ""en"")"),"First time to buy, the size can be. 183CM 81KG choose 34W 32L being just right, a set Trousers wear is also good, with color pictures Introduction exactly the same, no water, and elastic bands. But this really was not very advanced color Ha! Feel worth it"&amp;". By the way, just with the country to buy Levi's than a little size, my 501 is 36W 34L, arrayed to see turned out to be as big as Kazakhstan. . . .")</f>
        <v>First time to buy, the size can be. 183CM 81KG choose 34W 32L being just right, a set Trousers wear is also good, with color pictures Introduction exactly the same, no water, and elastic bands. But this really was not very advanced color Ha! Feel worth it. By the way, just with the country to buy Levi's than a little size, my 501 is 36W 34L, arrayed to see turned out to be as big as Kazakhstan. . . .</v>
      </c>
    </row>
    <row r="17023">
      <c r="A17023" s="1">
        <v>5.0</v>
      </c>
      <c r="B17023" s="1" t="s">
        <v>16816</v>
      </c>
      <c r="C17023" t="str">
        <f>IFERROR(__xludf.DUMMYFUNCTION("GOOGLETRANSLATE(B17023, ""zh"", ""en"")"),"Good quality good style is also very like")</f>
        <v>Good quality good style is also very like</v>
      </c>
    </row>
    <row r="17024">
      <c r="A17024" s="1">
        <v>5.0</v>
      </c>
      <c r="B17024" s="1" t="s">
        <v>16817</v>
      </c>
      <c r="C17024" t="str">
        <f>IFERROR(__xludf.DUMMYFUNCTION("GOOGLETRANSLATE(B17024, ""zh"", ""en"")"),"Ck satisfaction guaranteed or quality, color is also very positive, much stronger than the picture, it is slightly larger point,")</f>
        <v>Ck satisfaction guaranteed or quality, color is also very positive, much stronger than the picture, it is slightly larger point,</v>
      </c>
    </row>
    <row r="17025">
      <c r="A17025" s="1">
        <v>5.0</v>
      </c>
      <c r="B17025" s="1" t="s">
        <v>16818</v>
      </c>
      <c r="C17025" t="str">
        <f>IFERROR(__xludf.DUMMYFUNCTION("GOOGLETRANSLATE(B17025, ""zh"", ""en"")"),"Good workmanship very strong for outdoor sports good workmanship very strong for outdoor sports")</f>
        <v>Good workmanship very strong for outdoor sports good workmanship very strong for outdoor sports</v>
      </c>
    </row>
    <row r="17026">
      <c r="A17026" s="1">
        <v>5.0</v>
      </c>
      <c r="B17026" s="1" t="s">
        <v>16819</v>
      </c>
      <c r="C17026" t="str">
        <f>IFERROR(__xludf.DUMMYFUNCTION("GOOGLETRANSLATE(B17026, ""zh"", ""en"")"),"They can also work styles are very general, expect good durability waterproof")</f>
        <v>They can also work styles are very general, expect good durability waterproof</v>
      </c>
    </row>
    <row r="17027">
      <c r="A17027" s="1">
        <v>5.0</v>
      </c>
      <c r="B17027" s="1" t="s">
        <v>16820</v>
      </c>
      <c r="C17027" t="str">
        <f>IFERROR(__xludf.DUMMYFUNCTION("GOOGLETRANSLATE(B17027, ""zh"", ""en"")"),"Size is too large too large, the other can, yes")</f>
        <v>Size is too large too large, the other can, yes</v>
      </c>
    </row>
    <row r="17028">
      <c r="A17028" s="1">
        <v>5.0</v>
      </c>
      <c r="B17028" s="1" t="s">
        <v>16821</v>
      </c>
      <c r="C17028" t="str">
        <f>IFERROR(__xludf.DUMMYFUNCTION("GOOGLETRANSLATE(B17028, ""zh"", ""en"")"),"May be too fat, too fat version of the quality of the general feeling can be, the color a little flashy, not very pure, feel the quality is not very good")</f>
        <v>May be too fat, too fat version of the quality of the general feeling can be, the color a little flashy, not very pure, feel the quality is not very good</v>
      </c>
    </row>
    <row r="17029">
      <c r="A17029" s="1">
        <v>5.0</v>
      </c>
      <c r="B17029" s="1" t="s">
        <v>16822</v>
      </c>
      <c r="C17029" t="str">
        <f>IFERROR(__xludf.DUMMYFUNCTION("GOOGLETRANSLATE(B17029, ""zh"", ""en"")"),"Good goods good price are all good color is not domestic, the price is actually less than half of the country, according to the usual code buy, try the next more than just a finger.")</f>
        <v>Good goods good price are all good color is not domestic, the price is actually less than half of the country, according to the usual code buy, try the next more than just a finger.</v>
      </c>
    </row>
    <row r="17030">
      <c r="A17030" s="1">
        <v>5.0</v>
      </c>
      <c r="B17030" s="1" t="s">
        <v>16823</v>
      </c>
      <c r="C17030" t="str">
        <f>IFERROR(__xludf.DUMMYFUNCTION("GOOGLETRANSLATE(B17030, ""zh"", ""en"")"),"The Terrific like Down")</f>
        <v>The Terrific like Down</v>
      </c>
    </row>
    <row r="17031">
      <c r="A17031" s="1">
        <v>2.0</v>
      </c>
      <c r="B17031" s="1" t="s">
        <v>16824</v>
      </c>
      <c r="C17031" t="str">
        <f>IFERROR(__xludf.DUMMYFUNCTION("GOOGLETRANSLATE(B17031, ""zh"", ""en"")"),"The smell of heavy, non-standard clothing sizes too big, too big clothes, bought the two yards, one obviously much larger than another, so many big, big one yard more than, at least two yards. US direct mail, would have been well pleased, the results take"&amp;" time for a great many times water wash or smell, the smell of heavy petrochemical, several changes of water will fade.")</f>
        <v>The smell of heavy, non-standard clothing sizes too big, too big clothes, bought the two yards, one obviously much larger than another, so many big, big one yard more than, at least two yards. US direct mail, would have been well pleased, the results take time for a great many times water wash or smell, the smell of heavy petrochemical, several changes of water will fade.</v>
      </c>
    </row>
    <row r="17032">
      <c r="A17032" s="1">
        <v>3.0</v>
      </c>
      <c r="B17032" s="1" t="s">
        <v>16825</v>
      </c>
      <c r="C17032" t="str">
        <f>IFERROR(__xludf.DUMMYFUNCTION("GOOGLETRANSLATE(B17032, ""zh"", ""en"")"),"I do not recommend buying shoes rather hard, did not take long to wear a little plastic, also due to low upper hard, wear ankle that one, do not recommend buying")</f>
        <v>I do not recommend buying shoes rather hard, did not take long to wear a little plastic, also due to low upper hard, wear ankle that one, do not recommend buying</v>
      </c>
    </row>
    <row r="17033">
      <c r="A17033" s="1">
        <v>3.0</v>
      </c>
      <c r="B17033" s="1" t="s">
        <v>16826</v>
      </c>
      <c r="C17033" t="str">
        <f>IFERROR(__xludf.DUMMYFUNCTION("GOOGLETRANSLATE(B17033, ""zh"", ""en"")"),"Size requirements are too large, there is no small size of the country")</f>
        <v>Size requirements are too large, there is no small size of the country</v>
      </c>
    </row>
    <row r="17034">
      <c r="A17034" s="1">
        <v>1.0</v>
      </c>
      <c r="B17034" s="1" t="s">
        <v>16827</v>
      </c>
      <c r="C17034" t="str">
        <f>IFERROR(__xludf.DUMMYFUNCTION("GOOGLETRANSLATE(B17034, ""zh"", ""en"")"),"Imitation quality problems")</f>
        <v>Imitation quality problems</v>
      </c>
    </row>
    <row r="17035">
      <c r="A17035" s="1">
        <v>1.0</v>
      </c>
      <c r="B17035" s="1" t="s">
        <v>16828</v>
      </c>
      <c r="C17035" t="str">
        <f>IFERROR(__xludf.DUMMYFUNCTION("GOOGLETRANSLATE(B17035, ""zh"", ""en"")"),"When the price difference is only suitable to wear underwear, thin, work style and vest almost like wearing a T-shirt that is certainly not appropriate, the shoulder is not wide, but longer wear only tied up, or does not look good, if you buy underwear, I"&amp;" why buy it, after all, and more than underwear, expensive price point, while the lower target position")</f>
        <v>When the price difference is only suitable to wear underwear, thin, work style and vest almost like wearing a T-shirt that is certainly not appropriate, the shoulder is not wide, but longer wear only tied up, or does not look good, if you buy underwear, I why buy it, after all, and more than underwear, expensive price point, while the lower target position</v>
      </c>
    </row>
    <row r="17036">
      <c r="A17036" s="1">
        <v>1.0</v>
      </c>
      <c r="B17036" s="1" t="s">
        <v>16829</v>
      </c>
      <c r="C17036" t="str">
        <f>IFERROR(__xludf.DUMMYFUNCTION("GOOGLETRANSLATE(B17036, ""zh"", ""en"")"),"Now experience is poor box is no ordinary underwear transparent plastic bags. Product packaging is not sent over the Amazon previously used cardboard box, but the yellow bubble envelope. Overseas shopping experience is poor.")</f>
        <v>Now experience is poor box is no ordinary underwear transparent plastic bags. Product packaging is not sent over the Amazon previously used cardboard box, but the yellow bubble envelope. Overseas shopping experience is poor.</v>
      </c>
    </row>
    <row r="17037">
      <c r="A17037" s="1">
        <v>4.0</v>
      </c>
      <c r="B17037" s="1" t="s">
        <v>16830</v>
      </c>
      <c r="C17037" t="str">
        <f>IFERROR(__xludf.DUMMYFUNCTION("GOOGLETRANSLATE(B17037, ""zh"", ""en"")"),"The only drawback may feel, but leather has flaws, so far sent me, it is not prudent to check is issued or defective?")</f>
        <v>The only drawback may feel, but leather has flaws, so far sent me, it is not prudent to check is issued or defective?</v>
      </c>
    </row>
    <row r="17038">
      <c r="A17038" s="1">
        <v>4.0</v>
      </c>
      <c r="B17038" s="1" t="s">
        <v>16831</v>
      </c>
      <c r="C17038" t="str">
        <f>IFERROR(__xludf.DUMMYFUNCTION("GOOGLETRANSLATE(B17038, ""zh"", ""en"")"),"Yes, but the tusk teeth Kendiao eat or do not use it for teething children, we ate all the teeth, but fortunately small, it is estimated casually out.")</f>
        <v>Yes, but the tusk teeth Kendiao eat or do not use it for teething children, we ate all the teeth, but fortunately small, it is estimated casually out.</v>
      </c>
    </row>
    <row r="17039">
      <c r="A17039" s="1">
        <v>4.0</v>
      </c>
      <c r="B17039" s="1" t="s">
        <v>16832</v>
      </c>
      <c r="C17039" t="str">
        <f>IFERROR(__xludf.DUMMYFUNCTION("GOOGLETRANSLATE(B17039, ""zh"", ""en"")"),"Warm slightly longer, there are thin cashmere. 180,75 kg slightly longer")</f>
        <v>Warm slightly longer, there are thin cashmere. 180,75 kg slightly longer</v>
      </c>
    </row>
    <row r="17040">
      <c r="A17040" s="1">
        <v>4.0</v>
      </c>
      <c r="B17040" s="1" t="s">
        <v>16833</v>
      </c>
      <c r="C17040" t="str">
        <f>IFERROR(__xludf.DUMMYFUNCTION("GOOGLETRANSLATE(B17040, ""zh"", ""en"")"),"Buy L code, size is too large good quality, feel very comfortable, but too lazy to change the size to buy big friends, send someone wearing my bust is about 106cm, the right to buy the M number.")</f>
        <v>Buy L code, size is too large good quality, feel very comfortable, but too lazy to change the size to buy big friends, send someone wearing my bust is about 106cm, the right to buy the M number.</v>
      </c>
    </row>
    <row r="17041">
      <c r="A17041" s="1">
        <v>5.0</v>
      </c>
      <c r="B17041" s="1" t="s">
        <v>16834</v>
      </c>
      <c r="C17041" t="str">
        <f>IFERROR(__xludf.DUMMYFUNCTION("GOOGLETRANSLATE(B17041, ""zh"", ""en"")"),"Is too large, there is texture, very comfortable 182cm, 108kg, bought two, L is appropriate, but also can wear some large XL, for reference")</f>
        <v>Is too large, there is texture, very comfortable 182cm, 108kg, bought two, L is appropriate, but also can wear some large XL, for reference</v>
      </c>
    </row>
    <row r="17042">
      <c r="A17042" s="1">
        <v>5.0</v>
      </c>
      <c r="B17042" s="1" t="s">
        <v>16835</v>
      </c>
      <c r="C17042" t="str">
        <f>IFERROR(__xludf.DUMMYFUNCTION("GOOGLETRANSLATE(B17042, ""zh"", ""en"")"),"Prior to also flip, flip and later also a good point before too large, then good point")</f>
        <v>Prior to also flip, flip and later also a good point before too large, then good point</v>
      </c>
    </row>
    <row r="17043">
      <c r="A17043" s="1">
        <v>5.0</v>
      </c>
      <c r="B17043" s="1" t="s">
        <v>16836</v>
      </c>
      <c r="C17043" t="str">
        <f>IFERROR(__xludf.DUMMYFUNCTION("GOOGLETRANSLATE(B17043, ""zh"", ""en"")"),"Amazon Amazon shopping experience pleasant great, great clothes")</f>
        <v>Amazon Amazon shopping experience pleasant great, great clothes</v>
      </c>
    </row>
    <row r="17044">
      <c r="A17044" s="1">
        <v>5.0</v>
      </c>
      <c r="B17044" s="1" t="s">
        <v>16837</v>
      </c>
      <c r="C17044" t="str">
        <f>IFERROR(__xludf.DUMMYFUNCTION("GOOGLETRANSLATE(B17044, ""zh"", ""en"")"),"The price is right, beautiful shoes under order number 17, number 22 shipments, 30 received. Before buying the 4-hole boots 6.5w, a little too large, buy with this code, particularly suitable! Vietnamese, very beautiful shoes")</f>
        <v>The price is right, beautiful shoes under order number 17, number 22 shipments, 30 received. Before buying the 4-hole boots 6.5w, a little too large, buy with this code, particularly suitable! Vietnamese, very beautiful shoes</v>
      </c>
    </row>
    <row r="17045">
      <c r="A17045" s="1">
        <v>5.0</v>
      </c>
      <c r="B17045" s="1" t="s">
        <v>16838</v>
      </c>
      <c r="C17045" t="str">
        <f>IFERROR(__xludf.DUMMYFUNCTION("GOOGLETRANSLATE(B17045, ""zh"", ""en"")"),"Fried steak must-fried steak juicy, very praise! 11 days after order arrival, arrival time than the system for eight days in advance.")</f>
        <v>Fried steak must-fried steak juicy, very praise! 11 days after order arrival, arrival time than the system for eight days in advance.</v>
      </c>
    </row>
    <row r="17046">
      <c r="A17046" s="1">
        <v>5.0</v>
      </c>
      <c r="B17046" s="1" t="s">
        <v>16839</v>
      </c>
      <c r="C17046" t="str">
        <f>IFERROR(__xludf.DUMMYFUNCTION("GOOGLETRANSLATE(B17046, ""zh"", ""en"")"),"Worth buying very much, medium size, beautiful color")</f>
        <v>Worth buying very much, medium size, beautiful color</v>
      </c>
    </row>
    <row r="17047">
      <c r="A17047" s="1">
        <v>5.0</v>
      </c>
      <c r="B17047" s="1" t="s">
        <v>16840</v>
      </c>
      <c r="C17047" t="str">
        <f>IFERROR(__xludf.DUMMYFUNCTION("GOOGLETRANSLATE(B17047, ""zh"", ""en"")"),"puma shoes good shoes ah, thin man wearing a suit feet, is the courier people speechless")</f>
        <v>puma shoes good shoes ah, thin man wearing a suit feet, is the courier people speechless</v>
      </c>
    </row>
    <row r="17048">
      <c r="A17048" s="1">
        <v>5.0</v>
      </c>
      <c r="B17048" s="1" t="s">
        <v>16841</v>
      </c>
      <c r="C17048" t="str">
        <f>IFERROR(__xludf.DUMMYFUNCTION("GOOGLETRANSLATE(B17048, ""zh"", ""en"")"),"Received, also used, ah well received, but also with the good ah")</f>
        <v>Received, also used, ah well received, but also with the good ah</v>
      </c>
    </row>
    <row r="17049">
      <c r="A17049" s="1">
        <v>5.0</v>
      </c>
      <c r="B17049" s="1" t="s">
        <v>16842</v>
      </c>
      <c r="C17049" t="str">
        <f>IFERROR(__xludf.DUMMYFUNCTION("GOOGLETRANSLATE(B17049, ""zh"", ""en"")"),"Sugar Bear Sugar Bear is very good very good to eat")</f>
        <v>Sugar Bear Sugar Bear is very good very good to eat</v>
      </c>
    </row>
    <row r="17050">
      <c r="A17050" s="1">
        <v>5.0</v>
      </c>
      <c r="B17050" s="1" t="s">
        <v>16843</v>
      </c>
      <c r="C17050" t="str">
        <f>IFERROR(__xludf.DUMMYFUNCTION("GOOGLETRANSLATE(B17050, ""zh"", ""en"")"),"Suitable composite number, and comfortable. It is like.")</f>
        <v>Suitable composite number, and comfortable. It is like.</v>
      </c>
    </row>
    <row r="17051">
      <c r="A17051" s="1">
        <v>5.0</v>
      </c>
      <c r="B17051" s="1" t="s">
        <v>16844</v>
      </c>
      <c r="C17051" t="str">
        <f>IFERROR(__xludf.DUMMYFUNCTION("GOOGLETRANSLATE(B17051, ""zh"", ""en"")"),"Loose version version loose, 177cm 80kg M code a little bit big, put on the body appear puffy, sleeve length just right.")</f>
        <v>Loose version version loose, 177cm 80kg M code a little bit big, put on the body appear puffy, sleeve length just right.</v>
      </c>
    </row>
    <row r="17052">
      <c r="A17052" s="1">
        <v>5.0</v>
      </c>
      <c r="B17052" s="1" t="s">
        <v>16845</v>
      </c>
      <c r="C17052" t="str">
        <f>IFERROR(__xludf.DUMMYFUNCTION("GOOGLETRANSLATE(B17052, ""zh"", ""en"")"),"Everything is very compact, personal feeling a little small. Cool drink some water, and other time trifle generous.")</f>
        <v>Everything is very compact, personal feeling a little small. Cool drink some water, and other time trifle generous.</v>
      </c>
    </row>
    <row r="17053">
      <c r="A17053" s="1">
        <v>5.0</v>
      </c>
      <c r="B17053" s="1" t="s">
        <v>16846</v>
      </c>
      <c r="C17053" t="str">
        <f>IFERROR(__xludf.DUMMYFUNCTION("GOOGLETRANSLATE(B17053, ""zh"", ""en"")"),"The right size, good to wear shoe size is very accurate, large feet for me, Amazon is very easy to use.")</f>
        <v>The right size, good to wear shoe size is very accurate, large feet for me, Amazon is very easy to use.</v>
      </c>
    </row>
    <row r="17054">
      <c r="A17054" s="1">
        <v>5.0</v>
      </c>
      <c r="B17054" s="1" t="s">
        <v>16847</v>
      </c>
      <c r="C17054" t="str">
        <f>IFERROR(__xludf.DUMMYFUNCTION("GOOGLETRANSLATE(B17054, ""zh"", ""en"")"),"Good stew beaker Nichia has been very carefully packaged stuff, the cup high-quality workmanship, no smell, no long delivery period")</f>
        <v>Good stew beaker Nichia has been very carefully packaged stuff, the cup high-quality workmanship, no smell, no long delivery period</v>
      </c>
    </row>
    <row r="17055">
      <c r="A17055" s="1">
        <v>5.0</v>
      </c>
      <c r="B17055" s="1" t="s">
        <v>16848</v>
      </c>
      <c r="C17055" t="str">
        <f>IFERROR(__xludf.DUMMYFUNCTION("GOOGLETRANSLATE(B17055, ""zh"", ""en"")"),"Good shoes very comfortable ECCO loyal fans hope to have more promotions")</f>
        <v>Good shoes very comfortable ECCO loyal fans hope to have more promotions</v>
      </c>
    </row>
    <row r="17056">
      <c r="A17056" s="1">
        <v>5.0</v>
      </c>
      <c r="B17056" s="1" t="s">
        <v>16849</v>
      </c>
      <c r="C17056" t="str">
        <f>IFERROR(__xludf.DUMMYFUNCTION("GOOGLETRANSLATE(B17056, ""zh"", ""en"")"),"Very easy to use body temperature thermometer thermometer exquisite workmanship, very easy to measure body temperature, domestic electricity supplier and the store sells are 6520, sold here is 6520B, it should be the latest generation of products, and 652"&amp;"0 looks to see the look Like, I do not know where the function is poor, there may be fake is the key here is to buy overseas, you should have quality assurance, worth buying.")</f>
        <v>Very easy to use body temperature thermometer thermometer exquisite workmanship, very easy to measure body temperature, domestic electricity supplier and the store sells are 6520, sold here is 6520B, it should be the latest generation of products, and 6520 looks to see the look Like, I do not know where the function is poor, there may be fake is the key here is to buy overseas, you should have quality assurance, worth buying.</v>
      </c>
    </row>
    <row r="17057">
      <c r="A17057" s="1">
        <v>5.0</v>
      </c>
      <c r="B17057" s="1" t="s">
        <v>16850</v>
      </c>
      <c r="C17057" t="str">
        <f>IFERROR(__xludf.DUMMYFUNCTION("GOOGLETRANSLATE(B17057, ""zh"", ""en"")"),"Shoes look great shoe to wear very comfortable, very good fit, I 41.5 yards")</f>
        <v>Shoes look great shoe to wear very comfortable, very good fit, I 41.5 yards</v>
      </c>
    </row>
    <row r="17058">
      <c r="A17058" s="1">
        <v>5.0</v>
      </c>
      <c r="B17058" s="1" t="s">
        <v>16851</v>
      </c>
      <c r="C17058" t="str">
        <f>IFERROR(__xludf.DUMMYFUNCTION("GOOGLETRANSLATE(B17058, ""zh"", ""en"")"),"I have been bought for the baby to buy this supplement vitamin D in very good shape")</f>
        <v>I have been bought for the baby to buy this supplement vitamin D in very good shape</v>
      </c>
    </row>
    <row r="17059">
      <c r="A17059" s="1">
        <v>5.0</v>
      </c>
      <c r="B17059" s="1" t="s">
        <v>16852</v>
      </c>
      <c r="C17059" t="str">
        <f>IFERROR(__xludf.DUMMYFUNCTION("GOOGLETRANSLATE(B17059, ""zh"", ""en"")"),"The right size. good quality. 177 weight 72 kg. Wearing the right size. good quality.")</f>
        <v>The right size. good quality. 177 weight 72 kg. Wearing the right size. good quality.</v>
      </c>
    </row>
    <row r="17060">
      <c r="A17060" s="1">
        <v>5.0</v>
      </c>
      <c r="B17060" s="1" t="s">
        <v>16853</v>
      </c>
      <c r="C17060" t="str">
        <f>IFERROR(__xludf.DUMMYFUNCTION("GOOGLETRANSLATE(B17060, ""zh"", ""en"")"),"Personal feel good for as long as people do not like the rims comfortable with the shaping of the requirements are not too high")</f>
        <v>Personal feel good for as long as people do not like the rims comfortable with the shaping of the requirements are not too high</v>
      </c>
    </row>
    <row r="17061">
      <c r="A17061" s="1">
        <v>5.0</v>
      </c>
      <c r="B17061" s="1" t="s">
        <v>16854</v>
      </c>
      <c r="C17061" t="str">
        <f>IFERROR(__xludf.DUMMYFUNCTION("GOOGLETRANSLATE(B17061, ""zh"", ""en"")"),"The nursery room comfortable, breathable shoes good quality shoes. Boy four years of age, on small classes, said a little uncomfortable to wear 😄, no longer have to worry about stuffy foot inside the caterpillar, too much moisture. The peel.")</f>
        <v>The nursery room comfortable, breathable shoes good quality shoes. Boy four years of age, on small classes, said a little uncomfortable to wear 😄, no longer have to worry about stuffy foot inside the caterpillar, too much moisture. The peel.</v>
      </c>
    </row>
    <row r="17062">
      <c r="A17062" s="1">
        <v>5.0</v>
      </c>
      <c r="B17062" s="1" t="s">
        <v>16855</v>
      </c>
      <c r="C17062" t="str">
        <f>IFERROR(__xludf.DUMMYFUNCTION("GOOGLETRANSLATE(B17062, ""zh"", ""en"")"),"East than to buy a replacement brush head much better. And on the same machine as the original title. Authentic. . . East than to buy a replacement brush head much better. And on the original machine, like")</f>
        <v>East than to buy a replacement brush head much better. And on the same machine as the original title. Authentic. . . East than to buy a replacement brush head much better. And on the original machine, like</v>
      </c>
    </row>
    <row r="17063">
      <c r="A17063" s="1">
        <v>2.0</v>
      </c>
      <c r="B17063" s="1" t="s">
        <v>16856</v>
      </c>
      <c r="C17063" t="str">
        <f>IFERROR(__xludf.DUMMYFUNCTION("GOOGLETRANSLATE(B17063, ""zh"", ""en"")"),"Express package needs to improve makes a good courier can be considered fast, but the packaging have dessert. Express box without any damping material or airbag. Lead to something when shipped to severely deformed. After all, it is shipped from abroad, al"&amp;"l the way, the packaging or the snack bar")</f>
        <v>Express package needs to improve makes a good courier can be considered fast, but the packaging have dessert. Express box without any damping material or airbag. Lead to something when shipped to severely deformed. After all, it is shipped from abroad, all the way, the packaging or the snack bar</v>
      </c>
    </row>
    <row r="17064">
      <c r="A17064" s="1">
        <v>3.0</v>
      </c>
      <c r="B17064" s="1" t="s">
        <v>16857</v>
      </c>
      <c r="C17064" t="str">
        <f>IFERROR(__xludf.DUMMYFUNCTION("GOOGLETRANSLATE(B17064, ""zh"", ""en"")"),"Fast expired products This is too much of it, there are six months overdue, so a big bottle, How is finished, Amazon too disappointed")</f>
        <v>Fast expired products This is too much of it, there are six months overdue, so a big bottle, How is finished, Amazon too disappointed</v>
      </c>
    </row>
    <row r="17065">
      <c r="A17065" s="1">
        <v>3.0</v>
      </c>
      <c r="B17065" s="1" t="s">
        <v>16858</v>
      </c>
      <c r="C17065" t="str">
        <f>IFERROR(__xludf.DUMMYFUNCTION("GOOGLETRANSLATE(B17065, ""zh"", ""en"")"),"Question New Era Men MLB Basic NY Yankees 9Forty adjustable baseball cap New Era April 9 ordered today, just to knock on the door, opened it can not wait, worry or out: 1] hat brim different part of the picture, online visor portion is not promising machi"&amp;"ne tie lines brim goods received an eight wire tie is difficult to see, not the flat surface.")</f>
        <v>Question New Era Men MLB Basic NY Yankees 9Forty adjustable baseball cap New Era April 9 ordered today, just to knock on the door, opened it can not wait, worry or out: 1] hat brim different part of the picture, online visor portion is not promising machine tie lines brim goods received an eight wire tie is difficult to see, not the flat surface.</v>
      </c>
    </row>
    <row r="17066">
      <c r="A17066" s="1">
        <v>3.0</v>
      </c>
      <c r="B17066" s="1" t="s">
        <v>16859</v>
      </c>
      <c r="C17066" t="str">
        <f>IFERROR(__xludf.DUMMYFUNCTION("GOOGLETRANSLATE(B17066, ""zh"", ""en"")"),"Black five really good cheap watches, but the strap too times")</f>
        <v>Black five really good cheap watches, but the strap too times</v>
      </c>
    </row>
    <row r="17067">
      <c r="A17067" s="1">
        <v>1.0</v>
      </c>
      <c r="B17067" s="1" t="s">
        <v>16860</v>
      </c>
      <c r="C17067" t="str">
        <f>IFERROR(__xludf.DUMMYFUNCTION("GOOGLETRANSLATE(B17067, ""zh"", ""en"")"),"Poor quality of fabric is very poor, thin and transparent, suspected to be fake")</f>
        <v>Poor quality of fabric is very poor, thin and transparent, suspected to be fake</v>
      </c>
    </row>
    <row r="17068">
      <c r="A17068" s="1">
        <v>1.0</v>
      </c>
      <c r="B17068" s="1" t="s">
        <v>16861</v>
      </c>
      <c r="C17068" t="str">
        <f>IFERROR(__xludf.DUMMYFUNCTION("GOOGLETRANSLATE(B17068, ""zh"", ""en"")"),"After reading recommendations or go to the store to buy it, buy sample sizes are XL, paragraph 2 of Nichia. And 100KG 192. bust recommendation 100 L. XL home wearing a taut, like tight-fitting short-sleeved training.")</f>
        <v>After reading recommendations or go to the store to buy it, buy sample sizes are XL, paragraph 2 of Nichia. And 100KG 192. bust recommendation 100 L. XL home wearing a taut, like tight-fitting short-sleeved training.</v>
      </c>
    </row>
    <row r="17069">
      <c r="A17069" s="1">
        <v>4.0</v>
      </c>
      <c r="B17069" s="1" t="s">
        <v>16862</v>
      </c>
      <c r="C17069" t="str">
        <f>IFERROR(__xludf.DUMMYFUNCTION("GOOGLETRANSLATE(B17069, ""zh"", ""en"")"),"Good filter replacement convenient, cheap, worth buying")</f>
        <v>Good filter replacement convenient, cheap, worth buying</v>
      </c>
    </row>
    <row r="17070">
      <c r="A17070" s="1">
        <v>4.0</v>
      </c>
      <c r="B17070" s="1" t="s">
        <v>16863</v>
      </c>
      <c r="C17070" t="str">
        <f>IFERROR(__xludf.DUMMYFUNCTION("GOOGLETRANSLATE(B17070, ""zh"", ""en"")"),"Fortunately, the general feeling optional two tranches of pressure, pressure strength I can accept, the overall feeling okay, the only downside is the small tank, I use the time to add water three times, of course, this is the trip portable, it I understa"&amp;"nd.")</f>
        <v>Fortunately, the general feeling optional two tranches of pressure, pressure strength I can accept, the overall feeling okay, the only downside is the small tank, I use the time to add water three times, of course, this is the trip portable, it I understand.</v>
      </c>
    </row>
    <row r="17071">
      <c r="A17071" s="1">
        <v>4.0</v>
      </c>
      <c r="B17071" s="1" t="s">
        <v>16864</v>
      </c>
      <c r="C17071" t="str">
        <f>IFERROR(__xludf.DUMMYFUNCTION("GOOGLETRANSLATE(B17071, ""zh"", ""en"")"),"Very satisfied with online shopping is very slim, fully fit leg type, Tuicu careful purchase. Quality is very good, authentic. 175,75KG, W31L32, the right size.")</f>
        <v>Very satisfied with online shopping is very slim, fully fit leg type, Tuicu careful purchase. Quality is very good, authentic. 175,75KG, W31L32, the right size.</v>
      </c>
    </row>
    <row r="17072">
      <c r="A17072" s="1">
        <v>4.0</v>
      </c>
      <c r="B17072" s="1" t="s">
        <v>16865</v>
      </c>
      <c r="C17072" t="str">
        <f>IFERROR(__xludf.DUMMYFUNCTION("GOOGLETRANSLATE(B17072, ""zh"", ""en"")"),"This is good, though not self-cultivation, but overall still very appropriate, I wear levi's 3232, the 3232 wear long pants compared to a little longer, but I'm just right")</f>
        <v>This is good, though not self-cultivation, but overall still very appropriate, I wear levi's 3232, the 3232 wear long pants compared to a little longer, but I'm just right</v>
      </c>
    </row>
    <row r="17073">
      <c r="A17073" s="1">
        <v>4.0</v>
      </c>
      <c r="B17073" s="1" t="s">
        <v>16866</v>
      </c>
      <c r="C17073" t="str">
        <f>IFERROR(__xludf.DUMMYFUNCTION("GOOGLETRANSLATE(B17073, ""zh"", ""en"")"),"Good quality third time to buy this brand of jeans, handmade cloth is also good good 👍 👍")</f>
        <v>Good quality third time to buy this brand of jeans, handmade cloth is also good good 👍 👍</v>
      </c>
    </row>
    <row r="17074">
      <c r="A17074" s="1">
        <v>5.0</v>
      </c>
      <c r="B17074" s="1" t="s">
        <v>16867</v>
      </c>
      <c r="C17074" t="str">
        <f>IFERROR(__xludf.DUMMYFUNCTION("GOOGLETRANSLATE(B17074, ""zh"", ""en"")"),"Not bad, my wife is very satisfied! At first glance very simple, take a closer look indeed very type, very comfortable to wear. Although the price when buying slightly higher than it is now, but still feel value. Domestic wearing the shoes 37 yards")</f>
        <v>Not bad, my wife is very satisfied! At first glance very simple, take a closer look indeed very type, very comfortable to wear. Although the price when buying slightly higher than it is now, but still feel value. Domestic wearing the shoes 37 yards</v>
      </c>
    </row>
    <row r="17075">
      <c r="A17075" s="1">
        <v>5.0</v>
      </c>
      <c r="B17075" s="1" t="s">
        <v>16868</v>
      </c>
      <c r="C17075" t="str">
        <f>IFERROR(__xludf.DUMMYFUNCTION("GOOGLETRANSLATE(B17075, ""zh"", ""en"")"),"74 perfect weight, height 173 yards just to buy s")</f>
        <v>74 perfect weight, height 173 yards just to buy s</v>
      </c>
    </row>
    <row r="17076">
      <c r="A17076" s="1">
        <v>5.0</v>
      </c>
      <c r="B17076" s="1" t="s">
        <v>16869</v>
      </c>
      <c r="C17076" t="str">
        <f>IFERROR(__xludf.DUMMYFUNCTION("GOOGLETRANSLATE(B17076, ""zh"", ""en"")"),"What brand of big comfort, quality and full of common brand price to buy such a quality brand with the fun stuff, the price really feel very real. Good things can be maintained")</f>
        <v>What brand of big comfort, quality and full of common brand price to buy such a quality brand with the fun stuff, the price really feel very real. Good things can be maintained</v>
      </c>
    </row>
    <row r="17077">
      <c r="A17077" s="1">
        <v>5.0</v>
      </c>
      <c r="B17077" s="1" t="s">
        <v>16870</v>
      </c>
      <c r="C17077" t="str">
        <f>IFERROR(__xludf.DUMMYFUNCTION("GOOGLETRANSLATE(B17077, ""zh"", ""en"")"),"😍😍😍😍😍😍 when Snoopy fans surrounding the collection, the table itself had to say good quality, luminous design is very practical.")</f>
        <v>😍😍😍😍😍😍 when Snoopy fans surrounding the collection, the table itself had to say good quality, luminous design is very practical.</v>
      </c>
    </row>
    <row r="17078">
      <c r="A17078" s="1">
        <v>5.0</v>
      </c>
      <c r="B17078" s="1" t="s">
        <v>16871</v>
      </c>
      <c r="C17078" t="str">
        <f>IFERROR(__xludf.DUMMYFUNCTION("GOOGLETRANSLATE(B17078, ""zh"", ""en"")"),"Satisfaction elastic waistband, right size, color is also, praise.")</f>
        <v>Satisfaction elastic waistband, right size, color is also, praise.</v>
      </c>
    </row>
    <row r="17079">
      <c r="A17079" s="1">
        <v>5.0</v>
      </c>
      <c r="B17079" s="1" t="s">
        <v>16872</v>
      </c>
      <c r="C17079" t="str">
        <f>IFERROR(__xludf.DUMMYFUNCTION("GOOGLETRANSLATE(B17079, ""zh"", ""en"")"),"Cost-effective 170,60kg, the right size.")</f>
        <v>Cost-effective 170,60kg, the right size.</v>
      </c>
    </row>
    <row r="17080">
      <c r="A17080" s="1">
        <v>5.0</v>
      </c>
      <c r="B17080" s="1" t="s">
        <v>16873</v>
      </c>
      <c r="C17080" t="str">
        <f>IFERROR(__xludf.DUMMYFUNCTION("GOOGLETRANSLATE(B17080, ""zh"", ""en"")"),"Like a good product United States brought back.")</f>
        <v>Like a good product United States brought back.</v>
      </c>
    </row>
    <row r="17081">
      <c r="A17081" s="1">
        <v>5.0</v>
      </c>
      <c r="B17081" s="1" t="s">
        <v>16874</v>
      </c>
      <c r="C17081" t="str">
        <f>IFERROR(__xludf.DUMMYFUNCTION("GOOGLETRANSLATE(B17081, ""zh"", ""en"")"),"Fit, summer wear thick thickness, suitable for spring day wear.")</f>
        <v>Fit, summer wear thick thickness, suitable for spring day wear.</v>
      </c>
    </row>
    <row r="17082">
      <c r="A17082" s="1">
        <v>5.0</v>
      </c>
      <c r="B17082" s="1" t="s">
        <v>16875</v>
      </c>
      <c r="C17082" t="str">
        <f>IFERROR(__xludf.DUMMYFUNCTION("GOOGLETRANSLATE(B17082, ""zh"", ""en"")"),"Suitable nice, to buy her husband, he liked")</f>
        <v>Suitable nice, to buy her husband, he liked</v>
      </c>
    </row>
    <row r="17083">
      <c r="A17083" s="1">
        <v>5.0</v>
      </c>
      <c r="B17083" s="1" t="s">
        <v>16876</v>
      </c>
      <c r="C17083" t="str">
        <f>IFERROR(__xludf.DUMMYFUNCTION("GOOGLETRANSLATE(B17083, ""zh"", ""en"")"),"Easy to use! Goods can play five-star, but just received a 50 to drop, not insured, not happy. Complete accessories, be careful not to slide wire installation, it is convenient.")</f>
        <v>Easy to use! Goods can play five-star, but just received a 50 to drop, not insured, not happy. Complete accessories, be careful not to slide wire installation, it is convenient.</v>
      </c>
    </row>
    <row r="17084">
      <c r="A17084" s="1">
        <v>5.0</v>
      </c>
      <c r="B17084" s="1" t="s">
        <v>16877</v>
      </c>
      <c r="C17084" t="str">
        <f>IFERROR(__xludf.DUMMYFUNCTION("GOOGLETRANSLATE(B17084, ""zh"", ""en"")"),"Sanford Charlie Horse is very bright, smooth, red box than the Faber-Castell easy to use more oil painting very much enjoy ~")</f>
        <v>Sanford Charlie Horse is very bright, smooth, red box than the Faber-Castell easy to use more oil painting very much enjoy ~</v>
      </c>
    </row>
    <row r="17085">
      <c r="A17085" s="1">
        <v>5.0</v>
      </c>
      <c r="B17085" s="1" t="s">
        <v>16878</v>
      </c>
      <c r="C17085" t="str">
        <f>IFERROR(__xludf.DUMMYFUNCTION("GOOGLETRANSLATE(B17085, ""zh"", ""en"")"),"Super like, the price is high because originally wanted to direct for the core of a pen, to catch up with the discount to buy. Good use is also very beautiful, logistics super-fast, high cost ah!")</f>
        <v>Super like, the price is high because originally wanted to direct for the core of a pen, to catch up with the discount to buy. Good use is also very beautiful, logistics super-fast, high cost ah!</v>
      </c>
    </row>
    <row r="17086">
      <c r="A17086" s="1">
        <v>5.0</v>
      </c>
      <c r="B17086" s="1" t="s">
        <v>16879</v>
      </c>
      <c r="C17086" t="str">
        <f>IFERROR(__xludf.DUMMYFUNCTION("GOOGLETRANSLATE(B17086, ""zh"", ""en"")"),"Good good good good good good good good good good good good")</f>
        <v>Good good good good good good good good good good good good</v>
      </c>
    </row>
    <row r="17087">
      <c r="A17087" s="1">
        <v>5.0</v>
      </c>
      <c r="B17087" s="1" t="s">
        <v>16880</v>
      </c>
      <c r="C17087" t="str">
        <f>IFERROR(__xludf.DUMMYFUNCTION("GOOGLETRANSLATE(B17087, ""zh"", ""en"")"),"Inexpensive very fit, fitness or normal wear is not good!")</f>
        <v>Inexpensive very fit, fitness or normal wear is not good!</v>
      </c>
    </row>
    <row r="17088">
      <c r="A17088" s="1">
        <v>5.0</v>
      </c>
      <c r="B17088" s="1" t="s">
        <v>16881</v>
      </c>
      <c r="C17088" t="str">
        <f>IFERROR(__xludf.DUMMYFUNCTION("GOOGLETRANSLATE(B17088, ""zh"", ""en"")"),"Yan Yan value properly the machine drops a great value. Milk foaming system requirements for milk and cleaning, as required by the above discharge ice cream milk 3.5 stable milk foam can not spray out, if the milk at room temperature, a bit out of the mil"&amp;"k foam splash, and relatively hot. But like the milk foam is very good, 110ml milk, it can all be turned into milk foam. Also took part in milk frother and mini body, milk frother benefits can sometimes split is packed cocoa milk, coconut milk, corn juice"&amp;", etc. can also be hot, cleaning more convenient, look at demand.")</f>
        <v>Yan Yan value properly the machine drops a great value. Milk foaming system requirements for milk and cleaning, as required by the above discharge ice cream milk 3.5 stable milk foam can not spray out, if the milk at room temperature, a bit out of the milk foam splash, and relatively hot. But like the milk foam is very good, 110ml milk, it can all be turned into milk foam. Also took part in milk frother and mini body, milk frother benefits can sometimes split is packed cocoa milk, coconut milk, corn juice, etc. can also be hot, cleaning more convenient, look at demand.</v>
      </c>
    </row>
    <row r="17089">
      <c r="A17089" s="1">
        <v>5.0</v>
      </c>
      <c r="B17089" s="1" t="s">
        <v>16882</v>
      </c>
      <c r="C17089" t="str">
        <f>IFERROR(__xludf.DUMMYFUNCTION("GOOGLETRANSLATE(B17089, ""zh"", ""en"")"),"Packaging is also good high cost")</f>
        <v>Packaging is also good high cost</v>
      </c>
    </row>
    <row r="17090">
      <c r="A17090" s="1">
        <v>5.0</v>
      </c>
      <c r="B17090" s="1" t="s">
        <v>16883</v>
      </c>
      <c r="C17090" t="str">
        <f>IFERROR(__xludf.DUMMYFUNCTION("GOOGLETRANSLATE(B17090, ""zh"", ""en"")"),"Long sleeve S code slightly larger, good 170.65")</f>
        <v>Long sleeve S code slightly larger, good 170.65</v>
      </c>
    </row>
    <row r="17091">
      <c r="A17091" s="1">
        <v>5.0</v>
      </c>
      <c r="B17091" s="1" t="s">
        <v>16884</v>
      </c>
      <c r="C17091" t="str">
        <f>IFERROR(__xludf.DUMMYFUNCTION("GOOGLETRANSLATE(B17091, ""zh"", ""en"")"),"Size is very important good shoes, Laos production, full insoles, very soft, what the presser foot that does not exist. It is to buy big, gas thieves. Return and pay two hundred. 😭")</f>
        <v>Size is very important good shoes, Laos production, full insoles, very soft, what the presser foot that does not exist. It is to buy big, gas thieves. Return and pay two hundred. 😭</v>
      </c>
    </row>
    <row r="17092">
      <c r="A17092" s="1">
        <v>5.0</v>
      </c>
      <c r="B17092" s="1" t="s">
        <v>16885</v>
      </c>
      <c r="C17092" t="str">
        <f>IFERROR(__xludf.DUMMYFUNCTION("GOOGLETRANSLATE(B17092, ""zh"", ""en"")"),"Co-rehearsed almost very good, thick fabrics, the version is also fit, but not as good as store display color so bright")</f>
        <v>Co-rehearsed almost very good, thick fabrics, the version is also fit, but not as good as store display color so bright</v>
      </c>
    </row>
    <row r="17093">
      <c r="A17093" s="1">
        <v>5.0</v>
      </c>
      <c r="B17093" s="1" t="s">
        <v>16886</v>
      </c>
      <c r="C17093" t="str">
        <f>IFERROR(__xludf.DUMMYFUNCTION("GOOGLETRANSLATE(B17093, ""zh"", ""en"")"),"Exquisite workmanship, the transmission speed is very thin, exquisite workmanship, I backed up my entire university information only took an hour or two, mostly in write speed 30mb / s or more, the peak should have a 70mb / s it, very satisfied.")</f>
        <v>Exquisite workmanship, the transmission speed is very thin, exquisite workmanship, I backed up my entire university information only took an hour or two, mostly in write speed 30mb / s or more, the peak should have a 70mb / s it, very satisfied.</v>
      </c>
    </row>
    <row r="17094">
      <c r="A17094" s="1">
        <v>5.0</v>
      </c>
      <c r="B17094" s="1" t="s">
        <v>16887</v>
      </c>
      <c r="C17094" t="str">
        <f>IFERROR(__xludf.DUMMYFUNCTION("GOOGLETRANSLATE(B17094, ""zh"", ""en"")"),"High cost very thick! Winter comfort! But the big trousers belonging Wide! General style points! Not feet! Overall, the high cost!")</f>
        <v>High cost very thick! Winter comfort! But the big trousers belonging Wide! General style points! Not feet! Overall, the high cost!</v>
      </c>
    </row>
    <row r="17095">
      <c r="A17095" s="1">
        <v>2.0</v>
      </c>
      <c r="B17095" s="1" t="s">
        <v>16888</v>
      </c>
      <c r="C17095" t="str">
        <f>IFERROR(__xludf.DUMMYFUNCTION("GOOGLETRANSLATE(B17095, ""zh"", ""en"")"),"Is too large, the origin of Cambodia buy xs, clothes too large, origin Cambodia, work a little rough.")</f>
        <v>Is too large, the origin of Cambodia buy xs, clothes too large, origin Cambodia, work a little rough.</v>
      </c>
    </row>
    <row r="17096">
      <c r="A17096" s="1">
        <v>3.0</v>
      </c>
      <c r="B17096" s="1" t="s">
        <v>16889</v>
      </c>
      <c r="C17096" t="str">
        <f>IFERROR(__xludf.DUMMYFUNCTION("GOOGLETRANSLATE(B17096, ""zh"", ""en"")"),"Uncomfortable to buy big a yard, a little wear ankle, feeling might as well buy China-made shoes, so wear feet")</f>
        <v>Uncomfortable to buy big a yard, a little wear ankle, feeling might as well buy China-made shoes, so wear feet</v>
      </c>
    </row>
    <row r="17097">
      <c r="A17097" s="1">
        <v>3.0</v>
      </c>
      <c r="B17097" s="1" t="s">
        <v>16890</v>
      </c>
      <c r="C17097" t="str">
        <f>IFERROR(__xludf.DUMMYFUNCTION("GOOGLETRANSLATE(B17097, ""zh"", ""en"")"),"The lid does not cover lid on, so disappointed so disappointed ......")</f>
        <v>The lid does not cover lid on, so disappointed so disappointed ......</v>
      </c>
    </row>
    <row r="17098">
      <c r="A17098" s="1">
        <v>1.0</v>
      </c>
      <c r="B17098" s="1" t="s">
        <v>16891</v>
      </c>
      <c r="C17098" t="str">
        <f>IFERROR(__xludf.DUMMYFUNCTION("GOOGLETRANSLATE(B17098, ""zh"", ""en"")"),"Generally like to wear good, quality in general")</f>
        <v>Generally like to wear good, quality in general</v>
      </c>
    </row>
    <row r="17099">
      <c r="A17099" s="1">
        <v>1.0</v>
      </c>
      <c r="B17099" s="1" t="s">
        <v>16892</v>
      </c>
      <c r="C17099" t="str">
        <f>IFERROR(__xludf.DUMMYFUNCTION("GOOGLETRANSLATE(B17099, ""zh"", ""en"")"),"Received great taste great taste, give back, do not know is not genuine")</f>
        <v>Received great taste great taste, give back, do not know is not genuine</v>
      </c>
    </row>
    <row r="17100">
      <c r="A17100" s="1">
        <v>1.0</v>
      </c>
      <c r="B17100" s="1" t="s">
        <v>16893</v>
      </c>
      <c r="C17100" t="str">
        <f>IFERROR(__xludf.DUMMYFUNCTION("GOOGLETRANSLATE(B17100, ""zh"", ""en"")"),"Fooled, pure blind fabrics poor standard size, buy and can not change, can only throw")</f>
        <v>Fooled, pure blind fabrics poor standard size, buy and can not change, can only throw</v>
      </c>
    </row>
    <row r="17101">
      <c r="A17101" s="1">
        <v>4.0</v>
      </c>
      <c r="B17101" s="1" t="s">
        <v>16894</v>
      </c>
      <c r="C17101" t="str">
        <f>IFERROR(__xludf.DUMMYFUNCTION("GOOGLETRANSLATE(B17101, ""zh"", ""en"")"),"It will bleed. Version better. Relatively thick, the version is very good. But after bleeding out, I bought a dark blue, with water a bubble, there is a light pink oozing, several times after hand washing with liquid detergent, pale dark green water, has "&amp;"been hand-rubbed over the water five or six times before normal, previously bought Under Armor will not bleed.")</f>
        <v>It will bleed. Version better. Relatively thick, the version is very good. But after bleeding out, I bought a dark blue, with water a bubble, there is a light pink oozing, several times after hand washing with liquid detergent, pale dark green water, has been hand-rubbed over the water five or six times before normal, previously bought Under Armor will not bleed.</v>
      </c>
    </row>
    <row r="17102">
      <c r="A17102" s="1">
        <v>4.0</v>
      </c>
      <c r="B17102" s="1" t="s">
        <v>16895</v>
      </c>
      <c r="C17102" t="str">
        <f>IFERROR(__xludf.DUMMYFUNCTION("GOOGLETRANSLATE(B17102, ""zh"", ""en"")"),"It can also be")</f>
        <v>It can also be</v>
      </c>
    </row>
    <row r="17103">
      <c r="A17103" s="1">
        <v>4.0</v>
      </c>
      <c r="B17103" s="1" t="s">
        <v>16896</v>
      </c>
      <c r="C17103" t="str">
        <f>IFERROR(__xludf.DUMMYFUNCTION("GOOGLETRANSLATE(B17103, ""zh"", ""en"")"),"The sound quality is good sound quality is good, currently enjoy")</f>
        <v>The sound quality is good sound quality is good, currently enjoy</v>
      </c>
    </row>
    <row r="17104">
      <c r="A17104" s="1">
        <v>4.0</v>
      </c>
      <c r="B17104" s="1" t="s">
        <v>16897</v>
      </c>
      <c r="C17104" t="str">
        <f>IFERROR(__xludf.DUMMYFUNCTION("GOOGLETRANSLATE(B17104, ""zh"", ""en"")"),"Schneider pens overall not bad. Schneider pen I used before BK402 his family, we all know, it bleeds problems people is unbearable, so it changed this BASE. Schneider pen smooth shoes do not have to elaborate, which is an advantage. But his family pen als"&amp;"o has its shortcomings, it is too thick nib, F sharp can be substantially compared with other family M sharp, very suitable for writing Chinese characters. If, as a pen or a temporary jot down some quick notes on the simple things okay, if taking notes or"&amp;" to test very pit.")</f>
        <v>Schneider pens overall not bad. Schneider pen I used before BK402 his family, we all know, it bleeds problems people is unbearable, so it changed this BASE. Schneider pen smooth shoes do not have to elaborate, which is an advantage. But his family pen also has its shortcomings, it is too thick nib, F sharp can be substantially compared with other family M sharp, very suitable for writing Chinese characters. If, as a pen or a temporary jot down some quick notes on the simple things okay, if taking notes or to test very pit.</v>
      </c>
    </row>
    <row r="17105">
      <c r="A17105" s="1">
        <v>4.0</v>
      </c>
      <c r="B17105" s="1" t="s">
        <v>16898</v>
      </c>
      <c r="C17105" t="str">
        <f>IFERROR(__xludf.DUMMYFUNCTION("GOOGLETRANSLATE(B17105, ""zh"", ""en"")"),"First time to buy this brand. Size is too small, the big points woman wearing a little tight.")</f>
        <v>First time to buy this brand. Size is too small, the big points woman wearing a little tight.</v>
      </c>
    </row>
    <row r="17106">
      <c r="A17106" s="1">
        <v>5.0</v>
      </c>
      <c r="B17106" s="1" t="s">
        <v>16899</v>
      </c>
      <c r="C17106" t="str">
        <f>IFERROR(__xludf.DUMMYFUNCTION("GOOGLETRANSLATE(B17106, ""zh"", ""en"")"),"Very comfortable for the first time to buy this kind of no rims, really comfortable")</f>
        <v>Very comfortable for the first time to buy this kind of no rims, really comfortable</v>
      </c>
    </row>
    <row r="17107">
      <c r="A17107" s="1">
        <v>5.0</v>
      </c>
      <c r="B17107" s="1" t="s">
        <v>16900</v>
      </c>
      <c r="C17107" t="str">
        <f>IFERROR(__xludf.DUMMYFUNCTION("GOOGLETRANSLATE(B17107, ""zh"", ""en"")"),"Narrow, small codes. Fortunately, I bought freshman code, otherwise small. Comfortable shoes on the feet, significant fresh mint green. Thank you!")</f>
        <v>Narrow, small codes. Fortunately, I bought freshman code, otherwise small. Comfortable shoes on the feet, significant fresh mint green. Thank you!</v>
      </c>
    </row>
    <row r="17108">
      <c r="A17108" s="1">
        <v>5.0</v>
      </c>
      <c r="B17108" s="1" t="s">
        <v>16901</v>
      </c>
      <c r="C17108" t="str">
        <f>IFERROR(__xludf.DUMMYFUNCTION("GOOGLETRANSLATE(B17108, ""zh"", ""en"")"),"Kettle Yes! Kettle too advanced before the start will not use, research for a long time to figure out ~ good ~")</f>
        <v>Kettle Yes! Kettle too advanced before the start will not use, research for a long time to figure out ~ good ~</v>
      </c>
    </row>
    <row r="17109">
      <c r="A17109" s="1">
        <v>5.0</v>
      </c>
      <c r="B17109" s="1" t="s">
        <v>16902</v>
      </c>
      <c r="C17109" t="str">
        <f>IFERROR(__xludf.DUMMYFUNCTION("GOOGLETRANSLATE(B17109, ""zh"", ""en"")"),"Comfortable and generous worth buying, very good!")</f>
        <v>Comfortable and generous worth buying, very good!</v>
      </c>
    </row>
    <row r="17110">
      <c r="A17110" s="1">
        <v>5.0</v>
      </c>
      <c r="B17110" s="1" t="s">
        <v>16903</v>
      </c>
      <c r="C17110" t="str">
        <f>IFERROR(__xludf.DUMMYFUNCTION("GOOGLETRANSLATE(B17110, ""zh"", ""en"")"),"Easy to use, it is a little more than six")</f>
        <v>Easy to use, it is a little more than six</v>
      </c>
    </row>
    <row r="17111">
      <c r="A17111" s="1">
        <v>5.0</v>
      </c>
      <c r="B17111" s="1" t="s">
        <v>16904</v>
      </c>
      <c r="C17111" t="str">
        <f>IFERROR(__xludf.DUMMYFUNCTION("GOOGLETRANSLATE(B17111, ""zh"", ""en"")"),"Size is too large, choose a small yard just right. Logistics good to advance, choose a small one yards just right, a lot of this good-looking color than black, it is not so boring.")</f>
        <v>Size is too large, choose a small yard just right. Logistics good to advance, choose a small one yards just right, a lot of this good-looking color than black, it is not so boring.</v>
      </c>
    </row>
    <row r="17112">
      <c r="A17112" s="1">
        <v>5.0</v>
      </c>
      <c r="B17112" s="1" t="s">
        <v>16905</v>
      </c>
      <c r="C17112" t="str">
        <f>IFERROR(__xludf.DUMMYFUNCTION("GOOGLETRANSLATE(B17112, ""zh"", ""en"")"),"Very good height 171CM, weight 69KG, chest 96, waist 85. This dress wearing close-fitting, not loose, I tried it, wore a thermal underwear, put it outside, okay, if you could then relaxed a little bit better. Overall, we are satisfied.")</f>
        <v>Very good height 171CM, weight 69KG, chest 96, waist 85. This dress wearing close-fitting, not loose, I tried it, wore a thermal underwear, put it outside, okay, if you could then relaxed a little bit better. Overall, we are satisfied.</v>
      </c>
    </row>
    <row r="17113">
      <c r="A17113" s="1">
        <v>5.0</v>
      </c>
      <c r="B17113" s="1" t="s">
        <v>16906</v>
      </c>
      <c r="C17113" t="str">
        <f>IFERROR(__xludf.DUMMYFUNCTION("GOOGLETRANSLATE(B17113, ""zh"", ""en"")"),"Recommended for adults without supplemental vitamin habit of habit. Insist on sugar will be higher. I do not need this house la la la. Occasionally a change.")</f>
        <v>Recommended for adults without supplemental vitamin habit of habit. Insist on sugar will be higher. I do not need this house la la la. Occasionally a change.</v>
      </c>
    </row>
    <row r="17114">
      <c r="A17114" s="1">
        <v>5.0</v>
      </c>
      <c r="B17114" s="1" t="s">
        <v>16907</v>
      </c>
      <c r="C17114" t="str">
        <f>IFERROR(__xludf.DUMMYFUNCTION("GOOGLETRANSLATE(B17114, ""zh"", ""en"")"),"Good quality a little big, a little larger than expected")</f>
        <v>Good quality a little big, a little larger than expected</v>
      </c>
    </row>
    <row r="17115">
      <c r="A17115" s="1">
        <v>5.0</v>
      </c>
      <c r="B17115" s="1" t="s">
        <v>16908</v>
      </c>
      <c r="C17115" t="str">
        <f>IFERROR(__xludf.DUMMYFUNCTION("GOOGLETRANSLATE(B17115, ""zh"", ""en"")"),"Comfortable and easy to use, my son eat this not resist the nipple.")</f>
        <v>Comfortable and easy to use, my son eat this not resist the nipple.</v>
      </c>
    </row>
    <row r="17116">
      <c r="A17116" s="1">
        <v>5.0</v>
      </c>
      <c r="B17116" s="1" t="s">
        <v>16909</v>
      </c>
      <c r="C17116" t="str">
        <f>IFERROR(__xludf.DUMMYFUNCTION("GOOGLETRANSLATE(B17116, ""zh"", ""en"")"),"(Bao Bao ᴗ) like a good, not from the previous evaluation, I do not know how many wasted points, points can change money now know, they should look carefully evaluated, then I put these words to copy to go, both to earn points, also the easy way, where ar"&amp;"e copying where, most importantly, do not seriously review, do not think how much worse word, sent directly to it, recommend it to everyone!")</f>
        <v>(Bao Bao ᴗ) like a good, not from the previous evaluation, I do not know how many wasted points, points can change money now know, they should look carefully evaluated, then I put these words to copy to go, both to earn points, also the easy way, where are copying where, most importantly, do not seriously review, do not think how much worse word, sent directly to it, recommend it to everyone!</v>
      </c>
    </row>
    <row r="17117">
      <c r="A17117" s="1">
        <v>5.0</v>
      </c>
      <c r="B17117" s="1" t="s">
        <v>16910</v>
      </c>
      <c r="C17117" t="str">
        <f>IFERROR(__xludf.DUMMYFUNCTION("GOOGLETRANSLATE(B17117, ""zh"", ""en"")"),"Kids enjoy looking good")</f>
        <v>Kids enjoy looking good</v>
      </c>
    </row>
    <row r="17118">
      <c r="A17118" s="1">
        <v>5.0</v>
      </c>
      <c r="B17118" s="1" t="s">
        <v>16911</v>
      </c>
      <c r="C17118" t="str">
        <f>IFERROR(__xludf.DUMMYFUNCTION("GOOGLETRANSLATE(B17118, ""zh"", ""en"")"),"it is good. Tiger cup bought a lot of, like, it should be even better in Japan.")</f>
        <v>it is good. Tiger cup bought a lot of, like, it should be even better in Japan.</v>
      </c>
    </row>
    <row r="17119">
      <c r="A17119" s="1">
        <v>5.0</v>
      </c>
      <c r="B17119" s="1" t="s">
        <v>16912</v>
      </c>
      <c r="C17119" t="str">
        <f>IFERROR(__xludf.DUMMYFUNCTION("GOOGLETRANSLATE(B17119, ""zh"", ""en"")"),"Yes I feel pretty good, right: the need to burn")</f>
        <v>Yes I feel pretty good, right: the need to burn</v>
      </c>
    </row>
    <row r="17120">
      <c r="A17120" s="1">
        <v>5.0</v>
      </c>
      <c r="B17120" s="1" t="s">
        <v>16913</v>
      </c>
      <c r="C17120" t="str">
        <f>IFERROR(__xludf.DUMMYFUNCTION("GOOGLETRANSLATE(B17120, ""zh"", ""en"")"),"Good quality and good quality, cost-effective, 180,80 kg, m number wear tight, l number may be better")</f>
        <v>Good quality and good quality, cost-effective, 180,80 kg, m number wear tight, l number may be better</v>
      </c>
    </row>
    <row r="17121">
      <c r="A17121" s="1">
        <v>5.0</v>
      </c>
      <c r="B17121" s="1" t="s">
        <v>16914</v>
      </c>
      <c r="C17121" t="str">
        <f>IFERROR(__xludf.DUMMYFUNCTION("GOOGLETRANSLATE(B17121, ""zh"", ""en"")"),"Easy to use good care to buy it for a long time to write a review, not just put some things fried stick, previously bought ASTAR nonstick frying pan though, but with a long time there will be a thick pot along the four weeks do not brush off the oil, this"&amp;" is definitely not a time spent lightly brush a clean, dry as long as never rust!")</f>
        <v>Easy to use good care to buy it for a long time to write a review, not just put some things fried stick, previously bought ASTAR nonstick frying pan though, but with a long time there will be a thick pot along the four weeks do not brush off the oil, this is definitely not a time spent lightly brush a clean, dry as long as never rust!</v>
      </c>
    </row>
    <row r="17122">
      <c r="A17122" s="1">
        <v>5.0</v>
      </c>
      <c r="B17122" s="1" t="s">
        <v>16915</v>
      </c>
      <c r="C17122" t="str">
        <f>IFERROR(__xludf.DUMMYFUNCTION("GOOGLETRANSLATE(B17122, ""zh"", ""en"")"),"And mug together, packaging is really intimate, like this one 4L is not large, there are two side pockets, practicality is also good, a little big 5L afraid we chose a little small, overall very satisfied.")</f>
        <v>And mug together, packaging is really intimate, like this one 4L is not large, there are two side pockets, practicality is also good, a little big 5L afraid we chose a little small, overall very satisfied.</v>
      </c>
    </row>
    <row r="17123">
      <c r="A17123" s="1">
        <v>5.0</v>
      </c>
      <c r="B17123" s="1" t="s">
        <v>7158</v>
      </c>
      <c r="C17123" t="str">
        <f>IFERROR(__xludf.DUMMYFUNCTION("GOOGLETRANSLATE(B17123, ""zh"", ""en"")"),"The effect is good, good, genuine, next to good effect, good, genuine, next time come")</f>
        <v>The effect is good, good, genuine, next to good effect, good, genuine, next time come</v>
      </c>
    </row>
    <row r="17124">
      <c r="A17124" s="1">
        <v>5.0</v>
      </c>
      <c r="B17124" s="1" t="s">
        <v>16916</v>
      </c>
      <c r="C17124" t="str">
        <f>IFERROR(__xludf.DUMMYFUNCTION("GOOGLETRANSLATE(B17124, ""zh"", ""en"")"),"Finally finished eating for months feeling a little effect but, after all, not a drug or to start from their own daily protection")</f>
        <v>Finally finished eating for months feeling a little effect but, after all, not a drug or to start from their own daily protection</v>
      </c>
    </row>
    <row r="17125">
      <c r="A17125" s="1">
        <v>5.0</v>
      </c>
      <c r="B17125" s="1" t="s">
        <v>16917</v>
      </c>
      <c r="C17125" t="str">
        <f>IFERROR(__xludf.DUMMYFUNCTION("GOOGLETRANSLATE(B17125, ""zh"", ""en"")"),"Yes well, not from the previous evaluation, I do not know how many wasted points, points can change money now know, they should look carefully evaluated, then I put these words to copy to go, both to earn points, but also save trouble, went to which copy "&amp;"where, most importantly, do not seriously review, do not think how much worse word, sent directly to it, recommend it to everyone!")</f>
        <v>Yes well, not from the previous evaluation, I do not know how many wasted points, points can change money now know, they should look carefully evaluated, then I put these words to copy to go, both to earn points, but also save trouble, went to which copy where, most importantly, do not seriously review, do not think how much worse word, sent directly to it, recommend it to everyone!</v>
      </c>
    </row>
    <row r="17126">
      <c r="A17126" s="1">
        <v>5.0</v>
      </c>
      <c r="B17126" s="1" t="s">
        <v>16918</v>
      </c>
      <c r="C17126" t="str">
        <f>IFERROR(__xludf.DUMMYFUNCTION("GOOGLETRANSLATE(B17126, ""zh"", ""en"")"),"Yan good value high quality, very beautiful, high color value, but the baby is still very easy to throw up one hand, may grow up not throw point, now 9 months")</f>
        <v>Yan good value high quality, very beautiful, high color value, but the baby is still very easy to throw up one hand, may grow up not throw point, now 9 months</v>
      </c>
    </row>
    <row r="17127">
      <c r="A17127" s="1">
        <v>5.0</v>
      </c>
      <c r="B17127" s="1" t="s">
        <v>16919</v>
      </c>
      <c r="C17127" t="str">
        <f>IFERROR(__xludf.DUMMYFUNCTION("GOOGLETRANSLATE(B17127, ""zh"", ""en"")"),"Easy to use good use. Simple to use, wash very clean.")</f>
        <v>Easy to use good use. Simple to use, wash very clean.</v>
      </c>
    </row>
    <row r="17128">
      <c r="A17128" s="1">
        <v>2.0</v>
      </c>
      <c r="B17128" s="1" t="s">
        <v>16920</v>
      </c>
      <c r="C17128" t="str">
        <f>IFERROR(__xludf.DUMMYFUNCTION("GOOGLETRANSLATE(B17128, ""zh"", ""en"")"),"Tight is too small, the material in general, obtained after a selected number L")</f>
        <v>Tight is too small, the material in general, obtained after a selected number L</v>
      </c>
    </row>
    <row r="17129">
      <c r="A17129" s="1">
        <v>3.0</v>
      </c>
      <c r="B17129" s="1" t="s">
        <v>16921</v>
      </c>
      <c r="C17129" t="str">
        <f>IFERROR(__xludf.DUMMYFUNCTION("GOOGLETRANSLATE(B17129, ""zh"", ""en"")"),"Okay details and similar ilk gap slightly shorter sleeves wear s logo buy it")</f>
        <v>Okay details and similar ilk gap slightly shorter sleeves wear s logo buy it</v>
      </c>
    </row>
    <row r="17130">
      <c r="A17130" s="1">
        <v>3.0</v>
      </c>
      <c r="B17130" s="1" t="s">
        <v>16922</v>
      </c>
      <c r="C17130" t="str">
        <f>IFERROR(__xludf.DUMMYFUNCTION("GOOGLETRANSLATE(B17130, ""zh"", ""en"")"),"I do not know where the problem to wear once, there is a large back pilling wrinkle, is not bought so do not know, clothes feel good, 170cm123 kg S code fit")</f>
        <v>I do not know where the problem to wear once, there is a large back pilling wrinkle, is not bought so do not know, clothes feel good, 170cm123 kg S code fit</v>
      </c>
    </row>
    <row r="17131">
      <c r="A17131" s="1">
        <v>3.0</v>
      </c>
      <c r="B17131" s="1" t="s">
        <v>16923</v>
      </c>
      <c r="C17131" t="str">
        <f>IFERROR(__xludf.DUMMYFUNCTION("GOOGLETRANSLATE(B17131, ""zh"", ""en"")"),"The main problem is the size I chose 41 yards in Europe is Britain yards 7.5 yards received in Europe 41 British code into a 7 shoe then it looks a little small goods have good ahead with the difference does not affect the picture on the tile is some slip")</f>
        <v>The main problem is the size I chose 41 yards in Europe is Britain yards 7.5 yards received in Europe 41 British code into a 7 shoe then it looks a little small goods have good ahead with the difference does not affect the picture on the tile is some slip</v>
      </c>
    </row>
    <row r="17132">
      <c r="A17132" s="1">
        <v>1.0</v>
      </c>
      <c r="B17132" s="1" t="s">
        <v>16924</v>
      </c>
      <c r="C17132" t="str">
        <f>IFERROR(__xludf.DUMMYFUNCTION("GOOGLETRANSLATE(B17132, ""zh"", ""en"")"),"UK3 usually wear 35 this buy just the right perfect UK3")</f>
        <v>UK3 usually wear 35 this buy just the right perfect UK3</v>
      </c>
    </row>
    <row r="17133">
      <c r="A17133" s="1">
        <v>1.0</v>
      </c>
      <c r="B17133" s="1" t="s">
        <v>2168</v>
      </c>
      <c r="C17133" t="str">
        <f>IFERROR(__xludf.DUMMYFUNCTION("GOOGLETRANSLATE(B17133, ""zh"", ""en"")"),"Too great, and completely inconsistent size reference, returns a lot of trouble, people had to find some of piecemeal")</f>
        <v>Too great, and completely inconsistent size reference, returns a lot of trouble, people had to find some of piecemeal</v>
      </c>
    </row>
    <row r="17134">
      <c r="A17134" s="1">
        <v>4.0</v>
      </c>
      <c r="B17134" s="1" t="s">
        <v>16925</v>
      </c>
      <c r="C17134" t="str">
        <f>IFERROR(__xludf.DUMMYFUNCTION("GOOGLETRANSLATE(B17134, ""zh"", ""en"")"),"Long sleeves Read reviews buy, big, really big, sleeves and expertise, the fabric can also be")</f>
        <v>Long sleeves Read reviews buy, big, really big, sleeves and expertise, the fabric can also be</v>
      </c>
    </row>
    <row r="17135">
      <c r="A17135" s="1">
        <v>4.0</v>
      </c>
      <c r="B17135" s="1" t="s">
        <v>16926</v>
      </c>
      <c r="C17135" t="str">
        <f>IFERROR(__xludf.DUMMYFUNCTION("GOOGLETRANSLATE(B17135, ""zh"", ""en"")"),"Overall nylon strap and can be thought canvas strap is not much difference, but the feeling of wearing thin strap significant, it is better canvas leisure. In addition to various other aspects are more satisfied. A small flaw: This shows the United States"&amp;" three-year warranty, but only outside the United States one year warranty. Although this is the manufacturer's warranty policies, but Amazon China's product description too rough, and even less to see the instructions and tips on the warranty when shoppi"&amp;"ng, get the goods before we know.")</f>
        <v>Overall nylon strap and can be thought canvas strap is not much difference, but the feeling of wearing thin strap significant, it is better canvas leisure. In addition to various other aspects are more satisfied. A small flaw: This shows the United States three-year warranty, but only outside the United States one year warranty. Although this is the manufacturer's warranty policies, but Amazon China's product description too rough, and even less to see the instructions and tips on the warranty when shopping, get the goods before we know.</v>
      </c>
    </row>
    <row r="17136">
      <c r="A17136" s="1">
        <v>4.0</v>
      </c>
      <c r="B17136" s="1" t="s">
        <v>16927</v>
      </c>
      <c r="C17136" t="str">
        <f>IFERROR(__xludf.DUMMYFUNCTION("GOOGLETRANSLATE(B17136, ""zh"", ""en"")"),"Fortunately general bar")</f>
        <v>Fortunately general bar</v>
      </c>
    </row>
    <row r="17137">
      <c r="A17137" s="1">
        <v>4.0</v>
      </c>
      <c r="B17137" s="1" t="s">
        <v>16928</v>
      </c>
      <c r="C17137" t="str">
        <f>IFERROR(__xludf.DUMMYFUNCTION("GOOGLETRANSLATE(B17137, ""zh"", ""en"")"),"Okay no volume key sound a bit thin burn-in over time and then look")</f>
        <v>Okay no volume key sound a bit thin burn-in over time and then look</v>
      </c>
    </row>
    <row r="17138">
      <c r="A17138" s="1">
        <v>4.0</v>
      </c>
      <c r="B17138" s="1" t="s">
        <v>16929</v>
      </c>
      <c r="C17138" t="str">
        <f>IFERROR(__xludf.DUMMYFUNCTION("GOOGLETRANSLATE(B17138, ""zh"", ""en"")"),"Figure style, work a little worrying for the first time to buy overseas Amazon, UPS express package pit too, it is entirely tact level, not China Amazon's own good, ECCO comfort did not say, but I have this pair of work too rough, a lot of needlework devi"&amp;"ation, front leather ankle there is a dead fold, scouring overseas do not want to back up.")</f>
        <v>Figure style, work a little worrying for the first time to buy overseas Amazon, UPS express package pit too, it is entirely tact level, not China Amazon's own good, ECCO comfort did not say, but I have this pair of work too rough, a lot of needlework deviation, front leather ankle there is a dead fold, scouring overseas do not want to back up.</v>
      </c>
    </row>
    <row r="17139">
      <c r="A17139" s="1">
        <v>5.0</v>
      </c>
      <c r="B17139" s="1" t="s">
        <v>16930</v>
      </c>
      <c r="C17139" t="str">
        <f>IFERROR(__xludf.DUMMYFUNCTION("GOOGLETRANSLATE(B17139, ""zh"", ""en"")"),"Well children have been using this toothpaste")</f>
        <v>Well children have been using this toothpaste</v>
      </c>
    </row>
    <row r="17140">
      <c r="A17140" s="1">
        <v>5.0</v>
      </c>
      <c r="B17140" s="1" t="s">
        <v>16931</v>
      </c>
      <c r="C17140" t="str">
        <f>IFERROR(__xludf.DUMMYFUNCTION("GOOGLETRANSLATE(B17140, ""zh"", ""en"")"),"Residual water can clean eggs do, as the previous review said, the residual water can clean out the eggs, worth starting.")</f>
        <v>Residual water can clean eggs do, as the previous review said, the residual water can clean out the eggs, worth starting.</v>
      </c>
    </row>
    <row r="17141">
      <c r="A17141" s="1">
        <v>5.0</v>
      </c>
      <c r="B17141" s="1" t="s">
        <v>16932</v>
      </c>
      <c r="C17141" t="str">
        <f>IFERROR(__xludf.DUMMYFUNCTION("GOOGLETRANSLATE(B17141, ""zh"", ""en"")"),"Spoon becomes very practical high color temperature, the necessary nurse Pacifier")</f>
        <v>Spoon becomes very practical high color temperature, the necessary nurse Pacifier</v>
      </c>
    </row>
    <row r="17142">
      <c r="A17142" s="1">
        <v>5.0</v>
      </c>
      <c r="B17142" s="1" t="s">
        <v>6682</v>
      </c>
      <c r="C17142" t="str">
        <f>IFERROR(__xludf.DUMMYFUNCTION("GOOGLETRANSLATE(B17142, ""zh"", ""en"")"),"very good! Comfortable and affordable, easy to buy.")</f>
        <v>very good! Comfortable and affordable, easy to buy.</v>
      </c>
    </row>
    <row r="17143">
      <c r="A17143" s="1">
        <v>5.0</v>
      </c>
      <c r="B17143" s="1" t="s">
        <v>16933</v>
      </c>
      <c r="C17143" t="str">
        <f>IFERROR(__xludf.DUMMYFUNCTION("GOOGLETRANSLATE(B17143, ""zh"", ""en"")"),"Quality is good, the quality is good, satisfaction")</f>
        <v>Quality is good, the quality is good, satisfaction</v>
      </c>
    </row>
    <row r="17144">
      <c r="A17144" s="1">
        <v>5.0</v>
      </c>
      <c r="B17144" s="1" t="s">
        <v>16934</v>
      </c>
      <c r="C17144" t="str">
        <f>IFERROR(__xludf.DUMMYFUNCTION("GOOGLETRANSLATE(B17144, ""zh"", ""en"")"),"Soon overseas buy good, quality is very good, very comfortable, overseas purchase soon.")</f>
        <v>Soon overseas buy good, quality is very good, very comfortable, overseas purchase soon.</v>
      </c>
    </row>
    <row r="17145">
      <c r="A17145" s="1">
        <v>5.0</v>
      </c>
      <c r="B17145" s="1" t="s">
        <v>16935</v>
      </c>
      <c r="C17145" t="str">
        <f>IFERROR(__xludf.DUMMYFUNCTION("GOOGLETRANSLATE(B17145, ""zh"", ""en"")"),"Very very cute too cute bought to give as gifts, but are reluctant to send better quality than the domestic buy and much cheaper")</f>
        <v>Very very cute too cute bought to give as gifts, but are reluctant to send better quality than the domestic buy and much cheaper</v>
      </c>
    </row>
    <row r="17146">
      <c r="A17146" s="1">
        <v>5.0</v>
      </c>
      <c r="B17146" s="1" t="s">
        <v>16936</v>
      </c>
      <c r="C17146" t="str">
        <f>IFERROR(__xludf.DUMMYFUNCTION("GOOGLETRANSLATE(B17146, ""zh"", ""en"")"),"Home is very good, multi-function, but not many accessories sound very small, high efficiency, the price is much cheaper than the state line Lynx, but the nose will be a little shake")</f>
        <v>Home is very good, multi-function, but not many accessories sound very small, high efficiency, the price is much cheaper than the state line Lynx, but the nose will be a little shake</v>
      </c>
    </row>
    <row r="17147">
      <c r="A17147" s="1">
        <v>5.0</v>
      </c>
      <c r="B17147" s="1" t="s">
        <v>16937</v>
      </c>
      <c r="C17147" t="str">
        <f>IFERROR(__xludf.DUMMYFUNCTION("GOOGLETRANSLATE(B17147, ""zh"", ""en"")"),"How can it feel great, no odor boiling water burns.")</f>
        <v>How can it feel great, no odor boiling water burns.</v>
      </c>
    </row>
    <row r="17148">
      <c r="A17148" s="1">
        <v>5.0</v>
      </c>
      <c r="B17148" s="1" t="s">
        <v>16938</v>
      </c>
      <c r="C17148" t="str">
        <f>IFERROR(__xludf.DUMMYFUNCTION("GOOGLETRANSLATE(B17148, ""zh"", ""en"")"),"Look pretty fast read and write speeds look pretty reading and writing speed is slightly cutting edge will only hand the Apple store to buy a golden beloved silver with newly purchased MACBOOK PRO Chan")</f>
        <v>Look pretty fast read and write speeds look pretty reading and writing speed is slightly cutting edge will only hand the Apple store to buy a golden beloved silver with newly purchased MACBOOK PRO Chan</v>
      </c>
    </row>
    <row r="17149">
      <c r="A17149" s="1">
        <v>5.0</v>
      </c>
      <c r="B17149" s="1" t="s">
        <v>16939</v>
      </c>
      <c r="C17149" t="str">
        <f>IFERROR(__xludf.DUMMYFUNCTION("GOOGLETRANSLATE(B17149, ""zh"", ""en"")"),"Travel must choose chose this for a long time, Travel Essentials")</f>
        <v>Travel must choose chose this for a long time, Travel Essentials</v>
      </c>
    </row>
    <row r="17150">
      <c r="A17150" s="1">
        <v>5.0</v>
      </c>
      <c r="B17150" s="1" t="s">
        <v>16940</v>
      </c>
      <c r="C17150" t="str">
        <f>IFERROR(__xludf.DUMMYFUNCTION("GOOGLETRANSLATE(B17150, ""zh"", ""en"")"),"Comfortable, value for money. Today received the shoes to try a little, very appropriate. I am 225 feet long, low arch, slim type, large micro upturned toe, usually to buy 36 yards, this pair too. Comfortable, not wide not narrow, neither long nor short, "&amp;"just right. Some say the Internet is no instep presser foot feeling. Stylish, value for money, well-deserved reputation.")</f>
        <v>Comfortable, value for money. Today received the shoes to try a little, very appropriate. I am 225 feet long, low arch, slim type, large micro upturned toe, usually to buy 36 yards, this pair too. Comfortable, not wide not narrow, neither long nor short, just right. Some say the Internet is no instep presser foot feeling. Stylish, value for money, well-deserved reputation.</v>
      </c>
    </row>
    <row r="17151">
      <c r="A17151" s="1">
        <v>5.0</v>
      </c>
      <c r="B17151" s="1" t="s">
        <v>16941</v>
      </c>
      <c r="C17151" t="str">
        <f>IFERROR(__xludf.DUMMYFUNCTION("GOOGLETRANSLATE(B17151, ""zh"", ""en"")"),"Very good, very light 169 / 74kg, buy the medium, is very appropriate, a Tintin slightly larger point, but completely ok.")</f>
        <v>Very good, very light 169 / 74kg, buy the medium, is very appropriate, a Tintin slightly larger point, but completely ok.</v>
      </c>
    </row>
    <row r="17152">
      <c r="A17152" s="1">
        <v>5.0</v>
      </c>
      <c r="B17152" s="1" t="s">
        <v>16942</v>
      </c>
      <c r="C17152" t="str">
        <f>IFERROR(__xludf.DUMMYFUNCTION("GOOGLETRANSLATE(B17152, ""zh"", ""en"")"),"Think it is good in terms of the price is good")</f>
        <v>Think it is good in terms of the price is good</v>
      </c>
    </row>
    <row r="17153">
      <c r="A17153" s="1">
        <v>5.0</v>
      </c>
      <c r="B17153" s="1" t="s">
        <v>16943</v>
      </c>
      <c r="C17153" t="str">
        <f>IFERROR(__xludf.DUMMYFUNCTION("GOOGLETRANSLATE(B17153, ""zh"", ""en"")"),"The effective calcium is more effective for me")</f>
        <v>The effective calcium is more effective for me</v>
      </c>
    </row>
    <row r="17154">
      <c r="A17154" s="1">
        <v>5.0</v>
      </c>
      <c r="B17154" s="1" t="s">
        <v>16944</v>
      </c>
      <c r="C17154" t="str">
        <f>IFERROR(__xludf.DUMMYFUNCTION("GOOGLETRANSLATE(B17154, ""zh"", ""en"")"),"US direct mail valid for, then I think 2019.11 months, nothing to worry about health care first is genuine, the US direct mail, rest assured. Read all the comments, I did not understand, a bottle of health care products finished a month, there are valid f"&amp;"or more than six months, it is reasonable ah.")</f>
        <v>US direct mail valid for, then I think 2019.11 months, nothing to worry about health care first is genuine, the US direct mail, rest assured. Read all the comments, I did not understand, a bottle of health care products finished a month, there are valid for more than six months, it is reasonable ah.</v>
      </c>
    </row>
    <row r="17155">
      <c r="A17155" s="1">
        <v>5.0</v>
      </c>
      <c r="B17155" s="1" t="s">
        <v>16945</v>
      </c>
      <c r="C17155" t="str">
        <f>IFERROR(__xludf.DUMMYFUNCTION("GOOGLETRANSLATE(B17155, ""zh"", ""en"")"),"Currently using good new good new products currently use hard disk 4t")</f>
        <v>Currently using good new good new products currently use hard disk 4t</v>
      </c>
    </row>
    <row r="17156">
      <c r="A17156" s="1">
        <v>5.0</v>
      </c>
      <c r="B17156" s="1" t="s">
        <v>16946</v>
      </c>
      <c r="C17156" t="str">
        <f>IFERROR(__xludf.DUMMYFUNCTION("GOOGLETRANSLATE(B17156, ""zh"", ""en"")"),"Value for money very cute cups, baby likes")</f>
        <v>Value for money very cute cups, baby likes</v>
      </c>
    </row>
    <row r="17157">
      <c r="A17157" s="1">
        <v>5.0</v>
      </c>
      <c r="B17157" s="1" t="s">
        <v>16947</v>
      </c>
      <c r="C17157" t="str">
        <f>IFERROR(__xludf.DUMMYFUNCTION("GOOGLETRANSLATE(B17157, ""zh"", ""en"")"),"Good to buy a home for the elderly, hoping to have effect.")</f>
        <v>Good to buy a home for the elderly, hoping to have effect.</v>
      </c>
    </row>
    <row r="17158">
      <c r="A17158" s="1">
        <v>5.0</v>
      </c>
      <c r="B17158" s="1" t="s">
        <v>16948</v>
      </c>
      <c r="C17158" t="str">
        <f>IFERROR(__xludf.DUMMYFUNCTION("GOOGLETRANSLATE(B17158, ""zh"", ""en"")"),"good workmanship is very good, the right size 175cm70kg")</f>
        <v>good workmanship is very good, the right size 175cm70kg</v>
      </c>
    </row>
    <row r="17159">
      <c r="A17159" s="1">
        <v>5.0</v>
      </c>
      <c r="B17159" s="1" t="s">
        <v>16949</v>
      </c>
      <c r="C17159" t="str">
        <f>IFERROR(__xludf.DUMMYFUNCTION("GOOGLETRANSLATE(B17159, ""zh"", ""en"")"),"Clothes very good 178CM 74KG L just the right size to play tennis in winter Chuan Chuan just fine for the country to buy cheap affordable than a lot")</f>
        <v>Clothes very good 178CM 74KG L just the right size to play tennis in winter Chuan Chuan just fine for the country to buy cheap affordable than a lot</v>
      </c>
    </row>
    <row r="17160">
      <c r="A17160" s="1">
        <v>5.0</v>
      </c>
      <c r="B17160" s="1" t="s">
        <v>16950</v>
      </c>
      <c r="C17160" t="str">
        <f>IFERROR(__xludf.DUMMYFUNCTION("GOOGLETRANSLATE(B17160, ""zh"", ""en"")"),"Well just the right size, material good.")</f>
        <v>Well just the right size, material good.</v>
      </c>
    </row>
    <row r="17161">
      <c r="A17161" s="1">
        <v>2.0</v>
      </c>
      <c r="B17161" s="1" t="s">
        <v>16951</v>
      </c>
      <c r="C17161" t="str">
        <f>IFERROR(__xludf.DUMMYFUNCTION("GOOGLETRANSLATE(B17161, ""zh"", ""en"")"),"Fortunately, something good, shipping and fell several pit does not affect the use, but people are very unhappy, and packaged snacks long time can not do. . .")</f>
        <v>Fortunately, something good, shipping and fell several pit does not affect the use, but people are very unhappy, and packaged snacks long time can not do. . .</v>
      </c>
    </row>
    <row r="17162">
      <c r="A17162" s="1">
        <v>3.0</v>
      </c>
      <c r="B17162" s="1" t="s">
        <v>10415</v>
      </c>
      <c r="C17162" t="str">
        <f>IFERROR(__xludf.DUMMYFUNCTION("GOOGLETRANSLATE(B17162, ""zh"", ""en"")"),"Do not recommend buying 165/118 Waist 71 Hips 94 black fade if the number is too large towel aunt aunt torn towel pad contact surfaces are all black fur")</f>
        <v>Do not recommend buying 165/118 Waist 71 Hips 94 black fade if the number is too large towel aunt aunt torn towel pad contact surfaces are all black fur</v>
      </c>
    </row>
    <row r="17163">
      <c r="A17163" s="1">
        <v>3.0</v>
      </c>
      <c r="B17163" s="1" t="s">
        <v>16952</v>
      </c>
      <c r="C17163" t="str">
        <f>IFERROR(__xludf.DUMMYFUNCTION("GOOGLETRANSLATE(B17163, ""zh"", ""en"")"),"tri veper styles, fabrics and shoe soles are good, work a bit weak, depressed mention shoelace gently pull on the broken end, do not know is a case or common phenomenon. In addition size is too large, but the price difference between 41 and 40 has doubled"&amp;", to save money to buy big.")</f>
        <v>tri veper styles, fabrics and shoe soles are good, work a bit weak, depressed mention shoelace gently pull on the broken end, do not know is a case or common phenomenon. In addition size is too large, but the price difference between 41 and 40 has doubled, to save money to buy big.</v>
      </c>
    </row>
    <row r="17164">
      <c r="A17164" s="1">
        <v>1.0</v>
      </c>
      <c r="B17164" s="1" t="s">
        <v>16953</v>
      </c>
      <c r="C17164" t="str">
        <f>IFERROR(__xludf.DUMMYFUNCTION("GOOGLETRANSLATE(B17164, ""zh"", ""en"")"),"Unlike genuine and send the wrong size shoe box is not original, only one color kraft paper shoe box, no logo on the shoe box, no bills, no logo on the origin of shoes, buy shoes his family is not the same as before. Waiting for so many days, and I actual"&amp;"ly sent me to buy size is not the same! Buy 6 yards hair of my seven yards, simply can not wear. A tax return has not returned to me, said to me a coupon equal Ye days of inactivity. For this shopping very disappointed!")</f>
        <v>Unlike genuine and send the wrong size shoe box is not original, only one color kraft paper shoe box, no logo on the shoe box, no bills, no logo on the origin of shoes, buy shoes his family is not the same as before. Waiting for so many days, and I actually sent me to buy size is not the same! Buy 6 yards hair of my seven yards, simply can not wear. A tax return has not returned to me, said to me a coupon equal Ye days of inactivity. For this shopping very disappointed!</v>
      </c>
    </row>
    <row r="17165">
      <c r="A17165" s="1">
        <v>1.0</v>
      </c>
      <c r="B17165" s="1" t="s">
        <v>16954</v>
      </c>
      <c r="C17165" t="str">
        <f>IFERROR(__xludf.DUMMYFUNCTION("GOOGLETRANSLATE(B17165, ""zh"", ""en"")"),"A spread the goods really spread the goods, rotten week in half")</f>
        <v>A spread the goods really spread the goods, rotten week in half</v>
      </c>
    </row>
    <row r="17166">
      <c r="A17166" s="1">
        <v>1.0</v>
      </c>
      <c r="B17166" s="1" t="s">
        <v>16955</v>
      </c>
      <c r="C17166" t="str">
        <f>IFERROR(__xludf.DUMMYFUNCTION("GOOGLETRANSLATE(B17166, ""zh"", ""en"")"),"Pit to seven days, although it is genuine, but the boxes are flat, the color of lead and they lost a few pieces, pit goods, Poor")</f>
        <v>Pit to seven days, although it is genuine, but the boxes are flat, the color of lead and they lost a few pieces, pit goods, Poor</v>
      </c>
    </row>
    <row r="17167">
      <c r="A17167" s="1">
        <v>4.0</v>
      </c>
      <c r="B17167" s="1" t="s">
        <v>16956</v>
      </c>
      <c r="C17167" t="str">
        <f>IFERROR(__xludf.DUMMYFUNCTION("GOOGLETRANSLATE(B17167, ""zh"", ""en"")"),"Clothes too large clothes too big, not suitable for Asians.")</f>
        <v>Clothes too large clothes too big, not suitable for Asians.</v>
      </c>
    </row>
    <row r="17168">
      <c r="A17168" s="1">
        <v>4.0</v>
      </c>
      <c r="B17168" s="1" t="s">
        <v>16957</v>
      </c>
      <c r="C17168" t="str">
        <f>IFERROR(__xludf.DUMMYFUNCTION("GOOGLETRANSLATE(B17168, ""zh"", ""en"")"),"Again bought fast. Just hit the festival slow customs clearance, and now it's too simple packaging")</f>
        <v>Again bought fast. Just hit the festival slow customs clearance, and now it's too simple packaging</v>
      </c>
    </row>
    <row r="17169">
      <c r="A17169" s="1">
        <v>4.0</v>
      </c>
      <c r="B17169" s="1" t="s">
        <v>16958</v>
      </c>
      <c r="C17169" t="str">
        <f>IFERROR(__xludf.DUMMYFUNCTION("GOOGLETRANSLATE(B17169, ""zh"", ""en"")"),"No 2017 shoes, leather is very dry, liquid shoe polish are used by a third bottle halo, no other problems.")</f>
        <v>No 2017 shoes, leather is very dry, liquid shoe polish are used by a third bottle halo, no other problems.</v>
      </c>
    </row>
    <row r="17170">
      <c r="A17170" s="1">
        <v>4.0</v>
      </c>
      <c r="B17170" s="1" t="s">
        <v>16959</v>
      </c>
      <c r="C17170" t="str">
        <f>IFERROR(__xludf.DUMMYFUNCTION("GOOGLETRANSLATE(B17170, ""zh"", ""en"")"),"A little fat compared to other brands, it seems a big waistline One")</f>
        <v>A little fat compared to other brands, it seems a big waistline One</v>
      </c>
    </row>
    <row r="17171">
      <c r="A17171" s="1">
        <v>5.0</v>
      </c>
      <c r="B17171" s="1" t="s">
        <v>16960</v>
      </c>
      <c r="C17171" t="str">
        <f>IFERROR(__xludf.DUMMYFUNCTION("GOOGLETRANSLATE(B17171, ""zh"", ""en"")"),"So worth it to engage in activities to buy, so worth it! Japan is not direct mail, is sent from the local warehouse, do not know how ...... getting a little worried, received found that work very well, some of the details are the same with the Internet, i"&amp;"t should be a genuine. 1.2mm thickness is indeed feeling a little thin, see comment was a year wearing a little scary ah ...... brand reputation, excellent quality hope ah. Yet to boil, to update later.")</f>
        <v>So worth it to engage in activities to buy, so worth it! Japan is not direct mail, is sent from the local warehouse, do not know how ...... getting a little worried, received found that work very well, some of the details are the same with the Internet, it should be a genuine. 1.2mm thickness is indeed feeling a little thin, see comment was a year wearing a little scary ah ...... brand reputation, excellent quality hope ah. Yet to boil, to update later.</v>
      </c>
    </row>
    <row r="17172">
      <c r="A17172" s="1">
        <v>5.0</v>
      </c>
      <c r="B17172" s="1" t="s">
        <v>16961</v>
      </c>
      <c r="C17172" t="str">
        <f>IFERROR(__xludf.DUMMYFUNCTION("GOOGLETRANSLATE(B17172, ""zh"", ""en"")"),"JBL 305P MKII 5-inch two-way active studio monitors (new models) JBL 305P MKII 5-inch two-way active studio monitors (new models) Special cheap, beautiful sound, no noise")</f>
        <v>JBL 305P MKII 5-inch two-way active studio monitors (new models) JBL 305P MKII 5-inch two-way active studio monitors (new models) Special cheap, beautiful sound, no noise</v>
      </c>
    </row>
    <row r="17173">
      <c r="A17173" s="1">
        <v>5.0</v>
      </c>
      <c r="B17173" s="1" t="s">
        <v>16962</v>
      </c>
      <c r="C17173" t="str">
        <f>IFERROR(__xludf.DUMMYFUNCTION("GOOGLETRANSLATE(B17173, ""zh"", ""en"")"),"Good use of good use, give Dad used.")</f>
        <v>Good use of good use, give Dad used.</v>
      </c>
    </row>
    <row r="17174">
      <c r="A17174" s="1">
        <v>5.0</v>
      </c>
      <c r="B17174" s="1" t="s">
        <v>16963</v>
      </c>
      <c r="C17174" t="str">
        <f>IFERROR(__xludf.DUMMYFUNCTION("GOOGLETRANSLATE(B17174, ""zh"", ""en"")"),"Good right size, color, very fresh, comfortable to wear")</f>
        <v>Good right size, color, very fresh, comfortable to wear</v>
      </c>
    </row>
    <row r="17175">
      <c r="A17175" s="1">
        <v>5.0</v>
      </c>
      <c r="B17175" s="1" t="s">
        <v>16964</v>
      </c>
      <c r="C17175" t="str">
        <f>IFERROR(__xludf.DUMMYFUNCTION("GOOGLETRANSLATE(B17175, ""zh"", ""en"")"),"Very good shoes! Usually sports shoes 44 yards, this time to buy 43EU very fit! Foot feeling very good, leather is very soft, very comfortable on the feet!")</f>
        <v>Very good shoes! Usually sports shoes 44 yards, this time to buy 43EU very fit! Foot feeling very good, leather is very soft, very comfortable on the feet!</v>
      </c>
    </row>
    <row r="17176">
      <c r="A17176" s="1">
        <v>5.0</v>
      </c>
      <c r="B17176" s="1" t="s">
        <v>16965</v>
      </c>
      <c r="C17176" t="str">
        <f>IFERROR(__xludf.DUMMYFUNCTION("GOOGLETRANSLATE(B17176, ""zh"", ""en"")"),"Among the entry-level cost is very high as this level of product selection, the second generation is already doing quite well in every respect. One of them appeared in the case of packaging damaged in transit, including good packaging and boxes are intact"&amp;", whole or near misses ... particularly satisfied!")</f>
        <v>Among the entry-level cost is very high as this level of product selection, the second generation is already doing quite well in every respect. One of them appeared in the case of packaging damaged in transit, including good packaging and boxes are intact, whole or near misses ... particularly satisfied!</v>
      </c>
    </row>
    <row r="17177">
      <c r="A17177" s="1">
        <v>5.0</v>
      </c>
      <c r="B17177" s="1" t="s">
        <v>16966</v>
      </c>
      <c r="C17177" t="str">
        <f>IFERROR(__xludf.DUMMYFUNCTION("GOOGLETRANSLATE(B17177, ""zh"", ""en"")"),"Good self Amazon's overseas purchase very good, much better than overseas purchase of the other platforms. Good clothes, style is simple, is recommended.")</f>
        <v>Good self Amazon's overseas purchase very good, much better than overseas purchase of the other platforms. Good clothes, style is simple, is recommended.</v>
      </c>
    </row>
    <row r="17178">
      <c r="A17178" s="1">
        <v>5.0</v>
      </c>
      <c r="B17178" s="1" t="s">
        <v>16967</v>
      </c>
      <c r="C17178" t="str">
        <f>IFERROR(__xludf.DUMMYFUNCTION("GOOGLETRANSLATE(B17178, ""zh"", ""en"")"),"Price changes a little faster headset did not hand it crazy prices, and then crazy prices, do not understand, Amazon customer contact is too much trouble, others are very satisfied, buy some overseas headset is not very cheap, as the sound quality, subjec"&amp;"tive thing does not make improper comments, like")</f>
        <v>Price changes a little faster headset did not hand it crazy prices, and then crazy prices, do not understand, Amazon customer contact is too much trouble, others are very satisfied, buy some overseas headset is not very cheap, as the sound quality, subjective thing does not make improper comments, like</v>
      </c>
    </row>
    <row r="17179">
      <c r="A17179" s="1">
        <v>5.0</v>
      </c>
      <c r="B17179" s="1" t="s">
        <v>16968</v>
      </c>
      <c r="C17179" t="str">
        <f>IFERROR(__xludf.DUMMYFUNCTION("GOOGLETRANSLATE(B17179, ""zh"", ""en"")"),"Good quality in Japan after use feel very good, and in this search, and good quality, the installation is easy.")</f>
        <v>Good quality in Japan after use feel very good, and in this search, and good quality, the installation is easy.</v>
      </c>
    </row>
    <row r="17180">
      <c r="A17180" s="1">
        <v>5.0</v>
      </c>
      <c r="B17180" s="1" t="s">
        <v>16969</v>
      </c>
      <c r="C17180" t="str">
        <f>IFERROR(__xludf.DUMMYFUNCTION("GOOGLETRANSLATE(B17180, ""zh"", ""en"")"),"This is a value for money buy not understand before, time after buying the instructions found on the Internet and found this evaluation of ultra-high! Indeed real good-looking than the picture!")</f>
        <v>This is a value for money buy not understand before, time after buying the instructions found on the Internet and found this evaluation of ultra-high! Indeed real good-looking than the picture!</v>
      </c>
    </row>
    <row r="17181">
      <c r="A17181" s="1">
        <v>5.0</v>
      </c>
      <c r="B17181" s="1" t="s">
        <v>16970</v>
      </c>
      <c r="C17181" t="str">
        <f>IFERROR(__xludf.DUMMYFUNCTION("GOOGLETRANSLATE(B17181, ""zh"", ""en"")"),"Like like G series. Tough style.")</f>
        <v>Like like G series. Tough style.</v>
      </c>
    </row>
    <row r="17182">
      <c r="A17182" s="1">
        <v>5.0</v>
      </c>
      <c r="B17182" s="1" t="s">
        <v>16971</v>
      </c>
      <c r="C17182" t="str">
        <f>IFERROR(__xludf.DUMMYFUNCTION("GOOGLETRANSLATE(B17182, ""zh"", ""en"")"),"Pilling Pilling, James Gray. Clothes too large")</f>
        <v>Pilling Pilling, James Gray. Clothes too large</v>
      </c>
    </row>
    <row r="17183">
      <c r="A17183" s="1">
        <v>5.0</v>
      </c>
      <c r="B17183" s="1" t="s">
        <v>16972</v>
      </c>
      <c r="C17183" t="str">
        <f>IFERROR(__xludf.DUMMYFUNCTION("GOOGLETRANSLATE(B17183, ""zh"", ""en"")"),"Value for money is expensive, rebar, heated by dry heating is not in the chassis, I think this is better. efficient. Blue lights.")</f>
        <v>Value for money is expensive, rebar, heated by dry heating is not in the chassis, I think this is better. efficient. Blue lights.</v>
      </c>
    </row>
    <row r="17184">
      <c r="A17184" s="1">
        <v>5.0</v>
      </c>
      <c r="B17184" s="1" t="s">
        <v>16973</v>
      </c>
      <c r="C17184" t="str">
        <f>IFERROR(__xludf.DUMMYFUNCTION("GOOGLETRANSLATE(B17184, ""zh"", ""en"")"),"The bottle is very good! Bottle is genuine! No taste! Baby with a good, if we can each choose a same color just fine! Then there are delivery speed again quickly the better!")</f>
        <v>The bottle is very good! Bottle is genuine! No taste! Baby with a good, if we can each choose a same color just fine! Then there are delivery speed again quickly the better!</v>
      </c>
    </row>
    <row r="17185">
      <c r="A17185" s="1">
        <v>5.0</v>
      </c>
      <c r="B17185" s="1" t="s">
        <v>16974</v>
      </c>
      <c r="C17185" t="str">
        <f>IFERROR(__xludf.DUMMYFUNCTION("GOOGLETRANSLATE(B17185, ""zh"", ""en"")"),"Very satisfied with the genuine, very comfortable to wear, a lot cheaper than the mall.")</f>
        <v>Very satisfied with the genuine, very comfortable to wear, a lot cheaper than the mall.</v>
      </c>
    </row>
    <row r="17186">
      <c r="A17186" s="1">
        <v>5.0</v>
      </c>
      <c r="B17186" s="1" t="s">
        <v>16975</v>
      </c>
      <c r="C17186" t="str">
        <f>IFERROR(__xludf.DUMMYFUNCTION("GOOGLETRANSLATE(B17186, ""zh"", ""en"")"),"Very nice hat very beautiful, genuine. awesome")</f>
        <v>Very nice hat very beautiful, genuine. awesome</v>
      </c>
    </row>
    <row r="17187">
      <c r="A17187" s="1">
        <v>5.0</v>
      </c>
      <c r="B17187" s="1" t="s">
        <v>16976</v>
      </c>
      <c r="C17187" t="str">
        <f>IFERROR(__xludf.DUMMYFUNCTION("GOOGLETRANSLATE(B17187, ""zh"", ""en"")"),"Popular artifact sound quality is great, clear hierarchy, strings Awesome, watching movies is very good, sound a little warmer in the beyerdynamic, the very comfortable, may not open burning, a little bit more bass, vocals outstanding, overall It is very "&amp;"good")</f>
        <v>Popular artifact sound quality is great, clear hierarchy, strings Awesome, watching movies is very good, sound a little warmer in the beyerdynamic, the very comfortable, may not open burning, a little bit more bass, vocals outstanding, overall It is very good</v>
      </c>
    </row>
    <row r="17188">
      <c r="A17188" s="1">
        <v>5.0</v>
      </c>
      <c r="B17188" s="1" t="s">
        <v>16977</v>
      </c>
      <c r="C17188" t="str">
        <f>IFERROR(__xludf.DUMMYFUNCTION("GOOGLETRANSLATE(B17188, ""zh"", ""en"")"),"Very good cost-effective, good quality, good price")</f>
        <v>Very good cost-effective, good quality, good price</v>
      </c>
    </row>
    <row r="17189">
      <c r="A17189" s="1">
        <v>5.0</v>
      </c>
      <c r="B17189" s="1" t="s">
        <v>16978</v>
      </c>
      <c r="C17189" t="str">
        <f>IFERROR(__xludf.DUMMYFUNCTION("GOOGLETRANSLATE(B17189, ""zh"", ""en"")"),"Amazon is more reliable noon yesterday received the goods, after last night, and today's copy of the test, with a total capacity of 4.54T, speed stabilized at 80MB / sec. Peak 120MB / sec. In short, a good report card.")</f>
        <v>Amazon is more reliable noon yesterday received the goods, after last night, and today's copy of the test, with a total capacity of 4.54T, speed stabilized at 80MB / sec. Peak 120MB / sec. In short, a good report card.</v>
      </c>
    </row>
    <row r="17190">
      <c r="A17190" s="1">
        <v>5.0</v>
      </c>
      <c r="B17190" s="1" t="s">
        <v>16979</v>
      </c>
      <c r="C17190" t="str">
        <f>IFERROR(__xludf.DUMMYFUNCTION("GOOGLETRANSLATE(B17190, ""zh"", ""en"")"),"There is a small big point, the rest of tael bars partial small")</f>
        <v>There is a small big point, the rest of tael bars partial small</v>
      </c>
    </row>
    <row r="17191">
      <c r="A17191" s="1">
        <v>5.0</v>
      </c>
      <c r="B17191" s="1" t="s">
        <v>16980</v>
      </c>
      <c r="C17191" t="str">
        <f>IFERROR(__xludf.DUMMYFUNCTION("GOOGLETRANSLATE(B17191, ""zh"", ""en"")"),"Overall 162 high 53 kg You can also buy M number is too large. Large skeleton can be. Underweight should buy S. There are velvet.")</f>
        <v>Overall 162 high 53 kg You can also buy M number is too large. Large skeleton can be. Underweight should buy S. There are velvet.</v>
      </c>
    </row>
    <row r="17192">
      <c r="A17192" s="1">
        <v>5.0</v>
      </c>
      <c r="B17192" s="1" t="s">
        <v>16981</v>
      </c>
      <c r="C17192" t="str">
        <f>IFERROR(__xludf.DUMMYFUNCTION("GOOGLETRANSLATE(B17192, ""zh"", ""en"")"),"Well I am relatively thick legs! Specifically to buy fertilizer, late cut trouser legs!")</f>
        <v>Well I am relatively thick legs! Specifically to buy fertilizer, late cut trouser legs!</v>
      </c>
    </row>
    <row r="17193">
      <c r="A17193" s="1">
        <v>2.0</v>
      </c>
      <c r="B17193" s="1" t="s">
        <v>16982</v>
      </c>
      <c r="C17193" t="str">
        <f>IFERROR(__xludf.DUMMYFUNCTION("GOOGLETRANSLATE(B17193, ""zh"", ""en"")"),"Larger size is not suitable for people, too large, not self")</f>
        <v>Larger size is not suitable for people, too large, not self</v>
      </c>
    </row>
    <row r="17194">
      <c r="A17194" s="1">
        <v>3.0</v>
      </c>
      <c r="B17194" s="1" t="s">
        <v>16983</v>
      </c>
      <c r="C17194" t="str">
        <f>IFERROR(__xludf.DUMMYFUNCTION("GOOGLETRANSLATE(B17194, ""zh"", ""en"")"),"Drugs about to expire can not be destroyed Do not take out to buy four bottles are due in January 2020, five months due a serious impact on customer buying expectations")</f>
        <v>Drugs about to expire can not be destroyed Do not take out to buy four bottles are due in January 2020, five months due a serious impact on customer buying expectations</v>
      </c>
    </row>
    <row r="17195">
      <c r="A17195" s="1">
        <v>3.0</v>
      </c>
      <c r="B17195" s="1" t="s">
        <v>16984</v>
      </c>
      <c r="C17195" t="str">
        <f>IFERROR(__xludf.DUMMYFUNCTION("GOOGLETRANSLATE(B17195, ""zh"", ""en"")"),"General physical appearance, or photos look better current travel time accurate. Work in general, there are differences in the blue circle with the picture, too bright! Good watch is not good, nor wear a few days to know. And so spend a few years in order"&amp;" to evaluate.")</f>
        <v>General physical appearance, or photos look better current travel time accurate. Work in general, there are differences in the blue circle with the picture, too bright! Good watch is not good, nor wear a few days to know. And so spend a few years in order to evaluate.</v>
      </c>
    </row>
    <row r="17196">
      <c r="A17196" s="1">
        <v>1.0</v>
      </c>
      <c r="B17196" s="1" t="s">
        <v>3850</v>
      </c>
      <c r="C17196" t="str">
        <f>IFERROR(__xludf.DUMMYFUNCTION("GOOGLETRANSLATE(B17196, ""zh"", ""en"")"),"Already do not recommend buying larger sizes than domestic psychological preparation, according to the size shopping guide product page has bought a smaller size, I did not expect this much larger than domestic size, too fat for too long. Absolutely can n"&amp;"ot wear.")</f>
        <v>Already do not recommend buying larger sizes than domestic psychological preparation, according to the size shopping guide product page has bought a smaller size, I did not expect this much larger than domestic size, too fat for too long. Absolutely can not wear.</v>
      </c>
    </row>
    <row r="17197">
      <c r="A17197" s="1">
        <v>1.0</v>
      </c>
      <c r="B17197" s="1" t="s">
        <v>16985</v>
      </c>
      <c r="C17197" t="str">
        <f>IFERROR(__xludf.DUMMYFUNCTION("GOOGLETRANSLATE(B17197, ""zh"", ""en"")"),"lee brand fakes rough, inconsistent with genuine rivets. After the pocket hyperbolic poor workmanship, a look that is fake. My mother was washing, and can not return, but fortunately also the right size, can wear.")</f>
        <v>lee brand fakes rough, inconsistent with genuine rivets. After the pocket hyperbolic poor workmanship, a look that is fake. My mother was washing, and can not return, but fortunately also the right size, can wear.</v>
      </c>
    </row>
    <row r="17198">
      <c r="A17198" s="1">
        <v>4.0</v>
      </c>
      <c r="B17198" s="1" t="s">
        <v>16986</v>
      </c>
      <c r="C17198" t="str">
        <f>IFERROR(__xludf.DUMMYFUNCTION("GOOGLETRANSLATE(B17198, ""zh"", ""en"")"),"https://www.amazon.cn/dp/B00B9FN7DM/ref=cm_cr_ryp_prd_ttl_sol_0 the quality of goods is no problem, but express really bad, wrapped completely squeezed to the future not to shape, people are depressed!")</f>
        <v>https://www.amazon.cn/dp/B00B9FN7DM/ref=cm_cr_ryp_prd_ttl_sol_0 the quality of goods is no problem, but express really bad, wrapped completely squeezed to the future not to shape, people are depressed!</v>
      </c>
    </row>
    <row r="17199">
      <c r="A17199" s="1">
        <v>4.0</v>
      </c>
      <c r="B17199" s="1" t="s">
        <v>16987</v>
      </c>
      <c r="C17199" t="str">
        <f>IFERROR(__xludf.DUMMYFUNCTION("GOOGLETRANSLATE(B17199, ""zh"", ""en"")"),"Something good is relatively large size 180cm / 75kg bought a xl too much. . . . . . . .")</f>
        <v>Something good is relatively large size 180cm / 75kg bought a xl too much. . . . . . . .</v>
      </c>
    </row>
    <row r="17200">
      <c r="A17200" s="1">
        <v>4.0</v>
      </c>
      <c r="B17200" s="1" t="s">
        <v>16988</v>
      </c>
      <c r="C17200" t="str">
        <f>IFERROR(__xludf.DUMMYFUNCTION("GOOGLETRANSLATE(B17200, ""zh"", ""en"")"),"The headset is very fast, people meters wages so high, why do a lot of things cheaper than domestic? Think you can buy things from the distant United States of mind are flattered. Something good, hope is genuine.")</f>
        <v>The headset is very fast, people meters wages so high, why do a lot of things cheaper than domestic? Think you can buy things from the distant United States of mind are flattered. Something good, hope is genuine.</v>
      </c>
    </row>
    <row r="17201">
      <c r="A17201" s="1">
        <v>4.0</v>
      </c>
      <c r="B17201" s="1" t="s">
        <v>16989</v>
      </c>
      <c r="C17201" t="str">
        <f>IFERROR(__xludf.DUMMYFUNCTION("GOOGLETRANSLATE(B17201, ""zh"", ""en"")"),"Very beautiful very beautiful and very comfortable, just a little big points")</f>
        <v>Very beautiful very beautiful and very comfortable, just a little big points</v>
      </c>
    </row>
    <row r="17202">
      <c r="A17202" s="1">
        <v>4.0</v>
      </c>
      <c r="B17202" s="1" t="s">
        <v>16990</v>
      </c>
      <c r="C17202" t="str">
        <f>IFERROR(__xludf.DUMMYFUNCTION("GOOGLETRANSLATE(B17202, ""zh"", ""en"")"),"So you and other good hard waited a half months before shipment. Green glass straw that bends a little, but little effect.")</f>
        <v>So you and other good hard waited a half months before shipment. Green glass straw that bends a little, but little effect.</v>
      </c>
    </row>
    <row r="17203">
      <c r="A17203" s="1">
        <v>5.0</v>
      </c>
      <c r="B17203" s="1" t="s">
        <v>16991</v>
      </c>
      <c r="C17203" t="str">
        <f>IFERROR(__xludf.DUMMYFUNCTION("GOOGLETRANSLATE(B17203, ""zh"", ""en"")"),"M 180 160 good wear just right, good clothes, very affordable")</f>
        <v>M 180 160 good wear just right, good clothes, very affordable</v>
      </c>
    </row>
    <row r="17204">
      <c r="A17204" s="1">
        <v>5.0</v>
      </c>
      <c r="B17204" s="1" t="s">
        <v>16992</v>
      </c>
      <c r="C17204" t="str">
        <f>IFERROR(__xludf.DUMMYFUNCTION("GOOGLETRANSLATE(B17204, ""zh"", ""en"")"),"Cost is also good, soft plastic bags, cost-effective.")</f>
        <v>Cost is also good, soft plastic bags, cost-effective.</v>
      </c>
    </row>
    <row r="17205">
      <c r="A17205" s="1">
        <v>5.0</v>
      </c>
      <c r="B17205" s="1" t="s">
        <v>16993</v>
      </c>
      <c r="C17205" t="str">
        <f>IFERROR(__xludf.DUMMYFUNCTION("GOOGLETRANSLATE(B17205, ""zh"", ""en"")"),"36 yards a little too large, I usually wear 36 yards, this shoe yardage too large a half a yard! Others are Ok! It is genuine")</f>
        <v>36 yards a little too large, I usually wear 36 yards, this shoe yardage too large a half a yard! Others are Ok! It is genuine</v>
      </c>
    </row>
    <row r="17206">
      <c r="A17206" s="1">
        <v>5.0</v>
      </c>
      <c r="B17206" s="1" t="s">
        <v>16994</v>
      </c>
      <c r="C17206" t="str">
        <f>IFERROR(__xludf.DUMMYFUNCTION("GOOGLETRANSLATE(B17206, ""zh"", ""en"")"),"After the mouth feel very comfortable with easy to use.")</f>
        <v>After the mouth feel very comfortable with easy to use.</v>
      </c>
    </row>
    <row r="17207">
      <c r="A17207" s="1">
        <v>5.0</v>
      </c>
      <c r="B17207" s="1" t="s">
        <v>16995</v>
      </c>
      <c r="C17207" t="str">
        <f>IFERROR(__xludf.DUMMYFUNCTION("GOOGLETRANSLATE(B17207, ""zh"", ""en"")"),"Wishful shoes strong, stylish, comfortable, reasonably priced, fast delivery")</f>
        <v>Wishful shoes strong, stylish, comfortable, reasonably priced, fast delivery</v>
      </c>
    </row>
    <row r="17208">
      <c r="A17208" s="1">
        <v>5.0</v>
      </c>
      <c r="B17208" s="1" t="s">
        <v>16996</v>
      </c>
      <c r="C17208" t="str">
        <f>IFERROR(__xludf.DUMMYFUNCTION("GOOGLETRANSLATE(B17208, ""zh"", ""en"")"),"Chest pack light, good-looking!")</f>
        <v>Chest pack light, good-looking!</v>
      </c>
    </row>
    <row r="17209">
      <c r="A17209" s="1">
        <v>5.0</v>
      </c>
      <c r="B17209" s="1" t="s">
        <v>16997</v>
      </c>
      <c r="C17209" t="str">
        <f>IFERROR(__xludf.DUMMYFUNCTION("GOOGLETRANSLATE(B17209, ""zh"", ""en"")"),"Nice food supplement suitable for families, essential")</f>
        <v>Nice food supplement suitable for families, essential</v>
      </c>
    </row>
    <row r="17210">
      <c r="A17210" s="1">
        <v>5.0</v>
      </c>
      <c r="B17210" s="1" t="s">
        <v>16998</v>
      </c>
      <c r="C17210" t="str">
        <f>IFERROR(__xludf.DUMMYFUNCTION("GOOGLETRANSLATE(B17210, ""zh"", ""en"")"),"Something good ~ EMS courier ultra-rapid, the day of the order the next day to, good headphones, wearing comfortable, full sound quality it ~ (do not understand ..) If longer cheaper just fine, a little inflated prices")</f>
        <v>Something good ~ EMS courier ultra-rapid, the day of the order the next day to, good headphones, wearing comfortable, full sound quality it ~ (do not understand ..) If longer cheaper just fine, a little inflated prices</v>
      </c>
    </row>
    <row r="17211">
      <c r="A17211" s="1">
        <v>5.0</v>
      </c>
      <c r="B17211" s="1" t="s">
        <v>16999</v>
      </c>
      <c r="C17211" t="str">
        <f>IFERROR(__xludf.DUMMYFUNCTION("GOOGLETRANSLATE(B17211, ""zh"", ""en"")"),"Wrangler Men's classic straight jeans khaki 38W x 30L ... Wrangler Authentics Men's Sportswear size description on the front of friends who very place, thanks")</f>
        <v>Wrangler Men's classic straight jeans khaki 38W x 30L ... Wrangler Authentics Men's Sportswear size description on the front of friends who very place, thanks</v>
      </c>
    </row>
    <row r="17212">
      <c r="A17212" s="1">
        <v>5.0</v>
      </c>
      <c r="B17212" s="1" t="s">
        <v>17000</v>
      </c>
      <c r="C17212" t="str">
        <f>IFERROR(__xludf.DUMMYFUNCTION("GOOGLETRANSLATE(B17212, ""zh"", ""en"")"),"Not on now do not know how to effect the pregnancy also can not wear the birth of hope can be useful not understand why the prime members of goods and non-members can not trade with free shipping and obviously shipped together with the non-scoring two box"&amp;"es that is not environmentally friendly")</f>
        <v>Not on now do not know how to effect the pregnancy also can not wear the birth of hope can be useful not understand why the prime members of goods and non-members can not trade with free shipping and obviously shipped together with the non-scoring two boxes that is not environmentally friendly</v>
      </c>
    </row>
    <row r="17213">
      <c r="A17213" s="1">
        <v>5.0</v>
      </c>
      <c r="B17213" s="1" t="s">
        <v>17001</v>
      </c>
      <c r="C17213" t="str">
        <f>IFERROR(__xludf.DUMMYFUNCTION("GOOGLETRANSLATE(B17213, ""zh"", ""en"")"),"Like the color blue mist really burst! Price really cheap, logistics is also fast, 5 days to come, very satisfied!")</f>
        <v>Like the color blue mist really burst! Price really cheap, logistics is also fast, 5 days to come, very satisfied!</v>
      </c>
    </row>
    <row r="17214">
      <c r="A17214" s="1">
        <v>5.0</v>
      </c>
      <c r="B17214" s="1" t="s">
        <v>17002</v>
      </c>
      <c r="C17214" t="str">
        <f>IFERROR(__xludf.DUMMYFUNCTION("GOOGLETRANSLATE(B17214, ""zh"", ""en"")"),"Good very good")</f>
        <v>Good very good</v>
      </c>
    </row>
    <row r="17215">
      <c r="A17215" s="1">
        <v>5.0</v>
      </c>
      <c r="B17215" s="1" t="s">
        <v>17003</v>
      </c>
      <c r="C17215" t="str">
        <f>IFERROR(__xludf.DUMMYFUNCTION("GOOGLETRANSLATE(B17215, ""zh"", ""en"")"),"For more than stew pot stew pot buy when, about four people, then just the right size. Lc and texture somewhat less than the work, there is no black enamel white enamel easy to use, but does a better seal, soups water loss is very small. Steamer with the "&amp;"old models, and this touches on heavy texture class, which is recessed into the kind of pot, not on this chart, the benefits of the province where the disadvantage is steaming pot of water to more freely when less")</f>
        <v>For more than stew pot stew pot buy when, about four people, then just the right size. Lc and texture somewhat less than the work, there is no black enamel white enamel easy to use, but does a better seal, soups water loss is very small. Steamer with the old models, and this touches on heavy texture class, which is recessed into the kind of pot, not on this chart, the benefits of the province where the disadvantage is steaming pot of water to more freely when less</v>
      </c>
    </row>
    <row r="17216">
      <c r="A17216" s="1">
        <v>5.0</v>
      </c>
      <c r="B17216" s="1" t="s">
        <v>17004</v>
      </c>
      <c r="C17216" t="str">
        <f>IFERROR(__xludf.DUMMYFUNCTION("GOOGLETRANSLATE(B17216, ""zh"", ""en"")"),"42 usually wear a half size domestic sports shoes, this number is appropriate as shown in FIG. 2E buy, because there is no standard paid. I thought it would be very wide, but fortunately did not. By Size Chart buy basically no mistake, this is still a lit"&amp;"tle thick shoes to wear in summer, although a lot of mesh. Good comfort, color also can be, with the view of the basic no difference.")</f>
        <v>42 usually wear a half size domestic sports shoes, this number is appropriate as shown in FIG. 2E buy, because there is no standard paid. I thought it would be very wide, but fortunately did not. By Size Chart buy basically no mistake, this is still a little thick shoes to wear in summer, although a lot of mesh. Good comfort, color also can be, with the view of the basic no difference.</v>
      </c>
    </row>
    <row r="17217">
      <c r="A17217" s="1">
        <v>5.0</v>
      </c>
      <c r="B17217" s="1" t="s">
        <v>17005</v>
      </c>
      <c r="C17217" t="str">
        <f>IFERROR(__xludf.DUMMYFUNCTION("GOOGLETRANSLATE(B17217, ""zh"", ""en"")"),"Good quality, the price is right to repurchase recommended for everyday wear ecco 41 Ma shoes, shoe buy big one yards just right. Spring for wear, although gore-tex material, and the mesh, but is not suitable for summer wear. Blue good results, as well as"&amp;" in the increased effect.")</f>
        <v>Good quality, the price is right to repurchase recommended for everyday wear ecco 41 Ma shoes, shoe buy big one yards just right. Spring for wear, although gore-tex material, and the mesh, but is not suitable for summer wear. Blue good results, as well as in the increased effect.</v>
      </c>
    </row>
    <row r="17218">
      <c r="A17218" s="1">
        <v>5.0</v>
      </c>
      <c r="B17218" s="1" t="s">
        <v>17006</v>
      </c>
      <c r="C17218" t="str">
        <f>IFERROR(__xludf.DUMMYFUNCTION("GOOGLETRANSLATE(B17218, ""zh"", ""en"")"),"The right size, the right size picture shot good, somewhat uncomfortable, wear a few days to look at")</f>
        <v>The right size, the right size picture shot good, somewhat uncomfortable, wear a few days to look at</v>
      </c>
    </row>
    <row r="17219">
      <c r="A17219" s="1">
        <v>5.0</v>
      </c>
      <c r="B17219" s="1" t="s">
        <v>17007</v>
      </c>
      <c r="C17219" t="str">
        <f>IFERROR(__xludf.DUMMYFUNCTION("GOOGLETRANSLATE(B17219, ""zh"", ""en"")"),"Repeat with calcium natural treasure for a year, I feel very good.")</f>
        <v>Repeat with calcium natural treasure for a year, I feel very good.</v>
      </c>
    </row>
    <row r="17220">
      <c r="A17220" s="1">
        <v>5.0</v>
      </c>
      <c r="B17220" s="1" t="s">
        <v>17008</v>
      </c>
      <c r="C17220" t="str">
        <f>IFERROR(__xludf.DUMMYFUNCTION("GOOGLETRANSLATE(B17220, ""zh"", ""en"")"),"Very cheap and easy to use, fast boil water, not loud, much cheaper than domestic")</f>
        <v>Very cheap and easy to use, fast boil water, not loud, much cheaper than domestic</v>
      </c>
    </row>
    <row r="17221">
      <c r="A17221" s="1">
        <v>5.0</v>
      </c>
      <c r="B17221" s="1" t="s">
        <v>17009</v>
      </c>
      <c r="C17221" t="str">
        <f>IFERROR(__xludf.DUMMYFUNCTION("GOOGLETRANSLATE(B17221, ""zh"", ""en"")"),"Very like the shoes very like the shoes, very comfortable to wear, it is feeling not dirt, anti-Kee Di 42 yards, 41 yards just this appropriate.")</f>
        <v>Very like the shoes very like the shoes, very comfortable to wear, it is feeling not dirt, anti-Kee Di 42 yards, 41 yards just this appropriate.</v>
      </c>
    </row>
    <row r="17222">
      <c r="A17222" s="1">
        <v>5.0</v>
      </c>
      <c r="B17222" s="1" t="s">
        <v>17010</v>
      </c>
      <c r="C17222" t="str">
        <f>IFERROR(__xludf.DUMMYFUNCTION("GOOGLETRANSLATE(B17222, ""zh"", ""en"")"),"Very suitable for the length of the belts, do not change, surprise!")</f>
        <v>Very suitable for the length of the belts, do not change, surprise!</v>
      </c>
    </row>
    <row r="17223">
      <c r="A17223" s="1">
        <v>5.0</v>
      </c>
      <c r="B17223" s="1" t="s">
        <v>17011</v>
      </c>
      <c r="C17223" t="str">
        <f>IFERROR(__xludf.DUMMYFUNCTION("GOOGLETRANSLATE(B17223, ""zh"", ""en"")"),"Very comfortable Atsugi no socks let me down, very good")</f>
        <v>Very comfortable Atsugi no socks let me down, very good</v>
      </c>
    </row>
    <row r="17224">
      <c r="A17224" s="1">
        <v>5.0</v>
      </c>
      <c r="B17224" s="1" t="s">
        <v>17012</v>
      </c>
      <c r="C17224" t="str">
        <f>IFERROR(__xludf.DUMMYFUNCTION("GOOGLETRANSLATE(B17224, ""zh"", ""en"")"),"Good quality can be, but to buy two 4 turn 3 in advance hose, TB on a dozen")</f>
        <v>Good quality can be, but to buy two 4 turn 3 in advance hose, TB on a dozen</v>
      </c>
    </row>
    <row r="17225">
      <c r="A17225" s="1">
        <v>2.0</v>
      </c>
      <c r="B17225" s="1" t="s">
        <v>17013</v>
      </c>
      <c r="C17225" t="str">
        <f>IFERROR(__xludf.DUMMYFUNCTION("GOOGLETRANSLATE(B17225, ""zh"", ""en"")"),"It requires resolute refund, return receipt, destroyed jeans")</f>
        <v>It requires resolute refund, return receipt, destroyed jeans</v>
      </c>
    </row>
    <row r="17226">
      <c r="A17226" s="1">
        <v>3.0</v>
      </c>
      <c r="B17226" s="1" t="s">
        <v>17014</v>
      </c>
      <c r="C17226" t="str">
        <f>IFERROR(__xludf.DUMMYFUNCTION("GOOGLETRANSLATE(B17226, ""zh"", ""en"")"),"! Adu to slightly hungry. Thin thin, not good, you can wear summer")</f>
        <v>! Adu to slightly hungry. Thin thin, not good, you can wear summer</v>
      </c>
    </row>
    <row r="17227">
      <c r="A17227" s="1">
        <v>3.0</v>
      </c>
      <c r="B17227" s="1" t="s">
        <v>17015</v>
      </c>
      <c r="C17227" t="str">
        <f>IFERROR(__xludf.DUMMYFUNCTION("GOOGLETRANSLATE(B17227, ""zh"", ""en"")"),"Shoes too big not too big to wear shoes, the shoes will head the crease, return shipping needs 165 ridiculously expensive, intends to hang on to sell salted fish")</f>
        <v>Shoes too big not too big to wear shoes, the shoes will head the crease, return shipping needs 165 ridiculously expensive, intends to hang on to sell salted fish</v>
      </c>
    </row>
    <row r="17228">
      <c r="A17228" s="1">
        <v>1.0</v>
      </c>
      <c r="B17228" s="1" t="s">
        <v>17016</v>
      </c>
      <c r="C17228" t="str">
        <f>IFERROR(__xludf.DUMMYFUNCTION("GOOGLETRANSLATE(B17228, ""zh"", ""en"")"),"Plug in the power of bad press how no response ah, it will not be bad. Look at the reviews do not need to convert the head ah, do not be so unlucky, a few months ago to buy electric toothbrush is sent over a bad")</f>
        <v>Plug in the power of bad press how no response ah, it will not be bad. Look at the reviews do not need to convert the head ah, do not be so unlucky, a few months ago to buy electric toothbrush is sent over a bad</v>
      </c>
    </row>
    <row r="17229">
      <c r="A17229" s="1">
        <v>1.0</v>
      </c>
      <c r="B17229" s="1" t="s">
        <v>17017</v>
      </c>
      <c r="C17229" t="str">
        <f>IFERROR(__xludf.DUMMYFUNCTION("GOOGLETRANSLATE(B17229, ""zh"", ""en"")"),"Serious flaw disappointed, this is defective, right?")</f>
        <v>Serious flaw disappointed, this is defective, right?</v>
      </c>
    </row>
    <row r="17230">
      <c r="A17230" s="1">
        <v>1.0</v>
      </c>
      <c r="B17230" s="1" t="s">
        <v>17018</v>
      </c>
      <c r="C17230" t="str">
        <f>IFERROR(__xludf.DUMMYFUNCTION("GOOGLETRANSLATE(B17230, ""zh"", ""en"")"),"Smell, carefully consider very disappointed with the shopping, I have not bought used in drawer has been lost")</f>
        <v>Smell, carefully consider very disappointed with the shopping, I have not bought used in drawer has been lost</v>
      </c>
    </row>
    <row r="17231">
      <c r="A17231" s="1">
        <v>4.0</v>
      </c>
      <c r="B17231" s="1" t="s">
        <v>17019</v>
      </c>
      <c r="C17231" t="str">
        <f>IFERROR(__xludf.DUMMYFUNCTION("GOOGLETRANSLATE(B17231, ""zh"", ""en"")"),"178 / 79KG, wearing L code just 178 / 79KG, L code just to wear, buy it are domestic XL or XXL, the United States, the code is really too large")</f>
        <v>178 / 79KG, wearing L code just 178 / 79KG, L code just to wear, buy it are domestic XL or XXL, the United States, the code is really too large</v>
      </c>
    </row>
    <row r="17232">
      <c r="A17232" s="1">
        <v>4.0</v>
      </c>
      <c r="B17232" s="1" t="s">
        <v>17020</v>
      </c>
      <c r="C17232" t="str">
        <f>IFERROR(__xludf.DUMMYFUNCTION("GOOGLETRANSLATE(B17232, ""zh"", ""en"")"),"7.5 code to buy buy into 8.5, alas! Good very soft comfortable shoes, buy big, just home for the elderly this code, the result of wear to the elderly old man suspected of sole is too soft to step on is not practical, I get it back wearing ......")</f>
        <v>7.5 code to buy buy into 8.5, alas! Good very soft comfortable shoes, buy big, just home for the elderly this code, the result of wear to the elderly old man suspected of sole is too soft to step on is not practical, I get it back wearing ......</v>
      </c>
    </row>
    <row r="17233">
      <c r="A17233" s="1">
        <v>4.0</v>
      </c>
      <c r="B17233" s="1" t="s">
        <v>17021</v>
      </c>
      <c r="C17233" t="str">
        <f>IFERROR(__xludf.DUMMYFUNCTION("GOOGLETRANSLATE(B17233, ""zh"", ""en"")"),"Genuine! Quality affordable! Very good, 170/75 to buy S code just close! The only a messenger too slow!")</f>
        <v>Genuine! Quality affordable! Very good, 170/75 to buy S code just close! The only a messenger too slow!</v>
      </c>
    </row>
    <row r="17234">
      <c r="A17234" s="1">
        <v>4.0</v>
      </c>
      <c r="B17234" s="1" t="s">
        <v>17022</v>
      </c>
      <c r="C17234" t="str">
        <f>IFERROR(__xludf.DUMMYFUNCTION("GOOGLETRANSLATE(B17234, ""zh"", ""en"")"),"Favorite pants and buy the right to overfly happy online shopping to buy clothes Ku Er, difficult to completely right, so these pants to try very appropriate look good, and quickly buy a")</f>
        <v>Favorite pants and buy the right to overfly happy online shopping to buy clothes Ku Er, difficult to completely right, so these pants to try very appropriate look good, and quickly buy a</v>
      </c>
    </row>
    <row r="17235">
      <c r="A17235" s="1">
        <v>4.0</v>
      </c>
      <c r="B17235" s="1" t="s">
        <v>17023</v>
      </c>
      <c r="C17235" t="str">
        <f>IFERROR(__xludf.DUMMYFUNCTION("GOOGLETRANSLATE(B17235, ""zh"", ""en"")"),"Overall good list at No. 16, No. 8 was received. Although let me pass identity declaration delayed for two days, but it is not to force the courier. No. 5 said yes to it, is stunned to drag now. Good quality leather belt, waist 2-foot-7 long 1:36, and if "&amp;"34 just fine. Can not be changed short, he was playing eye, ugly.")</f>
        <v>Overall good list at No. 16, No. 8 was received. Although let me pass identity declaration delayed for two days, but it is not to force the courier. No. 5 said yes to it, is stunned to drag now. Good quality leather belt, waist 2-foot-7 long 1:36, and if 34 just fine. Can not be changed short, he was playing eye, ugly.</v>
      </c>
    </row>
    <row r="17236">
      <c r="A17236" s="1">
        <v>5.0</v>
      </c>
      <c r="B17236" s="1" t="s">
        <v>17024</v>
      </c>
      <c r="C17236" t="str">
        <f>IFERROR(__xludf.DUMMYFUNCTION("GOOGLETRANSLATE(B17236, ""zh"", ""en"")"),"Amazon conscience businesses too fond of. Amazon conscience businesses, kettle receive a month, suddenly received a message saying reduce export taxes, out of my hair 5 8 cents. Although not much money, but the attitude of consumers to make my life powder")</f>
        <v>Amazon conscience businesses too fond of. Amazon conscience businesses, kettle receive a month, suddenly received a message saying reduce export taxes, out of my hair 5 8 cents. Although not much money, but the attitude of consumers to make my life powder</v>
      </c>
    </row>
    <row r="17237">
      <c r="A17237" s="1">
        <v>5.0</v>
      </c>
      <c r="B17237" s="1" t="s">
        <v>17025</v>
      </c>
      <c r="C17237" t="str">
        <f>IFERROR(__xludf.DUMMYFUNCTION("GOOGLETRANSLATE(B17237, ""zh"", ""en"")"),"Starting with less than five hundred good, very good use")</f>
        <v>Starting with less than five hundred good, very good use</v>
      </c>
    </row>
    <row r="17238">
      <c r="A17238" s="1">
        <v>5.0</v>
      </c>
      <c r="B17238" s="1" t="s">
        <v>17026</v>
      </c>
      <c r="C17238" t="str">
        <f>IFERROR(__xludf.DUMMYFUNCTION("GOOGLETRANSLATE(B17238, ""zh"", ""en"")"),"Select the appropriate size being just good, put on a very positive, it is the desired effect!")</f>
        <v>Select the appropriate size being just good, put on a very positive, it is the desired effect!</v>
      </c>
    </row>
    <row r="17239">
      <c r="A17239" s="1">
        <v>5.0</v>
      </c>
      <c r="B17239" s="1" t="s">
        <v>17027</v>
      </c>
      <c r="C17239" t="str">
        <f>IFERROR(__xludf.DUMMYFUNCTION("GOOGLETRANSLATE(B17239, ""zh"", ""en"")"),"Too satisfied with the large-than-expected, less than six hundred super easy to use, domestic products in this price did not have to pick.")</f>
        <v>Too satisfied with the large-than-expected, less than six hundred super easy to use, domestic products in this price did not have to pick.</v>
      </c>
    </row>
    <row r="17240">
      <c r="A17240" s="1">
        <v>5.0</v>
      </c>
      <c r="B17240" s="1" t="s">
        <v>17028</v>
      </c>
      <c r="C17240" t="str">
        <f>IFERROR(__xludf.DUMMYFUNCTION("GOOGLETRANSLATE(B17240, ""zh"", ""en"")"),"A nice wok better than I imagined, heat faster, but also non-stick, handle design is reasonable, not fall, the weight is right. satisfaction")</f>
        <v>A nice wok better than I imagined, heat faster, but also non-stick, handle design is reasonable, not fall, the weight is right. satisfaction</v>
      </c>
    </row>
    <row r="17241">
      <c r="A17241" s="1">
        <v>5.0</v>
      </c>
      <c r="B17241" s="1" t="s">
        <v>17029</v>
      </c>
      <c r="C17241" t="str">
        <f>IFERROR(__xludf.DUMMYFUNCTION("GOOGLETRANSLATE(B17241, ""zh"", ""en"")"),"Yes something good, to close tight buttocks close!")</f>
        <v>Yes something good, to close tight buttocks close!</v>
      </c>
    </row>
    <row r="17242">
      <c r="A17242" s="1">
        <v>5.0</v>
      </c>
      <c r="B17242" s="1" t="s">
        <v>17030</v>
      </c>
      <c r="C17242" t="str">
        <f>IFERROR(__xludf.DUMMYFUNCTION("GOOGLETRANSLATE(B17242, ""zh"", ""en"")"),"Like very good, my sister and a baby one")</f>
        <v>Like very good, my sister and a baby one</v>
      </c>
    </row>
    <row r="17243">
      <c r="A17243" s="1">
        <v>5.0</v>
      </c>
      <c r="B17243" s="1" t="s">
        <v>17031</v>
      </c>
      <c r="C17243" t="str">
        <f>IFERROR(__xludf.DUMMYFUNCTION("GOOGLETRANSLATE(B17243, ""zh"", ""en"")"),"Back up a good look, a lot of friends like. Good-looking, like, size is just right. Quality is good, fine workmanship")</f>
        <v>Back up a good look, a lot of friends like. Good-looking, like, size is just right. Quality is good, fine workmanship</v>
      </c>
    </row>
    <row r="17244">
      <c r="A17244" s="1">
        <v>5.0</v>
      </c>
      <c r="B17244" s="1" t="s">
        <v>17032</v>
      </c>
      <c r="C17244" t="str">
        <f>IFERROR(__xludf.DUMMYFUNCTION("GOOGLETRANSLATE(B17244, ""zh"", ""en"")"),"What shoes texture yes. Good quality shoes, the soles are thick, a relatively heavy kind of shoes.")</f>
        <v>What shoes texture yes. Good quality shoes, the soles are thick, a relatively heavy kind of shoes.</v>
      </c>
    </row>
    <row r="17245">
      <c r="A17245" s="1">
        <v>5.0</v>
      </c>
      <c r="B17245" s="1" t="s">
        <v>17033</v>
      </c>
      <c r="C17245" t="str">
        <f>IFERROR(__xludf.DUMMYFUNCTION("GOOGLETRANSLATE(B17245, ""zh"", ""en"")"),"Not a good use! He has got hands! looks good")</f>
        <v>Not a good use! He has got hands! looks good</v>
      </c>
    </row>
    <row r="17246">
      <c r="A17246" s="1">
        <v>5.0</v>
      </c>
      <c r="B17246" s="1" t="s">
        <v>17034</v>
      </c>
      <c r="C17246" t="str">
        <f>IFERROR(__xludf.DUMMYFUNCTION("GOOGLETRANSLATE(B17246, ""zh"", ""en"")"),"Breathable and comfortable fabric comfortable and flexible, they received less than a week.")</f>
        <v>Breathable and comfortable fabric comfortable and flexible, they received less than a week.</v>
      </c>
    </row>
    <row r="17247">
      <c r="A17247" s="1">
        <v>5.0</v>
      </c>
      <c r="B17247" s="1" t="s">
        <v>17035</v>
      </c>
      <c r="C17247" t="str">
        <f>IFERROR(__xludf.DUMMYFUNCTION("GOOGLETRANSLATE(B17247, ""zh"", ""en"")"),"High cost before the Bi Jie red teeth Used water pipes cracked after a few years, has been entangled is another tube or buy a new one. Amazon, just in time for activities, decisive start! But red teeth feeling great! And buy much cheaper than domestic, hi"&amp;"gh cost!")</f>
        <v>High cost before the Bi Jie red teeth Used water pipes cracked after a few years, has been entangled is another tube or buy a new one. Amazon, just in time for activities, decisive start! But red teeth feeling great! And buy much cheaper than domestic, high cost!</v>
      </c>
    </row>
    <row r="17248">
      <c r="A17248" s="1">
        <v>5.0</v>
      </c>
      <c r="B17248" s="1" t="s">
        <v>17036</v>
      </c>
      <c r="C17248" t="str">
        <f>IFERROR(__xludf.DUMMYFUNCTION("GOOGLETRANSLATE(B17248, ""zh"", ""en"")"),"Overseas can purchase one size larger than the domestic code, 173,60 kg S numbers just")</f>
        <v>Overseas can purchase one size larger than the domestic code, 173,60 kg S numbers just</v>
      </c>
    </row>
    <row r="17249">
      <c r="A17249" s="1">
        <v>5.0</v>
      </c>
      <c r="B17249" s="1" t="s">
        <v>17037</v>
      </c>
      <c r="C17249" t="str">
        <f>IFERROR(__xludf.DUMMYFUNCTION("GOOGLETRANSLATE(B17249, ""zh"", ""en"")"),"Just the right size to use fitness, running can also be used, good quality, much better than domestic.")</f>
        <v>Just the right size to use fitness, running can also be used, good quality, much better than domestic.</v>
      </c>
    </row>
    <row r="17250">
      <c r="A17250" s="1">
        <v>5.0</v>
      </c>
      <c r="B17250" s="1" t="s">
        <v>17038</v>
      </c>
      <c r="C17250" t="str">
        <f>IFERROR(__xludf.DUMMYFUNCTION("GOOGLETRANSLATE(B17250, ""zh"", ""en"")"),"Very good, comfortable to wear. Very nice, comfortable, the price is very beautiful, buy a bigger")</f>
        <v>Very good, comfortable to wear. Very nice, comfortable, the price is very beautiful, buy a bigger</v>
      </c>
    </row>
    <row r="17251">
      <c r="A17251" s="1">
        <v>5.0</v>
      </c>
      <c r="B17251" s="1" t="s">
        <v>17039</v>
      </c>
      <c r="C17251" t="str">
        <f>IFERROR(__xludf.DUMMYFUNCTION("GOOGLETRANSLATE(B17251, ""zh"", ""en"")"),"Sea Amoy satisfaction + prime membership purchase, the price is right, express soon. UK version, unlike the domestic version before you buy a special paper manual that says water quality are optimized for the United Kingdom on the box, do not know whether"&amp;" it is also suitable for the country. Now use the black scum does not appear, so far satisfied with the shopping.")</f>
        <v>Sea Amoy satisfaction + prime membership purchase, the price is right, express soon. UK version, unlike the domestic version before you buy a special paper manual that says water quality are optimized for the United Kingdom on the box, do not know whether it is also suitable for the country. Now use the black scum does not appear, so far satisfied with the shopping.</v>
      </c>
    </row>
    <row r="17252">
      <c r="A17252" s="1">
        <v>5.0</v>
      </c>
      <c r="B17252" s="1" t="s">
        <v>17040</v>
      </c>
      <c r="C17252" t="str">
        <f>IFERROR(__xludf.DUMMYFUNCTION("GOOGLETRANSLATE(B17252, ""zh"", ""en"")"),"Finally start with the size is very positive, it is 252 feet long, for reference.")</f>
        <v>Finally start with the size is very positive, it is 252 feet long, for reference.</v>
      </c>
    </row>
    <row r="17253">
      <c r="A17253" s="1">
        <v>5.0</v>
      </c>
      <c r="B17253" s="1" t="s">
        <v>17041</v>
      </c>
      <c r="C17253" t="str">
        <f>IFERROR(__xludf.DUMMYFUNCTION("GOOGLETRANSLATE(B17253, ""zh"", ""en"")"),"Classic, transport packaging needs to be improved. Wide 2E, the length 260, the legs look tongue is narrow, not light weight. The second double, and usually wearing no problems on the site, not afraid of nails and bump, a little heavy, not suitable for a "&amp;"long walk. Work well, classic, can be put on a few years. Logistics can also speed, five days earlier than expected to come, but still a bit worse transport packaging, plastic bags, plus original shoe box packaging inadequate protection to the shoe, the s"&amp;"hoe box are scattered, but fortunately did not hurt the shoes.")</f>
        <v>Classic, transport packaging needs to be improved. Wide 2E, the length 260, the legs look tongue is narrow, not light weight. The second double, and usually wearing no problems on the site, not afraid of nails and bump, a little heavy, not suitable for a long walk. Work well, classic, can be put on a few years. Logistics can also speed, five days earlier than expected to come, but still a bit worse transport packaging, plastic bags, plus original shoe box packaging inadequate protection to the shoe, the shoe box are scattered, but fortunately did not hurt the shoes.</v>
      </c>
    </row>
    <row r="17254">
      <c r="A17254" s="1">
        <v>5.0</v>
      </c>
      <c r="B17254" s="1" t="s">
        <v>17042</v>
      </c>
      <c r="C17254" t="str">
        <f>IFERROR(__xludf.DUMMYFUNCTION("GOOGLETRANSLATE(B17254, ""zh"", ""en"")"),"Comfort is good very comfortable to wear, no sense of restraint")</f>
        <v>Comfort is good very comfortable to wear, no sense of restraint</v>
      </c>
    </row>
    <row r="17255">
      <c r="A17255" s="1">
        <v>5.0</v>
      </c>
      <c r="B17255" s="1" t="s">
        <v>17043</v>
      </c>
      <c r="C17255" t="str">
        <f>IFERROR(__xludf.DUMMYFUNCTION("GOOGLETRANSLATE(B17255, ""zh"", ""en"")"),"Shelf Life 2021 buy now, no problems, shelf life is to 2021, is said to have the effect of green bottle sports injuries, try to buy")</f>
        <v>Shelf Life 2021 buy now, no problems, shelf life is to 2021, is said to have the effect of green bottle sports injuries, try to buy</v>
      </c>
    </row>
    <row r="17256">
      <c r="A17256" s="1">
        <v>5.0</v>
      </c>
      <c r="B17256" s="1" t="s">
        <v>17044</v>
      </c>
      <c r="C17256" t="str">
        <f>IFERROR(__xludf.DUMMYFUNCTION("GOOGLETRANSLATE(B17256, ""zh"", ""en"")"),"Good quality very warm very warm one pair can handle more than five degrees")</f>
        <v>Good quality very warm very warm one pair can handle more than five degrees</v>
      </c>
    </row>
    <row r="17257">
      <c r="A17257" s="1">
        <v>2.0</v>
      </c>
      <c r="B17257" s="1" t="s">
        <v>17045</v>
      </c>
      <c r="C17257" t="str">
        <f>IFERROR(__xludf.DUMMYFUNCTION("GOOGLETRANSLATE(B17257, ""zh"", ""en"")"),"Fading leg when the leg has sent a significant discoloration")</f>
        <v>Fading leg when the leg has sent a significant discoloration</v>
      </c>
    </row>
    <row r="17258">
      <c r="A17258" s="1">
        <v>3.0</v>
      </c>
      <c r="B17258" s="1" t="s">
        <v>17046</v>
      </c>
      <c r="C17258" t="str">
        <f>IFERROR(__xludf.DUMMYFUNCTION("GOOGLETRANSLATE(B17258, ""zh"", ""en"")"),"Recommend pants or buy carefully, size difficult to grasp how to say, yardage pants I refer to the size of the table control, and then hung up, buy back large waist a lot, I bought a four pants in the Amazon, basically inappropriate")</f>
        <v>Recommend pants or buy carefully, size difficult to grasp how to say, yardage pants I refer to the size of the table control, and then hung up, buy back large waist a lot, I bought a four pants in the Amazon, basically inappropriate</v>
      </c>
    </row>
    <row r="17259">
      <c r="A17259" s="1">
        <v>3.0</v>
      </c>
      <c r="B17259" s="1" t="s">
        <v>17047</v>
      </c>
      <c r="C17259" t="str">
        <f>IFERROR(__xludf.DUMMYFUNCTION("GOOGLETRANSLATE(B17259, ""zh"", ""en"")"),"Just so 17273 kg Waist appropriate, legs a little tight, especially tight on the calf, it is recommended people wear thin legs, elastic very good!")</f>
        <v>Just so 17273 kg Waist appropriate, legs a little tight, especially tight on the calf, it is recommended people wear thin legs, elastic very good!</v>
      </c>
    </row>
    <row r="17260">
      <c r="A17260" s="1">
        <v>3.0</v>
      </c>
      <c r="B17260" s="1" t="s">
        <v>17048</v>
      </c>
      <c r="C17260" t="str">
        <f>IFERROR(__xludf.DUMMYFUNCTION("GOOGLETRANSLATE(B17260, ""zh"", ""en"")"),"j pink plastic shell covered with scratches boxes flawed perfectionist do not buy a pink plastic shell covered with scratches boxes flawed perfectionist and do not buy housing either too loose or too tight")</f>
        <v>j pink plastic shell covered with scratches boxes flawed perfectionist do not buy a pink plastic shell covered with scratches boxes flawed perfectionist and do not buy housing either too loose or too tight</v>
      </c>
    </row>
    <row r="17261">
      <c r="A17261" s="1">
        <v>1.0</v>
      </c>
      <c r="B17261" s="1" t="s">
        <v>17049</v>
      </c>
      <c r="C17261" t="str">
        <f>IFERROR(__xludf.DUMMYFUNCTION("GOOGLETRANSLATE(B17261, ""zh"", ""en"")"),"Unglued like other buyers feedback unglued case, suspected to be defective")</f>
        <v>Unglued like other buyers feedback unglued case, suspected to be defective</v>
      </c>
    </row>
    <row r="17262">
      <c r="A17262" s="1">
        <v>1.0</v>
      </c>
      <c r="B17262" s="1" t="s">
        <v>17050</v>
      </c>
      <c r="C17262" t="str">
        <f>IFERROR(__xludf.DUMMYFUNCTION("GOOGLETRANSLATE(B17262, ""zh"", ""en"")"),"Clothing sizes clothes quality is also a little smaller size")</f>
        <v>Clothing sizes clothes quality is also a little smaller size</v>
      </c>
    </row>
    <row r="17263">
      <c r="A17263" s="1">
        <v>1.0</v>
      </c>
      <c r="B17263" s="1" t="s">
        <v>17051</v>
      </c>
      <c r="C17263" t="str">
        <f>IFERROR(__xludf.DUMMYFUNCTION("GOOGLETRANSLATE(B17263, ""zh"", ""en"")"),"Very bad no tag, not Montblanc logo, please give the official a reasonable explanation. Really like three products")</f>
        <v>Very bad no tag, not Montblanc logo, please give the official a reasonable explanation. Really like three products</v>
      </c>
    </row>
    <row r="17264">
      <c r="A17264" s="1">
        <v>4.0</v>
      </c>
      <c r="B17264" s="1" t="s">
        <v>17052</v>
      </c>
      <c r="C17264" t="str">
        <f>IFERROR(__xludf.DUMMYFUNCTION("GOOGLETRANSLATE(B17264, ""zh"", ""en"")"),"The price can be good")</f>
        <v>The price can be good</v>
      </c>
    </row>
    <row r="17265">
      <c r="A17265" s="1">
        <v>4.0</v>
      </c>
      <c r="B17265" s="1" t="s">
        <v>17053</v>
      </c>
      <c r="C17265" t="str">
        <f>IFERROR(__xludf.DUMMYFUNCTION("GOOGLETRANSLATE(B17265, ""zh"", ""en"")"),"Oh pajamas style quality is very good, just did not expect pajamas 😂")</f>
        <v>Oh pajamas style quality is very good, just did not expect pajamas 😂</v>
      </c>
    </row>
    <row r="17266">
      <c r="A17266" s="1">
        <v>4.0</v>
      </c>
      <c r="B17266" s="1" t="s">
        <v>17054</v>
      </c>
      <c r="C17266" t="str">
        <f>IFERROR(__xludf.DUMMYFUNCTION("GOOGLETRANSLATE(B17266, ""zh"", ""en"")"),"Some other big collar neckline can")</f>
        <v>Some other big collar neckline can</v>
      </c>
    </row>
    <row r="17267">
      <c r="A17267" s="1">
        <v>4.0</v>
      </c>
      <c r="B17267" s="1" t="s">
        <v>17055</v>
      </c>
      <c r="C17267" t="str">
        <f>IFERROR(__xludf.DUMMYFUNCTION("GOOGLETRANSLATE(B17267, ""zh"", ""en"")"),"Too much noise reduction headphones okay, okay subway with headphones too, how big? You imagine, with headphones you can see the corner of my headphones 🎧")</f>
        <v>Too much noise reduction headphones okay, okay subway with headphones too, how big? You imagine, with headphones you can see the corner of my headphones 🎧</v>
      </c>
    </row>
    <row r="17268">
      <c r="A17268" s="1">
        <v>4.0</v>
      </c>
      <c r="B17268" s="1" t="s">
        <v>17056</v>
      </c>
      <c r="C17268" t="str">
        <f>IFERROR(__xludf.DUMMYFUNCTION("GOOGLETRANSLATE(B17268, ""zh"", ""en"")"),"Amazon has supported liked, put it down and not pick up, the quality is really good")</f>
        <v>Amazon has supported liked, put it down and not pick up, the quality is really good</v>
      </c>
    </row>
    <row r="17269">
      <c r="A17269" s="1">
        <v>5.0</v>
      </c>
      <c r="B17269" s="1" t="s">
        <v>17057</v>
      </c>
      <c r="C17269" t="str">
        <f>IFERROR(__xludf.DUMMYFUNCTION("GOOGLETRANSLATE(B17269, ""zh"", ""en"")"),"Worth having pour boiling water in the morning, the evening is still very hot, about ten hours")</f>
        <v>Worth having pour boiling water in the morning, the evening is still very hot, about ten hours</v>
      </c>
    </row>
    <row r="17270">
      <c r="A17270" s="1">
        <v>5.0</v>
      </c>
      <c r="B17270" s="1" t="s">
        <v>17058</v>
      </c>
      <c r="C17270" t="str">
        <f>IFERROR(__xludf.DUMMYFUNCTION("GOOGLETRANSLATE(B17270, ""zh"", ""en"")"),"Good pants pants good, good material, anti-fouling and easy to clean. Style and quality are very good.")</f>
        <v>Good pants pants good, good material, anti-fouling and easy to clean. Style and quality are very good.</v>
      </c>
    </row>
    <row r="17271">
      <c r="A17271" s="1">
        <v>5.0</v>
      </c>
      <c r="B17271" s="1" t="s">
        <v>17059</v>
      </c>
      <c r="C17271" t="str">
        <f>IFERROR(__xludf.DUMMYFUNCTION("GOOGLETRANSLATE(B17271, ""zh"", ""en"")"),"Zojirushi good things look pretty lightweight and cost-effective 👍🏻 recommended")</f>
        <v>Zojirushi good things look pretty lightweight and cost-effective 👍🏻 recommended</v>
      </c>
    </row>
    <row r="17272">
      <c r="A17272" s="1">
        <v>5.0</v>
      </c>
      <c r="B17272" s="1" t="s">
        <v>17060</v>
      </c>
      <c r="C17272" t="str">
        <f>IFERROR(__xludf.DUMMYFUNCTION("GOOGLETRANSLATE(B17272, ""zh"", ""en"")"),"The voltage is 100 ~ 240v transformer without direct domestic use, personally feel very good use.")</f>
        <v>The voltage is 100 ~ 240v transformer without direct domestic use, personally feel very good use.</v>
      </c>
    </row>
    <row r="17273">
      <c r="A17273" s="1">
        <v>5.0</v>
      </c>
      <c r="B17273" s="1" t="s">
        <v>17061</v>
      </c>
      <c r="C17273" t="str">
        <f>IFERROR(__xludf.DUMMYFUNCTION("GOOGLETRANSLATE(B17273, ""zh"", ""en"")"),"No color pictures look good, but the version is really good color is not the picture look good, but really good version")</f>
        <v>No color pictures look good, but the version is really good color is not the picture look good, but really good version</v>
      </c>
    </row>
    <row r="17274">
      <c r="A17274" s="1">
        <v>5.0</v>
      </c>
      <c r="B17274" s="1" t="s">
        <v>17062</v>
      </c>
      <c r="C17274" t="str">
        <f>IFERROR(__xludf.DUMMYFUNCTION("GOOGLETRANSLATE(B17274, ""zh"", ""en"")"),"Great 173cm, 80kg, buy w33-30l, had always wanted to buy abroad, because many times the size of reasons to give up, this time with reference to others, decisive shot, very perfect. Some elastic waist pants, good.")</f>
        <v>Great 173cm, 80kg, buy w33-30l, had always wanted to buy abroad, because many times the size of reasons to give up, this time with reference to others, decisive shot, very perfect. Some elastic waist pants, good.</v>
      </c>
    </row>
    <row r="17275">
      <c r="A17275" s="1">
        <v>5.0</v>
      </c>
      <c r="B17275" s="1" t="s">
        <v>17063</v>
      </c>
      <c r="C17275" t="str">
        <f>IFERROR(__xludf.DUMMYFUNCTION("GOOGLETRANSLATE(B17275, ""zh"", ""en"")"),"UK shipments of good quality shoes the right size color engaging and elegant version of the type good-looking comfortable and durable flat")</f>
        <v>UK shipments of good quality shoes the right size color engaging and elegant version of the type good-looking comfortable and durable flat</v>
      </c>
    </row>
    <row r="17276">
      <c r="A17276" s="1">
        <v>5.0</v>
      </c>
      <c r="B17276" s="1" t="s">
        <v>17064</v>
      </c>
      <c r="C17276" t="str">
        <f>IFERROR(__xludf.DUMMYFUNCTION("GOOGLETRANSLATE(B17276, ""zh"", ""en"")"),"Clothes to wear very comfortable, is the high price point fabric quality is good")</f>
        <v>Clothes to wear very comfortable, is the high price point fabric quality is good</v>
      </c>
    </row>
    <row r="17277">
      <c r="A17277" s="1">
        <v>5.0</v>
      </c>
      <c r="B17277" s="1" t="s">
        <v>17065</v>
      </c>
      <c r="C17277" t="str">
        <f>IFERROR(__xludf.DUMMYFUNCTION("GOOGLETRANSLATE(B17277, ""zh"", ""en"")"),"Getting close to plant listening sound choice 1, 2016 have been purchased through a pair of JBL 305P MKI, a bookshelf box is very good, with a good sound card can play a lot of potential, active speakers without additional configuration amplifier, relaxed"&amp;" Achieve the desired effect. 2, according to query data, the second generation of JBL 3 Series monitors also have JBL sound field 7 series and mastering-M2 series of control waveguide technology. It provides amazing detail, clear sound image, a wide range"&amp;" of sweet spot and an impressive dynamic range. Treble head portion shielding electromagnetic waves is added, to bring the feedback at high frequencies more rapidly, a new design of the bass pots made, to bring the feedback curve and less harmonic distort"&amp;"ion. High-woofer use the Class D amplifier. Upgrading should really make progress, and this point has been compared if you can hear it, obviously. 3, JBL 305P MKII 5.1 surround sound and suitable for 7.2 surround, because understanding the quality of this"&amp;" box directly with the two sets of 7.1, even now less than so many combinations, because when you configure a surround will find this is no more than a combination of cost-effective, after all, only a 7.1 Genelec 7 series and Tanner a price, with a power "&amp;"cord adapter just fine, sound is indeed a highly cost-effective, and almost happened decoration the whole house equipped with this box, audio system about money a lot.")</f>
        <v>Getting close to plant listening sound choice 1, 2016 have been purchased through a pair of JBL 305P MKI, a bookshelf box is very good, with a good sound card can play a lot of potential, active speakers without additional configuration amplifier, relaxed Achieve the desired effect. 2, according to query data, the second generation of JBL 3 Series monitors also have JBL sound field 7 series and mastering-M2 series of control waveguide technology. It provides amazing detail, clear sound image, a wide range of sweet spot and an impressive dynamic range. Treble head portion shielding electromagnetic waves is added, to bring the feedback at high frequencies more rapidly, a new design of the bass pots made, to bring the feedback curve and less harmonic distortion. High-woofer use the Class D amplifier. Upgrading should really make progress, and this point has been compared if you can hear it, obviously. 3, JBL 305P MKII 5.1 surround sound and suitable for 7.2 surround, because understanding the quality of this box directly with the two sets of 7.1, even now less than so many combinations, because when you configure a surround will find this is no more than a combination of cost-effective, after all, only a 7.1 Genelec 7 series and Tanner a price, with a power cord adapter just fine, sound is indeed a highly cost-effective, and almost happened decoration the whole house equipped with this box, audio system about money a lot.</v>
      </c>
    </row>
    <row r="17278">
      <c r="A17278" s="1">
        <v>5.0</v>
      </c>
      <c r="B17278" s="1" t="s">
        <v>17066</v>
      </c>
      <c r="C17278" t="str">
        <f>IFERROR(__xludf.DUMMYFUNCTION("GOOGLETRANSLATE(B17278, ""zh"", ""en"")"),"Feel very good pen retractable feel very good in his hand very texture without any single problem but a very good shape from the cartridge and designs. . . . Very hard to write, there is no smooth feeling Is Space Pen is that right?")</f>
        <v>Feel very good pen retractable feel very good in his hand very texture without any single problem but a very good shape from the cartridge and designs. . . . Very hard to write, there is no smooth feeling Is Space Pen is that right?</v>
      </c>
    </row>
    <row r="17279">
      <c r="A17279" s="1">
        <v>5.0</v>
      </c>
      <c r="B17279" s="1" t="s">
        <v>17067</v>
      </c>
      <c r="C17279" t="str">
        <f>IFERROR(__xludf.DUMMYFUNCTION("GOOGLETRANSLATE(B17279, ""zh"", ""en"")"),"Comfort socks comfortable fit, worth buying")</f>
        <v>Comfort socks comfortable fit, worth buying</v>
      </c>
    </row>
    <row r="17280">
      <c r="A17280" s="1">
        <v>5.0</v>
      </c>
      <c r="B17280" s="1" t="s">
        <v>17068</v>
      </c>
      <c r="C17280" t="str">
        <f>IFERROR(__xludf.DUMMYFUNCTION("GOOGLETRANSLATE(B17280, ""zh"", ""en"")"),"Yes, cotton, the price is right good, pure cotton, the price is right")</f>
        <v>Yes, cotton, the price is right good, pure cotton, the price is right</v>
      </c>
    </row>
    <row r="17281">
      <c r="A17281" s="1">
        <v>5.0</v>
      </c>
      <c r="B17281" s="1" t="s">
        <v>17069</v>
      </c>
      <c r="C17281" t="str">
        <f>IFERROR(__xludf.DUMMYFUNCTION("GOOGLETRANSLATE(B17281, ""zh"", ""en"")"),"Feel and use are good, clean easy to handle and use are also good, but also easy to clean, a lot cheaper than other electricity providers. Just do not eat after the baby with breast milk, because of the relatively breast milk, eat more effort bottle. Curr"&amp;"ently overseas purchase clearance is slow, this can only sigh about the whole thing.")</f>
        <v>Feel and use are good, clean easy to handle and use are also good, but also easy to clean, a lot cheaper than other electricity providers. Just do not eat after the baby with breast milk, because of the relatively breast milk, eat more effort bottle. Currently overseas purchase clearance is slow, this can only sigh about the whole thing.</v>
      </c>
    </row>
    <row r="17282">
      <c r="A17282" s="1">
        <v>5.0</v>
      </c>
      <c r="B17282" s="1" t="s">
        <v>17070</v>
      </c>
      <c r="C17282" t="str">
        <f>IFERROR(__xludf.DUMMYFUNCTION("GOOGLETRANSLATE(B17282, ""zh"", ""en"")"),"Very good headphones when the full reduction of the purchase is worth")</f>
        <v>Very good headphones when the full reduction of the purchase is worth</v>
      </c>
    </row>
    <row r="17283">
      <c r="A17283" s="1">
        <v>5.0</v>
      </c>
      <c r="B17283" s="1" t="s">
        <v>17071</v>
      </c>
      <c r="C17283" t="str">
        <f>IFERROR(__xludf.DUMMYFUNCTION("GOOGLETRANSLATE(B17283, ""zh"", ""en"")"),"Worth having tailoring simple, good quality, good upper body.")</f>
        <v>Worth having tailoring simple, good quality, good upper body.</v>
      </c>
    </row>
    <row r="17284">
      <c r="A17284" s="1">
        <v>5.0</v>
      </c>
      <c r="B17284" s="1" t="s">
        <v>17072</v>
      </c>
      <c r="C17284" t="str">
        <f>IFERROR(__xludf.DUMMYFUNCTION("GOOGLETRANSLATE(B17284, ""zh"", ""en"")"),"Very good quality of Holland factory, adequate power after charged. With a very comfortable, for the first time on shopping in the Amazon, logistics very fast, like to spend a little bit long.")</f>
        <v>Very good quality of Holland factory, adequate power after charged. With a very comfortable, for the first time on shopping in the Amazon, logistics very fast, like to spend a little bit long.</v>
      </c>
    </row>
    <row r="17285">
      <c r="A17285" s="1">
        <v>5.0</v>
      </c>
      <c r="B17285" s="1" t="s">
        <v>17073</v>
      </c>
      <c r="C17285" t="str">
        <f>IFERROR(__xludf.DUMMYFUNCTION("GOOGLETRANSLATE(B17285, ""zh"", ""en"")"),"Suitable for this season to go out wearing a fisherman's hat hat look good, color is also very good with clothes, like")</f>
        <v>Suitable for this season to go out wearing a fisherman's hat hat look good, color is also very good with clothes, like</v>
      </c>
    </row>
    <row r="17286">
      <c r="A17286" s="1">
        <v>5.0</v>
      </c>
      <c r="B17286" s="1" t="s">
        <v>17074</v>
      </c>
      <c r="C17286" t="str">
        <f>IFERROR(__xludf.DUMMYFUNCTION("GOOGLETRANSLATE(B17286, ""zh"", ""en"")"),"Private courier? Fit, good quality, but unfortunately, put on the body like a SF courier :(")</f>
        <v>Private courier? Fit, good quality, but unfortunately, put on the body like a SF courier :(</v>
      </c>
    </row>
    <row r="17287">
      <c r="A17287" s="1">
        <v>5.0</v>
      </c>
      <c r="B17287" s="1" t="s">
        <v>17075</v>
      </c>
      <c r="C17287" t="str">
        <f>IFERROR(__xludf.DUMMYFUNCTION("GOOGLETRANSLATE(B17287, ""zh"", ""en"")"),"I was very satisfied with shoes feet 41, United States Code 9.5, 7 yards, this brand for the first time to buy, buy 10 yards, half of the fingers, wearing a very light, thin soles a little bit, as the shoes, very satisfied")</f>
        <v>I was very satisfied with shoes feet 41, United States Code 9.5, 7 yards, this brand for the first time to buy, buy 10 yards, half of the fingers, wearing a very light, thin soles a little bit, as the shoes, very satisfied</v>
      </c>
    </row>
    <row r="17288">
      <c r="A17288" s="1">
        <v>5.0</v>
      </c>
      <c r="B17288" s="1" t="s">
        <v>17076</v>
      </c>
      <c r="C17288" t="str">
        <f>IFERROR(__xludf.DUMMYFUNCTION("GOOGLETRANSLATE(B17288, ""zh"", ""en"")"),"Satisfaction six meters two, one hundred pounds, for the first time overseas to buy pants, see review research for a long time, bought short2, thin Qiuku test sets, and appropriate, is not under half legs tight, a little loose some, the version look good,"&amp;" flexible, very satisfied")</f>
        <v>Satisfaction six meters two, one hundred pounds, for the first time overseas to buy pants, see review research for a long time, bought short2, thin Qiuku test sets, and appropriate, is not under half legs tight, a little loose some, the version look good, flexible, very satisfied</v>
      </c>
    </row>
    <row r="17289">
      <c r="A17289" s="1">
        <v>5.0</v>
      </c>
      <c r="B17289" s="1" t="s">
        <v>17077</v>
      </c>
      <c r="C17289" t="str">
        <f>IFERROR(__xludf.DUMMYFUNCTION("GOOGLETRANSLATE(B17289, ""zh"", ""en"")"),"Worth starting cheaper, the value of which sound money, female weapon, it is worth starting")</f>
        <v>Worth starting cheaper, the value of which sound money, female weapon, it is worth starting</v>
      </c>
    </row>
    <row r="17290">
      <c r="A17290" s="1">
        <v>5.0</v>
      </c>
      <c r="B17290" s="1" t="s">
        <v>17078</v>
      </c>
      <c r="C17290" t="str">
        <f>IFERROR(__xludf.DUMMYFUNCTION("GOOGLETRANSLATE(B17290, ""zh"", ""en"")"),"I do not know really easy to use do not know really easy to use, but not in cramps after eating too basic.")</f>
        <v>I do not know really easy to use do not know really easy to use, but not in cramps after eating too basic.</v>
      </c>
    </row>
    <row r="17291">
      <c r="A17291" s="1">
        <v>2.0</v>
      </c>
      <c r="B17291" s="1" t="s">
        <v>17079</v>
      </c>
      <c r="C17291" t="str">
        <f>IFERROR(__xludf.DUMMYFUNCTION("GOOGLETRANSLATE(B17291, ""zh"", ""en"")"),"Good feel good, right weighty wave-success")</f>
        <v>Good feel good, right weighty wave-success</v>
      </c>
    </row>
    <row r="17292">
      <c r="A17292" s="1">
        <v>3.0</v>
      </c>
      <c r="B17292" s="1" t="s">
        <v>17080</v>
      </c>
      <c r="C17292" t="str">
        <f>IFERROR(__xludf.DUMMYFUNCTION("GOOGLETRANSLATE(B17292, ""zh"", ""en"")"),"33 waist 95 cm waist belt buy big One 33 inches, 95 cm has to buy the most tight buttonhole, should I just buy 90 cm, 95 cm need to go to make a hole in order to wear them is not so loose. Sentence summary, to press your pants waist buy, if inch waist siz"&amp;"e does not correspond, then add an inch can be. I am 33-inch waist, to buy 34 inches (90 cm) of the belt can be.")</f>
        <v>33 waist 95 cm waist belt buy big One 33 inches, 95 cm has to buy the most tight buttonhole, should I just buy 90 cm, 95 cm need to go to make a hole in order to wear them is not so loose. Sentence summary, to press your pants waist buy, if inch waist size does not correspond, then add an inch can be. I am 33-inch waist, to buy 34 inches (90 cm) of the belt can be.</v>
      </c>
    </row>
    <row r="17293">
      <c r="A17293" s="1">
        <v>3.0</v>
      </c>
      <c r="B17293" s="1" t="s">
        <v>17081</v>
      </c>
      <c r="C17293" t="str">
        <f>IFERROR(__xludf.DUMMYFUNCTION("GOOGLETRANSLATE(B17293, ""zh"", ""en"")"),"General bar size okay, that is more rigid shoes, mainly waterproof")</f>
        <v>General bar size okay, that is more rigid shoes, mainly waterproof</v>
      </c>
    </row>
    <row r="17294">
      <c r="A17294" s="1">
        <v>3.0</v>
      </c>
      <c r="B17294" s="1" t="s">
        <v>17082</v>
      </c>
      <c r="C17294" t="str">
        <f>IFERROR(__xludf.DUMMYFUNCTION("GOOGLETRANSLATE(B17294, ""zh"", ""en"")"),"Samsung most do not want to say anything, Europe is not responsible for packaging extreme, no carton, plastic packaging and no, not even a plastic bag to cover, directly on the bare ground merchandise brought before the logistics alone even directly ECMS "&amp;"posted on commodities, really long exposure, eight corners of the filter box, not a corner is intact, all smashed smashes, I bought my relatives, when I put this out like trash pick up things to my relatives, I ask, if it is you, send you anything? ? Fina"&amp;"lly, customer service hit 8-fold, in order to solve this problem, but things only for my own use, send not shot, alas.")</f>
        <v>Samsung most do not want to say anything, Europe is not responsible for packaging extreme, no carton, plastic packaging and no, not even a plastic bag to cover, directly on the bare ground merchandise brought before the logistics alone even directly ECMS posted on commodities, really long exposure, eight corners of the filter box, not a corner is intact, all smashed smashes, I bought my relatives, when I put this out like trash pick up things to my relatives, I ask, if it is you, send you anything? ? Finally, customer service hit 8-fold, in order to solve this problem, but things only for my own use, send not shot, alas.</v>
      </c>
    </row>
    <row r="17295">
      <c r="A17295" s="1">
        <v>1.0</v>
      </c>
      <c r="B17295" s="1" t="s">
        <v>17083</v>
      </c>
      <c r="C17295" t="str">
        <f>IFERROR(__xludf.DUMMYFUNCTION("GOOGLETRANSLATE(B17295, ""zh"", ""en"")"),"Rusty bought a long time, it has been useless. Today actually found out rusty!")</f>
        <v>Rusty bought a long time, it has been useless. Today actually found out rusty!</v>
      </c>
    </row>
    <row r="17296">
      <c r="A17296" s="1">
        <v>1.0</v>
      </c>
      <c r="B17296" s="1" t="s">
        <v>17084</v>
      </c>
      <c r="C17296" t="str">
        <f>IFERROR(__xludf.DUMMYFUNCTION("GOOGLETRANSLATE(B17296, ""zh"", ""en"")"),"Why 2XL too great so big, there are 2 times larger than 2XL I usually buy")</f>
        <v>Why 2XL too great so big, there are 2 times larger than 2XL I usually buy</v>
      </c>
    </row>
    <row r="17297">
      <c r="A17297" s="1">
        <v>4.0</v>
      </c>
      <c r="B17297" s="1" t="s">
        <v>17085</v>
      </c>
      <c r="C17297" t="str">
        <f>IFERROR(__xludf.DUMMYFUNCTION("GOOGLETRANSLATE(B17297, ""zh"", ""en"")"),"Parker ballpoint relatively light quality, good value for money, is the refill is blue")</f>
        <v>Parker ballpoint relatively light quality, good value for money, is the refill is blue</v>
      </c>
    </row>
    <row r="17298">
      <c r="A17298" s="1">
        <v>4.0</v>
      </c>
      <c r="B17298" s="1" t="s">
        <v>17086</v>
      </c>
      <c r="C17298" t="str">
        <f>IFERROR(__xludf.DUMMYFUNCTION("GOOGLETRANSLATE(B17298, ""zh"", ""en"")"),"1 is also good, not very adult feel a little small dial a little bit 2, polished stainless steel strap on the back of some rough does not affect looked worried 3, green backlight a little bit not like the color")</f>
        <v>1 is also good, not very adult feel a little small dial a little bit 2, polished stainless steel strap on the back of some rough does not affect looked worried 3, green backlight a little bit not like the color</v>
      </c>
    </row>
    <row r="17299">
      <c r="A17299" s="1">
        <v>4.0</v>
      </c>
      <c r="B17299" s="1" t="s">
        <v>17087</v>
      </c>
      <c r="C17299" t="str">
        <f>IFERROR(__xludf.DUMMYFUNCTION("GOOGLETRANSLATE(B17299, ""zh"", ""en"")"),"Wear long will not say outdated classic pair of shoes, wild")</f>
        <v>Wear long will not say outdated classic pair of shoes, wild</v>
      </c>
    </row>
    <row r="17300">
      <c r="A17300" s="1">
        <v>4.0</v>
      </c>
      <c r="B17300" s="1" t="s">
        <v>17088</v>
      </c>
      <c r="C17300" t="str">
        <f>IFERROR(__xludf.DUMMYFUNCTION("GOOGLETRANSLATE(B17300, ""zh"", ""en"")"),"Cotton is also good, a bit thick, suitable for winter wear, quality can also be right, but I did not buy before good Lacoste")</f>
        <v>Cotton is also good, a bit thick, suitable for winter wear, quality can also be right, but I did not buy before good Lacoste</v>
      </c>
    </row>
    <row r="17301">
      <c r="A17301" s="1">
        <v>4.0</v>
      </c>
      <c r="B17301" s="1" t="s">
        <v>17089</v>
      </c>
      <c r="C17301" t="str">
        <f>IFERROR(__xludf.DUMMYFUNCTION("GOOGLETRANSLATE(B17301, ""zh"", ""en"")"),"175 for my height 175, weight 70kg, buy s very appropriate. Fabric is also good.")</f>
        <v>175 for my height 175, weight 70kg, buy s very appropriate. Fabric is also good.</v>
      </c>
    </row>
    <row r="17302">
      <c r="A17302" s="1">
        <v>5.0</v>
      </c>
      <c r="B17302" s="1" t="s">
        <v>17090</v>
      </c>
      <c r="C17302" t="str">
        <f>IFERROR(__xludf.DUMMYFUNCTION("GOOGLETRANSLATE(B17302, ""zh"", ""en"")"),"Calcium absorption is particularly fast eating more calcium, this is very convenient, VD, and K have the same time, but if you forget to eat, as a pregnant mother about to feel out. . .")</f>
        <v>Calcium absorption is particularly fast eating more calcium, this is very convenient, VD, and K have the same time, but if you forget to eat, as a pregnant mother about to feel out. . .</v>
      </c>
    </row>
    <row r="17303">
      <c r="A17303" s="1">
        <v>5.0</v>
      </c>
      <c r="B17303" s="1" t="s">
        <v>17091</v>
      </c>
      <c r="C17303" t="str">
        <f>IFERROR(__xludf.DUMMYFUNCTION("GOOGLETRANSLATE(B17303, ""zh"", ""en"")"),"Hermes is indeed bowl bowl Hermes good use.")</f>
        <v>Hermes is indeed bowl bowl Hermes good use.</v>
      </c>
    </row>
    <row r="17304">
      <c r="A17304" s="1">
        <v>5.0</v>
      </c>
      <c r="B17304" s="1" t="s">
        <v>17092</v>
      </c>
      <c r="C17304" t="str">
        <f>IFERROR(__xludf.DUMMYFUNCTION("GOOGLETRANSLATE(B17304, ""zh"", ""en"")"),"British standard, universal international voltage, good results! Could have returned the application, because it is the British standard, a customer service consulting later, he bought the adapter, can be used, with good results after, hanging along, a lo"&amp;"t of files. awesome!")</f>
        <v>British standard, universal international voltage, good results! Could have returned the application, because it is the British standard, a customer service consulting later, he bought the adapter, can be used, with good results after, hanging along, a lot of files. awesome!</v>
      </c>
    </row>
    <row r="17305">
      <c r="A17305" s="1">
        <v>5.0</v>
      </c>
      <c r="B17305" s="1" t="s">
        <v>17093</v>
      </c>
      <c r="C17305" t="str">
        <f>IFERROR(__xludf.DUMMYFUNCTION("GOOGLETRANSLATE(B17305, ""zh"", ""en"")"),"Very good praise. Although often go to Japan, or choose to buy online. Convenience.")</f>
        <v>Very good praise. Although often go to Japan, or choose to buy online. Convenience.</v>
      </c>
    </row>
    <row r="17306">
      <c r="A17306" s="1">
        <v>5.0</v>
      </c>
      <c r="B17306" s="1" t="s">
        <v>17094</v>
      </c>
      <c r="C17306" t="str">
        <f>IFERROR(__xludf.DUMMYFUNCTION("GOOGLETRANSLATE(B17306, ""zh"", ""en"")"),"Very good, finally the long grass weeding! Workmanship and style are like, kind of upper body is very good! worth buying!")</f>
        <v>Very good, finally the long grass weeding! Workmanship and style are like, kind of upper body is very good! worth buying!</v>
      </c>
    </row>
    <row r="17307">
      <c r="A17307" s="1">
        <v>5.0</v>
      </c>
      <c r="B17307" s="1" t="s">
        <v>17095</v>
      </c>
      <c r="C17307" t="str">
        <f>IFERROR(__xludf.DUMMYFUNCTION("GOOGLETRANSLATE(B17307, ""zh"", ""en"")"),"Good quality and very good quality. Just get mashed potatoes, others do not.")</f>
        <v>Good quality and very good quality. Just get mashed potatoes, others do not.</v>
      </c>
    </row>
    <row r="17308">
      <c r="A17308" s="1">
        <v>5.0</v>
      </c>
      <c r="B17308" s="1" t="s">
        <v>17096</v>
      </c>
      <c r="C17308" t="str">
        <f>IFERROR(__xludf.DUMMYFUNCTION("GOOGLETRANSLATE(B17308, ""zh"", ""en"")"),"Very comfortable. This series is great the cheap. Flexible. Very comfortable to wear")</f>
        <v>Very comfortable. This series is great the cheap. Flexible. Very comfortable to wear</v>
      </c>
    </row>
    <row r="17309">
      <c r="A17309" s="1">
        <v>5.0</v>
      </c>
      <c r="B17309" s="1" t="s">
        <v>17097</v>
      </c>
      <c r="C17309" t="str">
        <f>IFERROR(__xludf.DUMMYFUNCTION("GOOGLETRANSLATE(B17309, ""zh"", ""en"")"),"Very personal, very fond of, I am feeling not very accurate and phone time to compare a bit when walking, feeling one second slower every day it")</f>
        <v>Very personal, very fond of, I am feeling not very accurate and phone time to compare a bit when walking, feeling one second slower every day it</v>
      </c>
    </row>
    <row r="17310">
      <c r="A17310" s="1">
        <v>5.0</v>
      </c>
      <c r="B17310" s="1" t="s">
        <v>17098</v>
      </c>
      <c r="C17310" t="str">
        <f>IFERROR(__xludf.DUMMYFUNCTION("GOOGLETRANSLATE(B17310, ""zh"", ""en"")"),"More like something good")</f>
        <v>More like something good</v>
      </c>
    </row>
    <row r="17311">
      <c r="A17311" s="1">
        <v>5.0</v>
      </c>
      <c r="B17311" s="1" t="s">
        <v>17099</v>
      </c>
      <c r="C17311" t="str">
        <f>IFERROR(__xludf.DUMMYFUNCTION("GOOGLETRANSLATE(B17311, ""zh"", ""en"")"),"The first election code, making the wrong shot wrong, back")</f>
        <v>The first election code, making the wrong shot wrong, back</v>
      </c>
    </row>
    <row r="17312">
      <c r="A17312" s="1">
        <v>5.0</v>
      </c>
      <c r="B17312" s="1" t="s">
        <v>17100</v>
      </c>
      <c r="C17312" t="str">
        <f>IFERROR(__xludf.DUMMYFUNCTION("GOOGLETRANSLATE(B17312, ""zh"", ""en"")"),"New prompt you clothes look good, just the right size, I am 185cm, 134 pounds to buy L number is very appropriate, good quality clothes genuine 👍")</f>
        <v>New prompt you clothes look good, just the right size, I am 185cm, 134 pounds to buy L number is very appropriate, good quality clothes genuine 👍</v>
      </c>
    </row>
    <row r="17313">
      <c r="A17313" s="1">
        <v>5.0</v>
      </c>
      <c r="B17313" s="1" t="s">
        <v>17101</v>
      </c>
      <c r="C17313" t="str">
        <f>IFERROR(__xludf.DUMMYFUNCTION("GOOGLETRANSLATE(B17313, ""zh"", ""en"")"),"In addition to all the other perfect little spot lasted more than a month, finally received the pot, mainly shipped to wait for a long time, the logistics a week or so. Let me talk about why the sea Amoy wok. It stands to reason Chinese people to buy Chin"&amp;"ese wok cooking is appropriate, but then, I want to buy a non-stick pan, non-stick coating security is important, I coat the domestic pot do not trust, so they buy imported the non-stick pan. This is the decisive reason I Amoy sea. When received the pot l"&amp;"ook at packaging to feel small, opened it, really little more than a large circle of Korean medical stone 30cm pot I was used. Originally thought 28cm will not be small where to go, really got a look, a little unexpected. Specially volume a bit, indeed di"&amp;"ameter is 28cm, probably because of the pan, it seems more small. Spent almost a week now, ah, actually the size enough! The amount of a family of three dishes, stir-fried vegetables there is no problem, the food is more afraid when Britain pot, for fear "&amp;"of accidentally bump out. Pot at all sticky, after completing Caichao do not wash pot, wipe with a paper towel on ok! Clean, convenient, delicious stir fried vegetables, natural water can not easily fried listless child. Pot is made in France, from the qu"&amp;"ality of the product phase can be seen very good, very light pot, women one-handed operation is no problem, that is, the middle of the red dots did not feel anything special, do not see a change at high temperatures. Recommend to a single person or small "&amp;"family use, the price is right.")</f>
        <v>In addition to all the other perfect little spot lasted more than a month, finally received the pot, mainly shipped to wait for a long time, the logistics a week or so. Let me talk about why the sea Amoy wok. It stands to reason Chinese people to buy Chinese wok cooking is appropriate, but then, I want to buy a non-stick pan, non-stick coating security is important, I coat the domestic pot do not trust, so they buy imported the non-stick pan. This is the decisive reason I Amoy sea. When received the pot look at packaging to feel small, opened it, really little more than a large circle of Korean medical stone 30cm pot I was used. Originally thought 28cm will not be small where to go, really got a look, a little unexpected. Specially volume a bit, indeed diameter is 28cm, probably because of the pan, it seems more small. Spent almost a week now, ah, actually the size enough! The amount of a family of three dishes, stir-fried vegetables there is no problem, the food is more afraid when Britain pot, for fear of accidentally bump out. Pot at all sticky, after completing Caichao do not wash pot, wipe with a paper towel on ok! Clean, convenient, delicious stir fried vegetables, natural water can not easily fried listless child. Pot is made in France, from the quality of the product phase can be seen very good, very light pot, women one-handed operation is no problem, that is, the middle of the red dots did not feel anything special, do not see a change at high temperatures. Recommend to a single person or small family use, the price is right.</v>
      </c>
    </row>
    <row r="17314">
      <c r="A17314" s="1">
        <v>5.0</v>
      </c>
      <c r="B17314" s="1" t="s">
        <v>17102</v>
      </c>
      <c r="C17314" t="str">
        <f>IFERROR(__xludf.DUMMYFUNCTION("GOOGLETRANSLATE(B17314, ""zh"", ""en"")"),"Suitable basic 175cm82KG95 waist worn just 32-32 waist, inseam Diudiu a bit like the legs of the suit.")</f>
        <v>Suitable basic 175cm82KG95 waist worn just 32-32 waist, inseam Diudiu a bit like the legs of the suit.</v>
      </c>
    </row>
    <row r="17315">
      <c r="A17315" s="1">
        <v>5.0</v>
      </c>
      <c r="B17315" s="1" t="s">
        <v>17103</v>
      </c>
      <c r="C17315" t="str">
        <f>IFERROR(__xludf.DUMMYFUNCTION("GOOGLETRANSLATE(B17315, ""zh"", ""en"")"),"Sucker bowl packaging is very good, but the logistics can be considered fast, installed three small home-designed, this set can be used for a long time")</f>
        <v>Sucker bowl packaging is very good, but the logistics can be considered fast, installed three small home-designed, this set can be used for a long time</v>
      </c>
    </row>
    <row r="17316">
      <c r="A17316" s="1">
        <v>5.0</v>
      </c>
      <c r="B17316" s="1" t="s">
        <v>17104</v>
      </c>
      <c r="C17316" t="str">
        <f>IFERROR(__xludf.DUMMYFUNCTION("GOOGLETRANSLATE(B17316, ""zh"", ""en"")"),"Shoes the right size, the right upper wider completely different. Shoes relatively large, people are more suitable for foot fat. The two parts are shoe leather, leather wrap the lower part of the soles of the feet. After a few minutes so that the sole glu"&amp;"e. There is a separate insole, with the heel.")</f>
        <v>Shoes the right size, the right upper wider completely different. Shoes relatively large, people are more suitable for foot fat. The two parts are shoe leather, leather wrap the lower part of the soles of the feet. After a few minutes so that the sole glue. There is a separate insole, with the heel.</v>
      </c>
    </row>
    <row r="17317">
      <c r="A17317" s="1">
        <v>5.0</v>
      </c>
      <c r="B17317" s="1" t="s">
        <v>17105</v>
      </c>
      <c r="C17317" t="str">
        <f>IFERROR(__xludf.DUMMYFUNCTION("GOOGLETRANSLATE(B17317, ""zh"", ""en"")"),"Hard hard right but is also appropriate that we do not know for how long")</f>
        <v>Hard hard right but is also appropriate that we do not know for how long</v>
      </c>
    </row>
    <row r="17318">
      <c r="A17318" s="1">
        <v>5.0</v>
      </c>
      <c r="B17318" s="1" t="s">
        <v>17106</v>
      </c>
      <c r="C17318" t="str">
        <f>IFERROR(__xludf.DUMMYFUNCTION("GOOGLETRANSLATE(B17318, ""zh"", ""en"")"),"Very appropriate 178,70kg. 31w32L just right, a successful shopping. satisfaction!")</f>
        <v>Very appropriate 178,70kg. 31w32L just right, a successful shopping. satisfaction!</v>
      </c>
    </row>
    <row r="17319">
      <c r="A17319" s="1">
        <v>5.0</v>
      </c>
      <c r="B17319" s="1" t="s">
        <v>17107</v>
      </c>
      <c r="C17319" t="str">
        <f>IFERROR(__xludf.DUMMYFUNCTION("GOOGLETRANSLATE(B17319, ""zh"", ""en"")"),"Okay drying speed pretty fast. . . . As for what the sodium ion current can not see what effect. . . . .")</f>
        <v>Okay drying speed pretty fast. . . . As for what the sodium ion current can not see what effect. . . . .</v>
      </c>
    </row>
    <row r="17320">
      <c r="A17320" s="1">
        <v>5.0</v>
      </c>
      <c r="B17320" s="1" t="s">
        <v>17108</v>
      </c>
      <c r="C17320" t="str">
        <f>IFERROR(__xludf.DUMMYFUNCTION("GOOGLETRANSLATE(B17320, ""zh"", ""en"")"),"Simple and practical prefer")</f>
        <v>Simple and practical prefer</v>
      </c>
    </row>
    <row r="17321">
      <c r="A17321" s="1">
        <v>5.0</v>
      </c>
      <c r="B17321" s="1" t="s">
        <v>17109</v>
      </c>
      <c r="C17321" t="str">
        <f>IFERROR(__xludf.DUMMYFUNCTION("GOOGLETRANSLATE(B17321, ""zh"", ""en"")"),"And domestic counter to buy the same quality, no flaws and domestic counter to buy the same quality, no flaws, shoes are produced in Indonesia, really metallic gray, but does not shine, it should be a good match")</f>
        <v>And domestic counter to buy the same quality, no flaws and domestic counter to buy the same quality, no flaws, shoes are produced in Indonesia, really metallic gray, but does not shine, it should be a good match</v>
      </c>
    </row>
    <row r="17322">
      <c r="A17322" s="1">
        <v>5.0</v>
      </c>
      <c r="B17322" s="1" t="s">
        <v>17110</v>
      </c>
      <c r="C17322" t="str">
        <f>IFERROR(__xludf.DUMMYFUNCTION("GOOGLETRANSLATE(B17322, ""zh"", ""en"")"),"Good use good use. Compared to the store to buy dog ​​cat shop called Original head much better")</f>
        <v>Good use good use. Compared to the store to buy dog ​​cat shop called Original head much better</v>
      </c>
    </row>
    <row r="17323">
      <c r="A17323" s="1">
        <v>5.0</v>
      </c>
      <c r="B17323" s="1" t="s">
        <v>17111</v>
      </c>
      <c r="C17323" t="str">
        <f>IFERROR(__xludf.DUMMYFUNCTION("GOOGLETRANSLATE(B17323, ""zh"", ""en"")"),"Comfortable, wear comfortable cotton slightly larger size, slightly larger size. Corresponding to 175 L, Ouma. Tall and 185,90 kg, wearing just bottoming")</f>
        <v>Comfortable, wear comfortable cotton slightly larger size, slightly larger size. Corresponding to 175 L, Ouma. Tall and 185,90 kg, wearing just bottoming</v>
      </c>
    </row>
    <row r="17324">
      <c r="A17324" s="1">
        <v>2.0</v>
      </c>
      <c r="B17324" s="1" t="s">
        <v>17112</v>
      </c>
      <c r="C17324" t="str">
        <f>IFERROR(__xludf.DUMMYFUNCTION("GOOGLETRANSLATE(B17324, ""zh"", ""en"")"),"A big buy 4short, 175,140 pounds just to wear")</f>
        <v>A big buy 4short, 175,140 pounds just to wear</v>
      </c>
    </row>
    <row r="17325">
      <c r="A17325" s="1">
        <v>3.0</v>
      </c>
      <c r="B17325" s="1" t="s">
        <v>17113</v>
      </c>
      <c r="C17325" t="str">
        <f>IFERROR(__xludf.DUMMYFUNCTION("GOOGLETRANSLATE(B17325, ""zh"", ""en"")"),"This can also be slightly darker than the picture too much, or at least wear comfortable size I 175,63 kg M code a little bit bigger, a little more than lint, reclaim the ...")</f>
        <v>This can also be slightly darker than the picture too much, or at least wear comfortable size I 175,63 kg M code a little bit bigger, a little more than lint, reclaim the ...</v>
      </c>
    </row>
    <row r="17326">
      <c r="A17326" s="1">
        <v>3.0</v>
      </c>
      <c r="B17326" s="1" t="s">
        <v>17114</v>
      </c>
      <c r="C17326" t="str">
        <f>IFERROR(__xludf.DUMMYFUNCTION("GOOGLETRANSLATE(B17326, ""zh"", ""en"")"),"Eye makes me very lost too much of a jump amount of this eye cream. . Eyes simply can not absorb. . Less so, texture and relatively thin. . It lost, do not know how much use is appropriate.")</f>
        <v>Eye makes me very lost too much of a jump amount of this eye cream. . Eyes simply can not absorb. . Less so, texture and relatively thin. . It lost, do not know how much use is appropriate.</v>
      </c>
    </row>
    <row r="17327">
      <c r="A17327" s="1">
        <v>1.0</v>
      </c>
      <c r="B17327" s="1" t="s">
        <v>17115</v>
      </c>
      <c r="C17327" t="str">
        <f>IFERROR(__xludf.DUMMYFUNCTION("GOOGLETRANSLATE(B17327, ""zh"", ""en"")"),"Pants crooked line of the right size Why give a star, should be in the trouser legs this side, each will be put on the front foot, garbage work, and I had never assessment, I must come to you!")</f>
        <v>Pants crooked line of the right size Why give a star, should be in the trouser legs this side, each will be put on the front foot, garbage work, and I had never assessment, I must come to you!</v>
      </c>
    </row>
    <row r="17328">
      <c r="A17328" s="1">
        <v>1.0</v>
      </c>
      <c r="B17328" s="1" t="s">
        <v>17116</v>
      </c>
      <c r="C17328" t="str">
        <f>IFERROR(__xludf.DUMMYFUNCTION("GOOGLETRANSLATE(B17328, ""zh"", ""en"")"),"Poor returns Amazon poor quality, handle returns, simply did not care, call the customer service is useless, no after-sale Amazon")</f>
        <v>Poor returns Amazon poor quality, handle returns, simply did not care, call the customer service is useless, no after-sale Amazon</v>
      </c>
    </row>
    <row r="17329">
      <c r="A17329" s="1">
        <v>1.0</v>
      </c>
      <c r="B17329" s="1" t="s">
        <v>17117</v>
      </c>
      <c r="C17329" t="str">
        <f>IFERROR(__xludf.DUMMYFUNCTION("GOOGLETRANSLATE(B17329, ""zh"", ""en"")"),"Poor quality headphones to buy No. 8 March 2019, using about four months, left the headset suddenly issued a rip rip friends of friends noise in the listening process, ask the Amazon customer service, if you want to contact the manufacturer repairs only t"&amp;"o find their own maintenance, trouble heart!")</f>
        <v>Poor quality headphones to buy No. 8 March 2019, using about four months, left the headset suddenly issued a rip rip friends of friends noise in the listening process, ask the Amazon customer service, if you want to contact the manufacturer repairs only to find their own maintenance, trouble heart!</v>
      </c>
    </row>
    <row r="17330">
      <c r="A17330" s="1">
        <v>4.0</v>
      </c>
      <c r="B17330" s="1" t="s">
        <v>17118</v>
      </c>
      <c r="C17330" t="str">
        <f>IFERROR(__xludf.DUMMYFUNCTION("GOOGLETRANSLATE(B17330, ""zh"", ""en"")"),"Wide attention, as always, comfortable shoes, skinny legs foot Star said that this seemed a good fertilizer, in which bang when, other logistics are perfect as always refuse")</f>
        <v>Wide attention, as always, comfortable shoes, skinny legs foot Star said that this seemed a good fertilizer, in which bang when, other logistics are perfect as always refuse</v>
      </c>
    </row>
    <row r="17331">
      <c r="A17331" s="1">
        <v>4.0</v>
      </c>
      <c r="B17331" s="1" t="s">
        <v>17119</v>
      </c>
      <c r="C17331" t="str">
        <f>IFERROR(__xludf.DUMMYFUNCTION("GOOGLETRANSLATE(B17331, ""zh"", ""en"")"),"Sweet and sour taste sweet and sour, it does not exclude the children to eat, the effect should look at long-term expires on June 20, pretty good, unlike some sea Amoy health care products after hand but want to eat in one day a week the amount")</f>
        <v>Sweet and sour taste sweet and sour, it does not exclude the children to eat, the effect should look at long-term expires on June 20, pretty good, unlike some sea Amoy health care products after hand but want to eat in one day a week the amount</v>
      </c>
    </row>
    <row r="17332">
      <c r="A17332" s="1">
        <v>4.0</v>
      </c>
      <c r="B17332" s="1" t="s">
        <v>17120</v>
      </c>
      <c r="C17332" t="str">
        <f>IFERROR(__xludf.DUMMYFUNCTION("GOOGLETRANSLATE(B17332, ""zh"", ""en"")"),"Logo label material can have another 90 minutes old issues, including the logo label paper is very easy to fold, the other I think we can, this small, you do not buy the wrong time to buy, oh")</f>
        <v>Logo label material can have another 90 minutes old issues, including the logo label paper is very easy to fold, the other I think we can, this small, you do not buy the wrong time to buy, oh</v>
      </c>
    </row>
    <row r="17333">
      <c r="A17333" s="1">
        <v>4.0</v>
      </c>
      <c r="B17333" s="1" t="s">
        <v>17121</v>
      </c>
      <c r="C17333" t="str">
        <f>IFERROR(__xludf.DUMMYFUNCTION("GOOGLETRANSLATE(B17333, ""zh"", ""en"")"),"Too large leather good, is authentic. But size is slightly larger, the counter to buy 37 relatively large 37 too, a little depressed 😒")</f>
        <v>Too large leather good, is authentic. But size is slightly larger, the counter to buy 37 relatively large 37 too, a little depressed 😒</v>
      </c>
    </row>
    <row r="17334">
      <c r="A17334" s="1">
        <v>5.0</v>
      </c>
      <c r="B17334" s="1" t="s">
        <v>17122</v>
      </c>
      <c r="C17334" t="str">
        <f>IFERROR(__xludf.DUMMYFUNCTION("GOOGLETRANSLATE(B17334, ""zh"", ""en"")"),"Very, very good, warm and good-looking, the right size 182cm / 83kg")</f>
        <v>Very, very good, warm and good-looking, the right size 182cm / 83kg</v>
      </c>
    </row>
    <row r="17335">
      <c r="A17335" s="1">
        <v>5.0</v>
      </c>
      <c r="B17335" s="1" t="s">
        <v>17123</v>
      </c>
      <c r="C17335" t="str">
        <f>IFERROR(__xludf.DUMMYFUNCTION("GOOGLETRANSLATE(B17335, ""zh"", ""en"")"),"Pen high cost of great texture, is just beginning to write, friction little big, but it is smooth write more later, and may be the reason a new pen")</f>
        <v>Pen high cost of great texture, is just beginning to write, friction little big, but it is smooth write more later, and may be the reason a new pen</v>
      </c>
    </row>
    <row r="17336">
      <c r="A17336" s="1">
        <v>5.0</v>
      </c>
      <c r="B17336" s="1" t="s">
        <v>17124</v>
      </c>
      <c r="C17336" t="str">
        <f>IFERROR(__xludf.DUMMYFUNCTION("GOOGLETRANSLATE(B17336, ""zh"", ""en"")"),"Cost-effective high cost of a brand, very much. Just got made a color card, did not think so soft, it is estimated that paper is not very good reasons for use, very recommend this color of lead. I heard Sanford Charlie Horse pick paper.")</f>
        <v>Cost-effective high cost of a brand, very much. Just got made a color card, did not think so soft, it is estimated that paper is not very good reasons for use, very recommend this color of lead. I heard Sanford Charlie Horse pick paper.</v>
      </c>
    </row>
    <row r="17337">
      <c r="A17337" s="1">
        <v>5.0</v>
      </c>
      <c r="B17337" s="1" t="s">
        <v>17125</v>
      </c>
      <c r="C17337" t="str">
        <f>IFERROR(__xludf.DUMMYFUNCTION("GOOGLETRANSLATE(B17337, ""zh"", ""en"")"),"Blue sky behind it noted that no ink is also equipped with its own though, you can feel")</f>
        <v>Blue sky behind it noted that no ink is also equipped with its own though, you can feel</v>
      </c>
    </row>
    <row r="17338">
      <c r="A17338" s="1">
        <v>5.0</v>
      </c>
      <c r="B17338" s="1" t="s">
        <v>17126</v>
      </c>
      <c r="C17338" t="str">
        <f>IFERROR(__xludf.DUMMYFUNCTION("GOOGLETRANSLATE(B17338, ""zh"", ""en"")"),"Yes, that is a little thin, easy to break good, that is a little thin, easily broken")</f>
        <v>Yes, that is a little thin, easy to break good, that is a little thin, easily broken</v>
      </c>
    </row>
    <row r="17339">
      <c r="A17339" s="1">
        <v>5.0</v>
      </c>
      <c r="B17339" s="1" t="s">
        <v>17127</v>
      </c>
      <c r="C17339" t="str">
        <f>IFERROR(__xludf.DUMMYFUNCTION("GOOGLETRANSLATE(B17339, ""zh"", ""en"")"),"Too big to buy, usually 37, more than a yard big. Want to return, but the nostalgia shoes comfortable and light, still left. Just look good on their own feet long, two fingers into the heel can")</f>
        <v>Too big to buy, usually 37, more than a yard big. Want to return, but the nostalgia shoes comfortable and light, still left. Just look good on their own feet long, two fingers into the heel can</v>
      </c>
    </row>
    <row r="17340">
      <c r="A17340" s="1">
        <v>5.0</v>
      </c>
      <c r="B17340" s="1" t="s">
        <v>17128</v>
      </c>
      <c r="C17340" t="str">
        <f>IFERROR(__xludf.DUMMYFUNCTION("GOOGLETRANSLATE(B17340, ""zh"", ""en"")"),"Awesome great friends ah")</f>
        <v>Awesome great friends ah</v>
      </c>
    </row>
    <row r="17341">
      <c r="A17341" s="1">
        <v>5.0</v>
      </c>
      <c r="B17341" s="1" t="s">
        <v>17129</v>
      </c>
      <c r="C17341" t="str">
        <f>IFERROR(__xludf.DUMMYFUNCTION("GOOGLETRANSLATE(B17341, ""zh"", ""en"")"),"Very comfortable very comfortable, wearing bare feet, the bottom was leather, non-stick. I usually 35, 36 this minimum, because it is the lace, okay. Unique, easy to loose shoelace.")</f>
        <v>Very comfortable very comfortable, wearing bare feet, the bottom was leather, non-stick. I usually 35, 36 this minimum, because it is the lace, okay. Unique, easy to loose shoelace.</v>
      </c>
    </row>
    <row r="17342">
      <c r="A17342" s="1">
        <v>5.0</v>
      </c>
      <c r="B17342" s="1" t="s">
        <v>17130</v>
      </c>
      <c r="C17342" t="str">
        <f>IFERROR(__xludf.DUMMYFUNCTION("GOOGLETRANSLATE(B17342, ""zh"", ""en"")"),"very suitable! very suitable!")</f>
        <v>very suitable! very suitable!</v>
      </c>
    </row>
    <row r="17343">
      <c r="A17343" s="1">
        <v>5.0</v>
      </c>
      <c r="B17343" s="1" t="s">
        <v>17131</v>
      </c>
      <c r="C17343" t="str">
        <f>IFERROR(__xludf.DUMMYFUNCTION("GOOGLETRANSLATE(B17343, ""zh"", ""en"")"),"How to install quality stuff without saying a top. However, no Chinese installation instructions, was English tutorial about the job. Central Asia should do something, good translation, at the same time, this is 110V, and clearly informed, so the job!")</f>
        <v>How to install quality stuff without saying a top. However, no Chinese installation instructions, was English tutorial about the job. Central Asia should do something, good translation, at the same time, this is 110V, and clearly informed, so the job!</v>
      </c>
    </row>
    <row r="17344">
      <c r="A17344" s="1">
        <v>5.0</v>
      </c>
      <c r="B17344" s="1" t="s">
        <v>17132</v>
      </c>
      <c r="C17344" t="str">
        <f>IFERROR(__xludf.DUMMYFUNCTION("GOOGLETRANSLATE(B17344, ""zh"", ""en"")"),"Particularly good design is particularly good toys to buy for the results of two treasure big treasure, like voices from a single meal of different instruments, multi-instrumentalist ensemble designed especially good")</f>
        <v>Particularly good design is particularly good toys to buy for the results of two treasure big treasure, like voices from a single meal of different instruments, multi-instrumentalist ensemble designed especially good</v>
      </c>
    </row>
    <row r="17345">
      <c r="A17345" s="1">
        <v>5.0</v>
      </c>
      <c r="B17345" s="1" t="s">
        <v>17133</v>
      </c>
      <c r="C17345" t="str">
        <f>IFERROR(__xludf.DUMMYFUNCTION("GOOGLETRANSLATE(B17345, ""zh"", ""en"")"),"Very very strong insulation effect good, buy when the thermos with ...")</f>
        <v>Very very strong insulation effect good, buy when the thermos with ...</v>
      </c>
    </row>
    <row r="17346">
      <c r="A17346" s="1">
        <v>5.0</v>
      </c>
      <c r="B17346" s="1" t="s">
        <v>17134</v>
      </c>
      <c r="C17346" t="str">
        <f>IFERROR(__xludf.DUMMYFUNCTION("GOOGLETRANSLATE(B17346, ""zh"", ""en"")"),"Small wide-leg foot 40 yards, wearing front there is spare, code is enough, seemed a little foot long, but within the acceptable range, if it is skinny legs sister, then 40, then a small one yard on it. A bit slippery soles, straight bared slipped on the "&amp;"marble floor, the need posted a bottom.")</f>
        <v>Small wide-leg foot 40 yards, wearing front there is spare, code is enough, seemed a little foot long, but within the acceptable range, if it is skinny legs sister, then 40, then a small one yard on it. A bit slippery soles, straight bared slipped on the marble floor, the need posted a bottom.</v>
      </c>
    </row>
    <row r="17347">
      <c r="A17347" s="1">
        <v>5.0</v>
      </c>
      <c r="B17347" s="1" t="s">
        <v>17135</v>
      </c>
      <c r="C17347" t="str">
        <f>IFERROR(__xludf.DUMMYFUNCTION("GOOGLETRANSLATE(B17347, ""zh"", ""en"")"),"Good Delong this is really good, although some things on Amazon is rubbish, such as protein powder, such as clothes, such as logistics, such as customer service, but this does not give the five-star feel conscience hurts")</f>
        <v>Good Delong this is really good, although some things on Amazon is rubbish, such as protein powder, such as clothes, such as logistics, such as customer service, but this does not give the five-star feel conscience hurts</v>
      </c>
    </row>
    <row r="17348">
      <c r="A17348" s="1">
        <v>5.0</v>
      </c>
      <c r="B17348" s="1" t="s">
        <v>17136</v>
      </c>
      <c r="C17348" t="str">
        <f>IFERROR(__xludf.DUMMYFUNCTION("GOOGLETRANSLATE(B17348, ""zh"", ""en"")"),"No smell, not use, but looked pretty good, do not know really came in the mail from the United States, in short, has been finding out the logistics of dynamic display has kind of clearance, but the courier has come to no smell, not with, but look the good"&amp;", do not know really came in the mail from the United States, in short, has been finding out the logistics of dynamic display has kind of clearance, but has come to express")</f>
        <v>No smell, not use, but looked pretty good, do not know really came in the mail from the United States, in short, has been finding out the logistics of dynamic display has kind of clearance, but the courier has come to no smell, not with, but look the good, do not know really came in the mail from the United States, in short, has been finding out the logistics of dynamic display has kind of clearance, but has come to express</v>
      </c>
    </row>
    <row r="17349">
      <c r="A17349" s="1">
        <v>5.0</v>
      </c>
      <c r="B17349" s="1" t="s">
        <v>17137</v>
      </c>
      <c r="C17349" t="str">
        <f>IFERROR(__xludf.DUMMYFUNCTION("GOOGLETRANSLATE(B17349, ""zh"", ""en"")"),"Inexpensive very comfortable pair of shoes, but the size is too large than normal code about a yard, I usually wear sneakers 41.5. This double wear 41 as 42, only drawback")</f>
        <v>Inexpensive very comfortable pair of shoes, but the size is too large than normal code about a yard, I usually wear sneakers 41.5. This double wear 41 as 42, only drawback</v>
      </c>
    </row>
    <row r="17350">
      <c r="A17350" s="1">
        <v>5.0</v>
      </c>
      <c r="B17350" s="1" t="s">
        <v>17138</v>
      </c>
      <c r="C17350" t="str">
        <f>IFERROR(__xludf.DUMMYFUNCTION("GOOGLETRANSLATE(B17350, ""zh"", ""en"")"),"Good texture, like baby. Compare Meng, good texture, baby 6 months, whisper love, love this toy. However, parents should pay attention to the comrades, my baby love playing hand, after all irregular shape, accidentally hit the baby.")</f>
        <v>Good texture, like baby. Compare Meng, good texture, baby 6 months, whisper love, love this toy. However, parents should pay attention to the comrades, my baby love playing hand, after all irregular shape, accidentally hit the baby.</v>
      </c>
    </row>
    <row r="17351">
      <c r="A17351" s="1">
        <v>5.0</v>
      </c>
      <c r="B17351" s="1" t="s">
        <v>17139</v>
      </c>
      <c r="C17351" t="str">
        <f>IFERROR(__xludf.DUMMYFUNCTION("GOOGLETRANSLATE(B17351, ""zh"", ""en"")"),"Light, soft, thin, a simple table. I like this type of table. Compared to the other is very thick, a lot of features metal table, I still like this, wear very comfortable in the hand. In fact, as long as the watch hour and minute hands on the line, others"&amp;" are redundant, to show off even not necessary.")</f>
        <v>Light, soft, thin, a simple table. I like this type of table. Compared to the other is very thick, a lot of features metal table, I still like this, wear very comfortable in the hand. In fact, as long as the watch hour and minute hands on the line, others are redundant, to show off even not necessary.</v>
      </c>
    </row>
    <row r="17352">
      <c r="A17352" s="1">
        <v>5.0</v>
      </c>
      <c r="B17352" s="1" t="s">
        <v>17140</v>
      </c>
      <c r="C17352" t="str">
        <f>IFERROR(__xludf.DUMMYFUNCTION("GOOGLETRANSLATE(B17352, ""zh"", ""en"")"),"Trustworthy feeling good odor")</f>
        <v>Trustworthy feeling good odor</v>
      </c>
    </row>
    <row r="17353">
      <c r="A17353" s="1">
        <v>5.0</v>
      </c>
      <c r="B17353" s="1" t="s">
        <v>17141</v>
      </c>
      <c r="C17353" t="str">
        <f>IFERROR(__xludf.DUMMYFUNCTION("GOOGLETRANSLATE(B17353, ""zh"", ""en"")"),"Good shoes good, husband liked 😘")</f>
        <v>Good shoes good, husband liked 😘</v>
      </c>
    </row>
    <row r="17354">
      <c r="A17354" s="1">
        <v>5.0</v>
      </c>
      <c r="B17354" s="1" t="s">
        <v>17142</v>
      </c>
      <c r="C17354" t="str">
        <f>IFERROR(__xludf.DUMMYFUNCTION("GOOGLETRANSLATE(B17354, ""zh"", ""en"")"),"Good quality and very satisfied with the height and weight 180 170 is appropriate. Thicker fabrics, work well.")</f>
        <v>Good quality and very satisfied with the height and weight 180 170 is appropriate. Thicker fabrics, work well.</v>
      </c>
    </row>
    <row r="17355">
      <c r="A17355" s="1">
        <v>5.0</v>
      </c>
      <c r="B17355" s="1" t="s">
        <v>17143</v>
      </c>
      <c r="C17355" t="str">
        <f>IFERROR(__xludf.DUMMYFUNCTION("GOOGLETRANSLATE(B17355, ""zh"", ""en"")"),"Terrific read reviews and decisively to buy a small number two, it really just. The first time overseas purchase, very fast, super good stuff")</f>
        <v>Terrific read reviews and decisively to buy a small number two, it really just. The first time overseas purchase, very fast, super good stuff</v>
      </c>
    </row>
    <row r="17356">
      <c r="A17356" s="1">
        <v>2.0</v>
      </c>
      <c r="B17356" s="1" t="s">
        <v>17144</v>
      </c>
      <c r="C17356" t="str">
        <f>IFERROR(__xludf.DUMMYFUNCTION("GOOGLETRANSLATE(B17356, ""zh"", ""en"")"),"Look at this elastic band came out next to a rubber band so what the hell just received the goods, is expected to arrive on the 24th, 11th result would arrive soon. Open a try, I do not understand rural people new design? So it came out a rubber band elas"&amp;"tic band next to what the hell? ? ? Because overseas purchase returns trouble, so get to sell defective? ? ? Says the next dimension: I 172,75 kg, M code to wear some loose hips. Length is suitable.")</f>
        <v>Look at this elastic band came out next to a rubber band so what the hell just received the goods, is expected to arrive on the 24th, 11th result would arrive soon. Open a try, I do not understand rural people new design? So it came out a rubber band elastic band next to what the hell? ? ? Because overseas purchase returns trouble, so get to sell defective? ? ? Says the next dimension: I 172,75 kg, M code to wear some loose hips. Length is suitable.</v>
      </c>
    </row>
    <row r="17357">
      <c r="A17357" s="1">
        <v>3.0</v>
      </c>
      <c r="B17357" s="1" t="s">
        <v>17145</v>
      </c>
      <c r="C17357" t="str">
        <f>IFERROR(__xludf.DUMMYFUNCTION("GOOGLETRANSLATE(B17357, ""zh"", ""en"")"),"! Would have been quite appropriate, a wash actually outgrown, but fortunately had a son, he wore only give")</f>
        <v>! Would have been quite appropriate, a wash actually outgrown, but fortunately had a son, he wore only give</v>
      </c>
    </row>
    <row r="17358">
      <c r="A17358" s="1">
        <v>3.0</v>
      </c>
      <c r="B17358" s="1" t="s">
        <v>17146</v>
      </c>
      <c r="C17358" t="str">
        <f>IFERROR(__xludf.DUMMYFUNCTION("GOOGLETRANSLATE(B17358, ""zh"", ""en"")"),"The size of the mass 124 kg height 168. M little wear. . . The experience is genuine. But work really well. Not worth the price. Relatively thin. Not the kind of heavy feeling.")</f>
        <v>The size of the mass 124 kg height 168. M little wear. . . The experience is genuine. But work really well. Not worth the price. Relatively thin. Not the kind of heavy feeling.</v>
      </c>
    </row>
    <row r="17359">
      <c r="A17359" s="1">
        <v>3.0</v>
      </c>
      <c r="B17359" s="1" t="s">
        <v>17147</v>
      </c>
      <c r="C17359" t="str">
        <f>IFERROR(__xludf.DUMMYFUNCTION("GOOGLETRANSLATE(B17359, ""zh"", ""en"")"),"For the first time with Prime members to buy things are very satisfied, but there are people very silent place: 1, even use a third-party courier (STO) 2, as a fragile product, only one box, without any measures to put wrestling Samsung is look at things "&amp;"totally not bad copies.")</f>
        <v>For the first time with Prime members to buy things are very satisfied, but there are people very silent place: 1, even use a third-party courier (STO) 2, as a fragile product, only one box, without any measures to put wrestling Samsung is look at things totally not bad copies.</v>
      </c>
    </row>
    <row r="17360">
      <c r="A17360" s="1">
        <v>1.0</v>
      </c>
      <c r="B17360" s="1" t="s">
        <v>17148</v>
      </c>
      <c r="C17360" t="str">
        <f>IFERROR(__xludf.DUMMYFUNCTION("GOOGLETRANSLATE(B17360, ""zh"", ""en"")"),"Used, a star, receive no more used, the plug and hair accessories are obviously used at the scene, consider whether they should go back. Customs clearance speed look is not a good sign, orders the same day customs clearance, and even sell second-hand good"&amp;"s purchased abroad, disappointed! There are design birth defects, even to the cold key held down.")</f>
        <v>Used, a star, receive no more used, the plug and hair accessories are obviously used at the scene, consider whether they should go back. Customs clearance speed look is not a good sign, orders the same day customs clearance, and even sell second-hand goods purchased abroad, disappointed! There are design birth defects, even to the cold key held down.</v>
      </c>
    </row>
    <row r="17361">
      <c r="A17361" s="1">
        <v>1.0</v>
      </c>
      <c r="B17361" s="1" t="s">
        <v>17149</v>
      </c>
      <c r="C17361" t="str">
        <f>IFERROR(__xludf.DUMMYFUNCTION("GOOGLETRANSLATE(B17361, ""zh"", ""en"")"),"Small size. No sponge pad and clothes, can not wear a size small. No sponge pad and clothes, can not wear")</f>
        <v>Small size. No sponge pad and clothes, can not wear a size small. No sponge pad and clothes, can not wear</v>
      </c>
    </row>
    <row r="17362">
      <c r="A17362" s="1">
        <v>4.0</v>
      </c>
      <c r="B17362" s="1" t="s">
        <v>17150</v>
      </c>
      <c r="C17362" t="str">
        <f>IFERROR(__xludf.DUMMYFUNCTION("GOOGLETRANSLATE(B17362, ""zh"", ""en"")"),"Okay looks good texture, but very light, install the master said it should be chrome-plated plastic")</f>
        <v>Okay looks good texture, but very light, install the master said it should be chrome-plated plastic</v>
      </c>
    </row>
    <row r="17363">
      <c r="A17363" s="1">
        <v>4.0</v>
      </c>
      <c r="B17363" s="1" t="s">
        <v>17151</v>
      </c>
      <c r="C17363" t="str">
        <f>IFERROR(__xludf.DUMMYFUNCTION("GOOGLETRANSLATE(B17363, ""zh"", ""en"")"),"It is more concentrated focus on the cup, it seems obvious a great big Oh 😄")</f>
        <v>It is more concentrated focus on the cup, it seems obvious a great big Oh 😄</v>
      </c>
    </row>
    <row r="17364">
      <c r="A17364" s="1">
        <v>4.0</v>
      </c>
      <c r="B17364" s="1" t="s">
        <v>17152</v>
      </c>
      <c r="C17364" t="str">
        <f>IFERROR(__xludf.DUMMYFUNCTION("GOOGLETRANSLATE(B17364, ""zh"", ""en"")"),"Yes normal size thin suitable for summer wear")</f>
        <v>Yes normal size thin suitable for summer wear</v>
      </c>
    </row>
    <row r="17365">
      <c r="A17365" s="1">
        <v>4.0</v>
      </c>
      <c r="B17365" s="1" t="s">
        <v>17153</v>
      </c>
      <c r="C17365" t="str">
        <f>IFERROR(__xludf.DUMMYFUNCTION("GOOGLETRANSLATE(B17365, ""zh"", ""en"")"),"Generally they granny panties, cotton, comfortable, but really there are gaps with Asia than it another day lingerie brand")</f>
        <v>Generally they granny panties, cotton, comfortable, but really there are gaps with Asia than it another day lingerie brand</v>
      </c>
    </row>
    <row r="17366">
      <c r="A17366" s="1">
        <v>4.0</v>
      </c>
      <c r="B17366" s="1" t="s">
        <v>17154</v>
      </c>
      <c r="C17366" t="str">
        <f>IFERROR(__xludf.DUMMYFUNCTION("GOOGLETRANSLATE(B17366, ""zh"", ""en"")"),"Prefer 177,74kg. M of the right length, is indeed like other commented a bit thin, not suitable for fat")</f>
        <v>Prefer 177,74kg. M of the right length, is indeed like other commented a bit thin, not suitable for fat</v>
      </c>
    </row>
    <row r="17367">
      <c r="A17367" s="1">
        <v>5.0</v>
      </c>
      <c r="B17367" s="1" t="s">
        <v>17155</v>
      </c>
      <c r="C17367" t="str">
        <f>IFERROR(__xludf.DUMMYFUNCTION("GOOGLETRANSLATE(B17367, ""zh"", ""en"")"),"Bo Jia Hui color than the cheap and easy, but the painting is not tinny. Amazon's price invincible. I intend to buy points with a set of watercolor with")</f>
        <v>Bo Jia Hui color than the cheap and easy, but the painting is not tinny. Amazon's price invincible. I intend to buy points with a set of watercolor with</v>
      </c>
    </row>
    <row r="17368">
      <c r="A17368" s="1">
        <v>5.0</v>
      </c>
      <c r="B17368" s="1" t="s">
        <v>17156</v>
      </c>
      <c r="C17368" t="str">
        <f>IFERROR(__xludf.DUMMYFUNCTION("GOOGLETRANSLATE(B17368, ""zh"", ""en"")"),"Easy to use, easy to use and stable silent for too Nas too much trouble for home users, if the software do what is optimized for mainland China will be better.")</f>
        <v>Easy to use, easy to use and stable silent for too Nas too much trouble for home users, if the software do what is optimized for mainland China will be better.</v>
      </c>
    </row>
    <row r="17369">
      <c r="A17369" s="1">
        <v>5.0</v>
      </c>
      <c r="B17369" s="1" t="s">
        <v>17157</v>
      </c>
      <c r="C17369" t="str">
        <f>IFERROR(__xludf.DUMMYFUNCTION("GOOGLETRANSLATE(B17369, ""zh"", ""en"")"),"Very appropriate, flexibility is also good. Very appropriate elasticity is also good.")</f>
        <v>Very appropriate, flexibility is also good. Very appropriate elasticity is also good.</v>
      </c>
    </row>
    <row r="17370">
      <c r="A17370" s="1">
        <v>5.0</v>
      </c>
      <c r="B17370" s="1" t="s">
        <v>17158</v>
      </c>
      <c r="C17370" t="str">
        <f>IFERROR(__xludf.DUMMYFUNCTION("GOOGLETRANSLATE(B17370, ""zh"", ""en"")"),"Well so far across the ocean intact!")</f>
        <v>Well so far across the ocean intact!</v>
      </c>
    </row>
    <row r="17371">
      <c r="A17371" s="1">
        <v>5.0</v>
      </c>
      <c r="B17371" s="1" t="s">
        <v>17159</v>
      </c>
      <c r="C17371" t="str">
        <f>IFERROR(__xludf.DUMMYFUNCTION("GOOGLETRANSLATE(B17371, ""zh"", ""en"")"),"Thin fleece texture 183cm, 70kg, slim body, L code just right. Fleece thin texture, a bit more gray color, having a certain air-permeable insulation. Recommended wearing stickers inside the body feeling soft and comfortable.")</f>
        <v>Thin fleece texture 183cm, 70kg, slim body, L code just right. Fleece thin texture, a bit more gray color, having a certain air-permeable insulation. Recommended wearing stickers inside the body feeling soft and comfortable.</v>
      </c>
    </row>
    <row r="17372">
      <c r="A17372" s="1">
        <v>5.0</v>
      </c>
      <c r="B17372" s="1" t="s">
        <v>17160</v>
      </c>
      <c r="C17372" t="str">
        <f>IFERROR(__xludf.DUMMYFUNCTION("GOOGLETRANSLATE(B17372, ""zh"", ""en"")"),"Small size too small, according to the freshman code buy.")</f>
        <v>Small size too small, according to the freshman code buy.</v>
      </c>
    </row>
    <row r="17373">
      <c r="A17373" s="1">
        <v>5.0</v>
      </c>
      <c r="B17373" s="1" t="s">
        <v>17161</v>
      </c>
      <c r="C17373" t="str">
        <f>IFERROR(__xludf.DUMMYFUNCTION("GOOGLETRANSLATE(B17373, ""zh"", ""en"")"),"Reasonable design, good grip design is very reasonable, favorite baby teethers")</f>
        <v>Reasonable design, good grip design is very reasonable, favorite baby teethers</v>
      </c>
    </row>
    <row r="17374">
      <c r="A17374" s="1">
        <v>5.0</v>
      </c>
      <c r="B17374" s="1" t="s">
        <v>17162</v>
      </c>
      <c r="C17374" t="str">
        <f>IFERROR(__xludf.DUMMYFUNCTION("GOOGLETRANSLATE(B17374, ""zh"", ""en"")"),"Good thermal insulation effect good results, after more than ten hours still hot")</f>
        <v>Good thermal insulation effect good results, after more than ten hours still hot</v>
      </c>
    </row>
    <row r="17375">
      <c r="A17375" s="1">
        <v>5.0</v>
      </c>
      <c r="B17375" s="1" t="s">
        <v>17163</v>
      </c>
      <c r="C17375" t="str">
        <f>IFERROR(__xludf.DUMMYFUNCTION("GOOGLETRANSLATE(B17375, ""zh"", ""en"")"),". . . Belt received, little has changed a bit loose yourself can wear")</f>
        <v>. . . Belt received, little has changed a bit loose yourself can wear</v>
      </c>
    </row>
    <row r="17376">
      <c r="A17376" s="1">
        <v>5.0</v>
      </c>
      <c r="B17376" s="1" t="s">
        <v>17164</v>
      </c>
      <c r="C17376" t="str">
        <f>IFERROR(__xludf.DUMMYFUNCTION("GOOGLETRANSLATE(B17376, ""zh"", ""en"")"),"Domestic poor water quality in the domestic water quality is bad, because the family did not install a coarse filter, section 2 months of daily use water significantly smaller.")</f>
        <v>Domestic poor water quality in the domestic water quality is bad, because the family did not install a coarse filter, section 2 months of daily use water significantly smaller.</v>
      </c>
    </row>
    <row r="17377">
      <c r="A17377" s="1">
        <v>5.0</v>
      </c>
      <c r="B17377" s="1" t="s">
        <v>17165</v>
      </c>
      <c r="C17377" t="str">
        <f>IFERROR(__xludf.DUMMYFUNCTION("GOOGLETRANSLATE(B17377, ""zh"", ""en"")"),"Satisfied with the good, and as good imagination!")</f>
        <v>Satisfied with the good, and as good imagination!</v>
      </c>
    </row>
    <row r="17378">
      <c r="A17378" s="1">
        <v>5.0</v>
      </c>
      <c r="B17378" s="1" t="s">
        <v>17166</v>
      </c>
      <c r="C17378" t="str">
        <f>IFERROR(__xludf.DUMMYFUNCTION("GOOGLETRANSLATE(B17378, ""zh"", ""en"")"),"Comfortable to wear good shoes, sneakers and the same feeling, color is also good value")</f>
        <v>Comfortable to wear good shoes, sneakers and the same feeling, color is also good value</v>
      </c>
    </row>
    <row r="17379">
      <c r="A17379" s="1">
        <v>5.0</v>
      </c>
      <c r="B17379" s="1" t="s">
        <v>17167</v>
      </c>
      <c r="C17379" t="str">
        <f>IFERROR(__xludf.DUMMYFUNCTION("GOOGLETRANSLATE(B17379, ""zh"", ""en"")"),"Very satisfied with the quality of workmanship is excellent, thicker than expected more warmth. Camouflage is very good.")</f>
        <v>Very satisfied with the quality of workmanship is excellent, thicker than expected more warmth. Camouflage is very good.</v>
      </c>
    </row>
    <row r="17380">
      <c r="A17380" s="1">
        <v>5.0</v>
      </c>
      <c r="B17380" s="1" t="s">
        <v>17168</v>
      </c>
      <c r="C17380" t="str">
        <f>IFERROR(__xludf.DUMMYFUNCTION("GOOGLETRANSLATE(B17380, ""zh"", ""en"")"),"Scaling an online inquiry comments, and ultimately chose this.")</f>
        <v>Scaling an online inquiry comments, and ultimately chose this.</v>
      </c>
    </row>
    <row r="17381">
      <c r="A17381" s="1">
        <v>5.0</v>
      </c>
      <c r="B17381" s="1" t="s">
        <v>17169</v>
      </c>
      <c r="C17381" t="str">
        <f>IFERROR(__xludf.DUMMYFUNCTION("GOOGLETRANSLATE(B17381, ""zh"", ""en"")"),"Too cheap size is very accurate, very appropriate.")</f>
        <v>Too cheap size is very accurate, very appropriate.</v>
      </c>
    </row>
    <row r="17382">
      <c r="A17382" s="1">
        <v>5.0</v>
      </c>
      <c r="B17382" s="1" t="s">
        <v>17170</v>
      </c>
      <c r="C17382" t="str">
        <f>IFERROR(__xludf.DUMMYFUNCTION("GOOGLETRANSLATE(B17382, ""zh"", ""en"")"),"Colors, fabrics, size particularly like, the color is also very positive")</f>
        <v>Colors, fabrics, size particularly like, the color is also very positive</v>
      </c>
    </row>
    <row r="17383">
      <c r="A17383" s="1">
        <v>5.0</v>
      </c>
      <c r="B17383" s="1" t="s">
        <v>17171</v>
      </c>
      <c r="C17383" t="str">
        <f>IFERROR(__xludf.DUMMYFUNCTION("GOOGLETRANSLATE(B17383, ""zh"", ""en"")"),"Background noise can be ignored by this speaker routers, mobile phone radiation effects, none of these has been tested and the launch of the East, background noise can be ignored. Sound relatively clean.")</f>
        <v>Background noise can be ignored by this speaker routers, mobile phone radiation effects, none of these has been tested and the launch of the East, background noise can be ignored. Sound relatively clean.</v>
      </c>
    </row>
    <row r="17384">
      <c r="A17384" s="1">
        <v>5.0</v>
      </c>
      <c r="B17384" s="1" t="s">
        <v>17172</v>
      </c>
      <c r="C17384" t="str">
        <f>IFERROR(__xludf.DUMMYFUNCTION("GOOGLETRANSLATE(B17384, ""zh"", ""en"")"),"Affordable like: relatively affordable price, good appearance, read and write very fast, good hard drive.")</f>
        <v>Affordable like: relatively affordable price, good appearance, read and write very fast, good hard drive.</v>
      </c>
    </row>
    <row r="17385">
      <c r="A17385" s="1">
        <v>5.0</v>
      </c>
      <c r="B17385" s="1" t="s">
        <v>17173</v>
      </c>
      <c r="C17385" t="str">
        <f>IFERROR(__xludf.DUMMYFUNCTION("GOOGLETRANSLATE(B17385, ""zh"", ""en"")"),"Satisfaction with the shopping time buy two pairs, inexpensive, no taste, size is selected in accordance within just feet long, with reference to the buyer")</f>
        <v>Satisfaction with the shopping time buy two pairs, inexpensive, no taste, size is selected in accordance within just feet long, with reference to the buyer</v>
      </c>
    </row>
    <row r="17386">
      <c r="A17386" s="1">
        <v>5.0</v>
      </c>
      <c r="B17386" s="1" t="s">
        <v>17174</v>
      </c>
      <c r="C17386" t="str">
        <f>IFERROR(__xludf.DUMMYFUNCTION("GOOGLETRANSLATE(B17386, ""zh"", ""en"")"),"Genuine wear comfortable genuine.")</f>
        <v>Genuine wear comfortable genuine.</v>
      </c>
    </row>
    <row r="17387">
      <c r="A17387" s="1">
        <v>5.0</v>
      </c>
      <c r="B17387" s="1" t="s">
        <v>17175</v>
      </c>
      <c r="C17387" t="str">
        <f>IFERROR(__xludf.DUMMYFUNCTION("GOOGLETRANSLATE(B17387, ""zh"", ""en"")"),"perfect size just right, m ​​code 177 150, and Shenzhen are more than rubbing the winter, but also more comfortable, good-looking, but still a little small thread")</f>
        <v>perfect size just right, m ​​code 177 150, and Shenzhen are more than rubbing the winter, but also more comfortable, good-looking, but still a little small thread</v>
      </c>
    </row>
    <row r="17388">
      <c r="A17388" s="1">
        <v>5.0</v>
      </c>
      <c r="B17388" s="1" t="s">
        <v>17176</v>
      </c>
      <c r="C17388" t="str">
        <f>IFERROR(__xludf.DUMMYFUNCTION("GOOGLETRANSLATE(B17388, ""zh"", ""en"")"),"The repurchase material good, for the first time to buy big given away liked and bought back a 180 180 pounds to wear L")</f>
        <v>The repurchase material good, for the first time to buy big given away liked and bought back a 180 180 pounds to wear L</v>
      </c>
    </row>
    <row r="17389">
      <c r="A17389" s="1">
        <v>2.0</v>
      </c>
      <c r="B17389" s="1" t="s">
        <v>17177</v>
      </c>
      <c r="C17389" t="str">
        <f>IFERROR(__xludf.DUMMYFUNCTION("GOOGLETRANSLATE(B17389, ""zh"", ""en"")"),"Version does not look good in a lot of poor quality Biliweisi, pants type of comfort is also smaller than lee, general feeling in general")</f>
        <v>Version does not look good in a lot of poor quality Biliweisi, pants type of comfort is also smaller than lee, general feeling in general</v>
      </c>
    </row>
    <row r="17390">
      <c r="A17390" s="1">
        <v>3.0</v>
      </c>
      <c r="B17390" s="1" t="s">
        <v>17178</v>
      </c>
      <c r="C17390" t="str">
        <f>IFERROR(__xludf.DUMMYFUNCTION("GOOGLETRANSLATE(B17390, ""zh"", ""en"")"),"Hong Kong shipping speed Internet obvious evaluation is lower than the European front compartment (Hong Kong) shipments. Do not know second-hand goods, direct mail Dea always feel better good.")</f>
        <v>Hong Kong shipping speed Internet obvious evaluation is lower than the European front compartment (Hong Kong) shipments. Do not know second-hand goods, direct mail Dea always feel better good.</v>
      </c>
    </row>
    <row r="17391">
      <c r="A17391" s="1">
        <v>3.0</v>
      </c>
      <c r="B17391" s="1" t="s">
        <v>17179</v>
      </c>
      <c r="C17391" t="str">
        <f>IFERROR(__xludf.DUMMYFUNCTION("GOOGLETRANSLATE(B17391, ""zh"", ""en"")"),"Not bad, the sea floated for a long time, due to arrive in the evening than the website given one day to arrive. Used, the speed that was pretty good. Logistics is the speed can be described as the tortoise to climb. The prominent points above U disk caps"&amp;" a little unglued marks. Some worry about falling. Floated two weeks before I came back. Across the oceans first single, still memorable.")</f>
        <v>Not bad, the sea floated for a long time, due to arrive in the evening than the website given one day to arrive. Used, the speed that was pretty good. Logistics is the speed can be described as the tortoise to climb. The prominent points above U disk caps a little unglued marks. Some worry about falling. Floated two weeks before I came back. Across the oceans first single, still memorable.</v>
      </c>
    </row>
    <row r="17392">
      <c r="A17392" s="1">
        <v>1.0</v>
      </c>
      <c r="B17392" s="1" t="s">
        <v>17180</v>
      </c>
      <c r="C17392" t="str">
        <f>IFERROR(__xludf.DUMMYFUNCTION("GOOGLETRANSLATE(B17392, ""zh"", ""en"")"),"Something is not true, it will fall off! Things do not really, teething baby after a bite, there will be a plastic spoon on to the next thing filamentous bitten, and many, decisive replaced!")</f>
        <v>Something is not true, it will fall off! Things do not really, teething baby after a bite, there will be a plastic spoon on to the next thing filamentous bitten, and many, decisive replaced!</v>
      </c>
    </row>
    <row r="17393">
      <c r="A17393" s="1">
        <v>1.0</v>
      </c>
      <c r="B17393" s="1" t="s">
        <v>17181</v>
      </c>
      <c r="C17393" t="str">
        <f>IFERROR(__xludf.DUMMYFUNCTION("GOOGLETRANSLATE(B17393, ""zh"", ""en"")"),"Fakes! Taste great, poor quality, full thread, and gave me the wrong size")</f>
        <v>Fakes! Taste great, poor quality, full thread, and gave me the wrong size</v>
      </c>
    </row>
    <row r="17394">
      <c r="A17394" s="1">
        <v>1.0</v>
      </c>
      <c r="B17394" s="1" t="s">
        <v>17182</v>
      </c>
      <c r="C17394" t="str">
        <f>IFERROR(__xludf.DUMMYFUNCTION("GOOGLETRANSLATE(B17394, ""zh"", ""en"")"),"Stinking people feel soft, thick enough. Smell too much, wash also washed away, I want to throw away ~~~~~")</f>
        <v>Stinking people feel soft, thick enough. Smell too much, wash also washed away, I want to throw away ~~~~~</v>
      </c>
    </row>
    <row r="17395">
      <c r="A17395" s="1">
        <v>4.0</v>
      </c>
      <c r="B17395" s="1" t="s">
        <v>17183</v>
      </c>
      <c r="C17395" t="str">
        <f>IFERROR(__xludf.DUMMYFUNCTION("GOOGLETRANSLATE(B17395, ""zh"", ""en"")"),"Small one yards usually wear shoes 40, 41 have to buy this, otherwise the top to the toes")</f>
        <v>Small one yards usually wear shoes 40, 41 have to buy this, otherwise the top to the toes</v>
      </c>
    </row>
    <row r="17396">
      <c r="A17396" s="1">
        <v>4.0</v>
      </c>
      <c r="B17396" s="1" t="s">
        <v>17184</v>
      </c>
      <c r="C17396" t="str">
        <f>IFERROR(__xludf.DUMMYFUNCTION("GOOGLETRANSLATE(B17396, ""zh"", ""en"")"),"Overall satisfaction very satisfied, very good product, but that is not very fast delivery")</f>
        <v>Overall satisfaction very satisfied, very good product, but that is not very fast delivery</v>
      </c>
    </row>
    <row r="17397">
      <c r="A17397" s="1">
        <v>4.0</v>
      </c>
      <c r="B17397" s="1" t="s">
        <v>17185</v>
      </c>
      <c r="C17397" t="str">
        <f>IFERROR(__xludf.DUMMYFUNCTION("GOOGLETRANSLATE(B17397, ""zh"", ""en"")"),"You need long-term use joint conservation")</f>
        <v>You need long-term use joint conservation</v>
      </c>
    </row>
    <row r="17398">
      <c r="A17398" s="1">
        <v>4.0</v>
      </c>
      <c r="B17398" s="1" t="s">
        <v>17186</v>
      </c>
      <c r="C17398" t="str">
        <f>IFERROR(__xludf.DUMMYFUNCTION("GOOGLETRANSLATE(B17398, ""zh"", ""en"")"),"Girls can become slightly more, or you can")</f>
        <v>Girls can become slightly more, or you can</v>
      </c>
    </row>
    <row r="17399">
      <c r="A17399" s="1">
        <v>4.0</v>
      </c>
      <c r="B17399" s="1" t="s">
        <v>17187</v>
      </c>
      <c r="C17399" t="str">
        <f>IFERROR(__xludf.DUMMYFUNCTION("GOOGLETRANSLATE(B17399, ""zh"", ""en"")"),"Comfortable without feeling the burden, now I do not buy lingerie with a steel ring of the summer when rendering is also good, and flexibility, from the second trimester of pregnancy has been worn to no problem")</f>
        <v>Comfortable without feeling the burden, now I do not buy lingerie with a steel ring of the summer when rendering is also good, and flexibility, from the second trimester of pregnancy has been worn to no problem</v>
      </c>
    </row>
    <row r="17400">
      <c r="A17400" s="1">
        <v>5.0</v>
      </c>
      <c r="B17400" s="1" t="s">
        <v>17188</v>
      </c>
      <c r="C17400" t="str">
        <f>IFERROR(__xludf.DUMMYFUNCTION("GOOGLETRANSLATE(B17400, ""zh"", ""en"")"),"Seagate Technology bought this product reserves and 5 TB portable external hard drive USB 3.0, red ... very practical, small size, large capacity, unmatched. Sellers comprehensive foreign country, promptly inform, express delivery on time, enthusiastic se"&amp;"rvice. Shipping cost is paid by the buyer, there is no prior informed. By then called up, it really awkward. . ""Front matter how much hard Gan. Since ancient times, Tall in the saddle."" Fortunately, the goods have arrived, to pay more shipping costs Wha"&amp;"t did it matter?")</f>
        <v>Seagate Technology bought this product reserves and 5 TB portable external hard drive USB 3.0, red ... very practical, small size, large capacity, unmatched. Sellers comprehensive foreign country, promptly inform, express delivery on time, enthusiastic service. Shipping cost is paid by the buyer, there is no prior informed. By then called up, it really awkward. . "Front matter how much hard Gan. Since ancient times, Tall in the saddle." Fortunately, the goods have arrived, to pay more shipping costs What did it matter?</v>
      </c>
    </row>
    <row r="17401">
      <c r="A17401" s="1">
        <v>5.0</v>
      </c>
      <c r="B17401" s="1" t="s">
        <v>17189</v>
      </c>
      <c r="C17401" t="str">
        <f>IFERROR(__xludf.DUMMYFUNCTION("GOOGLETRANSLATE(B17401, ""zh"", ""en"")"),"Like a more than one hundred seventy start, nothing can be picky, normal size, type pants biased a little bit loose")</f>
        <v>Like a more than one hundred seventy start, nothing can be picky, normal size, type pants biased a little bit loose</v>
      </c>
    </row>
    <row r="17402">
      <c r="A17402" s="1">
        <v>5.0</v>
      </c>
      <c r="B17402" s="1" t="s">
        <v>17190</v>
      </c>
      <c r="C17402" t="str">
        <f>IFERROR(__xludf.DUMMYFUNCTION("GOOGLETRANSLATE(B17402, ""zh"", ""en"")"),"Casual shoes and want the same size, wearing a period of time relatively Genjiao, good 👍")</f>
        <v>Casual shoes and want the same size, wearing a period of time relatively Genjiao, good 👍</v>
      </c>
    </row>
    <row r="17403">
      <c r="A17403" s="1">
        <v>5.0</v>
      </c>
      <c r="B17403" s="1" t="s">
        <v>17191</v>
      </c>
      <c r="C17403" t="str">
        <f>IFERROR(__xludf.DUMMYFUNCTION("GOOGLETRANSLATE(B17403, ""zh"", ""en"")"),"Comments not with store goods, good things received a package shipped quickly! give it a like")</f>
        <v>Comments not with store goods, good things received a package shipped quickly! give it a like</v>
      </c>
    </row>
    <row r="17404">
      <c r="A17404" s="1">
        <v>5.0</v>
      </c>
      <c r="B17404" s="1" t="s">
        <v>17192</v>
      </c>
      <c r="C17404" t="str">
        <f>IFERROR(__xludf.DUMMYFUNCTION("GOOGLETRANSLATE(B17404, ""zh"", ""en"")"),"Quality and comfort is very good very comfortable")</f>
        <v>Quality and comfort is very good very comfortable</v>
      </c>
    </row>
    <row r="17405">
      <c r="A17405" s="1">
        <v>5.0</v>
      </c>
      <c r="B17405" s="1" t="s">
        <v>17193</v>
      </c>
      <c r="C17405" t="str">
        <f>IFERROR(__xludf.DUMMYFUNCTION("GOOGLETRANSLATE(B17405, ""zh"", ""en"")"),"Recommend something good, standard size, value")</f>
        <v>Recommend something good, standard size, value</v>
      </c>
    </row>
    <row r="17406">
      <c r="A17406" s="1">
        <v>5.0</v>
      </c>
      <c r="B17406" s="1" t="s">
        <v>17194</v>
      </c>
      <c r="C17406" t="str">
        <f>IFERROR(__xludf.DUMMYFUNCTION("GOOGLETRANSLATE(B17406, ""zh"", ""en"")"),"good looking! US production authentic, bought 2e head, very appropriate! The feet look great! 15 days hand, very satisfied!")</f>
        <v>good looking! US production authentic, bought 2e head, very appropriate! The feet look great! 15 days hand, very satisfied!</v>
      </c>
    </row>
    <row r="17407">
      <c r="A17407" s="1">
        <v>5.0</v>
      </c>
      <c r="B17407" s="1" t="s">
        <v>17195</v>
      </c>
      <c r="C17407" t="str">
        <f>IFERROR(__xludf.DUMMYFUNCTION("GOOGLETRANSLATE(B17407, ""zh"", ""en"")"),"OK to eat the next day is stiff")</f>
        <v>OK to eat the next day is stiff</v>
      </c>
    </row>
    <row r="17408">
      <c r="A17408" s="1">
        <v>5.0</v>
      </c>
      <c r="B17408" s="1" t="s">
        <v>17196</v>
      </c>
      <c r="C17408" t="str">
        <f>IFERROR(__xludf.DUMMYFUNCTION("GOOGLETRANSLATE(B17408, ""zh"", ""en"")"),"Inexpensive particularly good inexpensive particularly good")</f>
        <v>Inexpensive particularly good inexpensive particularly good</v>
      </c>
    </row>
    <row r="17409">
      <c r="A17409" s="1">
        <v>5.0</v>
      </c>
      <c r="B17409" s="1" t="s">
        <v>17197</v>
      </c>
      <c r="C17409" t="str">
        <f>IFERROR(__xludf.DUMMYFUNCTION("GOOGLETRANSLATE(B17409, ""zh"", ""en"")"),"Worth buying great,")</f>
        <v>Worth buying great,</v>
      </c>
    </row>
    <row r="17410">
      <c r="A17410" s="1">
        <v>5.0</v>
      </c>
      <c r="B17410" s="1" t="s">
        <v>17198</v>
      </c>
      <c r="C17410" t="str">
        <f>IFERROR(__xludf.DUMMYFUNCTION("GOOGLETRANSLATE(B17410, ""zh"", ""en"")"),"Size Size accurate than men, about half a yard too large.")</f>
        <v>Size Size accurate than men, about half a yard too large.</v>
      </c>
    </row>
    <row r="17411">
      <c r="A17411" s="1">
        <v>5.0</v>
      </c>
      <c r="B17411" s="1" t="s">
        <v>17199</v>
      </c>
      <c r="C17411" t="str">
        <f>IFERROR(__xludf.DUMMYFUNCTION("GOOGLETRANSLATE(B17411, ""zh"", ""en"")"),"Weight is enough, not non-stick wok is very heavy, solid material enough, but will stick, very rugged, stand the toss, to see their choice of.")</f>
        <v>Weight is enough, not non-stick wok is very heavy, solid material enough, but will stick, very rugged, stand the toss, to see their choice of.</v>
      </c>
    </row>
    <row r="17412">
      <c r="A17412" s="1">
        <v>5.0</v>
      </c>
      <c r="B17412" s="1" t="s">
        <v>17200</v>
      </c>
      <c r="C17412" t="str">
        <f>IFERROR(__xludf.DUMMYFUNCTION("GOOGLETRANSLATE(B17412, ""zh"", ""en"")"),"Pretty good I usually wear shoes 37, sometimes 36 to wear, but I wore 36 yards on the kind of tight. This pair of shoes I bought 4uk, slightly larger half a yard, but the shoelace tightening it better. If the small one yards is estimated is no room for th"&amp;"at. Open does not smell, shoes are very light, work is also more sophisticated. I do not know is not genuine, but at least looked good. Very comfortable to wear. Anyway, cheaper than the flagship store in Taobao friends ~")</f>
        <v>Pretty good I usually wear shoes 37, sometimes 36 to wear, but I wore 36 yards on the kind of tight. This pair of shoes I bought 4uk, slightly larger half a yard, but the shoelace tightening it better. If the small one yards is estimated is no room for that. Open does not smell, shoes are very light, work is also more sophisticated. I do not know is not genuine, but at least looked good. Very comfortable to wear. Anyway, cheaper than the flagship store in Taobao friends ~</v>
      </c>
    </row>
    <row r="17413">
      <c r="A17413" s="1">
        <v>5.0</v>
      </c>
      <c r="B17413" s="1" t="s">
        <v>17201</v>
      </c>
      <c r="C17413" t="str">
        <f>IFERROR(__xludf.DUMMYFUNCTION("GOOGLETRANSLATE(B17413, ""zh"", ""en"")"),"Nike shoes help a friend buy. Let him go back the next test, yes. Feeling Bang Bang.")</f>
        <v>Nike shoes help a friend buy. Let him go back the next test, yes. Feeling Bang Bang.</v>
      </c>
    </row>
    <row r="17414">
      <c r="A17414" s="1">
        <v>5.0</v>
      </c>
      <c r="B17414" s="1" t="s">
        <v>17202</v>
      </c>
      <c r="C17414" t="str">
        <f>IFERROR(__xludf.DUMMYFUNCTION("GOOGLETRANSLATE(B17414, ""zh"", ""en"")"),"Too large one yard 165cm 55kg wear s very appropriate for everyone to reference good clothes soft and elastic fabrics more comfortable")</f>
        <v>Too large one yard 165cm 55kg wear s very appropriate for everyone to reference good clothes soft and elastic fabrics more comfortable</v>
      </c>
    </row>
    <row r="17415">
      <c r="A17415" s="1">
        <v>5.0</v>
      </c>
      <c r="B17415" s="1" t="s">
        <v>17203</v>
      </c>
      <c r="C17415" t="str">
        <f>IFERROR(__xludf.DUMMYFUNCTION("GOOGLETRANSLATE(B17415, ""zh"", ""en"")"),"Well baby is very easy to use genuine support")</f>
        <v>Well baby is very easy to use genuine support</v>
      </c>
    </row>
    <row r="17416">
      <c r="A17416" s="1">
        <v>5.0</v>
      </c>
      <c r="B17416" s="1" t="s">
        <v>17204</v>
      </c>
      <c r="C17416" t="str">
        <f>IFERROR(__xludf.DUMMYFUNCTION("GOOGLETRANSLATE(B17416, ""zh"", ""en"")"),"I would like to repurchase")</f>
        <v>I would like to repurchase</v>
      </c>
    </row>
    <row r="17417">
      <c r="A17417" s="1">
        <v>5.0</v>
      </c>
      <c r="B17417" s="1" t="s">
        <v>17205</v>
      </c>
      <c r="C17417" t="str">
        <f>IFERROR(__xludf.DUMMYFUNCTION("GOOGLETRANSLATE(B17417, ""zh"", ""en"")"),"Okay. Quality was okay, just do not know how to waterproof effect?")</f>
        <v>Okay. Quality was okay, just do not know how to waterproof effect?</v>
      </c>
    </row>
    <row r="17418">
      <c r="A17418" s="1">
        <v>5.0</v>
      </c>
      <c r="B17418" s="1" t="s">
        <v>17206</v>
      </c>
      <c r="C17418" t="str">
        <f>IFERROR(__xludf.DUMMYFUNCTION("GOOGLETRANSLATE(B17418, ""zh"", ""en"")"),"Rather long and overall good is rather long and do not know how to change, fear of change deformation, to buy M No. 168/65")</f>
        <v>Rather long and overall good is rather long and do not know how to change, fear of change deformation, to buy M No. 168/65</v>
      </c>
    </row>
    <row r="17419">
      <c r="A17419" s="1">
        <v>5.0</v>
      </c>
      <c r="B17419" s="1" t="s">
        <v>17207</v>
      </c>
      <c r="C17419" t="str">
        <f>IFERROR(__xludf.DUMMYFUNCTION("GOOGLETRANSLATE(B17419, ""zh"", ""en"")"),"European and American cotton sweater yards, cotton, with style.")</f>
        <v>European and American cotton sweater yards, cotton, with style.</v>
      </c>
    </row>
    <row r="17420">
      <c r="A17420" s="1">
        <v>5.0</v>
      </c>
      <c r="B17420" s="1" t="s">
        <v>17208</v>
      </c>
      <c r="C17420" t="str">
        <f>IFERROR(__xludf.DUMMYFUNCTION("GOOGLETRANSLATE(B17420, ""zh"", ""en"")"),"Pretty good quality, thick, beautiful, like, no good")</f>
        <v>Pretty good quality, thick, beautiful, like, no good</v>
      </c>
    </row>
    <row r="17421">
      <c r="A17421" s="1">
        <v>2.0</v>
      </c>
      <c r="B17421" s="1" t="s">
        <v>17209</v>
      </c>
      <c r="C17421" t="str">
        <f>IFERROR(__xludf.DUMMYFUNCTION("GOOGLETRANSLATE(B17421, ""zh"", ""en"")"),"The quality of the clothes is not asked, it is a big feeling, I have to pay attention later. The quality of the clothes is not asked, it is a big feeling, I have to pay attention later.")</f>
        <v>The quality of the clothes is not asked, it is a big feeling, I have to pay attention later. The quality of the clothes is not asked, it is a big feeling, I have to pay attention later.</v>
      </c>
    </row>
    <row r="17422">
      <c r="A17422" s="1">
        <v>3.0</v>
      </c>
      <c r="B17422" s="1" t="s">
        <v>17210</v>
      </c>
      <c r="C17422" t="str">
        <f>IFERROR(__xludf.DUMMYFUNCTION("GOOGLETRANSLATE(B17422, ""zh"", ""en"")"),"Vitamin good baby, not from the previous evaluation, I do not know how many wasted points, points can change money now know, they should look carefully evaluated, then I put these words to copy to go, both to earn points, but also the easy way to go where"&amp;" copy where, most importantly, do not seriously review, do not think how much worse word, sent directly to it, recommend it to everyone! !")</f>
        <v>Vitamin good baby, not from the previous evaluation, I do not know how many wasted points, points can change money now know, they should look carefully evaluated, then I put these words to copy to go, both to earn points, but also the easy way to go where copy where, most importantly, do not seriously review, do not think how much worse word, sent directly to it, recommend it to everyone! !</v>
      </c>
    </row>
    <row r="17423">
      <c r="A17423" s="1">
        <v>3.0</v>
      </c>
      <c r="B17423" s="1" t="s">
        <v>17211</v>
      </c>
      <c r="C17423" t="str">
        <f>IFERROR(__xludf.DUMMYFUNCTION("GOOGLETRANSLATE(B17423, ""zh"", ""en"")"),"Mingguoqishi sucker bowl suction on the wet child will be pulled up, hot meals and install plastic is not always assured, with a long time also easy to wear. It has been used to hold fruit or just make toys. The last experience with a meal or thinkbaby bo"&amp;"wl easy to use, from small to use large. Bowl lift children to eat is a necessary step in exploring, just give a small bowl afraid to throw cheap play on the line, after this addiction, will obediently holding a bowl to eat. Holding a small bowl of green "&amp;"shoots is the same tasteless, idle.")</f>
        <v>Mingguoqishi sucker bowl suction on the wet child will be pulled up, hot meals and install plastic is not always assured, with a long time also easy to wear. It has been used to hold fruit or just make toys. The last experience with a meal or thinkbaby bowl easy to use, from small to use large. Bowl lift children to eat is a necessary step in exploring, just give a small bowl afraid to throw cheap play on the line, after this addiction, will obediently holding a bowl to eat. Holding a small bowl of green shoots is the same tasteless, idle.</v>
      </c>
    </row>
    <row r="17424">
      <c r="A17424" s="1">
        <v>3.0</v>
      </c>
      <c r="B17424" s="1" t="s">
        <v>17212</v>
      </c>
      <c r="C17424" t="str">
        <f>IFERROR(__xludf.DUMMYFUNCTION("GOOGLETRANSLATE(B17424, ""zh"", ""en"")"),"Generally more hard shoes, comfortable poor")</f>
        <v>Generally more hard shoes, comfortable poor</v>
      </c>
    </row>
    <row r="17425">
      <c r="A17425" s="1">
        <v>1.0</v>
      </c>
      <c r="B17425" s="1" t="s">
        <v>17213</v>
      </c>
      <c r="C17425" t="str">
        <f>IFERROR(__xludf.DUMMYFUNCTION("GOOGLETRANSLATE(B17425, ""zh"", ""en"")"),"Marginalization of mainstream brand is back to pay the price of the popular chase bad, bad fashion rush, marginalization brand back to the mainstream is pay a certain price, for example. . .")</f>
        <v>Marginalization of mainstream brand is back to pay the price of the popular chase bad, bad fashion rush, marginalization brand back to the mainstream is pay a certain price, for example. . .</v>
      </c>
    </row>
    <row r="17426">
      <c r="A17426" s="1">
        <v>1.0</v>
      </c>
      <c r="B17426" s="1" t="s">
        <v>17214</v>
      </c>
      <c r="C17426" t="str">
        <f>IFERROR(__xludf.DUMMYFUNCTION("GOOGLETRANSLATE(B17426, ""zh"", ""en"")"),"Milk and milk leak leak leak milk is poor stuff, and I bought in the United States and Asia is not the same, there is always the key to breaking the leak milk")</f>
        <v>Milk and milk leak leak leak milk is poor stuff, and I bought in the United States and Asia is not the same, there is always the key to breaking the leak milk</v>
      </c>
    </row>
    <row r="17427">
      <c r="A17427" s="1">
        <v>4.0</v>
      </c>
      <c r="B17427" s="1" t="s">
        <v>17215</v>
      </c>
      <c r="C17427" t="str">
        <f>IFERROR(__xludf.DUMMYFUNCTION("GOOGLETRANSLATE(B17427, ""zh"", ""en"")"),"Large size shoes well, is freshman code size. .")</f>
        <v>Large size shoes well, is freshman code size. .</v>
      </c>
    </row>
    <row r="17428">
      <c r="A17428" s="1">
        <v>4.0</v>
      </c>
      <c r="B17428" s="1" t="s">
        <v>17216</v>
      </c>
      <c r="C17428" t="str">
        <f>IFERROR(__xludf.DUMMYFUNCTION("GOOGLETRANSLATE(B17428, ""zh"", ""en"")"),"colour difference color difference is large, in-kind color than the picture light color.")</f>
        <v>colour difference color difference is large, in-kind color than the picture light color.</v>
      </c>
    </row>
    <row r="17429">
      <c r="A17429" s="1">
        <v>4.0</v>
      </c>
      <c r="B17429" s="1" t="s">
        <v>17217</v>
      </c>
      <c r="C17429" t="str">
        <f>IFERROR(__xludf.DUMMYFUNCTION("GOOGLETRANSLATE(B17429, ""zh"", ""en"")"),"Hope will be more comfortable to wear for a long time after. No shoes lining? Not suitable for winter wear. The first to wear foot feeling is not very good, put the shoe homes instep. Large toe than expected. Sole all the same level. Cortical quite soft, "&amp;"I hope durable. The overall initial experience in general.")</f>
        <v>Hope will be more comfortable to wear for a long time after. No shoes lining? Not suitable for winter wear. The first to wear foot feeling is not very good, put the shoe homes instep. Large toe than expected. Sole all the same level. Cortical quite soft, I hope durable. The overall initial experience in general.</v>
      </c>
    </row>
    <row r="17430">
      <c r="A17430" s="1">
        <v>4.0</v>
      </c>
      <c r="B17430" s="1" t="s">
        <v>17218</v>
      </c>
      <c r="C17430" t="str">
        <f>IFERROR(__xludf.DUMMYFUNCTION("GOOGLETRANSLATE(B17430, ""zh"", ""en"")"),"Fortunately, a little scratch, the other better")</f>
        <v>Fortunately, a little scratch, the other better</v>
      </c>
    </row>
    <row r="17431">
      <c r="A17431" s="1">
        <v>4.0</v>
      </c>
      <c r="B17431" s="1" t="s">
        <v>17219</v>
      </c>
      <c r="C17431" t="str">
        <f>IFERROR(__xludf.DUMMYFUNCTION("GOOGLETRANSLATE(B17431, ""zh"", ""en"")"),"There are small flaws, but overall acceptable size more accurately, my height 178CM, weight 83KG, buy the 32X32, just slightly smaller waist a little bit, it does not affect use. But jeans have sent individually decorated nails fall off, be it small flaws"&amp;", the timely after-sales process. Overall was a satisfying shopping.")</f>
        <v>There are small flaws, but overall acceptable size more accurately, my height 178CM, weight 83KG, buy the 32X32, just slightly smaller waist a little bit, it does not affect use. But jeans have sent individually decorated nails fall off, be it small flaws, the timely after-sales process. Overall was a satisfying shopping.</v>
      </c>
    </row>
    <row r="17432">
      <c r="A17432" s="1">
        <v>5.0</v>
      </c>
      <c r="B17432" s="1" t="s">
        <v>17220</v>
      </c>
      <c r="C17432" t="str">
        <f>IFERROR(__xludf.DUMMYFUNCTION("GOOGLETRANSLATE(B17432, ""zh"", ""en"")"),"178,130 pounds, xl just good quality, packaging and meticulous")</f>
        <v>178,130 pounds, xl just good quality, packaging and meticulous</v>
      </c>
    </row>
    <row r="17433">
      <c r="A17433" s="1">
        <v>5.0</v>
      </c>
      <c r="B17433" s="1" t="s">
        <v>17221</v>
      </c>
      <c r="C17433" t="str">
        <f>IFERROR(__xludf.DUMMYFUNCTION("GOOGLETRANSLATE(B17433, ""zh"", ""en"")"),"Very good affordable, you deserve to have, since the purchase of goods abroad, really out of hand ah.")</f>
        <v>Very good affordable, you deserve to have, since the purchase of goods abroad, really out of hand ah.</v>
      </c>
    </row>
    <row r="17434">
      <c r="A17434" s="1">
        <v>5.0</v>
      </c>
      <c r="B17434" s="1" t="s">
        <v>17222</v>
      </c>
      <c r="C17434" t="str">
        <f>IFERROR(__xludf.DUMMYFUNCTION("GOOGLETRANSLATE(B17434, ""zh"", ""en"")"),"Want to know with the adaptation of the specification model blotter blotter is not only a gall ink. Plastic shell. After opening the inner blue ink written, you can write 10 words, it may be dipped in ink testing at the factory. Writing smooth, not leak i"&amp;"nk, pen thickness design has a solid sense. I do not know adaptation blotter model is how much the entire order page did not give specific information.")</f>
        <v>Want to know with the adaptation of the specification model blotter blotter is not only a gall ink. Plastic shell. After opening the inner blue ink written, you can write 10 words, it may be dipped in ink testing at the factory. Writing smooth, not leak ink, pen thickness design has a solid sense. I do not know adaptation blotter model is how much the entire order page did not give specific information.</v>
      </c>
    </row>
    <row r="17435">
      <c r="A17435" s="1">
        <v>5.0</v>
      </c>
      <c r="B17435" s="1" t="s">
        <v>17223</v>
      </c>
      <c r="C17435" t="str">
        <f>IFERROR(__xludf.DUMMYFUNCTION("GOOGLETRANSLATE(B17435, ""zh"", ""en"")"),"Good very cheap, I bought the first one took more than 400. This will more than half the price, very good")</f>
        <v>Good very cheap, I bought the first one took more than 400. This will more than half the price, very good</v>
      </c>
    </row>
    <row r="17436">
      <c r="A17436" s="1">
        <v>5.0</v>
      </c>
      <c r="B17436" s="1" t="s">
        <v>17224</v>
      </c>
      <c r="C17436" t="str">
        <f>IFERROR(__xludf.DUMMYFUNCTION("GOOGLETRANSLATE(B17436, ""zh"", ""en"")"),"Very very beautiful very beautiful, super big dial.")</f>
        <v>Very very beautiful very beautiful, super big dial.</v>
      </c>
    </row>
    <row r="17437">
      <c r="A17437" s="1">
        <v>5.0</v>
      </c>
      <c r="B17437" s="1" t="s">
        <v>17225</v>
      </c>
      <c r="C17437" t="str">
        <f>IFERROR(__xludf.DUMMYFUNCTION("GOOGLETRANSLATE(B17437, ""zh"", ""en"")"),"Read 150mb 90 to 100MB write a good write speed between 90 to 100M, is the value of his warranty, Warranty, customer service is also very professional ·")</f>
        <v>Read 150mb 90 to 100MB write a good write speed between 90 to 100M, is the value of his warranty, Warranty, customer service is also very professional ·</v>
      </c>
    </row>
    <row r="17438">
      <c r="A17438" s="1">
        <v>5.0</v>
      </c>
      <c r="B17438" s="1" t="s">
        <v>17226</v>
      </c>
      <c r="C17438" t="str">
        <f>IFERROR(__xludf.DUMMYFUNCTION("GOOGLETRANSLATE(B17438, ""zh"", ""en"")"),"Love the 5050 prime free postage, 2300 Tax hand, genuine, leather is very good, general visual leg was thin 10 pounds, just turned a profit -")</f>
        <v>Love the 5050 prime free postage, 2300 Tax hand, genuine, leather is very good, general visual leg was thin 10 pounds, just turned a profit -</v>
      </c>
    </row>
    <row r="17439">
      <c r="A17439" s="1">
        <v>5.0</v>
      </c>
      <c r="B17439" s="1" t="s">
        <v>17227</v>
      </c>
      <c r="C17439" t="str">
        <f>IFERROR(__xludf.DUMMYFUNCTION("GOOGLETRANSLATE(B17439, ""zh"", ""en"")"),"Comfortable fabric comfortable fabric, thick. I want to wear")</f>
        <v>Comfortable fabric comfortable fabric, thick. I want to wear</v>
      </c>
    </row>
    <row r="17440">
      <c r="A17440" s="1">
        <v>5.0</v>
      </c>
      <c r="B17440" s="1" t="s">
        <v>17228</v>
      </c>
      <c r="C17440" t="str">
        <f>IFERROR(__xludf.DUMMYFUNCTION("GOOGLETRANSLATE(B17440, ""zh"", ""en"")"),"Clarks powder loved clarks shoes, into a lot of double! This pair is also satisfied at 37 yards into suitable 4uk")</f>
        <v>Clarks powder loved clarks shoes, into a lot of double! This pair is also satisfied at 37 yards into suitable 4uk</v>
      </c>
    </row>
    <row r="17441">
      <c r="A17441" s="1">
        <v>5.0</v>
      </c>
      <c r="B17441" s="1" t="s">
        <v>17229</v>
      </c>
      <c r="C17441" t="str">
        <f>IFERROR(__xludf.DUMMYFUNCTION("GOOGLETRANSLATE(B17441, ""zh"", ""en"")"),"Clothes, clothes size and expected, since there will need to repurchase, and her boyfriend to buy together, buy a couple of shirts, cheaper than purchasing, should be cotton clothes, I bought the m code, very loose, I 162.62 pounds you can wear the clothe"&amp;"s knot can be tucked in")</f>
        <v>Clothes, clothes size and expected, since there will need to repurchase, and her boyfriend to buy together, buy a couple of shirts, cheaper than purchasing, should be cotton clothes, I bought the m code, very loose, I 162.62 pounds you can wear the clothes knot can be tucked in</v>
      </c>
    </row>
    <row r="17442">
      <c r="A17442" s="1">
        <v>5.0</v>
      </c>
      <c r="B17442" s="1" t="s">
        <v>17230</v>
      </c>
      <c r="C17442" t="str">
        <f>IFERROR(__xludf.DUMMYFUNCTION("GOOGLETRANSLATE(B17442, ""zh"", ""en"")"),"Great! ! ! Is absolutely genuine great for everyday wear 36-37 yards this pair bought 36 very appropriate logistics quickly get our hands on the packaging intact apart inside the packaging is also very good price is cheaper than nearly half of the country"&amp;" simply can not praise the 👍!")</f>
        <v>Great! ! ! Is absolutely genuine great for everyday wear 36-37 yards this pair bought 36 very appropriate logistics quickly get our hands on the packaging intact apart inside the packaging is also very good price is cheaper than nearly half of the country simply can not praise the 👍!</v>
      </c>
    </row>
    <row r="17443">
      <c r="A17443" s="1">
        <v>5.0</v>
      </c>
      <c r="B17443" s="1" t="s">
        <v>17231</v>
      </c>
      <c r="C17443" t="str">
        <f>IFERROR(__xludf.DUMMYFUNCTION("GOOGLETRANSLATE(B17443, ""zh"", ""en"")"),"Caywood the cook very good, perfect, that did not bump. Akira is very powerful 5-speed")</f>
        <v>Caywood the cook very good, perfect, that did not bump. Akira is very powerful 5-speed</v>
      </c>
    </row>
    <row r="17444">
      <c r="A17444" s="1">
        <v>5.0</v>
      </c>
      <c r="B17444" s="1" t="s">
        <v>17232</v>
      </c>
      <c r="C17444" t="str">
        <f>IFERROR(__xludf.DUMMYFUNCTION("GOOGLETRANSLATE(B17444, ""zh"", ""en"")"),"Small, delicate, high-quality discussion ear price! Feeling than before to buy 215 Shure sound good!")</f>
        <v>Small, delicate, high-quality discussion ear price! Feeling than before to buy 215 Shure sound good!</v>
      </c>
    </row>
    <row r="17445">
      <c r="A17445" s="1">
        <v>5.0</v>
      </c>
      <c r="B17445" s="1" t="s">
        <v>17233</v>
      </c>
      <c r="C17445" t="str">
        <f>IFERROR(__xludf.DUMMYFUNCTION("GOOGLETRANSLATE(B17445, ""zh"", ""en"")"),"Baby like very good, the price can be. This child was found with head fee, I do not know why")</f>
        <v>Baby like very good, the price can be. This child was found with head fee, I do not know why</v>
      </c>
    </row>
    <row r="17446">
      <c r="A17446" s="1">
        <v>5.0</v>
      </c>
      <c r="B17446" s="1" t="s">
        <v>17234</v>
      </c>
      <c r="C17446" t="str">
        <f>IFERROR(__xludf.DUMMYFUNCTION("GOOGLETRANSLATE(B17446, ""zh"", ""en"")"),"Like kettle color values ​​high, pink pink")</f>
        <v>Like kettle color values ​​high, pink pink</v>
      </c>
    </row>
    <row r="17447">
      <c r="A17447" s="1">
        <v>5.0</v>
      </c>
      <c r="B17447" s="1" t="s">
        <v>17235</v>
      </c>
      <c r="C17447" t="str">
        <f>IFERROR(__xludf.DUMMYFUNCTION("GOOGLETRANSLATE(B17447, ""zh"", ""en"")"),"good many concessions than domestic prices, there are now two European music than a toothbrush, a old, a ultrasonic models, can be used!")</f>
        <v>good many concessions than domestic prices, there are now two European music than a toothbrush, a old, a ultrasonic models, can be used!</v>
      </c>
    </row>
    <row r="17448">
      <c r="A17448" s="1">
        <v>5.0</v>
      </c>
      <c r="B17448" s="1" t="s">
        <v>17236</v>
      </c>
      <c r="C17448" t="str">
        <f>IFERROR(__xludf.DUMMYFUNCTION("GOOGLETRANSLATE(B17448, ""zh"", ""en"")"),"very good good")</f>
        <v>very good good</v>
      </c>
    </row>
    <row r="17449">
      <c r="A17449" s="1">
        <v>5.0</v>
      </c>
      <c r="B17449" s="1" t="s">
        <v>5189</v>
      </c>
      <c r="C17449" t="str">
        <f>IFERROR(__xludf.DUMMYFUNCTION("GOOGLETRANSLATE(B17449, ""zh"", ""en"")"),"Satisfaction Cool! ! ! This is necessary! Very suitable for young people newly recruited! Express soon, a week earlier than expected!")</f>
        <v>Satisfaction Cool! ! ! This is necessary! Very suitable for young people newly recruited! Express soon, a week earlier than expected!</v>
      </c>
    </row>
    <row r="17450">
      <c r="A17450" s="1">
        <v>5.0</v>
      </c>
      <c r="B17450" s="1" t="s">
        <v>17237</v>
      </c>
      <c r="C17450" t="str">
        <f>IFERROR(__xludf.DUMMYFUNCTION("GOOGLETRANSLATE(B17450, ""zh"", ""en"")"),"Super practical! Very practical ~~ PPSU is much lighter than glass and easy to use heat-resistant Recommended")</f>
        <v>Super practical! Very practical ~~ PPSU is much lighter than glass and easy to use heat-resistant Recommended</v>
      </c>
    </row>
    <row r="17451">
      <c r="A17451" s="1">
        <v>5.0</v>
      </c>
      <c r="B17451" s="1" t="s">
        <v>15392</v>
      </c>
      <c r="C17451" t="str">
        <f>IFERROR(__xludf.DUMMYFUNCTION("GOOGLETRANSLATE(B17451, ""zh"", ""en"")"),"Very good a lot faster than expected arrival time is the time to sit down a little volume. I hope down there with effect")</f>
        <v>Very good a lot faster than expected arrival time is the time to sit down a little volume. I hope down there with effect</v>
      </c>
    </row>
    <row r="17452">
      <c r="A17452" s="1">
        <v>5.0</v>
      </c>
      <c r="B17452" s="1" t="s">
        <v>17238</v>
      </c>
      <c r="C17452" t="str">
        <f>IFERROR(__xludf.DUMMYFUNCTION("GOOGLETRANSLATE(B17452, ""zh"", ""en"")"),"Standard leather sneakers 44 44 43 ---- 9.5ee Adidas to buy bare 9.5ee wearing a little gap pad a pair of sports insoles foot feeling good just being good is not considered in the tooling boots in soft not hard, but not with sneakers this method is very s"&amp;"oft head hard cortex than the toe")</f>
        <v>Standard leather sneakers 44 44 43 ---- 9.5ee Adidas to buy bare 9.5ee wearing a little gap pad a pair of sports insoles foot feeling good just being good is not considered in the tooling boots in soft not hard, but not with sneakers this method is very soft head hard cortex than the toe</v>
      </c>
    </row>
    <row r="17453">
      <c r="A17453" s="1">
        <v>5.0</v>
      </c>
      <c r="B17453" s="1" t="s">
        <v>17239</v>
      </c>
      <c r="C17453" t="str">
        <f>IFERROR(__xludf.DUMMYFUNCTION("GOOGLETRANSLATE(B17453, ""zh"", ""en"")"),"Upper body good results cost-effective 167 48kg wear a little loose points quality good price to buy 380 more satisfied with the upper body good results.")</f>
        <v>Upper body good results cost-effective 167 48kg wear a little loose points quality good price to buy 380 more satisfied with the upper body good results.</v>
      </c>
    </row>
    <row r="17454">
      <c r="A17454" s="1">
        <v>2.0</v>
      </c>
      <c r="B17454" s="1" t="s">
        <v>17240</v>
      </c>
      <c r="C17454" t="str">
        <f>IFERROR(__xludf.DUMMYFUNCTION("GOOGLETRANSLATE(B17454, ""zh"", ""en"")"),"European version, the size is larger than domestic, I wore the right material is thin, breathable and good, but do not wear, it is easy to play ball")</f>
        <v>European version, the size is larger than domestic, I wore the right material is thin, breathable and good, but do not wear, it is easy to play ball</v>
      </c>
    </row>
    <row r="17455">
      <c r="A17455" s="1">
        <v>3.0</v>
      </c>
      <c r="B17455" s="1" t="s">
        <v>17241</v>
      </c>
      <c r="C17455" t="str">
        <f>IFERROR(__xludf.DUMMYFUNCTION("GOOGLETRANSLATE(B17455, ""zh"", ""en"")"),"Water purifier original packaging shabby! Water purifier original packaging shabby!")</f>
        <v>Water purifier original packaging shabby! Water purifier original packaging shabby!</v>
      </c>
    </row>
    <row r="17456">
      <c r="A17456" s="1">
        <v>1.0</v>
      </c>
      <c r="B17456" s="1" t="s">
        <v>17242</v>
      </c>
      <c r="C17456" t="str">
        <f>IFERROR(__xludf.DUMMYFUNCTION("GOOGLETRANSLATE(B17456, ""zh"", ""en"")"),"Less than one year of normal use inferior products had been damaged, basically it can only be scrapped, too many comments in this case, and in addition, overseas purchase products need to contact their own capacity, and consider carefully before buying.")</f>
        <v>Less than one year of normal use inferior products had been damaged, basically it can only be scrapped, too many comments in this case, and in addition, overseas purchase products need to contact their own capacity, and consider carefully before buying.</v>
      </c>
    </row>
    <row r="17457">
      <c r="A17457" s="1">
        <v>1.0</v>
      </c>
      <c r="B17457" s="1" t="s">
        <v>17243</v>
      </c>
      <c r="C17457" t="str">
        <f>IFERROR(__xludf.DUMMYFUNCTION("GOOGLETRANSLATE(B17457, ""zh"", ""en"")"),"Two consecutive orders, twice the size of the Amazon made a mistake I'm really speechless, this is the second time under a single thing or wrong, the first order shot XXL, received results is XL, I think this time may be accidental, but also heard a call "&amp;"option to return and re-orders, results of the second order received or XL, this system is paralyzed or orders of the people are illiterate? Can you be serious? ? ? This is a return to my turn to be responsible for the loss?")</f>
        <v>Two consecutive orders, twice the size of the Amazon made a mistake I'm really speechless, this is the second time under a single thing or wrong, the first order shot XXL, received results is XL, I think this time may be accidental, but also heard a call option to return and re-orders, results of the second order received or XL, this system is paralyzed or orders of the people are illiterate? Can you be serious? ? ? This is a return to my turn to be responsible for the loss?</v>
      </c>
    </row>
    <row r="17458">
      <c r="A17458" s="1">
        <v>1.0</v>
      </c>
      <c r="B17458" s="1" t="s">
        <v>17244</v>
      </c>
      <c r="C17458" t="str">
        <f>IFERROR(__xludf.DUMMYFUNCTION("GOOGLETRANSLATE(B17458, ""zh"", ""en"")"),"Cast doubt on the quality of flour may buy a fake before buying pink with a big difference than ......")</f>
        <v>Cast doubt on the quality of flour may buy a fake before buying pink with a big difference than ......</v>
      </c>
    </row>
    <row r="17459">
      <c r="A17459" s="1">
        <v>4.0</v>
      </c>
      <c r="B17459" s="1" t="s">
        <v>17245</v>
      </c>
      <c r="C17459" t="str">
        <f>IFERROR(__xludf.DUMMYFUNCTION("GOOGLETRANSLATE(B17459, ""zh"", ""en"")"),"Good use for almost a year, was quite good.")</f>
        <v>Good use for almost a year, was quite good.</v>
      </c>
    </row>
    <row r="17460">
      <c r="A17460" s="1">
        <v>4.0</v>
      </c>
      <c r="B17460" s="1" t="s">
        <v>17246</v>
      </c>
      <c r="C17460" t="str">
        <f>IFERROR(__xludf.DUMMYFUNCTION("GOOGLETRANSLATE(B17460, ""zh"", ""en"")"),"As it is, still fills the belt a little hard, small than expected, seemingly not suitable for men with, stingy point!")</f>
        <v>As it is, still fills the belt a little hard, small than expected, seemingly not suitable for men with, stingy point!</v>
      </c>
    </row>
    <row r="17461">
      <c r="A17461" s="1">
        <v>4.0</v>
      </c>
      <c r="B17461" s="1" t="s">
        <v>17247</v>
      </c>
      <c r="C17461" t="str">
        <f>IFERROR(__xludf.DUMMYFUNCTION("GOOGLETRANSLATE(B17461, ""zh"", ""en"")"),"This is the thin section thin pants wife scolded me, did not see the explanation is not thin models in the future to pay attention. Fast delivery!")</f>
        <v>This is the thin section thin pants wife scolded me, did not see the explanation is not thin models in the future to pay attention. Fast delivery!</v>
      </c>
    </row>
    <row r="17462">
      <c r="A17462" s="1">
        <v>4.0</v>
      </c>
      <c r="B17462" s="1" t="s">
        <v>17248</v>
      </c>
      <c r="C17462" t="str">
        <f>IFERROR(__xludf.DUMMYFUNCTION("GOOGLETRANSLATE(B17462, ""zh"", ""en"")"),"Ah ah ah ah brewing machine you receive the bottom surface of the port is such that it looks like a used or dirty, but indelible touch feeling, is it a coat? In addition, I did not seal packaging. You have it")</f>
        <v>Ah ah ah ah brewing machine you receive the bottom surface of the port is such that it looks like a used or dirty, but indelible touch feeling, is it a coat? In addition, I did not seal packaging. You have it</v>
      </c>
    </row>
    <row r="17463">
      <c r="A17463" s="1">
        <v>5.0</v>
      </c>
      <c r="B17463" s="1" t="s">
        <v>17249</v>
      </c>
      <c r="C17463" t="str">
        <f>IFERROR(__xludf.DUMMYFUNCTION("GOOGLETRANSLATE(B17463, ""zh"", ""en"")"),"Well worth having a good, nice, good quality, like, like.")</f>
        <v>Well worth having a good, nice, good quality, like, like.</v>
      </c>
    </row>
    <row r="17464">
      <c r="A17464" s="1">
        <v>5.0</v>
      </c>
      <c r="B17464" s="1" t="s">
        <v>17250</v>
      </c>
      <c r="C17464" t="str">
        <f>IFERROR(__xludf.DUMMYFUNCTION("GOOGLETRANSLATE(B17464, ""zh"", ""en"")"),"Super good time shopping bargain. Seamlessly stitched, thick enough, too comfortable, this price earned, or to choose Hanes underwear, underwear professional is not the same")</f>
        <v>Super good time shopping bargain. Seamlessly stitched, thick enough, too comfortable, this price earned, or to choose Hanes underwear, underwear professional is not the same</v>
      </c>
    </row>
    <row r="17465">
      <c r="A17465" s="1">
        <v>5.0</v>
      </c>
      <c r="B17465" s="1" t="s">
        <v>17251</v>
      </c>
      <c r="C17465" t="str">
        <f>IFERROR(__xludf.DUMMYFUNCTION("GOOGLETRANSLATE(B17465, ""zh"", ""en"")"),"Good effect after eating, with good results.")</f>
        <v>Good effect after eating, with good results.</v>
      </c>
    </row>
    <row r="17466">
      <c r="A17466" s="1">
        <v>5.0</v>
      </c>
      <c r="B17466" s="1" t="s">
        <v>17252</v>
      </c>
      <c r="C17466" t="str">
        <f>IFERROR(__xludf.DUMMYFUNCTION("GOOGLETRANSLATE(B17466, ""zh"", ""en"")"),"900 + tax, perfect to help my colleagues to buy, colleagues assessment is perfect, especially for stews.")</f>
        <v>900 + tax, perfect to help my colleagues to buy, colleagues assessment is perfect, especially for stews.</v>
      </c>
    </row>
    <row r="17467">
      <c r="A17467" s="1">
        <v>5.0</v>
      </c>
      <c r="B17467" s="1" t="s">
        <v>17253</v>
      </c>
      <c r="C17467" t="str">
        <f>IFERROR(__xludf.DUMMYFUNCTION("GOOGLETRANSLATE(B17467, ""zh"", ""en"")"),"Easy easy easy easy to use kettle")</f>
        <v>Easy easy easy easy to use kettle</v>
      </c>
    </row>
    <row r="17468">
      <c r="A17468" s="1">
        <v>5.0</v>
      </c>
      <c r="B17468" s="1" t="s">
        <v>17254</v>
      </c>
      <c r="C17468" t="str">
        <f>IFERROR(__xludf.DUMMYFUNCTION("GOOGLETRANSLATE(B17468, ""zh"", ""en"")"),"Quality is good, that will be a little bit small. Quality is good, that will be a little bit small. Overall good.")</f>
        <v>Quality is good, that will be a little bit small. Quality is good, that will be a little bit small. Overall good.</v>
      </c>
    </row>
    <row r="17469">
      <c r="A17469" s="1">
        <v>5.0</v>
      </c>
      <c r="B17469" s="1" t="s">
        <v>17255</v>
      </c>
      <c r="C17469" t="str">
        <f>IFERROR(__xludf.DUMMYFUNCTION("GOOGLETRANSLATE(B17469, ""zh"", ""en"")"),"Amazon Japan to buy the clothes are particularly good, fabric is very comfortable")</f>
        <v>Amazon Japan to buy the clothes are particularly good, fabric is very comfortable</v>
      </c>
    </row>
    <row r="17470">
      <c r="A17470" s="1">
        <v>5.0</v>
      </c>
      <c r="B17470" s="1" t="s">
        <v>17256</v>
      </c>
      <c r="C17470" t="str">
        <f>IFERROR(__xludf.DUMMYFUNCTION("GOOGLETRANSLATE(B17470, ""zh"", ""en"")"),"The size of some small, some low waist.")</f>
        <v>The size of some small, some low waist.</v>
      </c>
    </row>
    <row r="17471">
      <c r="A17471" s="1">
        <v>5.0</v>
      </c>
      <c r="B17471" s="1" t="s">
        <v>17257</v>
      </c>
      <c r="C17471" t="str">
        <f>IFERROR(__xludf.DUMMYFUNCTION("GOOGLETRANSLATE(B17471, ""zh"", ""en"")"),"High cost of a product very easy to use, but also in the Amazon purchased abroad cheaper than domestic buying half. Really good.")</f>
        <v>High cost of a product very easy to use, but also in the Amazon purchased abroad cheaper than domestic buying half. Really good.</v>
      </c>
    </row>
    <row r="17472">
      <c r="A17472" s="1">
        <v>5.0</v>
      </c>
      <c r="B17472" s="1" t="s">
        <v>17258</v>
      </c>
      <c r="C17472" t="str">
        <f>IFERROR(__xludf.DUMMYFUNCTION("GOOGLETRANSLATE(B17472, ""zh"", ""en"")"),"Quality is very good workmanship and meticulous, dark red looks and feels very upscale. The price is also cost-effective")</f>
        <v>Quality is very good workmanship and meticulous, dark red looks and feels very upscale. The price is also cost-effective</v>
      </c>
    </row>
    <row r="17473">
      <c r="A17473" s="1">
        <v>5.0</v>
      </c>
      <c r="B17473" s="1" t="s">
        <v>17259</v>
      </c>
      <c r="C17473" t="str">
        <f>IFERROR(__xludf.DUMMYFUNCTION("GOOGLETRANSLATE(B17473, ""zh"", ""en"")"),"Shoes too large, it is recommended to buy with a length less than half yards, wear shoes larger than recommended this desert boots to buy less than half yards.")</f>
        <v>Shoes too large, it is recommended to buy with a length less than half yards, wear shoes larger than recommended this desert boots to buy less than half yards.</v>
      </c>
    </row>
    <row r="17474">
      <c r="A17474" s="1">
        <v>5.0</v>
      </c>
      <c r="B17474" s="1" t="s">
        <v>17260</v>
      </c>
      <c r="C17474" t="str">
        <f>IFERROR(__xludf.DUMMYFUNCTION("GOOGLETRANSLATE(B17474, ""zh"", ""en"")"),"With remote control, songs and a microphone to experience their own headphones do not understand the layman, finally found in reading forums and paste it and so very suitable for their own headphones, in the domestic shopping to buy expensive software, a "&amp;"full quarter of the savings in the Amazon First, say the feeling of use, along with online tutorials burn, individuals can not find the gap before and after the burn, but the sound itself is enough to make me excited, the human voice is clear and thorough"&amp;". Even in the microphone wire with wheat friends I had some problem, is their voices are very small, easy to cover the surrounding ambient sound, as subsequently adjusted and found that the incompatibility is caused by their own type-c adapter cable of th"&amp;"e headphones , manifested in a friend's 3.5mm jack very normal, human voice no longer so small, but environmental sounds such as a door slamming around, sirens on the road, still no decay recorded in, of course, only as a call then wire microphone is enou"&amp;"gh, k song, then, in a quiet environment performance is also very good. Overall I feel really super conscience shopping experience.")</f>
        <v>With remote control, songs and a microphone to experience their own headphones do not understand the layman, finally found in reading forums and paste it and so very suitable for their own headphones, in the domestic shopping to buy expensive software, a full quarter of the savings in the Amazon First, say the feeling of use, along with online tutorials burn, individuals can not find the gap before and after the burn, but the sound itself is enough to make me excited, the human voice is clear and thorough. Even in the microphone wire with wheat friends I had some problem, is their voices are very small, easy to cover the surrounding ambient sound, as subsequently adjusted and found that the incompatibility is caused by their own type-c adapter cable of the headphones , manifested in a friend's 3.5mm jack very normal, human voice no longer so small, but environmental sounds such as a door slamming around, sirens on the road, still no decay recorded in, of course, only as a call then wire microphone is enough, k song, then, in a quiet environment performance is also very good. Overall I feel really super conscience shopping experience.</v>
      </c>
    </row>
    <row r="17475">
      <c r="A17475" s="1">
        <v>5.0</v>
      </c>
      <c r="B17475" s="1" t="s">
        <v>17261</v>
      </c>
      <c r="C17475" t="str">
        <f>IFERROR(__xludf.DUMMYFUNCTION("GOOGLETRANSLATE(B17475, ""zh"", ""en"")"),"I feel good-looking. Almost 290 plus customs duties, a little bit cheaper. I feel good-looking. Almost 290 plus customs duties, a little bit cheaper.")</f>
        <v>I feel good-looking. Almost 290 plus customs duties, a little bit cheaper. I feel good-looking. Almost 290 plus customs duties, a little bit cheaper.</v>
      </c>
    </row>
    <row r="17476">
      <c r="A17476" s="1">
        <v>5.0</v>
      </c>
      <c r="B17476" s="1" t="s">
        <v>17262</v>
      </c>
      <c r="C17476" t="str">
        <f>IFERROR(__xludf.DUMMYFUNCTION("GOOGLETRANSLATE(B17476, ""zh"", ""en"")"),"Good quality! Well, not from the previous evaluation, I do not know how many wasted points, points can change money now know, they should look carefully evaluated, then I put these words to copy to go, both to earn points, but also the easy way, where are"&amp;" copy where, most importantly, do not seriously review, do not think how much worse word, sent directly to it, recommend it to everyone! !")</f>
        <v>Good quality! Well, not from the previous evaluation, I do not know how many wasted points, points can change money now know, they should look carefully evaluated, then I put these words to copy to go, both to earn points, but also the easy way, where are copy where, most importantly, do not seriously review, do not think how much worse word, sent directly to it, recommend it to everyone! !</v>
      </c>
    </row>
    <row r="17477">
      <c r="A17477" s="1">
        <v>5.0</v>
      </c>
      <c r="B17477" s="1" t="s">
        <v>17263</v>
      </c>
      <c r="C17477" t="str">
        <f>IFERROR(__xludf.DUMMYFUNCTION("GOOGLETRANSLATE(B17477, ""zh"", ""en"")"),"Japan domestic code number greatly differ more than three, 200 kilos xl actually a large public pool.")</f>
        <v>Japan domestic code number greatly differ more than three, 200 kilos xl actually a large public pool.</v>
      </c>
    </row>
    <row r="17478">
      <c r="A17478" s="1">
        <v>5.0</v>
      </c>
      <c r="B17478" s="1" t="s">
        <v>17264</v>
      </c>
      <c r="C17478" t="str">
        <f>IFERROR(__xludf.DUMMYFUNCTION("GOOGLETRANSLATE(B17478, ""zh"", ""en"")"),"Genuine genuine good goods. Friendly price: cost-effective!")</f>
        <v>Genuine genuine good goods. Friendly price: cost-effective!</v>
      </c>
    </row>
    <row r="17479">
      <c r="A17479" s="1">
        <v>5.0</v>
      </c>
      <c r="B17479" s="1" t="s">
        <v>17265</v>
      </c>
      <c r="C17479" t="str">
        <f>IFERROR(__xludf.DUMMYFUNCTION("GOOGLETRANSLATE(B17479, ""zh"", ""en"")"),"Nice soft fabric, this section is thin, suitable for spring wear.")</f>
        <v>Nice soft fabric, this section is thin, suitable for spring wear.</v>
      </c>
    </row>
    <row r="17480">
      <c r="A17480" s="1">
        <v>5.0</v>
      </c>
      <c r="B17480" s="1" t="s">
        <v>17266</v>
      </c>
      <c r="C17480" t="str">
        <f>IFERROR(__xludf.DUMMYFUNCTION("GOOGLETRANSLATE(B17480, ""zh"", ""en"")"),"Finally bought appropriate. 5'11 190 pounds, finally bought appropriate. A little belly buy the appropriate number.")</f>
        <v>Finally bought appropriate. 5'11 190 pounds, finally bought appropriate. A little belly buy the appropriate number.</v>
      </c>
    </row>
    <row r="17481">
      <c r="A17481" s="1">
        <v>5.0</v>
      </c>
      <c r="B17481" s="1" t="s">
        <v>17267</v>
      </c>
      <c r="C17481" t="str">
        <f>IFERROR(__xludf.DUMMYFUNCTION("GOOGLETRANSLATE(B17481, ""zh"", ""en"")"),"Attractive not pure white, a little bit of rice, which has a thin layer of fleece, with a skirt look good")</f>
        <v>Attractive not pure white, a little bit of rice, which has a thin layer of fleece, with a skirt look good</v>
      </c>
    </row>
    <row r="17482">
      <c r="A17482" s="1">
        <v>5.0</v>
      </c>
      <c r="B17482" s="1" t="s">
        <v>17268</v>
      </c>
      <c r="C17482" t="str">
        <f>IFERROR(__xludf.DUMMYFUNCTION("GOOGLETRANSLATE(B17482, ""zh"", ""en"")"),"Bright colors so beautiful so beautiful, good ah")</f>
        <v>Bright colors so beautiful so beautiful, good ah</v>
      </c>
    </row>
    <row r="17483">
      <c r="A17483" s="1">
        <v>5.0</v>
      </c>
      <c r="B17483" s="1" t="s">
        <v>17269</v>
      </c>
      <c r="C17483" t="str">
        <f>IFERROR(__xludf.DUMMYFUNCTION("GOOGLETRANSLATE(B17483, ""zh"", ""en"")"),"The United States was going to look good Amoy, found in Central Asia the price is right, ah, arrival also good to see, ha ha.")</f>
        <v>The United States was going to look good Amoy, found in Central Asia the price is right, ah, arrival also good to see, ha ha.</v>
      </c>
    </row>
    <row r="17484">
      <c r="A17484" s="1">
        <v>5.0</v>
      </c>
      <c r="B17484" s="1" t="s">
        <v>17270</v>
      </c>
      <c r="C17484" t="str">
        <f>IFERROR(__xludf.DUMMYFUNCTION("GOOGLETRANSLATE(B17484, ""zh"", ""en"")"),"Worth having noise reduction effect is obvious, exquisite workmanship, beautiful appearance")</f>
        <v>Worth having noise reduction effect is obvious, exquisite workmanship, beautiful appearance</v>
      </c>
    </row>
    <row r="17485">
      <c r="A17485" s="1">
        <v>2.0</v>
      </c>
      <c r="B17485" s="1" t="s">
        <v>17271</v>
      </c>
      <c r="C17485" t="str">
        <f>IFERROR(__xludf.DUMMYFUNCTION("GOOGLETRANSLATE(B17485, ""zh"", ""en"")"),"Look at how big a star is to wear two logistics. In fact, work styles are good, very good. But give me two are not the same size Which will lead to trouble, clear shoe comfortable to wear, a lot of tight, just started thinking about Chuan Chuan will loose"&amp;", I thought it was the foot, the result of my colleagues asked me how the shoes feel one large and one small. I was drunk. Amazon also too careful of. A tight feet hurt. Cortex is very comfortable to wear do not fight foot")</f>
        <v>Look at how big a star is to wear two logistics. In fact, work styles are good, very good. But give me two are not the same size Which will lead to trouble, clear shoe comfortable to wear, a lot of tight, just started thinking about Chuan Chuan will loose, I thought it was the foot, the result of my colleagues asked me how the shoes feel one large and one small. I was drunk. Amazon also too careful of. A tight feet hurt. Cortex is very comfortable to wear do not fight foot</v>
      </c>
    </row>
    <row r="17486">
      <c r="A17486" s="1">
        <v>3.0</v>
      </c>
      <c r="B17486" s="1" t="s">
        <v>17272</v>
      </c>
      <c r="C17486" t="str">
        <f>IFERROR(__xludf.DUMMYFUNCTION("GOOGLETRANSLATE(B17486, ""zh"", ""en"")"),"Comfort still too large, 170cm, 76-kg. Feeling is pajamas. Length long sleeves, size can be. Estimates of just 180cm")</f>
        <v>Comfort still too large, 170cm, 76-kg. Feeling is pajamas. Length long sleeves, size can be. Estimates of just 180cm</v>
      </c>
    </row>
    <row r="17487">
      <c r="A17487" s="1">
        <v>3.0</v>
      </c>
      <c r="B17487" s="1" t="s">
        <v>17273</v>
      </c>
      <c r="C17487" t="str">
        <f>IFERROR(__xludf.DUMMYFUNCTION("GOOGLETRANSLATE(B17487, ""zh"", ""en"")"),"Special for the right size, the material also had to go, but obviously the feeling is to do special discounts for version, the details of work in general")</f>
        <v>Special for the right size, the material also had to go, but obviously the feeling is to do special discounts for version, the details of work in general</v>
      </c>
    </row>
    <row r="17488">
      <c r="A17488" s="1">
        <v>3.0</v>
      </c>
      <c r="B17488" s="1" t="s">
        <v>17274</v>
      </c>
      <c r="C17488" t="str">
        <f>IFERROR(__xludf.DUMMYFUNCTION("GOOGLETRANSLATE(B17488, ""zh"", ""en"")"),"Two hair is not the same, ""Why first time to buy is produced in Dominica Bangladesh is again buying domestic? Version is not the same one is a 10361 A11 is 103,614,898""")</f>
        <v>Two hair is not the same, "Why first time to buy is produced in Dominica Bangladesh is again buying domestic? Version is not the same one is a 10361 A11 is 103,614,898"</v>
      </c>
    </row>
    <row r="17489">
      <c r="A17489" s="1">
        <v>1.0</v>
      </c>
      <c r="B17489" s="1" t="s">
        <v>17275</v>
      </c>
      <c r="C17489" t="str">
        <f>IFERROR(__xludf.DUMMYFUNCTION("GOOGLETRANSLATE(B17489, ""zh"", ""en"")"),"Zhicijiagao wearing months, underarms off-line, thinner than a rubbish, white blind three Mao Yeye")</f>
        <v>Zhicijiagao wearing months, underarms off-line, thinner than a rubbish, white blind three Mao Yeye</v>
      </c>
    </row>
    <row r="17490">
      <c r="A17490" s="1">
        <v>1.0</v>
      </c>
      <c r="B17490" s="1" t="s">
        <v>17276</v>
      </c>
      <c r="C17490" t="str">
        <f>IFERROR(__xludf.DUMMYFUNCTION("GOOGLETRANSLATE(B17490, ""zh"", ""en"")"),"Why will rust rusty boots? This is false")</f>
        <v>Why will rust rusty boots? This is false</v>
      </c>
    </row>
    <row r="17491">
      <c r="A17491" s="1">
        <v>4.0</v>
      </c>
      <c r="B17491" s="1" t="s">
        <v>17277</v>
      </c>
      <c r="C17491" t="str">
        <f>IFERROR(__xludf.DUMMYFUNCTION("GOOGLETRANSLATE(B17491, ""zh"", ""en"")"),"Hope better and better feeling is like a little rubber sole is not very firmly, a little disappointed 😔")</f>
        <v>Hope better and better feeling is like a little rubber sole is not very firmly, a little disappointed 😔</v>
      </c>
    </row>
    <row r="17492">
      <c r="A17492" s="1">
        <v>4.0</v>
      </c>
      <c r="B17492" s="1" t="s">
        <v>17278</v>
      </c>
      <c r="C17492" t="str">
        <f>IFERROR(__xludf.DUMMYFUNCTION("GOOGLETRANSLATE(B17492, ""zh"", ""en"")"),"Yes no pictures look good, fine, but this price, it.")</f>
        <v>Yes no pictures look good, fine, but this price, it.</v>
      </c>
    </row>
    <row r="17493">
      <c r="A17493" s="1">
        <v>4.0</v>
      </c>
      <c r="B17493" s="1" t="s">
        <v>17279</v>
      </c>
      <c r="C17493" t="str">
        <f>IFERROR(__xludf.DUMMYFUNCTION("GOOGLETRANSLATE(B17493, ""zh"", ""en"")"),"Worth buying a good cup cup This is a pretty worthy of this brand of his work for 2 days without a problem estimated to three days, stronger than his mmj series much lower price, then you can start with very cool")</f>
        <v>Worth buying a good cup cup This is a pretty worthy of this brand of his work for 2 days without a problem estimated to three days, stronger than his mmj series much lower price, then you can start with very cool</v>
      </c>
    </row>
    <row r="17494">
      <c r="A17494" s="1">
        <v>4.0</v>
      </c>
      <c r="B17494" s="1" t="s">
        <v>17280</v>
      </c>
      <c r="C17494" t="str">
        <f>IFERROR(__xludf.DUMMYFUNCTION("GOOGLETRANSLATE(B17494, ""zh"", ""en"")"),"Hard disk bad excluding tax 786.7, 880 plus tax, the price of a good courier quickly, from order to receive a total of 5,6 days (is not fake sea Amoy :)) is their inadequate protection, the piano part has a mirror a lot of scratches, so if enough from a p"&amp;"rotective case")</f>
        <v>Hard disk bad excluding tax 786.7, 880 plus tax, the price of a good courier quickly, from order to receive a total of 5,6 days (is not fake sea Amoy :)) is their inadequate protection, the piano part has a mirror a lot of scratches, so if enough from a protective case</v>
      </c>
    </row>
    <row r="17495">
      <c r="A17495" s="1">
        <v>4.0</v>
      </c>
      <c r="B17495" s="1" t="s">
        <v>17281</v>
      </c>
      <c r="C17495" t="str">
        <f>IFERROR(__xludf.DUMMYFUNCTION("GOOGLETRANSLATE(B17495, ""zh"", ""en"")"),"A matter of opinion dressed okay, material is also good, work good, but then, with the United States before I buy is not the same, that it can be explained by changes in style; but then, this last obviously the Chinese people , as loose unlike before in t"&amp;"he United States buy, so a matter of opinion,")</f>
        <v>A matter of opinion dressed okay, material is also good, work good, but then, with the United States before I buy is not the same, that it can be explained by changes in style; but then, this last obviously the Chinese people , as loose unlike before in the United States buy, so a matter of opinion,</v>
      </c>
    </row>
    <row r="17496">
      <c r="A17496" s="1">
        <v>5.0</v>
      </c>
      <c r="B17496" s="1" t="s">
        <v>17282</v>
      </c>
      <c r="C17496" t="str">
        <f>IFERROR(__xludf.DUMMYFUNCTION("GOOGLETRANSLATE(B17496, ""zh"", ""en"")"),"Very good mouthwash, but all of a sudden 30% price increases in late January to buy, ready to buy back today, I discovered the price! ! ! It also bought up TheraBreath throat sprays and lozenges before 30%, it feels pretty good, quite satisfactory. The st"&amp;"art of the mouthwash, really amazing, no pungent taste is very mild, fresh scent can stay longer in the mouth. Nearly bottle content 500ml, usually about three weeks will be spent. Because the mouthwash is relatively heavy, so I chose Prime free postage w"&amp;"ill be very cost-effective, but I found that many overseas purchase of commodity prices go up these days a lot, such as bunchems toys from 69 rose to 100, leapfrog up the point of time T nearly 50 yuan, this mouthwash suit, also rose more than 30. . . I a"&amp;"lso specifically looked at the exchange rate remains at between 6.8-6.9 float has not changed much. Oh ~ ~")</f>
        <v>Very good mouthwash, but all of a sudden 30% price increases in late January to buy, ready to buy back today, I discovered the price! ! ! It also bought up TheraBreath throat sprays and lozenges before 30%, it feels pretty good, quite satisfactory. The start of the mouthwash, really amazing, no pungent taste is very mild, fresh scent can stay longer in the mouth. Nearly bottle content 500ml, usually about three weeks will be spent. Because the mouthwash is relatively heavy, so I chose Prime free postage will be very cost-effective, but I found that many overseas purchase of commodity prices go up these days a lot, such as bunchems toys from 69 rose to 100, leapfrog up the point of time T nearly 50 yuan, this mouthwash suit, also rose more than 30. . . I also specifically looked at the exchange rate remains at between 6.8-6.9 float has not changed much. Oh ~ ~</v>
      </c>
    </row>
    <row r="17497">
      <c r="A17497" s="1">
        <v>5.0</v>
      </c>
      <c r="B17497" s="1" t="s">
        <v>17283</v>
      </c>
      <c r="C17497" t="str">
        <f>IFERROR(__xludf.DUMMYFUNCTION("GOOGLETRANSLATE(B17497, ""zh"", ""en"")"),"Could this be the very sharp scissors Shuangsha one of the top ten legendary weapon? Two accidents have caused bloodshed ,,,")</f>
        <v>Could this be the very sharp scissors Shuangsha one of the top ten legendary weapon? Two accidents have caused bloodshed ,,,</v>
      </c>
    </row>
    <row r="17498">
      <c r="A17498" s="1">
        <v>5.0</v>
      </c>
      <c r="B17498" s="1" t="s">
        <v>17284</v>
      </c>
      <c r="C17498" t="str">
        <f>IFERROR(__xludf.DUMMYFUNCTION("GOOGLETRANSLATE(B17498, ""zh"", ""en"")"),"Satisfaction, duck down, 85% of the amount of cashmere I 170cm, 65kg, wearing No. S just right. A little belly bulge, do not see, perfect. This dress is the European version, in May 2018 production, duck, fluffy 700 degrees, 85% charge down the amount, th"&amp;"ere is no smell under the duck flavor. In fact, 73060, Guide series. Work fine. Charge down the amount of about 200g in Jiangsu, Zhejiang and winter is enough. This is said to be domestic goose down, charge down the amount of 90%, but prices have been mor"&amp;"e than 1499 yuan. Black is buying the deity of this guide, 900 pieces of less than 1000 hand, count satisfied with it, marmot price indeed higher than many elephants and birds. At that time marmot shadow shall also receive a discount, more than 1,300 hand"&amp;", but I have orders shipped the Amazon guide, there is no replacement to save trouble. So the next time when the need to reconsider or change rab shadow home.")</f>
        <v>Satisfaction, duck down, 85% of the amount of cashmere I 170cm, 65kg, wearing No. S just right. A little belly bulge, do not see, perfect. This dress is the European version, in May 2018 production, duck, fluffy 700 degrees, 85% charge down the amount, there is no smell under the duck flavor. In fact, 73060, Guide series. Work fine. Charge down the amount of about 200g in Jiangsu, Zhejiang and winter is enough. This is said to be domestic goose down, charge down the amount of 90%, but prices have been more than 1499 yuan. Black is buying the deity of this guide, 900 pieces of less than 1000 hand, count satisfied with it, marmot price indeed higher than many elephants and birds. At that time marmot shadow shall also receive a discount, more than 1,300 hand, but I have orders shipped the Amazon guide, there is no replacement to save trouble. So the next time when the need to reconsider or change rab shadow home.</v>
      </c>
    </row>
    <row r="17499">
      <c r="A17499" s="1">
        <v>5.0</v>
      </c>
      <c r="B17499" s="1" t="s">
        <v>17285</v>
      </c>
      <c r="C17499" t="str">
        <f>IFERROR(__xludf.DUMMYFUNCTION("GOOGLETRANSLATE(B17499, ""zh"", ""en"")"),"A pleasant shopping baby is very good, worth a buy")</f>
        <v>A pleasant shopping baby is very good, worth a buy</v>
      </c>
    </row>
    <row r="17500">
      <c r="A17500" s="1">
        <v>5.0</v>
      </c>
      <c r="B17500" s="1" t="s">
        <v>17286</v>
      </c>
      <c r="C17500" t="str">
        <f>IFERROR(__xludf.DUMMYFUNCTION("GOOGLETRANSLATE(B17500, ""zh"", ""en"")"),"To buy a belt for a very good, high cost, the right length, waist 32 to buy 34 just last buttonhole, perfect! Two different colors for pants!")</f>
        <v>To buy a belt for a very good, high cost, the right length, waist 32 to buy 34 just last buttonhole, perfect! Two different colors for pants!</v>
      </c>
    </row>
    <row r="17501">
      <c r="A17501" s="1">
        <v>5.0</v>
      </c>
      <c r="B17501" s="1" t="s">
        <v>17287</v>
      </c>
      <c r="C17501" t="str">
        <f>IFERROR(__xludf.DUMMYFUNCTION("GOOGLETRANSLATE(B17501, ""zh"", ""en"")"),"Good very good use, inexpensive ah!")</f>
        <v>Good very good use, inexpensive ah!</v>
      </c>
    </row>
    <row r="17502">
      <c r="A17502" s="1">
        <v>5.0</v>
      </c>
      <c r="B17502" s="1" t="s">
        <v>17288</v>
      </c>
      <c r="C17502" t="str">
        <f>IFERROR(__xludf.DUMMYFUNCTION("GOOGLETRANSLATE(B17502, ""zh"", ""en"")"),"Value for money with the store to buy, like, half the price, value")</f>
        <v>Value for money with the store to buy, like, half the price, value</v>
      </c>
    </row>
    <row r="17503">
      <c r="A17503" s="1">
        <v>5.0</v>
      </c>
      <c r="B17503" s="1" t="s">
        <v>17289</v>
      </c>
      <c r="C17503" t="str">
        <f>IFERROR(__xludf.DUMMYFUNCTION("GOOGLETRANSLATE(B17503, ""zh"", ""en"")"),"Very good size very accurate, affordable!")</f>
        <v>Very good size very accurate, affordable!</v>
      </c>
    </row>
    <row r="17504">
      <c r="A17504" s="1">
        <v>5.0</v>
      </c>
      <c r="B17504" s="1" t="s">
        <v>17290</v>
      </c>
      <c r="C17504" t="str">
        <f>IFERROR(__xludf.DUMMYFUNCTION("GOOGLETRANSLATE(B17504, ""zh"", ""en"")"),"Well 1 m 73,79 kg, M number just right. Cambodian origin, good material, the color is. When winter underwear to wear, spring and autumn can be worn alone. It is certainly genuine, laser anti-counterfeit labels inside the lower left.")</f>
        <v>Well 1 m 73,79 kg, M number just right. Cambodian origin, good material, the color is. When winter underwear to wear, spring and autumn can be worn alone. It is certainly genuine, laser anti-counterfeit labels inside the lower left.</v>
      </c>
    </row>
    <row r="17505">
      <c r="A17505" s="1">
        <v>5.0</v>
      </c>
      <c r="B17505" s="1" t="s">
        <v>17291</v>
      </c>
      <c r="C17505" t="str">
        <f>IFERROR(__xludf.DUMMYFUNCTION("GOOGLETRANSLATE(B17505, ""zh"", ""en"")"),"Very good head does not work, the network is broken, buy the network did not sell")</f>
        <v>Very good head does not work, the network is broken, buy the network did not sell</v>
      </c>
    </row>
    <row r="17506">
      <c r="A17506" s="1">
        <v>5.0</v>
      </c>
      <c r="B17506" s="1" t="s">
        <v>17292</v>
      </c>
      <c r="C17506" t="str">
        <f>IFERROR(__xludf.DUMMYFUNCTION("GOOGLETRANSLATE(B17506, ""zh"", ""en"")"),"Sent to give the baby does not leak, and that does not leak, 9-month-old baby'll be able to own drink.")</f>
        <v>Sent to give the baby does not leak, and that does not leak, 9-month-old baby'll be able to own drink.</v>
      </c>
    </row>
    <row r="17507">
      <c r="A17507" s="1">
        <v>5.0</v>
      </c>
      <c r="B17507" s="1" t="s">
        <v>17293</v>
      </c>
      <c r="C17507" t="str">
        <f>IFERROR(__xludf.DUMMYFUNCTION("GOOGLETRANSLATE(B17507, ""zh"", ""en"")"),"Favorite brand feeling good. Wear appropriate")</f>
        <v>Favorite brand feeling good. Wear appropriate</v>
      </c>
    </row>
    <row r="17508">
      <c r="A17508" s="1">
        <v>5.0</v>
      </c>
      <c r="B17508" s="1" t="s">
        <v>17294</v>
      </c>
      <c r="C17508" t="str">
        <f>IFERROR(__xludf.DUMMYFUNCTION("GOOGLETRANSLATE(B17508, ""zh"", ""en"")"),"Good quality is very good clothes, like to wear.")</f>
        <v>Good quality is very good clothes, like to wear.</v>
      </c>
    </row>
    <row r="17509">
      <c r="A17509" s="1">
        <v>5.0</v>
      </c>
      <c r="B17509" s="1" t="s">
        <v>17295</v>
      </c>
      <c r="C17509" t="str">
        <f>IFERROR(__xludf.DUMMYFUNCTION("GOOGLETRANSLATE(B17509, ""zh"", ""en"")"),"Yen value and functionality fabulous quiet fast heating, good insulation effect, it is too fond of friends")</f>
        <v>Yen value and functionality fabulous quiet fast heating, good insulation effect, it is too fond of friends</v>
      </c>
    </row>
    <row r="17510">
      <c r="A17510" s="1">
        <v>5.0</v>
      </c>
      <c r="B17510" s="1" t="s">
        <v>17296</v>
      </c>
      <c r="C17510" t="str">
        <f>IFERROR(__xludf.DUMMYFUNCTION("GOOGLETRANSLATE(B17510, ""zh"", ""en"")"),"20 degrees or so good to wear more comfortable. 172CM, 67.5KG, wear M code is appropriate. Lightweight, breathable, absorbent function can not be too force, and it itself is so thin, how much sweat can suck it! Overall very satisfied.")</f>
        <v>20 degrees or so good to wear more comfortable. 172CM, 67.5KG, wear M code is appropriate. Lightweight, breathable, absorbent function can not be too force, and it itself is so thin, how much sweat can suck it! Overall very satisfied.</v>
      </c>
    </row>
    <row r="17511">
      <c r="A17511" s="1">
        <v>5.0</v>
      </c>
      <c r="B17511" s="1" t="s">
        <v>17297</v>
      </c>
      <c r="C17511" t="str">
        <f>IFERROR(__xludf.DUMMYFUNCTION("GOOGLETRANSLATE(B17511, ""zh"", ""en"")"),"MA-1 black S 170,70 kg, S code exactly, is about to purchase has been shipped, many times to call customer service, and finally shipped only after cancel the authorization and reauthorization of orders was received more than a month the actual delivery to"&amp;" receive only seven days. Clothes none, perfect!")</f>
        <v>MA-1 black S 170,70 kg, S code exactly, is about to purchase has been shipped, many times to call customer service, and finally shipped only after cancel the authorization and reauthorization of orders was received more than a month the actual delivery to receive only seven days. Clothes none, perfect!</v>
      </c>
    </row>
    <row r="17512">
      <c r="A17512" s="1">
        <v>5.0</v>
      </c>
      <c r="B17512" s="1" t="s">
        <v>17298</v>
      </c>
      <c r="C17512" t="str">
        <f>IFERROR(__xludf.DUMMYFUNCTION("GOOGLETRANSLATE(B17512, ""zh"", ""en"")"),"The proposed purchase very well liked")</f>
        <v>The proposed purchase very well liked</v>
      </c>
    </row>
    <row r="17513">
      <c r="A17513" s="1">
        <v>5.0</v>
      </c>
      <c r="B17513" s="1" t="s">
        <v>17299</v>
      </c>
      <c r="C17513" t="str">
        <f>IFERROR(__xludf.DUMMYFUNCTION("GOOGLETRANSLATE(B17513, ""zh"", ""en"")"),"Well it is just a good, good time shopping")</f>
        <v>Well it is just a good, good time shopping</v>
      </c>
    </row>
    <row r="17514">
      <c r="A17514" s="1">
        <v>5.0</v>
      </c>
      <c r="B17514" s="1" t="s">
        <v>17300</v>
      </c>
      <c r="C17514" t="str">
        <f>IFERROR(__xludf.DUMMYFUNCTION("GOOGLETRANSLATE(B17514, ""zh"", ""en"")"),"Very pleasant shopping 174 Height 67 kg, clothes fit, the sleeves a centimeter long, a little fat, others do not see, colleagues say very handsome")</f>
        <v>Very pleasant shopping 174 Height 67 kg, clothes fit, the sleeves a centimeter long, a little fat, others do not see, colleagues say very handsome</v>
      </c>
    </row>
    <row r="17515">
      <c r="A17515" s="1">
        <v>5.0</v>
      </c>
      <c r="B17515" s="1" t="s">
        <v>17301</v>
      </c>
      <c r="C17515" t="str">
        <f>IFERROR(__xludf.DUMMYFUNCTION("GOOGLETRANSLATE(B17515, ""zh"", ""en"")"),"AVENT good belt, leather, good. Waist 85 centimeters, a slightly larger Diudiu belt.")</f>
        <v>AVENT good belt, leather, good. Waist 85 centimeters, a slightly larger Diudiu belt.</v>
      </c>
    </row>
    <row r="17516">
      <c r="A17516" s="1">
        <v>5.0</v>
      </c>
      <c r="B17516" s="1" t="s">
        <v>17302</v>
      </c>
      <c r="C17516" t="str">
        <f>IFERROR(__xludf.DUMMYFUNCTION("GOOGLETRANSLATE(B17516, ""zh"", ""en"")"),"zhengpin thanks, already have access, good. Genuine")</f>
        <v>zhengpin thanks, already have access, good. Genuine</v>
      </c>
    </row>
    <row r="17517">
      <c r="A17517" s="1">
        <v>5.0</v>
      </c>
      <c r="B17517" s="1" t="s">
        <v>17303</v>
      </c>
      <c r="C17517" t="str">
        <f>IFERROR(__xludf.DUMMYFUNCTION("GOOGLETRANSLATE(B17517, ""zh"", ""en"")"),"Very cost-effective to buy more cost effective, I tried it, quite satisfactory")</f>
        <v>Very cost-effective to buy more cost effective, I tried it, quite satisfactory</v>
      </c>
    </row>
    <row r="17518">
      <c r="A17518" s="1">
        <v>2.0</v>
      </c>
      <c r="B17518" s="1" t="s">
        <v>17304</v>
      </c>
      <c r="C17518" t="str">
        <f>IFERROR(__xludf.DUMMYFUNCTION("GOOGLETRANSLATE(B17518, ""zh"", ""en"")"),"Do not! thick! Road! There are signs of use! Courier delivery time, specifically said it was scouring the sea, you can not receive a refund. Also I wonder before the courier did not say, as a result of it! Host sent open and found there are many black sur"&amp;"face wiping marks and small scratches! I do not know other people retire or sample, but accessories can be looked at. Production date, the box is the subject of 18 October, did not find the machine. With a little, very quiet, beat cream is also very fast."&amp;" Arrival is also very fast, seven days to hand sent from abroad.")</f>
        <v>Do not! thick! Road! There are signs of use! Courier delivery time, specifically said it was scouring the sea, you can not receive a refund. Also I wonder before the courier did not say, as a result of it! Host sent open and found there are many black surface wiping marks and small scratches! I do not know other people retire or sample, but accessories can be looked at. Production date, the box is the subject of 18 October, did not find the machine. With a little, very quiet, beat cream is also very fast. Arrival is also very fast, seven days to hand sent from abroad.</v>
      </c>
    </row>
    <row r="17519">
      <c r="A17519" s="1">
        <v>3.0</v>
      </c>
      <c r="B17519" s="1" t="s">
        <v>17305</v>
      </c>
      <c r="C17519" t="str">
        <f>IFERROR(__xludf.DUMMYFUNCTION("GOOGLETRANSLATE(B17519, ""zh"", ""en"")"),"No purchase expensive overseas, or Amazon China cheaper. In addition, steam sterilization pot deformed, under Shuitang and distorted. Why friends with nothing on my problem?")</f>
        <v>No purchase expensive overseas, or Amazon China cheaper. In addition, steam sterilization pot deformed, under Shuitang and distorted. Why friends with nothing on my problem?</v>
      </c>
    </row>
    <row r="17520">
      <c r="A17520" s="1">
        <v>3.0</v>
      </c>
      <c r="B17520" s="1" t="s">
        <v>17306</v>
      </c>
      <c r="C17520" t="str">
        <f>IFERROR(__xludf.DUMMYFUNCTION("GOOGLETRANSLATE(B17520, ""zh"", ""en"")"),"Not worth buying very general, regardless of the version, fabric or workmanship. And similar goods Taobao, go to the store absolutely despise the kind of! Too large a yard and a half, so you can consider buying a small number, so wear it a little type. De"&amp;"nim jacket or go to the store tried to know appropriate to their own! Also feeling the store fabric work a little better, a lot of this thread, are suspected to be high imitation")</f>
        <v>Not worth buying very general, regardless of the version, fabric or workmanship. And similar goods Taobao, go to the store absolutely despise the kind of! Too large a yard and a half, so you can consider buying a small number, so wear it a little type. Denim jacket or go to the store tried to know appropriate to their own! Also feeling the store fabric work a little better, a lot of this thread, are suspected to be high imitation</v>
      </c>
    </row>
    <row r="17521">
      <c r="A17521" s="1">
        <v>1.0</v>
      </c>
      <c r="B17521" s="1" t="s">
        <v>17307</v>
      </c>
      <c r="C17521" t="str">
        <f>IFERROR(__xludf.DUMMYFUNCTION("GOOGLETRANSLATE(B17521, ""zh"", ""en"")"),"Shoes, bad shoes and shopping malls selling this is absolutely not a thing Slovak production both cortical hand or laces are not the same as the store counter and I can not conclude that the overseas purchase of Germany bought shoes are fake but serious q"&amp;"uality problems")</f>
        <v>Shoes, bad shoes and shopping malls selling this is absolutely not a thing Slovak production both cortical hand or laces are not the same as the store counter and I can not conclude that the overseas purchase of Germany bought shoes are fake but serious quality problems</v>
      </c>
    </row>
    <row r="17522">
      <c r="A17522" s="1">
        <v>1.0</v>
      </c>
      <c r="B17522" s="1" t="s">
        <v>17308</v>
      </c>
      <c r="C17522" t="str">
        <f>IFERROR(__xludf.DUMMYFUNCTION("GOOGLETRANSLATE(B17522, ""zh"", ""en"")"),"Lay poor mutual packaging, boxes are rotten, the insulation effect is generally")</f>
        <v>Lay poor mutual packaging, boxes are rotten, the insulation effect is generally</v>
      </c>
    </row>
    <row r="17523">
      <c r="A17523" s="1">
        <v>1.0</v>
      </c>
      <c r="B17523" s="1" t="s">
        <v>17309</v>
      </c>
      <c r="C17523" t="str">
        <f>IFERROR(__xludf.DUMMYFUNCTION("GOOGLETRANSLATE(B17523, ""zh"", ""en"")"),"Too bad received trousers, already wrinkled mess, pale with a lot of unknown animal hair, too disgusting.")</f>
        <v>Too bad received trousers, already wrinkled mess, pale with a lot of unknown animal hair, too disgusting.</v>
      </c>
    </row>
    <row r="17524">
      <c r="A17524" s="1">
        <v>4.0</v>
      </c>
      <c r="B17524" s="1" t="s">
        <v>17310</v>
      </c>
      <c r="C17524" t="str">
        <f>IFERROR(__xludf.DUMMYFUNCTION("GOOGLETRANSLATE(B17524, ""zh"", ""en"")"),"You can also right, very fit fit, you can.")</f>
        <v>You can also right, very fit fit, you can.</v>
      </c>
    </row>
    <row r="17525">
      <c r="A17525" s="1">
        <v>4.0</v>
      </c>
      <c r="B17525" s="1" t="s">
        <v>17311</v>
      </c>
      <c r="C17525" t="str">
        <f>IFERROR(__xludf.DUMMYFUNCTION("GOOGLETRANSLATE(B17525, ""zh"", ""en"")"),"Calendar personally like this watch, this is the calendar display, it has been to show a month is 31 days 😂😂")</f>
        <v>Calendar personally like this watch, this is the calendar display, it has been to show a month is 31 days 😂😂</v>
      </c>
    </row>
    <row r="17526">
      <c r="A17526" s="1">
        <v>4.0</v>
      </c>
      <c r="B17526" s="1" t="s">
        <v>17312</v>
      </c>
      <c r="C17526" t="str">
        <f>IFERROR(__xludf.DUMMYFUNCTION("GOOGLETRANSLATE(B17526, ""zh"", ""en"")"),"Good cup, this series is really cost-effective general light, thermal insulation effect is not tried, should not be bad. Prior to use of the Tiger, playing the cover of that paragraph, it is convenient, insulation is very good. But more than a cost-effect"&amp;"ive price on the general")</f>
        <v>Good cup, this series is really cost-effective general light, thermal insulation effect is not tried, should not be bad. Prior to use of the Tiger, playing the cover of that paragraph, it is convenient, insulation is very good. But more than a cost-effective price on the general</v>
      </c>
    </row>
    <row r="17527">
      <c r="A17527" s="1">
        <v>4.0</v>
      </c>
      <c r="B17527" s="1" t="s">
        <v>17313</v>
      </c>
      <c r="C17527" t="str">
        <f>IFERROR(__xludf.DUMMYFUNCTION("GOOGLETRANSLATE(B17527, ""zh"", ""en"")"),"Primer may also be adapted to wear, is slightly thinner point")</f>
        <v>Primer may also be adapted to wear, is slightly thinner point</v>
      </c>
    </row>
    <row r="17528">
      <c r="A17528" s="1">
        <v>4.0</v>
      </c>
      <c r="B17528" s="1" t="s">
        <v>17314</v>
      </c>
      <c r="C17528" t="str">
        <f>IFERROR(__xludf.DUMMYFUNCTION("GOOGLETRANSLATE(B17528, ""zh"", ""en"")"),"This in line with its expectations, in fact, just the right feet of 42 not out to see the difference between Chinese and foreign. And these shoes ... I do not know how to brush")</f>
        <v>This in line with its expectations, in fact, just the right feet of 42 not out to see the difference between Chinese and foreign. And these shoes ... I do not know how to brush</v>
      </c>
    </row>
    <row r="17529">
      <c r="A17529" s="1">
        <v>5.0</v>
      </c>
      <c r="B17529" s="1" t="s">
        <v>17315</v>
      </c>
      <c r="C17529" t="str">
        <f>IFERROR(__xludf.DUMMYFUNCTION("GOOGLETRANSLATE(B17529, ""zh"", ""en"")"),"Very good size standard for comparison. Wear relatively fit, very good. Just some self-cultivation, buxom person, buy carefully.")</f>
        <v>Very good size standard for comparison. Wear relatively fit, very good. Just some self-cultivation, buxom person, buy carefully.</v>
      </c>
    </row>
    <row r="17530">
      <c r="A17530" s="1">
        <v>5.0</v>
      </c>
      <c r="B17530" s="1" t="s">
        <v>17316</v>
      </c>
      <c r="C17530" t="str">
        <f>IFERROR(__xludf.DUMMYFUNCTION("GOOGLETRANSLATE(B17530, ""zh"", ""en"")"),"Dr Brown has been genuine use of the bottle. Pacifier is not so big.")</f>
        <v>Dr Brown has been genuine use of the bottle. Pacifier is not so big.</v>
      </c>
    </row>
    <row r="17531">
      <c r="A17531" s="1">
        <v>5.0</v>
      </c>
      <c r="B17531" s="1" t="s">
        <v>17317</v>
      </c>
      <c r="C17531" t="str">
        <f>IFERROR(__xludf.DUMMYFUNCTION("GOOGLETRANSLATE(B17531, ""zh"", ""en"")"),"Los extremely easy to use things, a word, good")</f>
        <v>Los extremely easy to use things, a word, good</v>
      </c>
    </row>
    <row r="17532">
      <c r="A17532" s="1">
        <v>5.0</v>
      </c>
      <c r="B17532" s="1" t="s">
        <v>17318</v>
      </c>
      <c r="C17532" t="str">
        <f>IFERROR(__xludf.DUMMYFUNCTION("GOOGLETRANSLATE(B17532, ""zh"", ""en"")"),"Good baby favorite soft spoon, second time to buy")</f>
        <v>Good baby favorite soft spoon, second time to buy</v>
      </c>
    </row>
    <row r="17533">
      <c r="A17533" s="1">
        <v>5.0</v>
      </c>
      <c r="B17533" s="1" t="s">
        <v>17319</v>
      </c>
      <c r="C17533" t="str">
        <f>IFERROR(__xludf.DUMMYFUNCTION("GOOGLETRANSLATE(B17533, ""zh"", ""en"")"),"Good size female models of the same experience with sports shoe size just fine. 10061 buy before the double, just to start looking at the right price scrape a couple models, which received appearance flawless, very good, No. 6 shipping, 11 arrived, the ov"&amp;"erall experience is very good.")</f>
        <v>Good size female models of the same experience with sports shoe size just fine. 10061 buy before the double, just to start looking at the right price scrape a couple models, which received appearance flawless, very good, No. 6 shipping, 11 arrived, the overall experience is very good.</v>
      </c>
    </row>
    <row r="17534">
      <c r="A17534" s="1">
        <v>5.0</v>
      </c>
      <c r="B17534" s="1" t="s">
        <v>17320</v>
      </c>
      <c r="C17534" t="str">
        <f>IFERROR(__xludf.DUMMYFUNCTION("GOOGLETRANSLATE(B17534, ""zh"", ""en"")"),"Yes styles work well, the second time to buy. Logistics slow!")</f>
        <v>Yes styles work well, the second time to buy. Logistics slow!</v>
      </c>
    </row>
    <row r="17535">
      <c r="A17535" s="1">
        <v>5.0</v>
      </c>
      <c r="B17535" s="1" t="s">
        <v>17321</v>
      </c>
      <c r="C17535" t="str">
        <f>IFERROR(__xludf.DUMMYFUNCTION("GOOGLETRANSLATE(B17535, ""zh"", ""en"")"),"Good very appropriate, Amazon is the strongest picture does not beautify")</f>
        <v>Good very appropriate, Amazon is the strongest picture does not beautify</v>
      </c>
    </row>
    <row r="17536">
      <c r="A17536" s="1">
        <v>5.0</v>
      </c>
      <c r="B17536" s="1" t="s">
        <v>17322</v>
      </c>
      <c r="C17536" t="str">
        <f>IFERROR(__xludf.DUMMYFUNCTION("GOOGLETRANSLATE(B17536, ""zh"", ""en"")"),"Very good very good clothes, clothes size is also very suitable to buy a jacket and a shirt. Style is also very pretty, it is express a bit slow. Work really is not bad. Yes 👍")</f>
        <v>Very good very good clothes, clothes size is also very suitable to buy a jacket and a shirt. Style is also very pretty, it is express a bit slow. Work really is not bad. Yes 👍</v>
      </c>
    </row>
    <row r="17537">
      <c r="A17537" s="1">
        <v>5.0</v>
      </c>
      <c r="B17537" s="1" t="s">
        <v>17323</v>
      </c>
      <c r="C17537" t="str">
        <f>IFERROR(__xludf.DUMMYFUNCTION("GOOGLETRANSLATE(B17537, ""zh"", ""en"")"),"Size really good quality, super satisfied!")</f>
        <v>Size really good quality, super satisfied!</v>
      </c>
    </row>
    <row r="17538">
      <c r="A17538" s="1">
        <v>5.0</v>
      </c>
      <c r="B17538" s="1" t="s">
        <v>17324</v>
      </c>
      <c r="C17538" t="str">
        <f>IFERROR(__xludf.DUMMYFUNCTION("GOOGLETRANSLATE(B17538, ""zh"", ""en"")"),"Height of about 173 individual size is too large, 70kg, chose the minimum S code, or too large, easy to pile clothes inside out, the process of washing clothes easy to stick hair. Chuan Chuan is still comfortable, warm color for men.")</f>
        <v>Height of about 173 individual size is too large, 70kg, chose the minimum S code, or too large, easy to pile clothes inside out, the process of washing clothes easy to stick hair. Chuan Chuan is still comfortable, warm color for men.</v>
      </c>
    </row>
    <row r="17539">
      <c r="A17539" s="1">
        <v>5.0</v>
      </c>
      <c r="B17539" s="1" t="s">
        <v>17325</v>
      </c>
      <c r="C17539" t="str">
        <f>IFERROR(__xludf.DUMMYFUNCTION("GOOGLETRANSLATE(B17539, ""zh"", ""en"")"),"Very satisfied with the very good, very satisfied, head is not small")</f>
        <v>Very satisfied with the very good, very satisfied, head is not small</v>
      </c>
    </row>
    <row r="17540">
      <c r="A17540" s="1">
        <v>5.0</v>
      </c>
      <c r="B17540" s="1" t="s">
        <v>17326</v>
      </c>
      <c r="C17540" t="str">
        <f>IFERROR(__xludf.DUMMYFUNCTION("GOOGLETRANSLATE(B17540, ""zh"", ""en"")"),"Very satisfied with the good-looking than the actual photos, the dial is dark blue, black, workmanship and style instead of images to display very good. Accurate travel time, waves of light energy + when really too worry, do not pipe, 100 meters waterproo"&amp;"f everyday life do not come off with water, when the 2:00 radio waves to automatically receive every day, less than 2 points to close the case will be in the morning 3:00, 4:00 and then are automatically received again. You can also manually collect wave,"&amp;" it is convenient, but did not come into contact with the wave form may not understand how to get some, is actually very simple: 1. get the goods open the package to see the light (sunlight and can be light) will automatically when the go (You will see th"&amp;"e three needle through a redeployment of its own time, a lot of fun). 2. Adjust the time zone. Because here are purchased overseas, so the default time zone is london, need to manually adjust the watch to their own time zone, China time zone selectable BJ"&amp;"S, which is Beijing. Specifically transfer zone approach is described in detail in the specification. 3. A total of two buttons, press the lower right of that (the Prospectus called ""A button"") to check the most recent waves received success. If the sec"&amp;"ond hand stops on ""OK"", explained a recent wave of success to close, if parked in the ""NO"", explained a recent wave failed to close. 4. If the received wave has been automatically fails, it can be forced to manually close the wave, is approximately A "&amp;"press button two seconds, the second hand will refer to the table on the nine o'clock direction ""RX"", described wave is received, the entire process received wave takes about 2-15 minutes, I usually about two and a half can receive the wave. 5. If the r"&amp;"eceived wave force also fails, it means that the signal is not good or the radio tower is maintained, then to be closed again manually open the wave or the like maintenance is completed. Our National Time Service Center there are only a radio transmission"&amp;" tower, located in Shangqiu, is to send regular daily time information with the National Time Service Center released for related products for time synchronization, radio coverage radius of maximum 1500 km, can simply be so considered look: in the map of "&amp;"China Shangqiu as the center, pull a straight line to Changchun is the radius, draw a circle, which is the basic coverage, if it could not receive radio waves is not within range. Also this tower send wave 21 hours a day, every day 5:00 -8 downtime. Light"&amp;" energy storage power 180 days, that is to say even in the case where no light can take 180 days, in the case in the absence of the radio wave, error of this month table about plus or minus 15 seconds, a radio wave accuracy in 0.1ms-1ms. In fact, from the"&amp;" functional point, the light energy wave form + all the advantages of mechanical watches are rolling stage, no matter how high-end mechanical watches. Of course, high-end mechanical watches has long been taking the luxury line, and played the role of jewe"&amp;"lery. But they also were forced to go the luxury route, because the field is a force in the year to go all kinds of waves, quartz, solar-powered electronic table out of the water to be naked, so as the representative of the Swiss mechanical watch industry"&amp;" was forced to luxury route restructuring, propaganda manual, limited, say hello to the table a variety of large stones, basic routines, like diamonds, is a successful woman to have a large diamond, successful man to the mechanical watch. In fact, it can "&amp;"take the dry mass market who love luxury ah, did not people make money. These above may be some like mechanical watches would not want to hear, I say that in the final analysis it is still no money, this argument of course I want to refute: You're right, "&amp;"indeed no money.")</f>
        <v>Very satisfied with the good-looking than the actual photos, the dial is dark blue, black, workmanship and style instead of images to display very good. Accurate travel time, waves of light energy + when really too worry, do not pipe, 100 meters waterproof everyday life do not come off with water, when the 2:00 radio waves to automatically receive every day, less than 2 points to close the case will be in the morning 3:00, 4:00 and then are automatically received again. You can also manually collect wave, it is convenient, but did not come into contact with the wave form may not understand how to get some, is actually very simple: 1. get the goods open the package to see the light (sunlight and can be light) will automatically when the go (You will see the three needle through a redeployment of its own time, a lot of fun). 2. Adjust the time zone. Because here are purchased overseas, so the default time zone is london, need to manually adjust the watch to their own time zone, China time zone selectable BJS, which is Beijing. Specifically transfer zone approach is described in detail in the specification. 3. A total of two buttons, press the lower right of that (the Prospectus called "A button") to check the most recent waves received success. If the second hand stops on "OK", explained a recent wave of success to close, if parked in the "NO", explained a recent wave failed to close. 4. If the received wave has been automatically fails, it can be forced to manually close the wave, is approximately A press button two seconds, the second hand will refer to the table on the nine o'clock direction "RX", described wave is received, the entire process received wave takes about 2-15 minutes, I usually about two and a half can receive the wave. 5. If the received wave force also fails, it means that the signal is not good or the radio tower is maintained, then to be closed again manually open the wave or the like maintenance is completed. Our National Time Service Center there are only a radio transmission tower, located in Shangqiu, is to send regular daily time information with the National Time Service Center released for related products for time synchronization, radio coverage radius of maximum 1500 km, can simply be so considered look: in the map of China Shangqiu as the center, pull a straight line to Changchun is the radius, draw a circle, which is the basic coverage, if it could not receive radio waves is not within range. Also this tower send wave 21 hours a day, every day 5:00 -8 downtime. Light energy storage power 180 days, that is to say even in the case where no light can take 180 days, in the case in the absence of the radio wave, error of this month table about plus or minus 15 seconds, a radio wave accuracy in 0.1ms-1ms. In fact, from the functional point, the light energy wave form + all the advantages of mechanical watches are rolling stage, no matter how high-end mechanical watches. Of course, high-end mechanical watches has long been taking the luxury line, and played the role of jewelery. But they also were forced to go the luxury route, because the field is a force in the year to go all kinds of waves, quartz, solar-powered electronic table out of the water to be naked, so as the representative of the Swiss mechanical watch industry was forced to luxury route restructuring, propaganda manual, limited, say hello to the table a variety of large stones, basic routines, like diamonds, is a successful woman to have a large diamond, successful man to the mechanical watch. In fact, it can take the dry mass market who love luxury ah, did not people make money. These above may be some like mechanical watches would not want to hear, I say that in the final analysis it is still no money, this argument of course I want to refute: You're right, indeed no money.</v>
      </c>
    </row>
    <row r="17541">
      <c r="A17541" s="1">
        <v>5.0</v>
      </c>
      <c r="B17541" s="1" t="s">
        <v>17327</v>
      </c>
      <c r="C17541" t="str">
        <f>IFERROR(__xludf.DUMMYFUNCTION("GOOGLETRANSLATE(B17541, ""zh"", ""en"")"),"The sole is not very good playing very soft, just on foot some hard, after a period of time softer. Overall okay, because the quality is not very high.")</f>
        <v>The sole is not very good playing very soft, just on foot some hard, after a period of time softer. Overall okay, because the quality is not very high.</v>
      </c>
    </row>
    <row r="17542">
      <c r="A17542" s="1">
        <v>5.0</v>
      </c>
      <c r="B17542" s="1" t="s">
        <v>17328</v>
      </c>
      <c r="C17542" t="str">
        <f>IFERROR(__xludf.DUMMYFUNCTION("GOOGLETRANSLATE(B17542, ""zh"", ""en"")"),"Really nice fortunately anxious eye fast chips under a single, very satisfied, shipped a total of six days to receive the cup, quickly, and now there has been no goods ah cups self")</f>
        <v>Really nice fortunately anxious eye fast chips under a single, very satisfied, shipped a total of six days to receive the cup, quickly, and now there has been no goods ah cups self</v>
      </c>
    </row>
    <row r="17543">
      <c r="A17543" s="1">
        <v>5.0</v>
      </c>
      <c r="B17543" s="1" t="s">
        <v>17329</v>
      </c>
      <c r="C17543" t="str">
        <f>IFERROR(__xludf.DUMMYFUNCTION("GOOGLETRANSLATE(B17543, ""zh"", ""en"")"),"Took a very good buying found Dea cheaper than domestic, but with the addition Needless to say the quality is really good last official domestic store to buy a few days bristles on the Waiqiniuba")</f>
        <v>Took a very good buying found Dea cheaper than domestic, but with the addition Needless to say the quality is really good last official domestic store to buy a few days bristles on the Waiqiniuba</v>
      </c>
    </row>
    <row r="17544">
      <c r="A17544" s="1">
        <v>5.0</v>
      </c>
      <c r="B17544" s="1" t="s">
        <v>17330</v>
      </c>
      <c r="C17544" t="str">
        <f>IFERROR(__xludf.DUMMYFUNCTION("GOOGLETRANSLATE(B17544, ""zh"", ""en"")"),"Very good very appropriate and imagination as good-looking")</f>
        <v>Very good very appropriate and imagination as good-looking</v>
      </c>
    </row>
    <row r="17545">
      <c r="A17545" s="1">
        <v>5.0</v>
      </c>
      <c r="B17545" s="1" t="s">
        <v>17331</v>
      </c>
      <c r="C17545" t="str">
        <f>IFERROR(__xludf.DUMMYFUNCTION("GOOGLETRANSLATE(B17545, ""zh"", ""en"")"),"I am more picky Amazon's service is really a good word! A relatively thin. For the northern spring and autumn wear. Women understand about fear crotch leggings uncomfortable. But small Japanese cut and is very scientific. Crotch thighs are added to the in"&amp;"terior of the triangle pieces. Very comfortable. Because it is not like skinny version too tied specifically to buy L. very suitable. I 163. 47kg. Again a little purple color in kind")</f>
        <v>I am more picky Amazon's service is really a good word! A relatively thin. For the northern spring and autumn wear. Women understand about fear crotch leggings uncomfortable. But small Japanese cut and is very scientific. Crotch thighs are added to the interior of the triangle pieces. Very comfortable. Because it is not like skinny version too tied specifically to buy L. very suitable. I 163. 47kg. Again a little purple color in kind</v>
      </c>
    </row>
    <row r="17546">
      <c r="A17546" s="1">
        <v>5.0</v>
      </c>
      <c r="B17546" s="1" t="s">
        <v>17332</v>
      </c>
      <c r="C17546" t="str">
        <f>IFERROR(__xludf.DUMMYFUNCTION("GOOGLETRANSLATE(B17546, ""zh"", ""en"")"),"Zojirushi pink cup, single-handed control is particularly beautiful! Before Tiger lost, this look better")</f>
        <v>Zojirushi pink cup, single-handed control is particularly beautiful! Before Tiger lost, this look better</v>
      </c>
    </row>
    <row r="17547">
      <c r="A17547" s="1">
        <v>5.0</v>
      </c>
      <c r="B17547" s="1" t="s">
        <v>17333</v>
      </c>
      <c r="C17547" t="str">
        <f>IFERROR(__xludf.DUMMYFUNCTION("GOOGLETRANSLATE(B17547, ""zh"", ""en"")"),"Packaging very much! Dial simplicity and bright, I have been looking for. Just packing too simple, like buying headsets, only a plastic box. Really glad it arrived safely.")</f>
        <v>Packaging very much! Dial simplicity and bright, I have been looking for. Just packing too simple, like buying headsets, only a plastic box. Really glad it arrived safely.</v>
      </c>
    </row>
    <row r="17548">
      <c r="A17548" s="1">
        <v>5.0</v>
      </c>
      <c r="B17548" s="1" t="s">
        <v>17334</v>
      </c>
      <c r="C17548" t="str">
        <f>IFERROR(__xludf.DUMMYFUNCTION("GOOGLETRANSLATE(B17548, ""zh"", ""en"")"),"Not bad back is not a good cook, but I heard on the air and completely different style, which reached my request. There is, I quite like the way to wear the headset, though large, but not uncomfortable wearing. Still burning machine ... look forward to")</f>
        <v>Not bad back is not a good cook, but I heard on the air and completely different style, which reached my request. There is, I quite like the way to wear the headset, though large, but not uncomfortable wearing. Still burning machine ... look forward to</v>
      </c>
    </row>
    <row r="17549">
      <c r="A17549" s="1">
        <v>5.0</v>
      </c>
      <c r="B17549" s="1" t="s">
        <v>17335</v>
      </c>
      <c r="C17549" t="str">
        <f>IFERROR(__xludf.DUMMYFUNCTION("GOOGLETRANSLATE(B17549, ""zh"", ""en"")"),"Just right, good shopping experience 173.75 kg. 32w32L just right")</f>
        <v>Just right, good shopping experience 173.75 kg. 32w32L just right</v>
      </c>
    </row>
    <row r="17550">
      <c r="A17550" s="1">
        <v>5.0</v>
      </c>
      <c r="B17550" s="1" t="s">
        <v>17336</v>
      </c>
      <c r="C17550" t="str">
        <f>IFERROR(__xludf.DUMMYFUNCTION("GOOGLETRANSLATE(B17550, ""zh"", ""en"")"),"Good product easy to use, long time to wear a little tired, no Chinese explanation.")</f>
        <v>Good product easy to use, long time to wear a little tired, no Chinese explanation.</v>
      </c>
    </row>
    <row r="17551">
      <c r="A17551" s="1">
        <v>2.0</v>
      </c>
      <c r="B17551" s="1" t="s">
        <v>17337</v>
      </c>
      <c r="C17551" t="str">
        <f>IFERROR(__xludf.DUMMYFUNCTION("GOOGLETRANSLATE(B17551, ""zh"", ""en"")"),"Excellent pants too rigid, inflexible, low-waist, can not wear")</f>
        <v>Excellent pants too rigid, inflexible, low-waist, can not wear</v>
      </c>
    </row>
    <row r="17552">
      <c r="A17552" s="1">
        <v>3.0</v>
      </c>
      <c r="B17552" s="1" t="s">
        <v>17338</v>
      </c>
      <c r="C17552" t="str">
        <f>IFERROR(__xludf.DUMMYFUNCTION("GOOGLETRANSLATE(B17552, ""zh"", ""en"")"),"Elasticity is not good enough to buy just the size, but too sloppy, and slide the bottom up")</f>
        <v>Elasticity is not good enough to buy just the size, but too sloppy, and slide the bottom up</v>
      </c>
    </row>
    <row r="17553">
      <c r="A17553" s="1">
        <v>3.0</v>
      </c>
      <c r="B17553" s="1" t="s">
        <v>17339</v>
      </c>
      <c r="C17553" t="str">
        <f>IFERROR(__xludf.DUMMYFUNCTION("GOOGLETRANSLATE(B17553, ""zh"", ""en"")"),"Wear long become dirty, difficult to clean white shoes easily ugly, need maintenance tasks are more demanding, thin soles, buy big on the 1st, wear a little loose")</f>
        <v>Wear long become dirty, difficult to clean white shoes easily ugly, need maintenance tasks are more demanding, thin soles, buy big on the 1st, wear a little loose</v>
      </c>
    </row>
    <row r="17554">
      <c r="A17554" s="1">
        <v>3.0</v>
      </c>
      <c r="B17554" s="1" t="s">
        <v>17340</v>
      </c>
      <c r="C17554" t="str">
        <f>IFERROR(__xludf.DUMMYFUNCTION("GOOGLETRANSLATE(B17554, ""zh"", ""en"")"),"Faded wash fade serious")</f>
        <v>Faded wash fade serious</v>
      </c>
    </row>
    <row r="17555">
      <c r="A17555" s="1">
        <v>1.0</v>
      </c>
      <c r="B17555" s="1" t="s">
        <v>17341</v>
      </c>
      <c r="C17555" t="str">
        <f>IFERROR(__xludf.DUMMYFUNCTION("GOOGLETRANSLATE(B17555, ""zh"", ""en"")"),"Amazon really hit me the worst domestic shopping site 1. Goods not reach my hands, have not received any phone call me getting goods, I have shown that I sign 2. Results feedback to let him re-delivery, and the result 3. I get myself do not get that resul"&amp;"t gave me a wrong address so I can only return 4. Yes, I really like this product, but do not like this attitude, so I can feel sick for several days, maybe in the future I will not consider it to buy things on Amazon")</f>
        <v>Amazon really hit me the worst domestic shopping site 1. Goods not reach my hands, have not received any phone call me getting goods, I have shown that I sign 2. Results feedback to let him re-delivery, and the result 3. I get myself do not get that result gave me a wrong address so I can only return 4. Yes, I really like this product, but do not like this attitude, so I can feel sick for several days, maybe in the future I will not consider it to buy things on Amazon</v>
      </c>
    </row>
    <row r="17556">
      <c r="A17556" s="1">
        <v>1.0</v>
      </c>
      <c r="B17556" s="1" t="s">
        <v>17342</v>
      </c>
      <c r="C17556" t="str">
        <f>IFERROR(__xludf.DUMMYFUNCTION("GOOGLETRANSLATE(B17556, ""zh"", ""en"")"),"Very true actually have bought a pen inside of ink, there is no instructions for use")</f>
        <v>Very true actually have bought a pen inside of ink, there is no instructions for use</v>
      </c>
    </row>
    <row r="17557">
      <c r="A17557" s="1">
        <v>4.0</v>
      </c>
      <c r="B17557" s="1" t="s">
        <v>17343</v>
      </c>
      <c r="C17557" t="str">
        <f>IFERROR(__xludf.DUMMYFUNCTION("GOOGLETRANSLATE(B17557, ""zh"", ""en"")"),"! ! Dial is very thin, very light, it's Casio! Dial is too small, not enough cool, okay wrist fine. Quality is also good, when received, packaged squeezed deformation, tables are out, but not a little scratch, actually nothing at all.")</f>
        <v>! ! Dial is very thin, very light, it's Casio! Dial is too small, not enough cool, okay wrist fine. Quality is also good, when received, packaged squeezed deformation, tables are out, but not a little scratch, actually nothing at all.</v>
      </c>
    </row>
    <row r="17558">
      <c r="A17558" s="1">
        <v>4.0</v>
      </c>
      <c r="B17558" s="1" t="s">
        <v>17344</v>
      </c>
      <c r="C17558" t="str">
        <f>IFERROR(__xludf.DUMMYFUNCTION("GOOGLETRANSLATE(B17558, ""zh"", ""en"")"),"170 XS 55 boys buy just good, very fit, the sleeves a little longer, back drum, but clothes should be is this style, height 170 weight 55 are for reference only")</f>
        <v>170 XS 55 boys buy just good, very fit, the sleeves a little longer, back drum, but clothes should be is this style, height 170 weight 55 are for reference only</v>
      </c>
    </row>
    <row r="17559">
      <c r="A17559" s="1">
        <v>4.0</v>
      </c>
      <c r="B17559" s="1" t="s">
        <v>17345</v>
      </c>
      <c r="C17559" t="str">
        <f>IFERROR(__xludf.DUMMYFUNCTION("GOOGLETRANSLATE(B17559, ""zh"", ""en"")"),"The right size of the company the right wrist with a red logo, the right size, lined with velvet, good thermal effects, but because cotton is not airtight, the overall good reviews.")</f>
        <v>The right size of the company the right wrist with a red logo, the right size, lined with velvet, good thermal effects, but because cotton is not airtight, the overall good reviews.</v>
      </c>
    </row>
    <row r="17560">
      <c r="A17560" s="1">
        <v>4.0</v>
      </c>
      <c r="B17560" s="1" t="s">
        <v>17346</v>
      </c>
      <c r="C17560" t="str">
        <f>IFERROR(__xludf.DUMMYFUNCTION("GOOGLETRANSLATE(B17560, ""zh"", ""en"")"),"Fade serious good shape, but also tax rebates, that is will fade")</f>
        <v>Fade serious good shape, but also tax rebates, that is will fade</v>
      </c>
    </row>
    <row r="17561">
      <c r="A17561" s="1">
        <v>4.0</v>
      </c>
      <c r="B17561" s="1" t="s">
        <v>17347</v>
      </c>
      <c r="C17561" t="str">
        <f>IFERROR(__xludf.DUMMYFUNCTION("GOOGLETRANSLATE(B17561, ""zh"", ""en"")"),"Size slightly larger height 161, weight 100, S code is too large, if you like Slim models are recommended to buy a small one yard.")</f>
        <v>Size slightly larger height 161, weight 100, S code is too large, if you like Slim models are recommended to buy a small one yard.</v>
      </c>
    </row>
    <row r="17562">
      <c r="A17562" s="1">
        <v>5.0</v>
      </c>
      <c r="B17562" s="1" t="s">
        <v>17348</v>
      </c>
      <c r="C17562" t="str">
        <f>IFERROR(__xludf.DUMMYFUNCTION("GOOGLETRANSLATE(B17562, ""zh"", ""en"")"),"No. 6 is perfect or 711 Levi's pants waist type W30, L30 or L32 length about it, high waist, stretch pants personal, ykk zippers, elastic waistband is elastic waistband can not. Everything was in line with expectations!")</f>
        <v>No. 6 is perfect or 711 Levi's pants waist type W30, L30 or L32 length about it, high waist, stretch pants personal, ykk zippers, elastic waistband is elastic waistband can not. Everything was in line with expectations!</v>
      </c>
    </row>
    <row r="17563">
      <c r="A17563" s="1">
        <v>5.0</v>
      </c>
      <c r="B17563" s="1" t="s">
        <v>17349</v>
      </c>
      <c r="C17563" t="str">
        <f>IFERROR(__xludf.DUMMYFUNCTION("GOOGLETRANSLATE(B17563, ""zh"", ""en"")"),"I've always liked. The razor easy to use.")</f>
        <v>I've always liked. The razor easy to use.</v>
      </c>
    </row>
    <row r="17564">
      <c r="A17564" s="1">
        <v>5.0</v>
      </c>
      <c r="B17564" s="1" t="s">
        <v>17350</v>
      </c>
      <c r="C17564" t="str">
        <f>IFERROR(__xludf.DUMMYFUNCTION("GOOGLETRANSLATE(B17564, ""zh"", ""en"")"),"Very comfortable to wear, is my favorite type, value for money. Very comfortable to wear, is my favorite type, value for money.")</f>
        <v>Very comfortable to wear, is my favorite type, value for money. Very comfortable to wear, is my favorite type, value for money.</v>
      </c>
    </row>
    <row r="17565">
      <c r="A17565" s="1">
        <v>5.0</v>
      </c>
      <c r="B17565" s="1" t="s">
        <v>17351</v>
      </c>
      <c r="C17565" t="str">
        <f>IFERROR(__xludf.DUMMYFUNCTION("GOOGLETRANSLATE(B17565, ""zh"", ""en"")"),"Receipt of the goods have been received do not know whether ise installs")</f>
        <v>Receipt of the goods have been received do not know whether ise installs</v>
      </c>
    </row>
    <row r="17566">
      <c r="A17566" s="1">
        <v>5.0</v>
      </c>
      <c r="B17566" s="1" t="s">
        <v>17352</v>
      </c>
      <c r="C17566" t="str">
        <f>IFERROR(__xludf.DUMMYFUNCTION("GOOGLETRANSLATE(B17566, ""zh"", ""en"")"),"Worth buying package package is very good, did not smell a little, a large space, can hold a lot of things out to play")</f>
        <v>Worth buying package package is very good, did not smell a little, a large space, can hold a lot of things out to play</v>
      </c>
    </row>
    <row r="17567">
      <c r="A17567" s="1">
        <v>5.0</v>
      </c>
      <c r="B17567" s="1" t="s">
        <v>17353</v>
      </c>
      <c r="C17567" t="str">
        <f>IFERROR(__xludf.DUMMYFUNCTION("GOOGLETRANSLATE(B17567, ""zh"", ""en"")"),"Right size the right size, my height 172cm, 68kg, 29 is more suitable.")</f>
        <v>Right size the right size, my height 172cm, 68kg, 29 is more suitable.</v>
      </c>
    </row>
    <row r="17568">
      <c r="A17568" s="1">
        <v>5.0</v>
      </c>
      <c r="B17568" s="1" t="s">
        <v>17354</v>
      </c>
      <c r="C17568" t="str">
        <f>IFERROR(__xludf.DUMMYFUNCTION("GOOGLETRANSLATE(B17568, ""zh"", ""en"")"),"Fortunately, the right size cheap deal work")</f>
        <v>Fortunately, the right size cheap deal work</v>
      </c>
    </row>
    <row r="17569">
      <c r="A17569" s="1">
        <v>5.0</v>
      </c>
      <c r="B17569" s="1" t="s">
        <v>17355</v>
      </c>
      <c r="C17569" t="str">
        <f>IFERROR(__xludf.DUMMYFUNCTION("GOOGLETRANSLATE(B17569, ""zh"", ""en"")"),"Very good fit, cheap. 1 meter 68, 80 kilograms of the Amazon is still very credible.")</f>
        <v>Very good fit, cheap. 1 meter 68, 80 kilograms of the Amazon is still very credible.</v>
      </c>
    </row>
    <row r="17570">
      <c r="A17570" s="1">
        <v>5.0</v>
      </c>
      <c r="B17570" s="1" t="s">
        <v>17356</v>
      </c>
      <c r="C17570" t="str">
        <f>IFERROR(__xludf.DUMMYFUNCTION("GOOGLETRANSLATE(B17570, ""zh"", ""en"")"),"Faith recharge box a little bit old, something is definitely authentic licensed, work like a general, the sound quality with who knows who, is burning machine. If you like rock, do not hesitate to enter the big ladle certainly right.")</f>
        <v>Faith recharge box a little bit old, something is definitely authentic licensed, work like a general, the sound quality with who knows who, is burning machine. If you like rock, do not hesitate to enter the big ladle certainly right.</v>
      </c>
    </row>
    <row r="17571">
      <c r="A17571" s="1">
        <v>5.0</v>
      </c>
      <c r="B17571" s="1" t="s">
        <v>17357</v>
      </c>
      <c r="C17571" t="str">
        <f>IFERROR(__xludf.DUMMYFUNCTION("GOOGLETRANSLATE(B17571, ""zh"", ""en"")"),"Loose version, good good, 179,85kg, should buy a bit of a long 36 * 32, 34")</f>
        <v>Loose version, good good, 179,85kg, should buy a bit of a long 36 * 32, 34</v>
      </c>
    </row>
    <row r="17572">
      <c r="A17572" s="1">
        <v>5.0</v>
      </c>
      <c r="B17572" s="1" t="s">
        <v>17358</v>
      </c>
      <c r="C17572" t="str">
        <f>IFERROR(__xludf.DUMMYFUNCTION("GOOGLETRANSLATE(B17572, ""zh"", ""en"")"),"Very hard to force a little cheaper than Jingdong time 999, hand after the test found that the sound is smaller than the state line. awesome. Their single sun here: [......]")</f>
        <v>Very hard to force a little cheaper than Jingdong time 999, hand after the test found that the sound is smaller than the state line. awesome. Their single sun here: [......]</v>
      </c>
    </row>
    <row r="17573">
      <c r="A17573" s="1">
        <v>5.0</v>
      </c>
      <c r="B17573" s="1" t="s">
        <v>17359</v>
      </c>
      <c r="C17573" t="str">
        <f>IFERROR(__xludf.DUMMYFUNCTION("GOOGLETRANSLATE(B17573, ""zh"", ""en"")"),"Good, fast before you buy a packaged goods purchased abroad several times received are squashed, there is something dirty, and customer reaction twice, this time to buy a good package, packed in boxes, outside there are plastic bags, speed ahead, very sat"&amp;"isfied")</f>
        <v>Good, fast before you buy a packaged goods purchased abroad several times received are squashed, there is something dirty, and customer reaction twice, this time to buy a good package, packed in boxes, outside there are plastic bags, speed ahead, very satisfied</v>
      </c>
    </row>
    <row r="17574">
      <c r="A17574" s="1">
        <v>5.0</v>
      </c>
      <c r="B17574" s="1" t="s">
        <v>17360</v>
      </c>
      <c r="C17574" t="str">
        <f>IFERROR(__xludf.DUMMYFUNCTION("GOOGLETRANSLATE(B17574, ""zh"", ""en"")"),"Clothes can also be satisfied, children wear a little bit big, can wear.")</f>
        <v>Clothes can also be satisfied, children wear a little bit big, can wear.</v>
      </c>
    </row>
    <row r="17575">
      <c r="A17575" s="1">
        <v>5.0</v>
      </c>
      <c r="B17575" s="1" t="s">
        <v>17361</v>
      </c>
      <c r="C17575" t="str">
        <f>IFERROR(__xludf.DUMMYFUNCTION("GOOGLETRANSLATE(B17575, ""zh"", ""en"")"),"Shen very good quality, that is, indeed, and after said the same will be a little foot wear, but wear long socks like, good sink, although really like.")</f>
        <v>Shen very good quality, that is, indeed, and after said the same will be a little foot wear, but wear long socks like, good sink, although really like.</v>
      </c>
    </row>
    <row r="17576">
      <c r="A17576" s="1">
        <v>5.0</v>
      </c>
      <c r="B17576" s="1" t="s">
        <v>17362</v>
      </c>
      <c r="C17576" t="str">
        <f>IFERROR(__xludf.DUMMYFUNCTION("GOOGLETRANSLATE(B17576, ""zh"", ""en"")"),"Recommend 175 74 kg 15.5 suitable! Sleeve fly under their own amount")</f>
        <v>Recommend 175 74 kg 15.5 suitable! Sleeve fly under their own amount</v>
      </c>
    </row>
    <row r="17577">
      <c r="A17577" s="1">
        <v>5.0</v>
      </c>
      <c r="B17577" s="1" t="s">
        <v>17363</v>
      </c>
      <c r="C17577" t="str">
        <f>IFERROR(__xludf.DUMMYFUNCTION("GOOGLETRANSLATE(B17577, ""zh"", ""en"")"),"Five Star reasonable design, very practical, very good quality, made in China.")</f>
        <v>Five Star reasonable design, very practical, very good quality, made in China.</v>
      </c>
    </row>
    <row r="17578">
      <c r="A17578" s="1">
        <v>5.0</v>
      </c>
      <c r="B17578" s="1" t="s">
        <v>17364</v>
      </c>
      <c r="C17578" t="str">
        <f>IFERROR(__xludf.DUMMYFUNCTION("GOOGLETRANSLATE(B17578, ""zh"", ""en"")"),"To only buy good quality. Travel to Japan two years ago to help children bought. Something good, fine workmanship, quality hardware. Retired often go out, this time it is bought. Like 💕.")</f>
        <v>To only buy good quality. Travel to Japan two years ago to help children bought. Something good, fine workmanship, quality hardware. Retired often go out, this time it is bought. Like 💕.</v>
      </c>
    </row>
    <row r="17579">
      <c r="A17579" s="1">
        <v>5.0</v>
      </c>
      <c r="B17579" s="1" t="s">
        <v>17365</v>
      </c>
      <c r="C17579" t="str">
        <f>IFERROR(__xludf.DUMMYFUNCTION("GOOGLETRANSLATE(B17579, ""zh"", ""en"")"),"Satisfied with the shoes very satisfied, good price, good quality comfortable to wear!")</f>
        <v>Satisfied with the shoes very satisfied, good price, good quality comfortable to wear!</v>
      </c>
    </row>
    <row r="17580">
      <c r="A17580" s="1">
        <v>5.0</v>
      </c>
      <c r="B17580" s="1" t="s">
        <v>17366</v>
      </c>
      <c r="C17580" t="str">
        <f>IFERROR(__xludf.DUMMYFUNCTION("GOOGLETRANSLATE(B17580, ""zh"", ""en"")"),"Very good 158cm, 50kg, very appropriate. Very satisfied, a collection of off time, about 400 start time, value for money. Dea things than the United States and Asia fly")</f>
        <v>Very good 158cm, 50kg, very appropriate. Very satisfied, a collection of off time, about 400 start time, value for money. Dea things than the United States and Asia fly</v>
      </c>
    </row>
    <row r="17581">
      <c r="A17581" s="1">
        <v>5.0</v>
      </c>
      <c r="B17581" s="1" t="s">
        <v>17367</v>
      </c>
      <c r="C17581" t="str">
        <f>IFERROR(__xludf.DUMMYFUNCTION("GOOGLETRANSLATE(B17581, ""zh"", ""en"")"),"Just tried pretty good, do not hold anything against socks, normal shoe size 43/44 I can, buy a little freshman Diudiu 44 lost, not bad")</f>
        <v>Just tried pretty good, do not hold anything against socks, normal shoe size 43/44 I can, buy a little freshman Diudiu 44 lost, not bad</v>
      </c>
    </row>
    <row r="17582">
      <c r="A17582" s="1">
        <v>5.0</v>
      </c>
      <c r="B17582" s="1" t="s">
        <v>17368</v>
      </c>
      <c r="C17582" t="str">
        <f>IFERROR(__xludf.DUMMYFUNCTION("GOOGLETRANSLATE(B17582, ""zh"", ""en"")"),"Like quality of 12 years for the first time to buy this product, very fond of children, is now the second child the way to the big selling point of snacks to eat very good")</f>
        <v>Like quality of 12 years for the first time to buy this product, very fond of children, is now the second child the way to the big selling point of snacks to eat very good</v>
      </c>
    </row>
    <row r="17583">
      <c r="A17583" s="1">
        <v>2.0</v>
      </c>
      <c r="B17583" s="1" t="s">
        <v>17369</v>
      </c>
      <c r="C17583" t="str">
        <f>IFERROR(__xludf.DUMMYFUNCTION("GOOGLETRANSLATE(B17583, ""zh"", ""en"")"),"The taste of boiled water boil water wave plastic an plastic taste, not to drink, not recommended to buy, regret buying this ...")</f>
        <v>The taste of boiled water boil water wave plastic an plastic taste, not to drink, not recommended to buy, regret buying this ...</v>
      </c>
    </row>
    <row r="17584">
      <c r="A17584" s="1">
        <v>3.0</v>
      </c>
      <c r="B17584" s="1" t="s">
        <v>17370</v>
      </c>
      <c r="C17584" t="str">
        <f>IFERROR(__xludf.DUMMYFUNCTION("GOOGLETRANSLATE(B17584, ""zh"", ""en"")"),"Color than the picture of deep, long sleeves, 比劳伦拉夫 small number of M darker than the picture, long sleeves, a small number 比劳伦拉夫 of M")</f>
        <v>Color than the picture of deep, long sleeves, 比劳伦拉夫 small number of M darker than the picture, long sleeves, a small number 比劳伦拉夫 of M</v>
      </c>
    </row>
    <row r="17585">
      <c r="A17585" s="1">
        <v>3.0</v>
      </c>
      <c r="B17585" s="1" t="s">
        <v>17371</v>
      </c>
      <c r="C17585" t="str">
        <f>IFERROR(__xludf.DUMMYFUNCTION("GOOGLETRANSLATE(B17585, ""zh"", ""en"")"),"Transport product looks good, not yet installed. Looks hot and cold water is short, do not know can not be installed on. Domestic express mail to the STO transit, upon receipt of discovery package has been opened, see Fig. Fortunately, things did not fall"&amp;".")</f>
        <v>Transport product looks good, not yet installed. Looks hot and cold water is short, do not know can not be installed on. Domestic express mail to the STO transit, upon receipt of discovery package has been opened, see Fig. Fortunately, things did not fall.</v>
      </c>
    </row>
    <row r="17586">
      <c r="A17586" s="1">
        <v>1.0</v>
      </c>
      <c r="B17586" s="1" t="s">
        <v>17372</v>
      </c>
      <c r="C17586" t="str">
        <f>IFERROR(__xludf.DUMMYFUNCTION("GOOGLETRANSLATE(B17586, ""zh"", ""en"")"),"Why sell Advent health care products, not inform consumers in advance? Advent and selling health care products, in November 2018 received health care products, in August 2019 went to the shelf life, why this Advent health care products, the seller does no"&amp;"t inform consumers in advance? ? ? Negative Ratings!")</f>
        <v>Why sell Advent health care products, not inform consumers in advance? Advent and selling health care products, in November 2018 received health care products, in August 2019 went to the shelf life, why this Advent health care products, the seller does not inform consumers in advance? ? ? Negative Ratings!</v>
      </c>
    </row>
    <row r="17587">
      <c r="A17587" s="1">
        <v>1.0</v>
      </c>
      <c r="B17587" s="1" t="s">
        <v>17373</v>
      </c>
      <c r="C17587" t="str">
        <f>IFERROR(__xludf.DUMMYFUNCTION("GOOGLETRANSLATE(B17587, ""zh"", ""en"")"),"The material is not good, no tag, may be false material well, and the domestic counter are not the same, to send over there is no tag, it may be false")</f>
        <v>The material is not good, no tag, may be false material well, and the domestic counter are not the same, to send over there is no tag, it may be false</v>
      </c>
    </row>
    <row r="17588">
      <c r="A17588" s="1">
        <v>1.0</v>
      </c>
      <c r="B17588" s="1" t="s">
        <v>17374</v>
      </c>
      <c r="C17588" t="str">
        <f>IFERROR(__xludf.DUMMYFUNCTION("GOOGLETRANSLATE(B17588, ""zh"", ""en"")"),"Not original. And the picture does not match, and the head does not spring, is certainly not original, I feel cheated, but it can be used.")</f>
        <v>Not original. And the picture does not match, and the head does not spring, is certainly not original, I feel cheated, but it can be used.</v>
      </c>
    </row>
    <row r="17589">
      <c r="A17589" s="1">
        <v>4.0</v>
      </c>
      <c r="B17589" s="1" t="s">
        <v>17375</v>
      </c>
      <c r="C17589" t="str">
        <f>IFERROR(__xludf.DUMMYFUNCTION("GOOGLETRANSLATE(B17589, ""zh"", ""en"")"),"The bottom of the legs of the white transparent circle seal relatively grinding, leg action will be enough along, and stretch pants, but the fabric is elastic enough not to feel tight!")</f>
        <v>The bottom of the legs of the white transparent circle seal relatively grinding, leg action will be enough along, and stretch pants, but the fabric is elastic enough not to feel tight!</v>
      </c>
    </row>
    <row r="17590">
      <c r="A17590" s="1">
        <v>4.0</v>
      </c>
      <c r="B17590" s="1" t="s">
        <v>17376</v>
      </c>
      <c r="C17590" t="str">
        <f>IFERROR(__xludf.DUMMYFUNCTION("GOOGLETRANSLATE(B17590, ""zh"", ""en"")"),"Usually pretty good right size 37.5 / 38, chose 6.5w, medium size slightly wider, wear winter socks just right. Guangzhou consuming receive a week. Ref 800, normal price, during the event should be able to have a more favorable price. Made in China, cheap"&amp;"er than the store a couple of hundred.")</f>
        <v>Usually pretty good right size 37.5 / 38, chose 6.5w, medium size slightly wider, wear winter socks just right. Guangzhou consuming receive a week. Ref 800, normal price, during the event should be able to have a more favorable price. Made in China, cheaper than the store a couple of hundred.</v>
      </c>
    </row>
    <row r="17591">
      <c r="A17591" s="1">
        <v>4.0</v>
      </c>
      <c r="B17591" s="1" t="s">
        <v>17377</v>
      </c>
      <c r="C17591" t="str">
        <f>IFERROR(__xludf.DUMMYFUNCTION("GOOGLETRANSLATE(B17591, ""zh"", ""en"")"),"Brush bristles little small, relatively hard, for more than Lv4 electric toothbrush users")</f>
        <v>Brush bristles little small, relatively hard, for more than Lv4 electric toothbrush users</v>
      </c>
    </row>
    <row r="17592">
      <c r="A17592" s="1">
        <v>4.0</v>
      </c>
      <c r="B17592" s="1" t="s">
        <v>17378</v>
      </c>
      <c r="C17592" t="str">
        <f>IFERROR(__xludf.DUMMYFUNCTION("GOOGLETRANSLATE(B17592, ""zh"", ""en"")"),"Wai small 30d, under the normal circumference, feel slightly smaller cup")</f>
        <v>Wai small 30d, under the normal circumference, feel slightly smaller cup</v>
      </c>
    </row>
    <row r="17593">
      <c r="A17593" s="1">
        <v>5.0</v>
      </c>
      <c r="B17593" s="1" t="s">
        <v>17379</v>
      </c>
      <c r="C17593" t="str">
        <f>IFERROR(__xludf.DUMMYFUNCTION("GOOGLETRANSLATE(B17593, ""zh"", ""en"")"),"Teeth with gingival health improved the beginning I thought I could not even phone App, the results did not even waited a long time on the company, this is the original feature of this useless, a little disappointed, start brushing a little uncomfortable,"&amp;" always felt too brush large, brush on a little sore gums, followed by the use of a long time, the symptoms will slowly disappear, teeth, white point, eat sour things can not stand the situation no teeth, the toothbrush was quite good, I think it is to bu"&amp;"y a converter socket, charging base has been fully satisfied, I have been using travel size during charging, charging head with Apple's mobile phone charger")</f>
        <v>Teeth with gingival health improved the beginning I thought I could not even phone App, the results did not even waited a long time on the company, this is the original feature of this useless, a little disappointed, start brushing a little uncomfortable, always felt too brush large, brush on a little sore gums, followed by the use of a long time, the symptoms will slowly disappear, teeth, white point, eat sour things can not stand the situation no teeth, the toothbrush was quite good, I think it is to buy a converter socket, charging base has been fully satisfied, I have been using travel size during charging, charging head with Apple's mobile phone charger</v>
      </c>
    </row>
    <row r="17594">
      <c r="A17594" s="1">
        <v>5.0</v>
      </c>
      <c r="B17594" s="1" t="s">
        <v>17380</v>
      </c>
      <c r="C17594" t="str">
        <f>IFERROR(__xludf.DUMMYFUNCTION("GOOGLETRANSLATE(B17594, ""zh"", ""en"")"),"Worth having, good quality! To drive big, worth having, good quality, high cost!")</f>
        <v>Worth having, good quality! To drive big, worth having, good quality, high cost!</v>
      </c>
    </row>
    <row r="17595">
      <c r="A17595" s="1">
        <v>5.0</v>
      </c>
      <c r="B17595" s="1" t="s">
        <v>17381</v>
      </c>
      <c r="C17595" t="str">
        <f>IFERROR(__xludf.DUMMYFUNCTION("GOOGLETRANSLATE(B17595, ""zh"", ""en"")"),"Why the title? Look good, usually wear shoes 38, which may be to buy 38 yards wear thick socks")</f>
        <v>Why the title? Look good, usually wear shoes 38, which may be to buy 38 yards wear thick socks</v>
      </c>
    </row>
    <row r="17596">
      <c r="A17596" s="1">
        <v>5.0</v>
      </c>
      <c r="B17596" s="1" t="s">
        <v>17382</v>
      </c>
      <c r="C17596" t="str">
        <f>IFERROR(__xludf.DUMMYFUNCTION("GOOGLETRANSLATE(B17596, ""zh"", ""en"")"),"Good quality, good workmanship exquisite quality underwear, is to buy small numbers")</f>
        <v>Good quality, good workmanship exquisite quality underwear, is to buy small numbers</v>
      </c>
    </row>
    <row r="17597">
      <c r="A17597" s="1">
        <v>5.0</v>
      </c>
      <c r="B17597" s="1" t="s">
        <v>17383</v>
      </c>
      <c r="C17597" t="str">
        <f>IFERROR(__xludf.DUMMYFUNCTION("GOOGLETRANSLATE(B17597, ""zh"", ""en"")"),"Very comfortable standard underwear, comfortable")</f>
        <v>Very comfortable standard underwear, comfortable</v>
      </c>
    </row>
    <row r="17598">
      <c r="A17598" s="1">
        <v>5.0</v>
      </c>
      <c r="B17598" s="1" t="s">
        <v>17384</v>
      </c>
      <c r="C17598" t="str">
        <f>IFERROR(__xludf.DUMMYFUNCTION("GOOGLETRANSLATE(B17598, ""zh"", ""en"")"),"Recommended to buy a bottle of exceptionally good quality, bought two, the price is much cheaper than the Lynx, and long overdue to buy things on Amazon, later also Huichang Lai.")</f>
        <v>Recommended to buy a bottle of exceptionally good quality, bought two, the price is much cheaper than the Lynx, and long overdue to buy things on Amazon, later also Huichang Lai.</v>
      </c>
    </row>
    <row r="17599">
      <c r="A17599" s="1">
        <v>5.0</v>
      </c>
      <c r="B17599" s="1" t="s">
        <v>17385</v>
      </c>
      <c r="C17599" t="str">
        <f>IFERROR(__xludf.DUMMYFUNCTION("GOOGLETRANSLATE(B17599, ""zh"", ""en"")"),"Satisfied feeling is good, the right size")</f>
        <v>Satisfied feeling is good, the right size</v>
      </c>
    </row>
    <row r="17600">
      <c r="A17600" s="1">
        <v>5.0</v>
      </c>
      <c r="B17600" s="1" t="s">
        <v>17386</v>
      </c>
      <c r="C17600" t="str">
        <f>IFERROR(__xludf.DUMMYFUNCTION("GOOGLETRANSLATE(B17600, ""zh"", ""en"")"),"I like a good thing, heavy, non-stick, I like")</f>
        <v>I like a good thing, heavy, non-stick, I like</v>
      </c>
    </row>
    <row r="17601">
      <c r="A17601" s="1">
        <v>5.0</v>
      </c>
      <c r="B17601" s="1" t="s">
        <v>17387</v>
      </c>
      <c r="C17601" t="str">
        <f>IFERROR(__xludf.DUMMYFUNCTION("GOOGLETRANSLATE(B17601, ""zh"", ""en"")"),"Very good, very good price plain, plain price has to spend")</f>
        <v>Very good, very good price plain, plain price has to spend</v>
      </c>
    </row>
    <row r="17602">
      <c r="A17602" s="1">
        <v>5.0</v>
      </c>
      <c r="B17602" s="1" t="s">
        <v>17388</v>
      </c>
      <c r="C17602" t="str">
        <f>IFERROR(__xludf.DUMMYFUNCTION("GOOGLETRANSLATE(B17602, ""zh"", ""en"")"),"Belt soft, beautiful, mute has been to buy a soft, comfortable leather belt, seen on Amazon this, very much. After hand, just based soft leather buckle at the last real first layer of leather, artificial cover less modification, the belt buckle in a circl"&amp;"e with a leather bag, so will not send the jingle of the system through the process, completely silent. Price, then buy when the price is 241.44 yuan, 28.73 yuan plus import duties, totaling 270.17 yuan, and now the price of 195.71 yuan, down 45 yuan more"&amp;".")</f>
        <v>Belt soft, beautiful, mute has been to buy a soft, comfortable leather belt, seen on Amazon this, very much. After hand, just based soft leather buckle at the last real first layer of leather, artificial cover less modification, the belt buckle in a circle with a leather bag, so will not send the jingle of the system through the process, completely silent. Price, then buy when the price is 241.44 yuan, 28.73 yuan plus import duties, totaling 270.17 yuan, and now the price of 195.71 yuan, down 45 yuan more.</v>
      </c>
    </row>
    <row r="17603">
      <c r="A17603" s="1">
        <v>5.0</v>
      </c>
      <c r="B17603" s="1" t="s">
        <v>17389</v>
      </c>
      <c r="C17603" t="str">
        <f>IFERROR(__xludf.DUMMYFUNCTION("GOOGLETRANSLATE(B17603, ""zh"", ""en"")"),"Good choice good shoes, put on kicker, comfort")</f>
        <v>Good choice good shoes, put on kicker, comfort</v>
      </c>
    </row>
    <row r="17604">
      <c r="A17604" s="1">
        <v>5.0</v>
      </c>
      <c r="B17604" s="1" t="s">
        <v>17390</v>
      </c>
      <c r="C17604" t="str">
        <f>IFERROR(__xludf.DUMMYFUNCTION("GOOGLETRANSLATE(B17604, ""zh"", ""en"")"),"Very comfortable to wear comfortable underwear are used to this before it byebye")</f>
        <v>Very comfortable to wear comfortable underwear are used to this before it byebye</v>
      </c>
    </row>
    <row r="17605">
      <c r="A17605" s="1">
        <v>5.0</v>
      </c>
      <c r="B17605" s="1" t="s">
        <v>17391</v>
      </c>
      <c r="C17605" t="str">
        <f>IFERROR(__xludf.DUMMYFUNCTION("GOOGLETRANSLATE(B17605, ""zh"", ""en"")"),"Very good height 160 cm, weight 56 ​​kg, S codes are loosely feeling small one yard would be more appropriate.")</f>
        <v>Very good height 160 cm, weight 56 ​​kg, S codes are loosely feeling small one yard would be more appropriate.</v>
      </c>
    </row>
    <row r="17606">
      <c r="A17606" s="1">
        <v>5.0</v>
      </c>
      <c r="B17606" s="1" t="s">
        <v>17392</v>
      </c>
      <c r="C17606" t="str">
        <f>IFERROR(__xludf.DUMMYFUNCTION("GOOGLETRANSLATE(B17606, ""zh"", ""en"")"),"Mast large size, when attention to buy, 170,135 pounds of fertilizer S code is also somewhat")</f>
        <v>Mast large size, when attention to buy, 170,135 pounds of fertilizer S code is also somewhat</v>
      </c>
    </row>
    <row r="17607">
      <c r="A17607" s="1">
        <v>5.0</v>
      </c>
      <c r="B17607" s="1" t="s">
        <v>17393</v>
      </c>
      <c r="C17607" t="str">
        <f>IFERROR(__xludf.DUMMYFUNCTION("GOOGLETRANSLATE(B17607, ""zh"", ""en"")"),"Very useful and practical!")</f>
        <v>Very useful and practical!</v>
      </c>
    </row>
    <row r="17608">
      <c r="A17608" s="1">
        <v>5.0</v>
      </c>
      <c r="B17608" s="1" t="s">
        <v>17394</v>
      </c>
      <c r="C17608" t="str">
        <f>IFERROR(__xludf.DUMMYFUNCTION("GOOGLETRANSLATE(B17608, ""zh"", ""en"")"),"40 orders 7UK, to the issuing of 8M, surprisingly suitable ...... I am 40 feet, the proposed purchase of 8 or 7.5")</f>
        <v>40 orders 7UK, to the issuing of 8M, surprisingly suitable ...... I am 40 feet, the proposed purchase of 8 or 7.5</v>
      </c>
    </row>
    <row r="17609">
      <c r="A17609" s="1">
        <v>5.0</v>
      </c>
      <c r="B17609" s="1" t="s">
        <v>17395</v>
      </c>
      <c r="C17609" t="str">
        <f>IFERROR(__xludf.DUMMYFUNCTION("GOOGLETRANSLATE(B17609, ""zh"", ""en"")"),"Very fit g-star version, as always, good")</f>
        <v>Very fit g-star version, as always, good</v>
      </c>
    </row>
    <row r="17610">
      <c r="A17610" s="1">
        <v>5.0</v>
      </c>
      <c r="B17610" s="1" t="s">
        <v>17396</v>
      </c>
      <c r="C17610" t="str">
        <f>IFERROR(__xludf.DUMMYFUNCTION("GOOGLETRANSLATE(B17610, ""zh"", ""en"")"),"Not a down jacket, cotton-padded clothes is very good affordable warmth")</f>
        <v>Not a down jacket, cotton-padded clothes is very good affordable warmth</v>
      </c>
    </row>
    <row r="17611">
      <c r="A17611" s="1">
        <v>5.0</v>
      </c>
      <c r="B17611" s="1" t="s">
        <v>17397</v>
      </c>
      <c r="C17611" t="str">
        <f>IFERROR(__xludf.DUMMYFUNCTION("GOOGLETRANSLATE(B17611, ""zh"", ""en"")"),"Very cute very good quality of a gutta very cute baby likes the feel of good quality is not bad either")</f>
        <v>Very cute very good quality of a gutta very cute baby likes the feel of good quality is not bad either</v>
      </c>
    </row>
    <row r="17612">
      <c r="A17612" s="1">
        <v>5.0</v>
      </c>
      <c r="B17612" s="1" t="s">
        <v>17398</v>
      </c>
      <c r="C17612" t="str">
        <f>IFERROR(__xludf.DUMMYFUNCTION("GOOGLETRANSLATE(B17612, ""zh"", ""en"")"),"Satisfaction domestic counter to buy before 38, the tangled for a long time to buy a 5.5, wear is also very appropriate. After the hand wear to Chongqing runaway a few days, shoes are very comfortable not tired.")</f>
        <v>Satisfaction domestic counter to buy before 38, the tangled for a long time to buy a 5.5, wear is also very appropriate. After the hand wear to Chongqing runaway a few days, shoes are very comfortable not tired.</v>
      </c>
    </row>
    <row r="17613">
      <c r="A17613" s="1">
        <v>5.0</v>
      </c>
      <c r="B17613" s="1" t="s">
        <v>17399</v>
      </c>
      <c r="C17613" t="str">
        <f>IFERROR(__xludf.DUMMYFUNCTION("GOOGLETRANSLATE(B17613, ""zh"", ""en"")"),"Very good to solve the amino acid milk allergy children milk powder a very good question. Baby milk, eggs, wheat allergy. Finally I found this amino acid formula. It is hard for adults to drink milk to drink, sour strange. But children like to drink, do n"&amp;"ot exclude. Can drink 150-200ml every night before going to sleep")</f>
        <v>Very good to solve the amino acid milk allergy children milk powder a very good question. Baby milk, eggs, wheat allergy. Finally I found this amino acid formula. It is hard for adults to drink milk to drink, sour strange. But children like to drink, do not exclude. Can drink 150-200ml every night before going to sleep</v>
      </c>
    </row>
    <row r="17614">
      <c r="A17614" s="1">
        <v>5.0</v>
      </c>
      <c r="B17614" s="1" t="s">
        <v>17400</v>
      </c>
      <c r="C17614" t="str">
        <f>IFERROR(__xludf.DUMMYFUNCTION("GOOGLETRANSLATE(B17614, ""zh"", ""en"")"),"Shoes good! 43 buy 10 just right. Great shoes on the feet, shoes very well, which was slender, very good package. The key to this nice color. Ready to buy a pair with the money for the wear.")</f>
        <v>Shoes good! 43 buy 10 just right. Great shoes on the feet, shoes very well, which was slender, very good package. The key to this nice color. Ready to buy a pair with the money for the wear.</v>
      </c>
    </row>
    <row r="17615">
      <c r="A17615" s="1">
        <v>2.0</v>
      </c>
      <c r="B17615" s="1" t="s">
        <v>17401</v>
      </c>
      <c r="C17615" t="str">
        <f>IFERROR(__xludf.DUMMYFUNCTION("GOOGLETRANSLATE(B17615, ""zh"", ""en"")"),"Heavy flavor comes with a small plastic jar has a very strong taste, wash several times no good, waste of ingredients. The main cup is also good.")</f>
        <v>Heavy flavor comes with a small plastic jar has a very strong taste, wash several times no good, waste of ingredients. The main cup is also good.</v>
      </c>
    </row>
    <row r="17616">
      <c r="A17616" s="1">
        <v>3.0</v>
      </c>
      <c r="B17616" s="1" t="s">
        <v>17402</v>
      </c>
      <c r="C17616" t="str">
        <f>IFERROR(__xludf.DUMMYFUNCTION("GOOGLETRANSLATE(B17616, ""zh"", ""en"")"),"Shoes have a problem, good service sent me the shoes in question, surface scratches, gluing soles and uppers bad, I feel like defective products, good service and good Amazon, after repeated communication, problem solved")</f>
        <v>Shoes have a problem, good service sent me the shoes in question, surface scratches, gluing soles and uppers bad, I feel like defective products, good service and good Amazon, after repeated communication, problem solved</v>
      </c>
    </row>
    <row r="17617">
      <c r="A17617" s="1">
        <v>3.0</v>
      </c>
      <c r="B17617" s="1" t="s">
        <v>17403</v>
      </c>
      <c r="C17617" t="str">
        <f>IFERROR(__xludf.DUMMYFUNCTION("GOOGLETRANSLATE(B17617, ""zh"", ""en"")"),"Insole it? I just saw that there are insole to buy, and how?")</f>
        <v>Insole it? I just saw that there are insole to buy, and how?</v>
      </c>
    </row>
    <row r="17618">
      <c r="A17618" s="1">
        <v>3.0</v>
      </c>
      <c r="B17618" s="1" t="s">
        <v>17404</v>
      </c>
      <c r="C17618" t="str">
        <f>IFERROR(__xludf.DUMMYFUNCTION("GOOGLETRANSLATE(B17618, ""zh"", ""en"")"),"Amazon's US Return Center sent the goods 1. No purchase small ticket printing AIU 2. Outside the box that says trade name OPTICAL READER, for $ 294.48, and I simply buy the hard disk does not meet the 3 most intolerable is address is sent outside the box "&amp;"that says the United States and Asia AMAZON.COM RETURNS CENTER (AIU Return Center), so it was someone else return? and sent to China come? 4. Contact the central Asian customer service, said to have been aware of, give I reply, four days later, no one con"&amp;"tacted me 5. Support Central Asia more and more rotten, more and more overseas purchase price")</f>
        <v>Amazon's US Return Center sent the goods 1. No purchase small ticket printing AIU 2. Outside the box that says trade name OPTICAL READER, for $ 294.48, and I simply buy the hard disk does not meet the 3 most intolerable is address is sent outside the box that says the United States and Asia AMAZON.COM RETURNS CENTER (AIU Return Center), so it was someone else return? and sent to China come? 4. Contact the central Asian customer service, said to have been aware of, give I reply, four days later, no one contacted me 5. Support Central Asia more and more rotten, more and more overseas purchase price</v>
      </c>
    </row>
    <row r="17619">
      <c r="A17619" s="1">
        <v>1.0</v>
      </c>
      <c r="B17619" s="1" t="s">
        <v>17405</v>
      </c>
      <c r="C17619" t="str">
        <f>IFERROR(__xludf.DUMMYFUNCTION("GOOGLETRANSLATE(B17619, ""zh"", ""en"")"),"Worst than the clothes made of cotton, domestic freshman yards, very rough cotton, very bad")</f>
        <v>Worst than the clothes made of cotton, domestic freshman yards, very rough cotton, very bad</v>
      </c>
    </row>
    <row r="17620">
      <c r="A17620" s="1">
        <v>1.0</v>
      </c>
      <c r="B17620" s="1" t="s">
        <v>17406</v>
      </c>
      <c r="C17620" t="str">
        <f>IFERROR(__xludf.DUMMYFUNCTION("GOOGLETRANSLATE(B17620, ""zh"", ""en"")"),"Garbage a long time to remember with comments, in fact, bought when he has these problems, not second hand watches can not go positive, according to a compass function, the second hand jump run, jump jump forty-five seconds, scary, projects to Amazon also"&amp;" can buy such goods, disappointed! ! !")</f>
        <v>Garbage a long time to remember with comments, in fact, bought when he has these problems, not second hand watches can not go positive, according to a compass function, the second hand jump run, jump jump forty-five seconds, scary, projects to Amazon also can buy such goods, disappointed! ! !</v>
      </c>
    </row>
    <row r="17621">
      <c r="A17621" s="1">
        <v>4.0</v>
      </c>
      <c r="B17621" s="1" t="s">
        <v>17407</v>
      </c>
      <c r="C17621" t="str">
        <f>IFERROR(__xludf.DUMMYFUNCTION("GOOGLETRANSLATE(B17621, ""zh"", ""en"")"),"This is the normal size of the Dominican production, work in general, or the best quality made in China. Normal size shoes in general, do not think this is too large boots.")</f>
        <v>This is the normal size of the Dominican production, work in general, or the best quality made in China. Normal size shoes in general, do not think this is too large boots.</v>
      </c>
    </row>
    <row r="17622">
      <c r="A17622" s="1">
        <v>4.0</v>
      </c>
      <c r="B17622" s="1" t="s">
        <v>17408</v>
      </c>
      <c r="C17622" t="str">
        <f>IFERROR(__xludf.DUMMYFUNCTION("GOOGLETRANSLATE(B17622, ""zh"", ""en"")"),"Rubber stopper taste good mug insulation effect, but the hot water into the rubber stopper lid great taste")</f>
        <v>Rubber stopper taste good mug insulation effect, but the hot water into the rubber stopper lid great taste</v>
      </c>
    </row>
    <row r="17623">
      <c r="A17623" s="1">
        <v>4.0</v>
      </c>
      <c r="B17623" s="1" t="s">
        <v>17409</v>
      </c>
      <c r="C17623" t="str">
        <f>IFERROR(__xludf.DUMMYFUNCTION("GOOGLETRANSLATE(B17623, ""zh"", ""en"")"),"Sticky hair severely pants version good, very good looking, that is, there is a drawback: too will stick to hair, and dried after each finished the day full of white pants debris, use tape to clean waited a long time, and made all dare often wear")</f>
        <v>Sticky hair severely pants version good, very good looking, that is, there is a drawback: too will stick to hair, and dried after each finished the day full of white pants debris, use tape to clean waited a long time, and made all dare often wear</v>
      </c>
    </row>
    <row r="17624">
      <c r="A17624" s="1">
        <v>4.0</v>
      </c>
      <c r="B17624" s="1" t="s">
        <v>17410</v>
      </c>
      <c r="C17624" t="str">
        <f>IFERROR(__xludf.DUMMYFUNCTION("GOOGLETRANSLATE(B17624, ""zh"", ""en"")"),"Germany shipped without a title. Domestic to SF, a week faster than expected. Thief stick. Experience the prime, Free International hand is less than 850, much cheaper than domestic. Converse 1970s through 36.5, af1 is 36.5, nike I, 37 feet normal running"&amp;" shoes 38, uk4.5 very loose, you can also secretly within the plug insoles. On foot handsome, but ...... praying hope Bangladesh, Dominica result is, alas, some shallow stamp, this is not satisfied.")</f>
        <v>Germany shipped without a title. Domestic to SF, a week faster than expected. Thief stick. Experience the prime, Free International hand is less than 850, much cheaper than domestic. Converse 1970s through 36.5, af1 is 36.5, nike I, 37 feet normal running shoes 38, uk4.5 very loose, you can also secretly within the plug insoles. On foot handsome, but ...... praying hope Bangladesh, Dominica result is, alas, some shallow stamp, this is not satisfied.</v>
      </c>
    </row>
    <row r="17625">
      <c r="A17625" s="1">
        <v>4.0</v>
      </c>
      <c r="B17625" s="1" t="s">
        <v>17411</v>
      </c>
      <c r="C17625" t="str">
        <f>IFERROR(__xludf.DUMMYFUNCTION("GOOGLETRANSLATE(B17625, ""zh"", ""en"")"),"Worth buying worth buying, inexpensive.")</f>
        <v>Worth buying worth buying, inexpensive.</v>
      </c>
    </row>
    <row r="17626">
      <c r="A17626" s="1">
        <v>5.0</v>
      </c>
      <c r="B17626" s="1" t="s">
        <v>17412</v>
      </c>
      <c r="C17626" t="str">
        <f>IFERROR(__xludf.DUMMYFUNCTION("GOOGLETRANSLATE(B17626, ""zh"", ""en"")"),"Be sure to choose the right numbers, Amazon costs a little high return clothes of good quality, double the middle is also caught in a thin layer of silk floss, One foreign code is too large, the election M number on it, big One can only send family wearin"&amp;"g")</f>
        <v>Be sure to choose the right numbers, Amazon costs a little high return clothes of good quality, double the middle is also caught in a thin layer of silk floss, One foreign code is too large, the election M number on it, big One can only send family wearing</v>
      </c>
    </row>
    <row r="17627">
      <c r="A17627" s="1">
        <v>5.0</v>
      </c>
      <c r="B17627" s="1" t="s">
        <v>17413</v>
      </c>
      <c r="C17627" t="str">
        <f>IFERROR(__xludf.DUMMYFUNCTION("GOOGLETRANSLATE(B17627, ""zh"", ""en"")"),"Yan ah very satisfied with the ultra-high value, and the set ratio TOTO, more like this, not yet installed, I do not know really easy to use shower")</f>
        <v>Yan ah very satisfied with the ultra-high value, and the set ratio TOTO, more like this, not yet installed, I do not know really easy to use shower</v>
      </c>
    </row>
    <row r="17628">
      <c r="A17628" s="1">
        <v>5.0</v>
      </c>
      <c r="B17628" s="1" t="s">
        <v>17414</v>
      </c>
      <c r="C17628" t="str">
        <f>IFERROR(__xludf.DUMMYFUNCTION("GOOGLETRANSLATE(B17628, ""zh"", ""en"")"),"Cheap Cuiyu Tao recommended probiotics, quite crippled, should be genuine, but also cheaper.")</f>
        <v>Cheap Cuiyu Tao recommended probiotics, quite crippled, should be genuine, but also cheaper.</v>
      </c>
    </row>
    <row r="17629">
      <c r="A17629" s="1">
        <v>5.0</v>
      </c>
      <c r="B17629" s="1" t="s">
        <v>17415</v>
      </c>
      <c r="C17629" t="str">
        <f>IFERROR(__xludf.DUMMYFUNCTION("GOOGLETRANSLATE(B17629, ""zh"", ""en"")"),"Good general seven days to go, the faster than expected, production in Malaysia, the speed can also be plugged into the computer. It is worthy of a pack, perfect")</f>
        <v>Good general seven days to go, the faster than expected, production in Malaysia, the speed can also be plugged into the computer. It is worthy of a pack, perfect</v>
      </c>
    </row>
    <row r="17630">
      <c r="A17630" s="1">
        <v>5.0</v>
      </c>
      <c r="B17630" s="1" t="s">
        <v>17416</v>
      </c>
      <c r="C17630" t="str">
        <f>IFERROR(__xludf.DUMMYFUNCTION("GOOGLETRANSLATE(B17630, ""zh"", ""en"")"),"very good. Warm, a little cover their feet usually shoes 40 yards, clark is UK6. This US7M entirely appropriate length, width slightly lacking, preferably selected recommended 2E.")</f>
        <v>very good. Warm, a little cover their feet usually shoes 40 yards, clark is UK6. This US7M entirely appropriate length, width slightly lacking, preferably selected recommended 2E.</v>
      </c>
    </row>
    <row r="17631">
      <c r="A17631" s="1">
        <v>5.0</v>
      </c>
      <c r="B17631" s="1" t="s">
        <v>17417</v>
      </c>
      <c r="C17631" t="str">
        <f>IFERROR(__xludf.DUMMYFUNCTION("GOOGLETRANSLATE(B17631, ""zh"", ""en"")"),"Very soft leather very comfortable praise")</f>
        <v>Very soft leather very comfortable praise</v>
      </c>
    </row>
    <row r="17632">
      <c r="A17632" s="1">
        <v>5.0</v>
      </c>
      <c r="B17632" s="1" t="s">
        <v>17418</v>
      </c>
      <c r="C17632" t="str">
        <f>IFERROR(__xludf.DUMMYFUNCTION("GOOGLETRANSLATE(B17632, ""zh"", ""en"")"),"Strengthen the packaging, this is an international logistics package it too easy! Fortunately, not bad, a friend recommended to buy, it is said to be useful, not to add a food supplement, store goods in")</f>
        <v>Strengthen the packaging, this is an international logistics package it too easy! Fortunately, not bad, a friend recommended to buy, it is said to be useful, not to add a food supplement, store goods in</v>
      </c>
    </row>
    <row r="17633">
      <c r="A17633" s="1">
        <v>5.0</v>
      </c>
      <c r="B17633" s="1" t="s">
        <v>17419</v>
      </c>
      <c r="C17633" t="str">
        <f>IFERROR(__xludf.DUMMYFUNCTION("GOOGLETRANSLATE(B17633, ""zh"", ""en"")"),"Medium and small three may change as the baby grew up bowl")</f>
        <v>Medium and small three may change as the baby grew up bowl</v>
      </c>
    </row>
    <row r="17634">
      <c r="A17634" s="1">
        <v>5.0</v>
      </c>
      <c r="B17634" s="1" t="s">
        <v>17420</v>
      </c>
      <c r="C17634" t="str">
        <f>IFERROR(__xludf.DUMMYFUNCTION("GOOGLETRANSLATE(B17634, ""zh"", ""en"")"),"Fabrics and styles are good these pants pretty good, a little elastic fabric pants style relatively slim, size is also more accurate, is waterproof do not know how, not tried. US Sea Logistics speed quickly purchased a week to go. recommend")</f>
        <v>Fabrics and styles are good these pants pretty good, a little elastic fabric pants style relatively slim, size is also more accurate, is waterproof do not know how, not tried. US Sea Logistics speed quickly purchased a week to go. recommend</v>
      </c>
    </row>
    <row r="17635">
      <c r="A17635" s="1">
        <v>5.0</v>
      </c>
      <c r="B17635" s="1" t="s">
        <v>17421</v>
      </c>
      <c r="C17635" t="str">
        <f>IFERROR(__xludf.DUMMYFUNCTION("GOOGLETRANSLATE(B17635, ""zh"", ""en"")"),"Price concessions to engage in activities to buy, price concessions, the home can be used for years hoard")</f>
        <v>Price concessions to engage in activities to buy, price concessions, the home can be used for years hoard</v>
      </c>
    </row>
    <row r="17636">
      <c r="A17636" s="1">
        <v>5.0</v>
      </c>
      <c r="B17636" s="1" t="s">
        <v>17422</v>
      </c>
      <c r="C17636" t="str">
        <f>IFERROR(__xludf.DUMMYFUNCTION("GOOGLETRANSLATE(B17636, ""zh"", ""en"")"),"Cheap good pants, the price is very cheap.")</f>
        <v>Cheap good pants, the price is very cheap.</v>
      </c>
    </row>
    <row r="17637">
      <c r="A17637" s="1">
        <v>5.0</v>
      </c>
      <c r="B17637" s="1" t="s">
        <v>17423</v>
      </c>
      <c r="C17637" t="str">
        <f>IFERROR(__xludf.DUMMYFUNCTION("GOOGLETRANSLATE(B17637, ""zh"", ""en"")"),"I'm good fidelity and Japanese drug store to buy the same sense to use this time to buy is very good, I feel particularly soft, and then immediately store point")</f>
        <v>I'm good fidelity and Japanese drug store to buy the same sense to use this time to buy is very good, I feel particularly soft, and then immediately store point</v>
      </c>
    </row>
    <row r="17638">
      <c r="A17638" s="1">
        <v>5.0</v>
      </c>
      <c r="B17638" s="1" t="s">
        <v>17424</v>
      </c>
      <c r="C17638" t="str">
        <f>IFERROR(__xludf.DUMMYFUNCTION("GOOGLETRANSLATE(B17638, ""zh"", ""en"")"),"This product is really good better than expected, thickness fit, color beautiful, more like")</f>
        <v>This product is really good better than expected, thickness fit, color beautiful, more like</v>
      </c>
    </row>
    <row r="17639">
      <c r="A17639" s="1">
        <v>5.0</v>
      </c>
      <c r="B17639" s="1" t="s">
        <v>17425</v>
      </c>
      <c r="C17639" t="str">
        <f>IFERROR(__xludf.DUMMYFUNCTION("GOOGLETRANSLATE(B17639, ""zh"", ""en"")"),"Very good very good")</f>
        <v>Very good very good</v>
      </c>
    </row>
    <row r="17640">
      <c r="A17640" s="1">
        <v>5.0</v>
      </c>
      <c r="B17640" s="1" t="s">
        <v>17426</v>
      </c>
      <c r="C17640" t="str">
        <f>IFERROR(__xludf.DUMMYFUNCTION("GOOGLETRANSLATE(B17640, ""zh"", ""en"")"),"A toothbrush head a little wide, but the bristles very soft, very good use")</f>
        <v>A toothbrush head a little wide, but the bristles very soft, very good use</v>
      </c>
    </row>
    <row r="17641">
      <c r="A17641" s="1">
        <v>5.0</v>
      </c>
      <c r="B17641" s="1" t="s">
        <v>17427</v>
      </c>
      <c r="C17641" t="str">
        <f>IFERROR(__xludf.DUMMYFUNCTION("GOOGLETRANSLATE(B17641, ""zh"", ""en"")"),"Another on the color looks good value is very high, for fear fell himself installed protective sleeve")</f>
        <v>Another on the color looks good value is very high, for fear fell himself installed protective sleeve</v>
      </c>
    </row>
    <row r="17642">
      <c r="A17642" s="1">
        <v>5.0</v>
      </c>
      <c r="B17642" s="1" t="s">
        <v>17428</v>
      </c>
      <c r="C17642" t="str">
        <f>IFERROR(__xludf.DUMMYFUNCTION("GOOGLETRANSLATE(B17642, ""zh"", ""en"")"),"The right size height 172, weight 68 kg, clothes fit")</f>
        <v>The right size height 172, weight 68 kg, clothes fit</v>
      </c>
    </row>
    <row r="17643">
      <c r="A17643" s="1">
        <v>5.0</v>
      </c>
      <c r="B17643" s="1" t="s">
        <v>17429</v>
      </c>
      <c r="C17643" t="str">
        <f>IFERROR(__xludf.DUMMYFUNCTION("GOOGLETRANSLATE(B17643, ""zh"", ""en"")"),"Good! Good use, thick glass, there is no smell. Ss is supporting the pacifier, the baby easy to suck.")</f>
        <v>Good! Good use, thick glass, there is no smell. Ss is supporting the pacifier, the baby easy to suck.</v>
      </c>
    </row>
    <row r="17644">
      <c r="A17644" s="1">
        <v>5.0</v>
      </c>
      <c r="B17644" s="1" t="s">
        <v>17430</v>
      </c>
      <c r="C17644" t="str">
        <f>IFERROR(__xludf.DUMMYFUNCTION("GOOGLETRANSLATE(B17644, ""zh"", ""en"")"),"Worth buying work particularly well with this coffee machine super easy to do, with 7 days shipped from Germany to Beijing, rapidly! It is to buy finished yet arrived on the price ...... lowest price should be around 340 yuan.")</f>
        <v>Worth buying work particularly well with this coffee machine super easy to do, with 7 days shipped from Germany to Beijing, rapidly! It is to buy finished yet arrived on the price ...... lowest price should be around 340 yuan.</v>
      </c>
    </row>
    <row r="17645">
      <c r="A17645" s="1">
        <v>5.0</v>
      </c>
      <c r="B17645" s="1" t="s">
        <v>17431</v>
      </c>
      <c r="C17645" t="str">
        <f>IFERROR(__xludf.DUMMYFUNCTION("GOOGLETRANSLATE(B17645, ""zh"", ""en"")"),"Japan satisfactory or good quality bottle")</f>
        <v>Japan satisfactory or good quality bottle</v>
      </c>
    </row>
    <row r="17646">
      <c r="A17646" s="1">
        <v>5.0</v>
      </c>
      <c r="B17646" s="1" t="s">
        <v>17432</v>
      </c>
      <c r="C17646" t="str">
        <f>IFERROR(__xludf.DUMMYFUNCTION("GOOGLETRANSLATE(B17646, ""zh"", ""en"")"),"Overall value for money, value for money, very good")</f>
        <v>Overall value for money, value for money, very good</v>
      </c>
    </row>
    <row r="17647">
      <c r="A17647" s="1">
        <v>5.0</v>
      </c>
      <c r="B17647" s="1" t="s">
        <v>17433</v>
      </c>
      <c r="C17647" t="str">
        <f>IFERROR(__xludf.DUMMYFUNCTION("GOOGLETRANSLATE(B17647, ""zh"", ""en"")"),"The first courier bag size is only a piece of paper, brisk back, and orders, and to just 😊")</f>
        <v>The first courier bag size is only a piece of paper, brisk back, and orders, and to just 😊</v>
      </c>
    </row>
    <row r="17648">
      <c r="A17648" s="1">
        <v>2.0</v>
      </c>
      <c r="B17648" s="1" t="s">
        <v>17434</v>
      </c>
      <c r="C17648" t="str">
        <f>IFERROR(__xludf.DUMMYFUNCTION("GOOGLETRANSLATE(B17648, ""zh"", ""en"")"),"I do not buy, you can also book and almost 20 street selling, fade, 23 days to. And the system's own prompt time three days later. I would not buy, where to buy books is still very good")</f>
        <v>I do not buy, you can also book and almost 20 street selling, fade, 23 days to. And the system's own prompt time three days later. I would not buy, where to buy books is still very good</v>
      </c>
    </row>
    <row r="17649">
      <c r="A17649" s="1">
        <v>3.0</v>
      </c>
      <c r="B17649" s="1" t="s">
        <v>17435</v>
      </c>
      <c r="C17649" t="str">
        <f>IFERROR(__xludf.DUMMYFUNCTION("GOOGLETRANSLATE(B17649, ""zh"", ""en"")"),"Poor product design issues, long skinny sleeves, length is not difficult to choose the right size")</f>
        <v>Poor product design issues, long skinny sleeves, length is not difficult to choose the right size</v>
      </c>
    </row>
    <row r="17650">
      <c r="A17650" s="1">
        <v>3.0</v>
      </c>
      <c r="B17650" s="1" t="s">
        <v>17436</v>
      </c>
      <c r="C17650" t="str">
        <f>IFERROR(__xludf.DUMMYFUNCTION("GOOGLETRANSLATE(B17650, ""zh"", ""en"")"),"You pay for the M code, the wearer 170cm, 65kg, after the election of the M code to see the comment, be more appropriate, rather long and slightly a little bit. Overall, soft cloth, baggy, it is estimated not durable.")</f>
        <v>You pay for the M code, the wearer 170cm, 65kg, after the election of the M code to see the comment, be more appropriate, rather long and slightly a little bit. Overall, soft cloth, baggy, it is estimated not durable.</v>
      </c>
    </row>
    <row r="17651">
      <c r="A17651" s="1">
        <v>1.0</v>
      </c>
      <c r="B17651" s="1" t="s">
        <v>17437</v>
      </c>
      <c r="C17651" t="str">
        <f>IFERROR(__xludf.DUMMYFUNCTION("GOOGLETRANSLATE(B17651, ""zh"", ""en"")"),"After missing parts have been useless to buy a home, there is no open, opened last night, actually less of a scraper, you buy it must be a good check.")</f>
        <v>After missing parts have been useless to buy a home, there is no open, opened last night, actually less of a scraper, you buy it must be a good check.</v>
      </c>
    </row>
    <row r="17652">
      <c r="A17652" s="1">
        <v>1.0</v>
      </c>
      <c r="B17652" s="1" t="s">
        <v>17438</v>
      </c>
      <c r="C17652" t="str">
        <f>IFERROR(__xludf.DUMMYFUNCTION("GOOGLETRANSLATE(B17652, ""zh"", ""en"")"),"Quality disappointing champion champion high popularity come from I do not know, the quality is disappointing, he took off his socks after full foot black broken floc, to be sure, but the quality is definitely off, do not recommend purchase.")</f>
        <v>Quality disappointing champion champion high popularity come from I do not know, the quality is disappointing, he took off his socks after full foot black broken floc, to be sure, but the quality is definitely off, do not recommend purchase.</v>
      </c>
    </row>
    <row r="17653">
      <c r="A17653" s="1">
        <v>1.0</v>
      </c>
      <c r="B17653" s="1" t="s">
        <v>17439</v>
      </c>
      <c r="C17653" t="str">
        <f>IFERROR(__xludf.DUMMYFUNCTION("GOOGLETRANSLATE(B17653, ""zh"", ""en"")"),"Sure enough, not good goods cheaper just showered spam word to put on one thread, I have to re-wash. Large clothing sizes death, customer service recommended in the code is much larger. Direct throw trash.")</f>
        <v>Sure enough, not good goods cheaper just showered spam word to put on one thread, I have to re-wash. Large clothing sizes death, customer service recommended in the code is much larger. Direct throw trash.</v>
      </c>
    </row>
    <row r="17654">
      <c r="A17654" s="1">
        <v>4.0</v>
      </c>
      <c r="B17654" s="1" t="s">
        <v>17440</v>
      </c>
      <c r="C17654" t="str">
        <f>IFERROR(__xludf.DUMMYFUNCTION("GOOGLETRANSLATE(B17654, ""zh"", ""en"")"),"Ck underwear fabrics feel and quality are good, we like the simple design of this money, very comfortable to wear body")</f>
        <v>Ck underwear fabrics feel and quality are good, we like the simple design of this money, very comfortable to wear body</v>
      </c>
    </row>
    <row r="17655">
      <c r="A17655" s="1">
        <v>4.0</v>
      </c>
      <c r="B17655" s="1" t="s">
        <v>17441</v>
      </c>
      <c r="C17655" t="str">
        <f>IFERROR(__xludf.DUMMYFUNCTION("GOOGLETRANSLATE(B17655, ""zh"", ""en"")"),"Trifle generous waistband okay, that is a bit too long legs, thin, if Tuicu or not to buy this. If there are relatively easy or grand flag-raising, it is recommended not to buy this fabric pants, it is easy to be seen.")</f>
        <v>Trifle generous waistband okay, that is a bit too long legs, thin, if Tuicu or not to buy this. If there are relatively easy or grand flag-raising, it is recommended not to buy this fabric pants, it is easy to be seen.</v>
      </c>
    </row>
    <row r="17656">
      <c r="A17656" s="1">
        <v>4.0</v>
      </c>
      <c r="B17656" s="1" t="s">
        <v>17442</v>
      </c>
      <c r="C17656" t="str">
        <f>IFERROR(__xludf.DUMMYFUNCTION("GOOGLETRANSLATE(B17656, ""zh"", ""en"")"),"As good as expected, great color and picture differences &lt;div id = ""video-block-R4STTM1Y7UHOO"" class = ""a-section a-spacing-small a-spacing-top-mini video-block""&gt; &lt;/ div&gt; &lt;input type = ""hidden"" name = """" value = ""https://images-cn.ssl-images-amaz"&amp;"on.com/images/I/612EM79utpS.mp4"" class = ""video-url""&gt; &lt;input type = ""hidden ""name ="" ""value ="" https://images-cn.ssl-images-amazon.com/images/I/916S1H0VqIS.png ""class ="" video-slate-img-url ""&gt; &amp; nbsp; color display and Not even close! Shaopian "&amp;"large size shoe, shoes looser front portion, the color is better imagined looking, good permeability, foamed insole is fabric surface quality")</f>
        <v>As good as expected, great color and picture differences &lt;div id = "video-block-R4STTM1Y7UHOO" class = "a-section a-spacing-small a-spacing-top-mini video-block"&gt; &lt;/ div&gt; &lt;input type = "hidden" name = "" value = "https://images-cn.ssl-images-amazon.com/images/I/612EM79utpS.mp4" class = "video-url"&gt; &lt;input type = "hidden "name =" "value =" https://images-cn.ssl-images-amazon.com/images/I/916S1H0VqIS.png "class =" video-slate-img-url "&gt; &amp; nbsp; color display and Not even close! Shaopian large size shoe, shoes looser front portion, the color is better imagined looking, good permeability, foamed insole is fabric surface quality</v>
      </c>
    </row>
    <row r="17657">
      <c r="A17657" s="1">
        <v>4.0</v>
      </c>
      <c r="B17657" s="1" t="s">
        <v>17443</v>
      </c>
      <c r="C17657" t="str">
        <f>IFERROR(__xludf.DUMMYFUNCTION("GOOGLETRANSLATE(B17657, ""zh"", ""en"")"),"Seagate 4T silver platter red mobile price is no warranty. Slightly thicker, should exceed 1CM, there is no way into the laptop, the actual usable capacity of about 3.6T. Red a little show, HD tunePro fastest read speed 140M / S +, slow, then 94M / S +, r"&amp;"ead an average of 138M / S or more, I do not know how this speed?")</f>
        <v>Seagate 4T silver platter red mobile price is no warranty. Slightly thicker, should exceed 1CM, there is no way into the laptop, the actual usable capacity of about 3.6T. Red a little show, HD tunePro fastest read speed 140M / S +, slow, then 94M / S +, read an average of 138M / S or more, I do not know how this speed?</v>
      </c>
    </row>
    <row r="17658">
      <c r="A17658" s="1">
        <v>4.0</v>
      </c>
      <c r="B17658" s="1" t="s">
        <v>17444</v>
      </c>
      <c r="C17658" t="str">
        <f>IFERROR(__xludf.DUMMYFUNCTION("GOOGLETRANSLATE(B17658, ""zh"", ""en"")"),"Not for the brand, who wore this? 1. Brand aside talk with the price just from the fabric, the clothing brand compared to most conventional worse. 2. fade very serious but I was for this brand before buying ah 😳😳😳")</f>
        <v>Not for the brand, who wore this? 1. Brand aside talk with the price just from the fabric, the clothing brand compared to most conventional worse. 2. fade very serious but I was for this brand before buying ah 😳😳😳</v>
      </c>
    </row>
    <row r="17659">
      <c r="A17659" s="1">
        <v>5.0</v>
      </c>
      <c r="B17659" s="1" t="s">
        <v>17445</v>
      </c>
      <c r="C17659" t="str">
        <f>IFERROR(__xludf.DUMMYFUNCTION("GOOGLETRANSLATE(B17659, ""zh"", ""en"")"),"Good small and convenient! It comes with two small cups and spoons! Two voltages 110 and 220 is adjustable, an adjustment switch at the pot bottom, the default 220V")</f>
        <v>Good small and convenient! It comes with two small cups and spoons! Two voltages 110 and 220 is adjustable, an adjustment switch at the pot bottom, the default 220V</v>
      </c>
    </row>
    <row r="17660">
      <c r="A17660" s="1">
        <v>5.0</v>
      </c>
      <c r="B17660" s="1" t="s">
        <v>17446</v>
      </c>
      <c r="C17660" t="str">
        <f>IFERROR(__xludf.DUMMYFUNCTION("GOOGLETRANSLATE(B17660, ""zh"", ""en"")"),"Fit height 170cm, weight 67kg, L code exactly. Slightly thin, out of the way, it is to be the logo chest")</f>
        <v>Fit height 170cm, weight 67kg, L code exactly. Slightly thin, out of the way, it is to be the logo chest</v>
      </c>
    </row>
    <row r="17661">
      <c r="A17661" s="1">
        <v>5.0</v>
      </c>
      <c r="B17661" s="1" t="s">
        <v>17447</v>
      </c>
      <c r="C17661" t="str">
        <f>IFERROR(__xludf.DUMMYFUNCTION("GOOGLETRANSLATE(B17661, ""zh"", ""en"")"),"Praise insulation effect class, a key switch with one hand have no problem. Gray is not recommended to buy, fingerprint collector, and the cell phone screen the same. Might as well buy a 1.4L.")</f>
        <v>Praise insulation effect class, a key switch with one hand have no problem. Gray is not recommended to buy, fingerprint collector, and the cell phone screen the same. Might as well buy a 1.4L.</v>
      </c>
    </row>
    <row r="17662">
      <c r="A17662" s="1">
        <v>5.0</v>
      </c>
      <c r="B17662" s="1" t="s">
        <v>17448</v>
      </c>
      <c r="C17662" t="str">
        <f>IFERROR(__xludf.DUMMYFUNCTION("GOOGLETRANSLATE(B17662, ""zh"", ""en"")"),"Very comfortable and cozy, and wearing the same!")</f>
        <v>Very comfortable and cozy, and wearing the same!</v>
      </c>
    </row>
    <row r="17663">
      <c r="A17663" s="1">
        <v>5.0</v>
      </c>
      <c r="B17663" s="1" t="s">
        <v>17449</v>
      </c>
      <c r="C17663" t="str">
        <f>IFERROR(__xludf.DUMMYFUNCTION("GOOGLETRANSLATE(B17663, ""zh"", ""en"")"),"The price was good stuff praise watch quite good, you deserve!")</f>
        <v>The price was good stuff praise watch quite good, you deserve!</v>
      </c>
    </row>
    <row r="17664">
      <c r="A17664" s="1">
        <v>5.0</v>
      </c>
      <c r="B17664" s="1" t="s">
        <v>17450</v>
      </c>
      <c r="C17664" t="str">
        <f>IFERROR(__xludf.DUMMYFUNCTION("GOOGLETRANSLATE(B17664, ""zh"", ""en"")"),"After a problem with clean finish cleaning detergent lights lit, why")</f>
        <v>After a problem with clean finish cleaning detergent lights lit, why</v>
      </c>
    </row>
    <row r="17665">
      <c r="A17665" s="1">
        <v>5.0</v>
      </c>
      <c r="B17665" s="1" t="s">
        <v>17451</v>
      </c>
      <c r="C17665" t="str">
        <f>IFERROR(__xludf.DUMMYFUNCTION("GOOGLETRANSLATE(B17665, ""zh"", ""en"")"),"I can not ball female 160 60KG personally like rather long but can not afford to ball")</f>
        <v>I can not ball female 160 60KG personally like rather long but can not afford to ball</v>
      </c>
    </row>
    <row r="17666">
      <c r="A17666" s="1">
        <v>5.0</v>
      </c>
      <c r="B17666" s="1" t="s">
        <v>17452</v>
      </c>
      <c r="C17666" t="str">
        <f>IFERROR(__xludf.DUMMYFUNCTION("GOOGLETRANSLATE(B17666, ""zh"", ""en"")"),"Not bad really want to buy a larger size, light weight, soft soles, foot wear is suitable for thin, breathable worse than sneakers. Overall you can.")</f>
        <v>Not bad really want to buy a larger size, light weight, soft soles, foot wear is suitable for thin, breathable worse than sneakers. Overall you can.</v>
      </c>
    </row>
    <row r="17667">
      <c r="A17667" s="1">
        <v>5.0</v>
      </c>
      <c r="B17667" s="1" t="s">
        <v>17453</v>
      </c>
      <c r="C17667" t="str">
        <f>IFERROR(__xludf.DUMMYFUNCTION("GOOGLETRANSLATE(B17667, ""zh"", ""en"")"),"Start buying things made in Japan believe it.")</f>
        <v>Start buying things made in Japan believe it.</v>
      </c>
    </row>
    <row r="17668">
      <c r="A17668" s="1">
        <v>5.0</v>
      </c>
      <c r="B17668" s="1" t="s">
        <v>17454</v>
      </c>
      <c r="C17668" t="str">
        <f>IFERROR(__xludf.DUMMYFUNCTION("GOOGLETRANSLATE(B17668, ""zh"", ""en"")"),"Less than 500 black V, piece by piece price drops. A large one, the sound is not small. Effect it needs to be tested")</f>
        <v>Less than 500 black V, piece by piece price drops. A large one, the sound is not small. Effect it needs to be tested</v>
      </c>
    </row>
    <row r="17669">
      <c r="A17669" s="1">
        <v>5.0</v>
      </c>
      <c r="B17669" s="1" t="s">
        <v>17455</v>
      </c>
      <c r="C17669" t="str">
        <f>IFERROR(__xludf.DUMMYFUNCTION("GOOGLETRANSLATE(B17669, ""zh"", ""en"")"),"French cream well absorbed, moisturizing not rub mud, still continue to use them")</f>
        <v>French cream well absorbed, moisturizing not rub mud, still continue to use them</v>
      </c>
    </row>
    <row r="17670">
      <c r="A17670" s="1">
        <v>5.0</v>
      </c>
      <c r="B17670" s="1" t="s">
        <v>17456</v>
      </c>
      <c r="C17670" t="str">
        <f>IFERROR(__xludf.DUMMYFUNCTION("GOOGLETRANSLATE(B17670, ""zh"", ""en"")"),"Milk frother bad bug is supposed to be very happy because the price to buy, regret not to buy a few. Yen value is really high, it is also very easy to use! The only place is not good milk frother really like the Internet, said the same few useless on the "&amp;"bad. The first two can really play very delicate and rich milk foam, then only the function of the hot milk")</f>
        <v>Milk frother bad bug is supposed to be very happy because the price to buy, regret not to buy a few. Yen value is really high, it is also very easy to use! The only place is not good milk frother really like the Internet, said the same few useless on the bad. The first two can really play very delicate and rich milk foam, then only the function of the hot milk</v>
      </c>
    </row>
    <row r="17671">
      <c r="A17671" s="1">
        <v>5.0</v>
      </c>
      <c r="B17671" s="1" t="s">
        <v>17457</v>
      </c>
      <c r="C17671" t="str">
        <f>IFERROR(__xludf.DUMMYFUNCTION("GOOGLETRANSLATE(B17671, ""zh"", ""en"")"),"Good to see Adi usually wear 36 yards, 5.5 yards wearing this somewhat loose, but the legs look, tie-down points on it")</f>
        <v>Good to see Adi usually wear 36 yards, 5.5 yards wearing this somewhat loose, but the legs look, tie-down points on it</v>
      </c>
    </row>
    <row r="17672">
      <c r="A17672" s="1">
        <v>5.0</v>
      </c>
      <c r="B17672" s="1" t="s">
        <v>17458</v>
      </c>
      <c r="C17672" t="str">
        <f>IFERROR(__xludf.DUMMYFUNCTION("GOOGLETRANSLATE(B17672, ""zh"", ""en"")"),"Praise really good, recommended")</f>
        <v>Praise really good, recommended</v>
      </c>
    </row>
    <row r="17673">
      <c r="A17673" s="1">
        <v>5.0</v>
      </c>
      <c r="B17673" s="1" t="s">
        <v>17459</v>
      </c>
      <c r="C17673" t="str">
        <f>IFERROR(__xludf.DUMMYFUNCTION("GOOGLETRANSLATE(B17673, ""zh"", ""en"")"),"Packaging is very beautiful, very heavy, no paint chips and gas eye. Only original package added on the outside a thin layer of kraft paper, there is no original packaging buffer material which, fortunately not bad knock, such a package may be able to rea"&amp;"lly foreigners.")</f>
        <v>Packaging is very beautiful, very heavy, no paint chips and gas eye. Only original package added on the outside a thin layer of kraft paper, there is no original packaging buffer material which, fortunately not bad knock, such a package may be able to really foreigners.</v>
      </c>
    </row>
    <row r="17674">
      <c r="A17674" s="1">
        <v>5.0</v>
      </c>
      <c r="B17674" s="1" t="s">
        <v>17460</v>
      </c>
      <c r="C17674" t="str">
        <f>IFERROR(__xludf.DUMMYFUNCTION("GOOGLETRANSLATE(B17674, ""zh"", ""en"")"),"OK 173 / 70kg, a bit tight arm")</f>
        <v>OK 173 / 70kg, a bit tight arm</v>
      </c>
    </row>
    <row r="17675">
      <c r="A17675" s="1">
        <v>5.0</v>
      </c>
      <c r="B17675" s="1" t="s">
        <v>17461</v>
      </c>
      <c r="C17675" t="str">
        <f>IFERROR(__xludf.DUMMYFUNCTION("GOOGLETRANSLATE(B17675, ""zh"", ""en"")"),"Product good wash very clean")</f>
        <v>Product good wash very clean</v>
      </c>
    </row>
    <row r="17676">
      <c r="A17676" s="1">
        <v>5.0</v>
      </c>
      <c r="B17676" s="1" t="s">
        <v>17462</v>
      </c>
      <c r="C17676" t="str">
        <f>IFERROR(__xludf.DUMMYFUNCTION("GOOGLETRANSLATE(B17676, ""zh"", ""en"")"),"nice nice quality")</f>
        <v>nice nice quality</v>
      </c>
    </row>
    <row r="17677">
      <c r="A17677" s="1">
        <v>5.0</v>
      </c>
      <c r="B17677" s="1" t="s">
        <v>17463</v>
      </c>
      <c r="C17677" t="str">
        <f>IFERROR(__xludf.DUMMYFUNCTION("GOOGLETRANSLATE(B17677, ""zh"", ""en"")"),"Easy to use and does not easily leak ah. Written specification means up to 180 ml this bag is not loaded too much.")</f>
        <v>Easy to use and does not easily leak ah. Written specification means up to 180 ml this bag is not loaded too much.</v>
      </c>
    </row>
    <row r="17678">
      <c r="A17678" s="1">
        <v>5.0</v>
      </c>
      <c r="B17678" s="1" t="s">
        <v>17464</v>
      </c>
      <c r="C17678" t="str">
        <f>IFERROR(__xludf.DUMMYFUNCTION("GOOGLETRANSLATE(B17678, ""zh"", ""en"")"),"Recommended doubt genuine, good shoes, true light, to reach the level of sports shoes, sports shoes look more attractive than, shoe size is about one yards than sports shoes")</f>
        <v>Recommended doubt genuine, good shoes, true light, to reach the level of sports shoes, sports shoes look more attractive than, shoe size is about one yards than sports shoes</v>
      </c>
    </row>
    <row r="17679">
      <c r="A17679" s="1">
        <v>5.0</v>
      </c>
      <c r="B17679" s="1" t="s">
        <v>17465</v>
      </c>
      <c r="C17679" t="str">
        <f>IFERROR(__xludf.DUMMYFUNCTION("GOOGLETRANSLATE(B17679, ""zh"", ""en"")"),"Express quickly, surface wear to eight days, more than one distribution gear faster than a certain East. Watch cool-looking, looking very strong, after a few debugging can be used. More concerned about the surface, as a resin, it may not wear")</f>
        <v>Express quickly, surface wear to eight days, more than one distribution gear faster than a certain East. Watch cool-looking, looking very strong, after a few debugging can be used. More concerned about the surface, as a resin, it may not wear</v>
      </c>
    </row>
    <row r="17680">
      <c r="A17680" s="1">
        <v>5.0</v>
      </c>
      <c r="B17680" s="1" t="s">
        <v>17466</v>
      </c>
      <c r="C17680" t="str">
        <f>IFERROR(__xludf.DUMMYFUNCTION("GOOGLETRANSLATE(B17680, ""zh"", ""en"")"),"Very good seal can be opened cleaned, no odor")</f>
        <v>Very good seal can be opened cleaned, no odor</v>
      </c>
    </row>
    <row r="17681">
      <c r="A17681" s="1">
        <v>2.0</v>
      </c>
      <c r="B17681" s="1" t="s">
        <v>17467</v>
      </c>
      <c r="C17681" t="str">
        <f>IFERROR(__xludf.DUMMYFUNCTION("GOOGLETRANSLATE(B17681, ""zh"", ""en"")"),"It is generally strip basketball pants, breathable okay")</f>
        <v>It is generally strip basketball pants, breathable okay</v>
      </c>
    </row>
    <row r="17682">
      <c r="A17682" s="1">
        <v>3.0</v>
      </c>
      <c r="B17682" s="1" t="s">
        <v>17468</v>
      </c>
      <c r="C17682" t="str">
        <f>IFERROR(__xludf.DUMMYFUNCTION("GOOGLETRANSLATE(B17682, ""zh"", ""en"")"),"Transportation bad something good, shipping is too violent! Without any mitigation measures, came directly to the box are rotten, bad")</f>
        <v>Transportation bad something good, shipping is too violent! Without any mitigation measures, came directly to the box are rotten, bad</v>
      </c>
    </row>
    <row r="17683">
      <c r="A17683" s="1">
        <v>3.0</v>
      </c>
      <c r="B17683" s="1" t="s">
        <v>17469</v>
      </c>
      <c r="C17683" t="str">
        <f>IFERROR(__xludf.DUMMYFUNCTION("GOOGLETRANSLATE(B17683, ""zh"", ""en"")"),"Conscience is absolutely true evaluation package to negative feedback, when you receive the packaging is half open, but do not pack a layer of bubble paper, I feel very fortunate to receive the pen can also use this road bumps coming from the United State"&amp;"s did not bad, to write can also be very smooth, is a bit thick, a large amount of water thief, I knew to write so thick I do not buy this up. If the package can be a good point two layers of bubble paper bag and then seal it and I'll give five-star")</f>
        <v>Conscience is absolutely true evaluation package to negative feedback, when you receive the packaging is half open, but do not pack a layer of bubble paper, I feel very fortunate to receive the pen can also use this road bumps coming from the United States did not bad, to write can also be very smooth, is a bit thick, a large amount of water thief, I knew to write so thick I do not buy this up. If the package can be a good point two layers of bubble paper bag and then seal it and I'll give five-star</v>
      </c>
    </row>
    <row r="17684">
      <c r="A17684" s="1">
        <v>1.0</v>
      </c>
      <c r="B17684" s="1" t="s">
        <v>17470</v>
      </c>
      <c r="C17684" t="str">
        <f>IFERROR(__xludf.DUMMYFUNCTION("GOOGLETRANSLATE(B17684, ""zh"", ""en"")"),"I do not really do not warm warm! Oh, not as good as 50 yuan plus velvet warm pants warm,")</f>
        <v>I do not really do not warm warm! Oh, not as good as 50 yuan plus velvet warm pants warm,</v>
      </c>
    </row>
    <row r="17685">
      <c r="A17685" s="1">
        <v>1.0</v>
      </c>
      <c r="B17685" s="1" t="s">
        <v>17471</v>
      </c>
      <c r="C17685" t="str">
        <f>IFERROR(__xludf.DUMMYFUNCTION("GOOGLETRANSLATE(B17685, ""zh"", ""en"")"),"Lowest cost headset heavy, extremely uncomfortable to wear, head, sound ordinary, very sorry, but added a lot of line")</f>
        <v>Lowest cost headset heavy, extremely uncomfortable to wear, head, sound ordinary, very sorry, but added a lot of line</v>
      </c>
    </row>
    <row r="17686">
      <c r="A17686" s="1">
        <v>4.0</v>
      </c>
      <c r="B17686" s="1" t="s">
        <v>17472</v>
      </c>
      <c r="C17686" t="str">
        <f>IFERROR(__xludf.DUMMYFUNCTION("GOOGLETRANSLATE(B17686, ""zh"", ""en"")"),"Obviously the picture appears to be no soft leather, get it back is crusty, but also very fond of, but do not know why walk creaked")</f>
        <v>Obviously the picture appears to be no soft leather, get it back is crusty, but also very fond of, but do not know why walk creaked</v>
      </c>
    </row>
    <row r="17687">
      <c r="A17687" s="1">
        <v>4.0</v>
      </c>
      <c r="B17687" s="1" t="s">
        <v>17473</v>
      </c>
      <c r="C17687" t="str">
        <f>IFERROR(__xludf.DUMMYFUNCTION("GOOGLETRANSLATE(B17687, ""zh"", ""en"")"),"It can be, but with a rigid hose own house without problems because a rain shower plurality of shims can not be fully screwed difference of 2 mm. The hose pack compared to conventional threaded hose or rigid aluminum skin, the installation will remain on "&amp;"after a relatively rigid curve, but does not affect use. Benefit is better than the threaded hose to clean up, and the problem of outsourcing threaded hose to win on its own wound braided does not occur. Local access to water hose valve to the two pads, w"&amp;"atertight, then only a fine, gaskets take tens of degrees hot water in advance what will help with the installation.")</f>
        <v>It can be, but with a rigid hose own house without problems because a rain shower plurality of shims can not be fully screwed difference of 2 mm. The hose pack compared to conventional threaded hose or rigid aluminum skin, the installation will remain on after a relatively rigid curve, but does not affect use. Benefit is better than the threaded hose to clean up, and the problem of outsourcing threaded hose to win on its own wound braided does not occur. Local access to water hose valve to the two pads, watertight, then only a fine, gaskets take tens of degrees hot water in advance what will help with the installation.</v>
      </c>
    </row>
    <row r="17688">
      <c r="A17688" s="1">
        <v>4.0</v>
      </c>
      <c r="B17688" s="1" t="s">
        <v>17474</v>
      </c>
      <c r="C17688" t="str">
        <f>IFERROR(__xludf.DUMMYFUNCTION("GOOGLETRANSLATE(B17688, ""zh"", ""en"")"),"According to a review to buy a smaller size, just wearing Levi's 38/32 &amp; nbsp; and this is to buy 36/32, waist circumference is just, long pants shorter")</f>
        <v>According to a review to buy a smaller size, just wearing Levi's 38/32 &amp; nbsp; and this is to buy 36/32, waist circumference is just, long pants shorter</v>
      </c>
    </row>
    <row r="17689">
      <c r="A17689" s="1">
        <v>4.0</v>
      </c>
      <c r="B17689" s="1" t="s">
        <v>17475</v>
      </c>
      <c r="C17689" t="str">
        <f>IFERROR(__xludf.DUMMYFUNCTION("GOOGLETRANSLATE(B17689, ""zh"", ""en"")"),"Very good in fact I do not know good, someone else to buy, I have not seen, but heard people say very good buy")</f>
        <v>Very good in fact I do not know good, someone else to buy, I have not seen, but heard people say very good buy</v>
      </c>
    </row>
    <row r="17690">
      <c r="A17690" s="1">
        <v>4.0</v>
      </c>
      <c r="B17690" s="1" t="s">
        <v>17476</v>
      </c>
      <c r="C17690" t="str">
        <f>IFERROR(__xludf.DUMMYFUNCTION("GOOGLETRANSLATE(B17690, ""zh"", ""en"")"),"In addition to weight accident are very satisfied with the function is like, hair dryer in the fighter, just slightly larger weight, Ms. single hand use a long time, somewhat difficult.")</f>
        <v>In addition to weight accident are very satisfied with the function is like, hair dryer in the fighter, just slightly larger weight, Ms. single hand use a long time, somewhat difficult.</v>
      </c>
    </row>
    <row r="17691">
      <c r="A17691" s="1">
        <v>5.0</v>
      </c>
      <c r="B17691" s="1" t="s">
        <v>17477</v>
      </c>
      <c r="C17691" t="str">
        <f>IFERROR(__xludf.DUMMYFUNCTION("GOOGLETRANSLATE(B17691, ""zh"", ""en"")"),"European version is too large half a yard to one yard section Geox shoes perfectly fine, flawless workmanship are not, is my ideal sea Amoy goods. Italian brand Chinese processing, production work perfect. Indeed the world's big brands, such good goods ho"&amp;"pes to launch the Amazon often shared with customers. This shoe belongs to the European version of the shoes, we buy when we must choose a small one yards or one yard and a half. Ado blueprint as evidence.")</f>
        <v>European version is too large half a yard to one yard section Geox shoes perfectly fine, flawless workmanship are not, is my ideal sea Amoy goods. Italian brand Chinese processing, production work perfect. Indeed the world's big brands, such good goods hopes to launch the Amazon often shared with customers. This shoe belongs to the European version of the shoes, we buy when we must choose a small one yards or one yard and a half. Ado blueprint as evidence.</v>
      </c>
    </row>
    <row r="17692">
      <c r="A17692" s="1">
        <v>5.0</v>
      </c>
      <c r="B17692" s="1" t="s">
        <v>17478</v>
      </c>
      <c r="C17692" t="str">
        <f>IFERROR(__xludf.DUMMYFUNCTION("GOOGLETRANSLATE(B17692, ""zh"", ""en"")"),"I do not know how to comfort as they have to wear ecco shoes so this is to buy the right size is very usually are wearing the 39 yards to buy also hope to help everyone")</f>
        <v>I do not know how to comfort as they have to wear ecco shoes so this is to buy the right size is very usually are wearing the 39 yards to buy also hope to help everyone</v>
      </c>
    </row>
    <row r="17693">
      <c r="A17693" s="1">
        <v>5.0</v>
      </c>
      <c r="B17693" s="1" t="s">
        <v>17479</v>
      </c>
      <c r="C17693" t="str">
        <f>IFERROR(__xludf.DUMMYFUNCTION("GOOGLETRANSLATE(B17693, ""zh"", ""en"")"),"Optional particularly good stew beaker, 20:00 into the water, mouth at 8:00 am still hot, the insulation effect is good, other features have not tried")</f>
        <v>Optional particularly good stew beaker, 20:00 into the water, mouth at 8:00 am still hot, the insulation effect is good, other features have not tried</v>
      </c>
    </row>
    <row r="17694">
      <c r="A17694" s="1">
        <v>5.0</v>
      </c>
      <c r="B17694" s="1" t="s">
        <v>17480</v>
      </c>
      <c r="C17694" t="str">
        <f>IFERROR(__xludf.DUMMYFUNCTION("GOOGLETRANSLATE(B17694, ""zh"", ""en"")"),"Very, very good quality, feel very, very much.")</f>
        <v>Very, very good quality, feel very, very much.</v>
      </c>
    </row>
    <row r="17695">
      <c r="A17695" s="1">
        <v>5.0</v>
      </c>
      <c r="B17695" s="1" t="s">
        <v>17481</v>
      </c>
      <c r="C17695" t="str">
        <f>IFERROR(__xludf.DUMMYFUNCTION("GOOGLETRANSLATE(B17695, ""zh"", ""en"")"),"Feng Cheng Express? Parcel damaged demolished traces receive the package carton, there are several holes, sealing label is neatly cut open, maybe it is Feng Cheng express the domestic segment is ... recommended not to use such a courier company. good stuf"&amp;"f.")</f>
        <v>Feng Cheng Express? Parcel damaged demolished traces receive the package carton, there are several holes, sealing label is neatly cut open, maybe it is Feng Cheng express the domestic segment is ... recommended not to use such a courier company. good stuff.</v>
      </c>
    </row>
    <row r="17696">
      <c r="A17696" s="1">
        <v>5.0</v>
      </c>
      <c r="B17696" s="1" t="s">
        <v>17482</v>
      </c>
      <c r="C17696" t="str">
        <f>IFERROR(__xludf.DUMMYFUNCTION("GOOGLETRANSLATE(B17696, ""zh"", ""en"")"),"Good start with a very good just do not know in the end can be much bigger than six months")</f>
        <v>Good start with a very good just do not know in the end can be much bigger than six months</v>
      </c>
    </row>
    <row r="17697">
      <c r="A17697" s="1">
        <v>5.0</v>
      </c>
      <c r="B17697" s="1" t="s">
        <v>17483</v>
      </c>
      <c r="C17697" t="str">
        <f>IFERROR(__xludf.DUMMYFUNCTION("GOOGLETRANSLATE(B17697, ""zh"", ""en"")"),"Choose most of the code is very suitable to wear thick socks very appropriate favorite pair of shoes from a cheap Amazon also ensure genuine will always come")</f>
        <v>Choose most of the code is very suitable to wear thick socks very appropriate favorite pair of shoes from a cheap Amazon also ensure genuine will always come</v>
      </c>
    </row>
    <row r="17698">
      <c r="A17698" s="1">
        <v>5.0</v>
      </c>
      <c r="B17698" s="1" t="s">
        <v>17484</v>
      </c>
      <c r="C17698" t="str">
        <f>IFERROR(__xludf.DUMMYFUNCTION("GOOGLETRANSLATE(B17698, ""zh"", ""en"")"),"Do not fall for the best")</f>
        <v>Do not fall for the best</v>
      </c>
    </row>
    <row r="17699">
      <c r="A17699" s="1">
        <v>5.0</v>
      </c>
      <c r="B17699" s="1" t="s">
        <v>17485</v>
      </c>
      <c r="C17699" t="str">
        <f>IFERROR(__xludf.DUMMYFUNCTION("GOOGLETRANSLATE(B17699, ""zh"", ""en"")"),"Shipping errors sent me a dt880, posted a dt990 box label, I huh up")</f>
        <v>Shipping errors sent me a dt880, posted a dt990 box label, I huh up</v>
      </c>
    </row>
    <row r="17700">
      <c r="A17700" s="1">
        <v>5.0</v>
      </c>
      <c r="B17700" s="1" t="s">
        <v>17486</v>
      </c>
      <c r="C17700" t="str">
        <f>IFERROR(__xludf.DUMMYFUNCTION("GOOGLETRANSLATE(B17700, ""zh"", ""en"")"),"Likes clothes size is very suitable, cost-effective activities to buy, and then later")</f>
        <v>Likes clothes size is very suitable, cost-effective activities to buy, and then later</v>
      </c>
    </row>
    <row r="17701">
      <c r="A17701" s="1">
        <v>5.0</v>
      </c>
      <c r="B17701" s="1" t="s">
        <v>17487</v>
      </c>
      <c r="C17701" t="str">
        <f>IFERROR(__xludf.DUMMYFUNCTION("GOOGLETRANSLATE(B17701, ""zh"", ""en"")"),"Very smooth, very good writing. To be honest, I look after the orders comment, see you decided to apply for the evaluation of return. Upon receipt of the goods or curious open look, realize that this is the kind of ink cartridges in the pen, you can buy a"&amp;" refill. I have received is a pure blue cartridge, try the next, cartridge write ah well, very smooth, but no pen fine. So we canceled our return stay.")</f>
        <v>Very smooth, very good writing. To be honest, I look after the orders comment, see you decided to apply for the evaluation of return. Upon receipt of the goods or curious open look, realize that this is the kind of ink cartridges in the pen, you can buy a refill. I have received is a pure blue cartridge, try the next, cartridge write ah well, very smooth, but no pen fine. So we canceled our return stay.</v>
      </c>
    </row>
    <row r="17702">
      <c r="A17702" s="1">
        <v>5.0</v>
      </c>
      <c r="B17702" s="1" t="s">
        <v>4130</v>
      </c>
      <c r="C17702" t="str">
        <f>IFERROR(__xludf.DUMMYFUNCTION("GOOGLETRANSLATE(B17702, ""zh"", ""en"")"),"I wear too large to buy 16 of the 14 just")</f>
        <v>I wear too large to buy 16 of the 14 just</v>
      </c>
    </row>
    <row r="17703">
      <c r="A17703" s="1">
        <v>5.0</v>
      </c>
      <c r="B17703" s="1" t="s">
        <v>17488</v>
      </c>
      <c r="C17703" t="str">
        <f>IFERROR(__xludf.DUMMYFUNCTION("GOOGLETRANSLATE(B17703, ""zh"", ""en"")"),"Good, 150ml of the original purchase, send over the packaging is very good")</f>
        <v>Good, 150ml of the original purchase, send over the packaging is very good</v>
      </c>
    </row>
    <row r="17704">
      <c r="A17704" s="1">
        <v>5.0</v>
      </c>
      <c r="B17704" s="1" t="s">
        <v>8857</v>
      </c>
      <c r="C17704" t="str">
        <f>IFERROR(__xludf.DUMMYFUNCTION("GOOGLETRANSLATE(B17704, ""zh"", ""en"")"),"Comfortable fit fabric soft and flexible, wear no feeling tight, freedom of movement, a good jeans")</f>
        <v>Comfortable fit fabric soft and flexible, wear no feeling tight, freedom of movement, a good jeans</v>
      </c>
    </row>
    <row r="17705">
      <c r="A17705" s="1">
        <v>5.0</v>
      </c>
      <c r="B17705" s="1" t="s">
        <v>17489</v>
      </c>
      <c r="C17705" t="str">
        <f>IFERROR(__xludf.DUMMYFUNCTION("GOOGLETRANSLATE(B17705, ""zh"", ""en"")"),"Through most comfortable jeans very much! This is my most comfortable jeans through, probably because there are elastic, feeling like wearing long johns, like, no pressure can be squat and running. And 100 dollars jeans there are differences, some of the "&amp;"significant high-grade.")</f>
        <v>Through most comfortable jeans very much! This is my most comfortable jeans through, probably because there are elastic, feeling like wearing long johns, like, no pressure can be squat and running. And 100 dollars jeans there are differences, some of the significant high-grade.</v>
      </c>
    </row>
    <row r="17706">
      <c r="A17706" s="1">
        <v>5.0</v>
      </c>
      <c r="B17706" s="1" t="s">
        <v>17490</v>
      </c>
      <c r="C17706" t="str">
        <f>IFERROR(__xludf.DUMMYFUNCTION("GOOGLETRANSLATE(B17706, ""zh"", ""en"")"),"Good-looking comfortable yard being very nice comfortable pair of small shoes. Shoes are long and narrow, although the latter part of the shoe is narrow, but in front of and relatively wide, do not squeeze the foot. My foot is not wide not narrow, usually"&amp;" uk5 us7.5, this pair of code is very positive, somewhat spare before the toes, so think as long as the foot is not fat should not buy big.")</f>
        <v>Good-looking comfortable yard being very nice comfortable pair of small shoes. Shoes are long and narrow, although the latter part of the shoe is narrow, but in front of and relatively wide, do not squeeze the foot. My foot is not wide not narrow, usually uk5 us7.5, this pair of code is very positive, somewhat spare before the toes, so think as long as the foot is not fat should not buy big.</v>
      </c>
    </row>
    <row r="17707">
      <c r="A17707" s="1">
        <v>5.0</v>
      </c>
      <c r="B17707" s="1" t="s">
        <v>17491</v>
      </c>
      <c r="C17707" t="str">
        <f>IFERROR(__xludf.DUMMYFUNCTION("GOOGLETRANSLATE(B17707, ""zh"", ""en"")"),"Well too large, comfortable, cost-effective")</f>
        <v>Well too large, comfortable, cost-effective</v>
      </c>
    </row>
    <row r="17708">
      <c r="A17708" s="1">
        <v>5.0</v>
      </c>
      <c r="B17708" s="1" t="s">
        <v>17492</v>
      </c>
      <c r="C17708" t="str">
        <f>IFERROR(__xludf.DUMMYFUNCTION("GOOGLETRANSLATE(B17708, ""zh"", ""en"")"),"Looking at what's the difference between this and do not understand the good toothbrush handle")</f>
        <v>Looking at what's the difference between this and do not understand the good toothbrush handle</v>
      </c>
    </row>
    <row r="17709">
      <c r="A17709" s="1">
        <v>5.0</v>
      </c>
      <c r="B17709" s="1" t="s">
        <v>17493</v>
      </c>
      <c r="C17709" t="str">
        <f>IFERROR(__xludf.DUMMYFUNCTION("GOOGLETRANSLATE(B17709, ""zh"", ""en"")"),"Sanei TOTO is really good with the head of a water-saving water too")</f>
        <v>Sanei TOTO is really good with the head of a water-saving water too</v>
      </c>
    </row>
    <row r="17710">
      <c r="A17710" s="1">
        <v>5.0</v>
      </c>
      <c r="B17710" s="1" t="s">
        <v>17494</v>
      </c>
      <c r="C17710" t="str">
        <f>IFERROR(__xludf.DUMMYFUNCTION("GOOGLETRANSLATE(B17710, ""zh"", ""en"")"),"This fabulous pacifier pacifier soft body baby likes to use it to soothe the baby is really great")</f>
        <v>This fabulous pacifier pacifier soft body baby likes to use it to soothe the baby is really great</v>
      </c>
    </row>
    <row r="17711">
      <c r="A17711" s="1">
        <v>5.0</v>
      </c>
      <c r="B17711" s="1" t="s">
        <v>17495</v>
      </c>
      <c r="C17711" t="str">
        <f>IFERROR(__xludf.DUMMYFUNCTION("GOOGLETRANSLATE(B17711, ""zh"", ""en"")"),"Things look good quality can be, because the skin is narrow plus hard, resulting in wear long heels hurt himself for a thin insole, a lot better, overall satisfaction")</f>
        <v>Things look good quality can be, because the skin is narrow plus hard, resulting in wear long heels hurt himself for a thin insole, a lot better, overall satisfaction</v>
      </c>
    </row>
    <row r="17712">
      <c r="A17712" s="1">
        <v>5.0</v>
      </c>
      <c r="B17712" s="1" t="s">
        <v>17496</v>
      </c>
      <c r="C17712" t="str">
        <f>IFERROR(__xludf.DUMMYFUNCTION("GOOGLETRANSLATE(B17712, ""zh"", ""en"")"),"Quite satisfied with the quality really good. It is really too big, not wearing Genjiao, but more sedate. You may be running for some time now. But really handsome wearing good-looking. So small partners to consider the size and then place order. There is"&amp;" the internal space is too fat.")</f>
        <v>Quite satisfied with the quality really good. It is really too big, not wearing Genjiao, but more sedate. You may be running for some time now. But really handsome wearing good-looking. So small partners to consider the size and then place order. There is the internal space is too fat.</v>
      </c>
    </row>
    <row r="17713">
      <c r="A17713" s="1">
        <v>2.0</v>
      </c>
      <c r="B17713" s="1" t="s">
        <v>17497</v>
      </c>
      <c r="C17713" t="str">
        <f>IFERROR(__xludf.DUMMYFUNCTION("GOOGLETRANSLATE(B17713, ""zh"", ""en"")"),"Big belts are not satisfied, and Slim version of model description does not match, fade serious, LP very unhappy, I think it parked to goods but also so")</f>
        <v>Big belts are not satisfied, and Slim version of model description does not match, fade serious, LP very unhappy, I think it parked to goods but also so</v>
      </c>
    </row>
    <row r="17714">
      <c r="A17714" s="1">
        <v>3.0</v>
      </c>
      <c r="B17714" s="1" t="s">
        <v>17498</v>
      </c>
      <c r="C17714" t="str">
        <f>IFERROR(__xludf.DUMMYFUNCTION("GOOGLETRANSLATE(B17714, ""zh"", ""en"")"),"Generally like it in general. Wear squish mother toes. Code number is too large one yards")</f>
        <v>Generally like it in general. Wear squish mother toes. Code number is too large one yards</v>
      </c>
    </row>
    <row r="17715">
      <c r="A17715" s="1">
        <v>3.0</v>
      </c>
      <c r="B17715" s="1" t="s">
        <v>17499</v>
      </c>
      <c r="C17715" t="str">
        <f>IFERROR(__xludf.DUMMYFUNCTION("GOOGLETRANSLATE(B17715, ""zh"", ""en"")"),"It is generally very general")</f>
        <v>It is generally very general</v>
      </c>
    </row>
    <row r="17716">
      <c r="A17716" s="1">
        <v>1.0</v>
      </c>
      <c r="B17716" s="1" t="s">
        <v>17500</v>
      </c>
      <c r="C17716" t="str">
        <f>IFERROR(__xludf.DUMMYFUNCTION("GOOGLETRANSLATE(B17716, ""zh"", ""en"")"),"Why is color options are not Chinese? In this first overseas purchase, buy socks looked at the picture is black and trade names are Chinese, Japanese color it is, according to the map selected, is sent coffee color! Returns also special trouble! Very diss"&amp;"atisfied!")</f>
        <v>Why is color options are not Chinese? In this first overseas purchase, buy socks looked at the picture is black and trade names are Chinese, Japanese color it is, according to the map selected, is sent coffee color! Returns also special trouble! Very dissatisfied!</v>
      </c>
    </row>
    <row r="17717">
      <c r="A17717" s="1">
        <v>1.0</v>
      </c>
      <c r="B17717" s="1" t="s">
        <v>17501</v>
      </c>
      <c r="C17717" t="str">
        <f>IFERROR(__xludf.DUMMYFUNCTION("GOOGLETRANSLATE(B17717, ""zh"", ""en"")"),"Amoy sea service did not touch manipulation or inconvenient. Can not be charged more than a month, could not find the official maintenance and service!")</f>
        <v>Amoy sea service did not touch manipulation or inconvenient. Can not be charged more than a month, could not find the official maintenance and service!</v>
      </c>
    </row>
    <row r="17718">
      <c r="A17718" s="1">
        <v>1.0</v>
      </c>
      <c r="B17718" s="1" t="s">
        <v>17502</v>
      </c>
      <c r="C17718" t="str">
        <f>IFERROR(__xludf.DUMMYFUNCTION("GOOGLETRANSLATE(B17718, ""zh"", ""en"")"),"Shrink disk! ! Wanted to buy overseas will guarantee, I did not think that is shrink disk! ! ! Too disappointed")</f>
        <v>Shrink disk! ! Wanted to buy overseas will guarantee, I did not think that is shrink disk! ! ! Too disappointed</v>
      </c>
    </row>
    <row r="17719">
      <c r="A17719" s="1">
        <v>4.0</v>
      </c>
      <c r="B17719" s="1" t="s">
        <v>17503</v>
      </c>
      <c r="C17719" t="str">
        <f>IFERROR(__xludf.DUMMYFUNCTION("GOOGLETRANSLATE(B17719, ""zh"", ""en"")"),"Waist 93, select point I L code a little loose waist 93 cm, selecting L number moderate size, a little loose. Like just right you can choose M number should be no problem. This will work a matter of opinion, seams see picture, do not know whether it was f"&amp;"alse, to see how is the Korean version of the trademark.")</f>
        <v>Waist 93, select point I L code a little loose waist 93 cm, selecting L number moderate size, a little loose. Like just right you can choose M number should be no problem. This will work a matter of opinion, seams see picture, do not know whether it was false, to see how is the Korean version of the trademark.</v>
      </c>
    </row>
    <row r="17720">
      <c r="A17720" s="1">
        <v>4.0</v>
      </c>
      <c r="B17720" s="1" t="s">
        <v>17504</v>
      </c>
      <c r="C17720" t="str">
        <f>IFERROR(__xludf.DUMMYFUNCTION("GOOGLETRANSLATE(B17720, ""zh"", ""en"")"),"Okay basic style, size may be a bit big foreign, but also some long")</f>
        <v>Okay basic style, size may be a bit big foreign, but also some long</v>
      </c>
    </row>
    <row r="17721">
      <c r="A17721" s="1">
        <v>4.0</v>
      </c>
      <c r="B17721" s="1" t="s">
        <v>17505</v>
      </c>
      <c r="C17721" t="str">
        <f>IFERROR(__xludf.DUMMYFUNCTION("GOOGLETRANSLATE(B17721, ""zh"", ""en"")"),"Read some reviews before choosing size M, 172, weight 120, M but obviously a bit tight, but it seems to buy L job ah. Yes, very good quality, much better than US version.")</f>
        <v>Read some reviews before choosing size M, 172, weight 120, M but obviously a bit tight, but it seems to buy L job ah. Yes, very good quality, much better than US version.</v>
      </c>
    </row>
    <row r="17722">
      <c r="A17722" s="1">
        <v>4.0</v>
      </c>
      <c r="B17722" s="1" t="s">
        <v>17506</v>
      </c>
      <c r="C17722" t="str">
        <f>IFERROR(__xludf.DUMMYFUNCTION("GOOGLETRANSLATE(B17722, ""zh"", ""en"")"),"Overall it is worth the fabric is very comfortable. Just a little bit fat, in general, very good!")</f>
        <v>Overall it is worth the fabric is very comfortable. Just a little bit fat, in general, very good!</v>
      </c>
    </row>
    <row r="17723">
      <c r="A17723" s="1">
        <v>4.0</v>
      </c>
      <c r="B17723" s="1" t="s">
        <v>17507</v>
      </c>
      <c r="C17723" t="str">
        <f>IFERROR(__xludf.DUMMYFUNCTION("GOOGLETRANSLATE(B17723, ""zh"", ""en"")"),"Slightly smaller a little tight, then a larger size just fine")</f>
        <v>Slightly smaller a little tight, then a larger size just fine</v>
      </c>
    </row>
    <row r="17724">
      <c r="A17724" s="1">
        <v>5.0</v>
      </c>
      <c r="B17724" s="1" t="s">
        <v>17508</v>
      </c>
      <c r="C17724" t="str">
        <f>IFERROR(__xludf.DUMMYFUNCTION("GOOGLETRANSLATE(B17724, ""zh"", ""en"")"),"Kaifeng did not dare to eat something received but opened sealed. I did not dare drink the call to help the refunds")</f>
        <v>Kaifeng did not dare to eat something received but opened sealed. I did not dare drink the call to help the refunds</v>
      </c>
    </row>
    <row r="17725">
      <c r="A17725" s="1">
        <v>5.0</v>
      </c>
      <c r="B17725" s="1" t="s">
        <v>17509</v>
      </c>
      <c r="C17725" t="str">
        <f>IFERROR(__xludf.DUMMYFUNCTION("GOOGLETRANSLATE(B17725, ""zh"", ""en"")"),"Very very good")</f>
        <v>Very very good</v>
      </c>
    </row>
    <row r="17726">
      <c r="A17726" s="1">
        <v>5.0</v>
      </c>
      <c r="B17726" s="1" t="s">
        <v>17510</v>
      </c>
      <c r="C17726" t="str">
        <f>IFERROR(__xludf.DUMMYFUNCTION("GOOGLETRANSLATE(B17726, ""zh"", ""en"")"),"nb easy to use")</f>
        <v>nb easy to use</v>
      </c>
    </row>
    <row r="17727">
      <c r="A17727" s="1">
        <v>5.0</v>
      </c>
      <c r="B17727" s="1" t="s">
        <v>17511</v>
      </c>
      <c r="C17727" t="str">
        <f>IFERROR(__xludf.DUMMYFUNCTION("GOOGLETRANSLATE(B17727, ""zh"", ""en"")"),"111 good quality, just the right length!")</f>
        <v>111 good quality, just the right length!</v>
      </c>
    </row>
    <row r="17728">
      <c r="A17728" s="1">
        <v>5.0</v>
      </c>
      <c r="B17728" s="1" t="s">
        <v>17512</v>
      </c>
      <c r="C17728" t="str">
        <f>IFERROR(__xludf.DUMMYFUNCTION("GOOGLETRANSLATE(B17728, ""zh"", ""en"")"),"Kettle insulation performance, perfect workmanship, quality drops Bang Bang")</f>
        <v>Kettle insulation performance, perfect workmanship, quality drops Bang Bang</v>
      </c>
    </row>
    <row r="17729">
      <c r="A17729" s="1">
        <v>5.0</v>
      </c>
      <c r="B17729" s="1" t="s">
        <v>17513</v>
      </c>
      <c r="C17729" t="str">
        <f>IFERROR(__xludf.DUMMYFUNCTION("GOOGLETRANSLATE(B17729, ""zh"", ""en"")"),"Good choice is very suitable, YY shoes package is very good, light, very comfortable.")</f>
        <v>Good choice is very suitable, YY shoes package is very good, light, very comfortable.</v>
      </c>
    </row>
    <row r="17730">
      <c r="A17730" s="1">
        <v>5.0</v>
      </c>
      <c r="B17730" s="1" t="s">
        <v>17514</v>
      </c>
      <c r="C17730" t="str">
        <f>IFERROR(__xludf.DUMMYFUNCTION("GOOGLETRANSLATE(B17730, ""zh"", ""en"")"),"Comfortable chest 92cm, tuba appropriate, through my most comfortable bra, there'll probably buy some suitable collar V-neck dress, gather good effect and not feel uncomfortable")</f>
        <v>Comfortable chest 92cm, tuba appropriate, through my most comfortable bra, there'll probably buy some suitable collar V-neck dress, gather good effect and not feel uncomfortable</v>
      </c>
    </row>
    <row r="17731">
      <c r="A17731" s="1">
        <v>5.0</v>
      </c>
      <c r="B17731" s="1" t="s">
        <v>17515</v>
      </c>
      <c r="C17731" t="str">
        <f>IFERROR(__xludf.DUMMYFUNCTION("GOOGLETRANSLATE(B17731, ""zh"", ""en"")"),"Very good razor blade razor sharp fine")</f>
        <v>Very good razor blade razor sharp fine</v>
      </c>
    </row>
    <row r="17732">
      <c r="A17732" s="1">
        <v>5.0</v>
      </c>
      <c r="B17732" s="1" t="s">
        <v>17516</v>
      </c>
      <c r="C17732" t="str">
        <f>IFERROR(__xludf.DUMMYFUNCTION("GOOGLETRANSLATE(B17732, ""zh"", ""en"")"),"Dual sensor, large dial, for sportsman! Sports watches Casio Casio Men's SGW-100-2BCF M quartz dual sensor motion, which is derived from a Casio, a resin rubber strap, strong and durable. Built-Japanese quartz movement, accurate time, with virtually no ti"&amp;"me error, battery power up to 10 years. Analog display watch dial using LC time display mode, in addition to the date and day display. With digital compass and thermometer dual sensors, wear more suitable for outdoor activities, in addition to world time,"&amp;" EL backlight, alarm clock, countdown timer, stopwatch and other functions, is more comprehensive. Watch water depth of 100 m, the table diameter 51.5 mm, large dial, for sportsman!")</f>
        <v>Dual sensor, large dial, for sportsman! Sports watches Casio Casio Men's SGW-100-2BCF M quartz dual sensor motion, which is derived from a Casio, a resin rubber strap, strong and durable. Built-Japanese quartz movement, accurate time, with virtually no time error, battery power up to 10 years. Analog display watch dial using LC time display mode, in addition to the date and day display. With digital compass and thermometer dual sensors, wear more suitable for outdoor activities, in addition to world time, EL backlight, alarm clock, countdown timer, stopwatch and other functions, is more comprehensive. Watch water depth of 100 m, the table diameter 51.5 mm, large dial, for sportsman!</v>
      </c>
    </row>
    <row r="17733">
      <c r="A17733" s="1">
        <v>5.0</v>
      </c>
      <c r="B17733" s="1" t="s">
        <v>17517</v>
      </c>
      <c r="C17733" t="str">
        <f>IFERROR(__xludf.DUMMYFUNCTION("GOOGLETRANSLATE(B17733, ""zh"", ""en"")"),"Really good, low-temperature non-stick frying boil dumplings success, the basic non-stick, heat evenly, do something good, pot amount sufficient enough exercise wrist good choice. Across the sea suffered minor injuries. worth having")</f>
        <v>Really good, low-temperature non-stick frying boil dumplings success, the basic non-stick, heat evenly, do something good, pot amount sufficient enough exercise wrist good choice. Across the sea suffered minor injuries. worth having</v>
      </c>
    </row>
    <row r="17734">
      <c r="A17734" s="1">
        <v>5.0</v>
      </c>
      <c r="B17734" s="1" t="s">
        <v>17518</v>
      </c>
      <c r="C17734" t="str">
        <f>IFERROR(__xludf.DUMMYFUNCTION("GOOGLETRANSLATE(B17734, ""zh"", ""en"")"),"Noise drops feel great. Easy to use, low noise, feel soft, not violence, praise!")</f>
        <v>Noise drops feel great. Easy to use, low noise, feel soft, not violence, praise!</v>
      </c>
    </row>
    <row r="17735">
      <c r="A17735" s="1">
        <v>5.0</v>
      </c>
      <c r="B17735" s="1" t="s">
        <v>17519</v>
      </c>
      <c r="C17735" t="str">
        <f>IFERROR(__xludf.DUMMYFUNCTION("GOOGLETRANSLATE(B17735, ""zh"", ""en"")"),"Les hard appearance of pulling the wind (people's comments), spent a long time very reliable. It is expensive.")</f>
        <v>Les hard appearance of pulling the wind (people's comments), spent a long time very reliable. It is expensive.</v>
      </c>
    </row>
    <row r="17736">
      <c r="A17736" s="1">
        <v>5.0</v>
      </c>
      <c r="B17736" s="1" t="s">
        <v>17520</v>
      </c>
      <c r="C17736" t="str">
        <f>IFERROR(__xludf.DUMMYFUNCTION("GOOGLETRANSLATE(B17736, ""zh"", ""en"")"),"Good cleaning power section should now be the highest dishwashing block it, excellent water quality. Compared to the domestic similar products, cost is also quite good.")</f>
        <v>Good cleaning power section should now be the highest dishwashing block it, excellent water quality. Compared to the domestic similar products, cost is also quite good.</v>
      </c>
    </row>
    <row r="17737">
      <c r="A17737" s="1">
        <v>5.0</v>
      </c>
      <c r="B17737" s="1" t="s">
        <v>17521</v>
      </c>
      <c r="C17737" t="str">
        <f>IFERROR(__xludf.DUMMYFUNCTION("GOOGLETRANSLATE(B17737, ""zh"", ""en"")"),"Can be balanced, in other words with a low frequency amplifier output line + vigorously miracle, enough")</f>
        <v>Can be balanced, in other words with a low frequency amplifier output line + vigorously miracle, enough</v>
      </c>
    </row>
    <row r="17738">
      <c r="A17738" s="1">
        <v>5.0</v>
      </c>
      <c r="B17738" s="1" t="s">
        <v>17522</v>
      </c>
      <c r="C17738" t="str">
        <f>IFERROR(__xludf.DUMMYFUNCTION("GOOGLETRANSLATE(B17738, ""zh"", ""en"")"),"Inexpensive things very good, shelf life to October 2020, prices moderate.")</f>
        <v>Inexpensive things very good, shelf life to October 2020, prices moderate.</v>
      </c>
    </row>
    <row r="17739">
      <c r="A17739" s="1">
        <v>5.0</v>
      </c>
      <c r="B17739" s="1" t="s">
        <v>17523</v>
      </c>
      <c r="C17739" t="str">
        <f>IFERROR(__xludf.DUMMYFUNCTION("GOOGLETRANSLATE(B17739, ""zh"", ""en"")"),"satisfaction! Comfortable, good to wear!")</f>
        <v>satisfaction! Comfortable, good to wear!</v>
      </c>
    </row>
    <row r="17740">
      <c r="A17740" s="1">
        <v>5.0</v>
      </c>
      <c r="B17740" s="1" t="s">
        <v>17524</v>
      </c>
      <c r="C17740" t="str">
        <f>IFERROR(__xludf.DUMMYFUNCTION("GOOGLETRANSLATE(B17740, ""zh"", ""en"")"),"176,90kgL just really like, buy two, buy a start up gray hair black, gray is also good to see the words on the left, buy a piece of black")</f>
        <v>176,90kgL just really like, buy two, buy a start up gray hair black, gray is also good to see the words on the left, buy a piece of black</v>
      </c>
    </row>
    <row r="17741">
      <c r="A17741" s="1">
        <v>5.0</v>
      </c>
      <c r="B17741" s="1" t="s">
        <v>17525</v>
      </c>
      <c r="C17741" t="str">
        <f>IFERROR(__xludf.DUMMYFUNCTION("GOOGLETRANSLATE(B17741, ""zh"", ""en"")"),"Personally like, it is recommended! Orders the next day to, is to force. Headset design is very user-friendly, can automatically adjust the tension, sound a lot better than I used to buy entry-level headset, currently burning machine.")</f>
        <v>Personally like, it is recommended! Orders the next day to, is to force. Headset design is very user-friendly, can automatically adjust the tension, sound a lot better than I used to buy entry-level headset, currently burning machine.</v>
      </c>
    </row>
    <row r="17742">
      <c r="A17742" s="1">
        <v>5.0</v>
      </c>
      <c r="B17742" s="1" t="s">
        <v>17526</v>
      </c>
      <c r="C17742" t="str">
        <f>IFERROR(__xludf.DUMMYFUNCTION("GOOGLETRANSLATE(B17742, ""zh"", ""en"")"),"Yes 200, the US version of Centrum, a lot cheaper than China")</f>
        <v>Yes 200, the US version of Centrum, a lot cheaper than China</v>
      </c>
    </row>
    <row r="17743">
      <c r="A17743" s="1">
        <v>5.0</v>
      </c>
      <c r="B17743" s="1" t="s">
        <v>17527</v>
      </c>
      <c r="C17743" t="str">
        <f>IFERROR(__xludf.DUMMYFUNCTION("GOOGLETRANSLATE(B17743, ""zh"", ""en"")"),"Good use is good, very good, with effective immediately")</f>
        <v>Good use is good, very good, with effective immediately</v>
      </c>
    </row>
    <row r="17744">
      <c r="A17744" s="1">
        <v>5.0</v>
      </c>
      <c r="B17744" s="1" t="s">
        <v>17528</v>
      </c>
      <c r="C17744" t="str">
        <f>IFERROR(__xludf.DUMMYFUNCTION("GOOGLETRANSLATE(B17744, ""zh"", ""en"")"),"Good clean bottle this bottle child receives a high degree. Cleaning is very convenient. And the price is very appropriate. Cheaper than purchasing!")</f>
        <v>Good clean bottle this bottle child receives a high degree. Cleaning is very convenient. And the price is very appropriate. Cheaper than purchasing!</v>
      </c>
    </row>
    <row r="17745">
      <c r="A17745" s="1">
        <v>5.0</v>
      </c>
      <c r="B17745" s="1" t="s">
        <v>17529</v>
      </c>
      <c r="C17745" t="str">
        <f>IFERROR(__xludf.DUMMYFUNCTION("GOOGLETRANSLATE(B17745, ""zh"", ""en"")"),"This improved performance is most convenient old computers not willing member old Mac Pro completely scrapped, there is a just old Mac Pro drive bays, system disk is also happens to 1TB, copy the data to the original system disk the SSD, the operating spe"&amp;"ed from previous almost unbearable to completely household level; it can be put into the service!")</f>
        <v>This improved performance is most convenient old computers not willing member old Mac Pro completely scrapped, there is a just old Mac Pro drive bays, system disk is also happens to 1TB, copy the data to the original system disk the SSD, the operating speed from previous almost unbearable to completely household level; it can be put into the service!</v>
      </c>
    </row>
    <row r="17746">
      <c r="A17746" s="1">
        <v>2.0</v>
      </c>
      <c r="B17746" s="1" t="s">
        <v>17530</v>
      </c>
      <c r="C17746" t="str">
        <f>IFERROR(__xludf.DUMMYFUNCTION("GOOGLETRANSLATE(B17746, ""zh"", ""en"")"),"Note too loose size, Europe size is too large")</f>
        <v>Note too loose size, Europe size is too large</v>
      </c>
    </row>
    <row r="17747">
      <c r="A17747" s="1">
        <v>3.0</v>
      </c>
      <c r="B17747" s="1" t="s">
        <v>17531</v>
      </c>
      <c r="C17747" t="str">
        <f>IFERROR(__xludf.DUMMYFUNCTION("GOOGLETRANSLATE(B17747, ""zh"", ""en"")"),"Overall general fabric, workmanship, general comfort, and price is matched, the equivalent of the full price bought a Giordano.")</f>
        <v>Overall general fabric, workmanship, general comfort, and price is matched, the equivalent of the full price bought a Giordano.</v>
      </c>
    </row>
    <row r="17748">
      <c r="A17748" s="1">
        <v>3.0</v>
      </c>
      <c r="B17748" s="1" t="s">
        <v>17532</v>
      </c>
      <c r="C17748" t="str">
        <f>IFERROR(__xludf.DUMMYFUNCTION("GOOGLETRANSLATE(B17748, ""zh"", ""en"")"),"Pants pants overall quality was okay, but too hard and uncomfortable.")</f>
        <v>Pants pants overall quality was okay, but too hard and uncomfortable.</v>
      </c>
    </row>
    <row r="17749">
      <c r="A17749" s="1">
        <v>3.0</v>
      </c>
      <c r="B17749" s="1" t="s">
        <v>17533</v>
      </c>
      <c r="C17749" t="str">
        <f>IFERROR(__xludf.DUMMYFUNCTION("GOOGLETRANSLATE(B17749, ""zh"", ""en"")"),"More than 580 buy, buy up the money ...... it is more than 580 buy, buy up the money ...... it is found several times")</f>
        <v>More than 580 buy, buy up the money ...... it is more than 580 buy, buy up the money ...... it is found several times</v>
      </c>
    </row>
    <row r="17750">
      <c r="A17750" s="1">
        <v>1.0</v>
      </c>
      <c r="B17750" s="1" t="s">
        <v>17534</v>
      </c>
      <c r="C17750" t="str">
        <f>IFERROR(__xludf.DUMMYFUNCTION("GOOGLETRANSLATE(B17750, ""zh"", ""en"")"),"No aftermarket milk box with hot water disinfection deformed! ! ! ! With no place to buy aftermarket accessories! The machine did not open too! Buy be careful! !")</f>
        <v>No aftermarket milk box with hot water disinfection deformed! ! ! ! With no place to buy aftermarket accessories! The machine did not open too! Buy be careful! !</v>
      </c>
    </row>
    <row r="17751">
      <c r="A17751" s="1">
        <v>1.0</v>
      </c>
      <c r="B17751" s="1" t="s">
        <v>17535</v>
      </c>
      <c r="C17751" t="str">
        <f>IFERROR(__xludf.DUMMYFUNCTION("GOOGLETRANSLATE(B17751, ""zh"", ""en"")"),"Very general good fabric, wear uncomfortable")</f>
        <v>Very general good fabric, wear uncomfortable</v>
      </c>
    </row>
    <row r="17752">
      <c r="A17752" s="1">
        <v>1.0</v>
      </c>
      <c r="B17752" s="1" t="s">
        <v>17536</v>
      </c>
      <c r="C17752" t="str">
        <f>IFERROR(__xludf.DUMMYFUNCTION("GOOGLETRANSLATE(B17752, ""zh"", ""en"")"),"Deceptive sale of counterfeits, customer service attitude is bad Under the first process, the intention to buy a Citizen solar watches, fancy models after parity found after the search, said the German sea Amoy very cheap, look to the Amazon is much cheap"&amp;"er, worried about fakes Baidu also asked to call the Amazon customer service. The comments received are self-labeled Amazon shipped impossible to fake, if you suspect you can find Citizen official identification, the identification of the book sale. No Au"&amp;"gust 23 to buy, logistics information is easily shipped fully booked Amsterdam, The Netherlands, No. 7 September received. Opened it guaranteed the book, but the warranty card is blank on one side, there is no information factory, the small ticket price i"&amp;"s useless or invoices and the like. Citizen Advisory Service, said the five-star service center to be sent to Beijing to identify, collect appraisal fees and shipping costs. No way Baidu has about Amazon fake after fake and Citizen quite worried, send the"&amp;"m over Citizen Service Center. After a series of communications, Citizen there is no reply to the official source of information on the sale price proved and factory information, can not be considered Citizen products sold, no accreditations, do not ident"&amp;"ify. No way to call the Amazon customer service, the first call sea Amoy responsible for customer service, listen to me after I finished cases directly linked to the phone, the second call domestic websites customer service, describe the problem after jus"&amp;"t tell me, is this sea Amoy products 3 no, with the smuggled goods and contraband, like no, anyway, Amazon is genuine, identification is not possible, regardless of the Citizen will not be accepted is, anyway, the Amazon is the purchase directly from the "&amp;"Citizen over. (However Citizen did not recognize that the goods are from Citizen outflow) for sale, then, or go to their official website to apply for Amazon in Germany, or to select 30 days unconditional return, does not affect the secondary sales to pay"&amp;" their own freight. First, do not say I toss to toss to the energy spent on this matter, sent a Citizen Beijing return postage 68 (SF + insured, Citizen receives only expensive SF Express, etc.), the Netherlands return postage loss in the count, my tone c"&amp;"an not get out, scouring the sea for the first time in the Amazon, pre-sale customer service a good attitude hard to cheat, after-sale customer service on the phone also love to do. Such a large company such operations are not afraid tell you? This matter"&amp;", forever!")</f>
        <v>Deceptive sale of counterfeits, customer service attitude is bad Under the first process, the intention to buy a Citizen solar watches, fancy models after parity found after the search, said the German sea Amoy very cheap, look to the Amazon is much cheaper, worried about fakes Baidu also asked to call the Amazon customer service. The comments received are self-labeled Amazon shipped impossible to fake, if you suspect you can find Citizen official identification, the identification of the book sale. No August 23 to buy, logistics information is easily shipped fully booked Amsterdam, The Netherlands, No. 7 September received. Opened it guaranteed the book, but the warranty card is blank on one side, there is no information factory, the small ticket price is useless or invoices and the like. Citizen Advisory Service, said the five-star service center to be sent to Beijing to identify, collect appraisal fees and shipping costs. No way Baidu has about Amazon fake after fake and Citizen quite worried, send them over Citizen Service Center. After a series of communications, Citizen there is no reply to the official source of information on the sale price proved and factory information, can not be considered Citizen products sold, no accreditations, do not identify. No way to call the Amazon customer service, the first call sea Amoy responsible for customer service, listen to me after I finished cases directly linked to the phone, the second call domestic websites customer service, describe the problem after just tell me, is this sea Amoy products 3 no, with the smuggled goods and contraband, like no, anyway, Amazon is genuine, identification is not possible, regardless of the Citizen will not be accepted is, anyway, the Amazon is the purchase directly from the Citizen over. (However Citizen did not recognize that the goods are from Citizen outflow) for sale, then, or go to their official website to apply for Amazon in Germany, or to select 30 days unconditional return, does not affect the secondary sales to pay their own freight. First, do not say I toss to toss to the energy spent on this matter, sent a Citizen Beijing return postage 68 (SF + insured, Citizen receives only expensive SF Express, etc.), the Netherlands return postage loss in the count, my tone can not get out, scouring the sea for the first time in the Amazon, pre-sale customer service a good attitude hard to cheat, after-sale customer service on the phone also love to do. Such a large company such operations are not afraid tell you? This matter, forever!</v>
      </c>
    </row>
    <row r="17753">
      <c r="A17753" s="1">
        <v>4.0</v>
      </c>
      <c r="B17753" s="1" t="s">
        <v>17537</v>
      </c>
      <c r="C17753" t="str">
        <f>IFERROR(__xludf.DUMMYFUNCTION("GOOGLETRANSLATE(B17753, ""zh"", ""en"")"),"Not too good-looking to wear socks foot wear, one day grinding out five bulbs")</f>
        <v>Not too good-looking to wear socks foot wear, one day grinding out five bulbs</v>
      </c>
    </row>
    <row r="17754">
      <c r="A17754" s="1">
        <v>4.0</v>
      </c>
      <c r="B17754" s="1" t="s">
        <v>17538</v>
      </c>
      <c r="C17754" t="str">
        <f>IFERROR(__xludf.DUMMYFUNCTION("GOOGLETRANSLATE(B17754, ""zh"", ""en"")"),"Jeans also like to buy a home with less than 100 less than 200 almost, it is estimated that more low-end or in the lee of the Labor campaign today. High waist, wide crotch more friendly to the prostate, fat legs, or suggest that you buy a slim fit version"&amp;". We have thrown away ...... really disappointed")</f>
        <v>Jeans also like to buy a home with less than 100 less than 200 almost, it is estimated that more low-end or in the lee of the Labor campaign today. High waist, wide crotch more friendly to the prostate, fat legs, or suggest that you buy a slim fit version. We have thrown away ...... really disappointed</v>
      </c>
    </row>
    <row r="17755">
      <c r="A17755" s="1">
        <v>4.0</v>
      </c>
      <c r="B17755" s="1" t="s">
        <v>7529</v>
      </c>
      <c r="C17755" t="str">
        <f>IFERROR(__xludf.DUMMYFUNCTION("GOOGLETRANSLATE(B17755, ""zh"", ""en"")"),"Fabric somewhat less")</f>
        <v>Fabric somewhat less</v>
      </c>
    </row>
    <row r="17756">
      <c r="A17756" s="1">
        <v>4.0</v>
      </c>
      <c r="B17756" s="1" t="s">
        <v>17539</v>
      </c>
      <c r="C17756" t="str">
        <f>IFERROR(__xludf.DUMMYFUNCTION("GOOGLETRANSLATE(B17756, ""zh"", ""en"")"),"Super comfortable shoes husband said, these shoes super comfortable, cheap and comfortable, cost-effective!")</f>
        <v>Super comfortable shoes husband said, these shoes super comfortable, cheap and comfortable, cost-effective!</v>
      </c>
    </row>
    <row r="17757">
      <c r="A17757" s="1">
        <v>4.0</v>
      </c>
      <c r="B17757" s="1" t="s">
        <v>17540</v>
      </c>
      <c r="C17757" t="str">
        <f>IFERROR(__xludf.DUMMYFUNCTION("GOOGLETRANSLATE(B17757, ""zh"", ""en"")"),"Quality can, oversized quality can be, but the size is too large, I wear 33 to buy 32 still a little big, it is estimated 31 to buy almost")</f>
        <v>Quality can, oversized quality can be, but the size is too large, I wear 33 to buy 32 still a little big, it is estimated 31 to buy almost</v>
      </c>
    </row>
    <row r="17758">
      <c r="A17758" s="1">
        <v>5.0</v>
      </c>
      <c r="B17758" s="1" t="s">
        <v>17541</v>
      </c>
      <c r="C17758" t="str">
        <f>IFERROR(__xludf.DUMMYFUNCTION("GOOGLETRANSLATE(B17758, ""zh"", ""en"")"),"Phone is not easy to push ah appearance of small, comfortable to wear, positional no problem, very good sense of atmosphere, balanced omnivorous, eating thrust is a little late on a balanced line")</f>
        <v>Phone is not easy to push ah appearance of small, comfortable to wear, positional no problem, very good sense of atmosphere, balanced omnivorous, eating thrust is a little late on a balanced line</v>
      </c>
    </row>
    <row r="17759">
      <c r="A17759" s="1">
        <v>5.0</v>
      </c>
      <c r="B17759" s="1" t="s">
        <v>17542</v>
      </c>
      <c r="C17759" t="str">
        <f>IFERROR(__xludf.DUMMYFUNCTION("GOOGLETRANSLATE(B17759, ""zh"", ""en"")"),"Good six years ago he bought with the money to give as gifts or to vote for it this time")</f>
        <v>Good six years ago he bought with the money to give as gifts or to vote for it this time</v>
      </c>
    </row>
    <row r="17760">
      <c r="A17760" s="1">
        <v>5.0</v>
      </c>
      <c r="B17760" s="1" t="s">
        <v>17543</v>
      </c>
      <c r="C17760" t="str">
        <f>IFERROR(__xludf.DUMMYFUNCTION("GOOGLETRANSLATE(B17760, ""zh"", ""en"")"),"Amateurs not useful, tried, eradicate good")</f>
        <v>Amateurs not useful, tried, eradicate good</v>
      </c>
    </row>
    <row r="17761">
      <c r="A17761" s="1">
        <v>5.0</v>
      </c>
      <c r="B17761" s="1" t="s">
        <v>17544</v>
      </c>
      <c r="C17761" t="str">
        <f>IFERROR(__xludf.DUMMYFUNCTION("GOOGLETRANSLATE(B17761, ""zh"", ""en"")"),"Very good genuine, good results mug")</f>
        <v>Very good genuine, good results mug</v>
      </c>
    </row>
    <row r="17762">
      <c r="A17762" s="1">
        <v>5.0</v>
      </c>
      <c r="B17762" s="1" t="s">
        <v>17545</v>
      </c>
      <c r="C17762" t="str">
        <f>IFERROR(__xludf.DUMMYFUNCTION("GOOGLETRANSLATE(B17762, ""zh"", ""en"")"),"185cm80kg chose L code just 185cm80kg chose L code just right, the only one that neck tight, but okay.")</f>
        <v>185cm80kg chose L code just 185cm80kg chose L code just right, the only one that neck tight, but okay.</v>
      </c>
    </row>
    <row r="17763">
      <c r="A17763" s="1">
        <v>5.0</v>
      </c>
      <c r="B17763" s="1" t="s">
        <v>17546</v>
      </c>
      <c r="C17763" t="str">
        <f>IFERROR(__xludf.DUMMYFUNCTION("GOOGLETRANSLATE(B17763, ""zh"", ""en"")"),"Satisfied with a hundred points really satisfied with shoes, red looks good, buy 5Mus 230 feet long is appropriate, take one week of arrival, satisfied with a hundred points!")</f>
        <v>Satisfied with a hundred points really satisfied with shoes, red looks good, buy 5Mus 230 feet long is appropriate, take one week of arrival, satisfied with a hundred points!</v>
      </c>
    </row>
    <row r="17764">
      <c r="A17764" s="1">
        <v>5.0</v>
      </c>
      <c r="B17764" s="1" t="s">
        <v>17547</v>
      </c>
      <c r="C17764" t="str">
        <f>IFERROR(__xludf.DUMMYFUNCTION("GOOGLETRANSLATE(B17764, ""zh"", ""en"")"),"Value, regardless of price or face value buy to do video dubbing, do not spray easily separated too close, I did not buy BOP cover, 15cm distance will not spray. Very fine voice can be recorded to, so try to choose a quiet environment when recording, plug"&amp;" and play, electronic white gospel, had to buy white, but silver bargain price we chose this color, out of the box very happy , silver-looking, and more white than the picture look better, the base Jiangang, put on the table very stable ah. The only downs"&amp;"ide, for the pattern of torque part is not strong, but that is by back")</f>
        <v>Value, regardless of price or face value buy to do video dubbing, do not spray easily separated too close, I did not buy BOP cover, 15cm distance will not spray. Very fine voice can be recorded to, so try to choose a quiet environment when recording, plug and play, electronic white gospel, had to buy white, but silver bargain price we chose this color, out of the box very happy , silver-looking, and more white than the picture look better, the base Jiangang, put on the table very stable ah. The only downside, for the pattern of torque part is not strong, but that is by back</v>
      </c>
    </row>
    <row r="17765">
      <c r="A17765" s="1">
        <v>5.0</v>
      </c>
      <c r="B17765" s="1" t="s">
        <v>17548</v>
      </c>
      <c r="C17765" t="str">
        <f>IFERROR(__xludf.DUMMYFUNCTION("GOOGLETRANSLATE(B17765, ""zh"", ""en"")"),"Cheap and relatively thin hard shell, suitable for spring and summer when wearing a raincoat, the key price is cheap, not bad")</f>
        <v>Cheap and relatively thin hard shell, suitable for spring and summer when wearing a raincoat, the key price is cheap, not bad</v>
      </c>
    </row>
    <row r="17766">
      <c r="A17766" s="1">
        <v>5.0</v>
      </c>
      <c r="B17766" s="1" t="s">
        <v>17549</v>
      </c>
      <c r="C17766" t="str">
        <f>IFERROR(__xludf.DUMMYFUNCTION("GOOGLETRANSLATE(B17766, ""zh"", ""en"")"),"Very good product very good price, very good quality.")</f>
        <v>Very good product very good price, very good quality.</v>
      </c>
    </row>
    <row r="17767">
      <c r="A17767" s="1">
        <v>5.0</v>
      </c>
      <c r="B17767" s="1" t="s">
        <v>17550</v>
      </c>
      <c r="C17767" t="str">
        <f>IFERROR(__xludf.DUMMYFUNCTION("GOOGLETRANSLATE(B17767, ""zh"", ""en"")"),"Quality good quality is really good, did not like the comments that's so bad, it may be a little hairy out after washing, s code just for me, above all, the hem threaded shut at some tight, the other very satisfied! Again the quality is really super good!"&amp;" Less than 200 dollars to buy this sweater really is value to burst!")</f>
        <v>Quality good quality is really good, did not like the comments that's so bad, it may be a little hairy out after washing, s code just for me, above all, the hem threaded shut at some tight, the other very satisfied! Again the quality is really super good! Less than 200 dollars to buy this sweater really is value to burst!</v>
      </c>
    </row>
    <row r="17768">
      <c r="A17768" s="1">
        <v>5.0</v>
      </c>
      <c r="B17768" s="1" t="s">
        <v>17551</v>
      </c>
      <c r="C17768" t="str">
        <f>IFERROR(__xludf.DUMMYFUNCTION("GOOGLETRANSLATE(B17768, ""zh"", ""en"")"),"Soft playing is very beautiful, very delicate fully reflect Germany's pen tip soft shells are softer than the Japanese gold pen tip, however, there is a certain sense of personal calligraphy skills of people with it will cool, but like me to mention calli"&amp;"graphy will be people who are really poor control, and so I write music 14K acquire a good practice, needed to train and then with a bird pen Neat huh!")</f>
        <v>Soft playing is very beautiful, very delicate fully reflect Germany's pen tip soft shells are softer than the Japanese gold pen tip, however, there is a certain sense of personal calligraphy skills of people with it will cool, but like me to mention calligraphy will be people who are really poor control, and so I write music 14K acquire a good practice, needed to train and then with a bird pen Neat huh!</v>
      </c>
    </row>
    <row r="17769">
      <c r="A17769" s="1">
        <v>5.0</v>
      </c>
      <c r="B17769" s="1" t="s">
        <v>17552</v>
      </c>
      <c r="C17769" t="str">
        <f>IFERROR(__xludf.DUMMYFUNCTION("GOOGLETRANSLATE(B17769, ""zh"", ""en"")"),"Headphone good, cost-effective and cheaper than some East a treasure, very good quality, used to make arranger, high school bass more evenly, the overall good.")</f>
        <v>Headphone good, cost-effective and cheaper than some East a treasure, very good quality, used to make arranger, high school bass more evenly, the overall good.</v>
      </c>
    </row>
    <row r="17770">
      <c r="A17770" s="1">
        <v>5.0</v>
      </c>
      <c r="B17770" s="1" t="s">
        <v>17553</v>
      </c>
      <c r="C17770" t="str">
        <f>IFERROR(__xludf.DUMMYFUNCTION("GOOGLETRANSLATE(B17770, ""zh"", ""en"")"),"Good headphones German origin, workmanship and packaging are very perfect.")</f>
        <v>Good headphones German origin, workmanship and packaging are very perfect.</v>
      </c>
    </row>
    <row r="17771">
      <c r="A17771" s="1">
        <v>5.0</v>
      </c>
      <c r="B17771" s="1" t="s">
        <v>17554</v>
      </c>
      <c r="C17771" t="str">
        <f>IFERROR(__xludf.DUMMYFUNCTION("GOOGLETRANSLATE(B17771, ""zh"", ""en"")"),"Quality is very good value for money, especially beautiful, the packaging is very good, pleasant shopping")</f>
        <v>Quality is very good value for money, especially beautiful, the packaging is very good, pleasant shopping</v>
      </c>
    </row>
    <row r="17772">
      <c r="A17772" s="1">
        <v>5.0</v>
      </c>
      <c r="B17772" s="1" t="s">
        <v>17555</v>
      </c>
      <c r="C17772" t="str">
        <f>IFERROR(__xludf.DUMMYFUNCTION("GOOGLETRANSLATE(B17772, ""zh"", ""en"")"),"Chan Yan value is very high, very small, it looks great")</f>
        <v>Chan Yan value is very high, very small, it looks great</v>
      </c>
    </row>
    <row r="17773">
      <c r="A17773" s="1">
        <v>5.0</v>
      </c>
      <c r="B17773" s="1" t="s">
        <v>17556</v>
      </c>
      <c r="C17773" t="str">
        <f>IFERROR(__xludf.DUMMYFUNCTION("GOOGLETRANSLATE(B17773, ""zh"", ""en"")"),"Value for money good sound quality, sound quality is also very good, worth having")</f>
        <v>Value for money good sound quality, sound quality is also very good, worth having</v>
      </c>
    </row>
    <row r="17774">
      <c r="A17774" s="1">
        <v>5.0</v>
      </c>
      <c r="B17774" s="1" t="s">
        <v>17557</v>
      </c>
      <c r="C17774" t="str">
        <f>IFERROR(__xludf.DUMMYFUNCTION("GOOGLETRANSLATE(B17774, ""zh"", ""en"")"),"Exquisite workmanship like, but the intensity of discount than usual and there is not much")</f>
        <v>Exquisite workmanship like, but the intensity of discount than usual and there is not much</v>
      </c>
    </row>
    <row r="17775">
      <c r="A17775" s="1">
        <v>5.0</v>
      </c>
      <c r="B17775" s="1" t="s">
        <v>17558</v>
      </c>
      <c r="C17775" t="str">
        <f>IFERROR(__xludf.DUMMYFUNCTION("GOOGLETRANSLATE(B17775, ""zh"", ""en"")"),"Ah good texture. Well, not from the previous evaluation, I do not know how many wasted points, points can change money now know, they should look carefully evaluated, then I put these words to copy to go, both to earn points, but also the easy way, where "&amp;"are copy where, most importantly, do not seriously review, do not think how much worse word, sent directly to it, recommend it to everyone! !")</f>
        <v>Ah good texture. Well, not from the previous evaluation, I do not know how many wasted points, points can change money now know, they should look carefully evaluated, then I put these words to copy to go, both to earn points, but also the easy way, where are copy where, most importantly, do not seriously review, do not think how much worse word, sent directly to it, recommend it to everyone! !</v>
      </c>
    </row>
    <row r="17776">
      <c r="A17776" s="1">
        <v>5.0</v>
      </c>
      <c r="B17776" s="1" t="s">
        <v>17559</v>
      </c>
      <c r="C17776" t="str">
        <f>IFERROR(__xludf.DUMMYFUNCTION("GOOGLETRANSLATE(B17776, ""zh"", ""en"")"),"A very nice basketball shoes children wear after quite appropriate. Last Mizuno also bought a basketball shoe. A slight smell of leather shoes, we need to get some fresh air on the balcony.")</f>
        <v>A very nice basketball shoes children wear after quite appropriate. Last Mizuno also bought a basketball shoe. A slight smell of leather shoes, we need to get some fresh air on the balcony.</v>
      </c>
    </row>
    <row r="17777">
      <c r="A17777" s="1">
        <v>5.0</v>
      </c>
      <c r="B17777" s="1" t="s">
        <v>17560</v>
      </c>
      <c r="C17777" t="str">
        <f>IFERROR(__xludf.DUMMYFUNCTION("GOOGLETRANSLATE(B17777, ""zh"", ""en"")"),"Inexpensive good test counters to buy, much cheaper")</f>
        <v>Inexpensive good test counters to buy, much cheaper</v>
      </c>
    </row>
    <row r="17778">
      <c r="A17778" s="1">
        <v>5.0</v>
      </c>
      <c r="B17778" s="1" t="s">
        <v>17561</v>
      </c>
      <c r="C17778" t="str">
        <f>IFERROR(__xludf.DUMMYFUNCTION("GOOGLETRANSLATE(B17778, ""zh"", ""en"")"),"Stick something good, stick work is indeed big, very comfortable on the feet. 4 buy usually wear 36.5 / 4.5 just right.")</f>
        <v>Stick something good, stick work is indeed big, very comfortable on the feet. 4 buy usually wear 36.5 / 4.5 just right.</v>
      </c>
    </row>
    <row r="17779">
      <c r="A17779" s="1">
        <v>2.0</v>
      </c>
      <c r="B17779" s="1" t="s">
        <v>17562</v>
      </c>
      <c r="C17779" t="str">
        <f>IFERROR(__xludf.DUMMYFUNCTION("GOOGLETRANSLATE(B17779, ""zh"", ""en"")"),"Safety shoes are not the same size than in foreign countries to buy large overall, not very satisfied reasons: 1. Because you want to use at the site, but have not yet found in the country Which stores sell CAT safety shoes, so in accordance with a specia"&amp;"l trip to the Amazon safety shoes to search, the results are not goods to safety shoes, no anti-smashing steel, shoes thickness is not enough, for spring autumn wear, to achieve their protection standards. 2. Relative purchased abroad than ever before, th"&amp;"is purchase of the same size is too large, probably about half a yard big. 3. The insole is not out of style, convenient cleaning, replacement. 4. Time is actually acceptable, ordered November 26, December 10 arrival. The shoes are produced in Vietnam, th"&amp;"e relative return on quality than on foreign buy Chinese-made exports of some poor, especially in the very different feel. 6. The tongue parts are independent, and both sides are not connected together, which means poor performance waterproof and dustproo"&amp;"f, and completely ordinary shoes no difference. In general, as an ordinary pair of shoes tooling style, I feel pretty good, but I do not know why in the assigned area of ​​safety shoes, safety shoes As a pair, obviously fail, I suddenly felt the Amazon is"&amp;" still very disappointed.")</f>
        <v>Safety shoes are not the same size than in foreign countries to buy large overall, not very satisfied reasons: 1. Because you want to use at the site, but have not yet found in the country Which stores sell CAT safety shoes, so in accordance with a special trip to the Amazon safety shoes to search, the results are not goods to safety shoes, no anti-smashing steel, shoes thickness is not enough, for spring autumn wear, to achieve their protection standards. 2. Relative purchased abroad than ever before, this purchase of the same size is too large, probably about half a yard big. 3. The insole is not out of style, convenient cleaning, replacement. 4. Time is actually acceptable, ordered November 26, December 10 arrival. The shoes are produced in Vietnam, the relative return on quality than on foreign buy Chinese-made exports of some poor, especially in the very different feel. 6. The tongue parts are independent, and both sides are not connected together, which means poor performance waterproof and dustproof, and completely ordinary shoes no difference. In general, as an ordinary pair of shoes tooling style, I feel pretty good, but I do not know why in the assigned area of ​​safety shoes, safety shoes As a pair, obviously fail, I suddenly felt the Amazon is still very disappointed.</v>
      </c>
    </row>
    <row r="17780">
      <c r="A17780" s="1">
        <v>3.0</v>
      </c>
      <c r="B17780" s="1" t="s">
        <v>17563</v>
      </c>
      <c r="C17780" t="str">
        <f>IFERROR(__xludf.DUMMYFUNCTION("GOOGLETRANSLATE(B17780, ""zh"", ""en"")"),"The length of the right size, but the version is too great length the right size, but the leg is too large for Asians it?")</f>
        <v>The length of the right size, but the version is too great length the right size, but the leg is too large for Asians it?</v>
      </c>
    </row>
    <row r="17781">
      <c r="A17781" s="1">
        <v>3.0</v>
      </c>
      <c r="B17781" s="1" t="s">
        <v>17564</v>
      </c>
      <c r="C17781" t="str">
        <f>IFERROR(__xludf.DUMMYFUNCTION("GOOGLETRANSLATE(B17781, ""zh"", ""en"")"),"2-7 years old do not like to buy my daughter is only 22 months, put on the knee not to wash, it can be considered a full pit. Packaging is very simple, actually this kind of thing that we can say very, very good, can not understand")</f>
        <v>2-7 years old do not like to buy my daughter is only 22 months, put on the knee not to wash, it can be considered a full pit. Packaging is very simple, actually this kind of thing that we can say very, very good, can not understand</v>
      </c>
    </row>
    <row r="17782">
      <c r="A17782" s="1">
        <v>3.0</v>
      </c>
      <c r="B17782" s="1" t="s">
        <v>17565</v>
      </c>
      <c r="C17782" t="str">
        <f>IFERROR(__xludf.DUMMYFUNCTION("GOOGLETRANSLATE(B17782, ""zh"", ""en"")"),"There will be no bad reaction ten seconds, if the files directly dragged into the computer or HDD instead of copying and pasting, there will be about ten seconds of time is no reaction, I do not know if anyone encountered other better")</f>
        <v>There will be no bad reaction ten seconds, if the files directly dragged into the computer or HDD instead of copying and pasting, there will be about ten seconds of time is no reaction, I do not know if anyone encountered other better</v>
      </c>
    </row>
    <row r="17783">
      <c r="A17783" s="1">
        <v>1.0</v>
      </c>
      <c r="B17783" s="1" t="s">
        <v>17566</v>
      </c>
      <c r="C17783" t="str">
        <f>IFERROR(__xludf.DUMMYFUNCTION("GOOGLETRANSLATE(B17783, ""zh"", ""en"")"),"The effect of eating nothing to eat for two weeks as three, the last few days a little leg cramps at night every day, do not know their own reasons or product issues")</f>
        <v>The effect of eating nothing to eat for two weeks as three, the last few days a little leg cramps at night every day, do not know their own reasons or product issues</v>
      </c>
    </row>
    <row r="17784">
      <c r="A17784" s="1">
        <v>1.0</v>
      </c>
      <c r="B17784" s="1" t="s">
        <v>17567</v>
      </c>
      <c r="C17784" t="str">
        <f>IFERROR(__xludf.DUMMYFUNCTION("GOOGLETRANSLATE(B17784, ""zh"", ""en"")"),"Sleeves too long, as always, L code appropriate, cotton is also very comfortable to wear, but some sleeves too long, too long really")</f>
        <v>Sleeves too long, as always, L code appropriate, cotton is also very comfortable to wear, but some sleeves too long, too long really</v>
      </c>
    </row>
    <row r="17785">
      <c r="A17785" s="1">
        <v>4.0</v>
      </c>
      <c r="B17785" s="1" t="s">
        <v>17568</v>
      </c>
      <c r="C17785" t="str">
        <f>IFERROR(__xludf.DUMMYFUNCTION("GOOGLETRANSLATE(B17785, ""zh"", ""en"")"),"Good clothes clothes soft, warm and good, comfortable to wear. You can give 5 points. There is a negative one point to Amazon. Amazon did not think so attentive service, in order to avoid my trouble, even the tag to help me cut ahead of the throw. I silen"&amp;"tly as he took out the Amazon product control, decisive gravitropism refers to.")</f>
        <v>Good clothes clothes soft, warm and good, comfortable to wear. You can give 5 points. There is a negative one point to Amazon. Amazon did not think so attentive service, in order to avoid my trouble, even the tag to help me cut ahead of the throw. I silently as he took out the Amazon product control, decisive gravitropism refers to.</v>
      </c>
    </row>
    <row r="17786">
      <c r="A17786" s="1">
        <v>4.0</v>
      </c>
      <c r="B17786" s="1" t="s">
        <v>499</v>
      </c>
      <c r="C17786" t="str">
        <f>IFERROR(__xludf.DUMMYFUNCTION("GOOGLETRANSLATE(B17786, ""zh"", ""en"")"),"The right size, very good right size, very good")</f>
        <v>The right size, very good right size, very good</v>
      </c>
    </row>
    <row r="17787">
      <c r="A17787" s="1">
        <v>4.0</v>
      </c>
      <c r="B17787" s="1" t="s">
        <v>17569</v>
      </c>
      <c r="C17787" t="str">
        <f>IFERROR(__xludf.DUMMYFUNCTION("GOOGLETRANSLATE(B17787, ""zh"", ""en"")"),"London frog very first pieces of formal wear to work no problem, but it is ugly point, but has always been this style.")</f>
        <v>London frog very first pieces of formal wear to work no problem, but it is ugly point, but has always been this style.</v>
      </c>
    </row>
    <row r="17788">
      <c r="A17788" s="1">
        <v>4.0</v>
      </c>
      <c r="B17788" s="1" t="s">
        <v>17570</v>
      </c>
      <c r="C17788" t="str">
        <f>IFERROR(__xludf.DUMMYFUNCTION("GOOGLETRANSLATE(B17788, ""zh"", ""en"")"),"Overall good Overall, not bad with, need a converter plug, and there will be mid-range surface rock, beat eggs and stir did not shake")</f>
        <v>Overall good Overall, not bad with, need a converter plug, and there will be mid-range surface rock, beat eggs and stir did not shake</v>
      </c>
    </row>
    <row r="17789">
      <c r="A17789" s="1">
        <v>5.0</v>
      </c>
      <c r="B17789" s="1" t="s">
        <v>17571</v>
      </c>
      <c r="C17789" t="str">
        <f>IFERROR(__xludf.DUMMYFUNCTION("GOOGLETRANSLATE(B17789, ""zh"", ""en"")"),"I bought three, the right size. I bought three, the right size, washed many times does not fade.")</f>
        <v>I bought three, the right size. I bought three, the right size, washed many times does not fade.</v>
      </c>
    </row>
    <row r="17790">
      <c r="A17790" s="1">
        <v>5.0</v>
      </c>
      <c r="B17790" s="1" t="s">
        <v>17572</v>
      </c>
      <c r="C17790" t="str">
        <f>IFERROR(__xludf.DUMMYFUNCTION("GOOGLETRANSLATE(B17790, ""zh"", ""en"")"),"Give her husband to buy, the quality can also be quality, it is also possible to buy the cheaper, according to comments suggested size is also very suitable to buy.")</f>
        <v>Give her husband to buy, the quality can also be quality, it is also possible to buy the cheaper, according to comments suggested size is also very suitable to buy.</v>
      </c>
    </row>
    <row r="17791">
      <c r="A17791" s="1">
        <v>5.0</v>
      </c>
      <c r="B17791" s="1" t="s">
        <v>17573</v>
      </c>
      <c r="C17791" t="str">
        <f>IFERROR(__xludf.DUMMYFUNCTION("GOOGLETRANSLATE(B17791, ""zh"", ""en"")"),"Packing thought it was a bottle of 480 package, is the arrival of two bottles of 240 package, due in August 2020, looked very good, try the effect")</f>
        <v>Packing thought it was a bottle of 480 package, is the arrival of two bottles of 240 package, due in August 2020, looked very good, try the effect</v>
      </c>
    </row>
    <row r="17792">
      <c r="A17792" s="1">
        <v>5.0</v>
      </c>
      <c r="B17792" s="1" t="s">
        <v>17574</v>
      </c>
      <c r="C17792" t="str">
        <f>IFERROR(__xludf.DUMMYFUNCTION("GOOGLETRANSLATE(B17792, ""zh"", ""en"")"),"I have been eating well")</f>
        <v>I have been eating well</v>
      </c>
    </row>
    <row r="17793">
      <c r="A17793" s="1">
        <v>5.0</v>
      </c>
      <c r="B17793" s="1" t="s">
        <v>17575</v>
      </c>
      <c r="C17793" t="str">
        <f>IFERROR(__xludf.DUMMYFUNCTION("GOOGLETRANSLATE(B17793, ""zh"", ""en"")"),"The first is pretty good cost-effective high praise scouring the sea for the first time")</f>
        <v>The first is pretty good cost-effective high praise scouring the sea for the first time</v>
      </c>
    </row>
    <row r="17794">
      <c r="A17794" s="1">
        <v>5.0</v>
      </c>
      <c r="B17794" s="1" t="s">
        <v>17576</v>
      </c>
      <c r="C17794" t="str">
        <f>IFERROR(__xludf.DUMMYFUNCTION("GOOGLETRANSLATE(B17794, ""zh"", ""en"")"),"US version of the clothes so very good, the pursuit of quality, please pass buy Japanese version of the girls, height 163, weight 108, No. S wear little freshman, very good")</f>
        <v>US version of the clothes so very good, the pursuit of quality, please pass buy Japanese version of the girls, height 163, weight 108, No. S wear little freshman, very good</v>
      </c>
    </row>
    <row r="17795">
      <c r="A17795" s="1">
        <v>5.0</v>
      </c>
      <c r="B17795" s="1" t="s">
        <v>15295</v>
      </c>
      <c r="C17795" t="str">
        <f>IFERROR(__xludf.DUMMYFUNCTION("GOOGLETRANSLATE(B17795, ""zh"", ""en"")"),"Bargain price more appropriate to store, and has not yet begun to wear, but on past buying experience, quality in general ck is not ye, make do with Chuan Chuan it.")</f>
        <v>Bargain price more appropriate to store, and has not yet begun to wear, but on past buying experience, quality in general ck is not ye, make do with Chuan Chuan it.</v>
      </c>
    </row>
    <row r="17796">
      <c r="A17796" s="1">
        <v>5.0</v>
      </c>
      <c r="B17796" s="1" t="s">
        <v>17577</v>
      </c>
      <c r="C17796" t="str">
        <f>IFERROR(__xludf.DUMMYFUNCTION("GOOGLETRANSLATE(B17796, ""zh"", ""en"")"),"Size is very appropriate girls Height 166 weight 65 kg, M number to wear this very appropriate, but also a little loose, do not buy big.")</f>
        <v>Size is very appropriate girls Height 166 weight 65 kg, M number to wear this very appropriate, but also a little loose, do not buy big.</v>
      </c>
    </row>
    <row r="17797">
      <c r="A17797" s="1">
        <v>5.0</v>
      </c>
      <c r="B17797" s="1" t="s">
        <v>17578</v>
      </c>
      <c r="C17797" t="str">
        <f>IFERROR(__xludf.DUMMYFUNCTION("GOOGLETRANSLATE(B17797, ""zh"", ""en"")"),"Shoe size is too large shoes great, but too large, bought a suit to wear 45 or 45.5 of the code of double 10UK")</f>
        <v>Shoe size is too large shoes great, but too large, bought a suit to wear 45 or 45.5 of the code of double 10UK</v>
      </c>
    </row>
    <row r="17798">
      <c r="A17798" s="1">
        <v>5.0</v>
      </c>
      <c r="B17798" s="1" t="s">
        <v>17579</v>
      </c>
      <c r="C17798" t="str">
        <f>IFERROR(__xludf.DUMMYFUNCTION("GOOGLETRANSLATE(B17798, ""zh"", ""en"")"),"Will always buy child quite like to eat, I will often buy")</f>
        <v>Will always buy child quite like to eat, I will often buy</v>
      </c>
    </row>
    <row r="17799">
      <c r="A17799" s="1">
        <v>5.0</v>
      </c>
      <c r="B17799" s="1" t="s">
        <v>17580</v>
      </c>
      <c r="C17799" t="str">
        <f>IFERROR(__xludf.DUMMYFUNCTION("GOOGLETRANSLATE(B17799, ""zh"", ""en"")"),"All functions are controlled like after receiving instructions test all the features, it should be genuine. Although the country does not guarantee, but I believe this brand is not so easily broken it. The original should be revenue-wave good time in Lond"&amp;"on, unsuccessful wave forced to close in the Guangdong side, there may be too far away from Luoyang, and had to try again to see when to go to other cities later. Light energy very good, not how to take care of, I feel quite right for me. Quite accurate t"&amp;"ravel time, I think the price is worth it.")</f>
        <v>All functions are controlled like after receiving instructions test all the features, it should be genuine. Although the country does not guarantee, but I believe this brand is not so easily broken it. The original should be revenue-wave good time in London, unsuccessful wave forced to close in the Guangdong side, there may be too far away from Luoyang, and had to try again to see when to go to other cities later. Light energy very good, not how to take care of, I feel quite right for me. Quite accurate travel time, I think the price is worth it.</v>
      </c>
    </row>
    <row r="17800">
      <c r="A17800" s="1">
        <v>5.0</v>
      </c>
      <c r="B17800" s="1" t="s">
        <v>17581</v>
      </c>
      <c r="C17800" t="str">
        <f>IFERROR(__xludf.DUMMYFUNCTION("GOOGLETRANSLATE(B17800, ""zh"", ""en"")"),"Satisfactory results really good, bought a lot to family and friends around, very satisfied.")</f>
        <v>Satisfactory results really good, bought a lot to family and friends around, very satisfied.</v>
      </c>
    </row>
    <row r="17801">
      <c r="A17801" s="1">
        <v>5.0</v>
      </c>
      <c r="B17801" s="1" t="s">
        <v>17582</v>
      </c>
      <c r="C17801" t="str">
        <f>IFERROR(__xludf.DUMMYFUNCTION("GOOGLETRANSLATE(B17801, ""zh"", ""en"")"),"Hansgrohe showers, Germany overseas purchase. Hard head, the good thing was expensive. I used chicken coop Ga clip upstairs, which is something very heavy ah! Not yet installed, it should be no problem. Complete accessories. Germany 🇩🇪 genuine original."&amp;" Hansgrohe shower is the mother of the world. As long as the packaging is not damaged home, all right. 6.2 orders, shipping 6.24 Germany, after Amsterdam, to Shanghai, China, customs clearance, SF Express home. 7.2 days.")</f>
        <v>Hansgrohe showers, Germany overseas purchase. Hard head, the good thing was expensive. I used chicken coop Ga clip upstairs, which is something very heavy ah! Not yet installed, it should be no problem. Complete accessories. Germany 🇩🇪 genuine original. Hansgrohe shower is the mother of the world. As long as the packaging is not damaged home, all right. 6.2 orders, shipping 6.24 Germany, after Amsterdam, to Shanghai, China, customs clearance, SF Express home. 7.2 days.</v>
      </c>
    </row>
    <row r="17802">
      <c r="A17802" s="1">
        <v>5.0</v>
      </c>
      <c r="B17802" s="1" t="s">
        <v>17583</v>
      </c>
      <c r="C17802" t="str">
        <f>IFERROR(__xludf.DUMMYFUNCTION("GOOGLETRANSLATE(B17802, ""zh"", ""en"")"),"Evaluate what is good, bad is the packaging, sent home when the box Poliaogedong, but fortunately no broken filter kettle")</f>
        <v>Evaluate what is good, bad is the packaging, sent home when the box Poliaogedong, but fortunately no broken filter kettle</v>
      </c>
    </row>
    <row r="17803">
      <c r="A17803" s="1">
        <v>5.0</v>
      </c>
      <c r="B17803" s="1" t="s">
        <v>17584</v>
      </c>
      <c r="C17803" t="str">
        <f>IFERROR(__xludf.DUMMYFUNCTION("GOOGLETRANSLATE(B17803, ""zh"", ""en"")"),"Comfortable shopping overseas, size is one thing more troublesome, so they give you a reference, I am 167 cm, 53 kg, wearing No. S just right, kind of not very tight Oh")</f>
        <v>Comfortable shopping overseas, size is one thing more troublesome, so they give you a reference, I am 167 cm, 53 kg, wearing No. S just right, kind of not very tight Oh</v>
      </c>
    </row>
    <row r="17804">
      <c r="A17804" s="1">
        <v>5.0</v>
      </c>
      <c r="B17804" s="1" t="s">
        <v>17585</v>
      </c>
      <c r="C17804" t="str">
        <f>IFERROR(__xludf.DUMMYFUNCTION("GOOGLETRANSLATE(B17804, ""zh"", ""en"")"),"The latest heavyweight product easy to use instructions, although Germany, APP now so much, I quickly translated into Chinese, in fact, just know a few key operation on it, for a chef used a different brand of machine, it is very easy to learn . Cook more"&amp;" handy!")</f>
        <v>The latest heavyweight product easy to use instructions, although Germany, APP now so much, I quickly translated into Chinese, in fact, just know a few key operation on it, for a chef used a different brand of machine, it is very easy to learn . Cook more handy!</v>
      </c>
    </row>
    <row r="17805">
      <c r="A17805" s="1">
        <v>5.0</v>
      </c>
      <c r="B17805" s="1" t="s">
        <v>17586</v>
      </c>
      <c r="C17805" t="str">
        <f>IFERROR(__xludf.DUMMYFUNCTION("GOOGLETRANSLATE(B17805, ""zh"", ""en"")"),"For me, very fit thanks to the comments of a friend, you said, ""Do not listen to some of the comments, to buy a certain number of ... fit"" for me too applied. Because of my long-term health, chest and back thick. If you buy a smaller size and is recomme"&amp;"nded as most people choose, it must be very painful strangulation! ! Shirt (strictly speaking, be considered a small coat of) work quite satisfactory, thick and comfortable, wearing very casual. There are over one hundred of this quality is very cost-effe"&amp;"ctive price. Taohuo once satisfactory.")</f>
        <v>For me, very fit thanks to the comments of a friend, you said, "Do not listen to some of the comments, to buy a certain number of ... fit" for me too applied. Because of my long-term health, chest and back thick. If you buy a smaller size and is recommended as most people choose, it must be very painful strangulation! ! Shirt (strictly speaking, be considered a small coat of) work quite satisfactory, thick and comfortable, wearing very casual. There are over one hundred of this quality is very cost-effective price. Taohuo once satisfactory.</v>
      </c>
    </row>
    <row r="17806">
      <c r="A17806" s="1">
        <v>5.0</v>
      </c>
      <c r="B17806" s="1" t="s">
        <v>17587</v>
      </c>
      <c r="C17806" t="str">
        <f>IFERROR(__xludf.DUMMYFUNCTION("GOOGLETRANSLATE(B17806, ""zh"", ""en"")"),"Like genuine buy with Hong Kong, it should be genuine")</f>
        <v>Like genuine buy with Hong Kong, it should be genuine</v>
      </c>
    </row>
    <row r="17807">
      <c r="A17807" s="1">
        <v>5.0</v>
      </c>
      <c r="B17807" s="1" t="s">
        <v>17588</v>
      </c>
      <c r="C17807" t="str">
        <f>IFERROR(__xludf.DUMMYFUNCTION("GOOGLETRANSLATE(B17807, ""zh"", ""en"")"),"Receive good quality")</f>
        <v>Receive good quality</v>
      </c>
    </row>
    <row r="17808">
      <c r="A17808" s="1">
        <v>5.0</v>
      </c>
      <c r="B17808" s="1" t="s">
        <v>17589</v>
      </c>
      <c r="C17808" t="str">
        <f>IFERROR(__xludf.DUMMYFUNCTION("GOOGLETRANSLATE(B17808, ""zh"", ""en"")"),"Every month to replace the nipple, the nipple must be changed regularly under the premise of each use sterilized bottle - with the use of child")</f>
        <v>Every month to replace the nipple, the nipple must be changed regularly under the premise of each use sterilized bottle - with the use of child</v>
      </c>
    </row>
    <row r="17809">
      <c r="A17809" s="1">
        <v>5.0</v>
      </c>
      <c r="B17809" s="1" t="s">
        <v>17590</v>
      </c>
      <c r="C17809" t="str">
        <f>IFERROR(__xludf.DUMMYFUNCTION("GOOGLETRANSLATE(B17809, ""zh"", ""en"")"),"Before commentary seems wrong ...... waist 96cm, read reviews buy 38, just tie to the last hole. Belt feels feel great! Buy when the price of 126.66, also got enough to buy another 200, two tariff will total 24.99. Presumably this is the lowest it")</f>
        <v>Before commentary seems wrong ...... waist 96cm, read reviews buy 38, just tie to the last hole. Belt feels feel great! Buy when the price of 126.66, also got enough to buy another 200, two tariff will total 24.99. Presumably this is the lowest it</v>
      </c>
    </row>
    <row r="17810">
      <c r="A17810" s="1">
        <v>5.0</v>
      </c>
      <c r="B17810" s="1" t="s">
        <v>17591</v>
      </c>
      <c r="C17810" t="str">
        <f>IFERROR(__xludf.DUMMYFUNCTION("GOOGLETRANSLATE(B17810, ""zh"", ""en"")"),"Overpaid, but it is worth it to buy a pair of shoes, we have not arrived on price $ 100, a bit uncomfortable. Usually wear dress shoes 43 yards, this pair of suitable shoes for winter wear south, comfortable, because of the use of the shoe type buttons, a"&amp;"ccording to a song easy to wear off, good quality.")</f>
        <v>Overpaid, but it is worth it to buy a pair of shoes, we have not arrived on price $ 100, a bit uncomfortable. Usually wear dress shoes 43 yards, this pair of suitable shoes for winter wear south, comfortable, because of the use of the shoe type buttons, according to a song easy to wear off, good quality.</v>
      </c>
    </row>
    <row r="17811">
      <c r="A17811" s="1">
        <v>2.0</v>
      </c>
      <c r="B17811" s="1" t="s">
        <v>17592</v>
      </c>
      <c r="C17811" t="str">
        <f>IFERROR(__xludf.DUMMYFUNCTION("GOOGLETRANSLATE(B17811, ""zh"", ""en"")"),"Plastic packaging bad things no problem, but why have the British box packaging, a plastic bag on Germany, rotting box, a bunch of Guangdang filter in a plastic bag, did not find the cartridge has a bad (see also separate plastic packaging unclear), so be"&amp;" it, I am a member of the service, disappointed! !")</f>
        <v>Plastic packaging bad things no problem, but why have the British box packaging, a plastic bag on Germany, rotting box, a bunch of Guangdang filter in a plastic bag, did not find the cartridge has a bad (see also separate plastic packaging unclear), so be it, I am a member of the service, disappointed! !</v>
      </c>
    </row>
    <row r="17812">
      <c r="A17812" s="1">
        <v>3.0</v>
      </c>
      <c r="B17812" s="1" t="s">
        <v>17593</v>
      </c>
      <c r="C17812" t="str">
        <f>IFERROR(__xludf.DUMMYFUNCTION("GOOGLETRANSLATE(B17812, ""zh"", ""en"")"),"Giraffe size more suitable for baby to grasp, is a little taste, put several days are not afford to loose, they are afraid to bite the baby")</f>
        <v>Giraffe size more suitable for baby to grasp, is a little taste, put several days are not afford to loose, they are afraid to bite the baby</v>
      </c>
    </row>
    <row r="17813">
      <c r="A17813" s="1">
        <v>3.0</v>
      </c>
      <c r="B17813" s="1" t="s">
        <v>17594</v>
      </c>
      <c r="C17813" t="str">
        <f>IFERROR(__xludf.DUMMYFUNCTION("GOOGLETRANSLATE(B17813, ""zh"", ""en"")"),"Size not selected, all the big buy some of the future can not buy. . . .")</f>
        <v>Size not selected, all the big buy some of the future can not buy. . . .</v>
      </c>
    </row>
    <row r="17814">
      <c r="A17814" s="1">
        <v>1.0</v>
      </c>
      <c r="B17814" s="1" t="s">
        <v>17595</v>
      </c>
      <c r="C17814" t="str">
        <f>IFERROR(__xludf.DUMMYFUNCTION("GOOGLETRANSLATE(B17814, ""zh"", ""en"")"),"Bad bad, obviously before the box was opened, the bottle put in the position is not right, sent after the box is damaged, all fell out of the bottle")</f>
        <v>Bad bad, obviously before the box was opened, the bottle put in the position is not right, sent after the box is damaged, all fell out of the bottle</v>
      </c>
    </row>
    <row r="17815">
      <c r="A17815" s="1">
        <v>1.0</v>
      </c>
      <c r="B17815" s="1" t="s">
        <v>17596</v>
      </c>
      <c r="C17815" t="str">
        <f>IFERROR(__xludf.DUMMYFUNCTION("GOOGLETRANSLATE(B17815, ""zh"", ""en"")"),"Amazon worst commodity 1, as long as the sign on the rebate does not change, no problem, no problem will tell you, tell you to contact the after-sales; 2, quartz watch one week slower 10 seconds, which is quartz do?")</f>
        <v>Amazon worst commodity 1, as long as the sign on the rebate does not change, no problem, no problem will tell you, tell you to contact the after-sales; 2, quartz watch one week slower 10 seconds, which is quartz do?</v>
      </c>
    </row>
    <row r="17816">
      <c r="A17816" s="1">
        <v>1.0</v>
      </c>
      <c r="B17816" s="1" t="s">
        <v>17597</v>
      </c>
      <c r="C17816" t="str">
        <f>IFERROR(__xludf.DUMMYFUNCTION("GOOGLETRANSLATE(B17816, ""zh"", ""en"")"),"Nausea nausea! Delivery is also obvious flaws")</f>
        <v>Nausea nausea! Delivery is also obvious flaws</v>
      </c>
    </row>
    <row r="17817">
      <c r="A17817" s="1">
        <v>4.0</v>
      </c>
      <c r="B17817" s="1" t="s">
        <v>17598</v>
      </c>
      <c r="C17817" t="str">
        <f>IFERROR(__xludf.DUMMYFUNCTION("GOOGLETRANSLATE(B17817, ""zh"", ""en"")"),"My wife is very good size appropriate to wear")</f>
        <v>My wife is very good size appropriate to wear</v>
      </c>
    </row>
    <row r="17818">
      <c r="A17818" s="1">
        <v>4.0</v>
      </c>
      <c r="B17818" s="1" t="s">
        <v>17599</v>
      </c>
      <c r="C17818" t="str">
        <f>IFERROR(__xludf.DUMMYFUNCTION("GOOGLETRANSLATE(B17818, ""zh"", ""en"")"),"Shoes good shoes are very comfortable, very good, is slightly cover their feet.")</f>
        <v>Shoes good shoes are very comfortable, very good, is slightly cover their feet.</v>
      </c>
    </row>
    <row r="17819">
      <c r="A17819" s="1">
        <v>4.0</v>
      </c>
      <c r="B17819" s="1" t="s">
        <v>17600</v>
      </c>
      <c r="C17819" t="str">
        <f>IFERROR(__xludf.DUMMYFUNCTION("GOOGLETRANSLATE(B17819, ""zh"", ""en"")"),"Your reference I weight 173 high 140 pounds wearing just 32/30. Pants good material, the version is well suitable for winter wear.")</f>
        <v>Your reference I weight 173 high 140 pounds wearing just 32/30. Pants good material, the version is well suitable for winter wear.</v>
      </c>
    </row>
    <row r="17820">
      <c r="A17820" s="1">
        <v>4.0</v>
      </c>
      <c r="B17820" s="1" t="s">
        <v>17601</v>
      </c>
      <c r="C17820" t="str">
        <f>IFERROR(__xludf.DUMMYFUNCTION("GOOGLETRANSLATE(B17820, ""zh"", ""en"")"),"Thin shoes, very good, that is too thin")</f>
        <v>Thin shoes, very good, that is too thin</v>
      </c>
    </row>
    <row r="17821">
      <c r="A17821" s="1">
        <v>4.0</v>
      </c>
      <c r="B17821" s="1" t="s">
        <v>17602</v>
      </c>
      <c r="C17821" t="str">
        <f>IFERROR(__xludf.DUMMYFUNCTION("GOOGLETRANSLATE(B17821, ""zh"", ""en"")"),"Comments do not fly with China is consistent with the size of the sale. I see comments that China size than fat, deliberately bought a small one yard, the result, thin. Moreover, these pants are skinny version, why do some people say fat. This is my perso"&amp;"nal bent, too thin.")</f>
        <v>Comments do not fly with China is consistent with the size of the sale. I see comments that China size than fat, deliberately bought a small one yard, the result, thin. Moreover, these pants are skinny version, why do some people say fat. This is my personal bent, too thin.</v>
      </c>
    </row>
    <row r="17822">
      <c r="A17822" s="1">
        <v>5.0</v>
      </c>
      <c r="B17822" s="1" t="s">
        <v>17603</v>
      </c>
      <c r="C17822" t="str">
        <f>IFERROR(__xludf.DUMMYFUNCTION("GOOGLETRANSLATE(B17822, ""zh"", ""en"")"),"sd card the price is appropriate, the speed of half past one will not see big brand trusted. Overseas purchase very convenient, you can also speed")</f>
        <v>sd card the price is appropriate, the speed of half past one will not see big brand trusted. Overseas purchase very convenient, you can also speed</v>
      </c>
    </row>
    <row r="17823">
      <c r="A17823" s="1">
        <v>5.0</v>
      </c>
      <c r="B17823" s="1" t="s">
        <v>17604</v>
      </c>
      <c r="C17823" t="str">
        <f>IFERROR(__xludf.DUMMYFUNCTION("GOOGLETRANSLATE(B17823, ""zh"", ""en"")"),"Amazon customers pants very fit, and as shown in the picture")</f>
        <v>Amazon customers pants very fit, and as shown in the picture</v>
      </c>
    </row>
    <row r="17824">
      <c r="A17824" s="1">
        <v>5.0</v>
      </c>
      <c r="B17824" s="1" t="s">
        <v>17605</v>
      </c>
      <c r="C17824" t="str">
        <f>IFERROR(__xludf.DUMMYFUNCTION("GOOGLETRANSLATE(B17824, ""zh"", ""en"")"),"A pleasant sea Amoy shoes well, at first glance think it is not small? ? ? After wearing exactly the same time express little brother a hard, very dedicated")</f>
        <v>A pleasant sea Amoy shoes well, at first glance think it is not small? ? ? After wearing exactly the same time express little brother a hard, very dedicated</v>
      </c>
    </row>
    <row r="17825">
      <c r="A17825" s="1">
        <v>5.0</v>
      </c>
      <c r="B17825" s="1" t="s">
        <v>17606</v>
      </c>
      <c r="C17825" t="str">
        <f>IFERROR(__xludf.DUMMYFUNCTION("GOOGLETRANSLATE(B17825, ""zh"", ""en"")"),"good buy for a friend's birthday gift - beautifully packaged, the price is very appropriate. Very satisfied")</f>
        <v>good buy for a friend's birthday gift - beautifully packaged, the price is very appropriate. Very satisfied</v>
      </c>
    </row>
    <row r="17826">
      <c r="A17826" s="1">
        <v>5.0</v>
      </c>
      <c r="B17826" s="1" t="s">
        <v>17607</v>
      </c>
      <c r="C17826" t="str">
        <f>IFERROR(__xludf.DUMMYFUNCTION("GOOGLETRANSLATE(B17826, ""zh"", ""en"")"),"A happy online shopping styles, colors, what they like.")</f>
        <v>A happy online shopping styles, colors, what they like.</v>
      </c>
    </row>
    <row r="17827">
      <c r="A17827" s="1">
        <v>5.0</v>
      </c>
      <c r="B17827" s="1" t="s">
        <v>17608</v>
      </c>
      <c r="C17827" t="str">
        <f>IFERROR(__xludf.DUMMYFUNCTION("GOOGLETRANSLATE(B17827, ""zh"", ""en"")"),"250 Ohm rating headset bought three years ago in France, in particular, looks simple, but the European professional music whether television or radio stations are using the paragraph. Because it is closed, so the external noise isolation is very good. Esp"&amp;"ecially when the studio, next to drums and guitar loud, you can isolate out a lot of ""trouble."" The only drawback is the white label too easy to fade, the color of less than six months has been a lot of light. But the tone did not say, it turned out to "&amp;"be 80-- developed in the 1990s, to the 2000 reform after a bit technical, but the model has not changed. In addition, 250 ohms, with macbookpro, ipod classic, mobile phone, ipad can be put, but very not recommended, because had no use should have a capaci"&amp;"ty of 250 ohms. If you want to use a laptop, ipod, mobile phones and other portable devices, we recommend 80 ohm, 32 ohm abroad. If you really want to use 250 ohm is recommended to buy a pre amp, under normal circumstances I have this 250Ω I just plug in "&amp;"my RME UCX, turn the volume up maximum, which can be used as a complete 250Ω small amplifier. And I go out with Baia custom one. Well sound quality, consistently did not say, but the purpose is to restore the original headphones to listen the voice of tru"&amp;"th, without adding any modification, the frequency of each frequency response has always been good. In Europe 80 ohms and 32 ohms versions are straight lines, and the plate spring 250 ohm-like line. Remind framed glasses, and some eyes with this headset t"&amp;"emple, near the ear can cause discomfort. Ears will be sweating a long time, but winter touches province of warm ear package.")</f>
        <v>250 Ohm rating headset bought three years ago in France, in particular, looks simple, but the European professional music whether television or radio stations are using the paragraph. Because it is closed, so the external noise isolation is very good. Especially when the studio, next to drums and guitar loud, you can isolate out a lot of "trouble." The only drawback is the white label too easy to fade, the color of less than six months has been a lot of light. But the tone did not say, it turned out to be 80-- developed in the 1990s, to the 2000 reform after a bit technical, but the model has not changed. In addition, 250 ohms, with macbookpro, ipod classic, mobile phone, ipad can be put, but very not recommended, because had no use should have a capacity of 250 ohms. If you want to use a laptop, ipod, mobile phones and other portable devices, we recommend 80 ohm, 32 ohm abroad. If you really want to use 250 ohm is recommended to buy a pre amp, under normal circumstances I have this 250Ω I just plug in my RME UCX, turn the volume up maximum, which can be used as a complete 250Ω small amplifier. And I go out with Baia custom one. Well sound quality, consistently did not say, but the purpose is to restore the original headphones to listen the voice of truth, without adding any modification, the frequency of each frequency response has always been good. In Europe 80 ohms and 32 ohms versions are straight lines, and the plate spring 250 ohm-like line. Remind framed glasses, and some eyes with this headset temple, near the ear can cause discomfort. Ears will be sweating a long time, but winter touches province of warm ear package.</v>
      </c>
    </row>
    <row r="17828">
      <c r="A17828" s="1">
        <v>5.0</v>
      </c>
      <c r="B17828" s="1" t="s">
        <v>17609</v>
      </c>
      <c r="C17828" t="str">
        <f>IFERROR(__xludf.DUMMYFUNCTION("GOOGLETRANSLATE(B17828, ""zh"", ""en"")"),"Satisfaction shoes good style, fine workmanship, comfortable to wear. Logistics speed is also fast, the key is known arrival time.")</f>
        <v>Satisfaction shoes good style, fine workmanship, comfortable to wear. Logistics speed is also fast, the key is known arrival time.</v>
      </c>
    </row>
    <row r="17829">
      <c r="A17829" s="1">
        <v>5.0</v>
      </c>
      <c r="B17829" s="1" t="s">
        <v>17610</v>
      </c>
      <c r="C17829" t="str">
        <f>IFERROR(__xludf.DUMMYFUNCTION("GOOGLETRANSLATE(B17829, ""zh"", ""en"")"),"Great very good product. Fabric soft and comfortable, breathable, pants designed to be very reasonable, very comfortable to wear docile. Price is also very good.")</f>
        <v>Great very good product. Fabric soft and comfortable, breathable, pants designed to be very reasonable, very comfortable to wear docile. Price is also very good.</v>
      </c>
    </row>
    <row r="17830">
      <c r="A17830" s="1">
        <v>5.0</v>
      </c>
      <c r="B17830" s="1" t="s">
        <v>17611</v>
      </c>
      <c r="C17830" t="str">
        <f>IFERROR(__xludf.DUMMYFUNCTION("GOOGLETRANSLATE(B17830, ""zh"", ""en"")"),"Good quality, worth buying, be of good quality, worth buying, possible")</f>
        <v>Good quality, worth buying, be of good quality, worth buying, possible</v>
      </c>
    </row>
    <row r="17831">
      <c r="A17831" s="1">
        <v>5.0</v>
      </c>
      <c r="B17831" s="1" t="s">
        <v>17612</v>
      </c>
      <c r="C17831" t="str">
        <f>IFERROR(__xludf.DUMMYFUNCTION("GOOGLETRANSLATE(B17831, ""zh"", ""en"")"),"Love shoes just like my custom, very comfortable, very soft shoes are very light, we will continue to focus on this brand of shoes")</f>
        <v>Love shoes just like my custom, very comfortable, very soft shoes are very light, we will continue to focus on this brand of shoes</v>
      </c>
    </row>
    <row r="17832">
      <c r="A17832" s="1">
        <v>5.0</v>
      </c>
      <c r="B17832" s="1" t="s">
        <v>17613</v>
      </c>
      <c r="C17832" t="str">
        <f>IFERROR(__xludf.DUMMYFUNCTION("GOOGLETRANSLATE(B17832, ""zh"", ""en"")"),"Pants a good read before you buy a lot of buyers comments, opinions, and I can only say that difficult to reach, it is appropriate only bought before we know, in general these pants workmanship, style is still quite satisfactory, after all, is the brand s"&amp;"trength there, a good shopping experience")</f>
        <v>Pants a good read before you buy a lot of buyers comments, opinions, and I can only say that difficult to reach, it is appropriate only bought before we know, in general these pants workmanship, style is still quite satisfactory, after all, is the brand strength there, a good shopping experience</v>
      </c>
    </row>
    <row r="17833">
      <c r="A17833" s="1">
        <v>5.0</v>
      </c>
      <c r="B17833" s="1" t="s">
        <v>17614</v>
      </c>
      <c r="C17833" t="str">
        <f>IFERROR(__xludf.DUMMYFUNCTION("GOOGLETRANSLATE(B17833, ""zh"", ""en"")"),"awesome! ! ! Very comfortable, some thick, winter wear not have to say ah, the price is also very beautiful, very difficult to buy a home! !")</f>
        <v>awesome! ! ! Very comfortable, some thick, winter wear not have to say ah, the price is also very beautiful, very difficult to buy a home! !</v>
      </c>
    </row>
    <row r="17834">
      <c r="A17834" s="1">
        <v>5.0</v>
      </c>
      <c r="B17834" s="1" t="s">
        <v>17615</v>
      </c>
      <c r="C17834" t="str">
        <f>IFERROR(__xludf.DUMMYFUNCTION("GOOGLETRANSLATE(B17834, ""zh"", ""en"")"),"Good headphones have a AKG702 Edition headphones, listening to music notebook Direct Push, DT990 and 702 under the Direct Push ratio is different, and probably better than some low-frequency, very worried about before you buy, do not like to be afraid, no"&amp;"w is basically listen to every day, good is a good headset, you can buy you will not regret it.")</f>
        <v>Good headphones have a AKG702 Edition headphones, listening to music notebook Direct Push, DT990 and 702 under the Direct Push ratio is different, and probably better than some low-frequency, very worried about before you buy, do not like to be afraid, now is basically listen to every day, good is a good headset, you can buy you will not regret it.</v>
      </c>
    </row>
    <row r="17835">
      <c r="A17835" s="1">
        <v>5.0</v>
      </c>
      <c r="B17835" s="1" t="s">
        <v>12773</v>
      </c>
      <c r="C17835" t="str">
        <f>IFERROR(__xludf.DUMMYFUNCTION("GOOGLETRANSLATE(B17835, ""zh"", ""en"")"),"Cost-effective great shopping, the right size, wear very comfortable next to the skin. The high cost of cotton")</f>
        <v>Cost-effective great shopping, the right size, wear very comfortable next to the skin. The high cost of cotton</v>
      </c>
    </row>
    <row r="17836">
      <c r="A17836" s="1">
        <v>5.0</v>
      </c>
      <c r="B17836" s="1" t="s">
        <v>17616</v>
      </c>
      <c r="C17836" t="str">
        <f>IFERROR(__xludf.DUMMYFUNCTION("GOOGLETRANSLATE(B17836, ""zh"", ""en"")"),"Deserve to have nice and beautiful and worth having ~")</f>
        <v>Deserve to have nice and beautiful and worth having ~</v>
      </c>
    </row>
    <row r="17837">
      <c r="A17837" s="1">
        <v>5.0</v>
      </c>
      <c r="B17837" s="1" t="s">
        <v>17617</v>
      </c>
      <c r="C17837" t="str">
        <f>IFERROR(__xludf.DUMMYFUNCTION("GOOGLETRANSLATE(B17837, ""zh"", ""en"")"),"Pretty good like, good-looking, usually 38 yards! 6.5 just right")</f>
        <v>Pretty good like, good-looking, usually 38 yards! 6.5 just right</v>
      </c>
    </row>
    <row r="17838">
      <c r="A17838" s="1">
        <v>5.0</v>
      </c>
      <c r="B17838" s="1" t="s">
        <v>17618</v>
      </c>
      <c r="C17838" t="str">
        <f>IFERROR(__xludf.DUMMYFUNCTION("GOOGLETRANSLATE(B17838, ""zh"", ""en"")"),"Too large good quality, 172,65kg, L code a lot of big, M may be more appropriate.")</f>
        <v>Too large good quality, 172,65kg, L code a lot of big, M may be more appropriate.</v>
      </c>
    </row>
    <row r="17839">
      <c r="A17839" s="1">
        <v>5.0</v>
      </c>
      <c r="B17839" s="1" t="s">
        <v>17619</v>
      </c>
      <c r="C17839" t="str">
        <f>IFERROR(__xludf.DUMMYFUNCTION("GOOGLETRANSLATE(B17839, ""zh"", ""en"")"),"Soft and comfortable baby like, I like")</f>
        <v>Soft and comfortable baby like, I like</v>
      </c>
    </row>
    <row r="17840">
      <c r="A17840" s="1">
        <v>5.0</v>
      </c>
      <c r="B17840" s="1" t="s">
        <v>17620</v>
      </c>
      <c r="C17840" t="str">
        <f>IFERROR(__xludf.DUMMYFUNCTION("GOOGLETRANSLATE(B17840, ""zh"", ""en"")"),"1. plastic pen with a good sense of strong, fairly thick. Look and feel almost. 2. writing fluency, water control is very good, very comfortable with them. 3. moderate degree of thickness, personally think it is more appropriate to write Chinese character"&amp;"s. 4. equipped ink absorber, but the ink bladder is not high price.")</f>
        <v>1. plastic pen with a good sense of strong, fairly thick. Look and feel almost. 2. writing fluency, water control is very good, very comfortable with them. 3. moderate degree of thickness, personally think it is more appropriate to write Chinese characters. 4. equipped ink absorber, but the ink bladder is not high price.</v>
      </c>
    </row>
    <row r="17841">
      <c r="A17841" s="1">
        <v>5.0</v>
      </c>
      <c r="B17841" s="1" t="s">
        <v>17621</v>
      </c>
      <c r="C17841" t="str">
        <f>IFERROR(__xludf.DUMMYFUNCTION("GOOGLETRANSLATE(B17841, ""zh"", ""en"")"),"Praise is thin point, other okay")</f>
        <v>Praise is thin point, other okay</v>
      </c>
    </row>
    <row r="17842">
      <c r="A17842" s="1">
        <v>5.0</v>
      </c>
      <c r="B17842" s="1" t="s">
        <v>17622</v>
      </c>
      <c r="C17842" t="str">
        <f>IFERROR(__xludf.DUMMYFUNCTION("GOOGLETRANSLATE(B17842, ""zh"", ""en"")"),"Also 177 72 m. Little, wearing stickers")</f>
        <v>Also 177 72 m. Little, wearing stickers</v>
      </c>
    </row>
    <row r="17843">
      <c r="A17843" s="1">
        <v>5.0</v>
      </c>
      <c r="B17843" s="1" t="s">
        <v>17623</v>
      </c>
      <c r="C17843" t="str">
        <f>IFERROR(__xludf.DUMMYFUNCTION("GOOGLETRANSLATE(B17843, ""zh"", ""en"")"),"Good quality and affordable. Pants to be larger than the actual subject of several centimeters, the main material may be somewhat elastic caused it. Overall very satisfied")</f>
        <v>Good quality and affordable. Pants to be larger than the actual subject of several centimeters, the main material may be somewhat elastic caused it. Overall very satisfied</v>
      </c>
    </row>
    <row r="17844">
      <c r="A17844" s="1">
        <v>2.0</v>
      </c>
      <c r="B17844" s="1" t="s">
        <v>17624</v>
      </c>
      <c r="C17844" t="str">
        <f>IFERROR(__xludf.DUMMYFUNCTION("GOOGLETRANSLATE(B17844, ""zh"", ""en"")"),"Severe hair loss! Hair loss is too old fire, we do not recommend buying")</f>
        <v>Severe hair loss! Hair loss is too old fire, we do not recommend buying</v>
      </c>
    </row>
    <row r="17845">
      <c r="A17845" s="1">
        <v>3.0</v>
      </c>
      <c r="B17845" s="1" t="s">
        <v>17625</v>
      </c>
      <c r="C17845" t="str">
        <f>IFERROR(__xludf.DUMMYFUNCTION("GOOGLETRANSLATE(B17845, ""zh"", ""en"")"),"Not iron ladle or give it to a Bluetooth headset is the sound quality is possible, however, but this is the most critical, wearing a long ear pain as not their own, really is to buy good-looking, I'm the same color value Can not find higher than his, BO l"&amp;"ook better than that, but half the number of sound leakage ear. Neither long nor wear a ring able to open it when the protective ears. Or the original with Dafa SBH70 matter from the practical victory for comfort, but it took two years, unilateral bad, th"&amp;"en this model is gone, Dafa expensive home than he did his own good. Quite rational choice, but see other comments really did not see it so impractical. Of course, not running, pierced ears particularly large iron ladle without the slightest waterproof ca"&amp;"n enter. And again, is really pretty nice.")</f>
        <v>Not iron ladle or give it to a Bluetooth headset is the sound quality is possible, however, but this is the most critical, wearing a long ear pain as not their own, really is to buy good-looking, I'm the same color value Can not find higher than his, BO look better than that, but half the number of sound leakage ear. Neither long nor wear a ring able to open it when the protective ears. Or the original with Dafa SBH70 matter from the practical victory for comfort, but it took two years, unilateral bad, then this model is gone, Dafa expensive home than he did his own good. Quite rational choice, but see other comments really did not see it so impractical. Of course, not running, pierced ears particularly large iron ladle without the slightest waterproof can enter. And again, is really pretty nice.</v>
      </c>
    </row>
    <row r="17846">
      <c r="A17846" s="1">
        <v>3.0</v>
      </c>
      <c r="B17846" s="1" t="s">
        <v>17626</v>
      </c>
      <c r="C17846" t="str">
        <f>IFERROR(__xludf.DUMMYFUNCTION("GOOGLETRANSLATE(B17846, ""zh"", ""en"")"),"Quality not imagine wearing comfortable, with the former than buy ecco, foot feeling bad before that Damen Combat Boots,")</f>
        <v>Quality not imagine wearing comfortable, with the former than buy ecco, foot feeling bad before that Damen Combat Boots,</v>
      </c>
    </row>
    <row r="17847">
      <c r="A17847" s="1">
        <v>3.0</v>
      </c>
      <c r="B17847" s="1" t="s">
        <v>17627</v>
      </c>
      <c r="C17847" t="str">
        <f>IFERROR(__xludf.DUMMYFUNCTION("GOOGLETRANSLATE(B17847, ""zh"", ""en"")"),"Okay right size but very ordinary very ordinary not worth the money")</f>
        <v>Okay right size but very ordinary very ordinary not worth the money</v>
      </c>
    </row>
    <row r="17848">
      <c r="A17848" s="1">
        <v>1.0</v>
      </c>
      <c r="B17848" s="1" t="s">
        <v>17628</v>
      </c>
      <c r="C17848" t="str">
        <f>IFERROR(__xludf.DUMMYFUNCTION("GOOGLETRANSLATE(B17848, ""zh"", ""en"")"),"It still can not as good as the original parts or machine parts, accessories took place only six months wrinkles appeared, cut face pain. If you buy a fitting foil to 190 words, I suggest re-buy razors now!")</f>
        <v>It still can not as good as the original parts or machine parts, accessories took place only six months wrinkles appeared, cut face pain. If you buy a fitting foil to 190 words, I suggest re-buy razors now!</v>
      </c>
    </row>
    <row r="17849">
      <c r="A17849" s="1">
        <v>1.0</v>
      </c>
      <c r="B17849" s="1" t="s">
        <v>17629</v>
      </c>
      <c r="C17849" t="str">
        <f>IFERROR(__xludf.DUMMYFUNCTION("GOOGLETRANSLATE(B17849, ""zh"", ""en"")"),"Good things really well, no breath, ha ha!")</f>
        <v>Good things really well, no breath, ha ha!</v>
      </c>
    </row>
    <row r="17850">
      <c r="A17850" s="1">
        <v>4.0</v>
      </c>
      <c r="B17850" s="1" t="s">
        <v>17630</v>
      </c>
      <c r="C17850" t="str">
        <f>IFERROR(__xludf.DUMMYFUNCTION("GOOGLETRANSLATE(B17850, ""zh"", ""en"")"),"Well tried, the effect is better! You have to see how long-term effects.")</f>
        <v>Well tried, the effect is better! You have to see how long-term effects.</v>
      </c>
    </row>
    <row r="17851">
      <c r="A17851" s="1">
        <v>4.0</v>
      </c>
      <c r="B17851" s="1" t="s">
        <v>17631</v>
      </c>
      <c r="C17851" t="str">
        <f>IFERROR(__xludf.DUMMYFUNCTION("GOOGLETRANSLATE(B17851, ""zh"", ""en"")"),"Has been bought before the package is not in place, not the big box packaging alone, the lid loose.")</f>
        <v>Has been bought before the package is not in place, not the big box packaging alone, the lid loose.</v>
      </c>
    </row>
    <row r="17852">
      <c r="A17852" s="1">
        <v>4.0</v>
      </c>
      <c r="B17852" s="1" t="s">
        <v>17632</v>
      </c>
      <c r="C17852" t="str">
        <f>IFERROR(__xludf.DUMMYFUNCTION("GOOGLETRANSLATE(B17852, ""zh"", ""en"")"),"Mobile hard disk liked this product, it is lightweight and easy to carry -")</f>
        <v>Mobile hard disk liked this product, it is lightweight and easy to carry -</v>
      </c>
    </row>
    <row r="17853">
      <c r="A17853" s="1">
        <v>4.0</v>
      </c>
      <c r="B17853" s="1" t="s">
        <v>17633</v>
      </c>
      <c r="C17853" t="str">
        <f>IFERROR(__xludf.DUMMYFUNCTION("GOOGLETRANSLATE(B17853, ""zh"", ""en"")"),"I bought this dress code is how much? I like the style of this dress")</f>
        <v>I bought this dress code is how much? I like the style of this dress</v>
      </c>
    </row>
    <row r="17854">
      <c r="A17854" s="1">
        <v>4.0</v>
      </c>
      <c r="B17854" s="1" t="s">
        <v>17634</v>
      </c>
      <c r="C17854" t="str">
        <f>IFERROR(__xludf.DUMMYFUNCTION("GOOGLETRANSLATE(B17854, ""zh"", ""en"")"),"Receive good")</f>
        <v>Receive good</v>
      </c>
    </row>
    <row r="17855">
      <c r="A17855" s="1">
        <v>5.0</v>
      </c>
      <c r="B17855" s="1" t="s">
        <v>17635</v>
      </c>
      <c r="C17855" t="str">
        <f>IFERROR(__xludf.DUMMYFUNCTION("GOOGLETRANSLATE(B17855, ""zh"", ""en"")"),"Ecco shoes really good really like, the future will buy")</f>
        <v>Ecco shoes really good really like, the future will buy</v>
      </c>
    </row>
    <row r="17856">
      <c r="A17856" s="1">
        <v>5.0</v>
      </c>
      <c r="B17856" s="1" t="s">
        <v>17636</v>
      </c>
      <c r="C17856" t="str">
        <f>IFERROR(__xludf.DUMMYFUNCTION("GOOGLETRANSLATE(B17856, ""zh"", ""en"")"),"Good quality good quality, should be considered a very good choice")</f>
        <v>Good quality good quality, should be considered a very good choice</v>
      </c>
    </row>
    <row r="17857">
      <c r="A17857" s="1">
        <v>5.0</v>
      </c>
      <c r="B17857" s="1" t="s">
        <v>17637</v>
      </c>
      <c r="C17857" t="str">
        <f>IFERROR(__xludf.DUMMYFUNCTION("GOOGLETRANSLATE(B17857, ""zh"", ""en"")"),"Notebook faster online this study selected a long time, the speed really fast, plug and play, and much cheaper than domestic sea Amoy")</f>
        <v>Notebook faster online this study selected a long time, the speed really fast, plug and play, and much cheaper than domestic sea Amoy</v>
      </c>
    </row>
    <row r="17858">
      <c r="A17858" s="1">
        <v>5.0</v>
      </c>
      <c r="B17858" s="1" t="s">
        <v>17638</v>
      </c>
      <c r="C17858" t="str">
        <f>IFERROR(__xludf.DUMMYFUNCTION("GOOGLETRANSLATE(B17858, ""zh"", ""en"")"),"Just fine a little bit bigger")</f>
        <v>Just fine a little bit bigger</v>
      </c>
    </row>
    <row r="17859">
      <c r="A17859" s="1">
        <v>5.0</v>
      </c>
      <c r="B17859" s="1" t="s">
        <v>17639</v>
      </c>
      <c r="C17859" t="str">
        <f>IFERROR(__xludf.DUMMYFUNCTION("GOOGLETRANSLATE(B17859, ""zh"", ""en"")"),"Very appropriate, and comments as before thanks to detailed comments in front of the man, domestic buy four of. This ultra-2k is traveling postal channels, can be pre-paid taxes to come back")</f>
        <v>Very appropriate, and comments as before thanks to detailed comments in front of the man, domestic buy four of. This ultra-2k is traveling postal channels, can be pre-paid taxes to come back</v>
      </c>
    </row>
    <row r="17860">
      <c r="A17860" s="1">
        <v>5.0</v>
      </c>
      <c r="B17860" s="1" t="s">
        <v>17640</v>
      </c>
      <c r="C17860" t="str">
        <f>IFERROR(__xludf.DUMMYFUNCTION("GOOGLETRANSLATE(B17860, ""zh"", ""en"")"),"Good daughter with a very appropriate")</f>
        <v>Good daughter with a very appropriate</v>
      </c>
    </row>
    <row r="17861">
      <c r="A17861" s="1">
        <v>5.0</v>
      </c>
      <c r="B17861" s="1" t="s">
        <v>17641</v>
      </c>
      <c r="C17861" t="str">
        <f>IFERROR(__xludf.DUMMYFUNCTION("GOOGLETRANSLATE(B17861, ""zh"", ""en"")"),"Sea Amoy speed, suitable for everyday wear 45 shoes, buy uk10 just right, Amoy sea less than a week to go.")</f>
        <v>Sea Amoy speed, suitable for everyday wear 45 shoes, buy uk10 just right, Amoy sea less than a week to go.</v>
      </c>
    </row>
    <row r="17862">
      <c r="A17862" s="1">
        <v>5.0</v>
      </c>
      <c r="B17862" s="1" t="s">
        <v>17642</v>
      </c>
      <c r="C17862" t="str">
        <f>IFERROR(__xludf.DUMMYFUNCTION("GOOGLETRANSLATE(B17862, ""zh"", ""en"")"),"The first time to buy a bottle express really slow like injury can not afford to be a very long time two bottles with a slight taste wash basically no taste after a three-run so far do not expect there will be more good packaging boxes are deformed but do"&amp;"es not affect the use of four did not have to handle comotomo did not have the grip to go with their own")</f>
        <v>The first time to buy a bottle express really slow like injury can not afford to be a very long time two bottles with a slight taste wash basically no taste after a three-run so far do not expect there will be more good packaging boxes are deformed but does not affect the use of four did not have to handle comotomo did not have the grip to go with their own</v>
      </c>
    </row>
    <row r="17863">
      <c r="A17863" s="1">
        <v>5.0</v>
      </c>
      <c r="B17863" s="1" t="s">
        <v>17643</v>
      </c>
      <c r="C17863" t="str">
        <f>IFERROR(__xludf.DUMMYFUNCTION("GOOGLETRANSLATE(B17863, ""zh"", ""en"")"),"good stuff! Good quality, high color value, the price is right. Like 😘!")</f>
        <v>good stuff! Good quality, high color value, the price is right. Like 😘!</v>
      </c>
    </row>
    <row r="17864">
      <c r="A17864" s="1">
        <v>5.0</v>
      </c>
      <c r="B17864" s="1" t="s">
        <v>17644</v>
      </c>
      <c r="C17864" t="str">
        <f>IFERROR(__xludf.DUMMYFUNCTION("GOOGLETRANSLATE(B17864, ""zh"", ""en"")"),"There are a good 170 70kg slightly pot-old man ... s ... m afraid afraid of little big ... finally bought m ... t-shirts just right inside wearing long sleeves ... ... except what I need to pull this on the short arm ... ... reference ...")</f>
        <v>There are a good 170 70kg slightly pot-old man ... s ... m afraid afraid of little big ... finally bought m ... t-shirts just right inside wearing long sleeves ... ... except what I need to pull this on the short arm ... ... reference ...</v>
      </c>
    </row>
    <row r="17865">
      <c r="A17865" s="1">
        <v>5.0</v>
      </c>
      <c r="B17865" s="1" t="s">
        <v>17645</v>
      </c>
      <c r="C17865" t="str">
        <f>IFERROR(__xludf.DUMMYFUNCTION("GOOGLETRANSLATE(B17865, ""zh"", ""en"")"),"Large-capacity low price with this for a long time, has been running well, mainly used to store movies, very good")</f>
        <v>Large-capacity low price with this for a long time, has been running well, mainly used to store movies, very good</v>
      </c>
    </row>
    <row r="17866">
      <c r="A17866" s="1">
        <v>5.0</v>
      </c>
      <c r="B17866" s="1" t="s">
        <v>17646</v>
      </c>
      <c r="C17866" t="str">
        <f>IFERROR(__xludf.DUMMYFUNCTION("GOOGLETRANSLATE(B17866, ""zh"", ""en"")"),"Good good quality watches, pretty outrageous")</f>
        <v>Good good quality watches, pretty outrageous</v>
      </c>
    </row>
    <row r="17867">
      <c r="A17867" s="1">
        <v>5.0</v>
      </c>
      <c r="B17867" s="1" t="s">
        <v>17647</v>
      </c>
      <c r="C17867" t="str">
        <f>IFERROR(__xludf.DUMMYFUNCTION("GOOGLETRANSLATE(B17867, ""zh"", ""en"")"),"I provide about my size 265 feet long, usually wear Asics running shoes is 43.5. Because the feet a little thick, I bought a little big a little bit of 9.5W.")</f>
        <v>I provide about my size 265 feet long, usually wear Asics running shoes is 43.5. Because the feet a little thick, I bought a little big a little bit of 9.5W.</v>
      </c>
    </row>
    <row r="17868">
      <c r="A17868" s="1">
        <v>5.0</v>
      </c>
      <c r="B17868" s="1" t="s">
        <v>17648</v>
      </c>
      <c r="C17868" t="str">
        <f>IFERROR(__xludf.DUMMYFUNCTION("GOOGLETRANSLATE(B17868, ""zh"", ""en"")"),"Good, light taste, the effect is obvious")</f>
        <v>Good, light taste, the effect is obvious</v>
      </c>
    </row>
    <row r="17869">
      <c r="A17869" s="1">
        <v>5.0</v>
      </c>
      <c r="B17869" s="1" t="s">
        <v>17649</v>
      </c>
      <c r="C17869" t="str">
        <f>IFERROR(__xludf.DUMMYFUNCTION("GOOGLETRANSLATE(B17869, ""zh"", ""en"")"),"Wear comfortable shoes have always believed that the brand of shoes, this is the same soft and comfortable to wear, but I bought 37 yards to get the goods is 38 yards, but fortunately tie shoelaces, otherwise have to be changed.")</f>
        <v>Wear comfortable shoes have always believed that the brand of shoes, this is the same soft and comfortable to wear, but I bought 37 yards to get the goods is 38 yards, but fortunately tie shoelaces, otherwise have to be changed.</v>
      </c>
    </row>
    <row r="17870">
      <c r="A17870" s="1">
        <v>5.0</v>
      </c>
      <c r="B17870" s="1" t="s">
        <v>17650</v>
      </c>
      <c r="C17870" t="str">
        <f>IFERROR(__xludf.DUMMYFUNCTION("GOOGLETRANSLATE(B17870, ""zh"", ""en"")"),"No like, super cost-effective, quality is also much cheaper than domestic")</f>
        <v>No like, super cost-effective, quality is also much cheaper than domestic</v>
      </c>
    </row>
    <row r="17871">
      <c r="A17871" s="1">
        <v>5.0</v>
      </c>
      <c r="B17871" s="1" t="s">
        <v>17651</v>
      </c>
      <c r="C17871" t="str">
        <f>IFERROR(__xludf.DUMMYFUNCTION("GOOGLETRANSLATE(B17871, ""zh"", ""en"")"),"Stabilo HB pencil affordable, writing good results. Children hold a pen to correct, praise!")</f>
        <v>Stabilo HB pencil affordable, writing good results. Children hold a pen to correct, praise!</v>
      </c>
    </row>
    <row r="17872">
      <c r="A17872" s="1">
        <v>5.0</v>
      </c>
      <c r="B17872" s="1" t="s">
        <v>17652</v>
      </c>
      <c r="C17872" t="str">
        <f>IFERROR(__xludf.DUMMYFUNCTION("GOOGLETRANSLATE(B17872, ""zh"", ""en"")"),"This cost-effective good brush brush price is very affordable, relatively soft bristles, well, buy less, should a store on 2 boxes")</f>
        <v>This cost-effective good brush brush price is very affordable, relatively soft bristles, well, buy less, should a store on 2 boxes</v>
      </c>
    </row>
    <row r="17873">
      <c r="A17873" s="1">
        <v>5.0</v>
      </c>
      <c r="B17873" s="1" t="s">
        <v>17653</v>
      </c>
      <c r="C17873" t="str">
        <f>IFERROR(__xludf.DUMMYFUNCTION("GOOGLETRANSLATE(B17873, ""zh"", ""en"")"),"Very good, very suitable for everyday casual wear")</f>
        <v>Very good, very suitable for everyday casual wear</v>
      </c>
    </row>
    <row r="17874">
      <c r="A17874" s="1">
        <v>5.0</v>
      </c>
      <c r="B17874" s="1" t="s">
        <v>17654</v>
      </c>
      <c r="C17874" t="str">
        <f>IFERROR(__xludf.DUMMYFUNCTION("GOOGLETRANSLATE(B17874, ""zh"", ""en"")"),"Standing buying health products has been eating this brand, very good daily care")</f>
        <v>Standing buying health products has been eating this brand, very good daily care</v>
      </c>
    </row>
    <row r="17875">
      <c r="A17875" s="1">
        <v>5.0</v>
      </c>
      <c r="B17875" s="1" t="s">
        <v>17655</v>
      </c>
      <c r="C17875" t="str">
        <f>IFERROR(__xludf.DUMMYFUNCTION("GOOGLETRANSLATE(B17875, ""zh"", ""en"")"),"CK ck underwear really good! Cotton underwear, the focus is comfortable to wear, fashionable.")</f>
        <v>CK ck underwear really good! Cotton underwear, the focus is comfortable to wear, fashionable.</v>
      </c>
    </row>
    <row r="17876">
      <c r="A17876" s="1">
        <v>5.0</v>
      </c>
      <c r="B17876" s="1" t="s">
        <v>17656</v>
      </c>
      <c r="C17876" t="str">
        <f>IFERROR(__xludf.DUMMYFUNCTION("GOOGLETRANSLATE(B17876, ""zh"", ""en"")"),"Good quality is really good, the price is right, there is quilted, has two side pockets, inner zip, as well as in a pocket, the sealant")</f>
        <v>Good quality is really good, the price is right, there is quilted, has two side pockets, inner zip, as well as in a pocket, the sealant</v>
      </c>
    </row>
    <row r="17877">
      <c r="A17877" s="1">
        <v>2.0</v>
      </c>
      <c r="B17877" s="1" t="s">
        <v>17657</v>
      </c>
      <c r="C17877" t="str">
        <f>IFERROR(__xludf.DUMMYFUNCTION("GOOGLETRANSLATE(B17877, ""zh"", ""en"")"),"That is not warm to see how warm purchasing all kinds of publicity, in the Amazon, do. Do not believe how warm, winter wear Han, thin, wear two pairs of winter in the south are barely holding on, can not believe the words of purchasing.")</f>
        <v>That is not warm to see how warm purchasing all kinds of publicity, in the Amazon, do. Do not believe how warm, winter wear Han, thin, wear two pairs of winter in the south are barely holding on, can not believe the words of purchasing.</v>
      </c>
    </row>
    <row r="17878">
      <c r="A17878" s="1">
        <v>3.0</v>
      </c>
      <c r="B17878" s="1" t="s">
        <v>17658</v>
      </c>
      <c r="C17878" t="str">
        <f>IFERROR(__xludf.DUMMYFUNCTION("GOOGLETRANSLATE(B17878, ""zh"", ""en"")"),"I do not quite fit a bit short sleeves, shoulder a little wide")</f>
        <v>I do not quite fit a bit short sleeves, shoulder a little wide</v>
      </c>
    </row>
    <row r="17879">
      <c r="A17879" s="1">
        <v>3.0</v>
      </c>
      <c r="B17879" s="1" t="s">
        <v>17659</v>
      </c>
      <c r="C17879" t="str">
        <f>IFERROR(__xludf.DUMMYFUNCTION("GOOGLETRANSLATE(B17879, ""zh"", ""en"")"),"Look beautiful single function looks beautiful, but functional design in question")</f>
        <v>Look beautiful single function looks beautiful, but functional design in question</v>
      </c>
    </row>
    <row r="17880">
      <c r="A17880" s="1">
        <v>1.0</v>
      </c>
      <c r="B17880" s="1" t="s">
        <v>17660</v>
      </c>
      <c r="C17880" t="str">
        <f>IFERROR(__xludf.DUMMYFUNCTION("GOOGLETRANSLATE(B17880, ""zh"", ""en"")"),"Doubt whether it is authentic shoes work very rough, shoes side are obvious traces of glue, unlike its authentic music, the quality of the flagship store much better than this,")</f>
        <v>Doubt whether it is authentic shoes work very rough, shoes side are obvious traces of glue, unlike its authentic music, the quality of the flagship store much better than this,</v>
      </c>
    </row>
    <row r="17881">
      <c r="A17881" s="1">
        <v>1.0</v>
      </c>
      <c r="B17881" s="1" t="s">
        <v>17661</v>
      </c>
      <c r="C17881" t="str">
        <f>IFERROR(__xludf.DUMMYFUNCTION("GOOGLETRANSLATE(B17881, ""zh"", ""en"")"),"Thoroughly trash, worn joke is too much garbage, trash unacceptable. A lot of jump needles, thread, stitching is not straight. unbearable")</f>
        <v>Thoroughly trash, worn joke is too much garbage, trash unacceptable. A lot of jump needles, thread, stitching is not straight. unbearable</v>
      </c>
    </row>
    <row r="17882">
      <c r="A17882" s="1">
        <v>1.0</v>
      </c>
      <c r="B17882" s="1" t="s">
        <v>17662</v>
      </c>
      <c r="C17882" t="str">
        <f>IFERROR(__xludf.DUMMYFUNCTION("GOOGLETRANSLATE(B17882, ""zh"", ""en"")"),"Feeling, clothes a little big, the other, but fortunately The quality of the clothes is not asked, it is a big feeling, I have to pay attention later.")</f>
        <v>Feeling, clothes a little big, the other, but fortunately The quality of the clothes is not asked, it is a big feeling, I have to pay attention later.</v>
      </c>
    </row>
    <row r="17883">
      <c r="A17883" s="1">
        <v>4.0</v>
      </c>
      <c r="B17883" s="1" t="s">
        <v>17663</v>
      </c>
      <c r="C17883" t="str">
        <f>IFERROR(__xludf.DUMMYFUNCTION("GOOGLETRANSLATE(B17883, ""zh"", ""en"")"),"Writing quality is generally very smooth, but the pen is broken")</f>
        <v>Writing quality is generally very smooth, but the pen is broken</v>
      </c>
    </row>
    <row r="17884">
      <c r="A17884" s="1">
        <v>4.0</v>
      </c>
      <c r="B17884" s="1" t="s">
        <v>17664</v>
      </c>
      <c r="C17884" t="str">
        <f>IFERROR(__xludf.DUMMYFUNCTION("GOOGLETRANSLATE(B17884, ""zh"", ""en"")"),"Good quality feels okay, but really super comfortable to wear, code number is too small, but just for me, but also consider the repurchase")</f>
        <v>Good quality feels okay, but really super comfortable to wear, code number is too small, but just for me, but also consider the repurchase</v>
      </c>
    </row>
    <row r="17885">
      <c r="A17885" s="1">
        <v>4.0</v>
      </c>
      <c r="B17885" s="1" t="s">
        <v>17665</v>
      </c>
      <c r="C17885" t="str">
        <f>IFERROR(__xludf.DUMMYFUNCTION("GOOGLETRANSLATE(B17885, ""zh"", ""en"")"),"Quality okay okay, that is a little too large size")</f>
        <v>Quality okay okay, that is a little too large size</v>
      </c>
    </row>
    <row r="17886">
      <c r="A17886" s="1">
        <v>4.0</v>
      </c>
      <c r="B17886" s="1" t="s">
        <v>17666</v>
      </c>
      <c r="C17886" t="str">
        <f>IFERROR(__xludf.DUMMYFUNCTION("GOOGLETRANSLATE(B17886, ""zh"", ""en"")"),"Cost-effective shoes are very appropriate, in-kind good-looking than the picture, the foot is very handsome, leather is a bit hard, the reason should be the new shoes, should wear a period of time can be good. Overall, for the price and goods are satisfie"&amp;"d.")</f>
        <v>Cost-effective shoes are very appropriate, in-kind good-looking than the picture, the foot is very handsome, leather is a bit hard, the reason should be the new shoes, should wear a period of time can be good. Overall, for the price and goods are satisfied.</v>
      </c>
    </row>
    <row r="17887">
      <c r="A17887" s="1">
        <v>4.0</v>
      </c>
      <c r="B17887" s="1" t="s">
        <v>17667</v>
      </c>
      <c r="C17887" t="str">
        <f>IFERROR(__xludf.DUMMYFUNCTION("GOOGLETRANSLATE(B17887, ""zh"", ""en"")"),"Good children really like, with a comfortable, the sound is not large, can take English classes network.")</f>
        <v>Good children really like, with a comfortable, the sound is not large, can take English classes network.</v>
      </c>
    </row>
    <row r="17888">
      <c r="A17888" s="1">
        <v>5.0</v>
      </c>
      <c r="B17888" s="1" t="s">
        <v>17668</v>
      </c>
      <c r="C17888" t="str">
        <f>IFERROR(__xludf.DUMMYFUNCTION("GOOGLETRANSLATE(B17888, ""zh"", ""en"")"),"Special very good stock like to recommend you buy")</f>
        <v>Special very good stock like to recommend you buy</v>
      </c>
    </row>
    <row r="17889">
      <c r="A17889" s="1">
        <v>5.0</v>
      </c>
      <c r="B17889" s="1" t="s">
        <v>17669</v>
      </c>
      <c r="C17889" t="str">
        <f>IFERROR(__xludf.DUMMYFUNCTION("GOOGLETRANSLATE(B17889, ""zh"", ""en"")"),"Size potential, good materials, workmanship fine for the first time to buy the brand, very good!")</f>
        <v>Size potential, good materials, workmanship fine for the first time to buy the brand, very good!</v>
      </c>
    </row>
    <row r="17890">
      <c r="A17890" s="1">
        <v>5.0</v>
      </c>
      <c r="B17890" s="1" t="s">
        <v>17670</v>
      </c>
      <c r="C17890" t="str">
        <f>IFERROR(__xludf.DUMMYFUNCTION("GOOGLETRANSLATE(B17890, ""zh"", ""en"")"),"I intended to buy one, but unfortunately prices, and wait while some looked thin, but very comfortable, breathable, exquisite workmanship, materials are great, you can buy normal size, summer essential")</f>
        <v>I intended to buy one, but unfortunately prices, and wait while some looked thin, but very comfortable, breathable, exquisite workmanship, materials are great, you can buy normal size, summer essential</v>
      </c>
    </row>
    <row r="17891">
      <c r="A17891" s="1">
        <v>5.0</v>
      </c>
      <c r="B17891" s="1" t="s">
        <v>17671</v>
      </c>
      <c r="C17891" t="str">
        <f>IFERROR(__xludf.DUMMYFUNCTION("GOOGLETRANSLATE(B17891, ""zh"", ""en"")"),"So worth it, too fond of. So worth it, too fond of. it is good")</f>
        <v>So worth it, too fond of. So worth it, too fond of. it is good</v>
      </c>
    </row>
    <row r="17892">
      <c r="A17892" s="1">
        <v>5.0</v>
      </c>
      <c r="B17892" s="1" t="s">
        <v>17672</v>
      </c>
      <c r="C17892" t="str">
        <f>IFERROR(__xludf.DUMMYFUNCTION("GOOGLETRANSLATE(B17892, ""zh"", ""en"")"),"Very comfortable to wear very comfortable to wear, 29-inch legs still a little long, but it is still quite feeling of volume. As expected fat legs, tooling wind. Very comfortable.")</f>
        <v>Very comfortable to wear very comfortable to wear, 29-inch legs still a little long, but it is still quite feeling of volume. As expected fat legs, tooling wind. Very comfortable.</v>
      </c>
    </row>
    <row r="17893">
      <c r="A17893" s="1">
        <v>5.0</v>
      </c>
      <c r="B17893" s="1" t="s">
        <v>17673</v>
      </c>
      <c r="C17893" t="str">
        <f>IFERROR(__xludf.DUMMYFUNCTION("GOOGLETRANSLATE(B17893, ""zh"", ""en"")"),"Very happy to help people buy, good response")</f>
        <v>Very happy to help people buy, good response</v>
      </c>
    </row>
    <row r="17894">
      <c r="A17894" s="1">
        <v>5.0</v>
      </c>
      <c r="B17894" s="1" t="s">
        <v>17674</v>
      </c>
      <c r="C17894" t="str">
        <f>IFERROR(__xludf.DUMMYFUNCTION("GOOGLETRANSLATE(B17894, ""zh"", ""en"")"),"Very much. The third time to buy American Standard L + W very scientific; people can get the satisfaction of pants; also want to dress a little long pants; anticipation")</f>
        <v>Very much. The third time to buy American Standard L + W very scientific; people can get the satisfaction of pants; also want to dress a little long pants; anticipation</v>
      </c>
    </row>
    <row r="17895">
      <c r="A17895" s="1">
        <v>5.0</v>
      </c>
      <c r="B17895" s="1" t="s">
        <v>17675</v>
      </c>
      <c r="C17895" t="str">
        <f>IFERROR(__xludf.DUMMYFUNCTION("GOOGLETRANSLATE(B17895, ""zh"", ""en"")"),"Yes matte black matte color is good, not great cup.")</f>
        <v>Yes matte black matte color is good, not great cup.</v>
      </c>
    </row>
    <row r="17896">
      <c r="A17896" s="1">
        <v>5.0</v>
      </c>
      <c r="B17896" s="1" t="s">
        <v>17676</v>
      </c>
      <c r="C17896" t="str">
        <f>IFERROR(__xludf.DUMMYFUNCTION("GOOGLETRANSLATE(B17896, ""zh"", ""en"")"),"Water purification and convenient. German direct mail, and so on for two weeks worth! Very easy to use, although the capacity is smaller, but the best is good enough. Specially with the new electric kettle trial, really did not scale. I did not encounter "&amp;"problems at the end of the residual carbon.")</f>
        <v>Water purification and convenient. German direct mail, and so on for two weeks worth! Very easy to use, although the capacity is smaller, but the best is good enough. Specially with the new electric kettle trial, really did not scale. I did not encounter problems at the end of the residual carbon.</v>
      </c>
    </row>
    <row r="17897">
      <c r="A17897" s="1">
        <v>5.0</v>
      </c>
      <c r="B17897" s="1" t="s">
        <v>17677</v>
      </c>
      <c r="C17897" t="str">
        <f>IFERROR(__xludf.DUMMYFUNCTION("GOOGLETRANSLATE(B17897, ""zh"", ""en"")"),"Good hand sanitizer is very fragrant good use is recommended.")</f>
        <v>Good hand sanitizer is very fragrant good use is recommended.</v>
      </c>
    </row>
    <row r="17898">
      <c r="A17898" s="1">
        <v>5.0</v>
      </c>
      <c r="B17898" s="1" t="s">
        <v>17678</v>
      </c>
      <c r="C17898" t="str">
        <f>IFERROR(__xludf.DUMMYFUNCTION("GOOGLETRANSLATE(B17898, ""zh"", ""en"")"),"Satisfaction boyfriend liked very, very happy")</f>
        <v>Satisfaction boyfriend liked very, very happy</v>
      </c>
    </row>
    <row r="17899">
      <c r="A17899" s="1">
        <v>5.0</v>
      </c>
      <c r="B17899" s="1" t="s">
        <v>17679</v>
      </c>
      <c r="C17899" t="str">
        <f>IFERROR(__xludf.DUMMYFUNCTION("GOOGLETRANSLATE(B17899, ""zh"", ""en"")"),"Good pants of good quality, comfortable to wear!")</f>
        <v>Good pants of good quality, comfortable to wear!</v>
      </c>
    </row>
    <row r="17900">
      <c r="A17900" s="1">
        <v>5.0</v>
      </c>
      <c r="B17900" s="1" t="s">
        <v>17680</v>
      </c>
      <c r="C17900" t="str">
        <f>IFERROR(__xludf.DUMMYFUNCTION("GOOGLETRANSLATE(B17900, ""zh"", ""en"")"),"Very good very satisfied with the shoes from Japan to send over two weeks")</f>
        <v>Very good very satisfied with the shoes from Japan to send over two weeks</v>
      </c>
    </row>
    <row r="17901">
      <c r="A17901" s="1">
        <v>5.0</v>
      </c>
      <c r="B17901" s="1" t="s">
        <v>17681</v>
      </c>
      <c r="C17901" t="str">
        <f>IFERROR(__xludf.DUMMYFUNCTION("GOOGLETRANSLATE(B17901, ""zh"", ""en"")"),"The right size, put on after the fabric body comfort 160cm, 75kg, M number of suitable")</f>
        <v>The right size, put on after the fabric body comfort 160cm, 75kg, M number of suitable</v>
      </c>
    </row>
    <row r="17902">
      <c r="A17902" s="1">
        <v>5.0</v>
      </c>
      <c r="B17902" s="1" t="s">
        <v>17682</v>
      </c>
      <c r="C17902" t="str">
        <f>IFERROR(__xludf.DUMMYFUNCTION("GOOGLETRANSLATE(B17902, ""zh"", ""en"")"),"The new, special benefits, not at all hurt! The new price is very affordable! Previously used small partners, this bite yourself! First shave, two days after stubble grow a little better, because the laser only the most effective hair growth, shaving will"&amp;" stimulate new hair! This is why, not hair removal, do not at liberty to shave! Not at all hurt to buy, and for the first time to use a gear or second gear, and other skin slowly adapt to, and then raise, once recommended two weeks, the hair growth cycle "&amp;"are all too frequent skin is not good!")</f>
        <v>The new, special benefits, not at all hurt! The new price is very affordable! Previously used small partners, this bite yourself! First shave, two days after stubble grow a little better, because the laser only the most effective hair growth, shaving will stimulate new hair! This is why, not hair removal, do not at liberty to shave! Not at all hurt to buy, and for the first time to use a gear or second gear, and other skin slowly adapt to, and then raise, once recommended two weeks, the hair growth cycle are all too frequent skin is not good!</v>
      </c>
    </row>
    <row r="17903">
      <c r="A17903" s="1">
        <v>5.0</v>
      </c>
      <c r="B17903" s="1" t="s">
        <v>17683</v>
      </c>
      <c r="C17903" t="str">
        <f>IFERROR(__xludf.DUMMYFUNCTION("GOOGLETRANSLATE(B17903, ""zh"", ""en"")"),"Small fresh color small fresh color, very easy to go out with a drink, and almost ordinary mug heavy, Yen even higher point value.")</f>
        <v>Small fresh color small fresh color, very easy to go out with a drink, and almost ordinary mug heavy, Yen even higher point value.</v>
      </c>
    </row>
    <row r="17904">
      <c r="A17904" s="1">
        <v>5.0</v>
      </c>
      <c r="B17904" s="1" t="s">
        <v>17684</v>
      </c>
      <c r="C17904" t="str">
        <f>IFERROR(__xludf.DUMMYFUNCTION("GOOGLETRANSLATE(B17904, ""zh"", ""en"")"),"Amazon's price advantage Lynx this price can throw off the price of two-eleven a few blocks. Try the next, my height 168, L-LL appropriate, moving finally found not to mention hard nor too short because of the thumb in holes in the socks Siamese. 180D for"&amp;" about ten degree weather, south for the winter properly properly.")</f>
        <v>Amazon's price advantage Lynx this price can throw off the price of two-eleven a few blocks. Try the next, my height 168, L-LL appropriate, moving finally found not to mention hard nor too short because of the thumb in holes in the socks Siamese. 180D for about ten degree weather, south for the winter properly properly.</v>
      </c>
    </row>
    <row r="17905">
      <c r="A17905" s="1">
        <v>5.0</v>
      </c>
      <c r="B17905" s="1" t="s">
        <v>17685</v>
      </c>
      <c r="C17905" t="str">
        <f>IFERROR(__xludf.DUMMYFUNCTION("GOOGLETRANSLATE(B17905, ""zh"", ""en"")"),"Superior insulation boxes very insulation, the price is very high ah. . . .")</f>
        <v>Superior insulation boxes very insulation, the price is very high ah. . . .</v>
      </c>
    </row>
    <row r="17906">
      <c r="A17906" s="1">
        <v>5.0</v>
      </c>
      <c r="B17906" s="1" t="s">
        <v>17686</v>
      </c>
      <c r="C17906" t="str">
        <f>IFERROR(__xludf.DUMMYFUNCTION("GOOGLETRANSLATE(B17906, ""zh"", ""en"")"),"Suitable for narrow feet who do activities to buy a good deal, plus shipping tariffs was less than three hundred. Size is appropriate, but it is estimated more suitable for narrow feet, walking okay, do not walk to feel the feet")</f>
        <v>Suitable for narrow feet who do activities to buy a good deal, plus shipping tariffs was less than three hundred. Size is appropriate, but it is estimated more suitable for narrow feet, walking okay, do not walk to feel the feet</v>
      </c>
    </row>
    <row r="17907">
      <c r="A17907" s="1">
        <v>5.0</v>
      </c>
      <c r="B17907" s="1" t="s">
        <v>17687</v>
      </c>
      <c r="C17907" t="str">
        <f>IFERROR(__xludf.DUMMYFUNCTION("GOOGLETRANSLATE(B17907, ""zh"", ""en"")"),"Usually good shoes nike sports shoes 40 yards 250cm, The shoes 39 yards 8,245cm exactly, be slightly larger bit. Because the men to wear shoes, the foot itself is not wide, so appropriate. Foot width students need a little careful.")</f>
        <v>Usually good shoes nike sports shoes 40 yards 250cm, The shoes 39 yards 8,245cm exactly, be slightly larger bit. Because the men to wear shoes, the foot itself is not wide, so appropriate. Foot width students need a little careful.</v>
      </c>
    </row>
    <row r="17908">
      <c r="A17908" s="1">
        <v>5.0</v>
      </c>
      <c r="B17908" s="1" t="s">
        <v>17688</v>
      </c>
      <c r="C17908" t="str">
        <f>IFERROR(__xludf.DUMMYFUNCTION("GOOGLETRANSLATE(B17908, ""zh"", ""en"")"),"Bad feeling good, did a milk once puree, Bang Bang clatter. How much time do puree still have to add a little water. That black thing with a half-day study, the original is stirred with.")</f>
        <v>Bad feeling good, did a milk once puree, Bang Bang clatter. How much time do puree still have to add a little water. That black thing with a half-day study, the original is stirred with.</v>
      </c>
    </row>
    <row r="17909">
      <c r="A17909" s="1">
        <v>5.0</v>
      </c>
      <c r="B17909" s="1" t="s">
        <v>17689</v>
      </c>
      <c r="C17909" t="str">
        <f>IFERROR(__xludf.DUMMYFUNCTION("GOOGLETRANSLATE(B17909, ""zh"", ""en"")"),"One day drop, it is convenient for doctors to let her fill d3, this is very good, a drop of day, very convenient")</f>
        <v>One day drop, it is convenient for doctors to let her fill d3, this is very good, a drop of day, very convenient</v>
      </c>
    </row>
    <row r="17910">
      <c r="A17910" s="1">
        <v>2.0</v>
      </c>
      <c r="B17910" s="1" t="s">
        <v>15967</v>
      </c>
      <c r="C17910" t="str">
        <f>IFERROR(__xludf.DUMMYFUNCTION("GOOGLETRANSLATE(B17910, ""zh"", ""en"")"),"No type of fabric is very soft and feels very comfortable, but nothing to wear type, crotch and very tight, it seems that the next pair of jeans or to try to buy")</f>
        <v>No type of fabric is very soft and feels very comfortable, but nothing to wear type, crotch and very tight, it seems that the next pair of jeans or to try to buy</v>
      </c>
    </row>
    <row r="17911">
      <c r="A17911" s="1">
        <v>3.0</v>
      </c>
      <c r="B17911" s="1" t="s">
        <v>17690</v>
      </c>
      <c r="C17911" t="str">
        <f>IFERROR(__xludf.DUMMYFUNCTION("GOOGLETRANSLATE(B17911, ""zh"", ""en"")"),"Generally 175,69, but added the appropriate code number, but the texture and workmanship are more general, and the effect on the page big difference, two are drained away, and is not recommended.")</f>
        <v>Generally 175,69, but added the appropriate code number, but the texture and workmanship are more general, and the effect on the page big difference, two are drained away, and is not recommended.</v>
      </c>
    </row>
    <row r="17912">
      <c r="A17912" s="1">
        <v>3.0</v>
      </c>
      <c r="B17912" s="1" t="s">
        <v>17691</v>
      </c>
      <c r="C17912" t="str">
        <f>IFERROR(__xludf.DUMMYFUNCTION("GOOGLETRANSLATE(B17912, ""zh"", ""en"")"),"That's OK also be right, that received the parcel, which the watch box are rotten. Off the table on the outside, strap, the dial has a different degree of wear, looking very suck. Why packaging is not it a little better?")</f>
        <v>That's OK also be right, that received the parcel, which the watch box are rotten. Off the table on the outside, strap, the dial has a different degree of wear, looking very suck. Why packaging is not it a little better?</v>
      </c>
    </row>
    <row r="17913">
      <c r="A17913" s="1">
        <v>1.0</v>
      </c>
      <c r="B17913" s="1" t="s">
        <v>17692</v>
      </c>
      <c r="C17913" t="str">
        <f>IFERROR(__xludf.DUMMYFUNCTION("GOOGLETRANSLATE(B17913, ""zh"", ""en"")"),"The general feeling cut and texture in general, did not feel like genuine! It can only be given away ......")</f>
        <v>The general feeling cut and texture in general, did not feel like genuine! It can only be given away ......</v>
      </c>
    </row>
    <row r="17914">
      <c r="A17914" s="1">
        <v>1.0</v>
      </c>
      <c r="B17914" s="1" t="s">
        <v>17693</v>
      </c>
      <c r="C17914" t="str">
        <f>IFERROR(__xludf.DUMMYFUNCTION("GOOGLETRANSLATE(B17914, ""zh"", ""en"")"),"Too much garbage. This pants from the balls, really bad, it might as tens of dollars,")</f>
        <v>Too much garbage. This pants from the balls, really bad, it might as tens of dollars,</v>
      </c>
    </row>
    <row r="17915">
      <c r="A17915" s="1">
        <v>1.0</v>
      </c>
      <c r="B17915" s="1" t="s">
        <v>17694</v>
      </c>
      <c r="C17915" t="str">
        <f>IFERROR(__xludf.DUMMYFUNCTION("GOOGLETRANSLATE(B17915, ""zh"", ""en"")"),"Wanted to know how to do ...... bad should be said that it does not matter how frustrating, however, is bad, how do")</f>
        <v>Wanted to know how to do ...... bad should be said that it does not matter how frustrating, however, is bad, how do</v>
      </c>
    </row>
    <row r="17916">
      <c r="A17916" s="1">
        <v>4.0</v>
      </c>
      <c r="B17916" s="1" t="s">
        <v>17695</v>
      </c>
      <c r="C17916" t="str">
        <f>IFERROR(__xludf.DUMMYFUNCTION("GOOGLETRANSLATE(B17916, ""zh"", ""en"")"),"Note that if you buy the boys are boys, may buy a large two yards, because the shoes right length, but the width is too narrow")</f>
        <v>Note that if you buy the boys are boys, may buy a large two yards, because the shoes right length, but the width is too narrow</v>
      </c>
    </row>
    <row r="17917">
      <c r="A17917" s="1">
        <v>4.0</v>
      </c>
      <c r="B17917" s="1" t="s">
        <v>17696</v>
      </c>
      <c r="C17917" t="str">
        <f>IFERROR(__xludf.DUMMYFUNCTION("GOOGLETRANSLATE(B17917, ""zh"", ""en"")"),"Quality Quality Medium")</f>
        <v>Quality Quality Medium</v>
      </c>
    </row>
    <row r="17918">
      <c r="A17918" s="1">
        <v>4.0</v>
      </c>
      <c r="B17918" s="1" t="s">
        <v>17697</v>
      </c>
      <c r="C17918" t="str">
        <f>IFERROR(__xludf.DUMMYFUNCTION("GOOGLETRANSLATE(B17918, ""zh"", ""en"")"),"There may also be a seam, heat may also be")</f>
        <v>There may also be a seam, heat may also be</v>
      </c>
    </row>
    <row r="17919">
      <c r="A17919" s="1">
        <v>4.0</v>
      </c>
      <c r="B17919" s="1" t="s">
        <v>17698</v>
      </c>
      <c r="C17919" t="str">
        <f>IFERROR(__xludf.DUMMYFUNCTION("GOOGLETRANSLATE(B17919, ""zh"", ""en"")"),"Balabalabala the Japanese wok is good, thin pot heated fast, high purity iron, there is no sign of rust, soot is not large, but very little stir at home, to be relatively easy to use gas stove, electric stove good control fire easy to paste, do not think "&amp;"of it as God pot, wok had reared, cooking will be a little dark, as long as the pot is not harmful elements, this pot is worth, supermarkets are a lot of wok mess with other metals")</f>
        <v>Balabalabala the Japanese wok is good, thin pot heated fast, high purity iron, there is no sign of rust, soot is not large, but very little stir at home, to be relatively easy to use gas stove, electric stove good control fire easy to paste, do not think of it as God pot, wok had reared, cooking will be a little dark, as long as the pot is not harmful elements, this pot is worth, supermarkets are a lot of wok mess with other metals</v>
      </c>
    </row>
    <row r="17920">
      <c r="A17920" s="1">
        <v>5.0</v>
      </c>
      <c r="B17920" s="1" t="s">
        <v>17699</v>
      </c>
      <c r="C17920" t="str">
        <f>IFERROR(__xludf.DUMMYFUNCTION("GOOGLETRANSLATE(B17920, ""zh"", ""en"")"),"Caywood the cook &lt;div id = ""video-block-R23MIVUE4WI8XR"" class = ""a-section a-spacing-small a-spacing-top-mini video-block""&gt; &lt;/ div&gt; &lt;input type = ""hidden"" name = """" value = ""https://images-cn.ssl-images-amazon.com/images/I/91jZ1GT6zHS.mp4"" class"&amp;" = ""video-url""&gt; &lt;input type = ""hidden"" name = """" value = ""https://images-cn.ssl-images-amazon.com/images/I/91EpFbgAkNS.png"" class = &amp; nbsp ""video-slate-img-url""&gt;; thanks to reviews and recommendations of friends, bought me want a good thing, tim"&amp;"e-saving, simple, beautifully packaged, fast delivery!")</f>
        <v>Caywood the cook &lt;div id = "video-block-R23MIVUE4WI8XR" class = "a-section a-spacing-small a-spacing-top-mini video-block"&gt; &lt;/ div&gt; &lt;input type = "hidden" name = "" value = "https://images-cn.ssl-images-amazon.com/images/I/91jZ1GT6zHS.mp4" class = "video-url"&gt; &lt;input type = "hidden" name = "" value = "https://images-cn.ssl-images-amazon.com/images/I/91EpFbgAkNS.png" class = &amp; nbsp "video-slate-img-url"&gt;; thanks to reviews and recommendations of friends, bought me want a good thing, time-saving, simple, beautifully packaged, fast delivery!</v>
      </c>
    </row>
    <row r="17921">
      <c r="A17921" s="1">
        <v>5.0</v>
      </c>
      <c r="B17921" s="1" t="s">
        <v>17700</v>
      </c>
      <c r="C17921" t="str">
        <f>IFERROR(__xludf.DUMMYFUNCTION("GOOGLETRANSLATE(B17921, ""zh"", ""en"")"),"Very satisfied about the country than the size of a large one yards, styles, fabrics, colors are good, high cost, to buy affordable than going to a lot of special")</f>
        <v>Very satisfied about the country than the size of a large one yards, styles, fabrics, colors are good, high cost, to buy affordable than going to a lot of special</v>
      </c>
    </row>
    <row r="17922">
      <c r="A17922" s="1">
        <v>5.0</v>
      </c>
      <c r="B17922" s="1" t="s">
        <v>17701</v>
      </c>
      <c r="C17922" t="str">
        <f>IFERROR(__xludf.DUMMYFUNCTION("GOOGLETRANSLATE(B17922, ""zh"", ""en"")"),"You can change color spoon spoon Munchkin safety, may discolor way to ensure that food will not too hot. not bad")</f>
        <v>You can change color spoon spoon Munchkin safety, may discolor way to ensure that food will not too hot. not bad</v>
      </c>
    </row>
    <row r="17923">
      <c r="A17923" s="1">
        <v>5.0</v>
      </c>
      <c r="B17923" s="1" t="s">
        <v>17702</v>
      </c>
      <c r="C17923" t="str">
        <f>IFERROR(__xludf.DUMMYFUNCTION("GOOGLETRANSLATE(B17923, ""zh"", ""en"")"),"Enjoyed himself well, is very simple, under the faucet can be rotated, very space-saving, exquisite workmanship, shower massage function really is very fierce.")</f>
        <v>Enjoyed himself well, is very simple, under the faucet can be rotated, very space-saving, exquisite workmanship, shower massage function really is very fierce.</v>
      </c>
    </row>
    <row r="17924">
      <c r="A17924" s="1">
        <v>5.0</v>
      </c>
      <c r="B17924" s="1" t="s">
        <v>17703</v>
      </c>
      <c r="C17924" t="str">
        <f>IFERROR(__xludf.DUMMYFUNCTION("GOOGLETRANSLATE(B17924, ""zh"", ""en"")"),"Very satisfied very successful overseas purchase very satisfied with the production of just one month")</f>
        <v>Very satisfied very successful overseas purchase very satisfied with the production of just one month</v>
      </c>
    </row>
    <row r="17925">
      <c r="A17925" s="1">
        <v>5.0</v>
      </c>
      <c r="B17925" s="1" t="s">
        <v>17704</v>
      </c>
      <c r="C17925" t="str">
        <f>IFERROR(__xludf.DUMMYFUNCTION("GOOGLETRANSLATE(B17925, ""zh"", ""en"")"),"Genuine no problem, shoes genuine and buy with confidence, the right size.")</f>
        <v>Genuine no problem, shoes genuine and buy with confidence, the right size.</v>
      </c>
    </row>
    <row r="17926">
      <c r="A17926" s="1">
        <v>5.0</v>
      </c>
      <c r="B17926" s="1" t="s">
        <v>17705</v>
      </c>
      <c r="C17926" t="str">
        <f>IFERROR(__xludf.DUMMYFUNCTION("GOOGLETRANSLATE(B17926, ""zh"", ""en"")"),"You can also right not imagine so good, make do use it")</f>
        <v>You can also right not imagine so good, make do use it</v>
      </c>
    </row>
    <row r="17927">
      <c r="A17927" s="1">
        <v>5.0</v>
      </c>
      <c r="B17927" s="1" t="s">
        <v>17706</v>
      </c>
      <c r="C17927" t="str">
        <f>IFERROR(__xludf.DUMMYFUNCTION("GOOGLETRANSLATE(B17927, ""zh"", ""en"")"),"Inexpensive much better than imagined")</f>
        <v>Inexpensive much better than imagined</v>
      </c>
    </row>
    <row r="17928">
      <c r="A17928" s="1">
        <v>5.0</v>
      </c>
      <c r="B17928" s="1" t="s">
        <v>17707</v>
      </c>
      <c r="C17928" t="str">
        <f>IFERROR(__xludf.DUMMYFUNCTION("GOOGLETRANSLATE(B17928, ""zh"", ""en"")"),"Candy-colored watch good read! Candy colors! I think pink than yellow look good, my classmates more Italian yellow. Ultra youth!")</f>
        <v>Candy-colored watch good read! Candy colors! I think pink than yellow look good, my classmates more Italian yellow. Ultra youth!</v>
      </c>
    </row>
    <row r="17929">
      <c r="A17929" s="1">
        <v>5.0</v>
      </c>
      <c r="B17929" s="1" t="s">
        <v>17708</v>
      </c>
      <c r="C17929" t="str">
        <f>IFERROR(__xludf.DUMMYFUNCTION("GOOGLETRANSLATE(B17929, ""zh"", ""en"")"),"Super cleaning power pack 144 is divided into 8, 18 per package. Very good condition, no broken packages and so on. Finish Quantum as the highest level of the series indeed. Under standard cleaning mode, boil for three hours around the old fire soup float"&amp;"ing foam has stuck very firmly in the pot wall, as washed clean. Note that this applies only to the size of sets of 8 and above the dishwasher.")</f>
        <v>Super cleaning power pack 144 is divided into 8, 18 per package. Very good condition, no broken packages and so on. Finish Quantum as the highest level of the series indeed. Under standard cleaning mode, boil for three hours around the old fire soup floating foam has stuck very firmly in the pot wall, as washed clean. Note that this applies only to the size of sets of 8 and above the dishwasher.</v>
      </c>
    </row>
    <row r="17930">
      <c r="A17930" s="1">
        <v>5.0</v>
      </c>
      <c r="B17930" s="1" t="s">
        <v>17709</v>
      </c>
      <c r="C17930" t="str">
        <f>IFERROR(__xludf.DUMMYFUNCTION("GOOGLETRANSLATE(B17930, ""zh"", ""en"")"),"Good clothes really long for cold, snowy day, I'm 1.69 meters, approaching the ankle, the right size")</f>
        <v>Good clothes really long for cold, snowy day, I'm 1.69 meters, approaching the ankle, the right size</v>
      </c>
    </row>
    <row r="17931">
      <c r="A17931" s="1">
        <v>5.0</v>
      </c>
      <c r="B17931" s="1" t="s">
        <v>17710</v>
      </c>
      <c r="C17931" t="str">
        <f>IFERROR(__xludf.DUMMYFUNCTION("GOOGLETRANSLATE(B17931, ""zh"", ""en"")"),"Good relaxed slightly elastic fabric, good workmanship, but also non-stick hair loose, so they bought a second")</f>
        <v>Good relaxed slightly elastic fabric, good workmanship, but also non-stick hair loose, so they bought a second</v>
      </c>
    </row>
    <row r="17932">
      <c r="A17932" s="1">
        <v>5.0</v>
      </c>
      <c r="B17932" s="1" t="s">
        <v>17711</v>
      </c>
      <c r="C17932" t="str">
        <f>IFERROR(__xludf.DUMMYFUNCTION("GOOGLETRANSLATE(B17932, ""zh"", ""en"")"),"Breathable fabric is very comfortable to wear, breathable cool. it is good!")</f>
        <v>Breathable fabric is very comfortable to wear, breathable cool. it is good!</v>
      </c>
    </row>
    <row r="17933">
      <c r="A17933" s="1">
        <v>5.0</v>
      </c>
      <c r="B17933" s="1" t="s">
        <v>17712</v>
      </c>
      <c r="C17933" t="str">
        <f>IFERROR(__xludf.DUMMYFUNCTION("GOOGLETRANSLATE(B17933, ""zh"", ""en"")"),"Cost-effective 158 / 45kg, plus buy small, wear off a little bit strenuous, but do not feel put on after the tight, excluding taxes and fees more than 50 start super deal, sports wear fine.")</f>
        <v>Cost-effective 158 / 45kg, plus buy small, wear off a little bit strenuous, but do not feel put on after the tight, excluding taxes and fees more than 50 start super deal, sports wear fine.</v>
      </c>
    </row>
    <row r="17934">
      <c r="A17934" s="1">
        <v>5.0</v>
      </c>
      <c r="B17934" s="1" t="s">
        <v>17713</v>
      </c>
      <c r="C17934" t="str">
        <f>IFERROR(__xludf.DUMMYFUNCTION("GOOGLETRANSLATE(B17934, ""zh"", ""en"")"),"Very Good Very Good, 50 kg high-160, M code exactly")</f>
        <v>Very Good Very Good, 50 kg high-160, M code exactly</v>
      </c>
    </row>
    <row r="17935">
      <c r="A17935" s="1">
        <v>5.0</v>
      </c>
      <c r="B17935" s="1" t="s">
        <v>17714</v>
      </c>
      <c r="C17935" t="str">
        <f>IFERROR(__xludf.DUMMYFUNCTION("GOOGLETRANSLATE(B17935, ""zh"", ""en"")"),"No ordinary pen lamy smooth. Good weight. More robust ~")</f>
        <v>No ordinary pen lamy smooth. Good weight. More robust ~</v>
      </c>
    </row>
    <row r="17936">
      <c r="A17936" s="1">
        <v>5.0</v>
      </c>
      <c r="B17936" s="1" t="s">
        <v>17715</v>
      </c>
      <c r="C17936" t="str">
        <f>IFERROR(__xludf.DUMMYFUNCTION("GOOGLETRANSLATE(B17936, ""zh"", ""en"")"),"Complete accessories, it is worth starting, good cost-effective machine chef Bosch quality. English version German version of the origin is the same, but there is no Dea 59340, and is the all-plastic body, unlike the 59 other series, some metal, but the m"&amp;"achine has the following four suction cups, put on the table very stable. Silicone paddle and have ground meat, which is the most valuable parts, voice above fourth gear is relatively large, but not idle scrape stainless steel bowl large bowl, enough for "&amp;"a family of three amounts. Half an hour can glove film. Arrival is fast five days hand. From receipt of goods to now, almost every day to make bread, tasty as with the outside.")</f>
        <v>Complete accessories, it is worth starting, good cost-effective machine chef Bosch quality. English version German version of the origin is the same, but there is no Dea 59340, and is the all-plastic body, unlike the 59 other series, some metal, but the machine has the following four suction cups, put on the table very stable. Silicone paddle and have ground meat, which is the most valuable parts, voice above fourth gear is relatively large, but not idle scrape stainless steel bowl large bowl, enough for a family of three amounts. Half an hour can glove film. Arrival is fast five days hand. From receipt of goods to now, almost every day to make bread, tasty as with the outside.</v>
      </c>
    </row>
    <row r="17937">
      <c r="A17937" s="1">
        <v>5.0</v>
      </c>
      <c r="B17937" s="1" t="s">
        <v>17716</v>
      </c>
      <c r="C17937" t="str">
        <f>IFERROR(__xludf.DUMMYFUNCTION("GOOGLETRANSLATE(B17937, ""zh"", ""en"")"),"Do not discount the capacity of the country to buy USB flash drives with the biggest difference is: the capacity not discounted. He said that the 128G, is 128G, unlike the domestic USB flash drives, the nominal capacity is always smaller than the actual c"&amp;"apacity.")</f>
        <v>Do not discount the capacity of the country to buy USB flash drives with the biggest difference is: the capacity not discounted. He said that the 128G, is 128G, unlike the domestic USB flash drives, the nominal capacity is always smaller than the actual capacity.</v>
      </c>
    </row>
    <row r="17938">
      <c r="A17938" s="1">
        <v>5.0</v>
      </c>
      <c r="B17938" s="1" t="s">
        <v>17717</v>
      </c>
      <c r="C17938" t="str">
        <f>IFERROR(__xludf.DUMMYFUNCTION("GOOGLETRANSLATE(B17938, ""zh"", ""en"")"),"Well not use it, but look at the appearance is really thick, fine workmanship did not think so, too heavy for little girls in China is too fragile in terms of friends, my wife said not to be too heavy.")</f>
        <v>Well not use it, but look at the appearance is really thick, fine workmanship did not think so, too heavy for little girls in China is too fragile in terms of friends, my wife said not to be too heavy.</v>
      </c>
    </row>
    <row r="17939">
      <c r="A17939" s="1">
        <v>5.0</v>
      </c>
      <c r="B17939" s="1" t="s">
        <v>17718</v>
      </c>
      <c r="C17939" t="str">
        <f>IFERROR(__xludf.DUMMYFUNCTION("GOOGLETRANSLATE(B17939, ""zh"", ""en"")"),"High cost of a purchase. Something very positive. The key is a good price.")</f>
        <v>High cost of a purchase. Something very positive. The key is a good price.</v>
      </c>
    </row>
    <row r="17940">
      <c r="A17940" s="1">
        <v>5.0</v>
      </c>
      <c r="B17940" s="1" t="s">
        <v>17719</v>
      </c>
      <c r="C17940" t="str">
        <f>IFERROR(__xludf.DUMMYFUNCTION("GOOGLETRANSLATE(B17940, ""zh"", ""en"")"),"Comments do not fly really good quality style is somewhat larger. 190cm 90KG bought the XL is too big, no one to come and collect the return two weeks later to a friend to wear, wearing just his 200cm 120kg. XL sleeves too long and too fat, if not stomach"&amp;" large gibbon, 190 L bought the following recommendations.")</f>
        <v>Comments do not fly really good quality style is somewhat larger. 190cm 90KG bought the XL is too big, no one to come and collect the return two weeks later to a friend to wear, wearing just his 200cm 120kg. XL sleeves too long and too fat, if not stomach large gibbon, 190 L bought the following recommendations.</v>
      </c>
    </row>
    <row r="17941">
      <c r="A17941" s="1">
        <v>2.0</v>
      </c>
      <c r="B17941" s="1" t="s">
        <v>17720</v>
      </c>
      <c r="C17941" t="str">
        <f>IFERROR(__xludf.DUMMYFUNCTION("GOOGLETRANSLATE(B17941, ""zh"", ""en"")"),"Color good overseas purchase of a Chinese-made silent, and watch how this second-hand goods even less like the surface of the protective film are not, before buying any piece of C-LeCoultre has a surface protection film paste. This table is only suitable "&amp;"for small little girls like a friend or a fine watch.")</f>
        <v>Color good overseas purchase of a Chinese-made silent, and watch how this second-hand goods even less like the surface of the protective film are not, before buying any piece of C-LeCoultre has a surface protection film paste. This table is only suitable for small little girls like a friend or a fine watch.</v>
      </c>
    </row>
    <row r="17942">
      <c r="A17942" s="1">
        <v>3.0</v>
      </c>
      <c r="B17942" s="1" t="s">
        <v>17721</v>
      </c>
      <c r="C17942" t="str">
        <f>IFERROR(__xludf.DUMMYFUNCTION("GOOGLETRANSLATE(B17942, ""zh"", ""en"")"),"I just 25.5.8.5w bad feet long just to wear into, if the same big feet is best to buy the freshman code. As for non-slip grip even more Chedan - than the kind of foam-soled shoes of course stronger point - but will any one pair of work shoes than I bought"&amp;" this pair of good")</f>
        <v>I just 25.5.8.5w bad feet long just to wear into, if the same big feet is best to buy the freshman code. As for non-slip grip even more Chedan - than the kind of foam-soled shoes of course stronger point - but will any one pair of work shoes than I bought this pair of good</v>
      </c>
    </row>
    <row r="17943">
      <c r="A17943" s="1">
        <v>3.0</v>
      </c>
      <c r="B17943" s="1" t="s">
        <v>17722</v>
      </c>
      <c r="C17943" t="str">
        <f>IFERROR(__xludf.DUMMYFUNCTION("GOOGLETRANSLATE(B17943, ""zh"", ""en"")"),"~ Looks very cute design is unreasonable, the grip is too wide too thick, baby hold on!")</f>
        <v>~ Looks very cute design is unreasonable, the grip is too wide too thick, baby hold on!</v>
      </c>
    </row>
    <row r="17944">
      <c r="A17944" s="1">
        <v>3.0</v>
      </c>
      <c r="B17944" s="1" t="s">
        <v>17723</v>
      </c>
      <c r="C17944" t="str">
        <f>IFERROR(__xludf.DUMMYFUNCTION("GOOGLETRANSLATE(B17944, ""zh"", ""en"")"),"Comfort shoes, shoes should be the standard code, running wear, my feet a little bit wide, so it feels a little tight, others are good")</f>
        <v>Comfort shoes, shoes should be the standard code, running wear, my feet a little bit wide, so it feels a little tight, others are good</v>
      </c>
    </row>
    <row r="17945">
      <c r="A17945" s="1">
        <v>1.0</v>
      </c>
      <c r="B17945" s="1" t="s">
        <v>17724</v>
      </c>
      <c r="C17945" t="str">
        <f>IFERROR(__xludf.DUMMYFUNCTION("GOOGLETRANSLATE(B17945, ""zh"", ""en"")"),"No cloth looks like work clothes, buy the s, but oversized")</f>
        <v>No cloth looks like work clothes, buy the s, but oversized</v>
      </c>
    </row>
    <row r="17946">
      <c r="A17946" s="1">
        <v>1.0</v>
      </c>
      <c r="B17946" s="1" t="s">
        <v>17725</v>
      </c>
      <c r="C17946" t="str">
        <f>IFERROR(__xludf.DUMMYFUNCTION("GOOGLETRANSLATE(B17946, ""zh"", ""en"")"),"Good &lt;div id = ""video-block-RGYBLE94JB3DZ"" class = ""a-section a-spacing-small a-spacing-top-mini video-block""&gt; &lt;/ div&gt; &lt;input type = ""hidden"" name = "" ""value ="" https://images-cn.ssl-images-amazon.com/images/I/71eCq0dxDVS.mp4 ""class ="" video-ur"&amp;"l ""&gt; &lt;input type ="" hidden ""name ="" ""value ="" https://images-cn.ssl-images-amazon.com/images/I/71k+DsPMv7S.png ""class ="" video-slate-img-url ""&gt; &amp; nbsp; first kneading automatically stopped 20 minutes , continue for a few seconds to stop, have a f"&amp;"ew seconds to automatically stop, do not know is not bad, and I take no glass bowl ah, stuck, did not take one day out, no after-sale customer service is also asked to help solve, 1700 success did not do more than buy time")</f>
        <v>Good &lt;div id = "video-block-RGYBLE94JB3DZ" class = "a-section a-spacing-small a-spacing-top-mini video-block"&gt; &lt;/ div&gt; &lt;input type = "hidden" name = " "value =" https://images-cn.ssl-images-amazon.com/images/I/71eCq0dxDVS.mp4 "class =" video-url "&gt; &lt;input type =" hidden "name =" "value =" https://images-cn.ssl-images-amazon.com/images/I/71k+DsPMv7S.png "class =" video-slate-img-url "&gt; &amp; nbsp; first kneading automatically stopped 20 minutes , continue for a few seconds to stop, have a few seconds to automatically stop, do not know is not bad, and I take no glass bowl ah, stuck, did not take one day out, no after-sale customer service is also asked to help solve, 1700 success did not do more than buy time</v>
      </c>
    </row>
    <row r="17947">
      <c r="A17947" s="1">
        <v>4.0</v>
      </c>
      <c r="B17947" s="1" t="s">
        <v>17726</v>
      </c>
      <c r="C17947" t="str">
        <f>IFERROR(__xludf.DUMMYFUNCTION("GOOGLETRANSLATE(B17947, ""zh"", ""en"")"),"Puma shoe toe a little crooked")</f>
        <v>Puma shoe toe a little crooked</v>
      </c>
    </row>
    <row r="17948">
      <c r="A17948" s="1">
        <v>4.0</v>
      </c>
      <c r="B17948" s="1" t="s">
        <v>17727</v>
      </c>
      <c r="C17948" t="str">
        <f>IFERROR(__xludf.DUMMYFUNCTION("GOOGLETRANSLATE(B17948, ""zh"", ""en"")"),"This shoe stores than domestic 230 feet long thin I usually wear 36 yards, this time to buy control EU36, 3.5UK, 5-5.5US put on a little small, tight feet, these shoes than I usually buy domestic thin some. Should buy EU36.5,4UK, 6US, buyers back to a rea"&amp;"l reference to it. Also easy to buy control their future. Foot fat people are still in the country store to buy it, the domestic large comfortable, more suitable for our Chinese people.")</f>
        <v>This shoe stores than domestic 230 feet long thin I usually wear 36 yards, this time to buy control EU36, 3.5UK, 5-5.5US put on a little small, tight feet, these shoes than I usually buy domestic thin some. Should buy EU36.5,4UK, 6US, buyers back to a real reference to it. Also easy to buy control their future. Foot fat people are still in the country store to buy it, the domestic large comfortable, more suitable for our Chinese people.</v>
      </c>
    </row>
    <row r="17949">
      <c r="A17949" s="1">
        <v>4.0</v>
      </c>
      <c r="B17949" s="1" t="s">
        <v>17728</v>
      </c>
      <c r="C17949" t="str">
        <f>IFERROR(__xludf.DUMMYFUNCTION("GOOGLETRANSLATE(B17949, ""zh"", ""en"")"),"Cheap taste, and cook under the water, with a good, hard Oh!")</f>
        <v>Cheap taste, and cook under the water, with a good, hard Oh!</v>
      </c>
    </row>
    <row r="17950">
      <c r="A17950" s="1">
        <v>4.0</v>
      </c>
      <c r="B17950" s="1" t="s">
        <v>17729</v>
      </c>
      <c r="C17950" t="str">
        <f>IFERROR(__xludf.DUMMYFUNCTION("GOOGLETRANSLATE(B17950, ""zh"", ""en"")"),"No not the kind of white, similar to off-white, or mind carefully shot")</f>
        <v>No not the kind of white, similar to off-white, or mind carefully shot</v>
      </c>
    </row>
    <row r="17951">
      <c r="A17951" s="1">
        <v>4.0</v>
      </c>
      <c r="B17951" s="1" t="s">
        <v>17730</v>
      </c>
      <c r="C17951" t="str">
        <f>IFERROR(__xludf.DUMMYFUNCTION("GOOGLETRANSLATE(B17951, ""zh"", ""en"")"),"Pass! Pass!")</f>
        <v>Pass! Pass!</v>
      </c>
    </row>
    <row r="17952">
      <c r="A17952" s="1">
        <v>5.0</v>
      </c>
      <c r="B17952" s="1" t="s">
        <v>17731</v>
      </c>
      <c r="C17952" t="str">
        <f>IFERROR(__xludf.DUMMYFUNCTION("GOOGLETRANSLATE(B17952, ""zh"", ""en"")"),"Note the size of the United States is a big yard, but fortunately pants good, cost-effective, casually Chuan Chuan is also good.")</f>
        <v>Note the size of the United States is a big yard, but fortunately pants good, cost-effective, casually Chuan Chuan is also good.</v>
      </c>
    </row>
    <row r="17953">
      <c r="A17953" s="1">
        <v>5.0</v>
      </c>
      <c r="B17953" s="1" t="s">
        <v>17732</v>
      </c>
      <c r="C17953" t="str">
        <f>IFERROR(__xludf.DUMMYFUNCTION("GOOGLETRANSLATE(B17953, ""zh"", ""en"")"),"Feeling good good results, to improve the quality of sleep")</f>
        <v>Feeling good good results, to improve the quality of sleep</v>
      </c>
    </row>
    <row r="17954">
      <c r="A17954" s="1">
        <v>5.0</v>
      </c>
      <c r="B17954" s="1" t="s">
        <v>17733</v>
      </c>
      <c r="C17954" t="str">
        <f>IFERROR(__xludf.DUMMYFUNCTION("GOOGLETRANSLATE(B17954, ""zh"", ""en"")"),"Very, very good, general appearance, but not rough, the use of materials. Sound just got a very good, I hope after the burn can have surprises.")</f>
        <v>Very, very good, general appearance, but not rough, the use of materials. Sound just got a very good, I hope after the burn can have surprises.</v>
      </c>
    </row>
    <row r="17955">
      <c r="A17955" s="1">
        <v>5.0</v>
      </c>
      <c r="B17955" s="1" t="s">
        <v>17734</v>
      </c>
      <c r="C17955" t="str">
        <f>IFERROR(__xludf.DUMMYFUNCTION("GOOGLETRANSLATE(B17955, ""zh"", ""en"")"),"palladium! Like the right size should be quite warm")</f>
        <v>palladium! Like the right size should be quite warm</v>
      </c>
    </row>
    <row r="17956">
      <c r="A17956" s="1">
        <v>5.0</v>
      </c>
      <c r="B17956" s="1" t="s">
        <v>17735</v>
      </c>
      <c r="C17956" t="str">
        <f>IFERROR(__xludf.DUMMYFUNCTION("GOOGLETRANSLATE(B17956, ""zh"", ""en"")"),"Girls and moving small establishment class, actually heard touched.")</f>
        <v>Girls and moving small establishment class, actually heard touched.</v>
      </c>
    </row>
    <row r="17957">
      <c r="A17957" s="1">
        <v>5.0</v>
      </c>
      <c r="B17957" s="1" t="s">
        <v>17736</v>
      </c>
      <c r="C17957" t="str">
        <f>IFERROR(__xludf.DUMMYFUNCTION("GOOGLETRANSLATE(B17957, ""zh"", ""en"")"),"The estimate is someone else to buy very good, did not say anything.")</f>
        <v>The estimate is someone else to buy very good, did not say anything.</v>
      </c>
    </row>
    <row r="17958">
      <c r="A17958" s="1">
        <v>5.0</v>
      </c>
      <c r="B17958" s="1" t="s">
        <v>17737</v>
      </c>
      <c r="C17958" t="str">
        <f>IFERROR(__xludf.DUMMYFUNCTION("GOOGLETRANSLATE(B17958, ""zh"", ""en"")"),"In line with expectations out praise")</f>
        <v>In line with expectations out praise</v>
      </c>
    </row>
    <row r="17959">
      <c r="A17959" s="1">
        <v>5.0</v>
      </c>
      <c r="B17959" s="1" t="s">
        <v>17738</v>
      </c>
      <c r="C17959" t="str">
        <f>IFERROR(__xludf.DUMMYFUNCTION("GOOGLETRANSLATE(B17959, ""zh"", ""en"")"),"Commute trips are suitable, a little too large autumn and winter boots to wear the best, walking for a long time will not feel tired. Cortex moderate, matt. Shoe size is a bit bigger, I usually wear No. clarks37 feel slightly less, because of the length o"&amp;"f this pair of shoes is rather long and did not feel very constriction.")</f>
        <v>Commute trips are suitable, a little too large autumn and winter boots to wear the best, walking for a long time will not feel tired. Cortex moderate, matt. Shoe size is a bit bigger, I usually wear No. clarks37 feel slightly less, because of the length of this pair of shoes is rather long and did not feel very constriction.</v>
      </c>
    </row>
    <row r="17960">
      <c r="A17960" s="1">
        <v>5.0</v>
      </c>
      <c r="B17960" s="1" t="s">
        <v>17739</v>
      </c>
      <c r="C17960" t="str">
        <f>IFERROR(__xludf.DUMMYFUNCTION("GOOGLETRANSLATE(B17960, ""zh"", ""en"")"),"Inexpensive to double domestic prices of the same section of the bar, the quality of this beautiful goods also, size is also moderate.")</f>
        <v>Inexpensive to double domestic prices of the same section of the bar, the quality of this beautiful goods also, size is also moderate.</v>
      </c>
    </row>
    <row r="17961">
      <c r="A17961" s="1">
        <v>5.0</v>
      </c>
      <c r="B17961" s="1" t="s">
        <v>17740</v>
      </c>
      <c r="C17961" t="str">
        <f>IFERROR(__xludf.DUMMYFUNCTION("GOOGLETRANSLATE(B17961, ""zh"", ""en"")"),"Pink daughter to buy a cup, work is very compact for a long time")</f>
        <v>Pink daughter to buy a cup, work is very compact for a long time</v>
      </c>
    </row>
    <row r="17962">
      <c r="A17962" s="1">
        <v>5.0</v>
      </c>
      <c r="B17962" s="1" t="s">
        <v>17741</v>
      </c>
      <c r="C17962" t="str">
        <f>IFERROR(__xludf.DUMMYFUNCTION("GOOGLETRANSLATE(B17962, ""zh"", ""en"")"),"ck underwear unusual discomfort, very thick cotton")</f>
        <v>ck underwear unusual discomfort, very thick cotton</v>
      </c>
    </row>
    <row r="17963">
      <c r="A17963" s="1">
        <v>5.0</v>
      </c>
      <c r="B17963" s="1" t="s">
        <v>17742</v>
      </c>
      <c r="C17963" t="str">
        <f>IFERROR(__xludf.DUMMYFUNCTION("GOOGLETRANSLATE(B17963, ""zh"", ""en"")"),"The second double start and bought a pair, the only way not to go far to fight the shoes")</f>
        <v>The second double start and bought a pair, the only way not to go far to fight the shoes</v>
      </c>
    </row>
    <row r="17964">
      <c r="A17964" s="1">
        <v>5.0</v>
      </c>
      <c r="B17964" s="1" t="s">
        <v>17743</v>
      </c>
      <c r="C17964" t="str">
        <f>IFERROR(__xludf.DUMMYFUNCTION("GOOGLETRANSLATE(B17964, ""zh"", ""en"")"),"Recommended very good mobile hard disk wd Amazon bought several mobile hard disk, hard disk helium, very good, the future will buy")</f>
        <v>Recommended very good mobile hard disk wd Amazon bought several mobile hard disk, hard disk helium, very good, the future will buy</v>
      </c>
    </row>
    <row r="17965">
      <c r="A17965" s="1">
        <v>5.0</v>
      </c>
      <c r="B17965" s="1" t="s">
        <v>17744</v>
      </c>
      <c r="C17965" t="str">
        <f>IFERROR(__xludf.DUMMYFUNCTION("GOOGLETRANSLATE(B17965, ""zh"", ""en"")"),"Cost-effective is also good, although not the cheapest, but good use")</f>
        <v>Cost-effective is also good, although not the cheapest, but good use</v>
      </c>
    </row>
    <row r="17966">
      <c r="A17966" s="1">
        <v>5.0</v>
      </c>
      <c r="B17966" s="1" t="s">
        <v>17745</v>
      </c>
      <c r="C17966" t="str">
        <f>IFERROR(__xludf.DUMMYFUNCTION("GOOGLETRANSLATE(B17966, ""zh"", ""en"")"),"Good order after a week of receipt, bags intact, large headphone volume than expected, but the exquisite workmanship is not virtuous-style rigor. Push straight with a PC, a third of the volume ratio MSR7 small, I do not know after the burn will not be lou"&amp;"der.")</f>
        <v>Good order after a week of receipt, bags intact, large headphone volume than expected, but the exquisite workmanship is not virtuous-style rigor. Push straight with a PC, a third of the volume ratio MSR7 small, I do not know after the burn will not be louder.</v>
      </c>
    </row>
    <row r="17967">
      <c r="A17967" s="1">
        <v>5.0</v>
      </c>
      <c r="B17967" s="1" t="s">
        <v>17746</v>
      </c>
      <c r="C17967" t="str">
        <f>IFERROR(__xludf.DUMMYFUNCTION("GOOGLETRANSLATE(B17967, ""zh"", ""en"")"),"Filtered water for cooking is very easy to very good use, filtered water to cook more at ease, the Tibetan side of the big water hardness")</f>
        <v>Filtered water for cooking is very easy to very good use, filtered water to cook more at ease, the Tibetan side of the big water hardness</v>
      </c>
    </row>
    <row r="17968">
      <c r="A17968" s="1">
        <v>5.0</v>
      </c>
      <c r="B17968" s="1" t="s">
        <v>17747</v>
      </c>
      <c r="C17968" t="str">
        <f>IFERROR(__xludf.DUMMYFUNCTION("GOOGLETRANSLATE(B17968, ""zh"", ""en"")"),"Much cheaper than pregnancy and infant store! Genuine! Well, already have access to!")</f>
        <v>Much cheaper than pregnancy and infant store! Genuine! Well, already have access to!</v>
      </c>
    </row>
    <row r="17969">
      <c r="A17969" s="1">
        <v>5.0</v>
      </c>
      <c r="B17969" s="1" t="s">
        <v>17748</v>
      </c>
      <c r="C17969" t="str">
        <f>IFERROR(__xludf.DUMMYFUNCTION("GOOGLETRANSLATE(B17969, ""zh"", ""en"")"),"Give the baby breast milk temporarily stocking it enough, occasionally with a bottle, or very good, like baby")</f>
        <v>Give the baby breast milk temporarily stocking it enough, occasionally with a bottle, or very good, like baby</v>
      </c>
    </row>
    <row r="17970">
      <c r="A17970" s="1">
        <v>5.0</v>
      </c>
      <c r="B17970" s="1" t="s">
        <v>17749</v>
      </c>
      <c r="C17970" t="str">
        <f>IFERROR(__xludf.DUMMYFUNCTION("GOOGLETRANSLATE(B17970, ""zh"", ""en"")"),"Easy to use like 😊")</f>
        <v>Easy to use like 😊</v>
      </c>
    </row>
    <row r="17971">
      <c r="A17971" s="1">
        <v>5.0</v>
      </c>
      <c r="B17971" s="1" t="s">
        <v>17750</v>
      </c>
      <c r="C17971" t="str">
        <f>IFERROR(__xludf.DUMMYFUNCTION("GOOGLETRANSLATE(B17971, ""zh"", ""en"")"),"Comfortable, well good for children with more than a hundred of the price a good deal.")</f>
        <v>Comfortable, well good for children with more than a hundred of the price a good deal.</v>
      </c>
    </row>
    <row r="17972">
      <c r="A17972" s="1">
        <v>5.0</v>
      </c>
      <c r="B17972" s="1" t="s">
        <v>17751</v>
      </c>
      <c r="C17972" t="str">
        <f>IFERROR(__xludf.DUMMYFUNCTION("GOOGLETRANSLATE(B17972, ""zh"", ""en"")"),"Black Model 300s is a black model 300s should buy friends attention ...")</f>
        <v>Black Model 300s is a black model 300s should buy friends attention ...</v>
      </c>
    </row>
    <row r="17973">
      <c r="A17973" s="1">
        <v>5.0</v>
      </c>
      <c r="B17973" s="1" t="s">
        <v>17752</v>
      </c>
      <c r="C17973" t="str">
        <f>IFERROR(__xludf.DUMMYFUNCTION("GOOGLETRANSLATE(B17973, ""zh"", ""en"")"),"A good size just right, body modification, shoulders, arms are suitable, people look younger, like the coat, which can continue to focus on the future")</f>
        <v>A good size just right, body modification, shoulders, arms are suitable, people look younger, like the coat, which can continue to focus on the future</v>
      </c>
    </row>
    <row r="17974">
      <c r="A17974" s="1">
        <v>2.0</v>
      </c>
      <c r="B17974" s="1" t="s">
        <v>17753</v>
      </c>
      <c r="C17974" t="str">
        <f>IFERROR(__xludf.DUMMYFUNCTION("GOOGLETRANSLATE(B17974, ""zh"", ""en"")"),"This is men's underwear too tight, could be so tight, L bust actually only 83, thanks to the elastic hold up, design failure! Sleeves are too short, only 53cm, we take a closer look with pictures is also very short, wear cuffs off wrist was three or four "&amp;"centimeters, this also affects the uncomfortable warmth failure! length after only 70, according to the standard of comparison when it comes to 72. failure of failure! I do not know is not defective products, real wonderful!")</f>
        <v>This is men's underwear too tight, could be so tight, L bust actually only 83, thanks to the elastic hold up, design failure! Sleeves are too short, only 53cm, we take a closer look with pictures is also very short, wear cuffs off wrist was three or four centimeters, this also affects the uncomfortable warmth failure! length after only 70, according to the standard of comparison when it comes to 72. failure of failure! I do not know is not defective products, real wonderful!</v>
      </c>
    </row>
    <row r="17975">
      <c r="A17975" s="1">
        <v>3.0</v>
      </c>
      <c r="B17975" s="1" t="s">
        <v>17754</v>
      </c>
      <c r="C17975" t="str">
        <f>IFERROR(__xludf.DUMMYFUNCTION("GOOGLETRANSLATE(B17975, ""zh"", ""en"")"),"- - I was not very happy because it did orthodontic bought this portable equipment, with four or five times so we should charge only a high school low three stalls, to completely rinse water at least twice to be installed. In addition, I think the volume "&amp;"a little big, not very good to take. The most important is to find the black five price cheaper than when I bought 200!")</f>
        <v>- - I was not very happy because it did orthodontic bought this portable equipment, with four or five times so we should charge only a high school low three stalls, to completely rinse water at least twice to be installed. In addition, I think the volume a little big, not very good to take. The most important is to find the black five price cheaper than when I bought 200!</v>
      </c>
    </row>
    <row r="17976">
      <c r="A17976" s="1">
        <v>3.0</v>
      </c>
      <c r="B17976" s="1" t="s">
        <v>17755</v>
      </c>
      <c r="C17976" t="str">
        <f>IFERROR(__xludf.DUMMYFUNCTION("GOOGLETRANSLATE(B17976, ""zh"", ""en"")"),"The shopping experience is not very good a little too large, sliding down, not feeling well")</f>
        <v>The shopping experience is not very good a little too large, sliding down, not feeling well</v>
      </c>
    </row>
    <row r="17977">
      <c r="A17977" s="1">
        <v>1.0</v>
      </c>
      <c r="B17977" s="1" t="s">
        <v>17756</v>
      </c>
      <c r="C17977" t="str">
        <f>IFERROR(__xludf.DUMMYFUNCTION("GOOGLETRANSLATE(B17977, ""zh"", ""en"")"),"Do not buy rotten belt I never go online shopping for many years Poor people, this could not bear it. Never, never not buy this belt, really sucks sucks, lining seems to be made of paper, just received a trial, to a waist belt lining around there will be "&amp;"cracks.")</f>
        <v>Do not buy rotten belt I never go online shopping for many years Poor people, this could not bear it. Never, never not buy this belt, really sucks sucks, lining seems to be made of paper, just received a trial, to a waist belt lining around there will be cracks.</v>
      </c>
    </row>
    <row r="17978">
      <c r="A17978" s="1">
        <v>1.0</v>
      </c>
      <c r="B17978" s="1" t="s">
        <v>17757</v>
      </c>
      <c r="C17978" t="str">
        <f>IFERROR(__xludf.DUMMYFUNCTION("GOOGLETRANSLATE(B17978, ""zh"", ""en"")"),"Size is too big, do not believe the size and the actual arrival of the gap size reference table shows too, at least two large numbers, the second buy is the same, there is no way to wear. Size Chart and that is not the arrival of")</f>
        <v>Size is too big, do not believe the size and the actual arrival of the gap size reference table shows too, at least two large numbers, the second buy is the same, there is no way to wear. Size Chart and that is not the arrival of</v>
      </c>
    </row>
    <row r="17979">
      <c r="A17979" s="1">
        <v>4.0</v>
      </c>
      <c r="B17979" s="1" t="s">
        <v>17758</v>
      </c>
      <c r="C17979" t="str">
        <f>IFERROR(__xludf.DUMMYFUNCTION("GOOGLETRANSLATE(B17979, ""zh"", ""en"")"),"Well okay quality, inside the cable head, also material can also wear okay")</f>
        <v>Well okay quality, inside the cable head, also material can also wear okay</v>
      </c>
    </row>
    <row r="17980">
      <c r="A17980" s="1">
        <v>4.0</v>
      </c>
      <c r="B17980" s="1" t="s">
        <v>17759</v>
      </c>
      <c r="C17980" t="str">
        <f>IFERROR(__xludf.DUMMYFUNCTION("GOOGLETRANSLATE(B17980, ""zh"", ""en"")"),"Too large too large, buy a S, but the sleeves too long. . .")</f>
        <v>Too large too large, buy a S, but the sleeves too long. . .</v>
      </c>
    </row>
    <row r="17981">
      <c r="A17981" s="1">
        <v>4.0</v>
      </c>
      <c r="B17981" s="1" t="s">
        <v>17760</v>
      </c>
      <c r="C17981" t="str">
        <f>IFERROR(__xludf.DUMMYFUNCTION("GOOGLETRANSLATE(B17981, ""zh"", ""en"")"),"Special time to buy immediately start to see the price itself is to buy 32 250 Euro in Europe, but see the price on this I was into the IPC Direct Push push less well than before but that I was quite a good voice PX100 I believe that if it sounds cool tra"&amp;"nsparent sound buy a put on the head a little bit better with chuck but fairly comfortable. First time to buy big headphones, still feeling good burn. Not very knowledgeable!")</f>
        <v>Special time to buy immediately start to see the price itself is to buy 32 250 Euro in Europe, but see the price on this I was into the IPC Direct Push push less well than before but that I was quite a good voice PX100 I believe that if it sounds cool transparent sound buy a put on the head a little bit better with chuck but fairly comfortable. First time to buy big headphones, still feeling good burn. Not very knowledgeable!</v>
      </c>
    </row>
    <row r="17982">
      <c r="A17982" s="1">
        <v>4.0</v>
      </c>
      <c r="B17982" s="1" t="s">
        <v>17761</v>
      </c>
      <c r="C17982" t="str">
        <f>IFERROR(__xludf.DUMMYFUNCTION("GOOGLETRANSLATE(B17982, ""zh"", ""en"")"),"Packaging is not the time took the goods from the courier staff on hand satisfaction, courier opened outside the box, and saw that the box was opened watches, watches 2/3 part has been exposed to. Feel they are being opened the package scene when I was re"&amp;"ady to sign a single courier, the courier said: you do not have to sign, as long as you pay on it ... this is how it happened")</f>
        <v>Packaging is not the time took the goods from the courier staff on hand satisfaction, courier opened outside the box, and saw that the box was opened watches, watches 2/3 part has been exposed to. Feel they are being opened the package scene when I was ready to sign a single courier, the courier said: you do not have to sign, as long as you pay on it ... this is how it happened</v>
      </c>
    </row>
    <row r="17983">
      <c r="A17983" s="1">
        <v>4.0</v>
      </c>
      <c r="B17983" s="1" t="s">
        <v>17762</v>
      </c>
      <c r="C17983" t="str">
        <f>IFERROR(__xludf.DUMMYFUNCTION("GOOGLETRANSLATE(B17983, ""zh"", ""en"")"),"Classic style, comfortable I was 38 yards thin feet, ecco shoes previously bought 38, wearing a little top of the foot. The hard-hearted bought 39 yards, UK6, slightly larger a little bit, but in line with my request - comfortable. The sole white part of "&amp;"you that does have a small hole, but does not affect the wear. Leather soft and low-key, high comfort. Single hand got a week, satisfied.")</f>
        <v>Classic style, comfortable I was 38 yards thin feet, ecco shoes previously bought 38, wearing a little top of the foot. The hard-hearted bought 39 yards, UK6, slightly larger a little bit, but in line with my request - comfortable. The sole white part of you that does have a small hole, but does not affect the wear. Leather soft and low-key, high comfort. Single hand got a week, satisfied.</v>
      </c>
    </row>
    <row r="17984">
      <c r="A17984" s="1">
        <v>5.0</v>
      </c>
      <c r="B17984" s="1" t="s">
        <v>17763</v>
      </c>
      <c r="C17984" t="str">
        <f>IFERROR(__xludf.DUMMYFUNCTION("GOOGLETRANSLATE(B17984, ""zh"", ""en"")"),"Well, not from the previous evaluation, I do not know how many wasted points, points can change money now know, they should look carefully evaluated, then I put these words to copy to go, both to earn points, but also the easy way, where are copy where, m"&amp;"ost importantly, do not seriously review, do not think how much worse word, sent directly to it, recommend it to everyone! ! Well, not from the previous evaluation, I do not know how many wasted points, points can change money now know, they should look c"&amp;"arefully evaluated, then I put these words to copy to go, both to earn points, but also the easy way, where are copy where, most importantly, do not seriously review, do not think how much worse word, sent directly to it, recommend it to everyone! !")</f>
        <v>Well, not from the previous evaluation, I do not know how many wasted points, points can change money now know, they should look carefully evaluated, then I put these words to copy to go, both to earn points, but also the easy way, where are copy where, most importantly, do not seriously review, do not think how much worse word, sent directly to it, recommend it to everyone! ! Well, not from the previous evaluation, I do not know how many wasted points, points can change money now know, they should look carefully evaluated, then I put these words to copy to go, both to earn points, but also the easy way, where are copy where, most importantly, do not seriously review, do not think how much worse word, sent directly to it, recommend it to everyone! !</v>
      </c>
    </row>
    <row r="17985">
      <c r="A17985" s="1">
        <v>5.0</v>
      </c>
      <c r="B17985" s="1" t="s">
        <v>17764</v>
      </c>
      <c r="C17985" t="str">
        <f>IFERROR(__xludf.DUMMYFUNCTION("GOOGLETRANSLATE(B17985, ""zh"", ""en"")"),"Very pleasant shopping Satisfied very satisfied! Very pleasant shopping experience! Very comfortable to wear, later to buy buy buy on Amazon")</f>
        <v>Very pleasant shopping Satisfied very satisfied! Very pleasant shopping experience! Very comfortable to wear, later to buy buy buy on Amazon</v>
      </c>
    </row>
    <row r="17986">
      <c r="A17986" s="1">
        <v>5.0</v>
      </c>
      <c r="B17986" s="1" t="s">
        <v>17765</v>
      </c>
      <c r="C17986" t="str">
        <f>IFERROR(__xludf.DUMMYFUNCTION("GOOGLETRANSLATE(B17986, ""zh"", ""en"")"),"Real essential supplies. Very good, orders to send home, before and after a month. Small v very practical, high-powered, worth buying essential goods.")</f>
        <v>Real essential supplies. Very good, orders to send home, before and after a month. Small v very practical, high-powered, worth buying essential goods.</v>
      </c>
    </row>
    <row r="17987">
      <c r="A17987" s="1">
        <v>5.0</v>
      </c>
      <c r="B17987" s="1" t="s">
        <v>17766</v>
      </c>
      <c r="C17987" t="str">
        <f>IFERROR(__xludf.DUMMYFUNCTION("GOOGLETRANSLATE(B17987, ""zh"", ""en"")"),"Package is very good, comfortable to wear this pair of shoes to wear comfortable, package is very good, I usually wear 43 yards dress shoes, wear these shoes a little longer (about half that length), shoes origin of Slovakia, exquisite workmanship, it is "&amp;"worth buying.")</f>
        <v>Package is very good, comfortable to wear this pair of shoes to wear comfortable, package is very good, I usually wear 43 yards dress shoes, wear these shoes a little longer (about half that length), shoes origin of Slovakia, exquisite workmanship, it is worth buying.</v>
      </c>
    </row>
    <row r="17988">
      <c r="A17988" s="1">
        <v>5.0</v>
      </c>
      <c r="B17988" s="1" t="s">
        <v>17767</v>
      </c>
      <c r="C17988" t="str">
        <f>IFERROR(__xludf.DUMMYFUNCTION("GOOGLETRANSLATE(B17988, ""zh"", ""en"")"),"Satisfaction comfortable to wear, not bad!")</f>
        <v>Satisfaction comfortable to wear, not bad!</v>
      </c>
    </row>
    <row r="17989">
      <c r="A17989" s="1">
        <v>5.0</v>
      </c>
      <c r="B17989" s="1" t="s">
        <v>17768</v>
      </c>
      <c r="C17989" t="str">
        <f>IFERROR(__xludf.DUMMYFUNCTION("GOOGLETRANSLATE(B17989, ""zh"", ""en"")"),"Almost silent kinda thin transport super slow, which lasted more than two weeks. That arrived a few days later, prime the trial period should expire. Simply horrible. Good hard, looks like a single-plate disc, and almost silent. Much better than the previ"&amp;"ous 7200rpm Seagate.")</f>
        <v>Almost silent kinda thin transport super slow, which lasted more than two weeks. That arrived a few days later, prime the trial period should expire. Simply horrible. Good hard, looks like a single-plate disc, and almost silent. Much better than the previous 7200rpm Seagate.</v>
      </c>
    </row>
    <row r="17990">
      <c r="A17990" s="1">
        <v>5.0</v>
      </c>
      <c r="B17990" s="1" t="s">
        <v>17769</v>
      </c>
      <c r="C17990" t="str">
        <f>IFERROR(__xludf.DUMMYFUNCTION("GOOGLETRANSLATE(B17990, ""zh"", ""en"")"),"Very good cup with a few days, the insulation effect, the cup without any odor and material feels good")</f>
        <v>Very good cup with a few days, the insulation effect, the cup without any odor and material feels good</v>
      </c>
    </row>
    <row r="17991">
      <c r="A17991" s="1">
        <v>5.0</v>
      </c>
      <c r="B17991" s="1" t="s">
        <v>17770</v>
      </c>
      <c r="C17991" t="str">
        <f>IFERROR(__xludf.DUMMYFUNCTION("GOOGLETRANSLATE(B17991, ""zh"", ""en"")"),"Warranty box is very good, very good quality. But there is the feeling of a box opened, there are things on the trumpet, two power lines are not the same, poor box No. 500 and hopes to send even numbers")</f>
        <v>Warranty box is very good, very good quality. But there is the feeling of a box opened, there are things on the trumpet, two power lines are not the same, poor box No. 500 and hopes to send even numbers</v>
      </c>
    </row>
    <row r="17992">
      <c r="A17992" s="1">
        <v>5.0</v>
      </c>
      <c r="B17992" s="1" t="s">
        <v>17771</v>
      </c>
      <c r="C17992" t="str">
        <f>IFERROR(__xludf.DUMMYFUNCTION("GOOGLETRANSLATE(B17992, ""zh"", ""en"")"),"style ringer tee made good cotton material feels very comfortable retro")</f>
        <v>style ringer tee made good cotton material feels very comfortable retro</v>
      </c>
    </row>
    <row r="17993">
      <c r="A17993" s="1">
        <v>5.0</v>
      </c>
      <c r="B17993" s="1" t="s">
        <v>17772</v>
      </c>
      <c r="C17993" t="str">
        <f>IFERROR(__xludf.DUMMYFUNCTION("GOOGLETRANSLATE(B17993, ""zh"", ""en"")"),"Trifle generous yeah! like you! Trifle generous yeah! Too long!")</f>
        <v>Trifle generous yeah! like you! Trifle generous yeah! Too long!</v>
      </c>
    </row>
    <row r="17994">
      <c r="A17994" s="1">
        <v>5.0</v>
      </c>
      <c r="B17994" s="1" t="s">
        <v>17773</v>
      </c>
      <c r="C17994" t="str">
        <f>IFERROR(__xludf.DUMMYFUNCTION("GOOGLETRANSLATE(B17994, ""zh"", ""en"")"),"Suitable grade, thin, wear suitable hot day")</f>
        <v>Suitable grade, thin, wear suitable hot day</v>
      </c>
    </row>
    <row r="17995">
      <c r="A17995" s="1">
        <v>5.0</v>
      </c>
      <c r="B17995" s="1" t="s">
        <v>17774</v>
      </c>
      <c r="C17995" t="str">
        <f>IFERROR(__xludf.DUMMYFUNCTION("GOOGLETRANSLATE(B17995, ""zh"", ""en"")"),"Very good very good hat, almost saved my curly hair.")</f>
        <v>Very good very good hat, almost saved my curly hair.</v>
      </c>
    </row>
    <row r="17996">
      <c r="A17996" s="1">
        <v>5.0</v>
      </c>
      <c r="B17996" s="1" t="s">
        <v>17775</v>
      </c>
      <c r="C17996" t="str">
        <f>IFERROR(__xludf.DUMMYFUNCTION("GOOGLETRANSLATE(B17996, ""zh"", ""en"")"),"Value for money affordable, quality is very good, thumbs up.")</f>
        <v>Value for money affordable, quality is very good, thumbs up.</v>
      </c>
    </row>
    <row r="17997">
      <c r="A17997" s="1">
        <v>5.0</v>
      </c>
      <c r="B17997" s="1" t="s">
        <v>17776</v>
      </c>
      <c r="C17997" t="str">
        <f>IFERROR(__xludf.DUMMYFUNCTION("GOOGLETRANSLATE(B17997, ""zh"", ""en"")"),"Quality velvet ultra- expected, very good, will come back to buy")</f>
        <v>Quality velvet ultra- expected, very good, will come back to buy</v>
      </c>
    </row>
    <row r="17998">
      <c r="A17998" s="1">
        <v>5.0</v>
      </c>
      <c r="B17998" s="1" t="s">
        <v>17777</v>
      </c>
      <c r="C17998" t="str">
        <f>IFERROR(__xludf.DUMMYFUNCTION("GOOGLETRANSLATE(B17998, ""zh"", ""en"")"),"Size really appropriate, should be able to wear a 5 to 8 years to his family bought as a birthday gift. Usually sports shoes 40 yards, 40 yards is appropriate. Also very comfortable to wear. There is a little heavier shoes, shoes tooling components proper"&amp;"ly due. Pay for, good ~")</f>
        <v>Size really appropriate, should be able to wear a 5 to 8 years to his family bought as a birthday gift. Usually sports shoes 40 yards, 40 yards is appropriate. Also very comfortable to wear. There is a little heavier shoes, shoes tooling components properly due. Pay for, good ~</v>
      </c>
    </row>
    <row r="17999">
      <c r="A17999" s="1">
        <v>5.0</v>
      </c>
      <c r="B17999" s="1" t="s">
        <v>17778</v>
      </c>
      <c r="C17999" t="str">
        <f>IFERROR(__xludf.DUMMYFUNCTION("GOOGLETRANSLATE(B17999, ""zh"", ""en"")"),"Good quality looks good quality, these days with the soup bowls and food bowls, like. Looked at the sea Amoy not much cheaper price, value")</f>
        <v>Good quality looks good quality, these days with the soup bowls and food bowls, like. Looked at the sea Amoy not much cheaper price, value</v>
      </c>
    </row>
    <row r="18000">
      <c r="A18000" s="1">
        <v>5.0</v>
      </c>
      <c r="B18000" s="1" t="s">
        <v>17779</v>
      </c>
      <c r="C18000" t="str">
        <f>IFERROR(__xludf.DUMMYFUNCTION("GOOGLETRANSLATE(B18000, ""zh"", ""en"")"),"Receipt of the goods feel very satisfied! Affordable, genuine! It is a domineering watch!")</f>
        <v>Receipt of the goods feel very satisfied! Affordable, genuine! It is a domineering watch!</v>
      </c>
    </row>
    <row r="18001">
      <c r="A18001" s="1">
        <v>5.0</v>
      </c>
      <c r="B18001" s="1" t="s">
        <v>17780</v>
      </c>
      <c r="C18001" t="str">
        <f>IFERROR(__xludf.DUMMYFUNCTION("GOOGLETRANSLATE(B18001, ""zh"", ""en"")"),"Inexpensive, casual Chuan Chuan is good. Inexpensive, casual Chuan Chuan is good.")</f>
        <v>Inexpensive, casual Chuan Chuan is good. Inexpensive, casual Chuan Chuan is good.</v>
      </c>
    </row>
    <row r="18002">
      <c r="A18002" s="1">
        <v>5.0</v>
      </c>
      <c r="B18002" s="1" t="s">
        <v>17781</v>
      </c>
      <c r="C18002" t="str">
        <f>IFERROR(__xludf.DUMMYFUNCTION("GOOGLETRANSLATE(B18002, ""zh"", ""en"")"),"Size is too large US version of the clothes is a bit large, self-cultivation is also very relaxed, very good quality, very cheap. Not good-looking blue sea navy blue.")</f>
        <v>Size is too large US version of the clothes is a bit large, self-cultivation is also very relaxed, very good quality, very cheap. Not good-looking blue sea navy blue.</v>
      </c>
    </row>
    <row r="18003">
      <c r="A18003" s="1">
        <v>5.0</v>
      </c>
      <c r="B18003" s="1" t="s">
        <v>17782</v>
      </c>
      <c r="C18003" t="str">
        <f>IFERROR(__xludf.DUMMYFUNCTION("GOOGLETRANSLATE(B18003, ""zh"", ""en"")"),"Very nice, this really easy to use and easy to use, use it every day, do not take place and stylish! Big Love")</f>
        <v>Very nice, this really easy to use and easy to use, use it every day, do not take place and stylish! Big Love</v>
      </c>
    </row>
    <row r="18004">
      <c r="A18004" s="1">
        <v>5.0</v>
      </c>
      <c r="B18004" s="1" t="s">
        <v>17783</v>
      </c>
      <c r="C18004" t="str">
        <f>IFERROR(__xludf.DUMMYFUNCTION("GOOGLETRANSLATE(B18004, ""zh"", ""en"")"),"how to say? There headphones do a better job? This headset has been used to buy from more than a year, really untold good. Because amateur clips and music will do the project, this monitor headphones really competent, sound could be heard ...... very clea"&amp;"r ... clarity. Aural design and sponges to ensure long wearing very comfortable, not Chuck, this is too important friends. Instrumental Rock usually listen to some sound field is also very good, in short, is very good, suitable for video or music at home "&amp;"listening to music, take-away area may be more, but if you need to wear headphones all day long or I'll take it. The key is the price is really affordable than a lot of bells and whistles of the headphones! Believe me wearing experience the most important"&amp;", spend more money to buy a sound leakage also uncomfortable with the high-end headphones do? This is enough to use headphones to listen!")</f>
        <v>how to say? There headphones do a better job? This headset has been used to buy from more than a year, really untold good. Because amateur clips and music will do the project, this monitor headphones really competent, sound could be heard ...... very clear ... clarity. Aural design and sponges to ensure long wearing very comfortable, not Chuck, this is too important friends. Instrumental Rock usually listen to some sound field is also very good, in short, is very good, suitable for video or music at home listening to music, take-away area may be more, but if you need to wear headphones all day long or I'll take it. The key is the price is really affordable than a lot of bells and whistles of the headphones! Believe me wearing experience the most important, spend more money to buy a sound leakage also uncomfortable with the high-end headphones do? This is enough to use headphones to listen!</v>
      </c>
    </row>
    <row r="18005">
      <c r="A18005" s="1">
        <v>5.0</v>
      </c>
      <c r="B18005" s="1" t="s">
        <v>17784</v>
      </c>
      <c r="C18005" t="str">
        <f>IFERROR(__xludf.DUMMYFUNCTION("GOOGLETRANSLATE(B18005, ""zh"", ""en"")"),"Well worth buying")</f>
        <v>Well worth buying</v>
      </c>
    </row>
    <row r="18006">
      <c r="A18006" s="1">
        <v>2.0</v>
      </c>
      <c r="B18006" s="1" t="s">
        <v>17785</v>
      </c>
      <c r="C18006" t="str">
        <f>IFERROR(__xludf.DUMMYFUNCTION("GOOGLETRANSLATE(B18006, ""zh"", ""en"")"),"Too narrow and not recommended to buy a belt is very narrow, less than 3 cm width, indicating that there did not even mention, usually Tim Bai Lan has a belt width of at least 3.5 cm, so this belt is very misleading.")</f>
        <v>Too narrow and not recommended to buy a belt is very narrow, less than 3 cm width, indicating that there did not even mention, usually Tim Bai Lan has a belt width of at least 3.5 cm, so this belt is very misleading.</v>
      </c>
    </row>
    <row r="18007">
      <c r="A18007" s="1">
        <v>3.0</v>
      </c>
      <c r="B18007" s="1" t="s">
        <v>17786</v>
      </c>
      <c r="C18007" t="str">
        <f>IFERROR(__xludf.DUMMYFUNCTION("GOOGLETRANSLATE(B18007, ""zh"", ""en"")"),"I only served bone-dimensional packaging of packaging I will take the bone peacekeeping force. Amoy sea has always been the product packaging is more environmentally friendly and simple packaging of bone peacekeeping force me clothes! Outer carton volume "&amp;"is several times the bottle, but really only calcium on the bottle bottom with a thin layer ... this extravagance, decisive want to give a bad review! As for the effect of the product, I do not know, anyway, health care products, and is in need of calcium"&amp;" to the mother to buy, I hope it is limited.")</f>
        <v>I only served bone-dimensional packaging of packaging I will take the bone peacekeeping force. Amoy sea has always been the product packaging is more environmentally friendly and simple packaging of bone peacekeeping force me clothes! Outer carton volume is several times the bottle, but really only calcium on the bottle bottom with a thin layer ... this extravagance, decisive want to give a bad review! As for the effect of the product, I do not know, anyway, health care products, and is in need of calcium to the mother to buy, I hope it is limited.</v>
      </c>
    </row>
    <row r="18008">
      <c r="A18008" s="1">
        <v>3.0</v>
      </c>
      <c r="B18008" s="1" t="s">
        <v>17787</v>
      </c>
      <c r="C18008" t="str">
        <f>IFERROR(__xludf.DUMMYFUNCTION("GOOGLETRANSLATE(B18008, ""zh"", ""en"")"),"Leather hard estimate is not it, rather hard, with a look!")</f>
        <v>Leather hard estimate is not it, rather hard, with a look!</v>
      </c>
    </row>
    <row r="18009">
      <c r="A18009" s="1">
        <v>1.0</v>
      </c>
      <c r="B18009" s="1" t="s">
        <v>17788</v>
      </c>
      <c r="C18009" t="str">
        <f>IFERROR(__xludf.DUMMYFUNCTION("GOOGLETRANSLATE(B18009, ""zh"", ""en"")"),"Shoes are comfortable to wear nice shoes defective products just a little flaw suspected defective products")</f>
        <v>Shoes are comfortable to wear nice shoes defective products just a little flaw suspected defective products</v>
      </c>
    </row>
    <row r="18010">
      <c r="A18010" s="1">
        <v>1.0</v>
      </c>
      <c r="B18010" s="1" t="s">
        <v>2687</v>
      </c>
      <c r="C18010" t="str">
        <f>IFERROR(__xludf.DUMMYFUNCTION("GOOGLETRANSLATE(B18010, ""zh"", ""en"")"),"No use, eat and do not eat all the same to no avail, to eat and not eat all the same")</f>
        <v>No use, eat and do not eat all the same to no avail, to eat and not eat all the same</v>
      </c>
    </row>
    <row r="18011">
      <c r="A18011" s="1">
        <v>1.0</v>
      </c>
      <c r="B18011" s="1" t="s">
        <v>17789</v>
      </c>
      <c r="C18011" t="str">
        <f>IFERROR(__xludf.DUMMYFUNCTION("GOOGLETRANSLATE(B18011, ""zh"", ""en"")"),"Fake, we do not buy fake fake fake fake fake fake fake fake fake, really fake fake fake fake fake fake fake fake, this drink with my baby water is good because it has half a month, every time you open the bottle has an burning smell, taste grandmother had"&amp;" thought it was later found not, it is recommended that you do not buy it, because I was not looking to buy his comments, see I shall not buy friends, to packaging and other buyers are the same, fake")</f>
        <v>Fake, we do not buy fake fake fake fake fake fake fake fake fake, really fake fake fake fake fake fake fake fake, this drink with my baby water is good because it has half a month, every time you open the bottle has an burning smell, taste grandmother had thought it was later found not, it is recommended that you do not buy it, because I was not looking to buy his comments, see I shall not buy friends, to packaging and other buyers are the same, fake</v>
      </c>
    </row>
    <row r="18012">
      <c r="A18012" s="1">
        <v>4.0</v>
      </c>
      <c r="B18012" s="1" t="s">
        <v>17790</v>
      </c>
      <c r="C18012" t="str">
        <f>IFERROR(__xludf.DUMMYFUNCTION("GOOGLETRANSLATE(B18012, ""zh"", ""en"")"),"This should be the basis of cheap money CK, origin Kenya, a bit too small, in fact, the quality in general, but wins in a lot cheaper than domestic.")</f>
        <v>This should be the basis of cheap money CK, origin Kenya, a bit too small, in fact, the quality in general, but wins in a lot cheaper than domestic.</v>
      </c>
    </row>
    <row r="18013">
      <c r="A18013" s="1">
        <v>4.0</v>
      </c>
      <c r="B18013" s="1" t="s">
        <v>17791</v>
      </c>
      <c r="C18013" t="str">
        <f>IFERROR(__xludf.DUMMYFUNCTION("GOOGLETRANSLATE(B18013, ""zh"", ""en"")"),"More lenient pants pants looser, thin section, you can wear summer")</f>
        <v>More lenient pants pants looser, thin section, you can wear summer</v>
      </c>
    </row>
    <row r="18014">
      <c r="A18014" s="1">
        <v>4.0</v>
      </c>
      <c r="B18014" s="1" t="s">
        <v>17792</v>
      </c>
      <c r="C18014" t="str">
        <f>IFERROR(__xludf.DUMMYFUNCTION("GOOGLETRANSLATE(B18014, ""zh"", ""en"")"),"You can also right ...... it can also be bad not bad not bad ...... bad, the cup without a lid")</f>
        <v>You can also right ...... it can also be bad not bad not bad ...... bad, the cup without a lid</v>
      </c>
    </row>
    <row r="18015">
      <c r="A18015" s="1">
        <v>4.0</v>
      </c>
      <c r="B18015" s="1" t="s">
        <v>17793</v>
      </c>
      <c r="C18015" t="str">
        <f>IFERROR(__xludf.DUMMYFUNCTION("GOOGLETRANSLATE(B18015, ""zh"", ""en"")"),"Good value for money deliberately buy long, cut back their own a bit, the quality is also good, a little bit simple buttons, also considered the value of more than 200")</f>
        <v>Good value for money deliberately buy long, cut back their own a bit, the quality is also good, a little bit simple buttons, also considered the value of more than 200</v>
      </c>
    </row>
    <row r="18016">
      <c r="A18016" s="1">
        <v>4.0</v>
      </c>
      <c r="B18016" s="1" t="s">
        <v>17794</v>
      </c>
      <c r="C18016" t="str">
        <f>IFERROR(__xludf.DUMMYFUNCTION("GOOGLETRANSLATE(B18016, ""zh"", ""en"")"),"Nice shoes a little tight, pink looks good")</f>
        <v>Nice shoes a little tight, pink looks good</v>
      </c>
    </row>
    <row r="18017">
      <c r="A18017" s="1">
        <v>5.0</v>
      </c>
      <c r="B18017" s="1" t="s">
        <v>17795</v>
      </c>
      <c r="C18017" t="str">
        <f>IFERROR(__xludf.DUMMYFUNCTION("GOOGLETRANSLATE(B18017, ""zh"", ""en"")"),"Look at the reviews choose completely different views to seriously look at the comments section. I 180cm, 100kg, Chinese-made clothing is generally 2XL, after watching a comment, decisive choice L, very fit, quality also matches the price, some are not so"&amp;" bad reviews describe.")</f>
        <v>Look at the reviews choose completely different views to seriously look at the comments section. I 180cm, 100kg, Chinese-made clothing is generally 2XL, after watching a comment, decisive choice L, very fit, quality also matches the price, some are not so bad reviews describe.</v>
      </c>
    </row>
    <row r="18018">
      <c r="A18018" s="1">
        <v>5.0</v>
      </c>
      <c r="B18018" s="1" t="s">
        <v>17796</v>
      </c>
      <c r="C18018" t="str">
        <f>IFERROR(__xludf.DUMMYFUNCTION("GOOGLETRANSLATE(B18018, ""zh"", ""en"")"),"Something good, affordable great, is helium")</f>
        <v>Something good, affordable great, is helium</v>
      </c>
    </row>
    <row r="18019">
      <c r="A18019" s="1">
        <v>5.0</v>
      </c>
      <c r="B18019" s="1" t="s">
        <v>17797</v>
      </c>
      <c r="C18019" t="str">
        <f>IFERROR(__xludf.DUMMYFUNCTION("GOOGLETRANSLATE(B18019, ""zh"", ""en"")"),"It looks like a very good warm comments just wrong, want to comment on another one shop, I do not know how to delete. This dress is very good warm")</f>
        <v>It looks like a very good warm comments just wrong, want to comment on another one shop, I do not know how to delete. This dress is very good warm</v>
      </c>
    </row>
    <row r="18020">
      <c r="A18020" s="1">
        <v>5.0</v>
      </c>
      <c r="B18020" s="1" t="s">
        <v>17798</v>
      </c>
      <c r="C18020" t="str">
        <f>IFERROR(__xludf.DUMMYFUNCTION("GOOGLETRANSLATE(B18020, ""zh"", ""en"")"),"Suitable height 182, weight 140, m code suitable.")</f>
        <v>Suitable height 182, weight 140, m code suitable.</v>
      </c>
    </row>
    <row r="18021">
      <c r="A18021" s="1">
        <v>5.0</v>
      </c>
      <c r="B18021" s="1" t="s">
        <v>17799</v>
      </c>
      <c r="C18021" t="str">
        <f>IFERROR(__xludf.DUMMYFUNCTION("GOOGLETRANSLATE(B18021, ""zh"", ""en"")"),"hh Amazing!")</f>
        <v>hh Amazing!</v>
      </c>
    </row>
    <row r="18022">
      <c r="A18022" s="1">
        <v>5.0</v>
      </c>
      <c r="B18022" s="1" t="s">
        <v>17800</v>
      </c>
      <c r="C18022" t="str">
        <f>IFERROR(__xludf.DUMMYFUNCTION("GOOGLETRANSLATE(B18022, ""zh"", ""en"")"),"You can put on a like new")</f>
        <v>You can put on a like new</v>
      </c>
    </row>
    <row r="18023">
      <c r="A18023" s="1">
        <v>5.0</v>
      </c>
      <c r="B18023" s="1" t="s">
        <v>17801</v>
      </c>
      <c r="C18023" t="str">
        <f>IFERROR(__xludf.DUMMYFUNCTION("GOOGLETRANSLATE(B18023, ""zh"", ""en"")"),"380 + good quality hand, is self-cultivation models, I 172,66 kg, Shoulder 40, for your reference. This dress is really long sleeves Oh, my hands are considered long may still have surplus")</f>
        <v>380 + good quality hand, is self-cultivation models, I 172,66 kg, Shoulder 40, for your reference. This dress is really long sleeves Oh, my hands are considered long may still have surplus</v>
      </c>
    </row>
    <row r="18024">
      <c r="A18024" s="1">
        <v>5.0</v>
      </c>
      <c r="B18024" s="1" t="s">
        <v>17802</v>
      </c>
      <c r="C18024" t="str">
        <f>IFERROR(__xludf.DUMMYFUNCTION("GOOGLETRANSLATE(B18024, ""zh"", ""en"")"),"Good big bottle, really moist, will repurchase")</f>
        <v>Good big bottle, really moist, will repurchase</v>
      </c>
    </row>
    <row r="18025">
      <c r="A18025" s="1">
        <v>5.0</v>
      </c>
      <c r="B18025" s="1" t="s">
        <v>17803</v>
      </c>
      <c r="C18025" t="str">
        <f>IFERROR(__xludf.DUMMYFUNCTION("GOOGLETRANSLATE(B18025, ""zh"", ""en"")"),"Glass easier to clean the baby very much, large caliber pacifier sucking more comfortable")</f>
        <v>Glass easier to clean the baby very much, large caliber pacifier sucking more comfortable</v>
      </c>
    </row>
    <row r="18026">
      <c r="A18026" s="1">
        <v>5.0</v>
      </c>
      <c r="B18026" s="1" t="s">
        <v>17804</v>
      </c>
      <c r="C18026" t="str">
        <f>IFERROR(__xludf.DUMMYFUNCTION("GOOGLETRANSLATE(B18026, ""zh"", ""en"")"),"Still not very good pot of weight, feeling if cooking then there will be little small. You should buy a big point. If the Chinese buyers to buy, then it is recommended to buy more than 30CM.")</f>
        <v>Still not very good pot of weight, feeling if cooking then there will be little small. You should buy a big point. If the Chinese buyers to buy, then it is recommended to buy more than 30CM.</v>
      </c>
    </row>
    <row r="18027">
      <c r="A18027" s="1">
        <v>5.0</v>
      </c>
      <c r="B18027" s="1" t="s">
        <v>17805</v>
      </c>
      <c r="C18027" t="str">
        <f>IFERROR(__xludf.DUMMYFUNCTION("GOOGLETRANSLATE(B18027, ""zh"", ""en"")"),"Cotton is very good upper body is very comfortable to help my colleagues also bought several pieces")</f>
        <v>Cotton is very good upper body is very comfortable to help my colleagues also bought several pieces</v>
      </c>
    </row>
    <row r="18028">
      <c r="A18028" s="1">
        <v>5.0</v>
      </c>
      <c r="B18028" s="1" t="s">
        <v>17806</v>
      </c>
      <c r="C18028" t="str">
        <f>IFERROR(__xludf.DUMMYFUNCTION("GOOGLETRANSLATE(B18028, ""zh"", ""en"")"),"Good good, the right size, good quality")</f>
        <v>Good good, the right size, good quality</v>
      </c>
    </row>
    <row r="18029">
      <c r="A18029" s="1">
        <v>5.0</v>
      </c>
      <c r="B18029" s="1" t="s">
        <v>17807</v>
      </c>
      <c r="C18029" t="str">
        <f>IFERROR(__xludf.DUMMYFUNCTION("GOOGLETRANSLATE(B18029, ""zh"", ""en"")"),"Super nice looks good is too expensive taxes")</f>
        <v>Super nice looks good is too expensive taxes</v>
      </c>
    </row>
    <row r="18030">
      <c r="A18030" s="1">
        <v>5.0</v>
      </c>
      <c r="B18030" s="1" t="s">
        <v>17808</v>
      </c>
      <c r="C18030" t="str">
        <f>IFERROR(__xludf.DUMMYFUNCTION("GOOGLETRANSLATE(B18030, ""zh"", ""en"")"),"Yes affordable volume is full! Good to hear")</f>
        <v>Yes affordable volume is full! Good to hear</v>
      </c>
    </row>
    <row r="18031">
      <c r="A18031" s="1">
        <v>5.0</v>
      </c>
      <c r="B18031" s="1" t="s">
        <v>4193</v>
      </c>
      <c r="C18031" t="str">
        <f>IFERROR(__xludf.DUMMYFUNCTION("GOOGLETRANSLATE(B18031, ""zh"", ""en"")"),"Oh great 165.52, S code just right. Cotton is very comfortable, it will buy again. Chase Review: black will fade. . . I do not know how to wash twice will not be better. . .")</f>
        <v>Oh great 165.52, S code just right. Cotton is very comfortable, it will buy again. Chase Review: black will fade. . . I do not know how to wash twice will not be better. . .</v>
      </c>
    </row>
    <row r="18032">
      <c r="A18032" s="1">
        <v>5.0</v>
      </c>
      <c r="B18032" s="1" t="s">
        <v>17809</v>
      </c>
      <c r="C18032" t="str">
        <f>IFERROR(__xludf.DUMMYFUNCTION("GOOGLETRANSLATE(B18032, ""zh"", ""en"")"),"Not bad, really cool! Longines changed the Casio, friends say bought a cartoon form")</f>
        <v>Not bad, really cool! Longines changed the Casio, friends say bought a cartoon form</v>
      </c>
    </row>
    <row r="18033">
      <c r="A18033" s="1">
        <v>5.0</v>
      </c>
      <c r="B18033" s="1" t="s">
        <v>17810</v>
      </c>
      <c r="C18033" t="str">
        <f>IFERROR(__xludf.DUMMYFUNCTION("GOOGLETRANSLATE(B18033, ""zh"", ""en"")"),"Slim version of Slim, bought a little smaller.")</f>
        <v>Slim version of Slim, bought a little smaller.</v>
      </c>
    </row>
    <row r="18034">
      <c r="A18034" s="1">
        <v>5.0</v>
      </c>
      <c r="B18034" s="1" t="s">
        <v>17811</v>
      </c>
      <c r="C18034" t="str">
        <f>IFERROR(__xludf.DUMMYFUNCTION("GOOGLETRANSLATE(B18034, ""zh"", ""en"")"),"Good quality waist size is too large, moderate fabric thickness, wearing appropriate Spring")</f>
        <v>Good quality waist size is too large, moderate fabric thickness, wearing appropriate Spring</v>
      </c>
    </row>
    <row r="18035">
      <c r="A18035" s="1">
        <v>5.0</v>
      </c>
      <c r="B18035" s="1" t="s">
        <v>17812</v>
      </c>
      <c r="C18035" t="str">
        <f>IFERROR(__xludf.DUMMYFUNCTION("GOOGLETRANSLATE(B18035, ""zh"", ""en"")"),"Good at home before I buy a pair of feet 37.5 37 yards to wear this for two years or big buy just good but really hurts to wear shoes 36 yards or big points really good color is unique not go on the road shoes will hit a lot of favorable prices than domes"&amp;"tic")</f>
        <v>Good at home before I buy a pair of feet 37.5 37 yards to wear this for two years or big buy just good but really hurts to wear shoes 36 yards or big points really good color is unique not go on the road shoes will hit a lot of favorable prices than domestic</v>
      </c>
    </row>
    <row r="18036">
      <c r="A18036" s="1">
        <v>5.0</v>
      </c>
      <c r="B18036" s="1" t="s">
        <v>17813</v>
      </c>
      <c r="C18036" t="str">
        <f>IFERROR(__xludf.DUMMYFUNCTION("GOOGLETRANSLATE(B18036, ""zh"", ""en"")"),"1 good shoes, increased within the artifact ah, feel the feeling of wearing head high; 2, more comfortable lining, heavy shoes, but I feel very comfortable; 3, more breathable, can wear one day; 4, lack of pants more difficult to fit, shoes, jeans, trouse"&amp;"rs will stain; leather easy to dirty, bad care. 5, pay attention to buy shoe of choice, there is a children's shoe lady table, there is a men's shoe size table, the wrong shoe size is not right.")</f>
        <v>1 good shoes, increased within the artifact ah, feel the feeling of wearing head high; 2, more comfortable lining, heavy shoes, but I feel very comfortable; 3, more breathable, can wear one day; 4, lack of pants more difficult to fit, shoes, jeans, trousers will stain; leather easy to dirty, bad care. 5, pay attention to buy shoe of choice, there is a children's shoe lady table, there is a men's shoe size table, the wrong shoe size is not right.</v>
      </c>
    </row>
    <row r="18037">
      <c r="A18037" s="1">
        <v>5.0</v>
      </c>
      <c r="B18037" s="1" t="s">
        <v>17814</v>
      </c>
      <c r="C18037" t="str">
        <f>IFERROR(__xludf.DUMMYFUNCTION("GOOGLETRANSLATE(B18037, ""zh"", ""en"")"),"Focus is quasi code to buy shoes look good, real materials, very low key. Focus is on code to buy accurate, low foot, not suitable pad insole. The first few will be some foot wear, Chuan Chuan enough to believe, than the sole replica of raw rubber-soled w"&amp;"ear, ha ha! Origin India")</f>
        <v>Focus is quasi code to buy shoes look good, real materials, very low key. Focus is on code to buy accurate, low foot, not suitable pad insole. The first few will be some foot wear, Chuan Chuan enough to believe, than the sole replica of raw rubber-soled wear, ha ha! Origin India</v>
      </c>
    </row>
    <row r="18038">
      <c r="A18038" s="1">
        <v>5.0</v>
      </c>
      <c r="B18038" s="1" t="s">
        <v>17815</v>
      </c>
      <c r="C18038" t="str">
        <f>IFERROR(__xludf.DUMMYFUNCTION("GOOGLETRANSLATE(B18038, ""zh"", ""en"")"),"Good quality, the price is very favorable good quality, the price is very favorable.")</f>
        <v>Good quality, the price is very favorable good quality, the price is very favorable.</v>
      </c>
    </row>
    <row r="18039">
      <c r="A18039" s="1">
        <v>2.0</v>
      </c>
      <c r="B18039" s="1" t="s">
        <v>17816</v>
      </c>
      <c r="C18039" t="str">
        <f>IFERROR(__xludf.DUMMYFUNCTION("GOOGLETRANSLATE(B18039, ""zh"", ""en"")"),"Dial diameter size and description does not match the description in the written dial diameter 37mm, serious discrepancies, volume a bit, is not linked to the regulation 37, the real dial diameter (glass part) is less than 30mm, the men wear too small, Ms"&amp;". Dai almost.")</f>
        <v>Dial diameter size and description does not match the description in the written dial diameter 37mm, serious discrepancies, volume a bit, is not linked to the regulation 37, the real dial diameter (glass part) is less than 30mm, the men wear too small, Ms. Dai almost.</v>
      </c>
    </row>
    <row r="18040">
      <c r="A18040" s="1">
        <v>3.0</v>
      </c>
      <c r="B18040" s="1" t="s">
        <v>17817</v>
      </c>
      <c r="C18040" t="str">
        <f>IFERROR(__xludf.DUMMYFUNCTION("GOOGLETRANSLATE(B18040, ""zh"", ""en"")"),"Big shoes are good shoes, but too big! Returns was too inconvenient, only idle fish")</f>
        <v>Big shoes are good shoes, but too big! Returns was too inconvenient, only idle fish</v>
      </c>
    </row>
    <row r="18041">
      <c r="A18041" s="1">
        <v>3.0</v>
      </c>
      <c r="B18041" s="1" t="s">
        <v>17818</v>
      </c>
      <c r="C18041" t="str">
        <f>IFERROR(__xludf.DUMMYFUNCTION("GOOGLETRANSLATE(B18041, ""zh"", ""en"")"),"Well, not from the previous evaluation, I do not know how many points a waste of good, not from the previous evaluation, I do not know how many points wasted")</f>
        <v>Well, not from the previous evaluation, I do not know how many points a waste of good, not from the previous evaluation, I do not know how many points wasted</v>
      </c>
    </row>
    <row r="18042">
      <c r="A18042" s="1">
        <v>3.0</v>
      </c>
      <c r="B18042" s="1" t="s">
        <v>17819</v>
      </c>
      <c r="C18042" t="str">
        <f>IFERROR(__xludf.DUMMYFUNCTION("GOOGLETRANSLATE(B18042, ""zh"", ""en"")"),"Careful selection unhappy. . Bought two, no more than six months before and after use. . A bit baffling. . .")</f>
        <v>Careful selection unhappy. . Bought two, no more than six months before and after use. . A bit baffling. . .</v>
      </c>
    </row>
    <row r="18043">
      <c r="A18043" s="1">
        <v>1.0</v>
      </c>
      <c r="B18043" s="1" t="s">
        <v>17820</v>
      </c>
      <c r="C18043" t="str">
        <f>IFERROR(__xludf.DUMMYFUNCTION("GOOGLETRANSLATE(B18043, ""zh"", ""en"")"),"Fabric too times")</f>
        <v>Fabric too times</v>
      </c>
    </row>
    <row r="18044">
      <c r="A18044" s="1">
        <v>1.0</v>
      </c>
      <c r="B18044" s="1" t="s">
        <v>17821</v>
      </c>
      <c r="C18044" t="str">
        <f>IFERROR(__xludf.DUMMYFUNCTION("GOOGLETRANSLATE(B18044, ""zh"", ""en"")"),"Poor, Poor maintenance is difficult! Transfer gear a few weeks with two weeks on the problem, hit the customer service phone said goods purchased overseas to find goods manufacturers customer, Seiko mainland China simply can not get through the phone! Neg"&amp;"ative Ratings! I am going to complain to the business sector")</f>
        <v>Poor, Poor maintenance is difficult! Transfer gear a few weeks with two weeks on the problem, hit the customer service phone said goods purchased overseas to find goods manufacturers customer, Seiko mainland China simply can not get through the phone! Negative Ratings! I am going to complain to the business sector</v>
      </c>
    </row>
    <row r="18045">
      <c r="A18045" s="1">
        <v>1.0</v>
      </c>
      <c r="B18045" s="1" t="s">
        <v>17822</v>
      </c>
      <c r="C18045" t="str">
        <f>IFERROR(__xludf.DUMMYFUNCTION("GOOGLETRANSLATE(B18045, ""zh"", ""en"")"),"A thin layer of poor quality, worn alone, exposed flesh and tie, wearing a couple of days when Qiuku foot head wearing a big hole, really poor quality.")</f>
        <v>A thin layer of poor quality, worn alone, exposed flesh and tie, wearing a couple of days when Qiuku foot head wearing a big hole, really poor quality.</v>
      </c>
    </row>
    <row r="18046">
      <c r="A18046" s="1">
        <v>4.0</v>
      </c>
      <c r="B18046" s="1" t="s">
        <v>17823</v>
      </c>
      <c r="C18046" t="str">
        <f>IFERROR(__xludf.DUMMYFUNCTION("GOOGLETRANSLATE(B18046, ""zh"", ""en"")"),"Okay a year, a little bad the plug before urbanears will also be transmitted to an adapter, and now do not send. Otherwise also can continue to use, its line is no problem. But also 200 dollars headphones, a year can be a")</f>
        <v>Okay a year, a little bad the plug before urbanears will also be transmitted to an adapter, and now do not send. Otherwise also can continue to use, its line is no problem. But also 200 dollars headphones, a year can be a</v>
      </c>
    </row>
    <row r="18047">
      <c r="A18047" s="1">
        <v>4.0</v>
      </c>
      <c r="B18047" s="1" t="s">
        <v>17824</v>
      </c>
      <c r="C18047" t="str">
        <f>IFERROR(__xludf.DUMMYFUNCTION("GOOGLETRANSLATE(B18047, ""zh"", ""en"")"),"Quality can be a little too large, the price fluctuations big! ! A little long, but the width can be, belong to the thin version, the quality looks can be, but from when I bought just over more than a week, the price is $ 200 cheaper! If you want to buy, "&amp;"or added to the shopping cart to see the price is right time to start it")</f>
        <v>Quality can be a little too large, the price fluctuations big! ! A little long, but the width can be, belong to the thin version, the quality looks can be, but from when I bought just over more than a week, the price is $ 200 cheaper! If you want to buy, or added to the shopping cart to see the price is right time to start it</v>
      </c>
    </row>
    <row r="18048">
      <c r="A18048" s="1">
        <v>4.0</v>
      </c>
      <c r="B18048" s="1" t="s">
        <v>17825</v>
      </c>
      <c r="C18048" t="str">
        <f>IFERROR(__xludf.DUMMYFUNCTION("GOOGLETRANSLATE(B18048, ""zh"", ""en"")"),"Overall satisfaction elastic fabric, made in Bangladesh, marginal work, mainly relatively open wire sewing skills test, while there is no sleeve buttons sewn door, if I were to calculate this quality inspector defective, but fortunately does not unsightly"&amp;" does not affect the wear, 166CM, 52KG buy the S code, shoulder and armpit still a little loose sleeves are also slightly longer, 160CM sister paper the following are careful to buy, overall satisfaction. Lee felt more than Levis classic cowboy style, cos"&amp;"t is also higher.")</f>
        <v>Overall satisfaction elastic fabric, made in Bangladesh, marginal work, mainly relatively open wire sewing skills test, while there is no sleeve buttons sewn door, if I were to calculate this quality inspector defective, but fortunately does not unsightly does not affect the wear, 166CM, 52KG buy the S code, shoulder and armpit still a little loose sleeves are also slightly longer, 160CM sister paper the following are careful to buy, overall satisfaction. Lee felt more than Levis classic cowboy style, cost is also higher.</v>
      </c>
    </row>
    <row r="18049">
      <c r="A18049" s="1">
        <v>4.0</v>
      </c>
      <c r="B18049" s="1" t="s">
        <v>17826</v>
      </c>
      <c r="C18049" t="str">
        <f>IFERROR(__xludf.DUMMYFUNCTION("GOOGLETRANSLATE(B18049, ""zh"", ""en"")"),"The basic product is a good husband to wear jeans, cost-effective")</f>
        <v>The basic product is a good husband to wear jeans, cost-effective</v>
      </c>
    </row>
    <row r="18050">
      <c r="A18050" s="1">
        <v>4.0</v>
      </c>
      <c r="B18050" s="1" t="s">
        <v>17827</v>
      </c>
      <c r="C18050" t="str">
        <f>IFERROR(__xludf.DUMMYFUNCTION("GOOGLETRANSLATE(B18050, ""zh"", ""en"")"),"Little sneakers recommended to buy freshman yards.")</f>
        <v>Little sneakers recommended to buy freshman yards.</v>
      </c>
    </row>
    <row r="18051">
      <c r="A18051" s="1">
        <v>5.0</v>
      </c>
      <c r="B18051" s="1" t="s">
        <v>17828</v>
      </c>
      <c r="C18051" t="str">
        <f>IFERROR(__xludf.DUMMYFUNCTION("GOOGLETRANSLATE(B18051, ""zh"", ""en"")"),"Pants thin pants quality is no problem, it is recommended to improve on the Amazon clothing products Bohou description of the product, while Amazon's feedback speed quickly, the pants objective evaluation 3 stars, 5 stars Amazon's service.")</f>
        <v>Pants thin pants quality is no problem, it is recommended to improve on the Amazon clothing products Bohou description of the product, while Amazon's feedback speed quickly, the pants objective evaluation 3 stars, 5 stars Amazon's service.</v>
      </c>
    </row>
    <row r="18052">
      <c r="A18052" s="1">
        <v>5.0</v>
      </c>
      <c r="B18052" s="1" t="s">
        <v>17829</v>
      </c>
      <c r="C18052" t="str">
        <f>IFERROR(__xludf.DUMMYFUNCTION("GOOGLETRANSLATE(B18052, ""zh"", ""en"")"),"Well most people can use this code, a few centimeters can use the big, pink is also OK")</f>
        <v>Well most people can use this code, a few centimeters can use the big, pink is also OK</v>
      </c>
    </row>
    <row r="18053">
      <c r="A18053" s="1">
        <v>5.0</v>
      </c>
      <c r="B18053" s="1" t="s">
        <v>17830</v>
      </c>
      <c r="C18053" t="str">
        <f>IFERROR(__xludf.DUMMYFUNCTION("GOOGLETRANSLATE(B18053, ""zh"", ""en"")"),"awesome! Usually with 37 yards, then to 4.5 very lightweight and comfortable fit, just on the feet feel a little hard soles, wear long Fortunately, affixed to the foot, in short, very good, no stores where third-tier cities, where cheaper than a cat, also"&amp;" members free shipping overseas value!")</f>
        <v>awesome! Usually with 37 yards, then to 4.5 very lightweight and comfortable fit, just on the feet feel a little hard soles, wear long Fortunately, affixed to the foot, in short, very good, no stores where third-tier cities, where cheaper than a cat, also members free shipping overseas value!</v>
      </c>
    </row>
    <row r="18054">
      <c r="A18054" s="1">
        <v>5.0</v>
      </c>
      <c r="B18054" s="1" t="s">
        <v>17831</v>
      </c>
      <c r="C18054" t="str">
        <f>IFERROR(__xludf.DUMMYFUNCTION("GOOGLETRANSLATE(B18054, ""zh"", ""en"")"),"Inexpensive worth having really like, and dress warmly in winter! ! Amazon's service is very good, after a long time and gave me back 21 yuan of tax! ! !")</f>
        <v>Inexpensive worth having really like, and dress warmly in winter! ! Amazon's service is very good, after a long time and gave me back 21 yuan of tax! ! !</v>
      </c>
    </row>
    <row r="18055">
      <c r="A18055" s="1">
        <v>5.0</v>
      </c>
      <c r="B18055" s="1" t="s">
        <v>17832</v>
      </c>
      <c r="C18055" t="str">
        <f>IFERROR(__xludf.DUMMYFUNCTION("GOOGLETRANSLATE(B18055, ""zh"", ""en"")"),"North like this one! No. 11🈷22 orders, 27 at hand, express speed like this one! Clothes are thin section, the fabric feels very delicate, big brands work very well! Quality did not say! I 175CM, 85 Gongjin, M code is appropriate, I hope to help other peo"&amp;"ple!")</f>
        <v>North like this one! No. 11🈷22 orders, 27 at hand, express speed like this one! Clothes are thin section, the fabric feels very delicate, big brands work very well! Quality did not say! I 175CM, 85 Gongjin, M code is appropriate, I hope to help other people!</v>
      </c>
    </row>
    <row r="18056">
      <c r="A18056" s="1">
        <v>5.0</v>
      </c>
      <c r="B18056" s="1" t="s">
        <v>17833</v>
      </c>
      <c r="C18056" t="str">
        <f>IFERROR(__xludf.DUMMYFUNCTION("GOOGLETRANSLATE(B18056, ""zh"", ""en"")"),"US and practical pot is heavy, thick texture, packed tight, no small flaws, bursting with color values, real materials.")</f>
        <v>US and practical pot is heavy, thick texture, packed tight, no small flaws, bursting with color values, real materials.</v>
      </c>
    </row>
    <row r="18057">
      <c r="A18057" s="1">
        <v>5.0</v>
      </c>
      <c r="B18057" s="1" t="s">
        <v>17834</v>
      </c>
      <c r="C18057" t="str">
        <f>IFERROR(__xludf.DUMMYFUNCTION("GOOGLETRANSLATE(B18057, ""zh"", ""en"")"),"Good product, price bargain price bargain, T-shirt + shorts a total of 129, to catch up with appropriate activities")</f>
        <v>Good product, price bargain price bargain, T-shirt + shorts a total of 129, to catch up with appropriate activities</v>
      </c>
    </row>
    <row r="18058">
      <c r="A18058" s="1">
        <v>5.0</v>
      </c>
      <c r="B18058" s="1" t="s">
        <v>17835</v>
      </c>
      <c r="C18058" t="str">
        <f>IFERROR(__xludf.DUMMYFUNCTION("GOOGLETRANSLATE(B18058, ""zh"", ""en"")"),"Good good quality feel and quality, waist and feet are thicker. But a little small than expected, to his son to wear, 😄")</f>
        <v>Good good quality feel and quality, waist and feet are thicker. But a little small than expected, to his son to wear, 😄</v>
      </c>
    </row>
    <row r="18059">
      <c r="A18059" s="1">
        <v>5.0</v>
      </c>
      <c r="B18059" s="1" t="s">
        <v>17836</v>
      </c>
      <c r="C18059" t="str">
        <f>IFERROR(__xludf.DUMMYFUNCTION("GOOGLETRANSLATE(B18059, ""zh"", ""en"")"),"Running very good movement")</f>
        <v>Running very good movement</v>
      </c>
    </row>
    <row r="18060">
      <c r="A18060" s="1">
        <v>5.0</v>
      </c>
      <c r="B18060" s="1" t="s">
        <v>17837</v>
      </c>
      <c r="C18060" t="str">
        <f>IFERROR(__xludf.DUMMYFUNCTION("GOOGLETRANSLATE(B18060, ""zh"", ""en"")"),"V-Moda M-100 evaluation I am a professional music producer and DJ, I think this is very good headphones, and listen to each band is very clear, I feel very comfortable")</f>
        <v>V-Moda M-100 evaluation I am a professional music producer and DJ, I think this is very good headphones, and listen to each band is very clear, I feel very comfortable</v>
      </c>
    </row>
    <row r="18061">
      <c r="A18061" s="1">
        <v>5.0</v>
      </c>
      <c r="B18061" s="1" t="s">
        <v>17838</v>
      </c>
      <c r="C18061" t="str">
        <f>IFERROR(__xludf.DUMMYFUNCTION("GOOGLETRANSLATE(B18061, ""zh"", ""en"")"),"No pressure no pressure, more comfortable, beautiful prices")</f>
        <v>No pressure no pressure, more comfortable, beautiful prices</v>
      </c>
    </row>
    <row r="18062">
      <c r="A18062" s="1">
        <v>5.0</v>
      </c>
      <c r="B18062" s="1" t="s">
        <v>17839</v>
      </c>
      <c r="C18062" t="str">
        <f>IFERROR(__xludf.DUMMYFUNCTION("GOOGLETRANSLATE(B18062, ""zh"", ""en"")"),"Good non-slip shoes, non-slip shoes is not very good")</f>
        <v>Good non-slip shoes, non-slip shoes is not very good</v>
      </c>
    </row>
    <row r="18063">
      <c r="A18063" s="1">
        <v>5.0</v>
      </c>
      <c r="B18063" s="1" t="s">
        <v>17840</v>
      </c>
      <c r="C18063" t="str">
        <f>IFERROR(__xludf.DUMMYFUNCTION("GOOGLETRANSLATE(B18063, ""zh"", ""en"")"),"The price is right, if not prime or buy it a little sister home")</f>
        <v>The price is right, if not prime or buy it a little sister home</v>
      </c>
    </row>
    <row r="18064">
      <c r="A18064" s="1">
        <v>5.0</v>
      </c>
      <c r="B18064" s="1" t="s">
        <v>17841</v>
      </c>
      <c r="C18064" t="str">
        <f>IFERROR(__xludf.DUMMYFUNCTION("GOOGLETRANSLATE(B18064, ""zh"", ""en"")"),"Good to buy his son, he likes")</f>
        <v>Good to buy his son, he likes</v>
      </c>
    </row>
    <row r="18065">
      <c r="A18065" s="1">
        <v>5.0</v>
      </c>
      <c r="B18065" s="1" t="s">
        <v>17842</v>
      </c>
      <c r="C18065" t="str">
        <f>IFERROR(__xludf.DUMMYFUNCTION("GOOGLETRANSLATE(B18065, ""zh"", ""en"")"),"Very cute good, silicone material, easy to clean. Feel smaller than the size of the picture. But more practical. But too bad")</f>
        <v>Very cute good, silicone material, easy to clean. Feel smaller than the size of the picture. But more practical. But too bad</v>
      </c>
    </row>
    <row r="18066">
      <c r="A18066" s="1">
        <v>5.0</v>
      </c>
      <c r="B18066" s="1" t="s">
        <v>17843</v>
      </c>
      <c r="C18066" t="str">
        <f>IFERROR(__xludf.DUMMYFUNCTION("GOOGLETRANSLATE(B18066, ""zh"", ""en"")"),"Good workmanship, the version fit 160CM, 48Kg, M number of very fit. Kind darker than the picture a little, very nice. Japanese version of the good work")</f>
        <v>Good workmanship, the version fit 160CM, 48Kg, M number of very fit. Kind darker than the picture a little, very nice. Japanese version of the good work</v>
      </c>
    </row>
    <row r="18067">
      <c r="A18067" s="1">
        <v>5.0</v>
      </c>
      <c r="B18067" s="1" t="s">
        <v>17844</v>
      </c>
      <c r="C18067" t="str">
        <f>IFERROR(__xludf.DUMMYFUNCTION("GOOGLETRANSLATE(B18067, ""zh"", ""en"")"),"Germany, easy to use than fly home for the first time with Braun, but also clean and fast")</f>
        <v>Germany, easy to use than fly home for the first time with Braun, but also clean and fast</v>
      </c>
    </row>
    <row r="18068">
      <c r="A18068" s="1">
        <v>5.0</v>
      </c>
      <c r="B18068" s="1" t="s">
        <v>17845</v>
      </c>
      <c r="C18068" t="str">
        <f>IFERROR(__xludf.DUMMYFUNCTION("GOOGLETRANSLATE(B18068, ""zh"", ""en"")"),"Royce, worth having 3.1 interface, speed, and 3.5-inch mobile hard disk unchanged, increased by 50% than before I used, praising, can no dark gray, silver too rosy, and no one else's evaluation so easy to cut hand Rice always trustworthy")</f>
        <v>Royce, worth having 3.1 interface, speed, and 3.5-inch mobile hard disk unchanged, increased by 50% than before I used, praising, can no dark gray, silver too rosy, and no one else's evaluation so easy to cut hand Rice always trustworthy</v>
      </c>
    </row>
    <row r="18069">
      <c r="A18069" s="1">
        <v>5.0</v>
      </c>
      <c r="B18069" s="1" t="s">
        <v>17846</v>
      </c>
      <c r="C18069" t="str">
        <f>IFERROR(__xludf.DUMMYFUNCTION("GOOGLETRANSLATE(B18069, ""zh"", ""en"")"),"In addition to price, other are good to buy 3.5 liters and 2.4 liters wrong to buy, put the office use is also good. Material feel more than made thick, the water is not easy to cover off.")</f>
        <v>In addition to price, other are good to buy 3.5 liters and 2.4 liters wrong to buy, put the office use is also good. Material feel more than made thick, the water is not easy to cover off.</v>
      </c>
    </row>
    <row r="18070">
      <c r="A18070" s="1">
        <v>5.0</v>
      </c>
      <c r="B18070" s="1" t="s">
        <v>17847</v>
      </c>
      <c r="C18070" t="str">
        <f>IFERROR(__xludf.DUMMYFUNCTION("GOOGLETRANSLATE(B18070, ""zh"", ""en"")"),"Big bucket! Unfortunately, there is no chocolate flavor.")</f>
        <v>Big bucket! Unfortunately, there is no chocolate flavor.</v>
      </c>
    </row>
    <row r="18071">
      <c r="A18071" s="1">
        <v>5.0</v>
      </c>
      <c r="B18071" s="1" t="s">
        <v>17848</v>
      </c>
      <c r="C18071" t="str">
        <f>IFERROR(__xludf.DUMMYFUNCTION("GOOGLETRANSLATE(B18071, ""zh"", ""en"")"),"Cost-effective'm the right price is very appropriate, with big power, may indeed not as good as expected due 220V air volume, 360 start")</f>
        <v>Cost-effective'm the right price is very appropriate, with big power, may indeed not as good as expected due 220V air volume, 360 start</v>
      </c>
    </row>
    <row r="18072">
      <c r="A18072" s="1">
        <v>5.0</v>
      </c>
      <c r="B18072" s="1" t="s">
        <v>17849</v>
      </c>
      <c r="C18072" t="str">
        <f>IFERROR(__xludf.DUMMYFUNCTION("GOOGLETRANSLATE(B18072, ""zh"", ""en"")"),"Water fairly thick haha. Pen than before, a lot of rough, before using the F45 Tupper's. Feel, this obviously heavy than the Paramount. German goods thing. Of course, the inside of the rotation, I like, the first time, fresh ah. A lot of water, so write o"&amp;"ut the word thick, each sum is very thick.")</f>
        <v>Water fairly thick haha. Pen than before, a lot of rough, before using the F45 Tupper's. Feel, this obviously heavy than the Paramount. German goods thing. Of course, the inside of the rotation, I like, the first time, fresh ah. A lot of water, so write out the word thick, each sum is very thick.</v>
      </c>
    </row>
    <row r="18073">
      <c r="A18073" s="1">
        <v>2.0</v>
      </c>
      <c r="B18073" s="1" t="s">
        <v>17850</v>
      </c>
      <c r="C18073" t="str">
        <f>IFERROR(__xludf.DUMMYFUNCTION("GOOGLETRANSLATE(B18073, ""zh"", ""en"")"),"When the lid is not tight receive, there is no packaging a cup, lid is not good design, a baby just to get loosened up,")</f>
        <v>When the lid is not tight receive, there is no packaging a cup, lid is not good design, a baby just to get loosened up,</v>
      </c>
    </row>
    <row r="18074">
      <c r="A18074" s="1">
        <v>3.0</v>
      </c>
      <c r="B18074" s="1" t="s">
        <v>17851</v>
      </c>
      <c r="C18074" t="str">
        <f>IFERROR(__xludf.DUMMYFUNCTION("GOOGLETRANSLATE(B18074, ""zh"", ""en"")"),"Relatively thick, plastic housing. Thicker than expected in the lot, and the shell is plastic.")</f>
        <v>Relatively thick, plastic housing. Thicker than expected in the lot, and the shell is plastic.</v>
      </c>
    </row>
    <row r="18075">
      <c r="A18075" s="1">
        <v>3.0</v>
      </c>
      <c r="B18075" s="1" t="s">
        <v>17852</v>
      </c>
      <c r="C18075" t="str">
        <f>IFERROR(__xludf.DUMMYFUNCTION("GOOGLETRANSLATE(B18075, ""zh"", ""en"")"),"Some of the small size of my height 172cm weight 69kg recommended to buy m")</f>
        <v>Some of the small size of my height 172cm weight 69kg recommended to buy m</v>
      </c>
    </row>
    <row r="18076">
      <c r="A18076" s="1">
        <v>3.0</v>
      </c>
      <c r="B18076" s="1" t="s">
        <v>17853</v>
      </c>
      <c r="C18076" t="str">
        <f>IFERROR(__xludf.DUMMYFUNCTION("GOOGLETRANSLATE(B18076, ""zh"", ""en"")"),"Do not know, did not eat do not know what is genuine, I just feel quite vague, packed bad, said to be second-hand bottle stickers advertising paper is not an exaggeration; but just felt uncomfortable watching. . . Maybe this way instead.")</f>
        <v>Do not know, did not eat do not know what is genuine, I just feel quite vague, packed bad, said to be second-hand bottle stickers advertising paper is not an exaggeration; but just felt uncomfortable watching. . . Maybe this way instead.</v>
      </c>
    </row>
    <row r="18077">
      <c r="A18077" s="1">
        <v>1.0</v>
      </c>
      <c r="B18077" s="1" t="s">
        <v>17854</v>
      </c>
      <c r="C18077" t="str">
        <f>IFERROR(__xludf.DUMMYFUNCTION("GOOGLETRANSLATE(B18077, ""zh"", ""en"")"),"Serious interference on the equilibrium line, voice and background noise is acceptable. But anti-interference ability is poor, unable to adapt to my desktop environment. Put the computer on the table always appear beeps and pieces of high-frequency, can n"&amp;"ot stand, eat ashes. Users can not solve their own desktops interference, buy carefully.")</f>
        <v>Serious interference on the equilibrium line, voice and background noise is acceptable. But anti-interference ability is poor, unable to adapt to my desktop environment. Put the computer on the table always appear beeps and pieces of high-frequency, can not stand, eat ashes. Users can not solve their own desktops interference, buy carefully.</v>
      </c>
    </row>
    <row r="18078">
      <c r="A18078" s="1">
        <v>1.0</v>
      </c>
      <c r="B18078" s="1" t="s">
        <v>17855</v>
      </c>
      <c r="C18078" t="str">
        <f>IFERROR(__xludf.DUMMYFUNCTION("GOOGLETRANSLATE(B18078, ""zh"", ""en"")"),"Poor work is not cotton, very general quality of particularly thin ...")</f>
        <v>Poor work is not cotton, very general quality of particularly thin ...</v>
      </c>
    </row>
    <row r="18079">
      <c r="A18079" s="1">
        <v>4.0</v>
      </c>
      <c r="B18079" s="1" t="s">
        <v>17856</v>
      </c>
      <c r="C18079" t="str">
        <f>IFERROR(__xludf.DUMMYFUNCTION("GOOGLETRANSLATE(B18079, ""zh"", ""en"")"),"Not enough depth else is good, is not enough depth, then deep point just fine.")</f>
        <v>Not enough depth else is good, is not enough depth, then deep point just fine.</v>
      </c>
    </row>
    <row r="18080">
      <c r="A18080" s="1">
        <v>4.0</v>
      </c>
      <c r="B18080" s="1" t="s">
        <v>17857</v>
      </c>
      <c r="C18080" t="str">
        <f>IFERROR(__xludf.DUMMYFUNCTION("GOOGLETRANSLATE(B18080, ""zh"", ""en"")"),"The goods are not fit to buy the same 32 * 32 of the same size is significantly wider than the last much longer, and significantly larger, considering the distance it will forget.")</f>
        <v>The goods are not fit to buy the same 32 * 32 of the same size is significantly wider than the last much longer, and significantly larger, considering the distance it will forget.</v>
      </c>
    </row>
    <row r="18081">
      <c r="A18081" s="1">
        <v>4.0</v>
      </c>
      <c r="B18081" s="1" t="s">
        <v>17858</v>
      </c>
      <c r="C18081" t="str">
        <f>IFERROR(__xludf.DUMMYFUNCTION("GOOGLETRANSLATE(B18081, ""zh"", ""en"")"),"Not how to use the third trimester to buy, to spend after feeling fetal movement will not dare to again reduce the")</f>
        <v>Not how to use the third trimester to buy, to spend after feeling fetal movement will not dare to again reduce the</v>
      </c>
    </row>
    <row r="18082">
      <c r="A18082" s="1">
        <v>4.0</v>
      </c>
      <c r="B18082" s="1" t="s">
        <v>17859</v>
      </c>
      <c r="C18082" t="str">
        <f>IFERROR(__xludf.DUMMYFUNCTION("GOOGLETRANSLATE(B18082, ""zh"", ""en"")"),"Thin size selected prospective comparison, 175 / 80KG election 32W / 30L, pants good, is very thin, I do not know how long it can sustain")</f>
        <v>Thin size selected prospective comparison, 175 / 80KG election 32W / 30L, pants good, is very thin, I do not know how long it can sustain</v>
      </c>
    </row>
    <row r="18083">
      <c r="A18083" s="1">
        <v>5.0</v>
      </c>
      <c r="B18083" s="1" t="s">
        <v>17860</v>
      </c>
      <c r="C18083" t="str">
        <f>IFERROR(__xludf.DUMMYFUNCTION("GOOGLETRANSLATE(B18083, ""zh"", ""en"")"),"A little long, too thin! A little long, too thin!")</f>
        <v>A little long, too thin! A little long, too thin!</v>
      </c>
    </row>
    <row r="18084">
      <c r="A18084" s="1">
        <v>5.0</v>
      </c>
      <c r="B18084" s="1" t="s">
        <v>17861</v>
      </c>
      <c r="C18084" t="str">
        <f>IFERROR(__xludf.DUMMYFUNCTION("GOOGLETRANSLATE(B18084, ""zh"", ""en"")"),"Necessary funds five days of arrival and reasonable price. More difficult to clean.")</f>
        <v>Necessary funds five days of arrival and reasonable price. More difficult to clean.</v>
      </c>
    </row>
    <row r="18085">
      <c r="A18085" s="1">
        <v>5.0</v>
      </c>
      <c r="B18085" s="1" t="s">
        <v>17862</v>
      </c>
      <c r="C18085" t="str">
        <f>IFERROR(__xludf.DUMMYFUNCTION("GOOGLETRANSLATE(B18085, ""zh"", ""en"")"),"Like well-designed clothes are comfortable and easy to use is also very good thank you")</f>
        <v>Like well-designed clothes are comfortable and easy to use is also very good thank you</v>
      </c>
    </row>
    <row r="18086">
      <c r="A18086" s="1">
        <v>5.0</v>
      </c>
      <c r="B18086" s="1" t="s">
        <v>17863</v>
      </c>
      <c r="C18086" t="str">
        <f>IFERROR(__xludf.DUMMYFUNCTION("GOOGLETRANSLATE(B18086, ""zh"", ""en"")"),"Very nice very nice, 172,70kg, s fit")</f>
        <v>Very nice very nice, 172,70kg, s fit</v>
      </c>
    </row>
    <row r="18087">
      <c r="A18087" s="1">
        <v>5.0</v>
      </c>
      <c r="B18087" s="1" t="s">
        <v>17864</v>
      </c>
      <c r="C18087" t="str">
        <f>IFERROR(__xludf.DUMMYFUNCTION("GOOGLETRANSLATE(B18087, ""zh"", ""en"")"),"Fabrics treated well this brand of underwear is better than domestic products too, there is the size of the Japanese brand consistency groups to maintain good")</f>
        <v>Fabrics treated well this brand of underwear is better than domestic products too, there is the size of the Japanese brand consistency groups to maintain good</v>
      </c>
    </row>
    <row r="18088">
      <c r="A18088" s="1">
        <v>5.0</v>
      </c>
      <c r="B18088" s="1" t="s">
        <v>17865</v>
      </c>
      <c r="C18088" t="str">
        <f>IFERROR(__xludf.DUMMYFUNCTION("GOOGLETRANSLATE(B18088, ""zh"", ""en"")"),"Suitable bought two pairs, 41 and 42, half my usual 41, 42 never too big, his father bought, very fit, size 41 are too fat, very satisfied, worthy of a classic. AIU is packing more and more simple, and direct a plastic bag filled shoe box, you receive the"&amp;" box has pulpy, and good shoes no problem.")</f>
        <v>Suitable bought two pairs, 41 and 42, half my usual 41, 42 never too big, his father bought, very fit, size 41 are too fat, very satisfied, worthy of a classic. AIU is packing more and more simple, and direct a plastic bag filled shoe box, you receive the box has pulpy, and good shoes no problem.</v>
      </c>
    </row>
    <row r="18089">
      <c r="A18089" s="1">
        <v>5.0</v>
      </c>
      <c r="B18089" s="1" t="s">
        <v>17866</v>
      </c>
      <c r="C18089" t="str">
        <f>IFERROR(__xludf.DUMMYFUNCTION("GOOGLETRANSLATE(B18089, ""zh"", ""en"")"),"Cost-effective sound like a very pure natural spring water after listening to more than two hundred hours will be clearer, especially bass")</f>
        <v>Cost-effective sound like a very pure natural spring water after listening to more than two hundred hours will be clearer, especially bass</v>
      </c>
    </row>
    <row r="18090">
      <c r="A18090" s="1">
        <v>5.0</v>
      </c>
      <c r="B18090" s="1" t="s">
        <v>17867</v>
      </c>
      <c r="C18090" t="str">
        <f>IFERROR(__xludf.DUMMYFUNCTION("GOOGLETRANSLATE(B18090, ""zh"", ""en"")"),"Jeans Pants a little bit short")</f>
        <v>Jeans Pants a little bit short</v>
      </c>
    </row>
    <row r="18091">
      <c r="A18091" s="1">
        <v>5.0</v>
      </c>
      <c r="B18091" s="1" t="s">
        <v>17868</v>
      </c>
      <c r="C18091" t="str">
        <f>IFERROR(__xludf.DUMMYFUNCTION("GOOGLETRANSLATE(B18091, ""zh"", ""en"")"),"Shoes are very appropriate, just the right size for foot thin people. Other brands usually wear slightly squeeze shoes 36, 37 of the big. 36 just this pair.")</f>
        <v>Shoes are very appropriate, just the right size for foot thin people. Other brands usually wear slightly squeeze shoes 36, 37 of the big. 36 just this pair.</v>
      </c>
    </row>
    <row r="18092">
      <c r="A18092" s="1">
        <v>5.0</v>
      </c>
      <c r="B18092" s="1" t="s">
        <v>17869</v>
      </c>
      <c r="C18092" t="str">
        <f>IFERROR(__xludf.DUMMYFUNCTION("GOOGLETRANSLATE(B18092, ""zh"", ""en"")"),"Suitable 170CM 68KG very fit, a little belly bulge can not see.")</f>
        <v>Suitable 170CM 68KG very fit, a little belly bulge can not see.</v>
      </c>
    </row>
    <row r="18093">
      <c r="A18093" s="1">
        <v>5.0</v>
      </c>
      <c r="B18093" s="1" t="s">
        <v>17870</v>
      </c>
      <c r="C18093" t="str">
        <f>IFERROR(__xludf.DUMMYFUNCTION("GOOGLETRANSLATE(B18093, ""zh"", ""en"")"),"Cheap, domestic exports. Powerful, strong sense of shock, so use a little buzz, of course, it would not be a problem. Before he bought one, this is domestic exports, the price is very good. Give old father, I hope he likes.")</f>
        <v>Cheap, domestic exports. Powerful, strong sense of shock, so use a little buzz, of course, it would not be a problem. Before he bought one, this is domestic exports, the price is very good. Give old father, I hope he likes.</v>
      </c>
    </row>
    <row r="18094">
      <c r="A18094" s="1">
        <v>5.0</v>
      </c>
      <c r="B18094" s="1" t="s">
        <v>17871</v>
      </c>
      <c r="C18094" t="str">
        <f>IFERROR(__xludf.DUMMYFUNCTION("GOOGLETRANSLATE(B18094, ""zh"", ""en"")"),"Thin, clean, very much like thin, clean, very much, for some of the boys wrist fine")</f>
        <v>Thin, clean, very much like thin, clean, very much, for some of the boys wrist fine</v>
      </c>
    </row>
    <row r="18095">
      <c r="A18095" s="1">
        <v>5.0</v>
      </c>
      <c r="B18095" s="1" t="s">
        <v>17872</v>
      </c>
      <c r="C18095" t="str">
        <f>IFERROR(__xludf.DUMMYFUNCTION("GOOGLETRANSLATE(B18095, ""zh"", ""en"")"),"265 feet long is also good, goods to worry about the feet, put on just being discovered.")</f>
        <v>265 feet long is also good, goods to worry about the feet, put on just being discovered.</v>
      </c>
    </row>
    <row r="18096">
      <c r="A18096" s="1">
        <v>5.0</v>
      </c>
      <c r="B18096" s="1" t="s">
        <v>17873</v>
      </c>
      <c r="C18096" t="str">
        <f>IFERROR(__xludf.DUMMYFUNCTION("GOOGLETRANSLATE(B18096, ""zh"", ""en"")"),"Quality guaranteed, affordable Holland factory, at least in quality and security, adequate power after charged. About the same price and a treasure, but at least true ah, looking at a treasure mostly fakes.")</f>
        <v>Quality guaranteed, affordable Holland factory, at least in quality and security, adequate power after charged. About the same price and a treasure, but at least true ah, looking at a treasure mostly fakes.</v>
      </c>
    </row>
    <row r="18097">
      <c r="A18097" s="1">
        <v>5.0</v>
      </c>
      <c r="B18097" s="1" t="s">
        <v>17874</v>
      </c>
      <c r="C18097" t="str">
        <f>IFERROR(__xludf.DUMMYFUNCTION("GOOGLETRANSLATE(B18097, ""zh"", ""en"")"),"Nice T-shirt T-shirt itself is too reactive, packaging is open or has a relatively heavy taste, first wash wear.")</f>
        <v>Nice T-shirt T-shirt itself is too reactive, packaging is open or has a relatively heavy taste, first wash wear.</v>
      </c>
    </row>
    <row r="18098">
      <c r="A18098" s="1">
        <v>5.0</v>
      </c>
      <c r="B18098" s="1" t="s">
        <v>17875</v>
      </c>
      <c r="C18098" t="str">
        <f>IFERROR(__xludf.DUMMYFUNCTION("GOOGLETRANSLATE(B18098, ""zh"", ""en"")"),"I am a little bit short 174,76KG, bought a 34w 30l, just waist, trousers right size but a little short, just the kind of shoes to short, I like a little accumulation of trousers.")</f>
        <v>I am a little bit short 174,76KG, bought a 34w 30l, just waist, trousers right size but a little short, just the kind of shoes to short, I like a little accumulation of trousers.</v>
      </c>
    </row>
    <row r="18099">
      <c r="A18099" s="1">
        <v>5.0</v>
      </c>
      <c r="B18099" s="1" t="s">
        <v>17876</v>
      </c>
      <c r="C18099" t="str">
        <f>IFERROR(__xludf.DUMMYFUNCTION("GOOGLETRANSLATE(B18099, ""zh"", ""en"")"),"It can be well dressed, do not evaluate from before, I do not know how many wasted points, points can change money now know, they should look carefully evaluated, then I put these words to copy to go, both to earn points, but also save time, copy where th"&amp;"ey go, the most important thing is, do not seriously review, do not think how much worse word, sent directly to it, recommend it to everyone! !")</f>
        <v>It can be well dressed, do not evaluate from before, I do not know how many wasted points, points can change money now know, they should look carefully evaluated, then I put these words to copy to go, both to earn points, but also save time, copy where they go, the most important thing is, do not seriously review, do not think how much worse word, sent directly to it, recommend it to everyone! !</v>
      </c>
    </row>
    <row r="18100">
      <c r="A18100" s="1">
        <v>5.0</v>
      </c>
      <c r="B18100" s="1" t="s">
        <v>17877</v>
      </c>
      <c r="C18100" t="str">
        <f>IFERROR(__xludf.DUMMYFUNCTION("GOOGLETRANSLATE(B18100, ""zh"", ""en"")"),"Very good family history storage center looked a little worried comments received second-hand goods, after the hand test results are 0 new electricity, is running after a lapse of a few seconds is ""Koehler"" sound, data propagation velocity can reach mor"&amp;"e than 200 m / sec")</f>
        <v>Very good family history storage center looked a little worried comments received second-hand goods, after the hand test results are 0 new electricity, is running after a lapse of a few seconds is "Koehler" sound, data propagation velocity can reach more than 200 m / sec</v>
      </c>
    </row>
    <row r="18101">
      <c r="A18101" s="1">
        <v>5.0</v>
      </c>
      <c r="B18101" s="1" t="s">
        <v>17878</v>
      </c>
      <c r="C18101" t="str">
        <f>IFERROR(__xludf.DUMMYFUNCTION("GOOGLETRANSLATE(B18101, ""zh"", ""en"")"),"Well satisfied with transport packaging, removable and easy to clean. Filled with soup morning, noon or hot.")</f>
        <v>Well satisfied with transport packaging, removable and easy to clean. Filled with soup morning, noon or hot.</v>
      </c>
    </row>
    <row r="18102">
      <c r="A18102" s="1">
        <v>5.0</v>
      </c>
      <c r="B18102" s="1" t="s">
        <v>17879</v>
      </c>
      <c r="C18102" t="str">
        <f>IFERROR(__xludf.DUMMYFUNCTION("GOOGLETRANSLATE(B18102, ""zh"", ""en"")"),"Express is to wind up trash watch good, looks good, very light, very accurate travel time. Husband directly put under the faucet with punch, right. but. Wind up too express pit. Not long delivery, after reminders, but also directly into the state has sign"&amp;"ed for. After three days later he sent me.")</f>
        <v>Express is to wind up trash watch good, looks good, very light, very accurate travel time. Husband directly put under the faucet with punch, right. but. Wind up too express pit. Not long delivery, after reminders, but also directly into the state has signed for. After three days later he sent me.</v>
      </c>
    </row>
    <row r="18103">
      <c r="A18103" s="1">
        <v>5.0</v>
      </c>
      <c r="B18103" s="1" t="s">
        <v>17880</v>
      </c>
      <c r="C18103" t="str">
        <f>IFERROR(__xludf.DUMMYFUNCTION("GOOGLETRANSLATE(B18103, ""zh"", ""en"")"),"The 4010 strong push really super good, wear feel to wear, but also the very type, wearing clothes a little tight point no problem. 80b through suitable number l")</f>
        <v>The 4010 strong push really super good, wear feel to wear, but also the very type, wearing clothes a little tight point no problem. 80b through suitable number l</v>
      </c>
    </row>
    <row r="18104">
      <c r="A18104" s="1">
        <v>2.0</v>
      </c>
      <c r="B18104" s="1" t="s">
        <v>17881</v>
      </c>
      <c r="C18104" t="str">
        <f>IFERROR(__xludf.DUMMYFUNCTION("GOOGLETRANSLATE(B18104, ""zh"", ""en"")"),"Not fine workmanship, made in China, not imported does not work fine, made in China, not imported, the price is too expensive, less value")</f>
        <v>Not fine workmanship, made in China, not imported does not work fine, made in China, not imported, the price is too expensive, less value</v>
      </c>
    </row>
    <row r="18105">
      <c r="A18105" s="1">
        <v>3.0</v>
      </c>
      <c r="B18105" s="1" t="s">
        <v>17882</v>
      </c>
      <c r="C18105" t="str">
        <f>IFERROR(__xludf.DUMMYFUNCTION("GOOGLETRANSLATE(B18105, ""zh"", ""en"")"),"Shoebox serious damage good shoes, shoebox serious damage")</f>
        <v>Shoebox serious damage good shoes, shoebox serious damage</v>
      </c>
    </row>
    <row r="18106">
      <c r="A18106" s="1">
        <v>3.0</v>
      </c>
      <c r="B18106" s="1" t="s">
        <v>17883</v>
      </c>
      <c r="C18106" t="str">
        <f>IFERROR(__xludf.DUMMYFUNCTION("GOOGLETRANSLATE(B18106, ""zh"", ""en"")"),"Suitable length, normal waist size is too large may be selected from the usual pants, the waist is preferably selected from a small one yard")</f>
        <v>Suitable length, normal waist size is too large may be selected from the usual pants, the waist is preferably selected from a small one yard</v>
      </c>
    </row>
    <row r="18107">
      <c r="A18107" s="1">
        <v>1.0</v>
      </c>
      <c r="B18107" s="1" t="s">
        <v>17884</v>
      </c>
      <c r="C18107" t="str">
        <f>IFERROR(__xludf.DUMMYFUNCTION("GOOGLETRANSLATE(B18107, ""zh"", ""en"")"),"This quality, high imitation is suspected of not wearing two months, on this same again. Puma said the official after-sale find Amazon, Amazon said that within a month to change over time to look for the official sale. Do not suggest that you start with!")</f>
        <v>This quality, high imitation is suspected of not wearing two months, on this same again. Puma said the official after-sale find Amazon, Amazon said that within a month to change over time to look for the official sale. Do not suggest that you start with!</v>
      </c>
    </row>
    <row r="18108">
      <c r="A18108" s="1">
        <v>1.0</v>
      </c>
      <c r="B18108" s="1" t="s">
        <v>17885</v>
      </c>
      <c r="C18108" t="str">
        <f>IFERROR(__xludf.DUMMYFUNCTION("GOOGLETRANSLATE(B18108, ""zh"", ""en"")"),"Too pit and does not match the actual goods, false price. 😳")</f>
        <v>Too pit and does not match the actual goods, false price. 😳</v>
      </c>
    </row>
    <row r="18109">
      <c r="A18109" s="1">
        <v>4.0</v>
      </c>
      <c r="B18109" s="1" t="s">
        <v>17886</v>
      </c>
      <c r="C18109" t="str">
        <f>IFERROR(__xludf.DUMMYFUNCTION("GOOGLETRANSLATE(B18109, ""zh"", ""en"")"),"You pay it is indeed cotton, a look at the degree of combing, people understand what you pay for, ha ha, not worth the wait.")</f>
        <v>You pay it is indeed cotton, a look at the degree of combing, people understand what you pay for, ha ha, not worth the wait.</v>
      </c>
    </row>
    <row r="18110">
      <c r="A18110" s="1">
        <v>4.0</v>
      </c>
      <c r="B18110" s="1" t="s">
        <v>17887</v>
      </c>
      <c r="C18110" t="str">
        <f>IFERROR(__xludf.DUMMYFUNCTION("GOOGLETRANSLATE(B18110, ""zh"", ""en"")"),"Why buy packaging is not the same as on the Amazon and Hong Kong to buy such a big difference on the barrel shape, and the production date printed are not the same, who can tell me why")</f>
        <v>Why buy packaging is not the same as on the Amazon and Hong Kong to buy such a big difference on the barrel shape, and the production date printed are not the same, who can tell me why</v>
      </c>
    </row>
    <row r="18111">
      <c r="A18111" s="1">
        <v>4.0</v>
      </c>
      <c r="B18111" s="1" t="s">
        <v>17888</v>
      </c>
      <c r="C18111" t="str">
        <f>IFERROR(__xludf.DUMMYFUNCTION("GOOGLETRANSLATE(B18111, ""zh"", ""en"")"),"Fiddle day, and finally through the &lt;div id = ""video-block-R28N3UZXO4CG7L"" class = ""a-section a-spacing-small a-spacing-top-mini video-block""&gt; &lt;/ div&gt; &lt;input type = "" hidden ""name ="" ""value ="" https://images-cn.ssl-images-amazon.com/images/I/91uD"&amp;"LyYpUBS.mp4 ""class ="" video-url ""&gt; &lt;input type ="" hidden ""name = """" value = ""https://images-cn.ssl-images-amazon.com/images/I/91YVd23pCgS.png"" class = ""video-slate-img-url""&gt; &amp; nbsp; received the goods found inside gifts: six capsules, see comme"&amp;"ntary said no gifts, so happy for them. Now the machine is plugged in ready to use it, ""sad reminder"" is not even water, contact Amazon customer service to a krups China sales calls, it did not get through. Later, through a cat learned should be to cont"&amp;"act Nestle sale, but after contact with warm water ways, depending on solve the problem. During the poke with a toothpick before, even in front of the inlet air blowing force and other means, but all in vain. Finally, remove the water tank, take out the f"&amp;"ilter, add water inlet directly to try, once, twice ....., feeling, and finally completely through. Poorly designed, too tortured people!")</f>
        <v>Fiddle day, and finally through the &lt;div id = "video-block-R28N3UZXO4CG7L" class = "a-section a-spacing-small a-spacing-top-mini video-block"&gt; &lt;/ div&gt; &lt;input type = " hidden "name =" "value =" https://images-cn.ssl-images-amazon.com/images/I/91uDLyYpUBS.mp4 "class =" video-url "&gt; &lt;input type =" hidden "name = "" value = "https://images-cn.ssl-images-amazon.com/images/I/91YVd23pCgS.png" class = "video-slate-img-url"&gt; &amp; nbsp; received the goods found inside gifts: six capsules, see commentary said no gifts, so happy for them. Now the machine is plugged in ready to use it, "sad reminder" is not even water, contact Amazon customer service to a krups China sales calls, it did not get through. Later, through a cat learned should be to contact Nestle sale, but after contact with warm water ways, depending on solve the problem. During the poke with a toothpick before, even in front of the inlet air blowing force and other means, but all in vain. Finally, remove the water tank, take out the filter, add water inlet directly to try, once, twice ....., feeling, and finally completely through. Poorly designed, too tortured people!</v>
      </c>
    </row>
    <row r="18112">
      <c r="A18112" s="1">
        <v>4.0</v>
      </c>
      <c r="B18112" s="1" t="s">
        <v>17889</v>
      </c>
      <c r="C18112" t="str">
        <f>IFERROR(__xludf.DUMMYFUNCTION("GOOGLETRANSLATE(B18112, ""zh"", ""en"")"),"Wearing a little uncomfortable style is very good, color is also very beautiful, but a little heel foot wear, shoes narrower than thought")</f>
        <v>Wearing a little uncomfortable style is very good, color is also very beautiful, but a little heel foot wear, shoes narrower than thought</v>
      </c>
    </row>
    <row r="18113">
      <c r="A18113" s="1">
        <v>4.0</v>
      </c>
      <c r="B18113" s="1" t="s">
        <v>17890</v>
      </c>
      <c r="C18113" t="str">
        <f>IFERROR(__xludf.DUMMYFUNCTION("GOOGLETRANSLATE(B18113, ""zh"", ""en"")"),"There was okay although the store to buy the difference, feel stiffer, almost elastic, but can wear.")</f>
        <v>There was okay although the store to buy the difference, feel stiffer, almost elastic, but can wear.</v>
      </c>
    </row>
    <row r="18114">
      <c r="A18114" s="1">
        <v>5.0</v>
      </c>
      <c r="B18114" s="1" t="s">
        <v>17891</v>
      </c>
      <c r="C18114" t="str">
        <f>IFERROR(__xludf.DUMMYFUNCTION("GOOGLETRANSLATE(B18114, ""zh"", ""en"")"),"Well right length, quality is also very good.")</f>
        <v>Well right length, quality is also very good.</v>
      </c>
    </row>
    <row r="18115">
      <c r="A18115" s="1">
        <v>5.0</v>
      </c>
      <c r="B18115" s="1" t="s">
        <v>17892</v>
      </c>
      <c r="C18115" t="str">
        <f>IFERROR(__xludf.DUMMYFUNCTION("GOOGLETRANSLATE(B18115, ""zh"", ""en"")"),"Or the most easily with a Parker pen from high school when he dreamed of owning a Parker pen, and now almost all received the full series, ah, is a kind of a feeling.")</f>
        <v>Or the most easily with a Parker pen from high school when he dreamed of owning a Parker pen, and now almost all received the full series, ah, is a kind of a feeling.</v>
      </c>
    </row>
    <row r="18116">
      <c r="A18116" s="1">
        <v>5.0</v>
      </c>
      <c r="B18116" s="1" t="s">
        <v>17893</v>
      </c>
      <c r="C18116" t="str">
        <f>IFERROR(__xludf.DUMMYFUNCTION("GOOGLETRANSLATE(B18116, ""zh"", ""en"")"),"Durable, stylish, compact materials and workmanship not very good, a lot of functional design destined to be a very useful bag. Green is simply good read, leisure suits can manage.")</f>
        <v>Durable, stylish, compact materials and workmanship not very good, a lot of functional design destined to be a very useful bag. Green is simply good read, leisure suits can manage.</v>
      </c>
    </row>
    <row r="18117">
      <c r="A18117" s="1">
        <v>5.0</v>
      </c>
      <c r="B18117" s="1" t="s">
        <v>17894</v>
      </c>
      <c r="C18117" t="str">
        <f>IFERROR(__xludf.DUMMYFUNCTION("GOOGLETRANSLATE(B18117, ""zh"", ""en"")"),"What can the fabric can be, color and pictures almost")</f>
        <v>What can the fabric can be, color and pictures almost</v>
      </c>
    </row>
    <row r="18118">
      <c r="A18118" s="1">
        <v>5.0</v>
      </c>
      <c r="B18118" s="1" t="s">
        <v>17895</v>
      </c>
      <c r="C18118" t="str">
        <f>IFERROR(__xludf.DUMMYFUNCTION("GOOGLETRANSLATE(B18118, ""zh"", ""en"")"),"Very good to give as gifts to buy a good bottle of")</f>
        <v>Very good to give as gifts to buy a good bottle of</v>
      </c>
    </row>
    <row r="18119">
      <c r="A18119" s="1">
        <v>5.0</v>
      </c>
      <c r="B18119" s="1" t="s">
        <v>17896</v>
      </c>
      <c r="C18119" t="str">
        <f>IFERROR(__xludf.DUMMYFUNCTION("GOOGLETRANSLATE(B18119, ""zh"", ""en"")"),"Good coffee beans cost-effective, cost-effective ah.")</f>
        <v>Good coffee beans cost-effective, cost-effective ah.</v>
      </c>
    </row>
    <row r="18120">
      <c r="A18120" s="1">
        <v>5.0</v>
      </c>
      <c r="B18120" s="1" t="s">
        <v>17897</v>
      </c>
      <c r="C18120" t="str">
        <f>IFERROR(__xludf.DUMMYFUNCTION("GOOGLETRANSLATE(B18120, ""zh"", ""en"")"),"Convenient and easy to use nuclear family model is suitable for 750pro this one!")</f>
        <v>Convenient and easy to use nuclear family model is suitable for 750pro this one!</v>
      </c>
    </row>
    <row r="18121">
      <c r="A18121" s="1">
        <v>5.0</v>
      </c>
      <c r="B18121" s="1" t="s">
        <v>17898</v>
      </c>
      <c r="C18121" t="str">
        <f>IFERROR(__xludf.DUMMYFUNCTION("GOOGLETRANSLATE(B18121, ""zh"", ""en"")"),"With two good buy goods")</f>
        <v>With two good buy goods</v>
      </c>
    </row>
    <row r="18122">
      <c r="A18122" s="1">
        <v>5.0</v>
      </c>
      <c r="B18122" s="1" t="s">
        <v>17899</v>
      </c>
      <c r="C18122" t="str">
        <f>IFERROR(__xludf.DUMMYFUNCTION("GOOGLETRANSLATE(B18122, ""zh"", ""en"")"),"Size is just the right size, like, make it cheaper even more okay")</f>
        <v>Size is just the right size, like, make it cheaper even more okay</v>
      </c>
    </row>
    <row r="18123">
      <c r="A18123" s="1">
        <v>5.0</v>
      </c>
      <c r="B18123" s="1" t="s">
        <v>17900</v>
      </c>
      <c r="C18123" t="str">
        <f>IFERROR(__xludf.DUMMYFUNCTION("GOOGLETRANSLATE(B18123, ""zh"", ""en"")"),"Olive green bottle looks beautiful, good workmanship, very strong retro flavor. like very much.")</f>
        <v>Olive green bottle looks beautiful, good workmanship, very strong retro flavor. like very much.</v>
      </c>
    </row>
    <row r="18124">
      <c r="A18124" s="1">
        <v>5.0</v>
      </c>
      <c r="B18124" s="1" t="s">
        <v>17901</v>
      </c>
      <c r="C18124" t="str">
        <f>IFERROR(__xludf.DUMMYFUNCTION("GOOGLETRANSLATE(B18124, ""zh"", ""en"")"),"Genuine date is very fresh, very big bottle of ah, I believe, the US Amazon.")</f>
        <v>Genuine date is very fresh, very big bottle of ah, I believe, the US Amazon.</v>
      </c>
    </row>
    <row r="18125">
      <c r="A18125" s="1">
        <v>5.0</v>
      </c>
      <c r="B18125" s="1" t="s">
        <v>17902</v>
      </c>
      <c r="C18125" t="str">
        <f>IFERROR(__xludf.DUMMYFUNCTION("GOOGLETRANSLATE(B18125, ""zh"", ""en"")"),"Texture is very comfortable just in the summer, just the thickness, very good 👍")</f>
        <v>Texture is very comfortable just in the summer, just the thickness, very good 👍</v>
      </c>
    </row>
    <row r="18126">
      <c r="A18126" s="1">
        <v>5.0</v>
      </c>
      <c r="B18126" s="1" t="s">
        <v>17903</v>
      </c>
      <c r="C18126" t="str">
        <f>IFERROR(__xludf.DUMMYFUNCTION("GOOGLETRANSLATE(B18126, ""zh"", ""en"")"),"Well, kids love to eat, eat and buy very good, kids love to eat, eat and buy")</f>
        <v>Well, kids love to eat, eat and buy very good, kids love to eat, eat and buy</v>
      </c>
    </row>
    <row r="18127">
      <c r="A18127" s="1">
        <v>5.0</v>
      </c>
      <c r="B18127" s="1" t="s">
        <v>17904</v>
      </c>
      <c r="C18127" t="str">
        <f>IFERROR(__xludf.DUMMYFUNCTION("GOOGLETRANSLATE(B18127, ""zh"", ""en"")"),"Good quality shoes my feet 43, wearing just 10M, some hard soles, but considering that training shoes should be, good overall quality")</f>
        <v>Good quality shoes my feet 43, wearing just 10M, some hard soles, but considering that training shoes should be, good overall quality</v>
      </c>
    </row>
    <row r="18128">
      <c r="A18128" s="1">
        <v>5.0</v>
      </c>
      <c r="B18128" s="1" t="s">
        <v>17905</v>
      </c>
      <c r="C18128" t="str">
        <f>IFERROR(__xludf.DUMMYFUNCTION("GOOGLETRANSLATE(B18128, ""zh"", ""en"")"),"Perfect shopping experience great shoes, 600 yuan on hand, genuine, very good feeling to step on feces,")</f>
        <v>Perfect shopping experience great shoes, 600 yuan on hand, genuine, very good feeling to step on feces,</v>
      </c>
    </row>
    <row r="18129">
      <c r="A18129" s="1">
        <v>5.0</v>
      </c>
      <c r="B18129" s="1" t="s">
        <v>17906</v>
      </c>
      <c r="C18129" t="str">
        <f>IFERROR(__xludf.DUMMYFUNCTION("GOOGLETRANSLATE(B18129, ""zh"", ""en"")"),"Worth buying large bread stuff working good, solid materials, Sennheiser's sound is more comfortable than a generation steamed all-inclusive ear, wearing not tired, really great bread is too classic, the third generation of words and then buy!")</f>
        <v>Worth buying large bread stuff working good, solid materials, Sennheiser's sound is more comfortable than a generation steamed all-inclusive ear, wearing not tired, really great bread is too classic, the third generation of words and then buy!</v>
      </c>
    </row>
    <row r="18130">
      <c r="A18130" s="1">
        <v>5.0</v>
      </c>
      <c r="B18130" s="1" t="s">
        <v>17907</v>
      </c>
      <c r="C18130" t="str">
        <f>IFERROR(__xludf.DUMMYFUNCTION("GOOGLETRANSLATE(B18130, ""zh"", ""en"")"),"Lightweight and easy to use lightweight and easy to use, it is now cooking with it, in addition to not do the dishes with bones. Originally thought to be a pancake pan, pot or the depth, more suitable for cooking.")</f>
        <v>Lightweight and easy to use lightweight and easy to use, it is now cooking with it, in addition to not do the dishes with bones. Originally thought to be a pancake pan, pot or the depth, more suitable for cooking.</v>
      </c>
    </row>
    <row r="18131">
      <c r="A18131" s="1">
        <v>5.0</v>
      </c>
      <c r="B18131" s="1" t="s">
        <v>17908</v>
      </c>
      <c r="C18131" t="str">
        <f>IFERROR(__xludf.DUMMYFUNCTION("GOOGLETRANSLATE(B18131, ""zh"", ""en"")"),"Buy big, buy 36 jeans, look at this comment buy bigger, too, and he played two holes to buy big, buy 36 jeans, look at this comment buy bigger, too, and he played two holes")</f>
        <v>Buy big, buy 36 jeans, look at this comment buy bigger, too, and he played two holes to buy big, buy 36 jeans, look at this comment buy bigger, too, and he played two holes</v>
      </c>
    </row>
    <row r="18132">
      <c r="A18132" s="1">
        <v>5.0</v>
      </c>
      <c r="B18132" s="1" t="s">
        <v>17909</v>
      </c>
      <c r="C18132" t="str">
        <f>IFERROR(__xludf.DUMMYFUNCTION("GOOGLETRANSLATE(B18132, ""zh"", ""en"")"),"Very nice, feel a bit like levis that section of 170,128 pounds, M code just good, just a little small bust, exposing my chest 🤪")</f>
        <v>Very nice, feel a bit like levis that section of 170,128 pounds, M code just good, just a little small bust, exposing my chest 🤪</v>
      </c>
    </row>
    <row r="18133">
      <c r="A18133" s="1">
        <v>5.0</v>
      </c>
      <c r="B18133" s="1" t="s">
        <v>17910</v>
      </c>
      <c r="C18133" t="str">
        <f>IFERROR(__xludf.DUMMYFUNCTION("GOOGLETRANSLATE(B18133, ""zh"", ""en"")"),"Very comfortable fabric is very comfortable, but the love behind attached to the Gully, the T-pants to wear well suited for me.")</f>
        <v>Very comfortable fabric is very comfortable, but the love behind attached to the Gully, the T-pants to wear well suited for me.</v>
      </c>
    </row>
    <row r="18134">
      <c r="A18134" s="1">
        <v>5.0</v>
      </c>
      <c r="B18134" s="1" t="s">
        <v>17911</v>
      </c>
      <c r="C18134" t="str">
        <f>IFERROR(__xludf.DUMMYFUNCTION("GOOGLETRANSLATE(B18134, ""zh"", ""en"")"),"Fabrics like size, comfortable fabrics, slightly elastic, good")</f>
        <v>Fabrics like size, comfortable fabrics, slightly elastic, good</v>
      </c>
    </row>
    <row r="18135">
      <c r="A18135" s="1">
        <v>5.0</v>
      </c>
      <c r="B18135" s="1" t="s">
        <v>17912</v>
      </c>
      <c r="C18135" t="str">
        <f>IFERROR(__xludf.DUMMYFUNCTION("GOOGLETRANSLATE(B18135, ""zh"", ""en"")"),"very beautiful! Good quality, very satisfied!")</f>
        <v>very beautiful! Good quality, very satisfied!</v>
      </c>
    </row>
    <row r="18136">
      <c r="A18136" s="1">
        <v>2.0</v>
      </c>
      <c r="B18136" s="1" t="s">
        <v>17913</v>
      </c>
      <c r="C18136" t="str">
        <f>IFERROR(__xludf.DUMMYFUNCTION("GOOGLETRANSLATE(B18136, ""zh"", ""en"")"),"Grinding feet liked this brand, previously bought several pairs, are also, very comfortable, although this pair the right size, but too tight ankle, foot wear is also wearing a long grind out all the blood, I do not know how to deal with customer service?"&amp;" To change or to repair?")</f>
        <v>Grinding feet liked this brand, previously bought several pairs, are also, very comfortable, although this pair the right size, but too tight ankle, foot wear is also wearing a long grind out all the blood, I do not know how to deal with customer service? To change or to repair?</v>
      </c>
    </row>
    <row r="18137">
      <c r="A18137" s="1">
        <v>3.0</v>
      </c>
      <c r="B18137" s="1" t="s">
        <v>17914</v>
      </c>
      <c r="C18137" t="str">
        <f>IFERROR(__xludf.DUMMYFUNCTION("GOOGLETRANSLATE(B18137, ""zh"", ""en"")"),"I can use is either feather. Drill hair Province. That is, some thread need to be addressed")</f>
        <v>I can use is either feather. Drill hair Province. That is, some thread need to be addressed</v>
      </c>
    </row>
    <row r="18138">
      <c r="A18138" s="1">
        <v>3.0</v>
      </c>
      <c r="B18138" s="1" t="s">
        <v>17915</v>
      </c>
      <c r="C18138" t="str">
        <f>IFERROR(__xludf.DUMMYFUNCTION("GOOGLETRANSLATE(B18138, ""zh"", ""en"")"),"Fees paid to designers and plum probably marked it. . . Design superior, far superior to a recent public lowb AKG products, compared to 701 and so is not much; working with the material too cheap; sound analytical barely qualified, imaging is poor; big ea"&amp;"rmuffs, more comfortable to wear; a AKG handsome cheap money and big ears, suitable for office and personal PC for everyday use, not suitable for eight children to listen to music.")</f>
        <v>Fees paid to designers and plum probably marked it. . . Design superior, far superior to a recent public lowb AKG products, compared to 701 and so is not much; working with the material too cheap; sound analytical barely qualified, imaging is poor; big earmuffs, more comfortable to wear; a AKG handsome cheap money and big ears, suitable for office and personal PC for everyday use, not suitable for eight children to listen to music.</v>
      </c>
    </row>
    <row r="18139">
      <c r="A18139" s="1">
        <v>1.0</v>
      </c>
      <c r="B18139" s="1" t="s">
        <v>17916</v>
      </c>
      <c r="C18139" t="str">
        <f>IFERROR(__xludf.DUMMYFUNCTION("GOOGLETRANSLATE(B18139, ""zh"", ""en"")"),"Cost-effective and beautiful usually normal width of 37.5 feet, just try very appropriate, certainly within the increased functionality, significant foot thin, wear long legs a little bit crowded, it may Asians feet wide, short, high cost, very comfortabl"&amp;"e .")</f>
        <v>Cost-effective and beautiful usually normal width of 37.5 feet, just try very appropriate, certainly within the increased functionality, significant foot thin, wear long legs a little bit crowded, it may Asians feet wide, short, high cost, very comfortable .</v>
      </c>
    </row>
    <row r="18140">
      <c r="A18140" s="1">
        <v>1.0</v>
      </c>
      <c r="B18140" s="1" t="s">
        <v>17917</v>
      </c>
      <c r="C18140" t="str">
        <f>IFERROR(__xludf.DUMMYFUNCTION("GOOGLETRANSLATE(B18140, ""zh"", ""en"")"),"Poor sucks the feeling is the old black lifetime moment")</f>
        <v>Poor sucks the feeling is the old black lifetime moment</v>
      </c>
    </row>
    <row r="18141">
      <c r="A18141" s="1">
        <v>1.0</v>
      </c>
      <c r="B18141" s="1" t="s">
        <v>17918</v>
      </c>
      <c r="C18141" t="str">
        <f>IFERROR(__xludf.DUMMYFUNCTION("GOOGLETRANSLATE(B18141, ""zh"", ""en"")"),"We must be careful to buy overseas had wanted size should not be too different, in any case will not go to return, the result of a pair of shoes two sizes, is really the first time encountered, clothes, and even send themselves to return Britain , really "&amp;"served.")</f>
        <v>We must be careful to buy overseas had wanted size should not be too different, in any case will not go to return, the result of a pair of shoes two sizes, is really the first time encountered, clothes, and even send themselves to return Britain , really served.</v>
      </c>
    </row>
    <row r="18142">
      <c r="A18142" s="1">
        <v>4.0</v>
      </c>
      <c r="B18142" s="1" t="s">
        <v>17919</v>
      </c>
      <c r="C18142" t="str">
        <f>IFERROR(__xludf.DUMMYFUNCTION("GOOGLETRANSLATE(B18142, ""zh"", ""en"")"),"Cheap 173,67kg buy S code. Tired narrow shoulders. Clothes easy to play ball, but wins in the cheap.")</f>
        <v>Cheap 173,67kg buy S code. Tired narrow shoulders. Clothes easy to play ball, but wins in the cheap.</v>
      </c>
    </row>
    <row r="18143">
      <c r="A18143" s="1">
        <v>4.0</v>
      </c>
      <c r="B18143" s="1" t="s">
        <v>17920</v>
      </c>
      <c r="C18143" t="str">
        <f>IFERROR(__xludf.DUMMYFUNCTION("GOOGLETRANSLATE(B18143, ""zh"", ""en"")"),"Overseas purchase price is relatively affordable sound quality is also good, especially the call is very clear. Battery time point, only the effective operating range 4-5m.")</f>
        <v>Overseas purchase price is relatively affordable sound quality is also good, especially the call is very clear. Battery time point, only the effective operating range 4-5m.</v>
      </c>
    </row>
    <row r="18144">
      <c r="A18144" s="1">
        <v>4.0</v>
      </c>
      <c r="B18144" s="1" t="s">
        <v>17921</v>
      </c>
      <c r="C18144" t="str">
        <f>IFERROR(__xludf.DUMMYFUNCTION("GOOGLETRANSLATE(B18144, ""zh"", ""en"")"),"Good quality fabric is very comfortable, good workmanship, color, and the picture is basically the same, yes. The first overseas purchase, size control is not good, slightly larger, returns trouble,")</f>
        <v>Good quality fabric is very comfortable, good workmanship, color, and the picture is basically the same, yes. The first overseas purchase, size control is not good, slightly larger, returns trouble,</v>
      </c>
    </row>
    <row r="18145">
      <c r="A18145" s="1">
        <v>4.0</v>
      </c>
      <c r="B18145" s="1" t="s">
        <v>17922</v>
      </c>
      <c r="C18145" t="str">
        <f>IFERROR(__xludf.DUMMYFUNCTION("GOOGLETRANSLATE(B18145, ""zh"", ""en"")"),"Be careful to buy big head big head or not to buy this, and with a relatively tight")</f>
        <v>Be careful to buy big head big head or not to buy this, and with a relatively tight</v>
      </c>
    </row>
    <row r="18146">
      <c r="A18146" s="1">
        <v>4.0</v>
      </c>
      <c r="B18146" s="1" t="s">
        <v>17923</v>
      </c>
      <c r="C18146" t="str">
        <f>IFERROR(__xludf.DUMMYFUNCTION("GOOGLETRANSLATE(B18146, ""zh"", ""en"")"),"Line quality is also good, very light. My height 180, weight 82 kg, length L code wearing just slightly partial fat, for later reference. Does the will refund taxes are too high!")</f>
        <v>Line quality is also good, very light. My height 180, weight 82 kg, length L code wearing just slightly partial fat, for later reference. Does the will refund taxes are too high!</v>
      </c>
    </row>
    <row r="18147">
      <c r="A18147" s="1">
        <v>5.0</v>
      </c>
      <c r="B18147" s="1" t="s">
        <v>17924</v>
      </c>
      <c r="C18147" t="str">
        <f>IFERROR(__xludf.DUMMYFUNCTION("GOOGLETRANSLATE(B18147, ""zh"", ""en"")"),"A few days later a feel of single October 19, October 26 arrived, with a few days, feel good, classic style, trustworthy!")</f>
        <v>A few days later a feel of single October 19, October 26 arrived, with a few days, feel good, classic style, trustworthy!</v>
      </c>
    </row>
    <row r="18148">
      <c r="A18148" s="1">
        <v>5.0</v>
      </c>
      <c r="B18148" s="1" t="s">
        <v>17925</v>
      </c>
      <c r="C18148" t="str">
        <f>IFERROR(__xludf.DUMMYFUNCTION("GOOGLETRANSLATE(B18148, ""zh"", ""en"")"),"The perfect size, the right size")</f>
        <v>The perfect size, the right size</v>
      </c>
    </row>
    <row r="18149">
      <c r="A18149" s="1">
        <v>5.0</v>
      </c>
      <c r="B18149" s="1" t="s">
        <v>17926</v>
      </c>
      <c r="C18149" t="str">
        <f>IFERROR(__xludf.DUMMYFUNCTION("GOOGLETRANSLATE(B18149, ""zh"", ""en"")"),"Genuine good, that is a big point than domestic code, be sure to wear big fat man. Fortunately, I am a little beer belly, just, good quality.")</f>
        <v>Genuine good, that is a big point than domestic code, be sure to wear big fat man. Fortunately, I am a little beer belly, just, good quality.</v>
      </c>
    </row>
    <row r="18150">
      <c r="A18150" s="1">
        <v>5.0</v>
      </c>
      <c r="B18150" s="1" t="s">
        <v>17927</v>
      </c>
      <c r="C18150" t="str">
        <f>IFERROR(__xludf.DUMMYFUNCTION("GOOGLETRANSLATE(B18150, ""zh"", ""en"")"),"It fit very fit, 30x32 170cm, 70kg very flexible")</f>
        <v>It fit very fit, 30x32 170cm, 70kg very flexible</v>
      </c>
    </row>
    <row r="18151">
      <c r="A18151" s="1">
        <v>5.0</v>
      </c>
      <c r="B18151" s="1" t="s">
        <v>17928</v>
      </c>
      <c r="C18151" t="str">
        <f>IFERROR(__xludf.DUMMYFUNCTION("GOOGLETRANSLATE(B18151, ""zh"", ""en"")"),"People help purchasing meat, this is particularly good particularly comfortable to wear comfortable before, but for a small chest, big will feel no type")</f>
        <v>People help purchasing meat, this is particularly good particularly comfortable to wear comfortable before, but for a small chest, big will feel no type</v>
      </c>
    </row>
    <row r="18152">
      <c r="A18152" s="1">
        <v>5.0</v>
      </c>
      <c r="B18152" s="1" t="s">
        <v>17929</v>
      </c>
      <c r="C18152" t="str">
        <f>IFERROR(__xludf.DUMMYFUNCTION("GOOGLETRANSLATE(B18152, ""zh"", ""en"")"),"Is good just received the goods, heard about, or can feel it better than open burning dtx910, worth having, 32 in Europe or a good push loud, as to good effect what system do not know, Oh, the price is kind ah, do not stare for a few months white")</f>
        <v>Is good just received the goods, heard about, or can feel it better than open burning dtx910, worth having, 32 in Europe or a good push loud, as to good effect what system do not know, Oh, the price is kind ah, do not stare for a few months white</v>
      </c>
    </row>
    <row r="18153">
      <c r="A18153" s="1">
        <v>5.0</v>
      </c>
      <c r="B18153" s="1" t="s">
        <v>17930</v>
      </c>
      <c r="C18153" t="str">
        <f>IFERROR(__xludf.DUMMYFUNCTION("GOOGLETRANSLATE(B18153, ""zh"", ""en"")"),"Earphone hand headphone finally hand, is burning headphones")</f>
        <v>Earphone hand headphone finally hand, is burning headphones</v>
      </c>
    </row>
    <row r="18154">
      <c r="A18154" s="1">
        <v>5.0</v>
      </c>
      <c r="B18154" s="1" t="s">
        <v>17931</v>
      </c>
      <c r="C18154" t="str">
        <f>IFERROR(__xludf.DUMMYFUNCTION("GOOGLETRANSLATE(B18154, ""zh"", ""en"")"),"Comments well, not from the previous evaluation, I do not know how many wasted points, points can change money now know, they should look carefully evaluated, then I put these words to copy to go, both to earn points, but also save trouble, went to which "&amp;"copy where, most importantly, do not seriously review, do not think how much worse word, sent directly to it, recommend it to everyone! !")</f>
        <v>Comments well, not from the previous evaluation, I do not know how many wasted points, points can change money now know, they should look carefully evaluated, then I put these words to copy to go, both to earn points, but also save trouble, went to which copy where, most importantly, do not seriously review, do not think how much worse word, sent directly to it, recommend it to everyone! !</v>
      </c>
    </row>
    <row r="18155">
      <c r="A18155" s="1">
        <v>5.0</v>
      </c>
      <c r="B18155" s="1" t="s">
        <v>17932</v>
      </c>
      <c r="C18155" t="str">
        <f>IFERROR(__xludf.DUMMYFUNCTION("GOOGLETRANSLATE(B18155, ""zh"", ""en"")"),"800 ml of super hand flick buy big, had to buy to his brother, and thought it was a small lion with 600 milliliters, but the talk is very good, posted their own stickers, bought three transparent suction cup, take this time to go out with a heated gave th"&amp;"em points. Now just fine activities, if there are goods, then buy a small lion next week")</f>
        <v>800 ml of super hand flick buy big, had to buy to his brother, and thought it was a small lion with 600 milliliters, but the talk is very good, posted their own stickers, bought three transparent suction cup, take this time to go out with a heated gave them points. Now just fine activities, if there are goods, then buy a small lion next week</v>
      </c>
    </row>
    <row r="18156">
      <c r="A18156" s="1">
        <v>5.0</v>
      </c>
      <c r="B18156" s="1" t="s">
        <v>17933</v>
      </c>
      <c r="C18156" t="str">
        <f>IFERROR(__xludf.DUMMYFUNCTION("GOOGLETRANSLATE(B18156, ""zh"", ""en"")"),"Good quality if there is a lanyard enough. Taiwan's. Good work")</f>
        <v>Good quality if there is a lanyard enough. Taiwan's. Good work</v>
      </c>
    </row>
    <row r="18157">
      <c r="A18157" s="1">
        <v>5.0</v>
      </c>
      <c r="B18157" s="1" t="s">
        <v>17934</v>
      </c>
      <c r="C18157" t="str">
        <f>IFERROR(__xludf.DUMMYFUNCTION("GOOGLETRANSLATE(B18157, ""zh"", ""en"")"),"How can it feel good bottle for newborn babies with the first time to buy things on Amazon, orders to receipt waited twelve days, do not know is not genuine, the bottle has a plastic taste, through a variety of wash, hot water disinfection , plus lemonade"&amp;" soak before going to taste, on the whole bottle is good, the price is cheap, but my baby is one year old has been drinking Pigeon, give him this is not fond of change, I personally feel that newborn baby starts this use is better, very soft nipple")</f>
        <v>How can it feel good bottle for newborn babies with the first time to buy things on Amazon, orders to receipt waited twelve days, do not know is not genuine, the bottle has a plastic taste, through a variety of wash, hot water disinfection , plus lemonade soak before going to taste, on the whole bottle is good, the price is cheap, but my baby is one year old has been drinking Pigeon, give him this is not fond of change, I personally feel that newborn baby starts this use is better, very soft nipple</v>
      </c>
    </row>
    <row r="18158">
      <c r="A18158" s="1">
        <v>5.0</v>
      </c>
      <c r="B18158" s="1" t="s">
        <v>15992</v>
      </c>
      <c r="C18158" t="str">
        <f>IFERROR(__xludf.DUMMYFUNCTION("GOOGLETRANSLATE(B18158, ""zh"", ""en"")"),"Good right size. Price can be")</f>
        <v>Good right size. Price can be</v>
      </c>
    </row>
    <row r="18159">
      <c r="A18159" s="1">
        <v>5.0</v>
      </c>
      <c r="B18159" s="1" t="s">
        <v>17935</v>
      </c>
      <c r="C18159" t="str">
        <f>IFERROR(__xludf.DUMMYFUNCTION("GOOGLETRANSLATE(B18159, ""zh"", ""en"")"),"Suitable for men with a price too high, and bought a lot of Zojirushi")</f>
        <v>Suitable for men with a price too high, and bought a lot of Zojirushi</v>
      </c>
    </row>
    <row r="18160">
      <c r="A18160" s="1">
        <v>5.0</v>
      </c>
      <c r="B18160" s="1" t="s">
        <v>17936</v>
      </c>
      <c r="C18160" t="str">
        <f>IFERROR(__xludf.DUMMYFUNCTION("GOOGLETRANSLATE(B18160, ""zh"", ""en"")"),"Well good, that is a reliable map, and now the platform too many fakes, only dare to believe Amazon")</f>
        <v>Well good, that is a reliable map, and now the platform too many fakes, only dare to believe Amazon</v>
      </c>
    </row>
    <row r="18161">
      <c r="A18161" s="1">
        <v>5.0</v>
      </c>
      <c r="B18161" s="1" t="s">
        <v>17937</v>
      </c>
      <c r="C18161" t="str">
        <f>IFERROR(__xludf.DUMMYFUNCTION("GOOGLETRANSLATE(B18161, ""zh"", ""en"")"),"Yes! Height 182, weight 75 kg wear M code suitable. Length slightly longer, the fabric is a thin section. This price can be cost-effective.")</f>
        <v>Yes! Height 182, weight 75 kg wear M code suitable. Length slightly longer, the fabric is a thin section. This price can be cost-effective.</v>
      </c>
    </row>
    <row r="18162">
      <c r="A18162" s="1">
        <v>5.0</v>
      </c>
      <c r="B18162" s="1" t="s">
        <v>17938</v>
      </c>
      <c r="C18162" t="str">
        <f>IFERROR(__xludf.DUMMYFUNCTION("GOOGLETRANSLATE(B18162, ""zh"", ""en"")"),"Children do not like to play this, Ken Ken is still good kids do not like to play this, Ken Ken is good")</f>
        <v>Children do not like to play this, Ken Ken is still good kids do not like to play this, Ken Ken is good</v>
      </c>
    </row>
    <row r="18163">
      <c r="A18163" s="1">
        <v>5.0</v>
      </c>
      <c r="B18163" s="1" t="s">
        <v>17939</v>
      </c>
      <c r="C18163" t="str">
        <f>IFERROR(__xludf.DUMMYFUNCTION("GOOGLETRANSLATE(B18163, ""zh"", ""en"")"),"Large yard, comfortable only bad thing is a big yard, 165,55, usually wear 27 or 28, that this is still a little fat, what's legs do not hold up, dress loose version of the type. But still like, what fabrics and workmanship is really good, comfortable to "&amp;"wear!")</f>
        <v>Large yard, comfortable only bad thing is a big yard, 165,55, usually wear 27 or 28, that this is still a little fat, what's legs do not hold up, dress loose version of the type. But still like, what fabrics and workmanship is really good, comfortable to wear!</v>
      </c>
    </row>
    <row r="18164">
      <c r="A18164" s="1">
        <v>5.0</v>
      </c>
      <c r="B18164" s="1" t="s">
        <v>17940</v>
      </c>
      <c r="C18164" t="str">
        <f>IFERROR(__xludf.DUMMYFUNCTION("GOOGLETRANSLATE(B18164, ""zh"", ""en"")"),"Oh well convenient, non-perishable food into them. But you can also put the pacifier at any time carry super convenient")</f>
        <v>Oh well convenient, non-perishable food into them. But you can also put the pacifier at any time carry super convenient</v>
      </c>
    </row>
    <row r="18165">
      <c r="A18165" s="1">
        <v>5.0</v>
      </c>
      <c r="B18165" s="1" t="s">
        <v>17941</v>
      </c>
      <c r="C18165" t="str">
        <f>IFERROR(__xludf.DUMMYFUNCTION("GOOGLETRANSLATE(B18165, ""zh"", ""en"")"),"Taste good chocolate taste much better than, expected to have the effect!")</f>
        <v>Taste good chocolate taste much better than, expected to have the effect!</v>
      </c>
    </row>
    <row r="18166">
      <c r="A18166" s="1">
        <v>5.0</v>
      </c>
      <c r="B18166" s="1" t="s">
        <v>17942</v>
      </c>
      <c r="C18166" t="str">
        <f>IFERROR(__xludf.DUMMYFUNCTION("GOOGLETRANSLATE(B18166, ""zh"", ""en"")"),"Satisfaction cold weather wear long johns, pants buy a loose points, height 185, weight 94kg, waist fat thick legs, usually jeans had w38 play, read reviews, and ultimately chose W36L34 the waist with elastic, the right size, this work not talk about the "&amp;"price, quality improvise. Give us some reference.")</f>
        <v>Satisfaction cold weather wear long johns, pants buy a loose points, height 185, weight 94kg, waist fat thick legs, usually jeans had w38 play, read reviews, and ultimately chose W36L34 the waist with elastic, the right size, this work not talk about the price, quality improvise. Give us some reference.</v>
      </c>
    </row>
    <row r="18167">
      <c r="A18167" s="1">
        <v>5.0</v>
      </c>
      <c r="B18167" s="1" t="s">
        <v>17943</v>
      </c>
      <c r="C18167" t="str">
        <f>IFERROR(__xludf.DUMMYFUNCTION("GOOGLETRANSLATE(B18167, ""zh"", ""en"")"),"Good quality clothes a little big, but you can also make do wear, less accurate reference data to")</f>
        <v>Good quality clothes a little big, but you can also make do wear, less accurate reference data to</v>
      </c>
    </row>
    <row r="18168">
      <c r="A18168" s="1">
        <v>5.0</v>
      </c>
      <c r="B18168" s="1" t="s">
        <v>17944</v>
      </c>
      <c r="C18168" t="str">
        <f>IFERROR(__xludf.DUMMYFUNCTION("GOOGLETRANSLATE(B18168, ""zh"", ""en"")"),"The length of the standard, but the clothes are bought fertilizer 182cm64kg length M, in line with the Chinese standard, not too short. But the width is really wide, muscular man wearing appropriate, may present a triangular shape. Clothes work very good,"&amp;" very warm, very much")</f>
        <v>The length of the standard, but the clothes are bought fertilizer 182cm64kg length M, in line with the Chinese standard, not too short. But the width is really wide, muscular man wearing appropriate, may present a triangular shape. Clothes work very good, very warm, very much</v>
      </c>
    </row>
    <row r="18169">
      <c r="A18169" s="1">
        <v>2.0</v>
      </c>
      <c r="B18169" s="1" t="s">
        <v>17945</v>
      </c>
      <c r="C18169" t="str">
        <f>IFERROR(__xludf.DUMMYFUNCTION("GOOGLETRANSLATE(B18169, ""zh"", ""en"")"),"Post-warranty how to solve? Writing is not fluent, but no post-maintenance way, dead now regret, can not retreat, but a pretty good addition.")</f>
        <v>Post-warranty how to solve? Writing is not fluent, but no post-maintenance way, dead now regret, can not retreat, but a pretty good addition.</v>
      </c>
    </row>
    <row r="18170">
      <c r="A18170" s="1">
        <v>3.0</v>
      </c>
      <c r="B18170" s="1" t="s">
        <v>17946</v>
      </c>
      <c r="C18170" t="str">
        <f>IFERROR(__xludf.DUMMYFUNCTION("GOOGLETRANSLATE(B18170, ""zh"", ""en"")"),"Fabric Fabric General General")</f>
        <v>Fabric Fabric General General</v>
      </c>
    </row>
    <row r="18171">
      <c r="A18171" s="1">
        <v>3.0</v>
      </c>
      <c r="B18171" s="1" t="s">
        <v>17947</v>
      </c>
      <c r="C18171" t="str">
        <f>IFERROR(__xludf.DUMMYFUNCTION("GOOGLETRANSLATE(B18171, ""zh"", ""en"")"),"Okay 170/55, S code, a little bit longer, a little a little fat, the other Shoulder Sleeve are possible. Vietnamese origin, packing some simple, out of the way. But the delivery of this it is defective, there is a small patch waist. Patches and consistent"&amp;" color clothes no problem, why we must do the kind of bright green, as if afraid that people can not see like. Read the previous review, other buyers have such a situation, it seems like the lottery to buy clothes Kazakhstan.")</f>
        <v>Okay 170/55, S code, a little bit longer, a little a little fat, the other Shoulder Sleeve are possible. Vietnamese origin, packing some simple, out of the way. But the delivery of this it is defective, there is a small patch waist. Patches and consistent color clothes no problem, why we must do the kind of bright green, as if afraid that people can not see like. Read the previous review, other buyers have such a situation, it seems like the lottery to buy clothes Kazakhstan.</v>
      </c>
    </row>
    <row r="18172">
      <c r="A18172" s="1">
        <v>1.0</v>
      </c>
      <c r="B18172" s="1" t="s">
        <v>17948</v>
      </c>
      <c r="C18172" t="str">
        <f>IFERROR(__xludf.DUMMYFUNCTION("GOOGLETRANSLATE(B18172, ""zh"", ""en"")"),"Hard plate board too hard ...... how to wear Oh .........")</f>
        <v>Hard plate board too hard ...... how to wear Oh .........</v>
      </c>
    </row>
    <row r="18173">
      <c r="A18173" s="1">
        <v>1.0</v>
      </c>
      <c r="B18173" s="1" t="s">
        <v>17949</v>
      </c>
      <c r="C18173" t="str">
        <f>IFERROR(__xludf.DUMMYFUNCTION("GOOGLETRANSLATE(B18173, ""zh"", ""en"")"),"hard to use. The whisk is the color value is high the bar. Two heads and no egg An anti-high speed when the egg hit the two heads collide. Do not look outside or next time to buy things. For the first time in the Amazon to buy something so satisfied, do n"&amp;"ot know how to contact the after-sales ...")</f>
        <v>hard to use. The whisk is the color value is high the bar. Two heads and no egg An anti-high speed when the egg hit the two heads collide. Do not look outside or next time to buy things. For the first time in the Amazon to buy something so satisfied, do not know how to contact the after-sales ...</v>
      </c>
    </row>
    <row r="18174">
      <c r="A18174" s="1">
        <v>1.0</v>
      </c>
      <c r="B18174" s="1" t="s">
        <v>17950</v>
      </c>
      <c r="C18174" t="str">
        <f>IFERROR(__xludf.DUMMYFUNCTION("GOOGLETRANSLATE(B18174, ""zh"", ""en"")"),"Size than I bought G-STAR jeans short by about three centimeters! Size than I bought G-STAR jeans short by about three centimeters! 36-36 of others also! ! Pants in general, a price for a half, more than 200 buy, and finally back more than 100 dollars, be"&amp;"cause the return shipping costs do need to deduct 125 before tax money is not refundable!")</f>
        <v>Size than I bought G-STAR jeans short by about three centimeters! Size than I bought G-STAR jeans short by about three centimeters! 36-36 of others also! ! Pants in general, a price for a half, more than 200 buy, and finally back more than 100 dollars, because the return shipping costs do need to deduct 125 before tax money is not refundable!</v>
      </c>
    </row>
    <row r="18175">
      <c r="A18175" s="1">
        <v>4.0</v>
      </c>
      <c r="B18175" s="1" t="s">
        <v>17951</v>
      </c>
      <c r="C18175" t="str">
        <f>IFERROR(__xludf.DUMMYFUNCTION("GOOGLETRANSLATE(B18175, ""zh"", ""en"")"),"Clothes itself is small but the quality can be too small wonder that strange former CK numbers are slightly larger")</f>
        <v>Clothes itself is small but the quality can be too small wonder that strange former CK numbers are slightly larger</v>
      </c>
    </row>
    <row r="18176">
      <c r="A18176" s="1">
        <v>4.0</v>
      </c>
      <c r="B18176" s="1" t="s">
        <v>17952</v>
      </c>
      <c r="C18176" t="str">
        <f>IFERROR(__xludf.DUMMYFUNCTION("GOOGLETRANSLATE(B18176, ""zh"", ""en"")"),"Pants are not allowed to serious size very good, just do not buy according to size chart. Size seriously inaccurate. 32W nominal 82.5cm, in fact, enough to have 88cm. Returns have their own return Britain. Weighs. Only to find the tailor changed.")</f>
        <v>Pants are not allowed to serious size very good, just do not buy according to size chart. Size seriously inaccurate. 32W nominal 82.5cm, in fact, enough to have 88cm. Returns have their own return Britain. Weighs. Only to find the tailor changed.</v>
      </c>
    </row>
    <row r="18177">
      <c r="A18177" s="1">
        <v>4.0</v>
      </c>
      <c r="B18177" s="1" t="s">
        <v>17953</v>
      </c>
      <c r="C18177" t="str">
        <f>IFERROR(__xludf.DUMMYFUNCTION("GOOGLETRANSLATE(B18177, ""zh"", ""en"")"),"Cost-effective fabric is cotton, wearing comfortable, breathable, medium thickness, but be careful when drying washing machine, clothes belong to the kind of material is easily deformed. Suitable size, 172/70 kg wear No. S just")</f>
        <v>Cost-effective fabric is cotton, wearing comfortable, breathable, medium thickness, but be careful when drying washing machine, clothes belong to the kind of material is easily deformed. Suitable size, 172/70 kg wear No. S just</v>
      </c>
    </row>
    <row r="18178">
      <c r="A18178" s="1">
        <v>4.0</v>
      </c>
      <c r="B18178" s="1" t="s">
        <v>17954</v>
      </c>
      <c r="C18178" t="str">
        <f>IFERROR(__xludf.DUMMYFUNCTION("GOOGLETRANSLATE(B18178, ""zh"", ""en"")"),"Pretty good the price is right is not very soft bottom to see how long it can wear")</f>
        <v>Pretty good the price is right is not very soft bottom to see how long it can wear</v>
      </c>
    </row>
    <row r="18179">
      <c r="A18179" s="1">
        <v>4.0</v>
      </c>
      <c r="B18179" s="1" t="s">
        <v>17955</v>
      </c>
      <c r="C18179" t="str">
        <f>IFERROR(__xludf.DUMMYFUNCTION("GOOGLETRANSLATE(B18179, ""zh"", ""en"")"),"Design intimate warm and well, permeability is also very good, eight sleeves design is more intimate, mainly because of sleeves to keep warm in winter exposed, but also to adapt to the sleeves always up channeling.")</f>
        <v>Design intimate warm and well, permeability is also very good, eight sleeves design is more intimate, mainly because of sleeves to keep warm in winter exposed, but also to adapt to the sleeves always up channeling.</v>
      </c>
    </row>
    <row r="18180">
      <c r="A18180" s="1">
        <v>5.0</v>
      </c>
      <c r="B18180" s="1" t="s">
        <v>17956</v>
      </c>
      <c r="C18180" t="str">
        <f>IFERROR(__xludf.DUMMYFUNCTION("GOOGLETRANSLATE(B18180, ""zh"", ""en"")"),"Mug brand quality, reliable, easy to use, next time continue to buy")</f>
        <v>Mug brand quality, reliable, easy to use, next time continue to buy</v>
      </c>
    </row>
    <row r="18181">
      <c r="A18181" s="1">
        <v>5.0</v>
      </c>
      <c r="B18181" s="1" t="s">
        <v>5863</v>
      </c>
      <c r="C18181" t="str">
        <f>IFERROR(__xludf.DUMMYFUNCTION("GOOGLETRANSLATE(B18181, ""zh"", ""en"")"),"Germany purchased, model HX6960, the blind can still choose to see is a common saying, but to buy time to be more expensive than before, price increases")</f>
        <v>Germany purchased, model HX6960, the blind can still choose to see is a common saying, but to buy time to be more expensive than before, price increases</v>
      </c>
    </row>
    <row r="18182">
      <c r="A18182" s="1">
        <v>5.0</v>
      </c>
      <c r="B18182" s="1" t="s">
        <v>17957</v>
      </c>
      <c r="C18182" t="str">
        <f>IFERROR(__xludf.DUMMYFUNCTION("GOOGLETRANSLATE(B18182, ""zh"", ""en"")"),"Nice comfortable well, not from the previous evaluation, I do not know how many wasted points, points can change money now know, they should look carefully evaluated, then I put these words to copy to go, both to earn points, but also the easy way to go w"&amp;"here copy where, most importantly, do not seriously review, do not think how much worse word, sent directly to it, recommend it to everyone! !")</f>
        <v>Nice comfortable well, not from the previous evaluation, I do not know how many wasted points, points can change money now know, they should look carefully evaluated, then I put these words to copy to go, both to earn points, but also the easy way to go where copy where, most importantly, do not seriously review, do not think how much worse word, sent directly to it, recommend it to everyone! !</v>
      </c>
    </row>
    <row r="18183">
      <c r="A18183" s="1">
        <v>5.0</v>
      </c>
      <c r="B18183" s="1" t="s">
        <v>10051</v>
      </c>
      <c r="C18183" t="str">
        <f>IFERROR(__xludf.DUMMYFUNCTION("GOOGLETRANSLATE(B18183, ""zh"", ""en"")"),"Good good material, soft and comfortable. Buy M code, clothes shoulder width 41, bust 98, sleeve did not amount, however long, I 167 tall to wear sleeves and pleated just twice before, wants to buy S code Slim better")</f>
        <v>Good good material, soft and comfortable. Buy M code, clothes shoulder width 41, bust 98, sleeve did not amount, however long, I 167 tall to wear sleeves and pleated just twice before, wants to buy S code Slim better</v>
      </c>
    </row>
    <row r="18184">
      <c r="A18184" s="1">
        <v>5.0</v>
      </c>
      <c r="B18184" s="1" t="s">
        <v>17958</v>
      </c>
      <c r="C18184" t="str">
        <f>IFERROR(__xludf.DUMMYFUNCTION("GOOGLETRANSLATE(B18184, ""zh"", ""en"")"),"Quality, great, cost-effective to buy a wife. Size is very positive, not the same color with the color chart, bought a lot of underwear ck this part of the superior quality, with models at a discount of almost village Paris")</f>
        <v>Quality, great, cost-effective to buy a wife. Size is very positive, not the same color with the color chart, bought a lot of underwear ck this part of the superior quality, with models at a discount of almost village Paris</v>
      </c>
    </row>
    <row r="18185">
      <c r="A18185" s="1">
        <v>5.0</v>
      </c>
      <c r="B18185" s="1" t="s">
        <v>17959</v>
      </c>
      <c r="C18185" t="str">
        <f>IFERROR(__xludf.DUMMYFUNCTION("GOOGLETRANSLATE(B18185, ""zh"", ""en"")"),"Good style very good, very good style")</f>
        <v>Good style very good, very good style</v>
      </c>
    </row>
    <row r="18186">
      <c r="A18186" s="1">
        <v>5.0</v>
      </c>
      <c r="B18186" s="1" t="s">
        <v>17960</v>
      </c>
      <c r="C18186" t="str">
        <f>IFERROR(__xludf.DUMMYFUNCTION("GOOGLETRANSLATE(B18186, ""zh"", ""en"")"),"I am very appropriate height 178, weight 145 pounds, wearing just being good. Very appropriate, has been relaxed a little more important, this is appropriate.")</f>
        <v>I am very appropriate height 178, weight 145 pounds, wearing just being good. Very appropriate, has been relaxed a little more important, this is appropriate.</v>
      </c>
    </row>
    <row r="18187">
      <c r="A18187" s="1">
        <v>5.0</v>
      </c>
      <c r="B18187" s="1" t="s">
        <v>17961</v>
      </c>
      <c r="C18187" t="str">
        <f>IFERROR(__xludf.DUMMYFUNCTION("GOOGLETRANSLATE(B18187, ""zh"", ""en"")"),"Small v tall grass on the long small v finally have it, 23 days after order receipt, try soy milk, soy milk health victory on the street selling, especially delicate. Question is a single number 21, 25, received a text message into the net clearance custo"&amp;"ms clearance procedures, until receipt has not received clearance tax information.")</f>
        <v>Small v tall grass on the long small v finally have it, 23 days after order receipt, try soy milk, soy milk health victory on the street selling, especially delicate. Question is a single number 21, 25, received a text message into the net clearance customs clearance procedures, until receipt has not received clearance tax information.</v>
      </c>
    </row>
    <row r="18188">
      <c r="A18188" s="1">
        <v>5.0</v>
      </c>
      <c r="B18188" s="1" t="s">
        <v>17962</v>
      </c>
      <c r="C18188" t="str">
        <f>IFERROR(__xludf.DUMMYFUNCTION("GOOGLETRANSLATE(B18188, ""zh"", ""en"")"),"z.cn items fly, rest assured. Thank you! Well, like, a purchase of two. United States 9 days back in time, too fast.")</f>
        <v>z.cn items fly, rest assured. Thank you! Well, like, a purchase of two. United States 9 days back in time, too fast.</v>
      </c>
    </row>
    <row r="18189">
      <c r="A18189" s="1">
        <v>5.0</v>
      </c>
      <c r="B18189" s="1" t="s">
        <v>14968</v>
      </c>
      <c r="C18189" t="str">
        <f>IFERROR(__xludf.DUMMYFUNCTION("GOOGLETRANSLATE(B18189, ""zh"", ""en"")"),"Comfortable underwear has been to buy this brand of clothes will then buy")</f>
        <v>Comfortable underwear has been to buy this brand of clothes will then buy</v>
      </c>
    </row>
    <row r="18190">
      <c r="A18190" s="1">
        <v>5.0</v>
      </c>
      <c r="B18190" s="1" t="s">
        <v>17963</v>
      </c>
      <c r="C18190" t="str">
        <f>IFERROR(__xludf.DUMMYFUNCTION("GOOGLETRANSLATE(B18190, ""zh"", ""en"")"),"Satisfaction comfortable next to the skin, no itching quit.")</f>
        <v>Satisfaction comfortable next to the skin, no itching quit.</v>
      </c>
    </row>
    <row r="18191">
      <c r="A18191" s="1">
        <v>5.0</v>
      </c>
      <c r="B18191" s="1" t="s">
        <v>17964</v>
      </c>
      <c r="C18191" t="str">
        <f>IFERROR(__xludf.DUMMYFUNCTION("GOOGLETRANSLATE(B18191, ""zh"", ""en"")"),"Sleeping bag with the two years it took two years to review Haha, like the sleeping bag")</f>
        <v>Sleeping bag with the two years it took two years to review Haha, like the sleeping bag</v>
      </c>
    </row>
    <row r="18192">
      <c r="A18192" s="1">
        <v>5.0</v>
      </c>
      <c r="B18192" s="1" t="s">
        <v>17965</v>
      </c>
      <c r="C18192" t="str">
        <f>IFERROR(__xludf.DUMMYFUNCTION("GOOGLETRANSLATE(B18192, ""zh"", ""en"")"),"Suitable comfortable shoes good, tried to buy the counter, wearing 36 for 6 yards, good cortex, is that there are several small thread, the price was right, more than half cheaper than the counter.")</f>
        <v>Suitable comfortable shoes good, tried to buy the counter, wearing 36 for 6 yards, good cortex, is that there are several small thread, the price was right, more than half cheaper than the counter.</v>
      </c>
    </row>
    <row r="18193">
      <c r="A18193" s="1">
        <v>5.0</v>
      </c>
      <c r="B18193" s="1" t="s">
        <v>17966</v>
      </c>
      <c r="C18193" t="str">
        <f>IFERROR(__xludf.DUMMYFUNCTION("GOOGLETRANSLATE(B18193, ""zh"", ""en"")"),"Good heel comfortable, warm and lightweight. Logistics quickly, one week to go. On foot a little bit tight for people with low foot.")</f>
        <v>Good heel comfortable, warm and lightweight. Logistics quickly, one week to go. On foot a little bit tight for people with low foot.</v>
      </c>
    </row>
    <row r="18194">
      <c r="A18194" s="1">
        <v>5.0</v>
      </c>
      <c r="B18194" s="1" t="s">
        <v>17967</v>
      </c>
      <c r="C18194" t="str">
        <f>IFERROR(__xludf.DUMMYFUNCTION("GOOGLETRANSLATE(B18194, ""zh"", ""en"")"),"Children liked very beautiful, very fond of children")</f>
        <v>Children liked very beautiful, very fond of children</v>
      </c>
    </row>
    <row r="18195">
      <c r="A18195" s="1">
        <v>5.0</v>
      </c>
      <c r="B18195" s="1" t="s">
        <v>17968</v>
      </c>
      <c r="C18195" t="str">
        <f>IFERROR(__xludf.DUMMYFUNCTION("GOOGLETRANSLATE(B18195, ""zh"", ""en"")"),"Very much like to buy Richell cup, but always felt generally fancy, has not start, but later found out this pokemon, really did not hesitate to start with, then friends also like to see, and then to help buy two months, and friends to buy 😄")</f>
        <v>Very much like to buy Richell cup, but always felt generally fancy, has not start, but later found out this pokemon, really did not hesitate to start with, then friends also like to see, and then to help buy two months, and friends to buy 😄</v>
      </c>
    </row>
    <row r="18196">
      <c r="A18196" s="1">
        <v>5.0</v>
      </c>
      <c r="B18196" s="1" t="s">
        <v>17969</v>
      </c>
      <c r="C18196" t="str">
        <f>IFERROR(__xludf.DUMMYFUNCTION("GOOGLETRANSLATE(B18196, ""zh"", ""en"")"),"Perfect right size look good yo")</f>
        <v>Perfect right size look good yo</v>
      </c>
    </row>
    <row r="18197">
      <c r="A18197" s="1">
        <v>5.0</v>
      </c>
      <c r="B18197" s="1" t="s">
        <v>17970</v>
      </c>
      <c r="C18197" t="str">
        <f>IFERROR(__xludf.DUMMYFUNCTION("GOOGLETRANSLATE(B18197, ""zh"", ""en"")"),"cool very comfortable, very soft feel, Chengdu, more than ten degrees of wear completely OK, the price of a lot cheaper than the mall, cost-effective explosion slightly")</f>
        <v>cool very comfortable, very soft feel, Chengdu, more than ten degrees of wear completely OK, the price of a lot cheaper than the mall, cost-effective explosion slightly</v>
      </c>
    </row>
    <row r="18198">
      <c r="A18198" s="1">
        <v>5.0</v>
      </c>
      <c r="B18198" s="1" t="s">
        <v>17971</v>
      </c>
      <c r="C18198" t="str">
        <f>IFERROR(__xludf.DUMMYFUNCTION("GOOGLETRANSLATE(B18198, ""zh"", ""en"")"),"OK right size, larger capacity. And thin tape. Front pocket and out of inconvenience.")</f>
        <v>OK right size, larger capacity. And thin tape. Front pocket and out of inconvenience.</v>
      </c>
    </row>
    <row r="18199">
      <c r="A18199" s="1">
        <v>5.0</v>
      </c>
      <c r="B18199" s="1" t="s">
        <v>17972</v>
      </c>
      <c r="C18199" t="str">
        <f>IFERROR(__xludf.DUMMYFUNCTION("GOOGLETRANSLATE(B18199, ""zh"", ""en"")"),"Speed ​​is useful, super-fast As Zaoxin Well I think it is within the tolerable range, playing out of juice taste is also particularly good!")</f>
        <v>Speed ​​is useful, super-fast As Zaoxin Well I think it is within the tolerable range, playing out of juice taste is also particularly good!</v>
      </c>
    </row>
    <row r="18200">
      <c r="A18200" s="1">
        <v>5.0</v>
      </c>
      <c r="B18200" s="1" t="s">
        <v>17973</v>
      </c>
      <c r="C18200" t="str">
        <f>IFERROR(__xludf.DUMMYFUNCTION("GOOGLETRANSLATE(B18200, ""zh"", ""en"")"),"Hard disk hard disk quality packaging is very simple, a large cardboard box mounted directly on a small box, and then bam all the way to China, customs clearance, when it took several days to buy back full scan showed no bad sectors, can also speed, the n"&amp;"oise aspects as long as the ground is not so loudly put on the table the sound is relatively large, showed four additional hard disk usage records, not the normal power failure, the cumulative duration is zero, it should not be a problem, it is currently "&amp;"in use")</f>
        <v>Hard disk hard disk quality packaging is very simple, a large cardboard box mounted directly on a small box, and then bam all the way to China, customs clearance, when it took several days to buy back full scan showed no bad sectors, can also speed, the noise aspects as long as the ground is not so loudly put on the table the sound is relatively large, showed four additional hard disk usage records, not the normal power failure, the cumulative duration is zero, it should not be a problem, it is currently in use</v>
      </c>
    </row>
    <row r="18201">
      <c r="A18201" s="1">
        <v>5.0</v>
      </c>
      <c r="B18201" s="1" t="s">
        <v>17974</v>
      </c>
      <c r="C18201" t="str">
        <f>IFERROR(__xludf.DUMMYFUNCTION("GOOGLETRANSLATE(B18201, ""zh"", ""en"")"),"Thick section is very good, but soft to the touch. The size of the right length. More than at home buy cheaper.")</f>
        <v>Thick section is very good, but soft to the touch. The size of the right length. More than at home buy cheaper.</v>
      </c>
    </row>
    <row r="18202">
      <c r="A18202" s="1">
        <v>2.0</v>
      </c>
      <c r="B18202" s="1" t="s">
        <v>17975</v>
      </c>
      <c r="C18202" t="str">
        <f>IFERROR(__xludf.DUMMYFUNCTION("GOOGLETRANSLATE(B18202, ""zh"", ""en"")"),"Inconsistent with the description of feeling plastic raincoat. Poor ventilation. Spring wear thickness only.")</f>
        <v>Inconsistent with the description of feeling plastic raincoat. Poor ventilation. Spring wear thickness only.</v>
      </c>
    </row>
    <row r="18203">
      <c r="A18203" s="1">
        <v>3.0</v>
      </c>
      <c r="B18203" s="1" t="s">
        <v>17976</v>
      </c>
      <c r="C18203" t="str">
        <f>IFERROR(__xludf.DUMMYFUNCTION("GOOGLETRANSLATE(B18203, ""zh"", ""en"")"),"Customer experience is not good, to buy a small 1 minute, but do not know how to handle returns, good depressed ah, there is no detailed description of the page, feeling very poor customer experience to do ..")</f>
        <v>Customer experience is not good, to buy a small 1 minute, but do not know how to handle returns, good depressed ah, there is no detailed description of the page, feeling very poor customer experience to do ..</v>
      </c>
    </row>
    <row r="18204">
      <c r="A18204" s="1">
        <v>3.0</v>
      </c>
      <c r="B18204" s="1" t="s">
        <v>17977</v>
      </c>
      <c r="C18204" t="str">
        <f>IFERROR(__xludf.DUMMYFUNCTION("GOOGLETRANSLATE(B18204, ""zh"", ""en"")"),"Germany overseas purchase of transport are slower than other countries and in other countries under the orders together, shipping the fastest, but orders from other countries are in attendance, this late yet, Germany's transport needs to be strengthened a"&amp;"h.")</f>
        <v>Germany overseas purchase of transport are slower than other countries and in other countries under the orders together, shipping the fastest, but orders from other countries are in attendance, this late yet, Germany's transport needs to be strengthened ah.</v>
      </c>
    </row>
    <row r="18205">
      <c r="A18205" s="1">
        <v>3.0</v>
      </c>
      <c r="B18205" s="1" t="s">
        <v>17978</v>
      </c>
      <c r="C18205" t="str">
        <f>IFERROR(__xludf.DUMMYFUNCTION("GOOGLETRANSLATE(B18205, ""zh"", ""en"")"),"I can only say that barely a relatively brand, the kind of quality workmanship combined with the price, it can only say it reluctantly.")</f>
        <v>I can only say that barely a relatively brand, the kind of quality workmanship combined with the price, it can only say it reluctantly.</v>
      </c>
    </row>
    <row r="18206">
      <c r="A18206" s="1">
        <v>1.0</v>
      </c>
      <c r="B18206" s="1" t="s">
        <v>17979</v>
      </c>
      <c r="C18206" t="str">
        <f>IFERROR(__xludf.DUMMYFUNCTION("GOOGLETRANSLATE(B18206, ""zh"", ""en"")"),"Fake fake a little too far")</f>
        <v>Fake fake a little too far</v>
      </c>
    </row>
    <row r="18207">
      <c r="A18207" s="1">
        <v>1.0</v>
      </c>
      <c r="B18207" s="1" t="s">
        <v>17980</v>
      </c>
      <c r="C18207" t="str">
        <f>IFERROR(__xludf.DUMMYFUNCTION("GOOGLETRANSLATE(B18207, ""zh"", ""en"")"),"Left foot width is not the same bad bad bad foot wide right big is better than a good walk clearly uncomfortable looks particularly evident shame to wear out good and bad Free your back? Why make this mistake?")</f>
        <v>Left foot width is not the same bad bad bad foot wide right big is better than a good walk clearly uncomfortable looks particularly evident shame to wear out good and bad Free your back? Why make this mistake?</v>
      </c>
    </row>
    <row r="18208">
      <c r="A18208" s="1">
        <v>4.0</v>
      </c>
      <c r="B18208" s="1" t="s">
        <v>5178</v>
      </c>
      <c r="C18208" t="str">
        <f>IFERROR(__xludf.DUMMYFUNCTION("GOOGLETRANSLATE(B18208, ""zh"", ""en"")"),"Okay, not as good as imagined okay, not imagined so good")</f>
        <v>Okay, not as good as imagined okay, not imagined so good</v>
      </c>
    </row>
    <row r="18209">
      <c r="A18209" s="1">
        <v>4.0</v>
      </c>
      <c r="B18209" s="1" t="s">
        <v>17981</v>
      </c>
      <c r="C18209" t="str">
        <f>IFERROR(__xludf.DUMMYFUNCTION("GOOGLETRANSLATE(B18209, ""zh"", ""en"")"),"Or just started feeling like the sound is good, the operation is flexible, unfortunately failed security check")</f>
        <v>Or just started feeling like the sound is good, the operation is flexible, unfortunately failed security check</v>
      </c>
    </row>
    <row r="18210">
      <c r="A18210" s="1">
        <v>4.0</v>
      </c>
      <c r="B18210" s="1" t="s">
        <v>17982</v>
      </c>
      <c r="C18210" t="str">
        <f>IFERROR(__xludf.DUMMYFUNCTION("GOOGLETRANSLATE(B18210, ""zh"", ""en"")"),"Can work shoes foot length of 25cm, 26cm buy, think about if you buy a big point, you can add double insoles. I did not expect just a very good fit, but it feels more comfortable then freshman yards. How two weeks, the price of a cheap 80 yuan it, change "&amp;"really fast.")</f>
        <v>Can work shoes foot length of 25cm, 26cm buy, think about if you buy a big point, you can add double insoles. I did not expect just a very good fit, but it feels more comfortable then freshman yards. How two weeks, the price of a cheap 80 yuan it, change really fast.</v>
      </c>
    </row>
    <row r="18211">
      <c r="A18211" s="1">
        <v>4.0</v>
      </c>
      <c r="B18211" s="1" t="s">
        <v>17983</v>
      </c>
      <c r="C18211" t="str">
        <f>IFERROR(__xludf.DUMMYFUNCTION("GOOGLETRANSLATE(B18211, ""zh"", ""en"")"),"Cost-effective, good style, work a bit rough second two-three shoes, dress or comfortable, but work a little rough, and a small part of the cortex have a problem, overall still decent, cost-effective")</f>
        <v>Cost-effective, good style, work a bit rough second two-three shoes, dress or comfortable, but work a little rough, and a small part of the cortex have a problem, overall still decent, cost-effective</v>
      </c>
    </row>
    <row r="18212">
      <c r="A18212" s="1">
        <v>5.0</v>
      </c>
      <c r="B18212" s="1" t="s">
        <v>17984</v>
      </c>
      <c r="C18212" t="str">
        <f>IFERROR(__xludf.DUMMYFUNCTION("GOOGLETRANSLATE(B18212, ""zh"", ""en"")"),"Very nice pants pants very good, very comfortable to wear, flexible, will not feel tight")</f>
        <v>Very nice pants pants very good, very comfortable to wear, flexible, will not feel tight</v>
      </c>
    </row>
    <row r="18213">
      <c r="A18213" s="1">
        <v>5.0</v>
      </c>
      <c r="B18213" s="1" t="s">
        <v>17985</v>
      </c>
      <c r="C18213" t="str">
        <f>IFERROR(__xludf.DUMMYFUNCTION("GOOGLETRANSLATE(B18213, ""zh"", ""en"")"),"This is not a good comparison table pants quality clothes, the clothes is too fat, if Amazon can model the clothes foreign and domestic models have a comparative table the better.")</f>
        <v>This is not a good comparison table pants quality clothes, the clothes is too fat, if Amazon can model the clothes foreign and domestic models have a comparative table the better.</v>
      </c>
    </row>
    <row r="18214">
      <c r="A18214" s="1">
        <v>5.0</v>
      </c>
      <c r="B18214" s="1" t="s">
        <v>17986</v>
      </c>
      <c r="C18214" t="str">
        <f>IFERROR(__xludf.DUMMYFUNCTION("GOOGLETRANSLATE(B18214, ""zh"", ""en"")"),"You can also feel the feeling can be, the effect is not one or two days of withdrawal.")</f>
        <v>You can also feel the feeling can be, the effect is not one or two days of withdrawal.</v>
      </c>
    </row>
    <row r="18215">
      <c r="A18215" s="1">
        <v>5.0</v>
      </c>
      <c r="B18215" s="1" t="s">
        <v>17987</v>
      </c>
      <c r="C18215" t="str">
        <f>IFERROR(__xludf.DUMMYFUNCTION("GOOGLETRANSLATE(B18215, ""zh"", ""en"")"),"Good right size, but also very good looking")</f>
        <v>Good right size, but also very good looking</v>
      </c>
    </row>
    <row r="18216">
      <c r="A18216" s="1">
        <v>5.0</v>
      </c>
      <c r="B18216" s="1" t="s">
        <v>17988</v>
      </c>
      <c r="C18216" t="str">
        <f>IFERROR(__xludf.DUMMYFUNCTION("GOOGLETRANSLATE(B18216, ""zh"", ""en"")"),"Very good quality super love, packaging is really very hard.")</f>
        <v>Very good quality super love, packaging is really very hard.</v>
      </c>
    </row>
    <row r="18217">
      <c r="A18217" s="1">
        <v>5.0</v>
      </c>
      <c r="B18217" s="1" t="s">
        <v>17989</v>
      </c>
      <c r="C18217" t="str">
        <f>IFERROR(__xludf.DUMMYFUNCTION("GOOGLETRANSLATE(B18217, ""zh"", ""en"")"),"A nice color of lead thought to be 20 days, but 11 days is up! Ye pencil with very, very, very satisfied")</f>
        <v>A nice color of lead thought to be 20 days, but 11 days is up! Ye pencil with very, very, very satisfied</v>
      </c>
    </row>
    <row r="18218">
      <c r="A18218" s="1">
        <v>5.0</v>
      </c>
      <c r="B18218" s="1" t="s">
        <v>17990</v>
      </c>
      <c r="C18218" t="str">
        <f>IFERROR(__xludf.DUMMYFUNCTION("GOOGLETRANSLATE(B18218, ""zh"", ""en"")"),"Bradford Bradford Bradford toe pressure. Hard enough. Kick is not bad")</f>
        <v>Bradford Bradford Bradford toe pressure. Hard enough. Kick is not bad</v>
      </c>
    </row>
    <row r="18219">
      <c r="A18219" s="1">
        <v>5.0</v>
      </c>
      <c r="B18219" s="1" t="s">
        <v>17991</v>
      </c>
      <c r="C18219" t="str">
        <f>IFERROR(__xludf.DUMMYFUNCTION("GOOGLETRANSLATE(B18219, ""zh"", ""en"")"),"Not yet, tap it touches very good use")</f>
        <v>Not yet, tap it touches very good use</v>
      </c>
    </row>
    <row r="18220">
      <c r="A18220" s="1">
        <v>5.0</v>
      </c>
      <c r="B18220" s="1" t="s">
        <v>17992</v>
      </c>
      <c r="C18220" t="str">
        <f>IFERROR(__xludf.DUMMYFUNCTION("GOOGLETRANSLATE(B18220, ""zh"", ""en"")"),"Much too fat. Necessarily to buy basic size chart can not go wrong before you buy. Italian origin. Good quality, is too large. I weight 183 high 190, l just code.")</f>
        <v>Much too fat. Necessarily to buy basic size chart can not go wrong before you buy. Italian origin. Good quality, is too large. I weight 183 high 190, l just code.</v>
      </c>
    </row>
    <row r="18221">
      <c r="A18221" s="1">
        <v>5.0</v>
      </c>
      <c r="B18221" s="1" t="s">
        <v>17993</v>
      </c>
      <c r="C18221" t="str">
        <f>IFERROR(__xludf.DUMMYFUNCTION("GOOGLETRANSLATE(B18221, ""zh"", ""en"")"),"Packaging really nice box with a plastic film fixed this product, too perfect, unlike many of the customers that received broken goods, some people suspect that is not really exaggerated, or self-deception.")</f>
        <v>Packaging really nice box with a plastic film fixed this product, too perfect, unlike many of the customers that received broken goods, some people suspect that is not really exaggerated, or self-deception.</v>
      </c>
    </row>
    <row r="18222">
      <c r="A18222" s="1">
        <v>5.0</v>
      </c>
      <c r="B18222" s="1" t="s">
        <v>17994</v>
      </c>
      <c r="C18222" t="str">
        <f>IFERROR(__xludf.DUMMYFUNCTION("GOOGLETRANSLATE(B18222, ""zh"", ""en"")"),"Size being 171cm, 75kg, the size is just right, good fabric")</f>
        <v>Size being 171cm, 75kg, the size is just right, good fabric</v>
      </c>
    </row>
    <row r="18223">
      <c r="A18223" s="1">
        <v>5.0</v>
      </c>
      <c r="B18223" s="1" t="s">
        <v>17995</v>
      </c>
      <c r="C18223" t="str">
        <f>IFERROR(__xludf.DUMMYFUNCTION("GOOGLETRANSLATE(B18223, ""zh"", ""en"")"),"Some commodity color have to do like old jeans fabric, a bit like overalls, L fit to wear 180CM")</f>
        <v>Some commodity color have to do like old jeans fabric, a bit like overalls, L fit to wear 180CM</v>
      </c>
    </row>
    <row r="18224">
      <c r="A18224" s="1">
        <v>5.0</v>
      </c>
      <c r="B18224" s="1" t="s">
        <v>17996</v>
      </c>
      <c r="C18224" t="str">
        <f>IFERROR(__xludf.DUMMYFUNCTION("GOOGLETRANSLATE(B18224, ""zh"", ""en"")"),"Not bad not bad. Platinum great texture. Detail work almost. It sounds great.")</f>
        <v>Not bad not bad. Platinum great texture. Detail work almost. It sounds great.</v>
      </c>
    </row>
    <row r="18225">
      <c r="A18225" s="1">
        <v>5.0</v>
      </c>
      <c r="B18225" s="1" t="s">
        <v>17997</v>
      </c>
      <c r="C18225" t="str">
        <f>IFERROR(__xludf.DUMMYFUNCTION("GOOGLETRANSLATE(B18225, ""zh"", ""en"")"),"Satisfied with just the right clothes very soft.")</f>
        <v>Satisfied with just the right clothes very soft.</v>
      </c>
    </row>
    <row r="18226">
      <c r="A18226" s="1">
        <v>5.0</v>
      </c>
      <c r="B18226" s="1" t="s">
        <v>17998</v>
      </c>
      <c r="C18226" t="str">
        <f>IFERROR(__xludf.DUMMYFUNCTION("GOOGLETRANSLATE(B18226, ""zh"", ""en"")"),"Friends version good sportsman, size difference cautious")</f>
        <v>Friends version good sportsman, size difference cautious</v>
      </c>
    </row>
    <row r="18227">
      <c r="A18227" s="1">
        <v>5.0</v>
      </c>
      <c r="B18227" s="1" t="s">
        <v>17999</v>
      </c>
      <c r="C18227" t="str">
        <f>IFERROR(__xludf.DUMMYFUNCTION("GOOGLETRANSLATE(B18227, ""zh"", ""en"")"),"Five-star recommendation super comfortable, sort of a small positive number 37, five-star recommendation")</f>
        <v>Five-star recommendation super comfortable, sort of a small positive number 37, five-star recommendation</v>
      </c>
    </row>
    <row r="18228">
      <c r="A18228" s="1">
        <v>5.0</v>
      </c>
      <c r="B18228" s="1" t="s">
        <v>18000</v>
      </c>
      <c r="C18228" t="str">
        <f>IFERROR(__xludf.DUMMYFUNCTION("GOOGLETRANSLATE(B18228, ""zh"", ""en"")"),"Ah so comfortable to wear good, very like! Pretty good")</f>
        <v>Ah so comfortable to wear good, very like! Pretty good</v>
      </c>
    </row>
    <row r="18229">
      <c r="A18229" s="1">
        <v>5.0</v>
      </c>
      <c r="B18229" s="1" t="s">
        <v>18001</v>
      </c>
      <c r="C18229" t="str">
        <f>IFERROR(__xludf.DUMMYFUNCTION("GOOGLETRANSLATE(B18229, ""zh"", ""en"")"),"The first of this price to buy Sony headset Bluetooth headset, high cost, sound quality is also good, life to the force, with a total travel by plane ride")</f>
        <v>The first of this price to buy Sony headset Bluetooth headset, high cost, sound quality is also good, life to the force, with a total travel by plane ride</v>
      </c>
    </row>
    <row r="18230">
      <c r="A18230" s="1">
        <v>5.0</v>
      </c>
      <c r="B18230" s="1" t="s">
        <v>18002</v>
      </c>
      <c r="C18230" t="str">
        <f>IFERROR(__xludf.DUMMYFUNCTION("GOOGLETRANSLATE(B18230, ""zh"", ""en"")"),"Good workmanship formal, durable")</f>
        <v>Good workmanship formal, durable</v>
      </c>
    </row>
    <row r="18231">
      <c r="A18231" s="1">
        <v>5.0</v>
      </c>
      <c r="B18231" s="1" t="s">
        <v>18003</v>
      </c>
      <c r="C18231" t="str">
        <f>IFERROR(__xludf.DUMMYFUNCTION("GOOGLETRANSLATE(B18231, ""zh"", ""en"")"),"Good clothes, wear comfortable")</f>
        <v>Good clothes, wear comfortable</v>
      </c>
    </row>
    <row r="18232">
      <c r="A18232" s="1">
        <v>5.0</v>
      </c>
      <c r="B18232" s="1" t="s">
        <v>18004</v>
      </c>
      <c r="C18232" t="str">
        <f>IFERROR(__xludf.DUMMYFUNCTION("GOOGLETRANSLATE(B18232, ""zh"", ""en"")"),"Champion casual sportswear brand stuff like that, than the thick fabric soft and comfortable, recreational sports are good, I bought two sets of clothing are more like it. Buy discount during the event")</f>
        <v>Champion casual sportswear brand stuff like that, than the thick fabric soft and comfortable, recreational sports are good, I bought two sets of clothing are more like it. Buy discount during the event</v>
      </c>
    </row>
    <row r="18233">
      <c r="A18233" s="1">
        <v>5.0</v>
      </c>
      <c r="B18233" s="1" t="s">
        <v>18005</v>
      </c>
      <c r="C18233" t="str">
        <f>IFERROR(__xludf.DUMMYFUNCTION("GOOGLETRANSLATE(B18233, ""zh"", ""en"")"),"1. Giant clothes great clothes, fabric is very thick, very comfortable to wear. 2. as large as the size with the legend. 3. I am 1.78 meters, 76Kg, selected M number, just right. General domestic clothes to wear XXL, a little hurts. 4. The clothes, choose"&amp;" the right size, it is a pleasant experience, the wrong size, is to buy the bag surface.")</f>
        <v>1. Giant clothes great clothes, fabric is very thick, very comfortable to wear. 2. as large as the size with the legend. 3. I am 1.78 meters, 76Kg, selected M number, just right. General domestic clothes to wear XXL, a little hurts. 4. The clothes, choose the right size, it is a pleasant experience, the wrong size, is to buy the bag surface.</v>
      </c>
    </row>
    <row r="18234">
      <c r="A18234" s="1">
        <v>2.0</v>
      </c>
      <c r="B18234" s="1" t="s">
        <v>5398</v>
      </c>
      <c r="C18234" t="str">
        <f>IFERROR(__xludf.DUMMYFUNCTION("GOOGLETRANSLATE(B18234, ""zh"", ""en"")"),"General thin pants, the fabric is not very good ~")</f>
        <v>General thin pants, the fabric is not very good ~</v>
      </c>
    </row>
    <row r="18235">
      <c r="A18235" s="1">
        <v>3.0</v>
      </c>
      <c r="B18235" s="1" t="s">
        <v>18006</v>
      </c>
      <c r="C18235" t="str">
        <f>IFERROR(__xludf.DUMMYFUNCTION("GOOGLETRANSLATE(B18235, ""zh"", ""en"")"),"The recommended size is inappropriate to buy long, looked pretty good, is not take")</f>
        <v>The recommended size is inappropriate to buy long, looked pretty good, is not take</v>
      </c>
    </row>
    <row r="18236">
      <c r="A18236" s="1">
        <v>3.0</v>
      </c>
      <c r="B18236" s="1" t="s">
        <v>18007</v>
      </c>
      <c r="C18236" t="str">
        <f>IFERROR(__xludf.DUMMYFUNCTION("GOOGLETRANSLATE(B18236, ""zh"", ""en"")"),"Generally it does not seem so weighty, packaging and logo should also be blurred delicate domestic product, in the assessment")</f>
        <v>Generally it does not seem so weighty, packaging and logo should also be blurred delicate domestic product, in the assessment</v>
      </c>
    </row>
    <row r="18237">
      <c r="A18237" s="1">
        <v>1.0</v>
      </c>
      <c r="B18237" s="1" t="s">
        <v>18008</v>
      </c>
      <c r="C18237" t="str">
        <f>IFERROR(__xludf.DUMMYFUNCTION("GOOGLETRANSLATE(B18237, ""zh"", ""en"")"),"Do not like too much the return of goods is also not a good deal are required to pay shipping costs")</f>
        <v>Do not like too much the return of goods is also not a good deal are required to pay shipping costs</v>
      </c>
    </row>
    <row r="18238">
      <c r="A18238" s="1">
        <v>1.0</v>
      </c>
      <c r="B18238" s="1" t="s">
        <v>18009</v>
      </c>
      <c r="C18238" t="str">
        <f>IFERROR(__xludf.DUMMYFUNCTION("GOOGLETRANSLATE(B18238, ""zh"", ""en"")"),"Not satisfied with the time shopping is very bad, the box is comotomo, there are other brands of products, but above all the dirty little nipple, after contact customer service, so that handle returns, but had to pay the postage, sent to the United States"&amp;", it is unhappy. After reflected by mail, directly to apply for a refund. Encountered such a thing, after not in this to buy, until very trust Amazon.")</f>
        <v>Not satisfied with the time shopping is very bad, the box is comotomo, there are other brands of products, but above all the dirty little nipple, after contact customer service, so that handle returns, but had to pay the postage, sent to the United States, it is unhappy. After reflected by mail, directly to apply for a refund. Encountered such a thing, after not in this to buy, until very trust Amazon.</v>
      </c>
    </row>
    <row r="18239">
      <c r="A18239" s="1">
        <v>4.0</v>
      </c>
      <c r="B18239" s="1" t="s">
        <v>18010</v>
      </c>
      <c r="C18239" t="str">
        <f>IFERROR(__xludf.DUMMYFUNCTION("GOOGLETRANSLATE(B18239, ""zh"", ""en"")"),"Something more in the middle did not imagine a good, general Chuan Chuan")</f>
        <v>Something more in the middle did not imagine a good, general Chuan Chuan</v>
      </c>
    </row>
    <row r="18240">
      <c r="A18240" s="1">
        <v>4.0</v>
      </c>
      <c r="B18240" s="1" t="s">
        <v>18011</v>
      </c>
      <c r="C18240" t="str">
        <f>IFERROR(__xludf.DUMMYFUNCTION("GOOGLETRANSLATE(B18240, ""zh"", ""en"")"),"Nothing surprises praise speed, reading speed was okay, very slow write speed of 36.7MB / S, the price is not bad. The work point is too rough, stretching is not convenient interface, as easy sandisk CZ48, CZ48 speed did not block")</f>
        <v>Nothing surprises praise speed, reading speed was okay, very slow write speed of 36.7MB / S, the price is not bad. The work point is too rough, stretching is not convenient interface, as easy sandisk CZ48, CZ48 speed did not block</v>
      </c>
    </row>
    <row r="18241">
      <c r="A18241" s="1">
        <v>4.0</v>
      </c>
      <c r="B18241" s="1" t="s">
        <v>18012</v>
      </c>
      <c r="C18241" t="str">
        <f>IFERROR(__xludf.DUMMYFUNCTION("GOOGLETRANSLATE(B18241, ""zh"", ""en"")"),"Delicious delicious, home of Andy liked. But do not understand why the EPA than DHA")</f>
        <v>Delicious delicious, home of Andy liked. But do not understand why the EPA than DHA</v>
      </c>
    </row>
    <row r="18242">
      <c r="A18242" s="1">
        <v>4.0</v>
      </c>
      <c r="B18242" s="1" t="s">
        <v>18013</v>
      </c>
      <c r="C18242" t="str">
        <f>IFERROR(__xludf.DUMMYFUNCTION("GOOGLETRANSLATE(B18242, ""zh"", ""en"")"),"Handsome! Good quality, the taste is too big! Buy a second double, and feel good-looking brown than black ah! The pair finally bought a code number! Nike wear 45.5, the buy 11.5D, very comfortable. Shoes Needless to say, the quality is very good, the only"&amp;" downside is the shoe has a very strong taste, difficult to hear!")</f>
        <v>Handsome! Good quality, the taste is too big! Buy a second double, and feel good-looking brown than black ah! The pair finally bought a code number! Nike wear 45.5, the buy 11.5D, very comfortable. Shoes Needless to say, the quality is very good, the only downside is the shoe has a very strong taste, difficult to hear!</v>
      </c>
    </row>
    <row r="18243">
      <c r="A18243" s="1">
        <v>4.0</v>
      </c>
      <c r="B18243" s="1" t="s">
        <v>18014</v>
      </c>
      <c r="C18243" t="str">
        <f>IFERROR(__xludf.DUMMYFUNCTION("GOOGLETRANSLATE(B18243, ""zh"", ""en"")"),"Satisfaction summer wear, thin, good quality. Scattered on the long leg of the lot")</f>
        <v>Satisfaction summer wear, thin, good quality. Scattered on the long leg of the lot</v>
      </c>
    </row>
    <row r="18244">
      <c r="A18244" s="1">
        <v>5.0</v>
      </c>
      <c r="B18244" s="1" t="s">
        <v>18015</v>
      </c>
      <c r="C18244" t="str">
        <f>IFERROR(__xludf.DUMMYFUNCTION("GOOGLETRANSLATE(B18244, ""zh"", ""en"")"),"The exact size I was very comfortable standard of 265 feet code, 8.5UK Bimei code 9.5M still accurate, logistics ten days hand. This shoe shape some people may not like it, but the foot is very beautiful, interactive music of its Air technology is not blo"&amp;"wing, like stepping on cotton as well, through my most comfortable shoes, leather and workmanship are very good, highly recommended.")</f>
        <v>The exact size I was very comfortable standard of 265 feet code, 8.5UK Bimei code 9.5M still accurate, logistics ten days hand. This shoe shape some people may not like it, but the foot is very beautiful, interactive music of its Air technology is not blowing, like stepping on cotton as well, through my most comfortable shoes, leather and workmanship are very good, highly recommended.</v>
      </c>
    </row>
    <row r="18245">
      <c r="A18245" s="1">
        <v>5.0</v>
      </c>
      <c r="B18245" s="1" t="s">
        <v>18016</v>
      </c>
      <c r="C18245" t="str">
        <f>IFERROR(__xludf.DUMMYFUNCTION("GOOGLETRANSLATE(B18245, ""zh"", ""en"")"),"Yes! Fashionable, fashion trends!")</f>
        <v>Yes! Fashionable, fashion trends!</v>
      </c>
    </row>
    <row r="18246">
      <c r="A18246" s="1">
        <v>5.0</v>
      </c>
      <c r="B18246" s="1" t="s">
        <v>18017</v>
      </c>
      <c r="C18246" t="str">
        <f>IFERROR(__xludf.DUMMYFUNCTION("GOOGLETRANSLATE(B18246, ""zh"", ""en"")"),"Good-looking and practical! ! Pattern really cute ah! ! Amoy sea than their more convenient! !")</f>
        <v>Good-looking and practical! ! Pattern really cute ah! ! Amoy sea than their more convenient! !</v>
      </c>
    </row>
    <row r="18247">
      <c r="A18247" s="1">
        <v>5.0</v>
      </c>
      <c r="B18247" s="1" t="s">
        <v>18018</v>
      </c>
      <c r="C18247" t="str">
        <f>IFERROR(__xludf.DUMMYFUNCTION("GOOGLETRANSLATE(B18247, ""zh"", ""en"")"),"Good style good, very good effect, like expected")</f>
        <v>Good style good, very good effect, like expected</v>
      </c>
    </row>
    <row r="18248">
      <c r="A18248" s="1">
        <v>5.0</v>
      </c>
      <c r="B18248" s="1" t="s">
        <v>688</v>
      </c>
      <c r="C18248" t="str">
        <f>IFERROR(__xludf.DUMMYFUNCTION("GOOGLETRANSLATE(B18248, ""zh"", ""en"")"),"Whine very good winter wear is appropriate.")</f>
        <v>Whine very good winter wear is appropriate.</v>
      </c>
    </row>
    <row r="18249">
      <c r="A18249" s="1">
        <v>5.0</v>
      </c>
      <c r="B18249" s="1" t="s">
        <v>18019</v>
      </c>
      <c r="C18249" t="str">
        <f>IFERROR(__xludf.DUMMYFUNCTION("GOOGLETRANSLATE(B18249, ""zh"", ""en"")"),"Ultra-light, comfortable comfortable, lightweight, relax your feet, that code does have a little big, but still a good drop")</f>
        <v>Ultra-light, comfortable comfortable, lightweight, relax your feet, that code does have a little big, but still a good drop</v>
      </c>
    </row>
    <row r="18250">
      <c r="A18250" s="1">
        <v>5.0</v>
      </c>
      <c r="B18250" s="1" t="s">
        <v>1176</v>
      </c>
      <c r="C18250" t="str">
        <f>IFERROR(__xludf.DUMMYFUNCTION("GOOGLETRANSLATE(B18250, ""zh"", ""en"")"),"Size is too large at least a number of big size, at least a large number")</f>
        <v>Size is too large at least a number of big size, at least a large number</v>
      </c>
    </row>
    <row r="18251">
      <c r="A18251" s="1">
        <v>5.0</v>
      </c>
      <c r="B18251" s="1" t="s">
        <v>18020</v>
      </c>
      <c r="C18251" t="str">
        <f>IFERROR(__xludf.DUMMYFUNCTION("GOOGLETRANSLATE(B18251, ""zh"", ""en"")"),"Great stuff is very good, not from the previous evaluation, I do not know how many wasted points, points can change money now know, they should look carefully evaluated, then I put these words to copy to go, both to earn points, but also save time, copy w"&amp;"here they go, the most important thing is, do not seriously review, do not think how much worse word, sent directly to it, recommend it to everyone")</f>
        <v>Great stuff is very good, not from the previous evaluation, I do not know how many wasted points, points can change money now know, they should look carefully evaluated, then I put these words to copy to go, both to earn points, but also save time, copy where they go, the most important thing is, do not seriously review, do not think how much worse word, sent directly to it, recommend it to everyone</v>
      </c>
    </row>
    <row r="18252">
      <c r="A18252" s="1">
        <v>5.0</v>
      </c>
      <c r="B18252" s="1" t="s">
        <v>18021</v>
      </c>
      <c r="C18252" t="str">
        <f>IFERROR(__xludf.DUMMYFUNCTION("GOOGLETRANSLATE(B18252, ""zh"", ""en"")"),"Easy to use, but also in Japan, home to both store bought a lot of this and that the thief soft. Easy to use! ! ! ! Both at home stockpile it! ! ! Do not like the use of this ultrasonic toothbrush up! !")</f>
        <v>Easy to use, but also in Japan, home to both store bought a lot of this and that the thief soft. Easy to use! ! ! ! Both at home stockpile it! ! ! Do not like the use of this ultrasonic toothbrush up! !</v>
      </c>
    </row>
    <row r="18253">
      <c r="A18253" s="1">
        <v>5.0</v>
      </c>
      <c r="B18253" s="1" t="s">
        <v>18022</v>
      </c>
      <c r="C18253" t="str">
        <f>IFERROR(__xludf.DUMMYFUNCTION("GOOGLETRANSLATE(B18253, ""zh"", ""en"")"),"Tuning orientation different from the past and have had a previous generation, tuning and orientation are not the same three generations, three generations do not like.")</f>
        <v>Tuning orientation different from the past and have had a previous generation, tuning and orientation are not the same three generations, three generations do not like.</v>
      </c>
    </row>
    <row r="18254">
      <c r="A18254" s="1">
        <v>5.0</v>
      </c>
      <c r="B18254" s="1" t="s">
        <v>18023</v>
      </c>
      <c r="C18254" t="str">
        <f>IFERROR(__xludf.DUMMYFUNCTION("GOOGLETRANSLATE(B18254, ""zh"", ""en"")"),"Still prefer to wear quite comfortable, autumn and winter sports, jogging necessary.")</f>
        <v>Still prefer to wear quite comfortable, autumn and winter sports, jogging necessary.</v>
      </c>
    </row>
    <row r="18255">
      <c r="A18255" s="1">
        <v>5.0</v>
      </c>
      <c r="B18255" s="1" t="s">
        <v>18024</v>
      </c>
      <c r="C18255" t="str">
        <f>IFERROR(__xludf.DUMMYFUNCTION("GOOGLETRANSLATE(B18255, ""zh"", ""en"")"),"Like being pot machines, sound quality is not good in general, I am not a professional, for the first time to buy an expensive headset, a luxury.")</f>
        <v>Like being pot machines, sound quality is not good in general, I am not a professional, for the first time to buy an expensive headset, a luxury.</v>
      </c>
    </row>
    <row r="18256">
      <c r="A18256" s="1">
        <v>5.0</v>
      </c>
      <c r="B18256" s="1" t="s">
        <v>7</v>
      </c>
      <c r="C18256" t="str">
        <f>IFERROR(__xludf.DUMMYFUNCTION("GOOGLETRANSLATE(B18256, ""zh"", ""en"")"),"Satisfied with the size and almost home, 172m77 kg, 32 is appropriate, this is loose type, legs wider.")</f>
        <v>Satisfied with the size and almost home, 172m77 kg, 32 is appropriate, this is loose type, legs wider.</v>
      </c>
    </row>
    <row r="18257">
      <c r="A18257" s="1">
        <v>5.0</v>
      </c>
      <c r="B18257" s="1" t="s">
        <v>18025</v>
      </c>
      <c r="C18257" t="str">
        <f>IFERROR(__xludf.DUMMYFUNCTION("GOOGLETRANSLATE(B18257, ""zh"", ""en"")"),"Very good orders received only half a month, personal information should be checked, where more delay time, after quickly made goods sent to, and express little brother who super nice. Headphones not burn, but the feeling has been good enough.")</f>
        <v>Very good orders received only half a month, personal information should be checked, where more delay time, after quickly made goods sent to, and express little brother who super nice. Headphones not burn, but the feeling has been good enough.</v>
      </c>
    </row>
    <row r="18258">
      <c r="A18258" s="1">
        <v>5.0</v>
      </c>
      <c r="B18258" s="1" t="s">
        <v>18026</v>
      </c>
      <c r="C18258" t="str">
        <f>IFERROR(__xludf.DUMMYFUNCTION("GOOGLETRANSLATE(B18258, ""zh"", ""en"")"),"Choose a small cup size according to the table just one yard between AB cup, the cup A is selected from the chest and will be a little pressure extrusion grooves (this is said to be small cup), it is generally a size Save accordance with the usual cup lin"&amp;"e.")</f>
        <v>Choose a small cup size according to the table just one yard between AB cup, the cup A is selected from the chest and will be a little pressure extrusion grooves (this is said to be small cup), it is generally a size Save accordance with the usual cup line.</v>
      </c>
    </row>
    <row r="18259">
      <c r="A18259" s="1">
        <v>5.0</v>
      </c>
      <c r="B18259" s="1" t="s">
        <v>18027</v>
      </c>
      <c r="C18259" t="str">
        <f>IFERROR(__xludf.DUMMYFUNCTION("GOOGLETRANSLATE(B18259, ""zh"", ""en"")"),"Well like the large packaging is very appropriate eating")</f>
        <v>Well like the large packaging is very appropriate eating</v>
      </c>
    </row>
    <row r="18260">
      <c r="A18260" s="1">
        <v>5.0</v>
      </c>
      <c r="B18260" s="1" t="s">
        <v>18028</v>
      </c>
      <c r="C18260" t="str">
        <f>IFERROR(__xludf.DUMMYFUNCTION("GOOGLETRANSLATE(B18260, ""zh"", ""en"")"),"Nice color, ultra-light Nichia good packaging, cups beautiful color, light and convenient, just what I wanted.")</f>
        <v>Nice color, ultra-light Nichia good packaging, cups beautiful color, light and convenient, just what I wanted.</v>
      </c>
    </row>
    <row r="18261">
      <c r="A18261" s="1">
        <v>5.0</v>
      </c>
      <c r="B18261" s="1" t="s">
        <v>18029</v>
      </c>
      <c r="C18261" t="str">
        <f>IFERROR(__xludf.DUMMYFUNCTION("GOOGLETRANSLATE(B18261, ""zh"", ""en"")"),"Large enough nice, big enough spare")</f>
        <v>Large enough nice, big enough spare</v>
      </c>
    </row>
    <row r="18262">
      <c r="A18262" s="1">
        <v>5.0</v>
      </c>
      <c r="B18262" s="1" t="s">
        <v>18030</v>
      </c>
      <c r="C18262" t="str">
        <f>IFERROR(__xludf.DUMMYFUNCTION("GOOGLETRANSLATE(B18262, ""zh"", ""en"")"),"Liberal bias of shoes, like compact detour! Second time to buy, do not explain!")</f>
        <v>Liberal bias of shoes, like compact detour! Second time to buy, do not explain!</v>
      </c>
    </row>
    <row r="18263">
      <c r="A18263" s="1">
        <v>5.0</v>
      </c>
      <c r="B18263" s="1" t="s">
        <v>18031</v>
      </c>
      <c r="C18263" t="str">
        <f>IFERROR(__xludf.DUMMYFUNCTION("GOOGLETRANSLATE(B18263, ""zh"", ""en"")"),"High cost is very delicate embroidery, lined with comfortable, very soft, very comfortable. Very cost-effective experience.")</f>
        <v>High cost is very delicate embroidery, lined with comfortable, very soft, very comfortable. Very cost-effective experience.</v>
      </c>
    </row>
    <row r="18264">
      <c r="A18264" s="1">
        <v>5.0</v>
      </c>
      <c r="B18264" s="1" t="s">
        <v>18032</v>
      </c>
      <c r="C18264" t="str">
        <f>IFERROR(__xludf.DUMMYFUNCTION("GOOGLETRANSLATE(B18264, ""zh"", ""en"")"),"Lee brand cost-effective, at least it is more than domestic businesses")</f>
        <v>Lee brand cost-effective, at least it is more than domestic businesses</v>
      </c>
    </row>
    <row r="18265">
      <c r="A18265" s="1">
        <v>2.0</v>
      </c>
      <c r="B18265" s="1" t="s">
        <v>18033</v>
      </c>
      <c r="C18265" t="str">
        <f>IFERROR(__xludf.DUMMYFUNCTION("GOOGLETRANSLATE(B18265, ""zh"", ""en"")"),"Too much too simply can not wear, too, clothing quality is good champion, but that size really do not understand, is not good to buy abroad because it is less than 100 things to toss, send to friends to wear, all day, he refused to wear off, mad at me.")</f>
        <v>Too much too simply can not wear, too, clothing quality is good champion, but that size really do not understand, is not good to buy abroad because it is less than 100 things to toss, send to friends to wear, all day, he refused to wear off, mad at me.</v>
      </c>
    </row>
    <row r="18266">
      <c r="A18266" s="1">
        <v>3.0</v>
      </c>
      <c r="B18266" s="1" t="s">
        <v>18034</v>
      </c>
      <c r="C18266" t="str">
        <f>IFERROR(__xludf.DUMMYFUNCTION("GOOGLETRANSLATE(B18266, ""zh"", ""en"")"),"As more and more like genuine and not fakes")</f>
        <v>As more and more like genuine and not fakes</v>
      </c>
    </row>
    <row r="18267">
      <c r="A18267" s="1">
        <v>3.0</v>
      </c>
      <c r="B18267" s="1" t="s">
        <v>18035</v>
      </c>
      <c r="C18267" t="str">
        <f>IFERROR(__xludf.DUMMYFUNCTION("GOOGLETRANSLATE(B18267, ""zh"", ""en"")"),"Calvin Klein Men's Underwear Made in Kenya, the quality is not so good. And the problem is I do not know how to choose the size, last time I bought Middle size, it's ok for me, but I do not know why I still choose the same Middle size, it's a liitle small"&amp;" then previous one.")</f>
        <v>Calvin Klein Men's Underwear Made in Kenya, the quality is not so good. And the problem is I do not know how to choose the size, last time I bought Middle size, it's ok for me, but I do not know why I still choose the same Middle size, it's a liitle small then previous one.</v>
      </c>
    </row>
    <row r="18268">
      <c r="A18268" s="1">
        <v>1.0</v>
      </c>
      <c r="B18268" s="1" t="s">
        <v>18036</v>
      </c>
      <c r="C18268" t="str">
        <f>IFERROR(__xludf.DUMMYFUNCTION("GOOGLETRANSLATE(B18268, ""zh"", ""en"")"),"Good hard bristle brush bristles, with the domestic hotel as disposable toothbrush")</f>
        <v>Good hard bristle brush bristles, with the domestic hotel as disposable toothbrush</v>
      </c>
    </row>
    <row r="18269">
      <c r="A18269" s="1">
        <v>1.0</v>
      </c>
      <c r="B18269" s="1" t="s">
        <v>18037</v>
      </c>
      <c r="C18269" t="str">
        <f>IFERROR(__xludf.DUMMYFUNCTION("GOOGLETRANSLATE(B18269, ""zh"", ""en"")"),"It is not genuine first in line to buy, texture and taste a little different with me back in the United States. Your child to drink, and my heart disturbed compare")</f>
        <v>It is not genuine first in line to buy, texture and taste a little different with me back in the United States. Your child to drink, and my heart disturbed compare</v>
      </c>
    </row>
    <row r="18270">
      <c r="A18270" s="1">
        <v>1.0</v>
      </c>
      <c r="B18270" s="1" t="s">
        <v>18038</v>
      </c>
      <c r="C18270" t="str">
        <f>IFERROR(__xludf.DUMMYFUNCTION("GOOGLETRANSLATE(B18270, ""zh"", ""en"")"),"Clothes fade serious, do not recommend buying Indian-made, black fade serious, have been used to wash twice, the water is black, disappointed with the quality of this brand")</f>
        <v>Clothes fade serious, do not recommend buying Indian-made, black fade serious, have been used to wash twice, the water is black, disappointed with the quality of this brand</v>
      </c>
    </row>
    <row r="18271">
      <c r="A18271" s="1">
        <v>4.0</v>
      </c>
      <c r="B18271" s="1" t="s">
        <v>18039</v>
      </c>
      <c r="C18271" t="str">
        <f>IFERROR(__xludf.DUMMYFUNCTION("GOOGLETRANSLATE(B18271, ""zh"", ""en"")"),"Fairly satisfied dhl domestic SF a week. Leather good, Southeast Asia production, not satisfied with the piece of zippers, zippers what bad pull. Domestic Jingmai 1599, silly before buying.")</f>
        <v>Fairly satisfied dhl domestic SF a week. Leather good, Southeast Asia production, not satisfied with the piece of zippers, zippers what bad pull. Domestic Jingmai 1599, silly before buying.</v>
      </c>
    </row>
    <row r="18272">
      <c r="A18272" s="1">
        <v>4.0</v>
      </c>
      <c r="B18272" s="1" t="s">
        <v>18040</v>
      </c>
      <c r="C18272" t="str">
        <f>IFERROR(__xludf.DUMMYFUNCTION("GOOGLETRANSLATE(B18272, ""zh"", ""en"")"),"This is not a replacement shoe overseas is good, I wear is too large,")</f>
        <v>This is not a replacement shoe overseas is good, I wear is too large,</v>
      </c>
    </row>
    <row r="18273">
      <c r="A18273" s="1">
        <v>4.0</v>
      </c>
      <c r="B18273" s="1" t="s">
        <v>18041</v>
      </c>
      <c r="C18273" t="str">
        <f>IFERROR(__xludf.DUMMYFUNCTION("GOOGLETRANSLATE(B18273, ""zh"", ""en"")"),"Visual appearance is good! Visual appearance is good! Hopefully reliability, better stability.")</f>
        <v>Visual appearance is good! Visual appearance is good! Hopefully reliability, better stability.</v>
      </c>
    </row>
    <row r="18274">
      <c r="A18274" s="1">
        <v>4.0</v>
      </c>
      <c r="B18274" s="1" t="s">
        <v>18042</v>
      </c>
      <c r="C18274" t="str">
        <f>IFERROR(__xludf.DUMMYFUNCTION("GOOGLETRANSLATE(B18274, ""zh"", ""en"")"),"No domestic c k than the same code number seems a bit narrower")</f>
        <v>No domestic c k than the same code number seems a bit narrower</v>
      </c>
    </row>
    <row r="18275">
      <c r="A18275" s="1">
        <v>4.0</v>
      </c>
      <c r="B18275" s="1" t="s">
        <v>18043</v>
      </c>
      <c r="C18275" t="str">
        <f>IFERROR(__xludf.DUMMYFUNCTION("GOOGLETRANSLATE(B18275, ""zh"", ""en"")"),"Overall Rating been using portable hands of the western 7/8 of the hard disk performance low noise and stable voltage is not affected by factors that can not read the disk problem recently bought two discs 2T and 4T west line data quality issues are appea"&amp;"rs, 4T or overseas purchase. Data lines are a problem, connect the hard drive light is on, half-day drive letter (not recognize disk) does not appear! Replace the original old line, two seconds to identify available, I hope the western strengthen quality "&amp;"control data connection. Not because of the problem of data lines leading to the return, after all, not all buyers have the extra data lines!")</f>
        <v>Overall Rating been using portable hands of the western 7/8 of the hard disk performance low noise and stable voltage is not affected by factors that can not read the disk problem recently bought two discs 2T and 4T west line data quality issues are appears, 4T or overseas purchase. Data lines are a problem, connect the hard drive light is on, half-day drive letter (not recognize disk) does not appear! Replace the original old line, two seconds to identify available, I hope the western strengthen quality control data connection. Not because of the problem of data lines leading to the return, after all, not all buyers have the extra data lines!</v>
      </c>
    </row>
    <row r="18276">
      <c r="A18276" s="1">
        <v>5.0</v>
      </c>
      <c r="B18276" s="1" t="s">
        <v>18044</v>
      </c>
      <c r="C18276" t="str">
        <f>IFERROR(__xludf.DUMMYFUNCTION("GOOGLETRANSLATE(B18276, ""zh"", ""en"")"),"Find the gems super comfortable, work really good, comfortable, warm, personal, flexibility is also very good, more importantly, a cat flagship store with more than 400 models sold, Amazon simply buy overseas conscience ah!")</f>
        <v>Find the gems super comfortable, work really good, comfortable, warm, personal, flexibility is also very good, more importantly, a cat flagship store with more than 400 models sold, Amazon simply buy overseas conscience ah!</v>
      </c>
    </row>
    <row r="18277">
      <c r="A18277" s="1">
        <v>5.0</v>
      </c>
      <c r="B18277" s="1" t="s">
        <v>18045</v>
      </c>
      <c r="C18277" t="str">
        <f>IFERROR(__xludf.DUMMYFUNCTION("GOOGLETRANSLATE(B18277, ""zh"", ""en"")"),"More adequate size 26.3 feet, feet wide, too fat appropriate spare length of about 0.5, this comparator foot shoe size")</f>
        <v>More adequate size 26.3 feet, feet wide, too fat appropriate spare length of about 0.5, this comparator foot shoe size</v>
      </c>
    </row>
    <row r="18278">
      <c r="A18278" s="1">
        <v>5.0</v>
      </c>
      <c r="B18278" s="1" t="s">
        <v>18046</v>
      </c>
      <c r="C18278" t="str">
        <f>IFERROR(__xludf.DUMMYFUNCTION("GOOGLETRANSLATE(B18278, ""zh"", ""en"")"),"I want to say first product: a fair price, product acceptable, not a professional can not evaluate products, personal feeling good. Perimeter size is based on the center hole! Perimeter size is based on the center hole! Perimeter size is based on the cent"&amp;"er hole! Width 3cm. Aesthetic people should prefer a little wide, but significantly narrow legs, I'm serious. Besides shopping experience: it is perfect in this regard. Is finished alone was not any price cuts price of insurance have been very depressed, "&amp;"customer service a little brother playing morally say can not be solved, but fortunately, the second a little sister to come forward given the green light to return the difference. Critical Recommendation: To join price protection functions, or serious im"&amp;"pact on the shopping experience. Just under a single commodity is on the way you told me that prices are down 20%? What mood you own experience! Anyway, not the little sister I will certainly return, to express my gratitude!")</f>
        <v>I want to say first product: a fair price, product acceptable, not a professional can not evaluate products, personal feeling good. Perimeter size is based on the center hole! Perimeter size is based on the center hole! Perimeter size is based on the center hole! Width 3cm. Aesthetic people should prefer a little wide, but significantly narrow legs, I'm serious. Besides shopping experience: it is perfect in this regard. Is finished alone was not any price cuts price of insurance have been very depressed, customer service a little brother playing morally say can not be solved, but fortunately, the second a little sister to come forward given the green light to return the difference. Critical Recommendation: To join price protection functions, or serious impact on the shopping experience. Just under a single commodity is on the way you told me that prices are down 20%? What mood you own experience! Anyway, not the little sister I will certainly return, to express my gratitude!</v>
      </c>
    </row>
    <row r="18279">
      <c r="A18279" s="1">
        <v>5.0</v>
      </c>
      <c r="B18279" s="1" t="s">
        <v>18047</v>
      </c>
      <c r="C18279" t="str">
        <f>IFERROR(__xludf.DUMMYFUNCTION("GOOGLETRANSLATE(B18279, ""zh"", ""en"")"),"Yen control meticulous workmanship snap design, gowns coverage of large, very practical, high color value, the car side and tidy, except you did wrong.")</f>
        <v>Yen control meticulous workmanship snap design, gowns coverage of large, very practical, high color value, the car side and tidy, except you did wrong.</v>
      </c>
    </row>
    <row r="18280">
      <c r="A18280" s="1">
        <v>5.0</v>
      </c>
      <c r="B18280" s="1" t="s">
        <v>18048</v>
      </c>
      <c r="C18280" t="str">
        <f>IFERROR(__xludf.DUMMYFUNCTION("GOOGLETRANSLATE(B18280, ""zh"", ""en"")"),"Bosch Bosch TWK7S05 kettle shape looks good, is directed at brand to buy.")</f>
        <v>Bosch Bosch TWK7S05 kettle shape looks good, is directed at brand to buy.</v>
      </c>
    </row>
    <row r="18281">
      <c r="A18281" s="1">
        <v>5.0</v>
      </c>
      <c r="B18281" s="1" t="s">
        <v>18049</v>
      </c>
      <c r="C18281" t="str">
        <f>IFERROR(__xludf.DUMMYFUNCTION("GOOGLETRANSLATE(B18281, ""zh"", ""en"")"),"Size reference 178cm, 72kg, waist 84cm, just this code")</f>
        <v>Size reference 178cm, 72kg, waist 84cm, just this code</v>
      </c>
    </row>
    <row r="18282">
      <c r="A18282" s="1">
        <v>5.0</v>
      </c>
      <c r="B18282" s="1" t="s">
        <v>18050</v>
      </c>
      <c r="C18282" t="str">
        <f>IFERROR(__xludf.DUMMYFUNCTION("GOOGLETRANSLATE(B18282, ""zh"", ""en"")"),"Germany big box, Made in Germany")</f>
        <v>Germany big box, Made in Germany</v>
      </c>
    </row>
    <row r="18283">
      <c r="A18283" s="1">
        <v>5.0</v>
      </c>
      <c r="B18283" s="1" t="s">
        <v>18051</v>
      </c>
      <c r="C18283" t="str">
        <f>IFERROR(__xludf.DUMMYFUNCTION("GOOGLETRANSLATE(B18283, ""zh"", ""en"")"),"Very good, I hand the fine is appropriate")</f>
        <v>Very good, I hand the fine is appropriate</v>
      </c>
    </row>
    <row r="18284">
      <c r="A18284" s="1">
        <v>5.0</v>
      </c>
      <c r="B18284" s="1" t="s">
        <v>18052</v>
      </c>
      <c r="C18284" t="str">
        <f>IFERROR(__xludf.DUMMYFUNCTION("GOOGLETRANSLATE(B18284, ""zh"", ""en"")"),"High cost is very high price! Domestic counter barely enough fraction.")</f>
        <v>High cost is very high price! Domestic counter barely enough fraction.</v>
      </c>
    </row>
    <row r="18285">
      <c r="A18285" s="1">
        <v>5.0</v>
      </c>
      <c r="B18285" s="1" t="s">
        <v>18053</v>
      </c>
      <c r="C18285" t="str">
        <f>IFERROR(__xludf.DUMMYFUNCTION("GOOGLETRANSLATE(B18285, ""zh"", ""en"")"),"The right size, comfortable to wear. The right size, comfortable to wear.")</f>
        <v>The right size, comfortable to wear. The right size, comfortable to wear.</v>
      </c>
    </row>
    <row r="18286">
      <c r="A18286" s="1">
        <v>5.0</v>
      </c>
      <c r="B18286" s="1" t="s">
        <v>18054</v>
      </c>
      <c r="C18286" t="str">
        <f>IFERROR(__xludf.DUMMYFUNCTION("GOOGLETRANSLATE(B18286, ""zh"", ""en"")"),"as expected with a few days, well, in line with expectations")</f>
        <v>as expected with a few days, well, in line with expectations</v>
      </c>
    </row>
    <row r="18287">
      <c r="A18287" s="1">
        <v>5.0</v>
      </c>
      <c r="B18287" s="1" t="s">
        <v>6455</v>
      </c>
      <c r="C18287" t="str">
        <f>IFERROR(__xludf.DUMMYFUNCTION("GOOGLETRANSLATE(B18287, ""zh"", ""en"")"),"Good Good")</f>
        <v>Good Good</v>
      </c>
    </row>
    <row r="18288">
      <c r="A18288" s="1">
        <v>5.0</v>
      </c>
      <c r="B18288" s="1" t="s">
        <v>18055</v>
      </c>
      <c r="C18288" t="str">
        <f>IFERROR(__xludf.DUMMYFUNCTION("GOOGLETRANSLATE(B18288, ""zh"", ""en"")"),"Value value of the goods, bought several times. 300 The following are worth starting, give it away any decent.")</f>
        <v>Value value of the goods, bought several times. 300 The following are worth starting, give it away any decent.</v>
      </c>
    </row>
    <row r="18289">
      <c r="A18289" s="1">
        <v>5.0</v>
      </c>
      <c r="B18289" s="1" t="s">
        <v>18056</v>
      </c>
      <c r="C18289" t="str">
        <f>IFERROR(__xludf.DUMMYFUNCTION("GOOGLETRANSLATE(B18289, ""zh"", ""en"")"),"Opened on sound great! But Amazon is not clear why sell the price? ? Headphone okay with a few years of the next day, feeling very shocked! Baia indeed! Tri-band are great! The main vocal sound or bias listening. I just can not understand why sell the pri"&amp;"ce! Do not make money, ah! Emphasize now pushed straight in using a mobile phone 250 Europe, is not disappointed! ! ! But I still did not understand why sell the price! Refurbished ah?")</f>
        <v>Opened on sound great! But Amazon is not clear why sell the price? ? Headphone okay with a few years of the next day, feeling very shocked! Baia indeed! Tri-band are great! The main vocal sound or bias listening. I just can not understand why sell the price! Do not make money, ah! Emphasize now pushed straight in using a mobile phone 250 Europe, is not disappointed! ! ! But I still did not understand why sell the price! Refurbished ah?</v>
      </c>
    </row>
    <row r="18290">
      <c r="A18290" s="1">
        <v>5.0</v>
      </c>
      <c r="B18290" s="1" t="s">
        <v>17700</v>
      </c>
      <c r="C18290" t="str">
        <f>IFERROR(__xludf.DUMMYFUNCTION("GOOGLETRANSLATE(B18290, ""zh"", ""en"")"),"Very satisfied about the country than the size of a large one yards, styles, fabrics, colors are good, high cost, to buy affordable than going to a lot of special")</f>
        <v>Very satisfied about the country than the size of a large one yards, styles, fabrics, colors are good, high cost, to buy affordable than going to a lot of special</v>
      </c>
    </row>
    <row r="18291">
      <c r="A18291" s="1">
        <v>5.0</v>
      </c>
      <c r="B18291" s="1" t="s">
        <v>18057</v>
      </c>
      <c r="C18291" t="str">
        <f>IFERROR(__xludf.DUMMYFUNCTION("GOOGLETRANSLATE(B18291, ""zh"", ""en"")"),"Great value, ordinary young essential, pragmatic choice. Purchased overseas for the first time under orders not wait state 10 days to update logistics, customer service said it might be lost, immediately to the customer service I got a single. I think it "&amp;"is a gift card to pay. After receipt of a watch, a very pleasant surprise, the price is really high. More than two watches, a little flaw does not work, and neatly. The most pleasant surprise is that this is a watch with a luminous lights, press down the "&amp;"knob on the right side of the dial lit up, I think this is the reason easy reader called it, but the official website did not write ah. All in all, very good value.")</f>
        <v>Great value, ordinary young essential, pragmatic choice. Purchased overseas for the first time under orders not wait state 10 days to update logistics, customer service said it might be lost, immediately to the customer service I got a single. I think it is a gift card to pay. After receipt of a watch, a very pleasant surprise, the price is really high. More than two watches, a little flaw does not work, and neatly. The most pleasant surprise is that this is a watch with a luminous lights, press down the knob on the right side of the dial lit up, I think this is the reason easy reader called it, but the official website did not write ah. All in all, very good value.</v>
      </c>
    </row>
    <row r="18292">
      <c r="A18292" s="1">
        <v>5.0</v>
      </c>
      <c r="B18292" s="1" t="s">
        <v>10281</v>
      </c>
      <c r="C18292" t="str">
        <f>IFERROR(__xludf.DUMMYFUNCTION("GOOGLETRANSLATE(B18292, ""zh"", ""en"")"),"Good, not from the previous evaluation, I do not know how many wasted points, points can change money now know, they should look carefully evaluated, then I put these words to copy to go, both to earn points, but also save trouble, went to which copy wher"&amp;"e, most importantly, do not seriously review, do not think how much worse word, sent directly to it, recommend it to everyone! !")</f>
        <v>Good, not from the previous evaluation, I do not know how many wasted points, points can change money now know, they should look carefully evaluated, then I put these words to copy to go, both to earn points, but also save trouble, went to which copy where, most importantly, do not seriously review, do not think how much worse word, sent directly to it, recommend it to everyone! !</v>
      </c>
    </row>
    <row r="18293">
      <c r="A18293" s="1">
        <v>5.0</v>
      </c>
      <c r="B18293" s="1" t="s">
        <v>18058</v>
      </c>
      <c r="C18293" t="str">
        <f>IFERROR(__xludf.DUMMYFUNCTION("GOOGLETRANSLATE(B18293, ""zh"", ""en"")"),"Very satisfied with the shopping thing very good, logistics is also within reasonable range")</f>
        <v>Very satisfied with the shopping thing very good, logistics is also within reasonable range</v>
      </c>
    </row>
    <row r="18294">
      <c r="A18294" s="1">
        <v>5.0</v>
      </c>
      <c r="B18294" s="1" t="s">
        <v>18059</v>
      </c>
      <c r="C18294" t="str">
        <f>IFERROR(__xludf.DUMMYFUNCTION("GOOGLETRANSLATE(B18294, ""zh"", ""en"")"),"Amazon customers are very good, that is a little bit long sleeves, possibly because of the long arm of American point,")</f>
        <v>Amazon customers are very good, that is a little bit long sleeves, possibly because of the long arm of American point,</v>
      </c>
    </row>
    <row r="18295">
      <c r="A18295" s="1">
        <v>5.0</v>
      </c>
      <c r="B18295" s="1" t="s">
        <v>18060</v>
      </c>
      <c r="C18295" t="str">
        <f>IFERROR(__xludf.DUMMYFUNCTION("GOOGLETRANSLATE(B18295, ""zh"", ""en"")"),"The version is very very thin, can be freshman yards, the version is very good, very fit legs thin people")</f>
        <v>The version is very very thin, can be freshman yards, the version is very good, very fit legs thin people</v>
      </c>
    </row>
    <row r="18296">
      <c r="A18296" s="1">
        <v>5.0</v>
      </c>
      <c r="B18296" s="1" t="s">
        <v>18061</v>
      </c>
      <c r="C18296" t="str">
        <f>IFERROR(__xludf.DUMMYFUNCTION("GOOGLETRANSLATE(B18296, ""zh"", ""en"")"),"India can produce, S code, is marked waistline 71-77cm")</f>
        <v>India can produce, S code, is marked waistline 71-77cm</v>
      </c>
    </row>
    <row r="18297">
      <c r="A18297" s="1">
        <v>5.0</v>
      </c>
      <c r="B18297" s="1" t="s">
        <v>18062</v>
      </c>
      <c r="C18297" t="str">
        <f>IFERROR(__xludf.DUMMYFUNCTION("GOOGLETRANSLATE(B18297, ""zh"", ""en"")"),"Retro look pretty retro love! It is to take the sound a bit big needle")</f>
        <v>Retro look pretty retro love! It is to take the sound a bit big needle</v>
      </c>
    </row>
    <row r="18298">
      <c r="A18298" s="1">
        <v>2.0</v>
      </c>
      <c r="B18298" s="1" t="s">
        <v>18063</v>
      </c>
      <c r="C18298" t="str">
        <f>IFERROR(__xludf.DUMMYFUNCTION("GOOGLETRANSLATE(B18298, ""zh"", ""en"")"),"Sleeves partial thin sleeve partial thin, thick careful to buy arms.")</f>
        <v>Sleeves partial thin sleeve partial thin, thick careful to buy arms.</v>
      </c>
    </row>
    <row r="18299">
      <c r="A18299" s="1">
        <v>3.0</v>
      </c>
      <c r="B18299" s="1" t="s">
        <v>18064</v>
      </c>
      <c r="C18299" t="str">
        <f>IFERROR(__xludf.DUMMYFUNCTION("GOOGLETRANSLATE(B18299, ""zh"", ""en"")"),"The 173 85KG big a little too big, the high content of cotton fabrics, but relatively easily deformed. The same brand of the same size in different models of different sizes.")</f>
        <v>The 173 85KG big a little too big, the high content of cotton fabrics, but relatively easily deformed. The same brand of the same size in different models of different sizes.</v>
      </c>
    </row>
    <row r="18300">
      <c r="A18300" s="1">
        <v>3.0</v>
      </c>
      <c r="B18300" s="1" t="s">
        <v>18065</v>
      </c>
      <c r="C18300" t="str">
        <f>IFERROR(__xludf.DUMMYFUNCTION("GOOGLETRANSLATE(B18300, ""zh"", ""en"")"),"Generally, a bad feeling pny decline work, read and write speeds okay, took only a month to slow.")</f>
        <v>Generally, a bad feeling pny decline work, read and write speeds okay, took only a month to slow.</v>
      </c>
    </row>
    <row r="18301">
      <c r="A18301" s="1">
        <v>3.0</v>
      </c>
      <c r="B18301" s="1" t="s">
        <v>18066</v>
      </c>
      <c r="C18301" t="str">
        <f>IFERROR(__xludf.DUMMYFUNCTION("GOOGLETRANSLATE(B18301, ""zh"", ""en"")"),"Coat a sub-price goods, can only think so!")</f>
        <v>Coat a sub-price goods, can only think so!</v>
      </c>
    </row>
    <row r="18302">
      <c r="A18302" s="1">
        <v>1.0</v>
      </c>
      <c r="B18302" s="1" t="s">
        <v>18067</v>
      </c>
      <c r="C18302" t="str">
        <f>IFERROR(__xludf.DUMMYFUNCTION("GOOGLETRANSLATE(B18302, ""zh"", ""en"")"),"Take the word are not allowed to take the word no, probably one day be five minutes slow way")</f>
        <v>Take the word are not allowed to take the word no, probably one day be five minutes slow way</v>
      </c>
    </row>
    <row r="18303">
      <c r="A18303" s="1">
        <v>1.0</v>
      </c>
      <c r="B18303" s="1" t="s">
        <v>18068</v>
      </c>
      <c r="C18303" t="str">
        <f>IFERROR(__xludf.DUMMYFUNCTION("GOOGLETRANSLATE(B18303, ""zh"", ""en"")"),"Received only a pen, no refills. Received only a pen, no refills.")</f>
        <v>Received only a pen, no refills. Received only a pen, no refills.</v>
      </c>
    </row>
    <row r="18304">
      <c r="A18304" s="1">
        <v>1.0</v>
      </c>
      <c r="B18304" s="1" t="s">
        <v>18069</v>
      </c>
      <c r="C18304" t="str">
        <f>IFERROR(__xludf.DUMMYFUNCTION("GOOGLETRANSLATE(B18304, ""zh"", ""en"")"),"No quality, sound quality is pretty good after receipt, use less than two weeks on the bad, can not boot can not be charged. Sound quality is good, but poor quality.")</f>
        <v>No quality, sound quality is pretty good after receipt, use less than two weeks on the bad, can not boot can not be charged. Sound quality is good, but poor quality.</v>
      </c>
    </row>
    <row r="18305">
      <c r="A18305" s="1">
        <v>4.0</v>
      </c>
      <c r="B18305" s="1" t="s">
        <v>18070</v>
      </c>
      <c r="C18305" t="str">
        <f>IFERROR(__xludf.DUMMYFUNCTION("GOOGLETRANSLATE(B18305, ""zh"", ""en"")"),"The cup is made in China on the 24th delivery, 27 had received, and so fast, do not know really shipped from Japan. Lions Cup is actually made in China, halo! If it is not wide issuers offer by $ definitely will not buy!")</f>
        <v>The cup is made in China on the 24th delivery, 27 had received, and so fast, do not know really shipped from Japan. Lions Cup is actually made in China, halo! If it is not wide issuers offer by $ definitely will not buy!</v>
      </c>
    </row>
    <row r="18306">
      <c r="A18306" s="1">
        <v>4.0</v>
      </c>
      <c r="B18306" s="1" t="s">
        <v>18071</v>
      </c>
      <c r="C18306" t="str">
        <f>IFERROR(__xludf.DUMMYFUNCTION("GOOGLETRANSLATE(B18306, ""zh"", ""en"")"),"Summer wear thick point feels a bit thick, do not want to say what")</f>
        <v>Summer wear thick point feels a bit thick, do not want to say what</v>
      </c>
    </row>
    <row r="18307">
      <c r="A18307" s="1">
        <v>4.0</v>
      </c>
      <c r="B18307" s="1" t="s">
        <v>18072</v>
      </c>
      <c r="C18307" t="str">
        <f>IFERROR(__xludf.DUMMYFUNCTION("GOOGLETRANSLATE(B18307, ""zh"", ""en"")"),"And consistent picture a bit like soft suede fabric hat is also good step")</f>
        <v>And consistent picture a bit like soft suede fabric hat is also good step</v>
      </c>
    </row>
    <row r="18308">
      <c r="A18308" s="1">
        <v>4.0</v>
      </c>
      <c r="B18308" s="1" t="s">
        <v>18073</v>
      </c>
      <c r="C18308" t="str">
        <f>IFERROR(__xludf.DUMMYFUNCTION("GOOGLETRANSLATE(B18308, ""zh"", ""en"")"),"No bigger than a large number of domestic store at least half the number One, two have worn scratch, if it is possible to house dogs and cats on the back, but the sea Amoy Well, plus non-perfectionist, but also that the cortex , buy a thick winter wool in"&amp;"sole is also pleasant to wear. In short it unsatisfactory.")</f>
        <v>No bigger than a large number of domestic store at least half the number One, two have worn scratch, if it is possible to house dogs and cats on the back, but the sea Amoy Well, plus non-perfectionist, but also that the cortex , buy a thick winter wool insole is also pleasant to wear. In short it unsatisfactory.</v>
      </c>
    </row>
    <row r="18309">
      <c r="A18309" s="1">
        <v>4.0</v>
      </c>
      <c r="B18309" s="1" t="s">
        <v>18074</v>
      </c>
      <c r="C18309" t="str">
        <f>IFERROR(__xludf.DUMMYFUNCTION("GOOGLETRANSLATE(B18309, ""zh"", ""en"")"),"Good quality, durability is a bit low, need to be replaced once a month is good quality, home to normal drinking water. The entire month, you have to change once, or else there will be water rust")</f>
        <v>Good quality, durability is a bit low, need to be replaced once a month is good quality, home to normal drinking water. The entire month, you have to change once, or else there will be water rust</v>
      </c>
    </row>
    <row r="18310">
      <c r="A18310" s="1">
        <v>5.0</v>
      </c>
      <c r="B18310" s="1" t="s">
        <v>18075</v>
      </c>
      <c r="C18310" t="str">
        <f>IFERROR(__xludf.DUMMYFUNCTION("GOOGLETRANSLATE(B18310, ""zh"", ""en"")"),"Value for money is very good texture, fully in line with my expectations")</f>
        <v>Value for money is very good texture, fully in line with my expectations</v>
      </c>
    </row>
    <row r="18311">
      <c r="A18311" s="1">
        <v>5.0</v>
      </c>
      <c r="B18311" s="1" t="s">
        <v>18076</v>
      </c>
      <c r="C18311" t="str">
        <f>IFERROR(__xludf.DUMMYFUNCTION("GOOGLETRANSLATE(B18311, ""zh"", ""en"")"),"So many things to buy in the Amazon, have no way to comment in detail eleven. Why buy more, of course, it is because of a good thing. Do not believe you can see how much stuff I bought, I was absolutely dead powder of the Amazon. . Forgive me can only cop"&amp;"y and paste. . So many things to buy in the Amazon, have no way to comment in detail eleven. Why buy more, of course, it is because of a good thing. Do not believe you can see how much stuff I bought, I was absolutely dead powder of the Amazon. . Forgive "&amp;"me can only copy and paste. .")</f>
        <v>So many things to buy in the Amazon, have no way to comment in detail eleven. Why buy more, of course, it is because of a good thing. Do not believe you can see how much stuff I bought, I was absolutely dead powder of the Amazon. . Forgive me can only copy and paste. . So many things to buy in the Amazon, have no way to comment in detail eleven. Why buy more, of course, it is because of a good thing. Do not believe you can see how much stuff I bought, I was absolutely dead powder of the Amazon. . Forgive me can only copy and paste. .</v>
      </c>
    </row>
    <row r="18312">
      <c r="A18312" s="1">
        <v>5.0</v>
      </c>
      <c r="B18312" s="1" t="s">
        <v>18077</v>
      </c>
      <c r="C18312" t="str">
        <f>IFERROR(__xludf.DUMMYFUNCTION("GOOGLETRANSLATE(B18312, ""zh"", ""en"")"),"OK not use, looks good, first put up")</f>
        <v>OK not use, looks good, first put up</v>
      </c>
    </row>
    <row r="18313">
      <c r="A18313" s="1">
        <v>5.0</v>
      </c>
      <c r="B18313" s="1" t="s">
        <v>18078</v>
      </c>
      <c r="C18313" t="str">
        <f>IFERROR(__xludf.DUMMYFUNCTION("GOOGLETRANSLATE(B18313, ""zh"", ""en"")"),"Belonging to styles elongated size, most of the code need to buy. I happened to be in the store before buying tried my regular yardage 41.5 yards pinch, try 42 yards is very good, so booked 42")</f>
        <v>Belonging to styles elongated size, most of the code need to buy. I happened to be in the store before buying tried my regular yardage 41.5 yards pinch, try 42 yards is very good, so booked 42</v>
      </c>
    </row>
    <row r="18314">
      <c r="A18314" s="1">
        <v>5.0</v>
      </c>
      <c r="B18314" s="1" t="s">
        <v>18079</v>
      </c>
      <c r="C18314" t="str">
        <f>IFERROR(__xludf.DUMMYFUNCTION("GOOGLETRANSLATE(B18314, ""zh"", ""en"")"),"I tried to counter the satisfaction of overseas Amoy. Overseas domestic prices a big change. Comfortable, reasonably priced, very satisfied.")</f>
        <v>I tried to counter the satisfaction of overseas Amoy. Overseas domestic prices a big change. Comfortable, reasonably priced, very satisfied.</v>
      </c>
    </row>
    <row r="18315">
      <c r="A18315" s="1">
        <v>5.0</v>
      </c>
      <c r="B18315" s="1" t="s">
        <v>18080</v>
      </c>
      <c r="C18315" t="str">
        <f>IFERROR(__xludf.DUMMYFUNCTION("GOOGLETRANSLATE(B18315, ""zh"", ""en"")"),"Value to force Amazon to start! Before been thinking about K701, starting to see the price without hesitation, and it has direct push amp with a computer, I have been personally think sounds much more comfortable than UE900 slowly burn it, I believe the f"&amp;"uture will be on the amp more amazing! Praise!")</f>
        <v>Value to force Amazon to start! Before been thinking about K701, starting to see the price without hesitation, and it has direct push amp with a computer, I have been personally think sounds much more comfortable than UE900 slowly burn it, I believe the future will be on the amp more amazing! Praise!</v>
      </c>
    </row>
    <row r="18316">
      <c r="A18316" s="1">
        <v>5.0</v>
      </c>
      <c r="B18316" s="1" t="s">
        <v>18081</v>
      </c>
      <c r="C18316" t="str">
        <f>IFERROR(__xludf.DUMMYFUNCTION("GOOGLETRANSLATE(B18316, ""zh"", ""en"")"),"Satisfaction very good quality and very good adsorption firmly but this, after all, is adsorbed to the surface is not glued to the table it can not ask too much personal feeling great! Baoma baby also like to reassure buy it very useful")</f>
        <v>Satisfaction very good quality and very good adsorption firmly but this, after all, is adsorbed to the surface is not glued to the table it can not ask too much personal feeling great! Baoma baby also like to reassure buy it very useful</v>
      </c>
    </row>
    <row r="18317">
      <c r="A18317" s="1">
        <v>5.0</v>
      </c>
      <c r="B18317" s="1" t="s">
        <v>18082</v>
      </c>
      <c r="C18317" t="str">
        <f>IFERROR(__xludf.DUMMYFUNCTION("GOOGLETRANSLATE(B18317, ""zh"", ""en"")"),"Worth buying height 183, weight 93 kg, wearing XL loose and comfortable, very satisfied.")</f>
        <v>Worth buying height 183, weight 93 kg, wearing XL loose and comfortable, very satisfied.</v>
      </c>
    </row>
    <row r="18318">
      <c r="A18318" s="1">
        <v>5.0</v>
      </c>
      <c r="B18318" s="1" t="s">
        <v>18083</v>
      </c>
      <c r="C18318" t="str">
        <f>IFERROR(__xludf.DUMMYFUNCTION("GOOGLETRANSLATE(B18318, ""zh"", ""en"")"),"The quality is 84 waist, bought 34 yards, the last hole to wear jeans or a little big, enough to buy 32, and also 30 dollars cheaper.")</f>
        <v>The quality is 84 waist, bought 34 yards, the last hole to wear jeans or a little big, enough to buy 32, and also 30 dollars cheaper.</v>
      </c>
    </row>
    <row r="18319">
      <c r="A18319" s="1">
        <v>5.0</v>
      </c>
      <c r="B18319" s="1" t="s">
        <v>18084</v>
      </c>
      <c r="C18319" t="str">
        <f>IFERROR(__xludf.DUMMYFUNCTION("GOOGLETRANSLATE(B18319, ""zh"", ""en"")"),"Zojirushi mug cup light, little rubber smell, very fond of her daughter")</f>
        <v>Zojirushi mug cup light, little rubber smell, very fond of her daughter</v>
      </c>
    </row>
    <row r="18320">
      <c r="A18320" s="1">
        <v>5.0</v>
      </c>
      <c r="B18320" s="1" t="s">
        <v>18085</v>
      </c>
      <c r="C18320" t="str">
        <f>IFERROR(__xludf.DUMMYFUNCTION("GOOGLETRANSLATE(B18320, ""zh"", ""en"")"),"A big box of children very much, very nice carton, intact")</f>
        <v>A big box of children very much, very nice carton, intact</v>
      </c>
    </row>
    <row r="18321">
      <c r="A18321" s="1">
        <v>5.0</v>
      </c>
      <c r="B18321" s="1" t="s">
        <v>18086</v>
      </c>
      <c r="C18321" t="str">
        <f>IFERROR(__xludf.DUMMYFUNCTION("GOOGLETRANSLATE(B18321, ""zh"", ""en"")"),"Too much quality can be, but is too large, large I 175CM, 85KG, XL, if you just buy the L")</f>
        <v>Too much quality can be, but is too large, large I 175CM, 85KG, XL, if you just buy the L</v>
      </c>
    </row>
    <row r="18322">
      <c r="A18322" s="1">
        <v>5.0</v>
      </c>
      <c r="B18322" s="1" t="s">
        <v>18087</v>
      </c>
      <c r="C18322" t="str">
        <f>IFERROR(__xludf.DUMMYFUNCTION("GOOGLETRANSLATE(B18322, ""zh"", ""en"")"),"Casio G-SHOCK series G-5600E-1DR advantages: solar power, power more durable; super classic 5600, octagonal dial; very beautiful, simple beauty; the appearance of new, no defects; manufacturing in Thailand, works particularly fine; and more language speci"&amp;"fication, with Simplified Chinese and Traditional Chinese; dial a low height, can be indented inside the sleeves, wearing cold weather it is also very convenient. Cons: yet found.")</f>
        <v>Casio G-SHOCK series G-5600E-1DR advantages: solar power, power more durable; super classic 5600, octagonal dial; very beautiful, simple beauty; the appearance of new, no defects; manufacturing in Thailand, works particularly fine; and more language specification, with Simplified Chinese and Traditional Chinese; dial a low height, can be indented inside the sleeves, wearing cold weather it is also very convenient. Cons: yet found.</v>
      </c>
    </row>
    <row r="18323">
      <c r="A18323" s="1">
        <v>5.0</v>
      </c>
      <c r="B18323" s="1" t="s">
        <v>18088</v>
      </c>
      <c r="C18323" t="str">
        <f>IFERROR(__xludf.DUMMYFUNCTION("GOOGLETRANSLATE(B18323, ""zh"", ""en"")"),"Cost-effective height 180, weight 75, has a belly, wear very fit, very comfortable, cheap ah")</f>
        <v>Cost-effective height 180, weight 75, has a belly, wear very fit, very comfortable, cheap ah</v>
      </c>
    </row>
    <row r="18324">
      <c r="A18324" s="1">
        <v>5.0</v>
      </c>
      <c r="B18324" s="1" t="s">
        <v>18089</v>
      </c>
      <c r="C18324" t="str">
        <f>IFERROR(__xludf.DUMMYFUNCTION("GOOGLETRANSLATE(B18324, ""zh"", ""en"")"),"Yes, that is the core of the old section Citizen, Seiko receive is good, that is the core of the old section Citizen, Seiko is received")</f>
        <v>Yes, that is the core of the old section Citizen, Seiko receive is good, that is the core of the old section Citizen, Seiko is received</v>
      </c>
    </row>
    <row r="18325">
      <c r="A18325" s="1">
        <v>5.0</v>
      </c>
      <c r="B18325" s="1" t="s">
        <v>18090</v>
      </c>
      <c r="C18325" t="str">
        <f>IFERROR(__xludf.DUMMYFUNCTION("GOOGLETRANSLATE(B18325, ""zh"", ""en"")"),"It sounds like really like this piece of headphones, especially in high-resolution, many small details could hear it, the classical symphony really impress. But how always felt a bit biased tone, the right ear than the left ear sound big, maybe I do not u"&amp;"nderstand these novice, there is no under expert guidance ah? ? ?")</f>
        <v>It sounds like really like this piece of headphones, especially in high-resolution, many small details could hear it, the classical symphony really impress. But how always felt a bit biased tone, the right ear than the left ear sound big, maybe I do not understand these novice, there is no under expert guidance ah? ? ?</v>
      </c>
    </row>
    <row r="18326">
      <c r="A18326" s="1">
        <v>5.0</v>
      </c>
      <c r="B18326" s="1" t="s">
        <v>18091</v>
      </c>
      <c r="C18326" t="str">
        <f>IFERROR(__xludf.DUMMYFUNCTION("GOOGLETRANSLATE(B18326, ""zh"", ""en"")"),"Hansgrohe showers, friends said good quality Needless to say,")</f>
        <v>Hansgrohe showers, friends said good quality Needless to say,</v>
      </c>
    </row>
    <row r="18327">
      <c r="A18327" s="1">
        <v>5.0</v>
      </c>
      <c r="B18327" s="1" t="s">
        <v>18092</v>
      </c>
      <c r="C18327" t="str">
        <f>IFERROR(__xludf.DUMMYFUNCTION("GOOGLETRANSLATE(B18327, ""zh"", ""en"")"),"The price is right quality good price is right, good quality, worth buying")</f>
        <v>The price is right quality good price is right, good quality, worth buying</v>
      </c>
    </row>
    <row r="18328">
      <c r="A18328" s="1">
        <v>5.0</v>
      </c>
      <c r="B18328" s="1" t="s">
        <v>18093</v>
      </c>
      <c r="C18328" t="str">
        <f>IFERROR(__xludf.DUMMYFUNCTION("GOOGLETRANSLATE(B18328, ""zh"", ""en"")"),"Such prices can also grab quite satisfactory, good quality, next to the skin a little tight, it should be their relatively fat now!")</f>
        <v>Such prices can also grab quite satisfactory, good quality, next to the skin a little tight, it should be their relatively fat now!</v>
      </c>
    </row>
    <row r="18329">
      <c r="A18329" s="1">
        <v>5.0</v>
      </c>
      <c r="B18329" s="1" t="s">
        <v>18094</v>
      </c>
      <c r="C18329" t="str">
        <f>IFERROR(__xludf.DUMMYFUNCTION("GOOGLETRANSLATE(B18329, ""zh"", ""en"")"),"Well right size, inexpensive")</f>
        <v>Well right size, inexpensive</v>
      </c>
    </row>
    <row r="18330">
      <c r="A18330" s="1">
        <v>5.0</v>
      </c>
      <c r="B18330" s="1" t="s">
        <v>18095</v>
      </c>
      <c r="C18330" t="str">
        <f>IFERROR(__xludf.DUMMYFUNCTION("GOOGLETRANSLATE(B18330, ""zh"", ""en"")"),"Less, a little expensive good, began to eat, the amount is too small, a large bottle contains 30, only covered the bottom.")</f>
        <v>Less, a little expensive good, began to eat, the amount is too small, a large bottle contains 30, only covered the bottom.</v>
      </c>
    </row>
    <row r="18331">
      <c r="A18331" s="1">
        <v>5.0</v>
      </c>
      <c r="B18331" s="1" t="s">
        <v>18096</v>
      </c>
      <c r="C18331" t="str">
        <f>IFERROR(__xludf.DUMMYFUNCTION("GOOGLETRANSLATE(B18331, ""zh"", ""en"")"),"Great use, feel good, and good solution")</f>
        <v>Great use, feel good, and good solution</v>
      </c>
    </row>
    <row r="18332">
      <c r="A18332" s="1">
        <v>2.0</v>
      </c>
      <c r="B18332" s="1" t="s">
        <v>18097</v>
      </c>
      <c r="C18332" t="str">
        <f>IFERROR(__xludf.DUMMYFUNCTION("GOOGLETRANSLATE(B18332, ""zh"", ""en"")"),"henhao stockpile has not been used, good-looking")</f>
        <v>henhao stockpile has not been used, good-looking</v>
      </c>
    </row>
    <row r="18333">
      <c r="A18333" s="1">
        <v>3.0</v>
      </c>
      <c r="B18333" s="1" t="s">
        <v>18098</v>
      </c>
      <c r="C18333" t="str">
        <f>IFERROR(__xludf.DUMMYFUNCTION("GOOGLETRANSLATE(B18333, ""zh"", ""en"")"),"Graphic does not match, there is a gap with the actual performance of the product introduction 1, with the introduction of the physical product images contrast, the picture has four blades, but the merchandise is actually received three blades, Meat Blade"&amp;" into a measuring cup. 2, another more serious problem is the speed up to less than the nominal value of the parameter. According to introduction can be up to 18000 rpm, but the actual use of the second gear is feeling is even a nominal speed of 10000 rpm"&amp;" are not, do not know is not a quality problem I have received the goods, or the performance of the product itself It is not up to speed indicators propaganda. Accurate load speed to be a professional speedometer test to know.")</f>
        <v>Graphic does not match, there is a gap with the actual performance of the product introduction 1, with the introduction of the physical product images contrast, the picture has four blades, but the merchandise is actually received three blades, Meat Blade into a measuring cup. 2, another more serious problem is the speed up to less than the nominal value of the parameter. According to introduction can be up to 18000 rpm, but the actual use of the second gear is feeling is even a nominal speed of 10000 rpm are not, do not know is not a quality problem I have received the goods, or the performance of the product itself It is not up to speed indicators propaganda. Accurate load speed to be a professional speedometer test to know.</v>
      </c>
    </row>
    <row r="18334">
      <c r="A18334" s="1">
        <v>3.0</v>
      </c>
      <c r="B18334" s="1" t="s">
        <v>1128</v>
      </c>
      <c r="C18334" t="str">
        <f>IFERROR(__xludf.DUMMYFUNCTION("GOOGLETRANSLATE(B18334, ""zh"", ""en"")"),"Legs are too fat to wear that type are not as big buttocks Tuicu me, Mrs. legs really too fat. If only for movement, without considering the nice words to buy. Not recommended")</f>
        <v>Legs are too fat to wear that type are not as big buttocks Tuicu me, Mrs. legs really too fat. If only for movement, without considering the nice words to buy. Not recommended</v>
      </c>
    </row>
    <row r="18335">
      <c r="A18335" s="1">
        <v>3.0</v>
      </c>
      <c r="B18335" s="1" t="s">
        <v>18099</v>
      </c>
      <c r="C18335" t="str">
        <f>IFERROR(__xludf.DUMMYFUNCTION("GOOGLETRANSLATE(B18335, ""zh"", ""en"")"),"Too big, too long, this dress is too big now, normally wear XL, L, also bought a lot of big, my height 178, but also a lot of long, not suitable")</f>
        <v>Too big, too long, this dress is too big now, normally wear XL, L, also bought a lot of big, my height 178, but also a lot of long, not suitable</v>
      </c>
    </row>
    <row r="18336">
      <c r="A18336" s="1">
        <v>1.0</v>
      </c>
      <c r="B18336" s="1" t="s">
        <v>18100</v>
      </c>
      <c r="C18336" t="str">
        <f>IFERROR(__xludf.DUMMYFUNCTION("GOOGLETRANSLATE(B18336, ""zh"", ""en"")"),"~ Logistics super slow, shoes too large, too expensive return shipping")</f>
        <v>~ Logistics super slow, shoes too large, too expensive return shipping</v>
      </c>
    </row>
    <row r="18337">
      <c r="A18337" s="1">
        <v>1.0</v>
      </c>
      <c r="B18337" s="1" t="s">
        <v>18101</v>
      </c>
      <c r="C18337" t="str">
        <f>IFERROR(__xludf.DUMMYFUNCTION("GOOGLETRANSLATE(B18337, ""zh"", ""en"")"),"Fake fake, not as good as home.")</f>
        <v>Fake fake, not as good as home.</v>
      </c>
    </row>
    <row r="18338">
      <c r="A18338" s="1">
        <v>4.0</v>
      </c>
      <c r="B18338" s="1" t="s">
        <v>18102</v>
      </c>
      <c r="C18338" t="str">
        <f>IFERROR(__xludf.DUMMYFUNCTION("GOOGLETRANSLATE(B18338, ""zh"", ""en"")"),"Fast delivery quality is generally March 8 Kusakabe single. 15 days of arrival. Speed ​​pretty fast. The only drawback is that they come in bags of a shipment. Bottle inside the box has been relatively shabby.")</f>
        <v>Fast delivery quality is generally March 8 Kusakabe single. 15 days of arrival. Speed ​​pretty fast. The only drawback is that they come in bags of a shipment. Bottle inside the box has been relatively shabby.</v>
      </c>
    </row>
    <row r="18339">
      <c r="A18339" s="1">
        <v>4.0</v>
      </c>
      <c r="B18339" s="1" t="s">
        <v>18103</v>
      </c>
      <c r="C18339" t="str">
        <f>IFERROR(__xludf.DUMMYFUNCTION("GOOGLETRANSLATE(B18339, ""zh"", ""en"")"),"Swiss! Hope to have a filter to protect the quality of play before choosing to buy from Amazon Germany network, upon receipt found in Switzerland, the heart has doubts! Not been used, no problem once willing!")</f>
        <v>Swiss! Hope to have a filter to protect the quality of play before choosing to buy from Amazon Germany network, upon receipt found in Switzerland, the heart has doubts! Not been used, no problem once willing!</v>
      </c>
    </row>
    <row r="18340">
      <c r="A18340" s="1">
        <v>4.0</v>
      </c>
      <c r="B18340" s="1" t="s">
        <v>18104</v>
      </c>
      <c r="C18340" t="str">
        <f>IFERROR(__xludf.DUMMYFUNCTION("GOOGLETRANSLATE(B18340, ""zh"", ""en"")"),"Just so today wearing a really swap file, too embarrassing, stockings okay, this weather Central Plains through okay, then cold to die")</f>
        <v>Just so today wearing a really swap file, too embarrassing, stockings okay, this weather Central Plains through okay, then cold to die</v>
      </c>
    </row>
    <row r="18341">
      <c r="A18341" s="1">
        <v>4.0</v>
      </c>
      <c r="B18341" s="1" t="s">
        <v>18105</v>
      </c>
      <c r="C18341" t="str">
        <f>IFERROR(__xludf.DUMMYFUNCTION("GOOGLETRANSLATE(B18341, ""zh"", ""en"")"),"Elastic elastic general can also general")</f>
        <v>Elastic elastic general can also general</v>
      </c>
    </row>
    <row r="18342">
      <c r="A18342" s="1">
        <v>5.0</v>
      </c>
      <c r="B18342" s="1" t="s">
        <v>18106</v>
      </c>
      <c r="C18342" t="str">
        <f>IFERROR(__xludf.DUMMYFUNCTION("GOOGLETRANSLATE(B18342, ""zh"", ""en"")"),"Very nice, very simple, easy to operate compared to domestic hot cooking machine, this mill is very user-friendly design, the red part of the motor drive control means, the power supply line can be wound on top of the usual. The lower container is a plast"&amp;"ic container top there is a convenient removable perforated cover, the cover and the upper portion of the pot and spaced apart from the driving motor. When using, put the first blade, the lower portion of the intermediate container has a small protrusion,"&amp;" and a central hole insert anastomosis. Then put the food to be pulverized, cover, cover the blade lever will correctly set in the central hole of the upper cover, motor cover red member, it is easy to cover, it can be aligned with the center. Plugged beg"&amp;"an crushed, there is no selection button switches and the like, direct and precise. Since the pot and upper cover, the spacer member food and motor, the motor is not in contact with the fifteen member, without cleaning, and grinding the end of the cleanin"&amp;"g vessel only to cover and insert. A table the amount of food placed in the specification may refer to, there are types of food, and the grinding time (S), the description is available in German, English, Korean, and many other languages, it is not Chines"&amp;"e. Possible disadvantages: due to the blade drive motor and the rigid connecting link is not required to support the projection point of the container bottom blade drive rod, a high-speed rotating blade drive rod and a bottom point of the projection of th"&amp;"e container will cause friction plastic bottom projection point with a plastic powder produce? May not.")</f>
        <v>Very nice, very simple, easy to operate compared to domestic hot cooking machine, this mill is very user-friendly design, the red part of the motor drive control means, the power supply line can be wound on top of the usual. The lower container is a plastic container top there is a convenient removable perforated cover, the cover and the upper portion of the pot and spaced apart from the driving motor. When using, put the first blade, the lower portion of the intermediate container has a small protrusion, and a central hole insert anastomosis. Then put the food to be pulverized, cover, cover the blade lever will correctly set in the central hole of the upper cover, motor cover red member, it is easy to cover, it can be aligned with the center. Plugged began crushed, there is no selection button switches and the like, direct and precise. Since the pot and upper cover, the spacer member food and motor, the motor is not in contact with the fifteen member, without cleaning, and grinding the end of the cleaning vessel only to cover and insert. A table the amount of food placed in the specification may refer to, there are types of food, and the grinding time (S), the description is available in German, English, Korean, and many other languages, it is not Chinese. Possible disadvantages: due to the blade drive motor and the rigid connecting link is not required to support the projection point of the container bottom blade drive rod, a high-speed rotating blade drive rod and a bottom point of the projection of the container will cause friction plastic bottom projection point with a plastic powder produce? May not.</v>
      </c>
    </row>
    <row r="18343">
      <c r="A18343" s="1">
        <v>5.0</v>
      </c>
      <c r="B18343" s="1" t="s">
        <v>1514</v>
      </c>
      <c r="C18343" t="str">
        <f>IFERROR(__xludf.DUMMYFUNCTION("GOOGLETRANSLATE(B18343, ""zh"", ""en"")"),"Good Good")</f>
        <v>Good Good</v>
      </c>
    </row>
    <row r="18344">
      <c r="A18344" s="1">
        <v>5.0</v>
      </c>
      <c r="B18344" s="1" t="s">
        <v>18107</v>
      </c>
      <c r="C18344" t="str">
        <f>IFERROR(__xludf.DUMMYFUNCTION("GOOGLETRANSLATE(B18344, ""zh"", ""en"")"),"The right underwear is good, very good underwear, the right size, fabric is thin, comfortable. 173,79, L exactly.")</f>
        <v>The right underwear is good, very good underwear, the right size, fabric is thin, comfortable. 173,79, L exactly.</v>
      </c>
    </row>
    <row r="18345">
      <c r="A18345" s="1">
        <v>5.0</v>
      </c>
      <c r="B18345" s="1" t="s">
        <v>18108</v>
      </c>
      <c r="C18345" t="str">
        <f>IFERROR(__xludf.DUMMYFUNCTION("GOOGLETRANSLATE(B18345, ""zh"", ""en"")"),"Dutch origin, the origin of the Netherlands is very good, very good")</f>
        <v>Dutch origin, the origin of the Netherlands is very good, very good</v>
      </c>
    </row>
    <row r="18346">
      <c r="A18346" s="1">
        <v>5.0</v>
      </c>
      <c r="B18346" s="1" t="s">
        <v>18000</v>
      </c>
      <c r="C18346" t="str">
        <f>IFERROR(__xludf.DUMMYFUNCTION("GOOGLETRANSLATE(B18346, ""zh"", ""en"")"),"Ah so comfortable to wear good, very like! Pretty good")</f>
        <v>Ah so comfortable to wear good, very like! Pretty good</v>
      </c>
    </row>
    <row r="18347">
      <c r="A18347" s="1">
        <v>5.0</v>
      </c>
      <c r="B18347" s="1" t="s">
        <v>18109</v>
      </c>
      <c r="C18347" t="str">
        <f>IFERROR(__xludf.DUMMYFUNCTION("GOOGLETRANSLATE(B18347, ""zh"", ""en"")"),"Great quality is very good, thick. A typical size of the US version, size chart is very accurate.")</f>
        <v>Great quality is very good, thick. A typical size of the US version, size chart is very accurate.</v>
      </c>
    </row>
    <row r="18348">
      <c r="A18348" s="1">
        <v>5.0</v>
      </c>
      <c r="B18348" s="1" t="s">
        <v>18110</v>
      </c>
      <c r="C18348" t="str">
        <f>IFERROR(__xludf.DUMMYFUNCTION("GOOGLETRANSLATE(B18348, ""zh"", ""en"")"),"Then I recognize this nimbus model shoe is very suitable for my feet, feet before wearing palm spacious and comfortable. Good shoes, know only their own feet. Drawback is expensive, then there are no words like soles Asics ahar + wear rubber soles wear do"&amp;" not know")</f>
        <v>Then I recognize this nimbus model shoe is very suitable for my feet, feet before wearing palm spacious and comfortable. Good shoes, know only their own feet. Drawback is expensive, then there are no words like soles Asics ahar + wear rubber soles wear do not know</v>
      </c>
    </row>
    <row r="18349">
      <c r="A18349" s="1">
        <v>5.0</v>
      </c>
      <c r="B18349" s="1" t="s">
        <v>16308</v>
      </c>
      <c r="C18349" t="str">
        <f>IFERROR(__xludf.DUMMYFUNCTION("GOOGLETRANSLATE(B18349, ""zh"", ""en"")"),"Comfortable very comfortable, but easy to break")</f>
        <v>Comfortable very comfortable, but easy to break</v>
      </c>
    </row>
    <row r="18350">
      <c r="A18350" s="1">
        <v>5.0</v>
      </c>
      <c r="B18350" s="1" t="s">
        <v>18111</v>
      </c>
      <c r="C18350" t="str">
        <f>IFERROR(__xludf.DUMMYFUNCTION("GOOGLETRANSLATE(B18350, ""zh"", ""en"")"),"Good shoes, the shoes are not good code, the code is wrong, it is 8.5 to 41, not 42. There are shoes code, the page is not marked")</f>
        <v>Good shoes, the shoes are not good code, the code is wrong, it is 8.5 to 41, not 42. There are shoes code, the page is not marked</v>
      </c>
    </row>
    <row r="18351">
      <c r="A18351" s="1">
        <v>5.0</v>
      </c>
      <c r="B18351" s="1" t="s">
        <v>18112</v>
      </c>
      <c r="C18351" t="str">
        <f>IFERROR(__xludf.DUMMYFUNCTION("GOOGLETRANSLATE(B18351, ""zh"", ""en"")"),"Version super good pair of pants usually 27, the 27 waist a little loose, but good elasticity, wearing a fit, 26 should be more self-cultivation. Fabrics for spring and autumn wear thin, upper body is very soft and comfortable, good version. satisfaction!")</f>
        <v>Version super good pair of pants usually 27, the 27 waist a little loose, but good elasticity, wearing a fit, 26 should be more self-cultivation. Fabrics for spring and autumn wear thin, upper body is very soft and comfortable, good version. satisfaction!</v>
      </c>
    </row>
    <row r="18352">
      <c r="A18352" s="1">
        <v>5.0</v>
      </c>
      <c r="B18352" s="1" t="s">
        <v>18113</v>
      </c>
      <c r="C18352" t="str">
        <f>IFERROR(__xludf.DUMMYFUNCTION("GOOGLETRANSLATE(B18352, ""zh"", ""en"")"),"Oversized big, S code are very fat, very good quality, a little flexibility, but no pocket, this picture did not shoot out")</f>
        <v>Oversized big, S code are very fat, very good quality, a little flexibility, but no pocket, this picture did not shoot out</v>
      </c>
    </row>
    <row r="18353">
      <c r="A18353" s="1">
        <v>5.0</v>
      </c>
      <c r="B18353" s="1" t="s">
        <v>18114</v>
      </c>
      <c r="C18353" t="str">
        <f>IFERROR(__xludf.DUMMYFUNCTION("GOOGLETRANSLATE(B18353, ""zh"", ""en"")"),"Very good buy ecco been very fit shoes, not the code number is too large foot feeling stiff, this pair be changed now, just a smaller size than usual size, adjust the tie, encapsulated well, foot feeling particularly comfortable. Very good non-slip effect")</f>
        <v>Very good buy ecco been very fit shoes, not the code number is too large foot feeling stiff, this pair be changed now, just a smaller size than usual size, adjust the tie, encapsulated well, foot feeling particularly comfortable. Very good non-slip effect</v>
      </c>
    </row>
    <row r="18354">
      <c r="A18354" s="1">
        <v>5.0</v>
      </c>
      <c r="B18354" s="1" t="s">
        <v>18115</v>
      </c>
      <c r="C18354" t="str">
        <f>IFERROR(__xludf.DUMMYFUNCTION("GOOGLETRANSLATE(B18354, ""zh"", ""en"")"),"This watch is very precise travel time texture, appearance of the atmosphere, size and weight are in line with my request, with a few days, very accurate when the main go hope it will always be with me, praise")</f>
        <v>This watch is very precise travel time texture, appearance of the atmosphere, size and weight are in line with my request, with a few days, very accurate when the main go hope it will always be with me, praise</v>
      </c>
    </row>
    <row r="18355">
      <c r="A18355" s="1">
        <v>5.0</v>
      </c>
      <c r="B18355" s="1" t="s">
        <v>18116</v>
      </c>
      <c r="C18355" t="str">
        <f>IFERROR(__xludf.DUMMYFUNCTION("GOOGLETRANSLATE(B18355, ""zh"", ""en"")"),"Well with large suction, suction large baby Nabu Qi")</f>
        <v>Well with large suction, suction large baby Nabu Qi</v>
      </c>
    </row>
    <row r="18356">
      <c r="A18356" s="1">
        <v>5.0</v>
      </c>
      <c r="B18356" s="1" t="s">
        <v>18117</v>
      </c>
      <c r="C18356" t="str">
        <f>IFERROR(__xludf.DUMMYFUNCTION("GOOGLETRANSLATE(B18356, ""zh"", ""en"")"),"Suitable 175 70kg M code suitable. Medium thickness. The only fly in the ointment is too old or the tag and sewing it up, but also to remove it yourself. Or affect the wearing experience.")</f>
        <v>Suitable 175 70kg M code suitable. Medium thickness. The only fly in the ointment is too old or the tag and sewing it up, but also to remove it yourself. Or affect the wearing experience.</v>
      </c>
    </row>
    <row r="18357">
      <c r="A18357" s="1">
        <v>5.0</v>
      </c>
      <c r="B18357" s="1" t="s">
        <v>18118</v>
      </c>
      <c r="C18357" t="str">
        <f>IFERROR(__xludf.DUMMYFUNCTION("GOOGLETRANSLATE(B18357, ""zh"", ""en"")"),"Bang Bang da special bar heart mind for a long time, finally found a favorite color, no comments said trachoma, just perfect!")</f>
        <v>Bang Bang da special bar heart mind for a long time, finally found a favorite color, no comments said trachoma, just perfect!</v>
      </c>
    </row>
    <row r="18358">
      <c r="A18358" s="1">
        <v>5.0</v>
      </c>
      <c r="B18358" s="1" t="s">
        <v>18119</v>
      </c>
      <c r="C18358" t="str">
        <f>IFERROR(__xludf.DUMMYFUNCTION("GOOGLETRANSLATE(B18358, ""zh"", ""en"")"),"Corsair u disk logistics very fast, u disk control silver Chan, write 33m, read the 110m, can also be right.")</f>
        <v>Corsair u disk logistics very fast, u disk control silver Chan, write 33m, read the 110m, can also be right.</v>
      </c>
    </row>
    <row r="18359">
      <c r="A18359" s="1">
        <v>5.0</v>
      </c>
      <c r="B18359" s="1" t="s">
        <v>18120</v>
      </c>
      <c r="C18359" t="str">
        <f>IFERROR(__xludf.DUMMYFUNCTION("GOOGLETRANSLATE(B18359, ""zh"", ""en"")"),"Mouthwash mouthwash super easy to use ah")</f>
        <v>Mouthwash mouthwash super easy to use ah</v>
      </c>
    </row>
    <row r="18360">
      <c r="A18360" s="1">
        <v>5.0</v>
      </c>
      <c r="B18360" s="1" t="s">
        <v>18121</v>
      </c>
      <c r="C18360" t="str">
        <f>IFERROR(__xludf.DUMMYFUNCTION("GOOGLETRANSLATE(B18360, ""zh"", ""en"")"),"We have been using the product have been using the product, very effective for me")</f>
        <v>We have been using the product have been using the product, very effective for me</v>
      </c>
    </row>
    <row r="18361">
      <c r="A18361" s="1">
        <v>5.0</v>
      </c>
      <c r="B18361" s="1" t="s">
        <v>18122</v>
      </c>
      <c r="C18361" t="str">
        <f>IFERROR(__xludf.DUMMYFUNCTION("GOOGLETRANSLATE(B18361, ""zh"", ""en"")"),"About the same size as, just right, I 168, weight 115 pounds, fitness, m code just, little significant figure ~ praise ah ~")</f>
        <v>About the same size as, just right, I 168, weight 115 pounds, fitness, m code just, little significant figure ~ praise ah ~</v>
      </c>
    </row>
    <row r="18362">
      <c r="A18362" s="1">
        <v>5.0</v>
      </c>
      <c r="B18362" s="1" t="s">
        <v>18123</v>
      </c>
      <c r="C18362" t="str">
        <f>IFERROR(__xludf.DUMMYFUNCTION("GOOGLETRANSLATE(B18362, ""zh"", ""en"")"),"Good price Tiger Cup this seems to be a fire, a high frequency of appearance. Japan Sea outside to buy, often out of stock.")</f>
        <v>Good price Tiger Cup this seems to be a fire, a high frequency of appearance. Japan Sea outside to buy, often out of stock.</v>
      </c>
    </row>
    <row r="18363">
      <c r="A18363" s="1">
        <v>5.0</v>
      </c>
      <c r="B18363" s="1" t="s">
        <v>18124</v>
      </c>
      <c r="C18363" t="str">
        <f>IFERROR(__xludf.DUMMYFUNCTION("GOOGLETRANSLATE(B18363, ""zh"", ""en"")"),"The good reputation of the product is very good! Baton")</f>
        <v>The good reputation of the product is very good! Baton</v>
      </c>
    </row>
    <row r="18364">
      <c r="A18364" s="1">
        <v>2.0</v>
      </c>
      <c r="B18364" s="1" t="s">
        <v>18125</v>
      </c>
      <c r="C18364" t="str">
        <f>IFERROR(__xludf.DUMMYFUNCTION("GOOGLETRANSLATE(B18364, ""zh"", ""en"")"),"general. Nib fairly thick. Nib fairly thick. Nib fairly thick. Nib fairly thick.")</f>
        <v>general. Nib fairly thick. Nib fairly thick. Nib fairly thick. Nib fairly thick.</v>
      </c>
    </row>
    <row r="18365">
      <c r="A18365" s="1">
        <v>3.0</v>
      </c>
      <c r="B18365" s="1" t="s">
        <v>18126</v>
      </c>
      <c r="C18365" t="str">
        <f>IFERROR(__xludf.DUMMYFUNCTION("GOOGLETRANSLATE(B18365, ""zh"", ""en"")"),"Toothbrush should be careful of Chinese production, HX939W, products to be used with care. Use half a year and it broke. Service center said it might fall, though no appearance of any damage, only topping 362 yuan new ones, do not support the service.")</f>
        <v>Toothbrush should be careful of Chinese production, HX939W, products to be used with care. Use half a year and it broke. Service center said it might fall, though no appearance of any damage, only topping 362 yuan new ones, do not support the service.</v>
      </c>
    </row>
    <row r="18366">
      <c r="A18366" s="1">
        <v>3.0</v>
      </c>
      <c r="B18366" s="1" t="s">
        <v>18127</v>
      </c>
      <c r="C18366" t="str">
        <f>IFERROR(__xludf.DUMMYFUNCTION("GOOGLETRANSLATE(B18366, ""zh"", ""en"")"),"One moldy moldy feeling is that there is a backlog caused by too lazy to back, the other two quality was okay, I hope Amazon attention to quality issues")</f>
        <v>One moldy moldy feeling is that there is a backlog caused by too lazy to back, the other two quality was okay, I hope Amazon attention to quality issues</v>
      </c>
    </row>
    <row r="18367">
      <c r="A18367" s="1">
        <v>1.0</v>
      </c>
      <c r="B18367" s="1" t="s">
        <v>18128</v>
      </c>
      <c r="C18367" t="str">
        <f>IFERROR(__xludf.DUMMYFUNCTION("GOOGLETRANSLATE(B18367, ""zh"", ""en"")"),"Small, shrink serious, get our hands on quality have holes such as the title, I thought, and US supermarkets, the actual Taobao goods. This is the worst one ck,")</f>
        <v>Small, shrink serious, get our hands on quality have holes such as the title, I thought, and US supermarkets, the actual Taobao goods. This is the worst one ck,</v>
      </c>
    </row>
    <row r="18368">
      <c r="A18368" s="1">
        <v>1.0</v>
      </c>
      <c r="B18368" s="1" t="s">
        <v>18129</v>
      </c>
      <c r="C18368" t="str">
        <f>IFERROR(__xludf.DUMMYFUNCTION("GOOGLETRANSLATE(B18368, ""zh"", ""en"")"),"The new shoes are not made of others tried to return, but just bought on price cuts")</f>
        <v>The new shoes are not made of others tried to return, but just bought on price cuts</v>
      </c>
    </row>
    <row r="18369">
      <c r="A18369" s="1">
        <v>1.0</v>
      </c>
      <c r="B18369" s="1" t="s">
        <v>18130</v>
      </c>
      <c r="C18369" t="str">
        <f>IFERROR(__xludf.DUMMYFUNCTION("GOOGLETRANSLATE(B18369, ""zh"", ""en"")"),"Two trouser leg is not as wide as two feet around the leg is not the same, a loose a tight, it is clear that the error 2CM. This is what I always buy the most wonderful piece of pants, and no customer can contact.")</f>
        <v>Two trouser leg is not as wide as two feet around the leg is not the same, a loose a tight, it is clear that the error 2CM. This is what I always buy the most wonderful piece of pants, and no customer can contact.</v>
      </c>
    </row>
    <row r="18370">
      <c r="A18370" s="1">
        <v>4.0</v>
      </c>
      <c r="B18370" s="1" t="s">
        <v>18131</v>
      </c>
      <c r="C18370" t="str">
        <f>IFERROR(__xludf.DUMMYFUNCTION("GOOGLETRANSLATE(B18370, ""zh"", ""en"")"),"Overall satisfaction shoes should not be suitable for cold weather, shoes rear section has narrowed the effect of light wearing very significant foot thin, upper, there are several scratches, do not look carefully not aware, overall satisfaction. 235cm th"&amp;"in wearing this code is very suitable to wear thicker socks wrapped in a strong sense.")</f>
        <v>Overall satisfaction shoes should not be suitable for cold weather, shoes rear section has narrowed the effect of light wearing very significant foot thin, upper, there are several scratches, do not look carefully not aware, overall satisfaction. 235cm thin wearing this code is very suitable to wear thicker socks wrapped in a strong sense.</v>
      </c>
    </row>
    <row r="18371">
      <c r="A18371" s="1">
        <v>4.0</v>
      </c>
      <c r="B18371" s="1" t="s">
        <v>18132</v>
      </c>
      <c r="C18371" t="str">
        <f>IFERROR(__xludf.DUMMYFUNCTION("GOOGLETRANSLATE(B18371, ""zh"", ""en"")"),"Thermal insulation effect is generally the general effect, although cold cup, but the water temperature drops rapidly, listen to relatives say four hours is normal, but the findings were not so smug when in actual use")</f>
        <v>Thermal insulation effect is generally the general effect, although cold cup, but the water temperature drops rapidly, listen to relatives say four hours is normal, but the findings were not so smug when in actual use</v>
      </c>
    </row>
    <row r="18372">
      <c r="A18372" s="1">
        <v>4.0</v>
      </c>
      <c r="B18372" s="1" t="s">
        <v>18133</v>
      </c>
      <c r="C18372" t="str">
        <f>IFERROR(__xludf.DUMMYFUNCTION("GOOGLETRANSLATE(B18372, ""zh"", ""en"")"),"It can also be one meter 75,85 kg, more fit, slightly longer sleeves. There is very light wear rushing sound.")</f>
        <v>It can also be one meter 75,85 kg, more fit, slightly longer sleeves. There is very light wear rushing sound.</v>
      </c>
    </row>
    <row r="18373">
      <c r="A18373" s="1">
        <v>4.0</v>
      </c>
      <c r="B18373" s="1" t="s">
        <v>18134</v>
      </c>
      <c r="C18373" t="str">
        <f>IFERROR(__xludf.DUMMYFUNCTION("GOOGLETRANSLATE(B18373, ""zh"", ""en"")"),"Pacifier model does oz bottle with a nipple 2, should be the No. 1 ah? 2 8 oz bottle with a nipple 3. Should be the No. 2 ah? Box nipple 2, a selection number, the actual number is a 1, a 3. what happened? ? ?")</f>
        <v>Pacifier model does oz bottle with a nipple 2, should be the No. 1 ah? 2 8 oz bottle with a nipple 3. Should be the No. 2 ah? Box nipple 2, a selection number, the actual number is a 1, a 3. what happened? ? ?</v>
      </c>
    </row>
    <row r="18374">
      <c r="A18374" s="1">
        <v>4.0</v>
      </c>
      <c r="B18374" s="1" t="s">
        <v>18135</v>
      </c>
      <c r="C18374" t="str">
        <f>IFERROR(__xludf.DUMMYFUNCTION("GOOGLETRANSLATE(B18374, ""zh"", ""en"")"),"Clothes Clothes quality okay, affordable, no models wearing nice")</f>
        <v>Clothes Clothes quality okay, affordable, no models wearing nice</v>
      </c>
    </row>
    <row r="18375">
      <c r="A18375" s="1">
        <v>5.0</v>
      </c>
      <c r="B18375" s="1" t="s">
        <v>18136</v>
      </c>
      <c r="C18375" t="str">
        <f>IFERROR(__xludf.DUMMYFUNCTION("GOOGLETRANSLATE(B18375, ""zh"", ""en"")"),"Packaging good speed is quite fast, just open, not use, I feel pretty good looking, very light")</f>
        <v>Packaging good speed is quite fast, just open, not use, I feel pretty good looking, very light</v>
      </c>
    </row>
    <row r="18376">
      <c r="A18376" s="1">
        <v>5.0</v>
      </c>
      <c r="B18376" s="1" t="s">
        <v>18137</v>
      </c>
      <c r="C18376" t="str">
        <f>IFERROR(__xludf.DUMMYFUNCTION("GOOGLETRANSLATE(B18376, ""zh"", ""en"")"),"Good fast cost-effective good")</f>
        <v>Good fast cost-effective good</v>
      </c>
    </row>
    <row r="18377">
      <c r="A18377" s="1">
        <v>5.0</v>
      </c>
      <c r="B18377" s="1" t="s">
        <v>18138</v>
      </c>
      <c r="C18377" t="str">
        <f>IFERROR(__xludf.DUMMYFUNCTION("GOOGLETRANSLATE(B18377, ""zh"", ""en"")"),"Very good, work well, wear comfortable, breathable and it goes without saying")</f>
        <v>Very good, work well, wear comfortable, breathable and it goes without saying</v>
      </c>
    </row>
    <row r="18378">
      <c r="A18378" s="1">
        <v>5.0</v>
      </c>
      <c r="B18378" s="1" t="s">
        <v>18139</v>
      </c>
      <c r="C18378" t="str">
        <f>IFERROR(__xludf.DUMMYFUNCTION("GOOGLETRANSLATE(B18378, ""zh"", ""en"")"),"170.66 s slightly longer wear a little better than expected better than expected, the cost is still high")</f>
        <v>170.66 s slightly longer wear a little better than expected better than expected, the cost is still high</v>
      </c>
    </row>
    <row r="18379">
      <c r="A18379" s="1">
        <v>5.0</v>
      </c>
      <c r="B18379" s="1" t="s">
        <v>18140</v>
      </c>
      <c r="C18379" t="str">
        <f>IFERROR(__xludf.DUMMYFUNCTION("GOOGLETRANSLATE(B18379, ""zh"", ""en"")"),"Pretty good praise it, buy cheaper than at home, good shoes, the heel is a little big,")</f>
        <v>Pretty good praise it, buy cheaper than at home, good shoes, the heel is a little big,</v>
      </c>
    </row>
    <row r="18380">
      <c r="A18380" s="1">
        <v>5.0</v>
      </c>
      <c r="B18380" s="1" t="s">
        <v>18141</v>
      </c>
      <c r="C18380" t="str">
        <f>IFERROR(__xludf.DUMMYFUNCTION("GOOGLETRANSLATE(B18380, ""zh"", ""en"")"),"Nice thin, very suitable for summer.")</f>
        <v>Nice thin, very suitable for summer.</v>
      </c>
    </row>
    <row r="18381">
      <c r="A18381" s="1">
        <v>5.0</v>
      </c>
      <c r="B18381" s="1" t="s">
        <v>18142</v>
      </c>
      <c r="C18381" t="str">
        <f>IFERROR(__xludf.DUMMYFUNCTION("GOOGLETRANSLATE(B18381, ""zh"", ""en"")"),"Dimensions height 172, weight 80, slightly larger than the upper")</f>
        <v>Dimensions height 172, weight 80, slightly larger than the upper</v>
      </c>
    </row>
    <row r="18382">
      <c r="A18382" s="1">
        <v>5.0</v>
      </c>
      <c r="B18382" s="1" t="s">
        <v>18143</v>
      </c>
      <c r="C18382" t="str">
        <f>IFERROR(__xludf.DUMMYFUNCTION("GOOGLETRANSLATE(B18382, ""zh"", ""en"")"),"This can be a genuine authentic")</f>
        <v>This can be a genuine authentic</v>
      </c>
    </row>
    <row r="18383">
      <c r="A18383" s="1">
        <v>5.0</v>
      </c>
      <c r="B18383" s="1" t="s">
        <v>18144</v>
      </c>
      <c r="C18383" t="str">
        <f>IFERROR(__xludf.DUMMYFUNCTION("GOOGLETRANSLATE(B18383, ""zh"", ""en"")"),"Easy to use, long time will leak, made in China")</f>
        <v>Easy to use, long time will leak, made in China</v>
      </c>
    </row>
    <row r="18384">
      <c r="A18384" s="1">
        <v>5.0</v>
      </c>
      <c r="B18384" s="1" t="s">
        <v>18145</v>
      </c>
      <c r="C18384" t="str">
        <f>IFERROR(__xludf.DUMMYFUNCTION("GOOGLETRANSLATE(B18384, ""zh"", ""en"")"),"Universal helper? Much cheaper than purchasing. Wash vegetables ribs, soup, cooking is very easy, just use a pot over wash. I will not paste pot scrambled eggs. Can not touch the bottom of said wash up more not so easy. German recipes are read. Overall pr"&amp;"aise.")</f>
        <v>Universal helper? Much cheaper than purchasing. Wash vegetables ribs, soup, cooking is very easy, just use a pot over wash. I will not paste pot scrambled eggs. Can not touch the bottom of said wash up more not so easy. German recipes are read. Overall praise.</v>
      </c>
    </row>
    <row r="18385">
      <c r="A18385" s="1">
        <v>5.0</v>
      </c>
      <c r="B18385" s="1" t="s">
        <v>18146</v>
      </c>
      <c r="C18385" t="str">
        <f>IFERROR(__xludf.DUMMYFUNCTION("GOOGLETRANSLATE(B18385, ""zh"", ""en"")"),"My Queen stockings - Atsugi Amazon direct mail is to force, always liked Atsugi home stockings, excellent material, like his family stockings have this design foot, for the first time to buy No. 9 color number, good read, later on this is the color")</f>
        <v>My Queen stockings - Atsugi Amazon direct mail is to force, always liked Atsugi home stockings, excellent material, like his family stockings have this design foot, for the first time to buy No. 9 color number, good read, later on this is the color</v>
      </c>
    </row>
    <row r="18386">
      <c r="A18386" s="1">
        <v>5.0</v>
      </c>
      <c r="B18386" s="1" t="s">
        <v>18147</v>
      </c>
      <c r="C18386" t="str">
        <f>IFERROR(__xludf.DUMMYFUNCTION("GOOGLETRANSLATE(B18386, ""zh"", ""en"")"),"Good scouring the sea for the first time, for the baby, freight speed faster than imagined, but get the goods to open outside of the courier box, inside the bottle has run out, actually did not plastic, hope is genuine, but the bottle is really good Meng "&amp;"cute, feel good, hope the baby like it")</f>
        <v>Good scouring the sea for the first time, for the baby, freight speed faster than imagined, but get the goods to open outside of the courier box, inside the bottle has run out, actually did not plastic, hope is genuine, but the bottle is really good Meng cute, feel good, hope the baby like it</v>
      </c>
    </row>
    <row r="18387">
      <c r="A18387" s="1">
        <v>5.0</v>
      </c>
      <c r="B18387" s="1" t="s">
        <v>18148</v>
      </c>
      <c r="C18387" t="str">
        <f>IFERROR(__xludf.DUMMYFUNCTION("GOOGLETRANSLATE(B18387, ""zh"", ""en"")"),"Thick solid waist 34, according to the recommended buy 36 yards, just right. Thick leather, feel more durable, lighter color than the picture some work is still very solid, a hundred-something quite it.")</f>
        <v>Thick solid waist 34, according to the recommended buy 36 yards, just right. Thick leather, feel more durable, lighter color than the picture some work is still very solid, a hundred-something quite it.</v>
      </c>
    </row>
    <row r="18388">
      <c r="A18388" s="1">
        <v>5.0</v>
      </c>
      <c r="B18388" s="1" t="s">
        <v>18149</v>
      </c>
      <c r="C18388" t="str">
        <f>IFERROR(__xludf.DUMMYFUNCTION("GOOGLETRANSLATE(B18388, ""zh"", ""en"")"),"You want it all when I say that your lifestyle! !")</f>
        <v>You want it all when I say that your lifestyle! !</v>
      </c>
    </row>
    <row r="18389">
      <c r="A18389" s="1">
        <v>5.0</v>
      </c>
      <c r="B18389" s="1" t="s">
        <v>18150</v>
      </c>
      <c r="C18389" t="str">
        <f>IFERROR(__xludf.DUMMYFUNCTION("GOOGLETRANSLATE(B18389, ""zh"", ""en"")"),"Very accurate yardage cost-effective, cheaper than half tb official store, the sole very comfortable, not foot wear, but take a long time or a little tired")</f>
        <v>Very accurate yardage cost-effective, cheaper than half tb official store, the sole very comfortable, not foot wear, but take a long time or a little tired</v>
      </c>
    </row>
    <row r="18390">
      <c r="A18390" s="1">
        <v>5.0</v>
      </c>
      <c r="B18390" s="1" t="s">
        <v>18151</v>
      </c>
      <c r="C18390" t="str">
        <f>IFERROR(__xludf.DUMMYFUNCTION("GOOGLETRANSLATE(B18390, ""zh"", ""en"")"),"More expensive cartridge refill time to write a little action, a good color")</f>
        <v>More expensive cartridge refill time to write a little action, a good color</v>
      </c>
    </row>
    <row r="18391">
      <c r="A18391" s="1">
        <v>5.0</v>
      </c>
      <c r="B18391" s="1" t="s">
        <v>18152</v>
      </c>
      <c r="C18391" t="str">
        <f>IFERROR(__xludf.DUMMYFUNCTION("GOOGLETRANSLATE(B18391, ""zh"", ""en"")"),"Physical and picture contrast I feel kind than the picture look good, work better")</f>
        <v>Physical and picture contrast I feel kind than the picture look good, work better</v>
      </c>
    </row>
    <row r="18392">
      <c r="A18392" s="1">
        <v>5.0</v>
      </c>
      <c r="B18392" s="1" t="s">
        <v>18153</v>
      </c>
      <c r="C18392" t="str">
        <f>IFERROR(__xludf.DUMMYFUNCTION("GOOGLETRANSLATE(B18392, ""zh"", ""en"")"),"Fast buy Thai oil-producing skin flawless wonderful texture code is very accurate")</f>
        <v>Fast buy Thai oil-producing skin flawless wonderful texture code is very accurate</v>
      </c>
    </row>
    <row r="18393">
      <c r="A18393" s="1">
        <v>5.0</v>
      </c>
      <c r="B18393" s="1" t="s">
        <v>18154</v>
      </c>
      <c r="C18393" t="str">
        <f>IFERROR(__xludf.DUMMYFUNCTION("GOOGLETRANSLATE(B18393, ""zh"", ""en"")"),"Very good value for money! Fast delivery, 10 days from California to China, is really amazing speed! Something great, beautiful price!")</f>
        <v>Very good value for money! Fast delivery, 10 days from California to China, is really amazing speed! Something great, beautiful price!</v>
      </c>
    </row>
    <row r="18394">
      <c r="A18394" s="1">
        <v>5.0</v>
      </c>
      <c r="B18394" s="1" t="s">
        <v>18155</v>
      </c>
      <c r="C18394" t="str">
        <f>IFERROR(__xludf.DUMMYFUNCTION("GOOGLETRANSLATE(B18394, ""zh"", ""en"")"),"Beauty toothbrush upgraded version to take a week, so fast, with sonicare for years, and finally try an upgraded version. At first I thought no cups, hand found to be replaced by a low base, it is also good. Power is the two-hole version of the bathroom, "&amp;"do not have to worry about is not convenient")</f>
        <v>Beauty toothbrush upgraded version to take a week, so fast, with sonicare for years, and finally try an upgraded version. At first I thought no cups, hand found to be replaced by a low base, it is also good. Power is the two-hole version of the bathroom, do not have to worry about is not convenient</v>
      </c>
    </row>
    <row r="18395">
      <c r="A18395" s="1">
        <v>5.0</v>
      </c>
      <c r="B18395" s="1" t="s">
        <v>18156</v>
      </c>
      <c r="C18395" t="str">
        <f>IFERROR(__xludf.DUMMYFUNCTION("GOOGLETRANSLATE(B18395, ""zh"", ""en"")"),"Cheaper than a treasure, a genuine hope is very cost-effective, logistics and soon, two different colors, for the use, chasing after evaluation by")</f>
        <v>Cheaper than a treasure, a genuine hope is very cost-effective, logistics and soon, two different colors, for the use, chasing after evaluation by</v>
      </c>
    </row>
    <row r="18396">
      <c r="A18396" s="1">
        <v>5.0</v>
      </c>
      <c r="B18396" s="1" t="s">
        <v>18157</v>
      </c>
      <c r="C18396" t="str">
        <f>IFERROR(__xludf.DUMMYFUNCTION("GOOGLETRANSLATE(B18396, ""zh"", ""en"")"),"Cheap also possible, including small but large capacity.")</f>
        <v>Cheap also possible, including small but large capacity.</v>
      </c>
    </row>
    <row r="18397">
      <c r="A18397" s="1">
        <v>2.0</v>
      </c>
      <c r="B18397" s="1" t="s">
        <v>18158</v>
      </c>
      <c r="C18397" t="str">
        <f>IFERROR(__xludf.DUMMYFUNCTION("GOOGLETRANSLATE(B18397, ""zh"", ""en"")"),"Toner cartridge leaks after each renewal, there will still be repeated five or six times charcoal filter, previously bought the German version, there is no filter twice, in different parts of the production process is not the same as producing it! ?")</f>
        <v>Toner cartridge leaks after each renewal, there will still be repeated five or six times charcoal filter, previously bought the German version, there is no filter twice, in different parts of the production process is not the same as producing it! ?</v>
      </c>
    </row>
    <row r="18398">
      <c r="A18398" s="1">
        <v>3.0</v>
      </c>
      <c r="B18398" s="1" t="s">
        <v>18159</v>
      </c>
      <c r="C18398" t="str">
        <f>IFERROR(__xludf.DUMMYFUNCTION("GOOGLETRANSLATE(B18398, ""zh"", ""en"")"),"Special case flawed, no sanding. Steady movement. Overall belonging to the special goods. No loss.")</f>
        <v>Special case flawed, no sanding. Steady movement. Overall belonging to the special goods. No loss.</v>
      </c>
    </row>
    <row r="18399">
      <c r="A18399" s="1">
        <v>3.0</v>
      </c>
      <c r="B18399" s="1" t="s">
        <v>18160</v>
      </c>
      <c r="C18399" t="str">
        <f>IFERROR(__xludf.DUMMYFUNCTION("GOOGLETRANSLATE(B18399, ""zh"", ""en"")"),"Plastic feeling too moderate speed, back up with it! ! !")</f>
        <v>Plastic feeling too moderate speed, back up with it! ! !</v>
      </c>
    </row>
    <row r="18400">
      <c r="A18400" s="1">
        <v>1.0</v>
      </c>
      <c r="B18400" s="1" t="s">
        <v>18161</v>
      </c>
      <c r="C18400" t="str">
        <f>IFERROR(__xludf.DUMMYFUNCTION("GOOGLETRANSLATE(B18400, ""zh"", ""en"")"),"Actually less a surprise inside a 946 less, why this happens")</f>
        <v>Actually less a surprise inside a 946 less, why this happens</v>
      </c>
    </row>
    <row r="18401">
      <c r="A18401" s="1">
        <v>1.0</v>
      </c>
      <c r="B18401" s="1" t="s">
        <v>18162</v>
      </c>
      <c r="C18401" t="str">
        <f>IFERROR(__xludf.DUMMYFUNCTION("GOOGLETRANSLATE(B18401, ""zh"", ""en"")"),"Too, color is too large, old man wearing were disgusted 1. particularly large. A closer look at a lot of data, is still very large, mainly on the sleeves half, particularly fertilizer, clothes and put on a show no difference, can not wear. 2. color large."&amp;" Buy black, get our hands on, it appears to be out of the same from the dust, because a little sanding surface, more ugly. Directly to the elderly wear.")</f>
        <v>Too, color is too large, old man wearing were disgusted 1. particularly large. A closer look at a lot of data, is still very large, mainly on the sleeves half, particularly fertilizer, clothes and put on a show no difference, can not wear. 2. color large. Buy black, get our hands on, it appears to be out of the same from the dust, because a little sanding surface, more ugly. Directly to the elderly wear.</v>
      </c>
    </row>
    <row r="18402">
      <c r="A18402" s="1">
        <v>4.0</v>
      </c>
      <c r="B18402" s="1" t="s">
        <v>18163</v>
      </c>
      <c r="C18402" t="str">
        <f>IFERROR(__xludf.DUMMYFUNCTION("GOOGLETRANSLATE(B18402, ""zh"", ""en"")"),"Indeed surface which is very easy to spend. And I found a particularly strange things, most of which are not on the digital pointer. And with a long strap is not on the table and bought the same flat. (Is not nonsense, do not hit me), but the feeling is g"&amp;"ood.")</f>
        <v>Indeed surface which is very easy to spend. And I found a particularly strange things, most of which are not on the digital pointer. And with a long strap is not on the table and bought the same flat. (Is not nonsense, do not hit me), but the feeling is good.</v>
      </c>
    </row>
    <row r="18403">
      <c r="A18403" s="1">
        <v>4.0</v>
      </c>
      <c r="B18403" s="1" t="s">
        <v>18164</v>
      </c>
      <c r="C18403" t="str">
        <f>IFERROR(__xludf.DUMMYFUNCTION("GOOGLETRANSLATE(B18403, ""zh"", ""en"")"),"Loose and comfortable loose and comfortable, just the size of the length.")</f>
        <v>Loose and comfortable loose and comfortable, just the size of the length.</v>
      </c>
    </row>
    <row r="18404">
      <c r="A18404" s="1">
        <v>4.0</v>
      </c>
      <c r="B18404" s="1" t="s">
        <v>18165</v>
      </c>
      <c r="C18404" t="str">
        <f>IFERROR(__xludf.DUMMYFUNCTION("GOOGLETRANSLATE(B18404, ""zh"", ""en"")"),"Not bad, after all, cheap. Texture very comfortable, but there are a lot of thread, workmanship feel a little cheap, but it is the US brand supermarket goods, unlike the country to make a high-end ...")</f>
        <v>Not bad, after all, cheap. Texture very comfortable, but there are a lot of thread, workmanship feel a little cheap, but it is the US brand supermarket goods, unlike the country to make a high-end ...</v>
      </c>
    </row>
    <row r="18405">
      <c r="A18405" s="1">
        <v>4.0</v>
      </c>
      <c r="B18405" s="1" t="s">
        <v>18166</v>
      </c>
      <c r="C18405" t="str">
        <f>IFERROR(__xludf.DUMMYFUNCTION("GOOGLETRANSLATE(B18405, ""zh"", ""en"")"),"After using a good, relatively fresh breath, hold time is relatively long.")</f>
        <v>After using a good, relatively fresh breath, hold time is relatively long.</v>
      </c>
    </row>
    <row r="18406">
      <c r="A18406" s="1">
        <v>4.0</v>
      </c>
      <c r="B18406" s="1" t="s">
        <v>18167</v>
      </c>
      <c r="C18406" t="str">
        <f>IFERROR(__xludf.DUMMYFUNCTION("GOOGLETRANSLATE(B18406, ""zh"", ""en"")"),"Not recommended for small partners to buy this product good front-end or not to buy this, could not move. . . There is also no access to the front end of a good buy this. . . Position is very awkward. . .")</f>
        <v>Not recommended for small partners to buy this product good front-end or not to buy this, could not move. . . There is also no access to the front end of a good buy this. . . Position is very awkward. . .</v>
      </c>
    </row>
    <row r="18407">
      <c r="A18407" s="1">
        <v>5.0</v>
      </c>
      <c r="B18407" s="1" t="s">
        <v>18168</v>
      </c>
      <c r="C18407" t="str">
        <f>IFERROR(__xludf.DUMMYFUNCTION("GOOGLETRANSLATE(B18407, ""zh"", ""en"")"),"Just good quality spring and autumn, the version Ye Hao")</f>
        <v>Just good quality spring and autumn, the version Ye Hao</v>
      </c>
    </row>
    <row r="18408">
      <c r="A18408" s="1">
        <v>5.0</v>
      </c>
      <c r="B18408" s="1" t="s">
        <v>18169</v>
      </c>
      <c r="C18408" t="str">
        <f>IFERROR(__xludf.DUMMYFUNCTION("GOOGLETRANSLATE(B18408, ""zh"", ""en"")"),"Clothing size just right, wearing comfortable clothes, size just right, comfortable to wear")</f>
        <v>Clothing size just right, wearing comfortable clothes, size just right, comfortable to wear</v>
      </c>
    </row>
    <row r="18409">
      <c r="A18409" s="1">
        <v>5.0</v>
      </c>
      <c r="B18409" s="1" t="s">
        <v>18170</v>
      </c>
      <c r="C18409" t="str">
        <f>IFERROR(__xludf.DUMMYFUNCTION("GOOGLETRANSLATE(B18409, ""zh"", ""en"")"),"Good clothes, just fit, style is like, 174s code")</f>
        <v>Good clothes, just fit, style is like, 174s code</v>
      </c>
    </row>
    <row r="18410">
      <c r="A18410" s="1">
        <v>5.0</v>
      </c>
      <c r="B18410" s="1" t="s">
        <v>18171</v>
      </c>
      <c r="C18410" t="str">
        <f>IFERROR(__xludf.DUMMYFUNCTION("GOOGLETRANSLATE(B18410, ""zh"", ""en"")"),"Very good scouring the sea for the first time to buy Amazon products, nine days to go, the product there is no instructions in Chinese, only to find something good yourself online")</f>
        <v>Very good scouring the sea for the first time to buy Amazon products, nine days to go, the product there is no instructions in Chinese, only to find something good yourself online</v>
      </c>
    </row>
    <row r="18411">
      <c r="A18411" s="1">
        <v>5.0</v>
      </c>
      <c r="B18411" s="1" t="s">
        <v>18172</v>
      </c>
      <c r="C18411" t="str">
        <f>IFERROR(__xludf.DUMMYFUNCTION("GOOGLETRANSLATE(B18411, ""zh"", ""en"")"),"The right size, good quality 183cm, 67kg, buy 30 * 34, feels just right, feels feel good, slightly thick, the color does not look good, others are quite satisfactory, the price than the store six or seven hundred of cost-effective a lot of")</f>
        <v>The right size, good quality 183cm, 67kg, buy 30 * 34, feels just right, feels feel good, slightly thick, the color does not look good, others are quite satisfactory, the price than the store six or seven hundred of cost-effective a lot of</v>
      </c>
    </row>
    <row r="18412">
      <c r="A18412" s="1">
        <v>5.0</v>
      </c>
      <c r="B18412" s="1" t="s">
        <v>18173</v>
      </c>
      <c r="C18412" t="str">
        <f>IFERROR(__xludf.DUMMYFUNCTION("GOOGLETRANSLATE(B18412, ""zh"", ""en"")"),"Later, the high cost of a complement, not a paragraph before the event, prices have gone up more than ten dollars, it is still very cost-effective. Good quality, family is really like a person to start a cup, satisfaction, during the five black")</f>
        <v>Later, the high cost of a complement, not a paragraph before the event, prices have gone up more than ten dollars, it is still very cost-effective. Good quality, family is really like a person to start a cup, satisfaction, during the five black</v>
      </c>
    </row>
    <row r="18413">
      <c r="A18413" s="1">
        <v>5.0</v>
      </c>
      <c r="B18413" s="1" t="s">
        <v>18174</v>
      </c>
      <c r="C18413" t="str">
        <f>IFERROR(__xludf.DUMMYFUNCTION("GOOGLETRANSLATE(B18413, ""zh"", ""en"")"),"Tiger Tiger child mug. . . . . Something small, a little water will not leak, but the outlet of the rubber gasket is easy to pull down a child, could not find.")</f>
        <v>Tiger Tiger child mug. . . . . Something small, a little water will not leak, but the outlet of the rubber gasket is easy to pull down a child, could not find.</v>
      </c>
    </row>
    <row r="18414">
      <c r="A18414" s="1">
        <v>5.0</v>
      </c>
      <c r="B18414" s="1" t="s">
        <v>18175</v>
      </c>
      <c r="C18414" t="str">
        <f>IFERROR(__xludf.DUMMYFUNCTION("GOOGLETRANSLATE(B18414, ""zh"", ""en"")"),"Very comfortable comfortably cool")</f>
        <v>Very comfortable comfortably cool</v>
      </c>
    </row>
    <row r="18415">
      <c r="A18415" s="1">
        <v>5.0</v>
      </c>
      <c r="B18415" s="1" t="s">
        <v>18176</v>
      </c>
      <c r="C18415" t="str">
        <f>IFERROR(__xludf.DUMMYFUNCTION("GOOGLETRANSLATE(B18415, ""zh"", ""en"")"),"Suitable right size, very comfortable to wear, the original 43 to buy shoes, sandals right to buy 44")</f>
        <v>Suitable right size, very comfortable to wear, the original 43 to buy shoes, sandals right to buy 44</v>
      </c>
    </row>
    <row r="18416">
      <c r="A18416" s="1">
        <v>5.0</v>
      </c>
      <c r="B18416" s="1" t="s">
        <v>18177</v>
      </c>
      <c r="C18416" t="str">
        <f>IFERROR(__xludf.DUMMYFUNCTION("GOOGLETRANSLATE(B18416, ""zh"", ""en"")"),"Well into the special, a considerable value, it is strongly recommended")</f>
        <v>Well into the special, a considerable value, it is strongly recommended</v>
      </c>
    </row>
    <row r="18417">
      <c r="A18417" s="1">
        <v>5.0</v>
      </c>
      <c r="B18417" s="1" t="s">
        <v>18178</v>
      </c>
      <c r="C18417" t="str">
        <f>IFERROR(__xludf.DUMMYFUNCTION("GOOGLETRANSLATE(B18417, ""zh"", ""en"")"),"Cost-effective high picture looks great, life-size figure, reference may be sticky. AIU direct mail, logistics quickly, packaging intact, no scratches or marks housing, use a mild noise but acceptable, with another mobile hard disk WD between mobile data "&amp;"storage speed 80-110MS. The only Tucao is the software that comes with WD, need to be online to download and install in the country not to take in a certain way can not be one-click installation.")</f>
        <v>Cost-effective high picture looks great, life-size figure, reference may be sticky. AIU direct mail, logistics quickly, packaging intact, no scratches or marks housing, use a mild noise but acceptable, with another mobile hard disk WD between mobile data storage speed 80-110MS. The only Tucao is the software that comes with WD, need to be online to download and install in the country not to take in a certain way can not be one-click installation.</v>
      </c>
    </row>
    <row r="18418">
      <c r="A18418" s="1">
        <v>5.0</v>
      </c>
      <c r="B18418" s="1" t="s">
        <v>18179</v>
      </c>
      <c r="C18418" t="str">
        <f>IFERROR(__xludf.DUMMYFUNCTION("GOOGLETRANSLATE(B18418, ""zh"", ""en"")"),"Feel good, accustomed to using fakes elsewhere, this still authentic, a sum will know true and false, with the cartridge used to it, has been to buy is a little expensive")</f>
        <v>Feel good, accustomed to using fakes elsewhere, this still authentic, a sum will know true and false, with the cartridge used to it, has been to buy is a little expensive</v>
      </c>
    </row>
    <row r="18419">
      <c r="A18419" s="1">
        <v>5.0</v>
      </c>
      <c r="B18419" s="1" t="s">
        <v>18180</v>
      </c>
      <c r="C18419" t="str">
        <f>IFERROR(__xludf.DUMMYFUNCTION("GOOGLETRANSLATE(B18419, ""zh"", ""en"")"),"Genuine authentic look good look great, but the strap broke very sad")</f>
        <v>Genuine authentic look good look great, but the strap broke very sad</v>
      </c>
    </row>
    <row r="18420">
      <c r="A18420" s="1">
        <v>5.0</v>
      </c>
      <c r="B18420" s="1" t="s">
        <v>18181</v>
      </c>
      <c r="C18420" t="str">
        <f>IFERROR(__xludf.DUMMYFUNCTION("GOOGLETRANSLATE(B18420, ""zh"", ""en"")"),"Great, worth buying the normal version of the American brand boots usually wear US8, such as Timberland and CAT, this 8EE width (41.5) a little longer, it is estimated own normal shoes code 41, UK7, US7.5 just right, but the outdoor boots bigger suitable "&amp;"for long wear. From boots to foot feeling great texture, the smell of leather, the US production, slightly heavy, early summer on foot is not boring, it is worth buying. Wide recommended to buy their own domestic shoe size just fine. Send half insole a bi"&amp;"t slippery, collection for a long time, start with the lowest 1655, more than 400 taxes and fees, should be able to withdraw some of it?")</f>
        <v>Great, worth buying the normal version of the American brand boots usually wear US8, such as Timberland and CAT, this 8EE width (41.5) a little longer, it is estimated own normal shoes code 41, UK7, US7.5 just right, but the outdoor boots bigger suitable for long wear. From boots to foot feeling great texture, the smell of leather, the US production, slightly heavy, early summer on foot is not boring, it is worth buying. Wide recommended to buy their own domestic shoe size just fine. Send half insole a bit slippery, collection for a long time, start with the lowest 1655, more than 400 taxes and fees, should be able to withdraw some of it?</v>
      </c>
    </row>
    <row r="18421">
      <c r="A18421" s="1">
        <v>5.0</v>
      </c>
      <c r="B18421" s="1" t="s">
        <v>18182</v>
      </c>
      <c r="C18421" t="str">
        <f>IFERROR(__xludf.DUMMYFUNCTION("GOOGLETRANSLATE(B18421, ""zh"", ""en"")"),"Comotomo been using recently been good price, could not help more than store a few, also prepared a small, easy to use as Andy. . .")</f>
        <v>Comotomo been using recently been good price, could not help more than store a few, also prepared a small, easy to use as Andy. . .</v>
      </c>
    </row>
    <row r="18422">
      <c r="A18422" s="1">
        <v>5.0</v>
      </c>
      <c r="B18422" s="1" t="s">
        <v>18183</v>
      </c>
      <c r="C18422" t="str">
        <f>IFERROR(__xludf.DUMMYFUNCTION("GOOGLETRANSLATE(B18422, ""zh"", ""en"")"),"Shoes I liked it, is a little hit points, and hope to these issues, can be replaced")</f>
        <v>Shoes I liked it, is a little hit points, and hope to these issues, can be replaced</v>
      </c>
    </row>
    <row r="18423">
      <c r="A18423" s="1">
        <v>5.0</v>
      </c>
      <c r="B18423" s="1" t="s">
        <v>18184</v>
      </c>
      <c r="C18423" t="str">
        <f>IFERROR(__xludf.DUMMYFUNCTION("GOOGLETRANSLATE(B18423, ""zh"", ""en"")"),"Very good not the kind of overprotective mother the baby, but because the diet is important, or to buy a variety of different materials bowls, still not assured until bought this. Bought ceramics, destroyed several wooden bowls worry about its paint, enam"&amp;"el Yishuai will reveal the inside of metal, plastic is even more worried that there will be hot food into poisonous substances precipitated. Early regret not buy this, very convenient, just outside of the bowl cap tightness, usually will not fall, can als"&amp;"o be used to win. Wangai particularly convenient, no longer go out with bags of food bowl, just close the lid just fine. recommend!")</f>
        <v>Very good not the kind of overprotective mother the baby, but because the diet is important, or to buy a variety of different materials bowls, still not assured until bought this. Bought ceramics, destroyed several wooden bowls worry about its paint, enamel Yishuai will reveal the inside of metal, plastic is even more worried that there will be hot food into poisonous substances precipitated. Early regret not buy this, very convenient, just outside of the bowl cap tightness, usually will not fall, can also be used to win. Wangai particularly convenient, no longer go out with bags of food bowl, just close the lid just fine. recommend!</v>
      </c>
    </row>
    <row r="18424">
      <c r="A18424" s="1">
        <v>5.0</v>
      </c>
      <c r="B18424" s="1" t="s">
        <v>18185</v>
      </c>
      <c r="C18424" t="str">
        <f>IFERROR(__xludf.DUMMYFUNCTION("GOOGLETRANSLATE(B18424, ""zh"", ""en"")"),"Oversized yardage 170/140 s just selected, the code number is really great. I usually are a Uniqlo tops of xl")</f>
        <v>Oversized yardage 170/140 s just selected, the code number is really great. I usually are a Uniqlo tops of xl</v>
      </c>
    </row>
    <row r="18425">
      <c r="A18425" s="1">
        <v>5.0</v>
      </c>
      <c r="B18425" s="1" t="s">
        <v>18186</v>
      </c>
      <c r="C18425" t="str">
        <f>IFERROR(__xludf.DUMMYFUNCTION("GOOGLETRANSLATE(B18425, ""zh"", ""en"")"),"Good quality better than domestic brands more than two cheaper to buy three shipped over from California, half of it is really good and smooth quality is very good close")</f>
        <v>Good quality better than domestic brands more than two cheaper to buy three shipped over from California, half of it is really good and smooth quality is very good close</v>
      </c>
    </row>
    <row r="18426">
      <c r="A18426" s="1">
        <v>5.0</v>
      </c>
      <c r="B18426" s="1" t="s">
        <v>18187</v>
      </c>
      <c r="C18426" t="str">
        <f>IFERROR(__xludf.DUMMYFUNCTION("GOOGLETRANSLATE(B18426, ""zh"", ""en"")"),"Perfect is perfect, buy jeans waist is 32 US version, choose size 34 belt buckle hole in the middle. for reference.")</f>
        <v>Perfect is perfect, buy jeans waist is 32 US version, choose size 34 belt buckle hole in the middle. for reference.</v>
      </c>
    </row>
    <row r="18427">
      <c r="A18427" s="1">
        <v>5.0</v>
      </c>
      <c r="B18427" s="1" t="s">
        <v>18188</v>
      </c>
      <c r="C18427" t="str">
        <f>IFERROR(__xludf.DUMMYFUNCTION("GOOGLETRANSLATE(B18427, ""zh"", ""en"")"),"Like look good")</f>
        <v>Like look good</v>
      </c>
    </row>
    <row r="18428">
      <c r="A18428" s="1">
        <v>2.0</v>
      </c>
      <c r="B18428" s="1" t="s">
        <v>18189</v>
      </c>
      <c r="C18428" t="str">
        <f>IFERROR(__xludf.DUMMYFUNCTION("GOOGLETRANSLATE(B18428, ""zh"", ""en"")"),"Insulation is poor for the children bought one, bought himself a, like all printed, the less insulation, not recommended to buy!")</f>
        <v>Insulation is poor for the children bought one, bought himself a, like all printed, the less insulation, not recommended to buy!</v>
      </c>
    </row>
    <row r="18429">
      <c r="A18429" s="1">
        <v>3.0</v>
      </c>
      <c r="B18429" s="1" t="s">
        <v>18190</v>
      </c>
      <c r="C18429" t="str">
        <f>IFERROR(__xludf.DUMMYFUNCTION("GOOGLETRANSLATE(B18429, ""zh"", ""en"")"),"There are plastic taste of boiled water has a plastic taste, may be released from the internal heating system, please be careful to buy ah, Germany, product quality is also very general!")</f>
        <v>There are plastic taste of boiled water has a plastic taste, may be released from the internal heating system, please be careful to buy ah, Germany, product quality is also very general!</v>
      </c>
    </row>
    <row r="18430">
      <c r="A18430" s="1">
        <v>3.0</v>
      </c>
      <c r="B18430" s="1" t="s">
        <v>18191</v>
      </c>
      <c r="C18430" t="str">
        <f>IFERROR(__xludf.DUMMYFUNCTION("GOOGLETRANSLATE(B18430, ""zh"", ""en"")"),"General sweat pants like a general, relatively easy to play ball")</f>
        <v>General sweat pants like a general, relatively easy to play ball</v>
      </c>
    </row>
    <row r="18431">
      <c r="A18431" s="1">
        <v>1.0</v>
      </c>
      <c r="B18431" s="1" t="s">
        <v>18192</v>
      </c>
      <c r="C18431" t="str">
        <f>IFERROR(__xludf.DUMMYFUNCTION("GOOGLETRANSLATE(B18431, ""zh"", ""en"")"),"Near the shelf life actually bought two bottles to expire in September on a day to eat two to eat expired delivery is actually near the shelf life of")</f>
        <v>Near the shelf life actually bought two bottles to expire in September on a day to eat two to eat expired delivery is actually near the shelf life of</v>
      </c>
    </row>
    <row r="18432">
      <c r="A18432" s="1">
        <v>1.0</v>
      </c>
      <c r="B18432" s="1" t="s">
        <v>18193</v>
      </c>
      <c r="C18432" t="str">
        <f>IFERROR(__xludf.DUMMYFUNCTION("GOOGLETRANSLATE(B18432, ""zh"", ""en"")"),"Super Size! ! Super Size! ! ! Husband 178,160, the normal code 2xl slightly loose but the code again loaded half of his (???")</f>
        <v>Super Size! ! Super Size! ! ! Husband 178,160, the normal code 2xl slightly loose but the code again loaded half of his (???</v>
      </c>
    </row>
    <row r="18433">
      <c r="A18433" s="1">
        <v>1.0</v>
      </c>
      <c r="B18433" s="1" t="s">
        <v>18194</v>
      </c>
      <c r="C18433" t="str">
        <f>IFERROR(__xludf.DUMMYFUNCTION("GOOGLETRANSLATE(B18433, ""zh"", ""en"")"),"Code number is not accurate, material like a general with the small domestic s, I completely outgrown. Negative Ratings. Material is also really very general, not cotton.")</f>
        <v>Code number is not accurate, material like a general with the small domestic s, I completely outgrown. Negative Ratings. Material is also really very general, not cotton.</v>
      </c>
    </row>
    <row r="18434">
      <c r="A18434" s="1">
        <v>4.0</v>
      </c>
      <c r="B18434" s="1" t="s">
        <v>18195</v>
      </c>
      <c r="C18434" t="str">
        <f>IFERROR(__xludf.DUMMYFUNCTION("GOOGLETRANSLATE(B18434, ""zh"", ""en"")"),"Cortex comfortable yardage is too large for people to wear thin legs, fat feet high instep do not, the shoe itself is very comfortable, but because it is too lean legs, toes, or blistering. Shoes too large, I was 240 feet to the uk4.5 just right.")</f>
        <v>Cortex comfortable yardage is too large for people to wear thin legs, fat feet high instep do not, the shoe itself is very comfortable, but because it is too lean legs, toes, or blistering. Shoes too large, I was 240 feet to the uk4.5 just right.</v>
      </c>
    </row>
    <row r="18435">
      <c r="A18435" s="1">
        <v>4.0</v>
      </c>
      <c r="B18435" s="1" t="s">
        <v>18196</v>
      </c>
      <c r="C18435" t="str">
        <f>IFERROR(__xludf.DUMMYFUNCTION("GOOGLETRANSLATE(B18435, ""zh"", ""en"")"),"Plus Size fit a lot, and comprehensive Buyer")</f>
        <v>Plus Size fit a lot, and comprehensive Buyer</v>
      </c>
    </row>
    <row r="18436">
      <c r="A18436" s="1">
        <v>4.0</v>
      </c>
      <c r="B18436" s="1" t="s">
        <v>18197</v>
      </c>
      <c r="C18436" t="str">
        <f>IFERROR(__xludf.DUMMYFUNCTION("GOOGLETRANSLATE(B18436, ""zh"", ""en"")"),"170 height, a bit long in peacetime domestic wear 34, bought the 32, that is a bit long")</f>
        <v>170 height, a bit long in peacetime domestic wear 34, bought the 32, that is a bit long</v>
      </c>
    </row>
    <row r="18437">
      <c r="A18437" s="1">
        <v>4.0</v>
      </c>
      <c r="B18437" s="1" t="s">
        <v>18198</v>
      </c>
      <c r="C18437" t="str">
        <f>IFERROR(__xludf.DUMMYFUNCTION("GOOGLETRANSLATE(B18437, ""zh"", ""en"")"),"The size of the family manpower pair of shoes, comfortable, wild - my feet 37, four yards just right")</f>
        <v>The size of the family manpower pair of shoes, comfortable, wild - my feet 37, four yards just right</v>
      </c>
    </row>
    <row r="18438">
      <c r="A18438" s="1">
        <v>4.0</v>
      </c>
      <c r="B18438" s="1" t="s">
        <v>18199</v>
      </c>
      <c r="C18438" t="str">
        <f>IFERROR(__xludf.DUMMYFUNCTION("GOOGLETRANSLATE(B18438, ""zh"", ""en"")"),"Amazon is a little bit bigger size has been shown not very accurate, so there is a risk shopping")</f>
        <v>Amazon is a little bit bigger size has been shown not very accurate, so there is a risk shopping</v>
      </c>
    </row>
    <row r="18439">
      <c r="A18439" s="1">
        <v>5.0</v>
      </c>
      <c r="B18439" s="1" t="s">
        <v>18200</v>
      </c>
      <c r="C18439" t="str">
        <f>IFERROR(__xludf.DUMMYFUNCTION("GOOGLETRANSLATE(B18439, ""zh"", ""en"")"),"Satisfied with the packaging and printing are more formal, I believe overseas purchase, the baby to eat more at ease. Transport is also relatively fast 11 days to go.")</f>
        <v>Satisfied with the packaging and printing are more formal, I believe overseas purchase, the baby to eat more at ease. Transport is also relatively fast 11 days to go.</v>
      </c>
    </row>
    <row r="18440">
      <c r="A18440" s="1">
        <v>5.0</v>
      </c>
      <c r="B18440" s="1" t="s">
        <v>18201</v>
      </c>
      <c r="C18440" t="str">
        <f>IFERROR(__xludf.DUMMYFUNCTION("GOOGLETRANSLATE(B18440, ""zh"", ""en"")"),"Pretty good, worth buying 175 high, 69 kg. Just right. It is slightly longer sleeves!")</f>
        <v>Pretty good, worth buying 175 high, 69 kg. Just right. It is slightly longer sleeves!</v>
      </c>
    </row>
    <row r="18441">
      <c r="A18441" s="1">
        <v>5.0</v>
      </c>
      <c r="B18441" s="1" t="s">
        <v>18202</v>
      </c>
      <c r="C18441" t="str">
        <f>IFERROR(__xludf.DUMMYFUNCTION("GOOGLETRANSLATE(B18441, ""zh"", ""en"")"),"Generous beautiful golden, beautiful atmosphere! Plating is very bright, shiny dial, diamond technology is superb! Look out! Bracelet length is large enough, if the rules can be relieved wrist sections. High cost, is recommended. About the time go without"&amp;" making accurate observation, today's technology is not bad to go. Fashion statement, it is sufficient to look good")</f>
        <v>Generous beautiful golden, beautiful atmosphere! Plating is very bright, shiny dial, diamond technology is superb! Look out! Bracelet length is large enough, if the rules can be relieved wrist sections. High cost, is recommended. About the time go without making accurate observation, today's technology is not bad to go. Fashion statement, it is sufficient to look good</v>
      </c>
    </row>
    <row r="18442">
      <c r="A18442" s="1">
        <v>5.0</v>
      </c>
      <c r="B18442" s="1" t="s">
        <v>18203</v>
      </c>
      <c r="C18442" t="str">
        <f>IFERROR(__xludf.DUMMYFUNCTION("GOOGLETRANSLATE(B18442, ""zh"", ""en"")"),"Mainly overseas purchase is genuine and size 173. High weight 95kg, choose LG size fit, good ventilation, like")</f>
        <v>Mainly overseas purchase is genuine and size 173. High weight 95kg, choose LG size fit, good ventilation, like</v>
      </c>
    </row>
    <row r="18443">
      <c r="A18443" s="1">
        <v>5.0</v>
      </c>
      <c r="B18443" s="1" t="s">
        <v>18204</v>
      </c>
      <c r="C18443" t="str">
        <f>IFERROR(__xludf.DUMMYFUNCTION("GOOGLETRANSLATE(B18443, ""zh"", ""en"")"),"Standard Code 159,55kg, m code just right, particularly perfect, not tight not large, did not buy after the arrival of worry when looking to buy a small review of it")</f>
        <v>Standard Code 159,55kg, m code just right, particularly perfect, not tight not large, did not buy after the arrival of worry when looking to buy a small review of it</v>
      </c>
    </row>
    <row r="18444">
      <c r="A18444" s="1">
        <v>5.0</v>
      </c>
      <c r="B18444" s="1" t="s">
        <v>18205</v>
      </c>
      <c r="C18444" t="str">
        <f>IFERROR(__xludf.DUMMYFUNCTION("GOOGLETRANSLATE(B18444, ""zh"", ""en"")"),"Two speakers are not very satisfied with my warranty card speaker two speakers Why do not warranty card and do not know how to contact you had to say sorry in here")</f>
        <v>Two speakers are not very satisfied with my warranty card speaker two speakers Why do not warranty card and do not know how to contact you had to say sorry in here</v>
      </c>
    </row>
    <row r="18445">
      <c r="A18445" s="1">
        <v>5.0</v>
      </c>
      <c r="B18445" s="1" t="s">
        <v>18206</v>
      </c>
      <c r="C18445" t="str">
        <f>IFERROR(__xludf.DUMMYFUNCTION("GOOGLETRANSLATE(B18445, ""zh"", ""en"")"),"Her children eat well 600, well")</f>
        <v>Her children eat well 600, well</v>
      </c>
    </row>
    <row r="18446">
      <c r="A18446" s="1">
        <v>5.0</v>
      </c>
      <c r="B18446" s="1" t="s">
        <v>18207</v>
      </c>
      <c r="C18446" t="str">
        <f>IFERROR(__xludf.DUMMYFUNCTION("GOOGLETRANSLATE(B18446, ""zh"", ""en"")"),"Cost-effective to buy S, 175 cm / 70kg just to give people later reference")</f>
        <v>Cost-effective to buy S, 175 cm / 70kg just to give people later reference</v>
      </c>
    </row>
    <row r="18447">
      <c r="A18447" s="1">
        <v>5.0</v>
      </c>
      <c r="B18447" s="1" t="s">
        <v>18208</v>
      </c>
      <c r="C18447" t="str">
        <f>IFERROR(__xludf.DUMMYFUNCTION("GOOGLETRANSLATE(B18447, ""zh"", ""en"")"),"Easy to use, quick to express something good, stainless steel, turned around and rinse well, also used a stirring rod! In particular, said logistics super-fast ah! Just one week from the UK to Shanghai, Bang Bang da")</f>
        <v>Easy to use, quick to express something good, stainless steel, turned around and rinse well, also used a stirring rod! In particular, said logistics super-fast ah! Just one week from the UK to Shanghai, Bang Bang da</v>
      </c>
    </row>
    <row r="18448">
      <c r="A18448" s="1">
        <v>5.0</v>
      </c>
      <c r="B18448" s="1" t="s">
        <v>18209</v>
      </c>
      <c r="C18448" t="str">
        <f>IFERROR(__xludf.DUMMYFUNCTION("GOOGLETRANSLATE(B18448, ""zh"", ""en"")"),"Good texture, like almost all WMF products. Do not expect big demand and lower quality products.")</f>
        <v>Good texture, like almost all WMF products. Do not expect big demand and lower quality products.</v>
      </c>
    </row>
    <row r="18449">
      <c r="A18449" s="1">
        <v>5.0</v>
      </c>
      <c r="B18449" s="1" t="s">
        <v>18210</v>
      </c>
      <c r="C18449" t="str">
        <f>IFERROR(__xludf.DUMMYFUNCTION("GOOGLETRANSLATE(B18449, ""zh"", ""en"")"),"Easy to use after reading reviews before buying, especially easy to use")</f>
        <v>Easy to use after reading reviews before buying, especially easy to use</v>
      </c>
    </row>
    <row r="18450">
      <c r="A18450" s="1">
        <v>5.0</v>
      </c>
      <c r="B18450" s="1" t="s">
        <v>18211</v>
      </c>
      <c r="C18450" t="str">
        <f>IFERROR(__xludf.DUMMYFUNCTION("GOOGLETRANSLATE(B18450, ""zh"", ""en"")"),"Japanese version is good workmanship height 170, weight 63, m code fit, the version is very good, workmanship not have to say, good ...... L Bimei version of the code can wear, not to magnify")</f>
        <v>Japanese version is good workmanship height 170, weight 63, m code fit, the version is very good, workmanship not have to say, good ...... L Bimei version of the code can wear, not to magnify</v>
      </c>
    </row>
    <row r="18451">
      <c r="A18451" s="1">
        <v>5.0</v>
      </c>
      <c r="B18451" s="1" t="s">
        <v>18212</v>
      </c>
      <c r="C18451" t="str">
        <f>IFERROR(__xludf.DUMMYFUNCTION("GOOGLETRANSLATE(B18451, ""zh"", ""en"")"),"Good quality good quality, but my head is a bit large, this little small")</f>
        <v>Good quality good quality, but my head is a bit large, this little small</v>
      </c>
    </row>
    <row r="18452">
      <c r="A18452" s="1">
        <v>5.0</v>
      </c>
      <c r="B18452" s="1" t="s">
        <v>18213</v>
      </c>
      <c r="C18452" t="str">
        <f>IFERROR(__xludf.DUMMYFUNCTION("GOOGLETRANSLATE(B18452, ""zh"", ""en"")"),"I liked it, the color is also beautiful, very comfortable Flush teeth to earlier than expected, No. 4 shipping, No. 15, the charging is finished teeth especially comfortable, because just pulled wisdom teeth, two holes behind, it is easy to fall things we"&amp;"nt, especially difficult to clean up after a meal, instead of before the syringe has been used to, with the water flossing do not worry about it, gap teeth and red is also very clean, with the beginning of the current, fourth gear up to use it, very comfo"&amp;"rtable")</f>
        <v>I liked it, the color is also beautiful, very comfortable Flush teeth to earlier than expected, No. 4 shipping, No. 15, the charging is finished teeth especially comfortable, because just pulled wisdom teeth, two holes behind, it is easy to fall things went, especially difficult to clean up after a meal, instead of before the syringe has been used to, with the water flossing do not worry about it, gap teeth and red is also very clean, with the beginning of the current, fourth gear up to use it, very comfortable</v>
      </c>
    </row>
    <row r="18453">
      <c r="A18453" s="1">
        <v>5.0</v>
      </c>
      <c r="B18453" s="1" t="s">
        <v>18214</v>
      </c>
      <c r="C18453" t="str">
        <f>IFERROR(__xludf.DUMMYFUNCTION("GOOGLETRANSLATE(B18453, ""zh"", ""en"")"),"Suitable American Champion sports products is one of many US sports brand excellent quality, durable products, though some a little big but not too much, and do not significantly overstaffed, I will recommend to my friends and family.")</f>
        <v>Suitable American Champion sports products is one of many US sports brand excellent quality, durable products, though some a little big but not too much, and do not significantly overstaffed, I will recommend to my friends and family.</v>
      </c>
    </row>
    <row r="18454">
      <c r="A18454" s="1">
        <v>5.0</v>
      </c>
      <c r="B18454" s="1" t="s">
        <v>18215</v>
      </c>
      <c r="C18454" t="str">
        <f>IFERROR(__xludf.DUMMYFUNCTION("GOOGLETRANSLATE(B18454, ""zh"", ""en"")"),"Good stuff removed, put in a group Hui, good")</f>
        <v>Good stuff removed, put in a group Hui, good</v>
      </c>
    </row>
    <row r="18455">
      <c r="A18455" s="1">
        <v>5.0</v>
      </c>
      <c r="B18455" s="1" t="s">
        <v>18216</v>
      </c>
      <c r="C18455" t="str">
        <f>IFERROR(__xludf.DUMMYFUNCTION("GOOGLETRANSLATE(B18455, ""zh"", ""en"")"),"good little heavy, a little difficult wave-like success")</f>
        <v>good little heavy, a little difficult wave-like success</v>
      </c>
    </row>
    <row r="18456">
      <c r="A18456" s="1">
        <v>5.0</v>
      </c>
      <c r="B18456" s="1" t="s">
        <v>18217</v>
      </c>
      <c r="C18456" t="str">
        <f>IFERROR(__xludf.DUMMYFUNCTION("GOOGLETRANSLATE(B18456, ""zh"", ""en"")"),"Absolute praise. Very good price beautiful, soft leather and soles moderate, very comfortable on the feet. The overall design of outstanding boots, pointed toe dress shoes obvious than the more aesthetically pleasing design. Then consider starting with a "&amp;"pair of black money. The shoe size is too large, but because of its superior design, timely wearing feeling in the case of freshman code will not bring any discomfort, it is strongly recommended.")</f>
        <v>Absolute praise. Very good price beautiful, soft leather and soles moderate, very comfortable on the feet. The overall design of outstanding boots, pointed toe dress shoes obvious than the more aesthetically pleasing design. Then consider starting with a pair of black money. The shoe size is too large, but because of its superior design, timely wearing feeling in the case of freshman code will not bring any discomfort, it is strongly recommended.</v>
      </c>
    </row>
    <row r="18457">
      <c r="A18457" s="1">
        <v>5.0</v>
      </c>
      <c r="B18457" s="1" t="s">
        <v>18218</v>
      </c>
      <c r="C18457" t="str">
        <f>IFERROR(__xludf.DUMMYFUNCTION("GOOGLETRANSLATE(B18457, ""zh"", ""en"")"),"it is good! 178/60 slim, S code exactly, the cost is too high. Thanks to Amazon.")</f>
        <v>it is good! 178/60 slim, S code exactly, the cost is too high. Thanks to Amazon.</v>
      </c>
    </row>
    <row r="18458">
      <c r="A18458" s="1">
        <v>5.0</v>
      </c>
      <c r="B18458" s="1" t="s">
        <v>18219</v>
      </c>
      <c r="C18458" t="str">
        <f>IFERROR(__xludf.DUMMYFUNCTION("GOOGLETRANSLATE(B18458, ""zh"", ""en"")"),"Perfectly good, not to say")</f>
        <v>Perfectly good, not to say</v>
      </c>
    </row>
    <row r="18459">
      <c r="A18459" s="1">
        <v>5.0</v>
      </c>
      <c r="B18459" s="1" t="s">
        <v>18220</v>
      </c>
      <c r="C18459" t="str">
        <f>IFERROR(__xludf.DUMMYFUNCTION("GOOGLETRANSLATE(B18459, ""zh"", ""en"")"),"Satisfaction with the shopping price movements do not like the Japanese table, the pointer always allowed to scale. But the appearance is very beautiful, very thick table body, great texture. The strap is leather, very comfortable to wear. I hope the batt"&amp;"ery can be durable enough, waterproof to mark level.")</f>
        <v>Satisfaction with the shopping price movements do not like the Japanese table, the pointer always allowed to scale. But the appearance is very beautiful, very thick table body, great texture. The strap is leather, very comfortable to wear. I hope the battery can be durable enough, waterproof to mark level.</v>
      </c>
    </row>
    <row r="18460">
      <c r="A18460" s="1">
        <v>5.0</v>
      </c>
      <c r="B18460" s="1" t="s">
        <v>18221</v>
      </c>
      <c r="C18460" t="str">
        <f>IFERROR(__xludf.DUMMYFUNCTION("GOOGLETRANSLATE(B18460, ""zh"", ""en"")"),"He not said so magical. Effect did not say so magical effective, long-term health care when eating also possible.")</f>
        <v>He not said so magical. Effect did not say so magical effective, long-term health care when eating also possible.</v>
      </c>
    </row>
    <row r="18461">
      <c r="A18461" s="1">
        <v>2.0</v>
      </c>
      <c r="B18461" s="1" t="s">
        <v>18222</v>
      </c>
      <c r="C18461" t="str">
        <f>IFERROR(__xludf.DUMMYFUNCTION("GOOGLETRANSLATE(B18461, ""zh"", ""en"")"),"Affect the mood ecco shoes have a lot of double, double this feeling is not very good, the soles wear uncomfortable, but also smelly feet, the soles actually have a look at the flaws pits, the origin of the tongue is attached to the rear")</f>
        <v>Affect the mood ecco shoes have a lot of double, double this feeling is not very good, the soles wear uncomfortable, but also smelly feet, the soles actually have a look at the flaws pits, the origin of the tongue is attached to the rear</v>
      </c>
    </row>
    <row r="18462">
      <c r="A18462" s="1">
        <v>3.0</v>
      </c>
      <c r="B18462" s="1" t="s">
        <v>18223</v>
      </c>
      <c r="C18462" t="str">
        <f>IFERROR(__xludf.DUMMYFUNCTION("GOOGLETRANSLATE(B18462, ""zh"", ""en"")"),"Wearing a small brim feel a bit thin, not suitable for wear when the wind is likely to blow up.")</f>
        <v>Wearing a small brim feel a bit thin, not suitable for wear when the wind is likely to blow up.</v>
      </c>
    </row>
    <row r="18463">
      <c r="A18463" s="1">
        <v>3.0</v>
      </c>
      <c r="B18463" s="1" t="s">
        <v>18224</v>
      </c>
      <c r="C18463" t="str">
        <f>IFERROR(__xludf.DUMMYFUNCTION("GOOGLETRANSLATE(B18463, ""zh"", ""en"")"),"Suitable 175mm, 75kg, M, for the first time just wear. Wash once, seriously diminished and can not wear.")</f>
        <v>Suitable 175mm, 75kg, M, for the first time just wear. Wash once, seriously diminished and can not wear.</v>
      </c>
    </row>
    <row r="18464">
      <c r="A18464" s="1">
        <v>3.0</v>
      </c>
      <c r="B18464" s="1" t="s">
        <v>18225</v>
      </c>
      <c r="C18464" t="str">
        <f>IFERROR(__xludf.DUMMYFUNCTION("GOOGLETRANSLATE(B18464, ""zh"", ""en"")"),"A sub-price goods a sub-price goods, what have encountered a bug, Caton, no sound when the micro-channel video, suddenly popping, poor battery life, not noise, the phone is xsmax, I've given up this headset")</f>
        <v>A sub-price goods a sub-price goods, what have encountered a bug, Caton, no sound when the micro-channel video, suddenly popping, poor battery life, not noise, the phone is xsmax, I've given up this headset</v>
      </c>
    </row>
    <row r="18465">
      <c r="A18465" s="1">
        <v>1.0</v>
      </c>
      <c r="B18465" s="1" t="s">
        <v>18226</v>
      </c>
      <c r="C18465" t="str">
        <f>IFERROR(__xludf.DUMMYFUNCTION("GOOGLETRANSLATE(B18465, ""zh"", ""en"")"),"Not to wear fake stamp began to crack, obviously fake")</f>
        <v>Not to wear fake stamp began to crack, obviously fake</v>
      </c>
    </row>
    <row r="18466">
      <c r="A18466" s="1">
        <v>1.0</v>
      </c>
      <c r="B18466" s="1" t="s">
        <v>18227</v>
      </c>
      <c r="C18466" t="str">
        <f>IFERROR(__xludf.DUMMYFUNCTION("GOOGLETRANSLATE(B18466, ""zh"", ""en"")"),"Poor quality snaps head actually broken")</f>
        <v>Poor quality snaps head actually broken</v>
      </c>
    </row>
    <row r="18467">
      <c r="A18467" s="1">
        <v>1.0</v>
      </c>
      <c r="B18467" s="1" t="s">
        <v>18228</v>
      </c>
      <c r="C18467" t="str">
        <f>IFERROR(__xludf.DUMMYFUNCTION("GOOGLETRANSLATE(B18467, ""zh"", ""en"")"),"Severe shaking machines, accessories unsecured bad review! Stir basis severe shaking, noise. Accessories research for a long time do not know how to replace or, worse, a finger is cut open, the emergency three sewing needles, plus tetanus spent more than "&amp;"500, digital nerve to now or necrosis, Ma Ma bitterly, crippled")</f>
        <v>Severe shaking machines, accessories unsecured bad review! Stir basis severe shaking, noise. Accessories research for a long time do not know how to replace or, worse, a finger is cut open, the emergency three sewing needles, plus tetanus spent more than 500, digital nerve to now or necrosis, Ma Ma bitterly, crippled</v>
      </c>
    </row>
    <row r="18468">
      <c r="A18468" s="1">
        <v>4.0</v>
      </c>
      <c r="B18468" s="1" t="s">
        <v>18229</v>
      </c>
      <c r="C18468" t="str">
        <f>IFERROR(__xludf.DUMMYFUNCTION("GOOGLETRANSLATE(B18468, ""zh"", ""en"")"),"42 yards appropriate version, my feet are not obese nor skinny version began to worry that the country is larger than the version on foot after exact fit, sort of a small, 42 yards to buy 42 yards on the line. Wear a couple of days later commented that so"&amp;"me new shoes to wear socks, new shoes, after all, the inlet end is not yet completely softened. No socks, so what's what socks to wear socks, do not be afraid ugly")</f>
        <v>42 yards appropriate version, my feet are not obese nor skinny version began to worry that the country is larger than the version on foot after exact fit, sort of a small, 42 yards to buy 42 yards on the line. Wear a couple of days later commented that some new shoes to wear socks, new shoes, after all, the inlet end is not yet completely softened. No socks, so what's what socks to wear socks, do not be afraid ugly</v>
      </c>
    </row>
    <row r="18469">
      <c r="A18469" s="1">
        <v>4.0</v>
      </c>
      <c r="B18469" s="1" t="s">
        <v>18230</v>
      </c>
      <c r="C18469" t="str">
        <f>IFERROR(__xludf.DUMMYFUNCTION("GOOGLETRANSLATE(B18469, ""zh"", ""en"")"),"Cock wire disorder assessment US version, cheaper than domestic, they called 199 did not know where to buy? With two days, feeling the sound quality in general, but worthy of the price of it, these elements are relatively subjective, so for reference purp"&amp;"oses only.")</f>
        <v>Cock wire disorder assessment US version, cheaper than domestic, they called 199 did not know where to buy? With two days, feeling the sound quality in general, but worthy of the price of it, these elements are relatively subjective, so for reference purposes only.</v>
      </c>
    </row>
    <row r="18470">
      <c r="A18470" s="1">
        <v>4.0</v>
      </c>
      <c r="B18470" s="1" t="s">
        <v>18231</v>
      </c>
      <c r="C18470" t="str">
        <f>IFERROR(__xludf.DUMMYFUNCTION("GOOGLETRANSLATE(B18470, ""zh"", ""en"")"),"We see color buy very good quality, but the color in the following figure, a bit shallow, unsatisfactory")</f>
        <v>We see color buy very good quality, but the color in the following figure, a bit shallow, unsatisfactory</v>
      </c>
    </row>
    <row r="18471">
      <c r="A18471" s="1">
        <v>4.0</v>
      </c>
      <c r="B18471" s="1" t="s">
        <v>18232</v>
      </c>
      <c r="C18471" t="str">
        <f>IFERROR(__xludf.DUMMYFUNCTION("GOOGLETRANSLATE(B18471, ""zh"", ""en"")"),"Weapon wild significant leg length coat of paint will wear relatively hard early foot wear, foot wear prepare cream. Very comfortable sole child")</f>
        <v>Weapon wild significant leg length coat of paint will wear relatively hard early foot wear, foot wear prepare cream. Very comfortable sole child</v>
      </c>
    </row>
    <row r="18472">
      <c r="A18472" s="1">
        <v>4.0</v>
      </c>
      <c r="B18472" s="1" t="s">
        <v>18233</v>
      </c>
      <c r="C18472" t="str">
        <f>IFERROR(__xludf.DUMMYFUNCTION("GOOGLETRANSLATE(B18472, ""zh"", ""en"")"),"Cozy and comfortable, home ware")</f>
        <v>Cozy and comfortable, home ware</v>
      </c>
    </row>
    <row r="18473">
      <c r="A18473" s="1">
        <v>5.0</v>
      </c>
      <c r="B18473" s="1" t="s">
        <v>18234</v>
      </c>
      <c r="C18473" t="str">
        <f>IFERROR(__xludf.DUMMYFUNCTION("GOOGLETRANSLATE(B18473, ""zh"", ""en"")"),"Like US7 code for everyday wear 38 yards, 39 yards high-heeled shoes of people, there are so crowded in front of the foot. However, the overall I liked.")</f>
        <v>Like US7 code for everyday wear 38 yards, 39 yards high-heeled shoes of people, there are so crowded in front of the foot. However, the overall I liked.</v>
      </c>
    </row>
    <row r="18474">
      <c r="A18474" s="1">
        <v>5.0</v>
      </c>
      <c r="B18474" s="1" t="s">
        <v>1514</v>
      </c>
      <c r="C18474" t="str">
        <f>IFERROR(__xludf.DUMMYFUNCTION("GOOGLETRANSLATE(B18474, ""zh"", ""en"")"),"Good Good")</f>
        <v>Good Good</v>
      </c>
    </row>
    <row r="18475">
      <c r="A18475" s="1">
        <v>5.0</v>
      </c>
      <c r="B18475" s="1" t="s">
        <v>18235</v>
      </c>
      <c r="C18475" t="str">
        <f>IFERROR(__xludf.DUMMYFUNCTION("GOOGLETRANSLATE(B18475, ""zh"", ""en"")"),"Better than the domestic mouthwash taste better than domestic mouthwash taste, light")</f>
        <v>Better than the domestic mouthwash taste better than domestic mouthwash taste, light</v>
      </c>
    </row>
    <row r="18476">
      <c r="A18476" s="1">
        <v>5.0</v>
      </c>
      <c r="B18476" s="1" t="s">
        <v>18236</v>
      </c>
      <c r="C18476" t="str">
        <f>IFERROR(__xludf.DUMMYFUNCTION("GOOGLETRANSLATE(B18476, ""zh"", ""en"")"),"Thin, cool purple look good, not through, the right size, not cotton, very cool")</f>
        <v>Thin, cool purple look good, not through, the right size, not cotton, very cool</v>
      </c>
    </row>
    <row r="18477">
      <c r="A18477" s="1">
        <v>5.0</v>
      </c>
      <c r="B18477" s="1" t="s">
        <v>18237</v>
      </c>
      <c r="C18477" t="str">
        <f>IFERROR(__xludf.DUMMYFUNCTION("GOOGLETRANSLATE(B18477, ""zh"", ""en"")"),"I liked it, you can be directly burned sailors make coffee. Very nice pot, just the right size for brewing tea in two-person households.")</f>
        <v>I liked it, you can be directly burned sailors make coffee. Very nice pot, just the right size for brewing tea in two-person households.</v>
      </c>
    </row>
    <row r="18478">
      <c r="A18478" s="1">
        <v>5.0</v>
      </c>
      <c r="B18478" s="1" t="s">
        <v>18238</v>
      </c>
      <c r="C18478" t="str">
        <f>IFERROR(__xludf.DUMMYFUNCTION("GOOGLETRANSLATE(B18478, ""zh"", ""en"")"),"The right size, high cost! Good quality M code, 171CM 80 kilograms, for your reference, the size of the right length, sleeve length fit, too fat suit, high cost! Good quality, worth buying")</f>
        <v>The right size, high cost! Good quality M code, 171CM 80 kilograms, for your reference, the size of the right length, sleeve length fit, too fat suit, high cost! Good quality, worth buying</v>
      </c>
    </row>
    <row r="18479">
      <c r="A18479" s="1">
        <v>5.0</v>
      </c>
      <c r="B18479" s="1" t="s">
        <v>18239</v>
      </c>
      <c r="C18479" t="str">
        <f>IFERROR(__xludf.DUMMYFUNCTION("GOOGLETRANSLATE(B18479, ""zh"", ""en"")"),"Yes, starfish three can be good, the Amazon thing is tricky, it should be true, fine")</f>
        <v>Yes, starfish three can be good, the Amazon thing is tricky, it should be true, fine</v>
      </c>
    </row>
    <row r="18480">
      <c r="A18480" s="1">
        <v>5.0</v>
      </c>
      <c r="B18480" s="1" t="s">
        <v>18240</v>
      </c>
      <c r="C18480" t="str">
        <f>IFERROR(__xludf.DUMMYFUNCTION("GOOGLETRANSLATE(B18480, ""zh"", ""en"")"),"A small yard like I bought the smallest code, big. Usually wear 3839, hiking shoes through 40. This shoe is very strange, wearing cold though, but not afraid, it seems as improved resistance to cold.")</f>
        <v>A small yard like I bought the smallest code, big. Usually wear 3839, hiking shoes through 40. This shoe is very strange, wearing cold though, but not afraid, it seems as improved resistance to cold.</v>
      </c>
    </row>
    <row r="18481">
      <c r="A18481" s="1">
        <v>5.0</v>
      </c>
      <c r="B18481" s="1" t="s">
        <v>18241</v>
      </c>
      <c r="C18481" t="str">
        <f>IFERROR(__xludf.DUMMYFUNCTION("GOOGLETRANSLATE(B18481, ""zh"", ""en"")"),"[The county is] no rims sports bra does not produce sweat, bras EB9005H ideal, comfortable fabrics, exquisite workmanship")</f>
        <v>[The county is] no rims sports bra does not produce sweat, bras EB9005H ideal, comfortable fabrics, exquisite workmanship</v>
      </c>
    </row>
    <row r="18482">
      <c r="A18482" s="1">
        <v>5.0</v>
      </c>
      <c r="B18482" s="1" t="s">
        <v>18242</v>
      </c>
      <c r="C18482" t="str">
        <f>IFERROR(__xludf.DUMMYFUNCTION("GOOGLETRANSLATE(B18482, ""zh"", ""en"")"),"Verify tongue white label head no, suspected to be false. To counter verified, it is genuine.")</f>
        <v>Verify tongue white label head no, suspected to be false. To counter verified, it is genuine.</v>
      </c>
    </row>
    <row r="18483">
      <c r="A18483" s="1">
        <v>5.0</v>
      </c>
      <c r="B18483" s="1" t="s">
        <v>18243</v>
      </c>
      <c r="C18483" t="str">
        <f>IFERROR(__xludf.DUMMYFUNCTION("GOOGLETRANSLATE(B18483, ""zh"", ""en"")"),"Size is appropriate? Also, fleece inside, wear very warm, cost is also high, the feeling is scraping the high cost. My height 174cm, weight 67kg, wear s code, just right.")</f>
        <v>Size is appropriate? Also, fleece inside, wear very warm, cost is also high, the feeling is scraping the high cost. My height 174cm, weight 67kg, wear s code, just right.</v>
      </c>
    </row>
    <row r="18484">
      <c r="A18484" s="1">
        <v>5.0</v>
      </c>
      <c r="B18484" s="1" t="s">
        <v>18244</v>
      </c>
      <c r="C18484" t="str">
        <f>IFERROR(__xludf.DUMMYFUNCTION("GOOGLETRANSLATE(B18484, ""zh"", ""en"")"),"Overpaid very comfortable wearing very handsome. He sent half palm insoles. Sole material does not wear, outer wear it a few days back heel is wearing away. And this shoe even total freight and customs duties may start in 1600-2000 yuan. I bought nearly t"&amp;"hree thousand, it can not wait ...")</f>
        <v>Overpaid very comfortable wearing very handsome. He sent half palm insoles. Sole material does not wear, outer wear it a few days back heel is wearing away. And this shoe even total freight and customs duties may start in 1600-2000 yuan. I bought nearly three thousand, it can not wait ...</v>
      </c>
    </row>
    <row r="18485">
      <c r="A18485" s="1">
        <v>5.0</v>
      </c>
      <c r="B18485" s="1" t="s">
        <v>18245</v>
      </c>
      <c r="C18485" t="str">
        <f>IFERROR(__xludf.DUMMYFUNCTION("GOOGLETRANSLATE(B18485, ""zh"", ""en"")"),"Amazon's service is really good did not have to say, praise. As for this case, the overall feeling of value, that is, always feel the sound is too loose, I do not know is not accustomed to the headset's sake")</f>
        <v>Amazon's service is really good did not have to say, praise. As for this case, the overall feeling of value, that is, always feel the sound is too loose, I do not know is not accustomed to the headset's sake</v>
      </c>
    </row>
    <row r="18486">
      <c r="A18486" s="1">
        <v>5.0</v>
      </c>
      <c r="B18486" s="1" t="s">
        <v>18246</v>
      </c>
      <c r="C18486" t="str">
        <f>IFERROR(__xludf.DUMMYFUNCTION("GOOGLETRANSLATE(B18486, ""zh"", ""en"")"),"These shoes are special shoes thinner than the average less than half the number of people for wearing foot fat feet do not consider this particularly thin shoes shoes than the average less than half the number of people for wearing foot fat feet do not c"&amp;"onsider")</f>
        <v>These shoes are special shoes thinner than the average less than half the number of people for wearing foot fat feet do not consider this particularly thin shoes shoes than the average less than half the number of people for wearing foot fat feet do not consider</v>
      </c>
    </row>
    <row r="18487">
      <c r="A18487" s="1">
        <v>5.0</v>
      </c>
      <c r="B18487" s="1" t="s">
        <v>18247</v>
      </c>
      <c r="C18487" t="str">
        <f>IFERROR(__xludf.DUMMYFUNCTION("GOOGLETRANSLATE(B18487, ""zh"", ""en"")"),"Worth buying very nice, fine texture, medium size, patterns are also fresh. Taobao cheaper price than purchasing more.")</f>
        <v>Worth buying very nice, fine texture, medium size, patterns are also fresh. Taobao cheaper price than purchasing more.</v>
      </c>
    </row>
    <row r="18488">
      <c r="A18488" s="1">
        <v>5.0</v>
      </c>
      <c r="B18488" s="1" t="s">
        <v>18248</v>
      </c>
      <c r="C18488" t="str">
        <f>IFERROR(__xludf.DUMMYFUNCTION("GOOGLETRANSLATE(B18488, ""zh"", ""en"")"),"Something good, that is packed full spread of the goods received in advance, two or three days faster than it expected, worn on the hand cool")</f>
        <v>Something good, that is packed full spread of the goods received in advance, two or three days faster than it expected, worn on the hand cool</v>
      </c>
    </row>
    <row r="18489">
      <c r="A18489" s="1">
        <v>5.0</v>
      </c>
      <c r="B18489" s="1" t="s">
        <v>18249</v>
      </c>
      <c r="C18489" t="str">
        <f>IFERROR(__xludf.DUMMYFUNCTION("GOOGLETRANSLATE(B18489, ""zh"", ""en"")"),"Calvin Klein Women's Invisibles Hipster Panty, ... very good indeed no trace, very thin, very fond of his wife")</f>
        <v>Calvin Klein Women's Invisibles Hipster Panty, ... very good indeed no trace, very thin, very fond of his wife</v>
      </c>
    </row>
    <row r="18490">
      <c r="A18490" s="1">
        <v>5.0</v>
      </c>
      <c r="B18490" s="1" t="s">
        <v>18250</v>
      </c>
      <c r="C18490" t="str">
        <f>IFERROR(__xludf.DUMMYFUNCTION("GOOGLETRANSLATE(B18490, ""zh"", ""en"")"),"I spent two great years, after changing the head like new")</f>
        <v>I spent two great years, after changing the head like new</v>
      </c>
    </row>
    <row r="18491">
      <c r="A18491" s="1">
        <v>5.0</v>
      </c>
      <c r="B18491" s="1" t="s">
        <v>18251</v>
      </c>
      <c r="C18491" t="str">
        <f>IFERROR(__xludf.DUMMYFUNCTION("GOOGLETRANSLATE(B18491, ""zh"", ""en"")"),"Easy to repurchase send headphones sound family-ear is very good relative to the mounting brackets liberal bias and comfortable. Do not bother to buy a family home with others. Certainly not suitable for sports, it will be out.")</f>
        <v>Easy to repurchase send headphones sound family-ear is very good relative to the mounting brackets liberal bias and comfortable. Do not bother to buy a family home with others. Certainly not suitable for sports, it will be out.</v>
      </c>
    </row>
    <row r="18492">
      <c r="A18492" s="1">
        <v>5.0</v>
      </c>
      <c r="B18492" s="1" t="s">
        <v>18252</v>
      </c>
      <c r="C18492" t="str">
        <f>IFERROR(__xludf.DUMMYFUNCTION("GOOGLETRANSLATE(B18492, ""zh"", ""en"")"),"Cost-effective, comfortable I usually wear 7 yards, this time bought a 7.5 yards, just started to wear feel a little big point, wearing a dress is more fit, and is quite comfortable, 370 to buy US direct mail, a good deal!")</f>
        <v>Cost-effective, comfortable I usually wear 7 yards, this time bought a 7.5 yards, just started to wear feel a little big point, wearing a dress is more fit, and is quite comfortable, 370 to buy US direct mail, a good deal!</v>
      </c>
    </row>
    <row r="18493">
      <c r="A18493" s="1">
        <v>5.0</v>
      </c>
      <c r="B18493" s="1" t="s">
        <v>18253</v>
      </c>
      <c r="C18493" t="str">
        <f>IFERROR(__xludf.DUMMYFUNCTION("GOOGLETRANSLATE(B18493, ""zh"", ""en"")"),"Quality good quality baby equipment used to a kind of food supplement Floss very good, very thick glass, watching an appetite")</f>
        <v>Quality good quality baby equipment used to a kind of food supplement Floss very good, very thick glass, watching an appetite</v>
      </c>
    </row>
    <row r="18494">
      <c r="A18494" s="1">
        <v>5.0</v>
      </c>
      <c r="B18494" s="1" t="s">
        <v>18254</v>
      </c>
      <c r="C18494" t="str">
        <f>IFERROR(__xludf.DUMMYFUNCTION("GOOGLETRANSLATE(B18494, ""zh"", ""en"")"),"Amazon's first overseas purchase Size logistics surprised me a number, just from the bottom to the receipt only six days. Online shopping is the most difficult to engage footwear size as foreign and domestic code size, ECCO, and you can try to Monopoly, I"&amp;" was 43 yards")</f>
        <v>Amazon's first overseas purchase Size logistics surprised me a number, just from the bottom to the receipt only six days. Online shopping is the most difficult to engage footwear size as foreign and domestic code size, ECCO, and you can try to Monopoly, I was 43 yards</v>
      </c>
    </row>
    <row r="18495">
      <c r="A18495" s="1">
        <v>2.0</v>
      </c>
      <c r="B18495" s="1" t="s">
        <v>18255</v>
      </c>
      <c r="C18495" t="str">
        <f>IFERROR(__xludf.DUMMYFUNCTION("GOOGLETRANSLATE(B18495, ""zh"", ""en"")"),"No effect no effect")</f>
        <v>No effect no effect</v>
      </c>
    </row>
    <row r="18496">
      <c r="A18496" s="1">
        <v>3.0</v>
      </c>
      <c r="B18496" s="1" t="s">
        <v>18256</v>
      </c>
      <c r="C18496" t="str">
        <f>IFERROR(__xludf.DUMMYFUNCTION("GOOGLETRANSLATE(B18496, ""zh"", ""en"")"),"Blue thin I 180cm, 100Kg, buy the L number, super hypertrophy, sleeves can grow to 10 cm, put mast mast, and return shipping will $ 125 crashes, reclaim can not wear, back to hurt the wallet!")</f>
        <v>Blue thin I 180cm, 100Kg, buy the L number, super hypertrophy, sleeves can grow to 10 cm, put mast mast, and return shipping will $ 125 crashes, reclaim can not wear, back to hurt the wallet!</v>
      </c>
    </row>
    <row r="18497">
      <c r="A18497" s="1">
        <v>3.0</v>
      </c>
      <c r="B18497" s="1" t="s">
        <v>18257</v>
      </c>
      <c r="C18497" t="str">
        <f>IFERROR(__xludf.DUMMYFUNCTION("GOOGLETRANSLATE(B18497, ""zh"", ""en"")"),"Charles River Apparel Men's Triumph jacket 171,71KG S code just right, fabrics tend to be hard, not before buying the same brand of coat feel so comfortable")</f>
        <v>Charles River Apparel Men's Triumph jacket 171,71KG S code just right, fabrics tend to be hard, not before buying the same brand of coat feel so comfortable</v>
      </c>
    </row>
    <row r="18498">
      <c r="A18498" s="1">
        <v>3.0</v>
      </c>
      <c r="B18498" s="1" t="s">
        <v>18258</v>
      </c>
      <c r="C18498" t="str">
        <f>IFERROR(__xludf.DUMMYFUNCTION("GOOGLETRANSLATE(B18498, ""zh"", ""en"")"),"Children watch adults do not fit the overall good quality, is too small dial, dial, strap material of children, adults wearing inappropriate.")</f>
        <v>Children watch adults do not fit the overall good quality, is too small dial, dial, strap material of children, adults wearing inappropriate.</v>
      </c>
    </row>
    <row r="18499">
      <c r="A18499" s="1">
        <v>1.0</v>
      </c>
      <c r="B18499" s="1" t="s">
        <v>18259</v>
      </c>
      <c r="C18499" t="str">
        <f>IFERROR(__xludf.DUMMYFUNCTION("GOOGLETRANSLATE(B18499, ""zh"", ""en"")"),"Dimensions Dimensions serious too large")</f>
        <v>Dimensions Dimensions serious too large</v>
      </c>
    </row>
    <row r="18500">
      <c r="A18500" s="1">
        <v>1.0</v>
      </c>
      <c r="B18500" s="1" t="s">
        <v>18260</v>
      </c>
      <c r="C18500" t="str">
        <f>IFERROR(__xludf.DUMMYFUNCTION("GOOGLETRANSLATE(B18500, ""zh"", ""en"")"),"Is simply too hard too fat pants canvas, too hard, and the code number is too large, legs too wide too, want to change is not good to change, give it away, then not very appropriate, simply can only do return, and also the return process encounter unpleas"&amp;"ant, individual customer service too sad.")</f>
        <v>Is simply too hard too fat pants canvas, too hard, and the code number is too large, legs too wide too, want to change is not good to change, give it away, then not very appropriate, simply can only do return, and also the return process encounter unpleasant, individual customer service too sad.</v>
      </c>
    </row>
    <row r="18501">
      <c r="A18501" s="1">
        <v>4.0</v>
      </c>
      <c r="B18501" s="1" t="s">
        <v>18261</v>
      </c>
      <c r="C18501" t="str">
        <f>IFERROR(__xludf.DUMMYFUNCTION("GOOGLETRANSLATE(B18501, ""zh"", ""en"")"),"Some long sleeves clothes fit great height 168 weight 60")</f>
        <v>Some long sleeves clothes fit great height 168 weight 60</v>
      </c>
    </row>
    <row r="18502">
      <c r="A18502" s="1">
        <v>4.0</v>
      </c>
      <c r="B18502" s="1" t="s">
        <v>18262</v>
      </c>
      <c r="C18502" t="str">
        <f>IFERROR(__xludf.DUMMYFUNCTION("GOOGLETRANSLATE(B18502, ""zh"", ""en"")"),"Fortunately, the whole fabric comfortable, the right length, waist circumference slightly larger within the acceptable range, than the domestic counter around the waist big two yards, straight-type pants belong, more relaxed, suitable for winter wear thic"&amp;"k pants, the price is gratifying, only about one-third counter")</f>
        <v>Fortunately, the whole fabric comfortable, the right length, waist circumference slightly larger within the acceptable range, than the domestic counter around the waist big two yards, straight-type pants belong, more relaxed, suitable for winter wear thick pants, the price is gratifying, only about one-third counter</v>
      </c>
    </row>
    <row r="18503">
      <c r="A18503" s="1">
        <v>4.0</v>
      </c>
      <c r="B18503" s="1" t="s">
        <v>18263</v>
      </c>
      <c r="C18503" t="str">
        <f>IFERROR(__xludf.DUMMYFUNCTION("GOOGLETRANSLATE(B18503, ""zh"", ""en"")"),"Than domestic code most of the code a bit big")</f>
        <v>Than domestic code most of the code a bit big</v>
      </c>
    </row>
    <row r="18504">
      <c r="A18504" s="1">
        <v>4.0</v>
      </c>
      <c r="B18504" s="1" t="s">
        <v>18264</v>
      </c>
      <c r="C18504" t="str">
        <f>IFERROR(__xludf.DUMMYFUNCTION("GOOGLETRANSLATE(B18504, ""zh"", ""en"")"),"The overall thread a little better than the national flagship stores and counters packaging looked very shabby but wins in price too")</f>
        <v>The overall thread a little better than the national flagship stores and counters packaging looked very shabby but wins in price too</v>
      </c>
    </row>
    <row r="18505">
      <c r="A18505" s="1">
        <v>5.0</v>
      </c>
      <c r="B18505" s="1" t="s">
        <v>18265</v>
      </c>
      <c r="C18505" t="str">
        <f>IFERROR(__xludf.DUMMYFUNCTION("GOOGLETRANSLATE(B18505, ""zh"", ""en"")"),"Sea Amoy cheaper than domestic Haha, revolutionary leader recommended. Subwoofer shocked, very suitable for listening to classical music.")</f>
        <v>Sea Amoy cheaper than domestic Haha, revolutionary leader recommended. Subwoofer shocked, very suitable for listening to classical music.</v>
      </c>
    </row>
    <row r="18506">
      <c r="A18506" s="1">
        <v>5.0</v>
      </c>
      <c r="B18506" s="1" t="s">
        <v>18266</v>
      </c>
      <c r="C18506" t="str">
        <f>IFERROR(__xludf.DUMMYFUNCTION("GOOGLETRANSLATE(B18506, ""zh"", ""en"")"),"Practical, 8T your hard drive than this. Capacity is more than 7g, overseas shopping cheaper than domestic products too, express delivery soon. 5400 rpm daily use is enough.")</f>
        <v>Practical, 8T your hard drive than this. Capacity is more than 7g, overseas shopping cheaper than domestic products too, express delivery soon. 5400 rpm daily use is enough.</v>
      </c>
    </row>
    <row r="18507">
      <c r="A18507" s="1">
        <v>5.0</v>
      </c>
      <c r="B18507" s="1" t="s">
        <v>18267</v>
      </c>
      <c r="C18507" t="str">
        <f>IFERROR(__xludf.DUMMYFUNCTION("GOOGLETRANSLATE(B18507, ""zh"", ""en"")"),"Genuine pleasant shopping experience!")</f>
        <v>Genuine pleasant shopping experience!</v>
      </c>
    </row>
    <row r="18508">
      <c r="A18508" s="1">
        <v>5.0</v>
      </c>
      <c r="B18508" s="1" t="s">
        <v>18268</v>
      </c>
      <c r="C18508" t="str">
        <f>IFERROR(__xludf.DUMMYFUNCTION("GOOGLETRANSLATE(B18508, ""zh"", ""en"")"),"Good good, exquisite workmanship")</f>
        <v>Good good, exquisite workmanship</v>
      </c>
    </row>
    <row r="18509">
      <c r="A18509" s="1">
        <v>5.0</v>
      </c>
      <c r="B18509" s="1" t="s">
        <v>18269</v>
      </c>
      <c r="C18509" t="str">
        <f>IFERROR(__xludf.DUMMYFUNCTION("GOOGLETRANSLATE(B18509, ""zh"", ""en"")"),"Usually 36 yards right size, select 4m look after the comment, very fit")</f>
        <v>Usually 36 yards right size, select 4m look after the comment, very fit</v>
      </c>
    </row>
    <row r="18510">
      <c r="A18510" s="1">
        <v>5.0</v>
      </c>
      <c r="B18510" s="1" t="s">
        <v>18270</v>
      </c>
      <c r="C18510" t="str">
        <f>IFERROR(__xludf.DUMMYFUNCTION("GOOGLETRANSLATE(B18510, ""zh"", ""en"")"),"In addition to heading the packaging is relatively simple, the other still can")</f>
        <v>In addition to heading the packaging is relatively simple, the other still can</v>
      </c>
    </row>
    <row r="18511">
      <c r="A18511" s="1">
        <v>5.0</v>
      </c>
      <c r="B18511" s="1" t="s">
        <v>18271</v>
      </c>
      <c r="C18511" t="str">
        <f>IFERROR(__xludf.DUMMYFUNCTION("GOOGLETRANSLATE(B18511, ""zh"", ""en"")"),"Insulation larger and larger, insulation, stable color suitable for people, ha ha")</f>
        <v>Insulation larger and larger, insulation, stable color suitable for people, ha ha</v>
      </c>
    </row>
    <row r="18512">
      <c r="A18512" s="1">
        <v>5.0</v>
      </c>
      <c r="B18512" s="1" t="s">
        <v>18272</v>
      </c>
      <c r="C18512" t="str">
        <f>IFERROR(__xludf.DUMMYFUNCTION("GOOGLETRANSLATE(B18512, ""zh"", ""en"")"),"Very light pair of shoes student movement is very light, a student athletic shoes. The actual purchase is 240mm shoes, a little bit small, but does not affect, after the run-in period will be normal. The usual dozen pairs of shoes are 240-245mm. This time"&amp;", if the purchase 5mm 245mm zoom to perfect it.")</f>
        <v>Very light pair of shoes student movement is very light, a student athletic shoes. The actual purchase is 240mm shoes, a little bit small, but does not affect, after the run-in period will be normal. The usual dozen pairs of shoes are 240-245mm. This time, if the purchase 5mm 245mm zoom to perfect it.</v>
      </c>
    </row>
    <row r="18513">
      <c r="A18513" s="1">
        <v>5.0</v>
      </c>
      <c r="B18513" s="1" t="s">
        <v>18273</v>
      </c>
      <c r="C18513" t="str">
        <f>IFERROR(__xludf.DUMMYFUNCTION("GOOGLETRANSLATE(B18513, ""zh"", ""en"")"),"Good water-free accessories. Comments are misleading. Something really good. All fitness")</f>
        <v>Good water-free accessories. Comments are misleading. Something really good. All fitness</v>
      </c>
    </row>
    <row r="18514">
      <c r="A18514" s="1">
        <v>5.0</v>
      </c>
      <c r="B18514" s="1" t="s">
        <v>18274</v>
      </c>
      <c r="C18514" t="str">
        <f>IFERROR(__xludf.DUMMYFUNCTION("GOOGLETRANSLATE(B18514, ""zh"", ""en"")"),"Very comfortable than cotton fabrics before buying comfortable, suitable wear L 18686")</f>
        <v>Very comfortable than cotton fabrics before buying comfortable, suitable wear L 18686</v>
      </c>
    </row>
    <row r="18515">
      <c r="A18515" s="1">
        <v>5.0</v>
      </c>
      <c r="B18515" s="1" t="s">
        <v>18275</v>
      </c>
      <c r="C18515" t="str">
        <f>IFERROR(__xludf.DUMMYFUNCTION("GOOGLETRANSLATE(B18515, ""zh"", ""en"")"),"Genuine genuine")</f>
        <v>Genuine genuine</v>
      </c>
    </row>
    <row r="18516">
      <c r="A18516" s="1">
        <v>5.0</v>
      </c>
      <c r="B18516" s="1" t="s">
        <v>18276</v>
      </c>
      <c r="C18516" t="str">
        <f>IFERROR(__xludf.DUMMYFUNCTION("GOOGLETRANSLATE(B18516, ""zh"", ""en"")"),"Pants thick fabric, wrinkle-free, just appropriate. Pants are very thick, wrinkle-free. Pants good. Pointed shoes to accompany the class. United States pants by waist and long pants to classify, 34x31, waist is 34 inches, 31 inches long pants. Once identi"&amp;"fied, any pants are very good buy.")</f>
        <v>Pants thick fabric, wrinkle-free, just appropriate. Pants are very thick, wrinkle-free. Pants good. Pointed shoes to accompany the class. United States pants by waist and long pants to classify, 34x31, waist is 34 inches, 31 inches long pants. Once identified, any pants are very good buy.</v>
      </c>
    </row>
    <row r="18517">
      <c r="A18517" s="1">
        <v>5.0</v>
      </c>
      <c r="B18517" s="1" t="s">
        <v>18277</v>
      </c>
      <c r="C18517" t="str">
        <f>IFERROR(__xludf.DUMMYFUNCTION("GOOGLETRANSLATE(B18517, ""zh"", ""en"")"),"Good microwave oven easy to use, simple, made in China")</f>
        <v>Good microwave oven easy to use, simple, made in China</v>
      </c>
    </row>
    <row r="18518">
      <c r="A18518" s="1">
        <v>5.0</v>
      </c>
      <c r="B18518" s="1" t="s">
        <v>18278</v>
      </c>
      <c r="C18518" t="str">
        <f>IFERROR(__xludf.DUMMYFUNCTION("GOOGLETRANSLATE(B18518, ""zh"", ""en"")"),"Excellent value for money sound very pleasant surprise, and exquisite workmanship, lightweight and comfortable to wear. Really good headphones parity")</f>
        <v>Excellent value for money sound very pleasant surprise, and exquisite workmanship, lightweight and comfortable to wear. Really good headphones parity</v>
      </c>
    </row>
    <row r="18519">
      <c r="A18519" s="1">
        <v>5.0</v>
      </c>
      <c r="B18519" s="1" t="s">
        <v>18279</v>
      </c>
      <c r="C18519" t="str">
        <f>IFERROR(__xludf.DUMMYFUNCTION("GOOGLETRANSLATE(B18519, ""zh"", ""en"")"),"Good pants. 180cm, 70kg, the size just right. Large color pictures, work with domestic stores compared to some slightly rough.")</f>
        <v>Good pants. 180cm, 70kg, the size just right. Large color pictures, work with domestic stores compared to some slightly rough.</v>
      </c>
    </row>
    <row r="18520">
      <c r="A18520" s="1">
        <v>5.0</v>
      </c>
      <c r="B18520" s="1" t="s">
        <v>18280</v>
      </c>
      <c r="C18520" t="str">
        <f>IFERROR(__xludf.DUMMYFUNCTION("GOOGLETRANSLATE(B18520, ""zh"", ""en"")"),"Pants size goods delivery speed is very fast! Originally expected to number 16, No. 6 went to! But, belts to be larger than expected. . . The proposed purchase of a small partner to buy small a yard! Pants quality is really good!")</f>
        <v>Pants size goods delivery speed is very fast! Originally expected to number 16, No. 6 went to! But, belts to be larger than expected. . . The proposed purchase of a small partner to buy small a yard! Pants quality is really good!</v>
      </c>
    </row>
    <row r="18521">
      <c r="A18521" s="1">
        <v>5.0</v>
      </c>
      <c r="B18521" s="1" t="s">
        <v>18281</v>
      </c>
      <c r="C18521" t="str">
        <f>IFERROR(__xludf.DUMMYFUNCTION("GOOGLETRANSLATE(B18521, ""zh"", ""en"")"),"Satisfaction is very comfortable, the version number is very cheap")</f>
        <v>Satisfaction is very comfortable, the version number is very cheap</v>
      </c>
    </row>
    <row r="18522">
      <c r="A18522" s="1">
        <v>5.0</v>
      </c>
      <c r="B18522" s="1" t="s">
        <v>18282</v>
      </c>
      <c r="C18522" t="str">
        <f>IFERROR(__xludf.DUMMYFUNCTION("GOOGLETRANSLATE(B18522, ""zh"", ""en"")"),"Within a hundred dollars, sea Amoy long as 14 days Koss KSC75, a ear very satisfied. It has long been known in the name koss pp, but the type is not suitable for wearing a head, noticed ksc75. Although ksc75 evaluation on soomal reviewers also with person"&amp;"al feelings, but had to admit that a large part of the review is still very pertinent, within a hundred dollars, it is open-ear headphones, ear can have a beyerdynamic dt235 comparable to similar vocal frequency response and a sense of the degree, but als"&amp;"o what can be picky it. When it comes to appearance, individuals do not feel ugly, but added than Sony's similar Dafa is more personality, and the sound quality is more sincerity. Another advantage is that I must mention hot summer will not let the ear, s"&amp;"uitable for long wear. This is also the time to buy the two, knowing that this thing is sister to send the results of headphones certainly only as a last misplacing it was lost in the end, will not be cherished. After all, such as for people who do not li"&amp;"ke you no matter how pleasing is like trying to wake a person pretending to be asleep in general self-assertion.")</f>
        <v>Within a hundred dollars, sea Amoy long as 14 days Koss KSC75, a ear very satisfied. It has long been known in the name koss pp, but the type is not suitable for wearing a head, noticed ksc75. Although ksc75 evaluation on soomal reviewers also with personal feelings, but had to admit that a large part of the review is still very pertinent, within a hundred dollars, it is open-ear headphones, ear can have a beyerdynamic dt235 comparable to similar vocal frequency response and a sense of the degree, but also what can be picky it. When it comes to appearance, individuals do not feel ugly, but added than Sony's similar Dafa is more personality, and the sound quality is more sincerity. Another advantage is that I must mention hot summer will not let the ear, suitable for long wear. This is also the time to buy the two, knowing that this thing is sister to send the results of headphones certainly only as a last misplacing it was lost in the end, will not be cherished. After all, such as for people who do not like you no matter how pleasing is like trying to wake a person pretending to be asleep in general self-assertion.</v>
      </c>
    </row>
    <row r="18523">
      <c r="A18523" s="1">
        <v>5.0</v>
      </c>
      <c r="B18523" s="1" t="s">
        <v>18283</v>
      </c>
      <c r="C18523" t="str">
        <f>IFERROR(__xludf.DUMMYFUNCTION("GOOGLETRANSLATE(B18523, ""zh"", ""en"")"),"Fit 183cm, 79kg wear No. l, no stomach standards body, clothes fit rather long")</f>
        <v>Fit 183cm, 79kg wear No. l, no stomach standards body, clothes fit rather long</v>
      </c>
    </row>
    <row r="18524">
      <c r="A18524" s="1">
        <v>5.0</v>
      </c>
      <c r="B18524" s="1" t="s">
        <v>18284</v>
      </c>
      <c r="C18524" t="str">
        <f>IFERROR(__xludf.DUMMYFUNCTION("GOOGLETRANSLATE(B18524, ""zh"", ""en"")"),"There should be no lower prices of Oral-B brush head is this the best and most advanced, sold for about 139 domestic three, Amazon purchased here eight overseas and sold in this price, can be said that the price of cabbage. After the hand opened it, and t"&amp;"he toothbrush body comes with exactly the same description did not buy the wrong, really it is so cheap.")</f>
        <v>There should be no lower prices of Oral-B brush head is this the best and most advanced, sold for about 139 domestic three, Amazon purchased here eight overseas and sold in this price, can be said that the price of cabbage. After the hand opened it, and the toothbrush body comes with exactly the same description did not buy the wrong, really it is so cheap.</v>
      </c>
    </row>
    <row r="18525">
      <c r="A18525" s="1">
        <v>5.0</v>
      </c>
      <c r="B18525" s="1" t="s">
        <v>6717</v>
      </c>
      <c r="C18525" t="str">
        <f>IFERROR(__xludf.DUMMYFUNCTION("GOOGLETRANSLATE(B18525, ""zh"", ""en"")"),"Great product right size, satisfaction")</f>
        <v>Great product right size, satisfaction</v>
      </c>
    </row>
    <row r="18526">
      <c r="A18526" s="1">
        <v>5.0</v>
      </c>
      <c r="B18526" s="1" t="s">
        <v>18285</v>
      </c>
      <c r="C18526" t="str">
        <f>IFERROR(__xludf.DUMMYFUNCTION("GOOGLETRANSLATE(B18526, ""zh"", ""en"")"),"Good pot, glue or. No. 5 January to say, the results to Christmas! Which lasted nine days ~ happy ah. Buy 10.25, did not feel great, I did not feel small, enough for one or two people. What problem did not surface. And so on with it! In fact, I think the "&amp;"best part is that sticky glue trademark, like with jelly. Torn from the pot, the pot without leaving a trace, torn from the trademark, the trademark is intact. Glue is also good ...... 😂 →→→→→→→→→→→→→→→→→ what circumstances? I bought a 12-inch to a frien"&amp;"d, are a product can only be made once a comment? 20,160,528")</f>
        <v>Good pot, glue or. No. 5 January to say, the results to Christmas! Which lasted nine days ~ happy ah. Buy 10.25, did not feel great, I did not feel small, enough for one or two people. What problem did not surface. And so on with it! In fact, I think the best part is that sticky glue trademark, like with jelly. Torn from the pot, the pot without leaving a trace, torn from the trademark, the trademark is intact. Glue is also good ...... 😂 →→→→→→→→→→→→→→→→→ what circumstances? I bought a 12-inch to a friend, are a product can only be made once a comment? 20,160,528</v>
      </c>
    </row>
    <row r="18527">
      <c r="A18527" s="1">
        <v>2.0</v>
      </c>
      <c r="B18527" s="1" t="s">
        <v>18286</v>
      </c>
      <c r="C18527" t="str">
        <f>IFERROR(__xludf.DUMMYFUNCTION("GOOGLETRANSLATE(B18527, ""zh"", ""en"")"),"Poor quality, tie wire scrim! Working poor, those places several times wearing a result of wearing the belt off the line, really speechless. First time to buy pants at this place off-line, only their own money to repair processing! Too silent")</f>
        <v>Poor quality, tie wire scrim! Working poor, those places several times wearing a result of wearing the belt off the line, really speechless. First time to buy pants at this place off-line, only their own money to repair processing! Too silent</v>
      </c>
    </row>
    <row r="18528">
      <c r="A18528" s="1">
        <v>3.0</v>
      </c>
      <c r="B18528" s="1" t="s">
        <v>18287</v>
      </c>
      <c r="C18528" t="str">
        <f>IFERROR(__xludf.DUMMYFUNCTION("GOOGLETRANSLATE(B18528, ""zh"", ""en"")"),"General handwriting thick, mainly water fluency in general, often upfront phenomenon no water, but if the write heavier, the sound of some water. In short, the fluency and the resulting water they use, and the Pilot Pen has a larger gap. In addition, writ"&amp;"ten large, fine strokes for writing Chinese characters of this text, somewhat awkward.")</f>
        <v>General handwriting thick, mainly water fluency in general, often upfront phenomenon no water, but if the write heavier, the sound of some water. In short, the fluency and the resulting water they use, and the Pilot Pen has a larger gap. In addition, written large, fine strokes for writing Chinese characters of this text, somewhat awkward.</v>
      </c>
    </row>
    <row r="18529">
      <c r="A18529" s="1">
        <v>3.0</v>
      </c>
      <c r="B18529" s="1" t="s">
        <v>18288</v>
      </c>
      <c r="C18529" t="str">
        <f>IFERROR(__xludf.DUMMYFUNCTION("GOOGLETRANSLATE(B18529, ""zh"", ""en"")"),"Quality control have inconsistencies stitching leather color, buy is 8.5C, the arrival is 8.5. We are hesitant not return.")</f>
        <v>Quality control have inconsistencies stitching leather color, buy is 8.5C, the arrival is 8.5. We are hesitant not return.</v>
      </c>
    </row>
    <row r="18530">
      <c r="A18530" s="1">
        <v>1.0</v>
      </c>
      <c r="B18530" s="1" t="s">
        <v>18289</v>
      </c>
      <c r="C18530" t="str">
        <f>IFERROR(__xludf.DUMMYFUNCTION("GOOGLETRANSLATE(B18530, ""zh"", ""en"")"),"Not for the first time in the Amazon product reviews, it is because of this poor quality pants, super thin, very thin kind of cheap, highly not recommended")</f>
        <v>Not for the first time in the Amazon product reviews, it is because of this poor quality pants, super thin, very thin kind of cheap, highly not recommended</v>
      </c>
    </row>
    <row r="18531">
      <c r="A18531" s="1">
        <v>1.0</v>
      </c>
      <c r="B18531" s="1" t="s">
        <v>18290</v>
      </c>
      <c r="C18531" t="str">
        <f>IFERROR(__xludf.DUMMYFUNCTION("GOOGLETRANSLATE(B18531, ""zh"", ""en"")"),"Refunds are too numb, to find a customer can not find half a day. Now almost two months, that information is not. Inappropriate goods, refund fast for two months, that information is not feeling came to nothing.")</f>
        <v>Refunds are too numb, to find a customer can not find half a day. Now almost two months, that information is not. Inappropriate goods, refund fast for two months, that information is not feeling came to nothing.</v>
      </c>
    </row>
    <row r="18532">
      <c r="A18532" s="1">
        <v>4.0</v>
      </c>
      <c r="B18532" s="1" t="s">
        <v>18291</v>
      </c>
      <c r="C18532" t="str">
        <f>IFERROR(__xludf.DUMMYFUNCTION("GOOGLETRANSLATE(B18532, ""zh"", ""en"")"),"Smaller is recommended to buy a little before 172 / 70kg m US version are appropriate than a normal big size Japanese version of this Japanese version is a bit small m")</f>
        <v>Smaller is recommended to buy a little before 172 / 70kg m US version are appropriate than a normal big size Japanese version of this Japanese version is a bit small m</v>
      </c>
    </row>
    <row r="18533">
      <c r="A18533" s="1">
        <v>4.0</v>
      </c>
      <c r="B18533" s="1" t="s">
        <v>18292</v>
      </c>
      <c r="C18533" t="str">
        <f>IFERROR(__xludf.DUMMYFUNCTION("GOOGLETRANSLATE(B18533, ""zh"", ""en"")"),"Okay packed in nothing. On a US Amazon invoices, packing too simple, really a little worried ah")</f>
        <v>Okay packed in nothing. On a US Amazon invoices, packing too simple, really a little worried ah</v>
      </c>
    </row>
    <row r="18534">
      <c r="A18534" s="1">
        <v>4.0</v>
      </c>
      <c r="B18534" s="1" t="s">
        <v>18293</v>
      </c>
      <c r="C18534" t="str">
        <f>IFERROR(__xludf.DUMMYFUNCTION("GOOGLETRANSLATE(B18534, ""zh"", ""en"")"),"Packaging poor taste fortieth")</f>
        <v>Packaging poor taste fortieth</v>
      </c>
    </row>
    <row r="18535">
      <c r="A18535" s="1">
        <v>4.0</v>
      </c>
      <c r="B18535" s="1" t="s">
        <v>18294</v>
      </c>
      <c r="C18535" t="str">
        <f>IFERROR(__xludf.DUMMYFUNCTION("GOOGLETRANSLATE(B18535, ""zh"", ""en"")"),"General recommended quality in general, washed several times a bit distorted.")</f>
        <v>General recommended quality in general, washed several times a bit distorted.</v>
      </c>
    </row>
    <row r="18536">
      <c r="A18536" s="1">
        <v>4.0</v>
      </c>
      <c r="B18536" s="1" t="s">
        <v>18295</v>
      </c>
      <c r="C18536" t="str">
        <f>IFERROR(__xludf.DUMMYFUNCTION("GOOGLETRANSLATE(B18536, ""zh"", ""en"")"),"kitchenaid accessories squeezed juice with a very good, you can also filter pomace")</f>
        <v>kitchenaid accessories squeezed juice with a very good, you can also filter pomace</v>
      </c>
    </row>
    <row r="18537">
      <c r="A18537" s="1">
        <v>5.0</v>
      </c>
      <c r="B18537" s="1" t="s">
        <v>18296</v>
      </c>
      <c r="C18537" t="str">
        <f>IFERROR(__xludf.DUMMYFUNCTION("GOOGLETRANSLATE(B18537, ""zh"", ""en"")"),"Two sons do not eat very good food supplement, it can only be used when a small bowl. Wear a few times watermelon juice and fruit purees, good Yo.")</f>
        <v>Two sons do not eat very good food supplement, it can only be used when a small bowl. Wear a few times watermelon juice and fruit purees, good Yo.</v>
      </c>
    </row>
    <row r="18538">
      <c r="A18538" s="1">
        <v>5.0</v>
      </c>
      <c r="B18538" s="1" t="s">
        <v>18297</v>
      </c>
      <c r="C18538" t="str">
        <f>IFERROR(__xludf.DUMMYFUNCTION("GOOGLETRANSLATE(B18538, ""zh"", ""en"")"),"Good pencil. Good quality, value for money.")</f>
        <v>Good pencil. Good quality, value for money.</v>
      </c>
    </row>
    <row r="18539">
      <c r="A18539" s="1">
        <v>5.0</v>
      </c>
      <c r="B18539" s="1" t="s">
        <v>18298</v>
      </c>
      <c r="C18539" t="str">
        <f>IFERROR(__xludf.DUMMYFUNCTION("GOOGLETRANSLATE(B18539, ""zh"", ""en"")"),"Inexpensive pants quite thin, suitable for spring and autumn days, very appropriate size to buy according to size chart, many commentators talk about the ball, has yet found under the water three times, after all, only more than 100 pieces, play with chil"&amp;"dren wearing")</f>
        <v>Inexpensive pants quite thin, suitable for spring and autumn days, very appropriate size to buy according to size chart, many commentators talk about the ball, has yet found under the water three times, after all, only more than 100 pieces, play with children wearing</v>
      </c>
    </row>
    <row r="18540">
      <c r="A18540" s="1">
        <v>5.0</v>
      </c>
      <c r="B18540" s="1" t="s">
        <v>18299</v>
      </c>
      <c r="C18540" t="str">
        <f>IFERROR(__xludf.DUMMYFUNCTION("GOOGLETRANSLATE(B18540, ""zh"", ""en"")"),"good stuff! Need to buy again. Bought used for some time to come to comment, something much cheaper than domestic sales, with my 810, I was watching memory card review sites say this is the fastest speed cf card after bought, really quickly, burst to the "&amp;"force!")</f>
        <v>good stuff! Need to buy again. Bought used for some time to come to comment, something much cheaper than domestic sales, with my 810, I was watching memory card review sites say this is the fastest speed cf card after bought, really quickly, burst to the force!</v>
      </c>
    </row>
    <row r="18541">
      <c r="A18541" s="1">
        <v>5.0</v>
      </c>
      <c r="B18541" s="1" t="s">
        <v>18300</v>
      </c>
      <c r="C18541" t="str">
        <f>IFERROR(__xludf.DUMMYFUNCTION("GOOGLETRANSLATE(B18541, ""zh"", ""en"")"),"Fabric is very comfortable, breathable drying accurate size, 178,78KG, about Chest 100, United States Code M wear wear Slim, thin")</f>
        <v>Fabric is very comfortable, breathable drying accurate size, 178,78KG, about Chest 100, United States Code M wear wear Slim, thin</v>
      </c>
    </row>
    <row r="18542">
      <c r="A18542" s="1">
        <v>5.0</v>
      </c>
      <c r="B18542" s="1" t="s">
        <v>18301</v>
      </c>
      <c r="C18542" t="str">
        <f>IFERROR(__xludf.DUMMYFUNCTION("GOOGLETRANSLATE(B18542, ""zh"", ""en"")"),"Praise praise praise praise and so on for ten days and finally at hand is better than expected")</f>
        <v>Praise praise praise praise and so on for ten days and finally at hand is better than expected</v>
      </c>
    </row>
    <row r="18543">
      <c r="A18543" s="1">
        <v>5.0</v>
      </c>
      <c r="B18543" s="1" t="s">
        <v>18302</v>
      </c>
      <c r="C18543" t="str">
        <f>IFERROR(__xludf.DUMMYFUNCTION("GOOGLETRANSLATE(B18543, ""zh"", ""en"")"),"Good pants, baggy pants especially special loose, longer than a number of domestic and relaxed several numbers, very comfortable")</f>
        <v>Good pants, baggy pants especially special loose, longer than a number of domestic and relaxed several numbers, very comfortable</v>
      </c>
    </row>
    <row r="18544">
      <c r="A18544" s="1">
        <v>5.0</v>
      </c>
      <c r="B18544" s="1" t="s">
        <v>18303</v>
      </c>
      <c r="C18544" t="str">
        <f>IFERROR(__xludf.DUMMYFUNCTION("GOOGLETRANSLATE(B18544, ""zh"", ""en"")"),"Pacifier very soft, like baby Pigeon baby she refused to eat this. 😬")</f>
        <v>Pacifier very soft, like baby Pigeon baby she refused to eat this. 😬</v>
      </c>
    </row>
    <row r="18545">
      <c r="A18545" s="1">
        <v>5.0</v>
      </c>
      <c r="B18545" s="1" t="s">
        <v>18304</v>
      </c>
      <c r="C18545" t="str">
        <f>IFERROR(__xludf.DUMMYFUNCTION("GOOGLETRANSLATE(B18545, ""zh"", ""en"")"),"clean! Liang Jie! Just a cat than to buy much better! ! ! And it seems to have cost-effective compared to a number. I just want to wash out the bowl with a ""bright clean as new"" words to describe.")</f>
        <v>clean! Liang Jie! Just a cat than to buy much better! ! ! And it seems to have cost-effective compared to a number. I just want to wash out the bowl with a "bright clean as new" words to describe.</v>
      </c>
    </row>
    <row r="18546">
      <c r="A18546" s="1">
        <v>5.0</v>
      </c>
      <c r="B18546" s="1" t="s">
        <v>18305</v>
      </c>
      <c r="C18546" t="str">
        <f>IFERROR(__xludf.DUMMYFUNCTION("GOOGLETRANSLATE(B18546, ""zh"", ""en"")"),"Good quality workmanship is very good clothes, size is too large")</f>
        <v>Good quality workmanship is very good clothes, size is too large</v>
      </c>
    </row>
    <row r="18547">
      <c r="A18547" s="1">
        <v>5.0</v>
      </c>
      <c r="B18547" s="1" t="s">
        <v>18306</v>
      </c>
      <c r="C18547" t="str">
        <f>IFERROR(__xludf.DUMMYFUNCTION("GOOGLETRANSLATE(B18547, ""zh"", ""en"")"),"You can have very good")</f>
        <v>You can have very good</v>
      </c>
    </row>
    <row r="18548">
      <c r="A18548" s="1">
        <v>5.0</v>
      </c>
      <c r="B18548" s="1" t="s">
        <v>18307</v>
      </c>
      <c r="C18548" t="str">
        <f>IFERROR(__xludf.DUMMYFUNCTION("GOOGLETRANSLATE(B18548, ""zh"", ""en"")"),"The first overseas purchase very satisfied, like I expected. Size standard, comfort, color is very positive.")</f>
        <v>The first overseas purchase very satisfied, like I expected. Size standard, comfort, color is very positive.</v>
      </c>
    </row>
    <row r="18549">
      <c r="A18549" s="1">
        <v>5.0</v>
      </c>
      <c r="B18549" s="1" t="s">
        <v>18308</v>
      </c>
      <c r="C18549" t="str">
        <f>IFERROR(__xludf.DUMMYFUNCTION("GOOGLETRANSLATE(B18549, ""zh"", ""en"")"),"Insisted good quality, soft and comfortable, it is worth buying. Very satisfied, the fabric soft and delicate, comfortable, fine workmanship very fit, 170, weight 75 kg, wearing M size is very fit.")</f>
        <v>Insisted good quality, soft and comfortable, it is worth buying. Very satisfied, the fabric soft and delicate, comfortable, fine workmanship very fit, 170, weight 75 kg, wearing M size is very fit.</v>
      </c>
    </row>
    <row r="18550">
      <c r="A18550" s="1">
        <v>5.0</v>
      </c>
      <c r="B18550" s="1" t="s">
        <v>18309</v>
      </c>
      <c r="C18550" t="str">
        <f>IFERROR(__xludf.DUMMYFUNCTION("GOOGLETRANSLATE(B18550, ""zh"", ""en"")"),"Very good good quality, I liked it, very practical")</f>
        <v>Very good good quality, I liked it, very practical</v>
      </c>
    </row>
    <row r="18551">
      <c r="A18551" s="1">
        <v>5.0</v>
      </c>
      <c r="B18551" s="1" t="s">
        <v>18310</v>
      </c>
      <c r="C18551" t="str">
        <f>IFERROR(__xludf.DUMMYFUNCTION("GOOGLETRANSLATE(B18551, ""zh"", ""en"")"),"Oh, good to wear pressure socks and comfortable, it is matte, thin, very much")</f>
        <v>Oh, good to wear pressure socks and comfortable, it is matte, thin, very much</v>
      </c>
    </row>
    <row r="18552">
      <c r="A18552" s="1">
        <v>5.0</v>
      </c>
      <c r="B18552" s="1" t="s">
        <v>18311</v>
      </c>
      <c r="C18552" t="str">
        <f>IFERROR(__xludf.DUMMYFUNCTION("GOOGLETRANSLATE(B18552, ""zh"", ""en"")"),"Like the black is buying, amounting to more than 280 + it, good deal I bought in Spain, and not useful, looks like genuine")</f>
        <v>Like the black is buying, amounting to more than 280 + it, good deal I bought in Spain, and not useful, looks like genuine</v>
      </c>
    </row>
    <row r="18553">
      <c r="A18553" s="1">
        <v>5.0</v>
      </c>
      <c r="B18553" s="1" t="s">
        <v>18312</v>
      </c>
      <c r="C18553" t="str">
        <f>IFERROR(__xludf.DUMMYFUNCTION("GOOGLETRANSLATE(B18553, ""zh"", ""en"")"),"Good good, cheap affordable ah, I liked it, 183,73kg, M code appropriate")</f>
        <v>Good good, cheap affordable ah, I liked it, 183,73kg, M code appropriate</v>
      </c>
    </row>
    <row r="18554">
      <c r="A18554" s="1">
        <v>5.0</v>
      </c>
      <c r="B18554" s="1" t="s">
        <v>18313</v>
      </c>
      <c r="C18554" t="str">
        <f>IFERROR(__xludf.DUMMYFUNCTION("GOOGLETRANSLATE(B18554, ""zh"", ""en"")"),"Suitable height 175cm, weight 78kg, M number suitable.")</f>
        <v>Suitable height 175cm, weight 78kg, M number suitable.</v>
      </c>
    </row>
    <row r="18555">
      <c r="A18555" s="1">
        <v>5.0</v>
      </c>
      <c r="B18555" s="1" t="s">
        <v>18314</v>
      </c>
      <c r="C18555" t="str">
        <f>IFERROR(__xludf.DUMMYFUNCTION("GOOGLETRANSLATE(B18555, ""zh"", ""en"")"),"Worth starting good, very beautiful, very good quality")</f>
        <v>Worth starting good, very beautiful, very good quality</v>
      </c>
    </row>
    <row r="18556">
      <c r="A18556" s="1">
        <v>5.0</v>
      </c>
      <c r="B18556" s="1" t="s">
        <v>18315</v>
      </c>
      <c r="C18556" t="str">
        <f>IFERROR(__xludf.DUMMYFUNCTION("GOOGLETRANSLATE(B18556, ""zh"", ""en"")"),"Black is buying a good deal, but also with a free email trial of members of the Amazon, a good deal cheaper than a treasure, the key is assured ah but that a filter or filters is not enough, there are still burning out of the water, sediment, above, there"&amp;" are white misty going to change the cartridge runs out of 3M self 3m8000t Amazon can do this water purifier")</f>
        <v>Black is buying a good deal, but also with a free email trial of members of the Amazon, a good deal cheaper than a treasure, the key is assured ah but that a filter or filters is not enough, there are still burning out of the water, sediment, above, there are white misty going to change the cartridge runs out of 3M self 3m8000t Amazon can do this water purifier</v>
      </c>
    </row>
    <row r="18557">
      <c r="A18557" s="1">
        <v>5.0</v>
      </c>
      <c r="B18557" s="1" t="s">
        <v>18316</v>
      </c>
      <c r="C18557" t="str">
        <f>IFERROR(__xludf.DUMMYFUNCTION("GOOGLETRANSLATE(B18557, ""zh"", ""en"")"),"Color difference is not large in the case is not over water the appropriate size, 175,70, solid visual effect is pretty good, than the picture to look good. I hope it will not shrink.")</f>
        <v>Color difference is not large in the case is not over water the appropriate size, 175,70, solid visual effect is pretty good, than the picture to look good. I hope it will not shrink.</v>
      </c>
    </row>
    <row r="18558">
      <c r="A18558" s="1">
        <v>5.0</v>
      </c>
      <c r="B18558" s="1" t="s">
        <v>18317</v>
      </c>
      <c r="C18558" t="str">
        <f>IFERROR(__xludf.DUMMYFUNCTION("GOOGLETRANSLATE(B18558, ""zh"", ""en"")"),"Today, just received praise, but also good, as is the stockpile, did not split, but feeling good quality, the major net importer of price is beautiful")</f>
        <v>Today, just received praise, but also good, as is the stockpile, did not split, but feeling good quality, the major net importer of price is beautiful</v>
      </c>
    </row>
    <row r="18559">
      <c r="A18559" s="1">
        <v>2.0</v>
      </c>
      <c r="B18559" s="1" t="s">
        <v>18318</v>
      </c>
      <c r="C18559" t="str">
        <f>IFERROR(__xludf.DUMMYFUNCTION("GOOGLETRANSLATE(B18559, ""zh"", ""en"")"),"The taste is too big crayons and I'm also looking at the taste too. I do not know is not genuine. Fortunately, I also called my taste but why so much more than that before you buy Merlot silky crayons would not taste it")</f>
        <v>The taste is too big crayons and I'm also looking at the taste too. I do not know is not genuine. Fortunately, I also called my taste but why so much more than that before you buy Merlot silky crayons would not taste it</v>
      </c>
    </row>
    <row r="18560">
      <c r="A18560" s="1">
        <v>3.0</v>
      </c>
      <c r="B18560" s="1" t="s">
        <v>18319</v>
      </c>
      <c r="C18560" t="str">
        <f>IFERROR(__xludf.DUMMYFUNCTION("GOOGLETRANSLATE(B18560, ""zh"", ""en"")"),"Like a general summer wear a little stuffy foot, heel and not Genjiao. The front end of the day wearing a wrinkled up. Sure enough, this shoe can only face value")</f>
        <v>Like a general summer wear a little stuffy foot, heel and not Genjiao. The front end of the day wearing a wrinkled up. Sure enough, this shoe can only face value</v>
      </c>
    </row>
    <row r="18561">
      <c r="A18561" s="1">
        <v>3.0</v>
      </c>
      <c r="B18561" s="1" t="s">
        <v>18320</v>
      </c>
      <c r="C18561" t="str">
        <f>IFERROR(__xludf.DUMMYFUNCTION("GOOGLETRANSLATE(B18561, ""zh"", ""en"")"),"The cover cap is screwed very good very good screwing total misalignment")</f>
        <v>The cover cap is screwed very good very good screwing total misalignment</v>
      </c>
    </row>
    <row r="18562">
      <c r="A18562" s="1">
        <v>1.0</v>
      </c>
      <c r="B18562" s="1" t="s">
        <v>18321</v>
      </c>
      <c r="C18562" t="str">
        <f>IFERROR(__xludf.DUMMYFUNCTION("GOOGLETRANSLATE(B18562, ""zh"", ""en"")"),"Too big to give you a reference to it, 180-73kg. M number is too great. Fabrics feel it so be it.")</f>
        <v>Too big to give you a reference to it, 180-73kg. M number is too great. Fabrics feel it so be it.</v>
      </c>
    </row>
    <row r="18563">
      <c r="A18563" s="1">
        <v>1.0</v>
      </c>
      <c r="B18563" s="1" t="s">
        <v>18322</v>
      </c>
      <c r="C18563" t="str">
        <f>IFERROR(__xludf.DUMMYFUNCTION("GOOGLETRANSLATE(B18563, ""zh"", ""en"")"),"No sale, a bad scrapped a star to defend the Amazon sale, the product itself is a great experience but it's hard to say you buy is not a disposable product, after problems after using Amazon is unable to provide solutions, the country will also not be rep"&amp;"aired purchase overseas products, after-sales experience is very poor, just sold regardless of quality, customer service attitude is minus one point, negative points!")</f>
        <v>No sale, a bad scrapped a star to defend the Amazon sale, the product itself is a great experience but it's hard to say you buy is not a disposable product, after problems after using Amazon is unable to provide solutions, the country will also not be repaired purchase overseas products, after-sales experience is very poor, just sold regardless of quality, customer service attitude is minus one point, negative points!</v>
      </c>
    </row>
    <row r="18564">
      <c r="A18564" s="1">
        <v>1.0</v>
      </c>
      <c r="B18564" s="1" t="s">
        <v>18323</v>
      </c>
      <c r="C18564" t="str">
        <f>IFERROR(__xludf.DUMMYFUNCTION("GOOGLETRANSLATE(B18564, ""zh"", ""en"")"),"No formal packaging, a plastic bag how even casual formal packaging is not! Bulk yet")</f>
        <v>No formal packaging, a plastic bag how even casual formal packaging is not! Bulk yet</v>
      </c>
    </row>
    <row r="18565">
      <c r="A18565" s="1">
        <v>4.0</v>
      </c>
      <c r="B18565" s="1" t="s">
        <v>18324</v>
      </c>
      <c r="C18565" t="str">
        <f>IFERROR(__xludf.DUMMYFUNCTION("GOOGLETRANSLATE(B18565, ""zh"", ""en"")"),"The fine normal wear shoe 40 yards of 7.5M selected, appropriate size; Timberland PRO has upper leg: not heavy when walking shoe, the shoe length 26CM toes comparatively rich, slightly grinding the ankle, upper height just right, beige personally I like.")</f>
        <v>The fine normal wear shoe 40 yards of 7.5M selected, appropriate size; Timberland PRO has upper leg: not heavy when walking shoe, the shoe length 26CM toes comparatively rich, slightly grinding the ankle, upper height just right, beige personally I like.</v>
      </c>
    </row>
    <row r="18566">
      <c r="A18566" s="1">
        <v>4.0</v>
      </c>
      <c r="B18566" s="1" t="s">
        <v>18325</v>
      </c>
      <c r="C18566" t="str">
        <f>IFERROR(__xludf.DUMMYFUNCTION("GOOGLETRANSLATE(B18566, ""zh"", ""en"")"),"Easy to use and has been in use, it should be right, but with a long time there will be impurities")</f>
        <v>Easy to use and has been in use, it should be right, but with a long time there will be impurities</v>
      </c>
    </row>
    <row r="18567">
      <c r="A18567" s="1">
        <v>4.0</v>
      </c>
      <c r="B18567" s="1" t="s">
        <v>18326</v>
      </c>
      <c r="C18567" t="str">
        <f>IFERROR(__xludf.DUMMYFUNCTION("GOOGLETRANSLATE(B18567, ""zh"", ""en"")"),"Is not particularly easy to use grinding up not feeling particularly useful also")</f>
        <v>Is not particularly easy to use grinding up not feeling particularly useful also</v>
      </c>
    </row>
    <row r="18568">
      <c r="A18568" s="1">
        <v>4.0</v>
      </c>
      <c r="B18568" s="1" t="s">
        <v>18327</v>
      </c>
      <c r="C18568" t="str">
        <f>IFERROR(__xludf.DUMMYFUNCTION("GOOGLETRANSLATE(B18568, ""zh"", ""en"")"),"Pants good, the right size. Very fit, I am 167 cm, 59 kg, the right size, very thick pants, a little flexibility. I measured it with a ruler around 29 yards belts 79 cm.")</f>
        <v>Pants good, the right size. Very fit, I am 167 cm, 59 kg, the right size, very thick pants, a little flexibility. I measured it with a ruler around 29 yards belts 79 cm.</v>
      </c>
    </row>
    <row r="18569">
      <c r="A18569" s="1">
        <v>4.0</v>
      </c>
      <c r="B18569" s="1" t="s">
        <v>18328</v>
      </c>
      <c r="C18569" t="str">
        <f>IFERROR(__xludf.DUMMYFUNCTION("GOOGLETRANSLATE(B18569, ""zh"", ""en"")"),"Very handsome small size, the size is too small, wearing squeeze feet")</f>
        <v>Very handsome small size, the size is too small, wearing squeeze feet</v>
      </c>
    </row>
    <row r="18570">
      <c r="A18570" s="1">
        <v>5.0</v>
      </c>
      <c r="B18570" s="1" t="s">
        <v>18329</v>
      </c>
      <c r="C18570" t="str">
        <f>IFERROR(__xludf.DUMMYFUNCTION("GOOGLETRANSLATE(B18570, ""zh"", ""en"")"),"Nice nice little flat feet inappropriate")</f>
        <v>Nice nice little flat feet inappropriate</v>
      </c>
    </row>
    <row r="18571">
      <c r="A18571" s="1">
        <v>5.0</v>
      </c>
      <c r="B18571" s="1" t="s">
        <v>18330</v>
      </c>
      <c r="C18571" t="str">
        <f>IFERROR(__xludf.DUMMYFUNCTION("GOOGLETRANSLATE(B18571, ""zh"", ""en"")"),"ok Thai-made with a pretty good buy Nichia's nothing to worry about good bump packaging")</f>
        <v>ok Thai-made with a pretty good buy Nichia's nothing to worry about good bump packaging</v>
      </c>
    </row>
    <row r="18572">
      <c r="A18572" s="1">
        <v>5.0</v>
      </c>
      <c r="B18572" s="1" t="s">
        <v>18331</v>
      </c>
      <c r="C18572" t="str">
        <f>IFERROR(__xludf.DUMMYFUNCTION("GOOGLETRANSLATE(B18572, ""zh"", ""en"")"),"Good cost-effective, tax less than six hundred dollars, the right size, with no pull-out")</f>
        <v>Good cost-effective, tax less than six hundred dollars, the right size, with no pull-out</v>
      </c>
    </row>
    <row r="18573">
      <c r="A18573" s="1">
        <v>5.0</v>
      </c>
      <c r="B18573" s="1" t="s">
        <v>18332</v>
      </c>
      <c r="C18573" t="str">
        <f>IFERROR(__xludf.DUMMYFUNCTION("GOOGLETRANSLATE(B18573, ""zh"", ""en"")"),"Petty life good to drink coffee")</f>
        <v>Petty life good to drink coffee</v>
      </c>
    </row>
    <row r="18574">
      <c r="A18574" s="1">
        <v>5.0</v>
      </c>
      <c r="B18574" s="1" t="s">
        <v>18333</v>
      </c>
      <c r="C18574" t="str">
        <f>IFERROR(__xludf.DUMMYFUNCTION("GOOGLETRANSLATE(B18574, ""zh"", ""en"")"),"This is a very good companion most of the best I've ever used a daily sports are appropriate.")</f>
        <v>This is a very good companion most of the best I've ever used a daily sports are appropriate.</v>
      </c>
    </row>
    <row r="18575">
      <c r="A18575" s="1">
        <v>5.0</v>
      </c>
      <c r="B18575" s="1" t="s">
        <v>18334</v>
      </c>
      <c r="C18575" t="str">
        <f>IFERROR(__xludf.DUMMYFUNCTION("GOOGLETRANSLATE(B18575, ""zh"", ""en"")"),"Nice shoes and the same counter, a total of 714 ocean, it just got finished down more than a hundred, cry, but fortunately very satisfied with the shoes, his family and some shoes to wear 38 yards, some wear 39 yards, 39 just to wear this.")</f>
        <v>Nice shoes and the same counter, a total of 714 ocean, it just got finished down more than a hundred, cry, but fortunately very satisfied with the shoes, his family and some shoes to wear 38 yards, some wear 39 yards, 39 just to wear this.</v>
      </c>
    </row>
    <row r="18576">
      <c r="A18576" s="1">
        <v>5.0</v>
      </c>
      <c r="B18576" s="1" t="s">
        <v>18335</v>
      </c>
      <c r="C18576" t="str">
        <f>IFERROR(__xludf.DUMMYFUNCTION("GOOGLETRANSLATE(B18576, ""zh"", ""en"")"),"Good things to buy friends, I heard that good.")</f>
        <v>Good things to buy friends, I heard that good.</v>
      </c>
    </row>
    <row r="18577">
      <c r="A18577" s="1">
        <v>5.0</v>
      </c>
      <c r="B18577" s="1" t="s">
        <v>18336</v>
      </c>
      <c r="C18577" t="str">
        <f>IFERROR(__xludf.DUMMYFUNCTION("GOOGLETRANSLATE(B18577, ""zh"", ""en"")"),"Instructions how no instructions. Seek to copy.")</f>
        <v>Instructions how no instructions. Seek to copy.</v>
      </c>
    </row>
    <row r="18578">
      <c r="A18578" s="1">
        <v>5.0</v>
      </c>
      <c r="B18578" s="1" t="s">
        <v>18337</v>
      </c>
      <c r="C18578" t="str">
        <f>IFERROR(__xludf.DUMMYFUNCTION("GOOGLETRANSLATE(B18578, ""zh"", ""en"")"),"CK size is very appropriate, very satisfied with the shopping height 175cm, weight 62kg, choose the L number is very relaxed, but appropriate, but each person's pursuit of a sense of body is not the same, for reference purposes only.")</f>
        <v>CK size is very appropriate, very satisfied with the shopping height 175cm, weight 62kg, choose the L number is very relaxed, but appropriate, but each person's pursuit of a sense of body is not the same, for reference purposes only.</v>
      </c>
    </row>
    <row r="18579">
      <c r="A18579" s="1">
        <v>5.0</v>
      </c>
      <c r="B18579" s="1" t="s">
        <v>18338</v>
      </c>
      <c r="C18579" t="str">
        <f>IFERROR(__xludf.DUMMYFUNCTION("GOOGLETRANSLATE(B18579, ""zh"", ""en"")"),"well! Good quality, very good insulation effect")</f>
        <v>well! Good quality, very good insulation effect</v>
      </c>
    </row>
    <row r="18580">
      <c r="A18580" s="1">
        <v>5.0</v>
      </c>
      <c r="B18580" s="1" t="s">
        <v>18339</v>
      </c>
      <c r="C18580" t="str">
        <f>IFERROR(__xludf.DUMMYFUNCTION("GOOGLETRANSLATE(B18580, ""zh"", ""en"")"),"perfectly worked! Many places can not buy disposable ink cartridge (hey, writing on the shop say too big). Sometimes busy, not with ink is often the case!")</f>
        <v>perfectly worked! Many places can not buy disposable ink cartridge (hey, writing on the shop say too big). Sometimes busy, not with ink is often the case!</v>
      </c>
    </row>
    <row r="18581">
      <c r="A18581" s="1">
        <v>5.0</v>
      </c>
      <c r="B18581" s="1" t="s">
        <v>18340</v>
      </c>
      <c r="C18581" t="str">
        <f>IFERROR(__xludf.DUMMYFUNCTION("GOOGLETRANSLATE(B18581, ""zh"", ""en"")"),"It should be okay to temporarily do not know the effect friend recommended this brand of domestic long-term eating the new Iraq can say that there is a toxin so into this")</f>
        <v>It should be okay to temporarily do not know the effect friend recommended this brand of domestic long-term eating the new Iraq can say that there is a toxin so into this</v>
      </c>
    </row>
    <row r="18582">
      <c r="A18582" s="1">
        <v>5.0</v>
      </c>
      <c r="B18582" s="1" t="s">
        <v>18341</v>
      </c>
      <c r="C18582" t="str">
        <f>IFERROR(__xludf.DUMMYFUNCTION("GOOGLETRANSLATE(B18582, ""zh"", ""en"")"),"Vacuum insulation made in China, in addition to taking the steam is very powerful, unlike Tiger's no steam, the other very good,")</f>
        <v>Vacuum insulation made in China, in addition to taking the steam is very powerful, unlike Tiger's no steam, the other very good,</v>
      </c>
    </row>
    <row r="18583">
      <c r="A18583" s="1">
        <v>5.0</v>
      </c>
      <c r="B18583" s="1" t="s">
        <v>18342</v>
      </c>
      <c r="C18583" t="str">
        <f>IFERROR(__xludf.DUMMYFUNCTION("GOOGLETRANSLATE(B18583, ""zh"", ""en"")"),"Very good small point, but the quality did not have to say, is how no one on the rope zipper")</f>
        <v>Very good small point, but the quality did not have to say, is how no one on the rope zipper</v>
      </c>
    </row>
    <row r="18584">
      <c r="A18584" s="1">
        <v>5.0</v>
      </c>
      <c r="B18584" s="1" t="s">
        <v>18343</v>
      </c>
      <c r="C18584" t="str">
        <f>IFERROR(__xludf.DUMMYFUNCTION("GOOGLETRANSLATE(B18584, ""zh"", ""en"")"),"Laminate breathable skin-friendly and comfortable fit, cotton, thin, short one, and only then if wear long-sleeved")</f>
        <v>Laminate breathable skin-friendly and comfortable fit, cotton, thin, short one, and only then if wear long-sleeved</v>
      </c>
    </row>
    <row r="18585">
      <c r="A18585" s="1">
        <v>5.0</v>
      </c>
      <c r="B18585" s="1" t="s">
        <v>18344</v>
      </c>
      <c r="C18585" t="str">
        <f>IFERROR(__xludf.DUMMYFUNCTION("GOOGLETRANSLATE(B18585, ""zh"", ""en"")"),"Marked in accordance with the size of the shoes can be bought for everyone to play through almost the lowest prices, taxes less than 240 yuan to start this but I waited a long time to start bargain-hunting, the price is too high, but still very good good "&amp;"quality shoes! 46 is China's 46 yards here, we selected shining on the line")</f>
        <v>Marked in accordance with the size of the shoes can be bought for everyone to play through almost the lowest prices, taxes less than 240 yuan to start this but I waited a long time to start bargain-hunting, the price is too high, but still very good good quality shoes! 46 is China's 46 yards here, we selected shining on the line</v>
      </c>
    </row>
    <row r="18586">
      <c r="A18586" s="1">
        <v>5.0</v>
      </c>
      <c r="B18586" s="1" t="s">
        <v>18345</v>
      </c>
      <c r="C18586" t="str">
        <f>IFERROR(__xludf.DUMMYFUNCTION("GOOGLETRANSLATE(B18586, ""zh"", ""en"")"),"Easy to use has been very good with, no difference with the mainstream, this feeling of some of the brush more thoroughly, but too long hurt the gums.")</f>
        <v>Easy to use has been very good with, no difference with the mainstream, this feeling of some of the brush more thoroughly, but too long hurt the gums.</v>
      </c>
    </row>
    <row r="18587">
      <c r="A18587" s="1">
        <v>5.0</v>
      </c>
      <c r="B18587" s="1" t="s">
        <v>18346</v>
      </c>
      <c r="C18587" t="str">
        <f>IFERROR(__xludf.DUMMYFUNCTION("GOOGLETRANSLATE(B18587, ""zh"", ""en"")"),"Under Armor Polo shirt Quick-drying fabric, style is also very good, the price is cheaper than the domestic half, put on a good look.")</f>
        <v>Under Armor Polo shirt Quick-drying fabric, style is also very good, the price is cheaper than the domestic half, put on a good look.</v>
      </c>
    </row>
    <row r="18588">
      <c r="A18588" s="1">
        <v>5.0</v>
      </c>
      <c r="B18588" s="1" t="s">
        <v>18347</v>
      </c>
      <c r="C18588" t="str">
        <f>IFERROR(__xludf.DUMMYFUNCTION("GOOGLETRANSLATE(B18588, ""zh"", ""en"")"),"Now contrast with the 880Pro if not for the noise, the sound is really worse than the 880-point mean, frequency response is simply sex ... 880 sound field generosity, sense of low volume 770 much better than this just bought it, and have that special sens"&amp;"e of hearing subtly metallic finish, the 770 is perhaps burn it there, the sense of hearing an plastic taste ...")</f>
        <v>Now contrast with the 880Pro if not for the noise, the sound is really worse than the 880-point mean, frequency response is simply sex ... 880 sound field generosity, sense of low volume 770 much better than this just bought it, and have that special sense of hearing subtly metallic finish, the 770 is perhaps burn it there, the sense of hearing an plastic taste ...</v>
      </c>
    </row>
    <row r="18589">
      <c r="A18589" s="1">
        <v>5.0</v>
      </c>
      <c r="B18589" s="1" t="s">
        <v>18348</v>
      </c>
      <c r="C18589" t="str">
        <f>IFERROR(__xludf.DUMMYFUNCTION("GOOGLETRANSLATE(B18589, ""zh"", ""en"")"),"Very beautiful baby a bottle has to spend, it should be genuine, not taste")</f>
        <v>Very beautiful baby a bottle has to spend, it should be genuine, not taste</v>
      </c>
    </row>
    <row r="18590">
      <c r="A18590" s="1">
        <v>5.0</v>
      </c>
      <c r="B18590" s="1" t="s">
        <v>18349</v>
      </c>
      <c r="C18590" t="str">
        <f>IFERROR(__xludf.DUMMYFUNCTION("GOOGLETRANSLATE(B18590, ""zh"", ""en"")"),"worth it! Very good, wear fitness shaping effective!")</f>
        <v>worth it! Very good, wear fitness shaping effective!</v>
      </c>
    </row>
    <row r="18591">
      <c r="A18591" s="1">
        <v>2.0</v>
      </c>
      <c r="B18591" s="1" t="s">
        <v>18350</v>
      </c>
      <c r="C18591" t="str">
        <f>IFERROR(__xludf.DUMMYFUNCTION("GOOGLETRANSLATE(B18591, ""zh"", ""en"")"),"Not worthy version was okay, not worth the cloth too bad, washed deformation")</f>
        <v>Not worthy version was okay, not worth the cloth too bad, washed deformation</v>
      </c>
    </row>
    <row r="18592">
      <c r="A18592" s="1">
        <v>3.0</v>
      </c>
      <c r="B18592" s="1" t="s">
        <v>18351</v>
      </c>
      <c r="C18592" t="str">
        <f>IFERROR(__xludf.DUMMYFUNCTION("GOOGLETRANSLATE(B18592, ""zh"", ""en"")"),"Too small to feel now the US version is also smaller? What happens before the US version of the code is too large to buy m number two yards, and now with the country code, like, do Americans weight loss success")</f>
        <v>Too small to feel now the US version is also smaller? What happens before the US version of the code is too large to buy m number two yards, and now with the country code, like, do Americans weight loss success</v>
      </c>
    </row>
    <row r="18593">
      <c r="A18593" s="1">
        <v>3.0</v>
      </c>
      <c r="B18593" s="1" t="s">
        <v>18352</v>
      </c>
      <c r="C18593" t="str">
        <f>IFERROR(__xludf.DUMMYFUNCTION("GOOGLETRANSLATE(B18593, ""zh"", ""en"")"),"Lined packaging protection is not enough, missed. Tb expensive than some but assured. Others regret that the packaging is not conservative, the powder leakage.")</f>
        <v>Lined packaging protection is not enough, missed. Tb expensive than some but assured. Others regret that the packaging is not conservative, the powder leakage.</v>
      </c>
    </row>
    <row r="18594">
      <c r="A18594" s="1">
        <v>3.0</v>
      </c>
      <c r="B18594" s="1" t="s">
        <v>18353</v>
      </c>
      <c r="C18594" t="str">
        <f>IFERROR(__xludf.DUMMYFUNCTION("GOOGLETRANSLATE(B18594, ""zh"", ""en"")"),"Too much foreign numbers too, with the country is not a concept, at least two big numbers, bought simply can not wear, the quality is also good,")</f>
        <v>Too much foreign numbers too, with the country is not a concept, at least two big numbers, bought simply can not wear, the quality is also good,</v>
      </c>
    </row>
    <row r="18595">
      <c r="A18595" s="1">
        <v>1.0</v>
      </c>
      <c r="B18595" s="1" t="s">
        <v>18354</v>
      </c>
      <c r="C18595" t="str">
        <f>IFERROR(__xludf.DUMMYFUNCTION("GOOGLETRANSLATE(B18595, ""zh"", ""en"")"),"Things are not cheap, open the package a messy product packaging is very old, and deformation. After opening the box, inside the box is also bad parts bad state. Instructions are also very old. Do not know yet installed second-hand goods ......")</f>
        <v>Things are not cheap, open the package a messy product packaging is very old, and deformation. After opening the box, inside the box is also bad parts bad state. Instructions are also very old. Do not know yet installed second-hand goods ......</v>
      </c>
    </row>
    <row r="18596">
      <c r="A18596" s="1">
        <v>1.0</v>
      </c>
      <c r="B18596" s="1" t="s">
        <v>18355</v>
      </c>
      <c r="C18596" t="str">
        <f>IFERROR(__xludf.DUMMYFUNCTION("GOOGLETRANSLATE(B18596, ""zh"", ""en"")"),"Very thin very long I do not know what body can wear very thin very long")</f>
        <v>Very thin very long I do not know what body can wear very thin very long</v>
      </c>
    </row>
    <row r="18597">
      <c r="A18597" s="1">
        <v>1.0</v>
      </c>
      <c r="B18597" s="1" t="s">
        <v>18356</v>
      </c>
      <c r="C18597" t="str">
        <f>IFERROR(__xludf.DUMMYFUNCTION("GOOGLETRANSLATE(B18597, ""zh"", ""en"")"),"Before the acquisition of UK7.5 UK7.5 much difference with the size before buying that much difference, just simply can not wear (feeling 43 yards)")</f>
        <v>Before the acquisition of UK7.5 UK7.5 much difference with the size before buying that much difference, just simply can not wear (feeling 43 yards)</v>
      </c>
    </row>
    <row r="18598">
      <c r="A18598" s="1">
        <v>4.0</v>
      </c>
      <c r="B18598" s="1" t="s">
        <v>18357</v>
      </c>
      <c r="C18598" t="str">
        <f>IFERROR(__xludf.DUMMYFUNCTION("GOOGLETRANSLATE(B18598, ""zh"", ""en"")"),"Okay good, but the dial color is off-white, non-white, fit with casual clothes. Just do not know no electricity, then, you can not replace the battery, or?")</f>
        <v>Okay good, but the dial color is off-white, non-white, fit with casual clothes. Just do not know no electricity, then, you can not replace the battery, or?</v>
      </c>
    </row>
    <row r="18599">
      <c r="A18599" s="1">
        <v>4.0</v>
      </c>
      <c r="B18599" s="1" t="s">
        <v>18358</v>
      </c>
      <c r="C18599" t="str">
        <f>IFERROR(__xludf.DUMMYFUNCTION("GOOGLETRANSLATE(B18599, ""zh"", ""en"")"),"Wear ankle according to the usual yardage buy a little foot wear")</f>
        <v>Wear ankle according to the usual yardage buy a little foot wear</v>
      </c>
    </row>
    <row r="18600">
      <c r="A18600" s="1">
        <v>4.0</v>
      </c>
      <c r="B18600" s="1" t="s">
        <v>18359</v>
      </c>
      <c r="C18600" t="str">
        <f>IFERROR(__xludf.DUMMYFUNCTION("GOOGLETRANSLATE(B18600, ""zh"", ""en"")"),"OK height 173, weight 165, L number selection, is suitable, for reference. Strange, commodity price tag overseas do not? Color and picture a little deviation.")</f>
        <v>OK height 173, weight 165, L number selection, is suitable, for reference. Strange, commodity price tag overseas do not? Color and picture a little deviation.</v>
      </c>
    </row>
    <row r="18601">
      <c r="A18601" s="1">
        <v>4.0</v>
      </c>
      <c r="B18601" s="1" t="s">
        <v>18360</v>
      </c>
      <c r="C18601" t="str">
        <f>IFERROR(__xludf.DUMMYFUNCTION("GOOGLETRANSLATE(B18601, ""zh"", ""en"")"),"Half a yard too large to one yard on the material and texture also expected little difference but it is really larger than domestic codeword half a yard to one yard wanted to retire a little too heavy for a pair but return shipping to more than one hundre"&amp;"d uneconomical so it will be on wear")</f>
        <v>Half a yard too large to one yard on the material and texture also expected little difference but it is really larger than domestic codeword half a yard to one yard wanted to retire a little too heavy for a pair but return shipping to more than one hundred uneconomical so it will be on wear</v>
      </c>
    </row>
    <row r="18602">
      <c r="A18602" s="1">
        <v>4.0</v>
      </c>
      <c r="B18602" s="1" t="s">
        <v>18361</v>
      </c>
      <c r="C18602" t="str">
        <f>IFERROR(__xludf.DUMMYFUNCTION("GOOGLETRANSLATE(B18602, ""zh"", ""en"")"),"Not real leather is not leather, all leather. Black, commuting")</f>
        <v>Not real leather is not leather, all leather. Black, commuting</v>
      </c>
    </row>
    <row r="18603">
      <c r="A18603" s="1">
        <v>5.0</v>
      </c>
      <c r="B18603" s="1" t="s">
        <v>18362</v>
      </c>
      <c r="C18603" t="str">
        <f>IFERROR(__xludf.DUMMYFUNCTION("GOOGLETRANSLATE(B18603, ""zh"", ""en"")"),"Gangster explained that it was seeking generations of supreme high-speed particles are tlc or mlc")</f>
        <v>Gangster explained that it was seeking generations of supreme high-speed particles are tlc or mlc</v>
      </c>
    </row>
    <row r="18604">
      <c r="A18604" s="1">
        <v>5.0</v>
      </c>
      <c r="B18604" s="1" t="s">
        <v>18363</v>
      </c>
      <c r="C18604" t="str">
        <f>IFERROR(__xludf.DUMMYFUNCTION("GOOGLETRANSLATE(B18604, ""zh"", ""en"")"),"The right choice is good, size is just right. worth it.")</f>
        <v>The right choice is good, size is just right. worth it.</v>
      </c>
    </row>
    <row r="18605">
      <c r="A18605" s="1">
        <v>5.0</v>
      </c>
      <c r="B18605" s="1" t="s">
        <v>18364</v>
      </c>
      <c r="C18605" t="str">
        <f>IFERROR(__xludf.DUMMYFUNCTION("GOOGLETRANSLATE(B18605, ""zh"", ""en"")"),"good very good! Sent intact, fast delivery, and other large point to play with her baby")</f>
        <v>good very good! Sent intact, fast delivery, and other large point to play with her baby</v>
      </c>
    </row>
    <row r="18606">
      <c r="A18606" s="1">
        <v>5.0</v>
      </c>
      <c r="B18606" s="1" t="s">
        <v>18365</v>
      </c>
      <c r="C18606" t="str">
        <f>IFERROR(__xludf.DUMMYFUNCTION("GOOGLETRANSLATE(B18606, ""zh"", ""en"")"),"Quite satisfied. Size with the past, with the same brand, some hard material. The reason for straight jeans, leg trousers and some fertilizer. still alright. 185/95, 36/32 suitable wear. for reference.")</f>
        <v>Quite satisfied. Size with the past, with the same brand, some hard material. The reason for straight jeans, leg trousers and some fertilizer. still alright. 185/95, 36/32 suitable wear. for reference.</v>
      </c>
    </row>
    <row r="18607">
      <c r="A18607" s="1">
        <v>5.0</v>
      </c>
      <c r="B18607" s="1" t="s">
        <v>18366</v>
      </c>
      <c r="C18607" t="str">
        <f>IFERROR(__xludf.DUMMYFUNCTION("GOOGLETRANSLATE(B18607, ""zh"", ""en"")"),"Large ~ large, height 183, weight 192, L code actually not hold. Slightly longer sleeves, I have long arms belong to the people, long clothing is acceptable, the key is to really bust a wide plush interior point ......, with shirt sleeve tried it, the who"&amp;"le shirt full of hair, had to wash a. The price is not too much to ask -")</f>
        <v>Large ~ large, height 183, weight 192, L code actually not hold. Slightly longer sleeves, I have long arms belong to the people, long clothing is acceptable, the key is to really bust a wide plush interior point ......, with shirt sleeve tried it, the whole shirt full of hair, had to wash a. The price is not too much to ask -</v>
      </c>
    </row>
    <row r="18608">
      <c r="A18608" s="1">
        <v>5.0</v>
      </c>
      <c r="B18608" s="1" t="s">
        <v>18367</v>
      </c>
      <c r="C18608" t="str">
        <f>IFERROR(__xludf.DUMMYFUNCTION("GOOGLETRANSLATE(B18608, ""zh"", ""en"")"),"When the urge to buy something okay nothing wrong but did not see anything good place")</f>
        <v>When the urge to buy something okay nothing wrong but did not see anything good place</v>
      </c>
    </row>
    <row r="18609">
      <c r="A18609" s="1">
        <v>5.0</v>
      </c>
      <c r="B18609" s="1" t="s">
        <v>18368</v>
      </c>
      <c r="C18609" t="str">
        <f>IFERROR(__xludf.DUMMYFUNCTION("GOOGLETRANSLATE(B18609, ""zh"", ""en"")"),"Very good Bluetooth headset. Sound very good, mainly comfortable, call quality is also good, full marks.")</f>
        <v>Very good Bluetooth headset. Sound very good, mainly comfortable, call quality is also good, full marks.</v>
      </c>
    </row>
    <row r="18610">
      <c r="A18610" s="1">
        <v>5.0</v>
      </c>
      <c r="B18610" s="1" t="s">
        <v>18369</v>
      </c>
      <c r="C18610" t="str">
        <f>IFERROR(__xludf.DUMMYFUNCTION("GOOGLETRANSLATE(B18610, ""zh"", ""en"")"),"The taste of the average child does not want to eat, I eat every day")</f>
        <v>The taste of the average child does not want to eat, I eat every day</v>
      </c>
    </row>
    <row r="18611">
      <c r="A18611" s="1">
        <v>5.0</v>
      </c>
      <c r="B18611" s="1" t="s">
        <v>18370</v>
      </c>
      <c r="C18611" t="str">
        <f>IFERROR(__xludf.DUMMYFUNCTION("GOOGLETRANSLATE(B18611, ""zh"", ""en"")"),"Really nice pants really nice pants, size standard, comfortable fabrics, cost is also high, very satisfied!")</f>
        <v>Really nice pants really nice pants, size standard, comfortable fabrics, cost is also high, very satisfied!</v>
      </c>
    </row>
    <row r="18612">
      <c r="A18612" s="1">
        <v>5.0</v>
      </c>
      <c r="B18612" s="1" t="s">
        <v>18371</v>
      </c>
      <c r="C18612" t="str">
        <f>IFERROR(__xludf.DUMMYFUNCTION("GOOGLETRANSLATE(B18612, ""zh"", ""en"")"),"More than a good product to buy, lightweight, uncoated.")</f>
        <v>More than a good product to buy, lightweight, uncoated.</v>
      </c>
    </row>
    <row r="18613">
      <c r="A18613" s="1">
        <v>5.0</v>
      </c>
      <c r="B18613" s="1" t="s">
        <v>18372</v>
      </c>
      <c r="C18613" t="str">
        <f>IFERROR(__xludf.DUMMYFUNCTION("GOOGLETRANSLATE(B18613, ""zh"", ""en"")"),"Okay version of Slim, slightly longer sleeves, work in general, inexpensive but acceptable")</f>
        <v>Okay version of Slim, slightly longer sleeves, work in general, inexpensive but acceptable</v>
      </c>
    </row>
    <row r="18614">
      <c r="A18614" s="1">
        <v>5.0</v>
      </c>
      <c r="B18614" s="1" t="s">
        <v>18373</v>
      </c>
      <c r="C18614" t="str">
        <f>IFERROR(__xludf.DUMMYFUNCTION("GOOGLETRANSLATE(B18614, ""zh"", ""en"")"),"Pants okay. Height 170, weight 75kg wear 32/30 slightly longer than is Slim pants feet straight and boots very good, very elastic!")</f>
        <v>Pants okay. Height 170, weight 75kg wear 32/30 slightly longer than is Slim pants feet straight and boots very good, very elastic!</v>
      </c>
    </row>
    <row r="18615">
      <c r="A18615" s="1">
        <v>5.0</v>
      </c>
      <c r="B18615" s="1" t="s">
        <v>18374</v>
      </c>
      <c r="C18615" t="str">
        <f>IFERROR(__xludf.DUMMYFUNCTION("GOOGLETRANSLATE(B18615, ""zh"", ""en"")"),"Good good, very good, good good")</f>
        <v>Good good, very good, good good</v>
      </c>
    </row>
    <row r="18616">
      <c r="A18616" s="1">
        <v>5.0</v>
      </c>
      <c r="B18616" s="1" t="s">
        <v>18375</v>
      </c>
      <c r="C18616" t="str">
        <f>IFERROR(__xludf.DUMMYFUNCTION("GOOGLETRANSLATE(B18616, ""zh"", ""en"")"),"Nice pants pants style I like, work very well, much better than the domestic price")</f>
        <v>Nice pants pants style I like, work very well, much better than the domestic price</v>
      </c>
    </row>
    <row r="18617">
      <c r="A18617" s="1">
        <v>5.0</v>
      </c>
      <c r="B18617" s="1" t="s">
        <v>18376</v>
      </c>
      <c r="C18617" t="str">
        <f>IFERROR(__xludf.DUMMYFUNCTION("GOOGLETRANSLATE(B18617, ""zh"", ""en"")"),"Comfortable fit just very comfortable fit")</f>
        <v>Comfortable fit just very comfortable fit</v>
      </c>
    </row>
    <row r="18618">
      <c r="A18618" s="1">
        <v>5.0</v>
      </c>
      <c r="B18618" s="1" t="s">
        <v>18377</v>
      </c>
      <c r="C18618" t="str">
        <f>IFERROR(__xludf.DUMMYFUNCTION("GOOGLETRANSLATE(B18618, ""zh"", ""en"")"),"Look at the not glossy, matte surface is buying is the time to look, not glossy, matte surface")</f>
        <v>Look at the not glossy, matte surface is buying is the time to look, not glossy, matte surface</v>
      </c>
    </row>
    <row r="18619">
      <c r="A18619" s="1">
        <v>5.0</v>
      </c>
      <c r="B18619" s="1" t="s">
        <v>18378</v>
      </c>
      <c r="C18619" t="str">
        <f>IFERROR(__xludf.DUMMYFUNCTION("GOOGLETRANSLATE(B18619, ""zh"", ""en"")"),"Good, very good quality shoes and comfort of ecco are very good, so buy than the domestic price.")</f>
        <v>Good, very good quality shoes and comfort of ecco are very good, so buy than the domestic price.</v>
      </c>
    </row>
    <row r="18620">
      <c r="A18620" s="1">
        <v>5.0</v>
      </c>
      <c r="B18620" s="1" t="s">
        <v>18379</v>
      </c>
      <c r="C18620" t="str">
        <f>IFERROR(__xludf.DUMMYFUNCTION("GOOGLETRANSLATE(B18620, ""zh"", ""en"")"),"buy it! Super suitable seize the start Oh ~")</f>
        <v>buy it! Super suitable seize the start Oh ~</v>
      </c>
    </row>
    <row r="18621">
      <c r="A18621" s="1">
        <v>5.0</v>
      </c>
      <c r="B18621" s="1" t="s">
        <v>18380</v>
      </c>
      <c r="C18621" t="str">
        <f>IFERROR(__xludf.DUMMYFUNCTION("GOOGLETRANSLATE(B18621, ""zh"", ""en"")"),"Not suitable for wearing stickers are not suitable for wearing stickers, a little wool tie")</f>
        <v>Not suitable for wearing stickers are not suitable for wearing stickers, a little wool tie</v>
      </c>
    </row>
    <row r="18622">
      <c r="A18622" s="1">
        <v>5.0</v>
      </c>
      <c r="B18622" s="1" t="s">
        <v>18381</v>
      </c>
      <c r="C18622" t="str">
        <f>IFERROR(__xludf.DUMMYFUNCTION("GOOGLETRANSLATE(B18622, ""zh"", ""en"")"),"Buy big cheaper than domestic cotton quality is very good.")</f>
        <v>Buy big cheaper than domestic cotton quality is very good.</v>
      </c>
    </row>
    <row r="18623">
      <c r="A18623" s="1">
        <v>5.0</v>
      </c>
      <c r="B18623" s="1" t="s">
        <v>18382</v>
      </c>
      <c r="C18623" t="str">
        <f>IFERROR(__xludf.DUMMYFUNCTION("GOOGLETRANSLATE(B18623, ""zh"", ""en"")"),"Very good to wear very comfortable, size is very positive, production Portugal")</f>
        <v>Very good to wear very comfortable, size is very positive, production Portugal</v>
      </c>
    </row>
    <row r="18624">
      <c r="A18624" s="1">
        <v>5.0</v>
      </c>
      <c r="B18624" s="1" t="s">
        <v>18383</v>
      </c>
      <c r="C18624" t="str">
        <f>IFERROR(__xludf.DUMMYFUNCTION("GOOGLETRANSLATE(B18624, ""zh"", ""en"")"),"There are chest pad chest pad there is moderate support, the support is good, through my best regardless of a cup (32d) of the sports bra inside, it is strongly recommended")</f>
        <v>There are chest pad chest pad there is moderate support, the support is good, through my best regardless of a cup (32d) of the sports bra inside, it is strongly recommended</v>
      </c>
    </row>
    <row r="18625">
      <c r="A18625" s="1">
        <v>2.0</v>
      </c>
      <c r="B18625" s="1" t="s">
        <v>18384</v>
      </c>
      <c r="C18625" t="str">
        <f>IFERROR(__xludf.DUMMYFUNCTION("GOOGLETRANSLATE(B18625, ""zh"", ""en"")"),"Poor quality, poor traces 172/64, S Harbor suitable. The trouser pocket design is too low, the alignment is not good, burst crotch pants slit, the quality is very general.")</f>
        <v>Poor quality, poor traces 172/64, S Harbor suitable. The trouser pocket design is too low, the alignment is not good, burst crotch pants slit, the quality is very general.</v>
      </c>
    </row>
    <row r="18626">
      <c r="A18626" s="1">
        <v>3.0</v>
      </c>
      <c r="B18626" s="1" t="s">
        <v>18385</v>
      </c>
      <c r="C18626" t="str">
        <f>IFERROR(__xludf.DUMMYFUNCTION("GOOGLETRANSLATE(B18626, ""zh"", ""en"")"),"Bad workmanship. dislike. Origin is not China. Very poor")</f>
        <v>Bad workmanship. dislike. Origin is not China. Very poor</v>
      </c>
    </row>
    <row r="18627">
      <c r="A18627" s="1">
        <v>3.0</v>
      </c>
      <c r="B18627" s="1" t="s">
        <v>18386</v>
      </c>
      <c r="C18627" t="str">
        <f>IFERROR(__xludf.DUMMYFUNCTION("GOOGLETRANSLATE(B18627, ""zh"", ""en"")"),"Good quality should buy freshman code, wear a little pinch! The quality can be!")</f>
        <v>Good quality should buy freshman code, wear a little pinch! The quality can be!</v>
      </c>
    </row>
    <row r="18628">
      <c r="A18628" s="1">
        <v>3.0</v>
      </c>
      <c r="B18628" s="1" t="s">
        <v>18387</v>
      </c>
      <c r="C18628" t="str">
        <f>IFERROR(__xludf.DUMMYFUNCTION("GOOGLETRANSLATE(B18628, ""zh"", ""en"")"),"Noise reduction noise reduction can be considered almost no difference")</f>
        <v>Noise reduction noise reduction can be considered almost no difference</v>
      </c>
    </row>
    <row r="18629">
      <c r="A18629" s="1">
        <v>1.0</v>
      </c>
      <c r="B18629" s="1" t="s">
        <v>18388</v>
      </c>
      <c r="C18629" t="str">
        <f>IFERROR(__xludf.DUMMYFUNCTION("GOOGLETRANSLATE(B18629, ""zh"", ""en"")"),"Size does not know too many parameters indicate the product and too loose big, pants fabric good, returns are not humane")</f>
        <v>Size does not know too many parameters indicate the product and too loose big, pants fabric good, returns are not humane</v>
      </c>
    </row>
    <row r="18630">
      <c r="A18630" s="1">
        <v>1.0</v>
      </c>
      <c r="B18630" s="1" t="s">
        <v>18389</v>
      </c>
      <c r="C18630" t="str">
        <f>IFERROR(__xludf.DUMMYFUNCTION("GOOGLETRANSLATE(B18630, ""zh"", ""en"")"),"Amazon vigilant use of overseas selling defective products purchased online shopping basically default evaluation, but Amazon sold this product is really special too, for your reference to write down their buying experience it. Simply put: 1 to floss clea"&amp;"n clear water feature itself, you can buy really directed at the relatively clean and relatively cool. 2. Do not try to buy overseas Amazon, cheaper, then it just luck. 3. Overseas purchase is likely to use the rules to sell defective products, defective "&amp;"products and more problems erupted over the Amazon stipulated 30 days time, even after a professional recognized by major product quality problems, it has all kinds of reasons to shirk, it can not be justified, it simply do not reply ...... Details: I am "&amp;"under a single number June 8, has not given the time to sign the Amazon, fuzzy memory combined with its delivery time on June 29 when the number of it, because the middle of pulling wisdom teeth also disable some time. December 21 found abnormal use of th"&amp;"e product, the battery light blinks but the product does not work, then the next day contact customer service, customer service said overseas goods purchased more than 30 days can only find sellers or consumers to find their own repair shop repair, let se"&amp;"llers provide communication links, it represents not provide. I thought since he bought it at a cheap price to repair it yourself. So contact Bi Jie Chinese official website customer service, customer service, product lines indicate this reason, if the pu"&amp;"rchase of the machine will be returned in China's official website, but do not buy overseas service range (full customer service is very awkward said they did not deal with goods purchased abroad, the National Bank then this must give the customer returne"&amp;"d the machine) was also narrow-minded to think that the national Bank is not in the customer service people do not love who ignores aftermarket range of products, until they contacted the professional repair business floss clean clear water, know this sit"&amp;"uation is the machine itself the cause of battery water, can not be repaired, this machine appears equivalent scrapped. Bi Jie and Amazon are official promotion of the product is waterproof, it is because my oral hygiene tool, usually do not place the pro"&amp;"duct in a bathroom or toilet that relatively little humid environment, but also will wipe away every use surface water, so carefully used, the battery can be infiltrated water less than six months, this poor product quality in the end to what extent? ! At"&amp;" this point, I also naive to think that Amazon is accidentally sold the products in question, so once again contact Amazon customer service, inform the relevant circumstances. After many setbacks, Amazon has finally admitted that there is no overseas sell"&amp;"er, it is their own warehouses of goods, but not sure if the consumer due to improper use of the case, and orders for more than six months, Amazon is not responsible for the (just as consumers in June No. 8 next single, Amazon insisted more than six month"&amp;"s! twice the actual time of receipt to the customer service inquiries, or replies can not be found, or simply do not reply. delivery time overseas purchase how long we all know, has been by Order No shipments are up June 29). Although this inquiry twice p"&amp;"rofessionals, people knew it was a case of product quality issues, non-Amazon also said it might be improper use of the consumer, I have very heart collapsed, you sell the machine waterproof battery flooded, consumers have to wonder what! ? But in order t"&amp;"o dispel their concerns, he said Amazon products can be recalled for professional inspection. Customer service said, so that consumers themselves to inspection, product quality problems really find their report ... (really Diandaqike ah, from the actual r"&amp;"eceipt of view, is absolutely within six months of product quality problems, even the law of the Amazon the burden of proof to the consumer !!) at this point, completely see the Amazon mean, look at reviews before various machine problems, overseas Amazon"&amp;" to purchase an excuse not to deal with the rules, I just thought it was cheap fast depreciation of machinery problems, but true I did not expect that there are major quality problems openly sell products. Returned overseas to buy a 30-day period, defecti"&amp;"ve products of electronic products, the majority of outbreaks not so fast, and other issues broke out, Amazon can use this excuse to shirk, even if it is particularly evident in the major quality problems, consumers may be skeptical, is not responsible or"&amp;" to order according to the order of time in the name of more than six months, if the sale of defective products, does not have small profit margins ...... first overseas purchase with Amazon, to no small lesson, write ,for reference.")</f>
        <v>Amazon vigilant use of overseas selling defective products purchased online shopping basically default evaluation, but Amazon sold this product is really special too, for your reference to write down their buying experience it. Simply put: 1 to floss clean clear water feature itself, you can buy really directed at the relatively clean and relatively cool. 2. Do not try to buy overseas Amazon, cheaper, then it just luck. 3. Overseas purchase is likely to use the rules to sell defective products, defective products and more problems erupted over the Amazon stipulated 30 days time, even after a professional recognized by major product quality problems, it has all kinds of reasons to shirk, it can not be justified, it simply do not reply ...... Details: I am under a single number June 8, has not given the time to sign the Amazon, fuzzy memory combined with its delivery time on June 29 when the number of it, because the middle of pulling wisdom teeth also disable some time. December 21 found abnormal use of the product, the battery light blinks but the product does not work, then the next day contact customer service, customer service said overseas goods purchased more than 30 days can only find sellers or consumers to find their own repair shop repair, let sellers provide communication links, it represents not provide. I thought since he bought it at a cheap price to repair it yourself. So contact Bi Jie Chinese official website customer service, customer service, product lines indicate this reason, if the purchase of the machine will be returned in China's official website, but do not buy overseas service range (full customer service is very awkward said they did not deal with goods purchased abroad, the National Bank then this must give the customer returned the machine) was also narrow-minded to think that the national Bank is not in the customer service people do not love who ignores aftermarket range of products, until they contacted the professional repair business floss clean clear water, know this situation is the machine itself the cause of battery water, can not be repaired, this machine appears equivalent scrapped. Bi Jie and Amazon are official promotion of the product is waterproof, it is because my oral hygiene tool, usually do not place the product in a bathroom or toilet that relatively little humid environment, but also will wipe away every use surface water, so carefully used, the battery can be infiltrated water less than six months, this poor product quality in the end to what extent? ! At this point, I also naive to think that Amazon is accidentally sold the products in question, so once again contact Amazon customer service, inform the relevant circumstances. After many setbacks, Amazon has finally admitted that there is no overseas seller, it is their own warehouses of goods, but not sure if the consumer due to improper use of the case, and orders for more than six months, Amazon is not responsible for the (just as consumers in June No. 8 next single, Amazon insisted more than six months! twice the actual time of receipt to the customer service inquiries, or replies can not be found, or simply do not reply. delivery time overseas purchase how long we all know, has been by Order No shipments are up June 29). Although this inquiry twice professionals, people knew it was a case of product quality issues, non-Amazon also said it might be improper use of the consumer, I have very heart collapsed, you sell the machine waterproof battery flooded, consumers have to wonder what! ? But in order to dispel their concerns, he said Amazon products can be recalled for professional inspection. Customer service said, so that consumers themselves to inspection, product quality problems really find their report ... (really Diandaqike ah, from the actual receipt of view, is absolutely within six months of product quality problems, even the law of the Amazon the burden of proof to the consumer !!) at this point, completely see the Amazon mean, look at reviews before various machine problems, overseas Amazon to purchase an excuse not to deal with the rules, I just thought it was cheap fast depreciation of machinery problems, but true I did not expect that there are major quality problems openly sell products. Returned overseas to buy a 30-day period, defective products of electronic products, the majority of outbreaks not so fast, and other issues broke out, Amazon can use this excuse to shirk, even if it is particularly evident in the major quality problems, consumers may be skeptical, is not responsible or to order according to the order of time in the name of more than six months, if the sale of defective products, does not have small profit margins ...... first overseas purchase with Amazon, to no small lesson, write ,for reference.</v>
      </c>
    </row>
    <row r="18631">
      <c r="A18631" s="1">
        <v>4.0</v>
      </c>
      <c r="B18631" s="1" t="s">
        <v>18390</v>
      </c>
      <c r="C18631" t="str">
        <f>IFERROR(__xludf.DUMMYFUNCTION("GOOGLETRANSLATE(B18631, ""zh"", ""en"")"),"Puzzled look really cheap, has not yet begun to use it! Some soft bristles will be enough, not sure is not genuine")</f>
        <v>Puzzled look really cheap, has not yet begun to use it! Some soft bristles will be enough, not sure is not genuine</v>
      </c>
    </row>
    <row r="18632">
      <c r="A18632" s="1">
        <v>4.0</v>
      </c>
      <c r="B18632" s="1" t="s">
        <v>18391</v>
      </c>
      <c r="C18632" t="str">
        <f>IFERROR(__xludf.DUMMYFUNCTION("GOOGLETRANSLATE(B18632, ""zh"", ""en"")"),"Too large 190cm, 98kg, still too large rather long!")</f>
        <v>Too large 190cm, 98kg, still too large rather long!</v>
      </c>
    </row>
    <row r="18633">
      <c r="A18633" s="1">
        <v>4.0</v>
      </c>
      <c r="B18633" s="1" t="s">
        <v>18392</v>
      </c>
      <c r="C18633" t="str">
        <f>IFERROR(__xludf.DUMMYFUNCTION("GOOGLETRANSLATE(B18633, ""zh"", ""en"")"),"For mom. Color is very beautiful, but the insulation effect is worse than the Zojirushi")</f>
        <v>For mom. Color is very beautiful, but the insulation effect is worse than the Zojirushi</v>
      </c>
    </row>
    <row r="18634">
      <c r="A18634" s="1">
        <v>4.0</v>
      </c>
      <c r="B18634" s="1" t="s">
        <v>18393</v>
      </c>
      <c r="C18634" t="str">
        <f>IFERROR(__xludf.DUMMYFUNCTION("GOOGLETRANSLATE(B18634, ""zh"", ""en"")"),"Thin is too thin, I had wanted to wear a sweater in winter when the type is not very good, I was in Japan a lot of texture difference, no wonder a lot cheaper than in Japan")</f>
        <v>Thin is too thin, I had wanted to wear a sweater in winter when the type is not very good, I was in Japan a lot of texture difference, no wonder a lot cheaper than in Japan</v>
      </c>
    </row>
    <row r="18635">
      <c r="A18635" s="1">
        <v>5.0</v>
      </c>
      <c r="B18635" s="1" t="s">
        <v>18394</v>
      </c>
      <c r="C18635" t="str">
        <f>IFERROR(__xludf.DUMMYFUNCTION("GOOGLETRANSLATE(B18635, ""zh"", ""en"")"),"Not consistent enough with their body is an excellent, strong than the previous V-neck. Not bad looking.")</f>
        <v>Not consistent enough with their body is an excellent, strong than the previous V-neck. Not bad looking.</v>
      </c>
    </row>
    <row r="18636">
      <c r="A18636" s="1">
        <v>5.0</v>
      </c>
      <c r="B18636" s="1" t="s">
        <v>18395</v>
      </c>
      <c r="C18636" t="str">
        <f>IFERROR(__xludf.DUMMYFUNCTION("GOOGLETRANSLATE(B18636, ""zh"", ""en"")"),"Have been using to buy good quality than the domestic, can not afford black mold,")</f>
        <v>Have been using to buy good quality than the domestic, can not afford black mold,</v>
      </c>
    </row>
    <row r="18637">
      <c r="A18637" s="1">
        <v>5.0</v>
      </c>
      <c r="B18637" s="1" t="s">
        <v>18396</v>
      </c>
      <c r="C18637" t="str">
        <f>IFERROR(__xludf.DUMMYFUNCTION("GOOGLETRANSLATE(B18637, ""zh"", ""en"")"),"Lai Kabu, and comfortable! I discovered that the hand Lycra, very comfortable! A library of 32 selected long, too long, they discovered that this size is starting from the crotch! The next set of 29!")</f>
        <v>Lai Kabu, and comfortable! I discovered that the hand Lycra, very comfortable! A library of 32 selected long, too long, they discovered that this size is starting from the crotch! The next set of 29!</v>
      </c>
    </row>
    <row r="18638">
      <c r="A18638" s="1">
        <v>5.0</v>
      </c>
      <c r="B18638" s="1" t="s">
        <v>18397</v>
      </c>
      <c r="C18638" t="str">
        <f>IFERROR(__xludf.DUMMYFUNCTION("GOOGLETRANSLATE(B18638, ""zh"", ""en"")"),"As always, to the force! Together, muscle growth indeed!")</f>
        <v>As always, to the force! Together, muscle growth indeed!</v>
      </c>
    </row>
    <row r="18639">
      <c r="A18639" s="1">
        <v>5.0</v>
      </c>
      <c r="B18639" s="1" t="s">
        <v>18398</v>
      </c>
      <c r="C18639" t="str">
        <f>IFERROR(__xludf.DUMMYFUNCTION("GOOGLETRANSLATE(B18639, ""zh"", ""en"")"),"Genuine small voice, accessories Qi, simple operation")</f>
        <v>Genuine small voice, accessories Qi, simple operation</v>
      </c>
    </row>
    <row r="18640">
      <c r="A18640" s="1">
        <v>5.0</v>
      </c>
      <c r="B18640" s="1" t="s">
        <v>18399</v>
      </c>
      <c r="C18640" t="str">
        <f>IFERROR(__xludf.DUMMYFUNCTION("GOOGLETRANSLATE(B18640, ""zh"", ""en"")"),"Well worth buying to buy your child's brushing time can be guaranteed and should be brushed clean with a toothbrush than their own.")</f>
        <v>Well worth buying to buy your child's brushing time can be guaranteed and should be brushed clean with a toothbrush than their own.</v>
      </c>
    </row>
    <row r="18641">
      <c r="A18641" s="1">
        <v>5.0</v>
      </c>
      <c r="B18641" s="1" t="s">
        <v>18400</v>
      </c>
      <c r="C18641" t="str">
        <f>IFERROR(__xludf.DUMMYFUNCTION("GOOGLETRANSLATE(B18641, ""zh"", ""en"")"),"Very well received in advance 12 days, the budget would have been received by 15 November, received today, the foot is very comfortable, good looking, it should be genuine")</f>
        <v>Very well received in advance 12 days, the budget would have been received by 15 November, received today, the foot is very comfortable, good looking, it should be genuine</v>
      </c>
    </row>
    <row r="18642">
      <c r="A18642" s="1">
        <v>5.0</v>
      </c>
      <c r="B18642" s="1" t="s">
        <v>18401</v>
      </c>
      <c r="C18642" t="str">
        <f>IFERROR(__xludf.DUMMYFUNCTION("GOOGLETRANSLATE(B18642, ""zh"", ""en"")"),"Comfortable and very stable with little wild, a little deeper the color, the foot was white than the picture wild, very satisfied. 37 yards and a half feet, wearing 37 domestic code small, sometimes large and sometimes line 38, this just 37.5 Ouma")</f>
        <v>Comfortable and very stable with little wild, a little deeper the color, the foot was white than the picture wild, very satisfied. 37 yards and a half feet, wearing 37 domestic code small, sometimes large and sometimes line 38, this just 37.5 Ouma</v>
      </c>
    </row>
    <row r="18643">
      <c r="A18643" s="1">
        <v>5.0</v>
      </c>
      <c r="B18643" s="1" t="s">
        <v>18402</v>
      </c>
      <c r="C18643" t="str">
        <f>IFERROR(__xludf.DUMMYFUNCTION("GOOGLETRANSLATE(B18643, ""zh"", ""en"")"),"Repurchase repurchase been something")</f>
        <v>Repurchase repurchase been something</v>
      </c>
    </row>
    <row r="18644">
      <c r="A18644" s="1">
        <v>5.0</v>
      </c>
      <c r="B18644" s="1" t="s">
        <v>18403</v>
      </c>
      <c r="C18644" t="str">
        <f>IFERROR(__xludf.DUMMYFUNCTION("GOOGLETRANSLATE(B18644, ""zh"", ""en"")"),"General General express very slow, the price is not affordable, made in China")</f>
        <v>General General express very slow, the price is not affordable, made in China</v>
      </c>
    </row>
    <row r="18645">
      <c r="A18645" s="1">
        <v>5.0</v>
      </c>
      <c r="B18645" s="1" t="s">
        <v>18404</v>
      </c>
      <c r="C18645" t="str">
        <f>IFERROR(__xludf.DUMMYFUNCTION("GOOGLETRANSLATE(B18645, ""zh"", ""en"")"),"very satisfied. Size colors are very satisfied with a pleasant shopping.")</f>
        <v>very satisfied. Size colors are very satisfied with a pleasant shopping.</v>
      </c>
    </row>
    <row r="18646">
      <c r="A18646" s="1">
        <v>5.0</v>
      </c>
      <c r="B18646" s="1" t="s">
        <v>18405</v>
      </c>
      <c r="C18646" t="str">
        <f>IFERROR(__xludf.DUMMYFUNCTION("GOOGLETRANSLATE(B18646, ""zh"", ""en"")"),"Received very satisfied, color and expected, the size just right, super love.")</f>
        <v>Received very satisfied, color and expected, the size just right, super love.</v>
      </c>
    </row>
    <row r="18647">
      <c r="A18647" s="1">
        <v>5.0</v>
      </c>
      <c r="B18647" s="1" t="s">
        <v>18406</v>
      </c>
      <c r="C18647" t="str">
        <f>IFERROR(__xludf.DUMMYFUNCTION("GOOGLETRANSLATE(B18647, ""zh"", ""en"")"),"Fortunately, looking at good quality, pre-buy goods store. We will soon be put into use.")</f>
        <v>Fortunately, looking at good quality, pre-buy goods store. We will soon be put into use.</v>
      </c>
    </row>
    <row r="18648">
      <c r="A18648" s="1">
        <v>5.0</v>
      </c>
      <c r="B18648" s="1" t="s">
        <v>18407</v>
      </c>
      <c r="C18648" t="str">
        <f>IFERROR(__xludf.DUMMYFUNCTION("GOOGLETRANSLATE(B18648, ""zh"", ""en"")"),"Very satisfied with the delivery speed is very fast, good quality clothes, feel very comfortable, size should be too large, I 175 high, 7 weight, wear m code a little bit big, compared to the domestic high prices, but also what bike?")</f>
        <v>Very satisfied with the delivery speed is very fast, good quality clothes, feel very comfortable, size should be too large, I 175 high, 7 weight, wear m code a little bit big, compared to the domestic high prices, but also what bike?</v>
      </c>
    </row>
    <row r="18649">
      <c r="A18649" s="1">
        <v>5.0</v>
      </c>
      <c r="B18649" s="1" t="s">
        <v>18408</v>
      </c>
      <c r="C18649" t="str">
        <f>IFERROR(__xludf.DUMMYFUNCTION("GOOGLETRANSLATE(B18649, ""zh"", ""en"")"),"I liked and easy to use rice pot. Porridge pot cooking a small quantity are appropriate. This is my home high frequency of use pot. I looked at the reviews talk about personal experience. In fact, the instructions written very clearly. Take a large fire t"&amp;"ogether for 7-8 min (by the timer), see the ""steam out"" when the cook for 1-2 minutes. Turn off the heat and simmer for half an hour. Cup of rice with 200ml water. A co can cook three bowls of porridge. Personally I think that this pot is designed to pr"&amp;"event overflow pan.")</f>
        <v>I liked and easy to use rice pot. Porridge pot cooking a small quantity are appropriate. This is my home high frequency of use pot. I looked at the reviews talk about personal experience. In fact, the instructions written very clearly. Take a large fire together for 7-8 min (by the timer), see the "steam out" when the cook for 1-2 minutes. Turn off the heat and simmer for half an hour. Cup of rice with 200ml water. A co can cook three bowls of porridge. Personally I think that this pot is designed to prevent overflow pan.</v>
      </c>
    </row>
    <row r="18650">
      <c r="A18650" s="1">
        <v>5.0</v>
      </c>
      <c r="B18650" s="1" t="s">
        <v>18409</v>
      </c>
      <c r="C18650" t="str">
        <f>IFERROR(__xludf.DUMMYFUNCTION("GOOGLETRANSLATE(B18650, ""zh"", ""en"")"),"Pants right size, wearing just,")</f>
        <v>Pants right size, wearing just,</v>
      </c>
    </row>
    <row r="18651">
      <c r="A18651" s="1">
        <v>5.0</v>
      </c>
      <c r="B18651" s="1" t="s">
        <v>18410</v>
      </c>
      <c r="C18651" t="str">
        <f>IFERROR(__xludf.DUMMYFUNCTION("GOOGLETRANSLATE(B18651, ""zh"", ""en"")"),"Red table-hyun, a show worthy start for Casio Sao meter eighty a few for me, the table seemed a bit small, but very beautiful, red is not a particularly bright appearance, but also pretty cool, AIU delivery, but also the overall speed OK, price concession"&amp;"s, in general, value!")</f>
        <v>Red table-hyun, a show worthy start for Casio Sao meter eighty a few for me, the table seemed a bit small, but very beautiful, red is not a particularly bright appearance, but also pretty cool, AIU delivery, but also the overall speed OK, price concessions, in general, value!</v>
      </c>
    </row>
    <row r="18652">
      <c r="A18652" s="1">
        <v>5.0</v>
      </c>
      <c r="B18652" s="1" t="s">
        <v>18411</v>
      </c>
      <c r="C18652" t="str">
        <f>IFERROR(__xludf.DUMMYFUNCTION("GOOGLETRANSLATE(B18652, ""zh"", ""en"")"),"Still quite like the quality really good, personally prefer the sound of the human voice and ear some, the only regret it, no open burning, too much bass concert buzz, may change the quality of a good player, it would be better")</f>
        <v>Still quite like the quality really good, personally prefer the sound of the human voice and ear some, the only regret it, no open burning, too much bass concert buzz, may change the quality of a good player, it would be better</v>
      </c>
    </row>
    <row r="18653">
      <c r="A18653" s="1">
        <v>5.0</v>
      </c>
      <c r="B18653" s="1" t="s">
        <v>18412</v>
      </c>
      <c r="C18653" t="str">
        <f>IFERROR(__xludf.DUMMYFUNCTION("GOOGLETRANSLATE(B18653, ""zh"", ""en"")"),"Very satisfied with the first high color value will not say secondly spoon looks small but can hold a lot of things are not easily knocked over a bowl of lace")</f>
        <v>Very satisfied with the first high color value will not say secondly spoon looks small but can hold a lot of things are not easily knocked over a bowl of lace</v>
      </c>
    </row>
    <row r="18654">
      <c r="A18654" s="1">
        <v>5.0</v>
      </c>
      <c r="B18654" s="1" t="s">
        <v>18413</v>
      </c>
      <c r="C18654" t="str">
        <f>IFERROR(__xludf.DUMMYFUNCTION("GOOGLETRANSLATE(B18654, ""zh"", ""en"")"),"Comfortable not thin, comfortable to wear, underwear buy the most satisfactory one! Logistics Soon, five days! 174,150 pounds, wearing weekdays 2.4-2.5 feet pants, L code exactly!")</f>
        <v>Comfortable not thin, comfortable to wear, underwear buy the most satisfactory one! Logistics Soon, five days! 174,150 pounds, wearing weekdays 2.4-2.5 feet pants, L code exactly!</v>
      </c>
    </row>
    <row r="18655">
      <c r="A18655" s="1">
        <v>5.0</v>
      </c>
      <c r="B18655" s="1" t="s">
        <v>18414</v>
      </c>
      <c r="C18655" t="str">
        <f>IFERROR(__xludf.DUMMYFUNCTION("GOOGLETRANSLATE(B18655, ""zh"", ""en"")"),"Recommended to buy. Yes, very satisfied, shoe size is very suitable for this country are very difficult to buy, fine recommendation to buy, hoping to more models to choose from shelves.")</f>
        <v>Recommended to buy. Yes, very satisfied, shoe size is very suitable for this country are very difficult to buy, fine recommendation to buy, hoping to more models to choose from shelves.</v>
      </c>
    </row>
    <row r="18656">
      <c r="A18656" s="1">
        <v>5.0</v>
      </c>
      <c r="B18656" s="1" t="s">
        <v>18415</v>
      </c>
      <c r="C18656" t="str">
        <f>IFERROR(__xludf.DUMMYFUNCTION("GOOGLETRANSLATE(B18656, ""zh"", ""en"")"),"Somewhat small, fabric okay. Somewhat small, fabric okay.")</f>
        <v>Somewhat small, fabric okay. Somewhat small, fabric okay.</v>
      </c>
    </row>
    <row r="18657">
      <c r="A18657" s="1">
        <v>2.0</v>
      </c>
      <c r="B18657" s="1" t="s">
        <v>18416</v>
      </c>
      <c r="C18657" t="str">
        <f>IFERROR(__xludf.DUMMYFUNCTION("GOOGLETRANSLATE(B18657, ""zh"", ""en"")"),"Quality is generally very positive thing, leather wear too fast")</f>
        <v>Quality is generally very positive thing, leather wear too fast</v>
      </c>
    </row>
    <row r="18658">
      <c r="A18658" s="1">
        <v>3.0</v>
      </c>
      <c r="B18658" s="1" t="s">
        <v>18417</v>
      </c>
      <c r="C18658" t="str">
        <f>IFERROR(__xludf.DUMMYFUNCTION("GOOGLETRANSLATE(B18658, ""zh"", ""en"")"),"Generally speaking the truth ah, really general ah, is not ye ah. I do not know can not return ah.")</f>
        <v>Generally speaking the truth ah, really general ah, is not ye ah. I do not know can not return ah.</v>
      </c>
    </row>
    <row r="18659">
      <c r="A18659" s="1">
        <v>1.0</v>
      </c>
      <c r="B18659" s="1" t="s">
        <v>18418</v>
      </c>
      <c r="C18659" t="str">
        <f>IFERROR(__xludf.DUMMYFUNCTION("GOOGLETRANSLATE(B18659, ""zh"", ""en"")"),"The difference is not worth it, really bad bad bad bad, received the goods is wearing once pilling, logo off fast")</f>
        <v>The difference is not worth it, really bad bad bad bad, received the goods is wearing once pilling, logo off fast</v>
      </c>
    </row>
    <row r="18660">
      <c r="A18660" s="1">
        <v>1.0</v>
      </c>
      <c r="B18660" s="1" t="s">
        <v>18419</v>
      </c>
      <c r="C18660" t="str">
        <f>IFERROR(__xludf.DUMMYFUNCTION("GOOGLETRANSLATE(B18660, ""zh"", ""en"")"),"Too small, too small shoes to wear No. 41, heard that the shoe too small, buy the number 52, or even small, really silent, returns are very worthwhile, worthwhile. Recommended not to buy!")</f>
        <v>Too small, too small shoes to wear No. 41, heard that the shoe too small, buy the number 52, or even small, really silent, returns are very worthwhile, worthwhile. Recommended not to buy!</v>
      </c>
    </row>
    <row r="18661">
      <c r="A18661" s="1">
        <v>4.0</v>
      </c>
      <c r="B18661" s="1" t="s">
        <v>18420</v>
      </c>
      <c r="C18661" t="str">
        <f>IFERROR(__xludf.DUMMYFUNCTION("GOOGLETRANSLATE(B18661, ""zh"", ""en"")"),"Number too large height 178, weight 85 kg. This big number!")</f>
        <v>Number too large height 178, weight 85 kg. This big number!</v>
      </c>
    </row>
    <row r="18662">
      <c r="A18662" s="1">
        <v>4.0</v>
      </c>
      <c r="B18662" s="1" t="s">
        <v>18421</v>
      </c>
      <c r="C18662" t="str">
        <f>IFERROR(__xludf.DUMMYFUNCTION("GOOGLETRANSLATE(B18662, ""zh"", ""en"")"),"Belt head belt will fade with three months, the first belt to fade, but the cortex is the Bang Bang")</f>
        <v>Belt head belt will fade with three months, the first belt to fade, but the cortex is the Bang Bang</v>
      </c>
    </row>
    <row r="18663">
      <c r="A18663" s="1">
        <v>4.0</v>
      </c>
      <c r="B18663" s="1" t="s">
        <v>18422</v>
      </c>
      <c r="C18663" t="str">
        <f>IFERROR(__xludf.DUMMYFUNCTION("GOOGLETRANSLATE(B18663, ""zh"", ""en"")"),"173cm 63kg buy the L is too large, but I like the big points very good fabric a little hard, like a general, not very good.")</f>
        <v>173cm 63kg buy the L is too large, but I like the big points very good fabric a little hard, like a general, not very good.</v>
      </c>
    </row>
    <row r="18664">
      <c r="A18664" s="1">
        <v>4.0</v>
      </c>
      <c r="B18664" s="1" t="s">
        <v>18423</v>
      </c>
      <c r="C18664" t="str">
        <f>IFERROR(__xludf.DUMMYFUNCTION("GOOGLETRANSLATE(B18664, ""zh"", ""en"")"),"You can also wearing a very warm, a little heavy, armpit, which are often friction departments will play ball.")</f>
        <v>You can also wearing a very warm, a little heavy, armpit, which are often friction departments will play ball.</v>
      </c>
    </row>
    <row r="18665">
      <c r="A18665" s="1">
        <v>4.0</v>
      </c>
      <c r="B18665" s="1" t="s">
        <v>18424</v>
      </c>
      <c r="C18665" t="str">
        <f>IFERROR(__xludf.DUMMYFUNCTION("GOOGLETRANSLATE(B18665, ""zh"", ""en"")"),"Fairly thick rough, and then I accidentally fell a bit. Distressed ing")</f>
        <v>Fairly thick rough, and then I accidentally fell a bit. Distressed ing</v>
      </c>
    </row>
    <row r="18666">
      <c r="A18666" s="1">
        <v>5.0</v>
      </c>
      <c r="B18666" s="1" t="s">
        <v>18425</v>
      </c>
      <c r="C18666" t="str">
        <f>IFERROR(__xludf.DUMMYFUNCTION("GOOGLETRANSLATE(B18666, ""zh"", ""en"")"),"High-strength high-intensity shock damping, suitable for a large chest.")</f>
        <v>High-strength high-intensity shock damping, suitable for a large chest.</v>
      </c>
    </row>
    <row r="18667">
      <c r="A18667" s="1">
        <v>5.0</v>
      </c>
      <c r="B18667" s="1" t="s">
        <v>18426</v>
      </c>
      <c r="C18667" t="str">
        <f>IFERROR(__xludf.DUMMYFUNCTION("GOOGLETRANSLATE(B18667, ""zh"", ""en"")"),"Helium should be cost-effective disk, very good, it has been successfully transferred to domestic security.")</f>
        <v>Helium should be cost-effective disk, very good, it has been successfully transferred to domestic security.</v>
      </c>
    </row>
    <row r="18668">
      <c r="A18668" s="1">
        <v>5.0</v>
      </c>
      <c r="B18668" s="1" t="s">
        <v>18427</v>
      </c>
      <c r="C18668" t="str">
        <f>IFERROR(__xludf.DUMMYFUNCTION("GOOGLETRANSLATE(B18668, ""zh"", ""en"")"),"Overall good just beginning to listen, feel the bass too bad, but the resolution is very good. A little pot after pot, bass improved significantly. satisfaction.")</f>
        <v>Overall good just beginning to listen, feel the bass too bad, but the resolution is very good. A little pot after pot, bass improved significantly. satisfaction.</v>
      </c>
    </row>
    <row r="18669">
      <c r="A18669" s="1">
        <v>5.0</v>
      </c>
      <c r="B18669" s="1" t="s">
        <v>18428</v>
      </c>
      <c r="C18669" t="str">
        <f>IFERROR(__xludf.DUMMYFUNCTION("GOOGLETRANSLATE(B18669, ""zh"", ""en"")"),"I think it is genuine faith recharge, Aiamani, I love Amazon")</f>
        <v>I think it is genuine faith recharge, Aiamani, I love Amazon</v>
      </c>
    </row>
    <row r="18670">
      <c r="A18670" s="1">
        <v>5.0</v>
      </c>
      <c r="B18670" s="1" t="s">
        <v>18429</v>
      </c>
      <c r="C18670" t="str">
        <f>IFERROR(__xludf.DUMMYFUNCTION("GOOGLETRANSLATE(B18670, ""zh"", ""en"")"),"High fat feet foot buy the freshman code wearing very appropriate, high instep good pair of shoes, I bought 3e widened version, not feet high and are the difference between the ordinary version, but fortunately I had the foresight to buy a bigger size, ot"&amp;"herwise, they wear do not go in.")</f>
        <v>High fat feet foot buy the freshman code wearing very appropriate, high instep good pair of shoes, I bought 3e widened version, not feet high and are the difference between the ordinary version, but fortunately I had the foresight to buy a bigger size, otherwise, they wear do not go in.</v>
      </c>
    </row>
    <row r="18671">
      <c r="A18671" s="1">
        <v>5.0</v>
      </c>
      <c r="B18671" s="1" t="s">
        <v>18430</v>
      </c>
      <c r="C18671" t="str">
        <f>IFERROR(__xludf.DUMMYFUNCTION("GOOGLETRANSLATE(B18671, ""zh"", ""en"")"),"There is a cap on the perfect good quality, non-stick, the only drawback is no cover")</f>
        <v>There is a cap on the perfect good quality, non-stick, the only drawback is no cover</v>
      </c>
    </row>
    <row r="18672">
      <c r="A18672" s="1">
        <v>5.0</v>
      </c>
      <c r="B18672" s="1" t="s">
        <v>18431</v>
      </c>
      <c r="C18672" t="str">
        <f>IFERROR(__xludf.DUMMYFUNCTION("GOOGLETRANSLATE(B18672, ""zh"", ""en"")"),"MY BOOK SMR is cost-effective elements of PMR in fact, no difference for PT hang it.")</f>
        <v>MY BOOK SMR is cost-effective elements of PMR in fact, no difference for PT hang it.</v>
      </c>
    </row>
    <row r="18673">
      <c r="A18673" s="1">
        <v>5.0</v>
      </c>
      <c r="B18673" s="1" t="s">
        <v>18432</v>
      </c>
      <c r="C18673" t="str">
        <f>IFERROR(__xludf.DUMMYFUNCTION("GOOGLETRANSLATE(B18673, ""zh"", ""en"")"),"it is good! With this hand sanitizer, children to wash their hands of this matter is not contradicted.")</f>
        <v>it is good! With this hand sanitizer, children to wash their hands of this matter is not contradicted.</v>
      </c>
    </row>
    <row r="18674">
      <c r="A18674" s="1">
        <v>5.0</v>
      </c>
      <c r="B18674" s="1" t="s">
        <v>18433</v>
      </c>
      <c r="C18674" t="str">
        <f>IFERROR(__xludf.DUMMYFUNCTION("GOOGLETRANSLATE(B18674, ""zh"", ""en"")"),"Well perfect, almost flawless")</f>
        <v>Well perfect, almost flawless</v>
      </c>
    </row>
    <row r="18675">
      <c r="A18675" s="1">
        <v>5.0</v>
      </c>
      <c r="B18675" s="1" t="s">
        <v>18434</v>
      </c>
      <c r="C18675" t="str">
        <f>IFERROR(__xludf.DUMMYFUNCTION("GOOGLETRANSLATE(B18675, ""zh"", ""en"")"),"High cost arrived earlier than expected, good quality, and duty-free shops to buy the same, Rounuan comfortable, high cost")</f>
        <v>High cost arrived earlier than expected, good quality, and duty-free shops to buy the same, Rounuan comfortable, high cost</v>
      </c>
    </row>
    <row r="18676">
      <c r="A18676" s="1">
        <v>5.0</v>
      </c>
      <c r="B18676" s="1" t="s">
        <v>18435</v>
      </c>
      <c r="C18676" t="str">
        <f>IFERROR(__xludf.DUMMYFUNCTION("GOOGLETRANSLATE(B18676, ""zh"", ""en"")"),"Overall good, 165cm / 59kg wear M code, which can only wear a T-shirt, still relatively high cost of soft and comfortable fabric")</f>
        <v>Overall good, 165cm / 59kg wear M code, which can only wear a T-shirt, still relatively high cost of soft and comfortable fabric</v>
      </c>
    </row>
    <row r="18677">
      <c r="A18677" s="1">
        <v>5.0</v>
      </c>
      <c r="B18677" s="1" t="s">
        <v>18436</v>
      </c>
      <c r="C18677" t="str">
        <f>IFERROR(__xludf.DUMMYFUNCTION("GOOGLETRANSLATE(B18677, ""zh"", ""en"")"),"Soft and comfortable fit, cost-effective.")</f>
        <v>Soft and comfortable fit, cost-effective.</v>
      </c>
    </row>
    <row r="18678">
      <c r="A18678" s="1">
        <v>5.0</v>
      </c>
      <c r="B18678" s="1" t="s">
        <v>18437</v>
      </c>
      <c r="C18678" t="str">
        <f>IFERROR(__xludf.DUMMYFUNCTION("GOOGLETRANSLATE(B18678, ""zh"", ""en"")"),"Fitness and then a smaller size 174,71 kg, wearing M, slightly larger due to wearing tight fast drying, so slightly. M appropriate to wear to play basketball, fitness buy a smaller size.")</f>
        <v>Fitness and then a smaller size 174,71 kg, wearing M, slightly larger due to wearing tight fast drying, so slightly. M appropriate to wear to play basketball, fitness buy a smaller size.</v>
      </c>
    </row>
    <row r="18679">
      <c r="A18679" s="1">
        <v>5.0</v>
      </c>
      <c r="B18679" s="1" t="s">
        <v>18438</v>
      </c>
      <c r="C18679" t="str">
        <f>IFERROR(__xludf.DUMMYFUNCTION("GOOGLETRANSLATE(B18679, ""zh"", ""en"")"),"Like to buy around 200 Lee, the problem is also super fit, I like these pants is that it was like my body, ha ha ha ~ fabric is a certain elasticity, very comfortable.")</f>
        <v>Like to buy around 200 Lee, the problem is also super fit, I like these pants is that it was like my body, ha ha ha ~ fabric is a certain elasticity, very comfortable.</v>
      </c>
    </row>
    <row r="18680">
      <c r="A18680" s="1">
        <v>5.0</v>
      </c>
      <c r="B18680" s="1" t="s">
        <v>18439</v>
      </c>
      <c r="C18680" t="str">
        <f>IFERROR(__xludf.DUMMYFUNCTION("GOOGLETRANSLATE(B18680, ""zh"", ""en"")"),"Satisfied with the arrival of a week than expected. Oil skin, good quality, wild. Is usually 42 to wear shoes, the buy 8D (M), is quite suitable")</f>
        <v>Satisfied with the arrival of a week than expected. Oil skin, good quality, wild. Is usually 42 to wear shoes, the buy 8D (M), is quite suitable</v>
      </c>
    </row>
    <row r="18681">
      <c r="A18681" s="1">
        <v>5.0</v>
      </c>
      <c r="B18681" s="1" t="s">
        <v>18440</v>
      </c>
      <c r="C18681" t="str">
        <f>IFERROR(__xludf.DUMMYFUNCTION("GOOGLETRANSLATE(B18681, ""zh"", ""en"")"),"Nautica Men's Feathered Edge with ... Nautica Men's Accessories quality is very good, very comfortable to wear, satisfied.")</f>
        <v>Nautica Men's Feathered Edge with ... Nautica Men's Accessories quality is very good, very comfortable to wear, satisfied.</v>
      </c>
    </row>
    <row r="18682">
      <c r="A18682" s="1">
        <v>5.0</v>
      </c>
      <c r="B18682" s="1" t="s">
        <v>18441</v>
      </c>
      <c r="C18682" t="str">
        <f>IFERROR(__xludf.DUMMYFUNCTION("GOOGLETRANSLATE(B18682, ""zh"", ""en"")"),"champion sweater fit, wearing a very warm")</f>
        <v>champion sweater fit, wearing a very warm</v>
      </c>
    </row>
    <row r="18683">
      <c r="A18683" s="1">
        <v>5.0</v>
      </c>
      <c r="B18683" s="1" t="s">
        <v>18442</v>
      </c>
      <c r="C18683" t="str">
        <f>IFERROR(__xludf.DUMMYFUNCTION("GOOGLETRANSLATE(B18683, ""zh"", ""en"")"),"Amazon now easily purchased abroad Amazon now ah ah British overseas shopping is very convenient direct mail price is cheap and convenient spotted this little pink for a long time it finally starts and everything was like to feel good about 15 days to go "&amp;"hand in purchasing this 1200 earned oh")</f>
        <v>Amazon now easily purchased abroad Amazon now ah ah British overseas shopping is very convenient direct mail price is cheap and convenient spotted this little pink for a long time it finally starts and everything was like to feel good about 15 days to go hand in purchasing this 1200 earned oh</v>
      </c>
    </row>
    <row r="18684">
      <c r="A18684" s="1">
        <v>5.0</v>
      </c>
      <c r="B18684" s="1" t="s">
        <v>18443</v>
      </c>
      <c r="C18684" t="str">
        <f>IFERROR(__xludf.DUMMYFUNCTION("GOOGLETRANSLATE(B18684, ""zh"", ""en"")"),"Praise not the subject of personal feeling relatively good-looking, good-looking little sleeves rolled")</f>
        <v>Praise not the subject of personal feeling relatively good-looking, good-looking little sleeves rolled</v>
      </c>
    </row>
    <row r="18685">
      <c r="A18685" s="1">
        <v>5.0</v>
      </c>
      <c r="B18685" s="1" t="s">
        <v>18444</v>
      </c>
      <c r="C18685" t="str">
        <f>IFERROR(__xludf.DUMMYFUNCTION("GOOGLETRANSLATE(B18685, ""zh"", ""en"")"),"German manufacturing, quality assurance word, transparent; words, value for money.")</f>
        <v>German manufacturing, quality assurance word, transparent; words, value for money.</v>
      </c>
    </row>
    <row r="18686">
      <c r="A18686" s="1">
        <v>5.0</v>
      </c>
      <c r="B18686" s="1" t="s">
        <v>18445</v>
      </c>
      <c r="C18686" t="str">
        <f>IFERROR(__xludf.DUMMYFUNCTION("GOOGLETRANSLATE(B18686, ""zh"", ""en"")"),"Really Bang Bang da! This rod pen is really Bang Bang da! Smooth! Various smooth! No matter which angle you write very smooth! Sent blue and black ink bladder, as well as a blotter, the students do not want to use the ink bladder may also play a direct in"&amp;"k, really intimate! Pen grip is also very comfortable, very well hold a pen design. But the pen a little rough on me, glad I did not buy Schneider wise. recommend!")</f>
        <v>Really Bang Bang da! This rod pen is really Bang Bang da! Smooth! Various smooth! No matter which angle you write very smooth! Sent blue and black ink bladder, as well as a blotter, the students do not want to use the ink bladder may also play a direct ink, really intimate! Pen grip is also very comfortable, very well hold a pen design. But the pen a little rough on me, glad I did not buy Schneider wise. recommend!</v>
      </c>
    </row>
    <row r="18687">
      <c r="A18687" s="1">
        <v>5.0</v>
      </c>
      <c r="B18687" s="1" t="s">
        <v>18446</v>
      </c>
      <c r="C18687" t="str">
        <f>IFERROR(__xludf.DUMMYFUNCTION("GOOGLETRANSLATE(B18687, ""zh"", ""en"")"),"In line with expectations and we have to wear specially evaluated, socks well, can not afford to file, it looks pretty thin, but wearing warm, about 15 degrees wearing not feel the cold.")</f>
        <v>In line with expectations and we have to wear specially evaluated, socks well, can not afford to file, it looks pretty thin, but wearing warm, about 15 degrees wearing not feel the cold.</v>
      </c>
    </row>
    <row r="18688">
      <c r="A18688" s="1">
        <v>2.0</v>
      </c>
      <c r="B18688" s="1" t="s">
        <v>18447</v>
      </c>
      <c r="C18688" t="str">
        <f>IFERROR(__xludf.DUMMYFUNCTION("GOOGLETRANSLATE(B18688, ""zh"", ""en"")"),"Disappointment and picture a little bit different, a bit too long, thin, disappointed ~~~~~~~~~~~~~~~~~")</f>
        <v>Disappointment and picture a little bit different, a bit too long, thin, disappointed ~~~~~~~~~~~~~~~~~</v>
      </c>
    </row>
    <row r="18689">
      <c r="A18689" s="1">
        <v>3.0</v>
      </c>
      <c r="B18689" s="1" t="s">
        <v>18448</v>
      </c>
      <c r="C18689" t="str">
        <f>IFERROR(__xludf.DUMMYFUNCTION("GOOGLETRANSLATE(B18689, ""zh"", ""en"")"),"Heel a little hard heel a bit hard, wear comfortable not ideal")</f>
        <v>Heel a little hard heel a bit hard, wear comfortable not ideal</v>
      </c>
    </row>
    <row r="18690">
      <c r="A18690" s="1">
        <v>3.0</v>
      </c>
      <c r="B18690" s="1" t="s">
        <v>18449</v>
      </c>
      <c r="C18690" t="str">
        <f>IFERROR(__xludf.DUMMYFUNCTION("GOOGLETRANSLATE(B18690, ""zh"", ""en"")"),"Uppers and soles joints are damaged, poor workmanship full of lint for the first time to buy such a poor quality of ecco on Amazon, left foot on the right upper and sole connection is damaged, all the buckles thread, actually or Portugal production, must "&amp;"return, Amazon's first overseas purchase return!")</f>
        <v>Uppers and soles joints are damaged, poor workmanship full of lint for the first time to buy such a poor quality of ecco on Amazon, left foot on the right upper and sole connection is damaged, all the buckles thread, actually or Portugal production, must return, Amazon's first overseas purchase return!</v>
      </c>
    </row>
    <row r="18691">
      <c r="A18691" s="1">
        <v>1.0</v>
      </c>
      <c r="B18691" s="1" t="s">
        <v>18450</v>
      </c>
      <c r="C18691" t="str">
        <f>IFERROR(__xludf.DUMMYFUNCTION("GOOGLETRANSLATE(B18691, ""zh"", ""en"")"),"Boss really bad quality of the belt, two months peeling! Amazon's customer service said no foreign buying aftermarket. . . Amazon silent to reflect, they say no after-sales overseas purchase. . . Last year bought one, also face peeling. I do not know is n"&amp;"ot fake. Negative Ratings!")</f>
        <v>Boss really bad quality of the belt, two months peeling! Amazon's customer service said no foreign buying aftermarket. . . Amazon silent to reflect, they say no after-sales overseas purchase. . . Last year bought one, also face peeling. I do not know is not fake. Negative Ratings!</v>
      </c>
    </row>
    <row r="18692">
      <c r="A18692" s="1">
        <v>1.0</v>
      </c>
      <c r="B18692" s="1" t="s">
        <v>18451</v>
      </c>
      <c r="C18692" t="str">
        <f>IFERROR(__xludf.DUMMYFUNCTION("GOOGLETRANSLATE(B18692, ""zh"", ""en"")"),"Write speed 17-19m, expansion disk, the actual capacity of around 50g, returns trouble, is 17-19m handle usb3.0 port write speed detection software prompts expansion disk, the actual capacity of around 50g, 50g write the Resource Management no response, c"&amp;"omputer crashes, returns trouble, are in the process")</f>
        <v>Write speed 17-19m, expansion disk, the actual capacity of around 50g, returns trouble, is 17-19m handle usb3.0 port write speed detection software prompts expansion disk, the actual capacity of around 50g, 50g write the Resource Management no response, computer crashes, returns trouble, are in the process</v>
      </c>
    </row>
    <row r="18693">
      <c r="A18693" s="1">
        <v>1.0</v>
      </c>
      <c r="B18693" s="1" t="s">
        <v>18452</v>
      </c>
      <c r="C18693" t="str">
        <f>IFERROR(__xludf.DUMMYFUNCTION("GOOGLETRANSLATE(B18693, ""zh"", ""en"")"),"Rubbish! ! ! ! ! ! Received is defective products! ! ! ! Rubbish! ! ! ! ! !")</f>
        <v>Rubbish! ! ! ! ! ! Received is defective products! ! ! ! Rubbish! ! ! ! ! !</v>
      </c>
    </row>
    <row r="18694">
      <c r="A18694" s="1">
        <v>4.0</v>
      </c>
      <c r="B18694" s="1" t="s">
        <v>18453</v>
      </c>
      <c r="C18694" t="str">
        <f>IFERROR(__xludf.DUMMYFUNCTION("GOOGLETRANSLATE(B18694, ""zh"", ""en"")"),"Fast fast. Just shape than the previous heavy, and carrying convenience as before.")</f>
        <v>Fast fast. Just shape than the previous heavy, and carrying convenience as before.</v>
      </c>
    </row>
    <row r="18695">
      <c r="A18695" s="1">
        <v>4.0</v>
      </c>
      <c r="B18695" s="1" t="s">
        <v>18454</v>
      </c>
      <c r="C18695" t="str">
        <f>IFERROR(__xludf.DUMMYFUNCTION("GOOGLETRANSLATE(B18695, ""zh"", ""en"")"),"Reliable good peace of mind")</f>
        <v>Reliable good peace of mind</v>
      </c>
    </row>
    <row r="18696">
      <c r="A18696" s="1">
        <v>4.0</v>
      </c>
      <c r="B18696" s="1" t="s">
        <v>18455</v>
      </c>
      <c r="C18696" t="str">
        <f>IFERROR(__xludf.DUMMYFUNCTION("GOOGLETRANSLATE(B18696, ""zh"", ""en"")"),"You can also dress is too large, the quality can be")</f>
        <v>You can also dress is too large, the quality can be</v>
      </c>
    </row>
    <row r="18697">
      <c r="A18697" s="1">
        <v>4.0</v>
      </c>
      <c r="B18697" s="1" t="s">
        <v>18456</v>
      </c>
      <c r="C18697" t="str">
        <f>IFERROR(__xludf.DUMMYFUNCTION("GOOGLETRANSLATE(B18697, ""zh"", ""en"")"),"General comfort, larger 37.5 feet, buy 5Uk or bigger, a little heavy shoes, wearing hard pressed feet, like the advantage of the atmosphere, given away.")</f>
        <v>General comfort, larger 37.5 feet, buy 5Uk or bigger, a little heavy shoes, wearing hard pressed feet, like the advantage of the atmosphere, given away.</v>
      </c>
    </row>
    <row r="18698">
      <c r="A18698" s="1">
        <v>4.0</v>
      </c>
      <c r="B18698" s="1" t="s">
        <v>18457</v>
      </c>
      <c r="C18698" t="str">
        <f>IFERROR(__xludf.DUMMYFUNCTION("GOOGLETRANSLATE(B18698, ""zh"", ""en"")"),"Very beautiful! A few days, a sense of pen to write on the steel tip is quite good, even more comfortable than some of my gold-tip pen. But there is a drawback, air tightness seem bad, actually two days after the ink discharge can not sum up the water.")</f>
        <v>Very beautiful! A few days, a sense of pen to write on the steel tip is quite good, even more comfortable than some of my gold-tip pen. But there is a drawback, air tightness seem bad, actually two days after the ink discharge can not sum up the water.</v>
      </c>
    </row>
    <row r="18699">
      <c r="A18699" s="1">
        <v>5.0</v>
      </c>
      <c r="B18699" s="1" t="s">
        <v>18458</v>
      </c>
      <c r="C18699" t="str">
        <f>IFERROR(__xludf.DUMMYFUNCTION("GOOGLETRANSLATE(B18699, ""zh"", ""en"")"),"Something good, something good just to spend, just spend.")</f>
        <v>Something good, something good just to spend, just spend.</v>
      </c>
    </row>
    <row r="18700">
      <c r="A18700" s="1">
        <v>5.0</v>
      </c>
      <c r="B18700" s="1" t="s">
        <v>18459</v>
      </c>
      <c r="C18700" t="str">
        <f>IFERROR(__xludf.DUMMYFUNCTION("GOOGLETRANSLATE(B18700, ""zh"", ""en"")"),"Overall quality is very good advantages: clothes and flexible, the upper body is very good, color beautiful than the picture! Disadvantages: Comparative waist hem, very claim for the body; some long sleeves; shallow side pockets, decorative basically.")</f>
        <v>Overall quality is very good advantages: clothes and flexible, the upper body is very good, color beautiful than the picture! Disadvantages: Comparative waist hem, very claim for the body; some long sleeves; shallow side pockets, decorative basically.</v>
      </c>
    </row>
    <row r="18701">
      <c r="A18701" s="1">
        <v>5.0</v>
      </c>
      <c r="B18701" s="1" t="s">
        <v>18460</v>
      </c>
      <c r="C18701" t="str">
        <f>IFERROR(__xludf.DUMMYFUNCTION("GOOGLETRANSLATE(B18701, ""zh"", ""en"")"),"A perfect shopping experience too fond of this pair of shoes, stylish, good-looking color. The feet are fit. And arrive on November 2. I did not wait very long.")</f>
        <v>A perfect shopping experience too fond of this pair of shoes, stylish, good-looking color. The feet are fit. And arrive on November 2. I did not wait very long.</v>
      </c>
    </row>
    <row r="18702">
      <c r="A18702" s="1">
        <v>5.0</v>
      </c>
      <c r="B18702" s="1" t="s">
        <v>18461</v>
      </c>
      <c r="C18702" t="str">
        <f>IFERROR(__xludf.DUMMYFUNCTION("GOOGLETRANSLATE(B18702, ""zh"", ""en"")"),"Good shopping experience first overseas purchase, all aspects exceed expectations, it is worth to start!")</f>
        <v>Good shopping experience first overseas purchase, all aspects exceed expectations, it is worth to start!</v>
      </c>
    </row>
    <row r="18703">
      <c r="A18703" s="1">
        <v>5.0</v>
      </c>
      <c r="B18703" s="1" t="s">
        <v>18462</v>
      </c>
      <c r="C18703" t="str">
        <f>IFERROR(__xludf.DUMMYFUNCTION("GOOGLETRANSLATE(B18703, ""zh"", ""en"")"),"Very good size just right, it really is original, strap a bit hard but good habit, is mailing a bit slow, the Post more than 20 days, ha ha, good goods also satisfied, in short, very satisfied.")</f>
        <v>Very good size just right, it really is original, strap a bit hard but good habit, is mailing a bit slow, the Post more than 20 days, ha ha, good goods also satisfied, in short, very satisfied.</v>
      </c>
    </row>
    <row r="18704">
      <c r="A18704" s="1">
        <v>5.0</v>
      </c>
      <c r="B18704" s="1" t="s">
        <v>18463</v>
      </c>
      <c r="C18704" t="str">
        <f>IFERROR(__xludf.DUMMYFUNCTION("GOOGLETRANSLATE(B18704, ""zh"", ""en"")"),"Good price very close personal comfort, has been to buy this brand, Amazon cheap.")</f>
        <v>Good price very close personal comfort, has been to buy this brand, Amazon cheap.</v>
      </c>
    </row>
    <row r="18705">
      <c r="A18705" s="1">
        <v>5.0</v>
      </c>
      <c r="B18705" s="1" t="s">
        <v>18464</v>
      </c>
      <c r="C18705" t="str">
        <f>IFERROR(__xludf.DUMMYFUNCTION("GOOGLETRANSLATE(B18705, ""zh"", ""en"")"),"Yes, although I think Neither shoe is not very symmetrical, but cheap ah ha ha ha good, although I think Neither shoe is not very symmetrical, but cheap ah ha ha ha Shashi Hou money into one pair of adult version - oh well")</f>
        <v>Yes, although I think Neither shoe is not very symmetrical, but cheap ah ha ha ha good, although I think Neither shoe is not very symmetrical, but cheap ah ha ha ha Shashi Hou money into one pair of adult version - oh well</v>
      </c>
    </row>
    <row r="18706">
      <c r="A18706" s="1">
        <v>5.0</v>
      </c>
      <c r="B18706" s="1" t="s">
        <v>18465</v>
      </c>
      <c r="C18706" t="str">
        <f>IFERROR(__xludf.DUMMYFUNCTION("GOOGLETRANSLATE(B18706, ""zh"", ""en"")"),"Feeling good quality! Wear comfortable, breathable!")</f>
        <v>Feeling good quality! Wear comfortable, breathable!</v>
      </c>
    </row>
    <row r="18707">
      <c r="A18707" s="1">
        <v>5.0</v>
      </c>
      <c r="B18707" s="1" t="s">
        <v>18466</v>
      </c>
      <c r="C18707" t="str">
        <f>IFERROR(__xludf.DUMMYFUNCTION("GOOGLETRANSLATE(B18707, ""zh"", ""en"")"),"Mild taste, but the effect is fresh and strong and must be purchased again mild taste, Listerine than before to buy a lot of good, no discomfort to stimulate the oral mucosa. Smell fresh, in accordance with its instructions, can effectively freshen breath"&amp;". The price is slightly more expensive, 2 bottles of 100 yuan, the high frequency of use mouthwash, use faster.")</f>
        <v>Mild taste, but the effect is fresh and strong and must be purchased again mild taste, Listerine than before to buy a lot of good, no discomfort to stimulate the oral mucosa. Smell fresh, in accordance with its instructions, can effectively freshen breath. The price is slightly more expensive, 2 bottles of 100 yuan, the high frequency of use mouthwash, use faster.</v>
      </c>
    </row>
    <row r="18708">
      <c r="A18708" s="1">
        <v>5.0</v>
      </c>
      <c r="B18708" s="1" t="s">
        <v>18467</v>
      </c>
      <c r="C18708" t="str">
        <f>IFERROR(__xludf.DUMMYFUNCTION("GOOGLETRANSLATE(B18708, ""zh"", ""en"")"),"Well good packaging machine, the machine more cost-effective.")</f>
        <v>Well good packaging machine, the machine more cost-effective.</v>
      </c>
    </row>
    <row r="18709">
      <c r="A18709" s="1">
        <v>5.0</v>
      </c>
      <c r="B18709" s="1" t="s">
        <v>18468</v>
      </c>
      <c r="C18709" t="str">
        <f>IFERROR(__xludf.DUMMYFUNCTION("GOOGLETRANSLATE(B18709, ""zh"", ""en"")"),"You can give your baby stockpile Oh Ye Haha")</f>
        <v>You can give your baby stockpile Oh Ye Haha</v>
      </c>
    </row>
    <row r="18710">
      <c r="A18710" s="1">
        <v>5.0</v>
      </c>
      <c r="B18710" s="1" t="s">
        <v>18469</v>
      </c>
      <c r="C18710" t="str">
        <f>IFERROR(__xludf.DUMMYFUNCTION("GOOGLETRANSLATE(B18710, ""zh"", ""en"")"),"Fabric is very comfortable my wife liked, a run, a good")</f>
        <v>Fabric is very comfortable my wife liked, a run, a good</v>
      </c>
    </row>
    <row r="18711">
      <c r="A18711" s="1">
        <v>5.0</v>
      </c>
      <c r="B18711" s="1" t="s">
        <v>18470</v>
      </c>
      <c r="C18711" t="str">
        <f>IFERROR(__xludf.DUMMYFUNCTION("GOOGLETRANSLATE(B18711, ""zh"", ""en"")"),"Chicken mainly cheap is too cheap ... chaos wear it")</f>
        <v>Chicken mainly cheap is too cheap ... chaos wear it</v>
      </c>
    </row>
    <row r="18712">
      <c r="A18712" s="1">
        <v>5.0</v>
      </c>
      <c r="B18712" s="1" t="s">
        <v>18471</v>
      </c>
      <c r="C18712" t="str">
        <f>IFERROR(__xludf.DUMMYFUNCTION("GOOGLETRANSLATE(B18712, ""zh"", ""en"")"),"Has begun taking over the post from the United States, it should be genuine ~ already taking to the baby ~")</f>
        <v>Has begun taking over the post from the United States, it should be genuine ~ already taking to the baby ~</v>
      </c>
    </row>
    <row r="18713">
      <c r="A18713" s="1">
        <v>5.0</v>
      </c>
      <c r="B18713" s="1" t="s">
        <v>18472</v>
      </c>
      <c r="C18713" t="str">
        <f>IFERROR(__xludf.DUMMYFUNCTION("GOOGLETRANSLATE(B18713, ""zh"", ""en"")"),"marshall mid anc from two weeks to write, in fact, came less than a week, very fast. Something no problem, can aptx coding connection, is genuine, domestic too many fakes, too unreasonable pricing licensed, sea Amoy is good. As for the headset itself, the"&amp;" sound quality was okay, price is not high, looks nice on the line.")</f>
        <v>marshall mid anc from two weeks to write, in fact, came less than a week, very fast. Something no problem, can aptx coding connection, is genuine, domestic too many fakes, too unreasonable pricing licensed, sea Amoy is good. As for the headset itself, the sound quality was okay, price is not high, looks nice on the line.</v>
      </c>
    </row>
    <row r="18714">
      <c r="A18714" s="1">
        <v>5.0</v>
      </c>
      <c r="B18714" s="1" t="s">
        <v>18473</v>
      </c>
      <c r="C18714" t="str">
        <f>IFERROR(__xludf.DUMMYFUNCTION("GOOGLETRANSLATE(B18714, ""zh"", ""en"")"),"Very good shopping experience is still very good thing")</f>
        <v>Very good shopping experience is still very good thing</v>
      </c>
    </row>
    <row r="18715">
      <c r="A18715" s="1">
        <v>5.0</v>
      </c>
      <c r="B18715" s="1" t="s">
        <v>18474</v>
      </c>
      <c r="C18715" t="str">
        <f>IFERROR(__xludf.DUMMYFUNCTION("GOOGLETRANSLATE(B18715, ""zh"", ""en"")"),"Good size a little too large, the color is.")</f>
        <v>Good size a little too large, the color is.</v>
      </c>
    </row>
    <row r="18716">
      <c r="A18716" s="1">
        <v>5.0</v>
      </c>
      <c r="B18716" s="1" t="s">
        <v>18475</v>
      </c>
      <c r="C18716" t="str">
        <f>IFERROR(__xludf.DUMMYFUNCTION("GOOGLETRANSLATE(B18716, ""zh"", ""en"")"),"Logistics to force Amazon to buy shoes very happy shoes are very popular right size")</f>
        <v>Logistics to force Amazon to buy shoes very happy shoes are very popular right size</v>
      </c>
    </row>
    <row r="18717">
      <c r="A18717" s="1">
        <v>5.0</v>
      </c>
      <c r="B18717" s="1" t="s">
        <v>18476</v>
      </c>
      <c r="C18717" t="str">
        <f>IFERROR(__xludf.DUMMYFUNCTION("GOOGLETRANSLATE(B18717, ""zh"", ""en"")"),"Good price super high, will buy!")</f>
        <v>Good price super high, will buy!</v>
      </c>
    </row>
    <row r="18718">
      <c r="A18718" s="1">
        <v>5.0</v>
      </c>
      <c r="B18718" s="1" t="s">
        <v>18477</v>
      </c>
      <c r="C18718" t="str">
        <f>IFERROR(__xludf.DUMMYFUNCTION("GOOGLETRANSLATE(B18718, ""zh"", ""en"")"),"Very satisfied with the cheap, cheap cost hundreds of pieces")</f>
        <v>Very satisfied with the cheap, cheap cost hundreds of pieces</v>
      </c>
    </row>
    <row r="18719">
      <c r="A18719" s="1">
        <v>5.0</v>
      </c>
      <c r="B18719" s="1" t="s">
        <v>18478</v>
      </c>
      <c r="C18719" t="str">
        <f>IFERROR(__xludf.DUMMYFUNCTION("GOOGLETRANSLATE(B18719, ""zh"", ""en"")"),"AIU Direct, with the assured breastfed babies just drop a day")</f>
        <v>AIU Direct, with the assured breastfed babies just drop a day</v>
      </c>
    </row>
    <row r="18720">
      <c r="A18720" s="1">
        <v>5.0</v>
      </c>
      <c r="B18720" s="1" t="s">
        <v>18479</v>
      </c>
      <c r="C18720" t="str">
        <f>IFERROR(__xludf.DUMMYFUNCTION("GOOGLETRANSLATE(B18720, ""zh"", ""en"")"),"Just fine for a quick shopping delivery speed than expected. Some spoon to dig ... ( '· _ · `) no closure. Really like the gas tank ... ( 'Д`)")</f>
        <v>Just fine for a quick shopping delivery speed than expected. Some spoon to dig ... ( '· _ · `) no closure. Really like the gas tank ... ( 'Д`)</v>
      </c>
    </row>
    <row r="18721">
      <c r="A18721" s="1">
        <v>2.0</v>
      </c>
      <c r="B18721" s="1" t="s">
        <v>18480</v>
      </c>
      <c r="C18721" t="str">
        <f>IFERROR(__xludf.DUMMYFUNCTION("GOOGLETRANSLATE(B18721, ""zh"", ""en"")"),"Yes 182cm78kg, the M code suitable wear a T-shirt, velvet, good price.")</f>
        <v>Yes 182cm78kg, the M code suitable wear a T-shirt, velvet, good price.</v>
      </c>
    </row>
    <row r="18722">
      <c r="A18722" s="1">
        <v>3.0</v>
      </c>
      <c r="B18722" s="1" t="s">
        <v>18481</v>
      </c>
      <c r="C18722" t="str">
        <f>IFERROR(__xludf.DUMMYFUNCTION("GOOGLETRANSLATE(B18722, ""zh"", ""en"")"),"Too, fade serious bought the M code to wear my dad's, too As a result, only when the pajamas to wear. First into the water, fade too serious.")</f>
        <v>Too, fade serious bought the M code to wear my dad's, too As a result, only when the pajamas to wear. First into the water, fade too serious.</v>
      </c>
    </row>
    <row r="18723">
      <c r="A18723" s="1">
        <v>3.0</v>
      </c>
      <c r="B18723" s="1" t="s">
        <v>18482</v>
      </c>
      <c r="C18723" t="str">
        <f>IFERROR(__xludf.DUMMYFUNCTION("GOOGLETRANSLATE(B18723, ""zh"", ""en"")"),"Too large super, I 163.130 pounds, to buy m code, is still very large, s should be the right of it, is actually very comfortable material")</f>
        <v>Too large super, I 163.130 pounds, to buy m code, is still very large, s should be the right of it, is actually very comfortable material</v>
      </c>
    </row>
    <row r="18724">
      <c r="A18724" s="1">
        <v>3.0</v>
      </c>
      <c r="B18724" s="1" t="s">
        <v>18483</v>
      </c>
      <c r="C18724" t="str">
        <f>IFERROR(__xludf.DUMMYFUNCTION("GOOGLETRANSLATE(B18724, ""zh"", ""en"")"),"Too big, too big 183cm 85kg, choose according to waist circumference, waist circumference can really get the goods, however, buttocks and leg is too great. Comfortable to wear very comfortable indeed.")</f>
        <v>Too big, too big 183cm 85kg, choose according to waist circumference, waist circumference can really get the goods, however, buttocks and leg is too great. Comfortable to wear very comfortable indeed.</v>
      </c>
    </row>
    <row r="18725">
      <c r="A18725" s="1">
        <v>1.0</v>
      </c>
      <c r="B18725" s="1" t="s">
        <v>18484</v>
      </c>
      <c r="C18725" t="str">
        <f>IFERROR(__xludf.DUMMYFUNCTION("GOOGLETRANSLATE(B18725, ""zh"", ""en"")"),"Fade serious black T-shirt fade away too far, I really do not know what quality")</f>
        <v>Fade serious black T-shirt fade away too far, I really do not know what quality</v>
      </c>
    </row>
    <row r="18726">
      <c r="A18726" s="1">
        <v>1.0</v>
      </c>
      <c r="B18726" s="1" t="s">
        <v>18485</v>
      </c>
      <c r="C18726" t="str">
        <f>IFERROR(__xludf.DUMMYFUNCTION("GOOGLETRANSLATE(B18726, ""zh"", ""en"")"),"Overseas purchase better known overseas pit in June to buy hardware on August strap on the bad, there is no way to repair themselves, only to find Amazon said the return of one month, refund part of the money to repair myself. The problem is that I am goi"&amp;"ng to find someone to repair, if you do not fix this package would not be able to use. This is the Amazon to promote overseas purchase, the warranty period of only one month. 200 buy poor quality goods, after-sale only a month, might as well buy Taobao 20"&amp;" fast free shipping.")</f>
        <v>Overseas purchase better known overseas pit in June to buy hardware on August strap on the bad, there is no way to repair themselves, only to find Amazon said the return of one month, refund part of the money to repair myself. The problem is that I am going to find someone to repair, if you do not fix this package would not be able to use. This is the Amazon to promote overseas purchase, the warranty period of only one month. 200 buy poor quality goods, after-sale only a month, might as well buy Taobao 20 fast free shipping.</v>
      </c>
    </row>
    <row r="18727">
      <c r="A18727" s="1">
        <v>1.0</v>
      </c>
      <c r="B18727" s="1" t="s">
        <v>18486</v>
      </c>
      <c r="C18727" t="str">
        <f>IFERROR(__xludf.DUMMYFUNCTION("GOOGLETRANSLATE(B18727, ""zh"", ""en"")"),"Unfortunately flaw flawed")</f>
        <v>Unfortunately flaw flawed</v>
      </c>
    </row>
    <row r="18728">
      <c r="A18728" s="1">
        <v>4.0</v>
      </c>
      <c r="B18728" s="1" t="s">
        <v>18487</v>
      </c>
      <c r="C18728" t="str">
        <f>IFERROR(__xludf.DUMMYFUNCTION("GOOGLETRANSLATE(B18728, ""zh"", ""en"")"),"Price instability pencil price fluctuated, like a roller coaster, bought a few hours after falling more than a hundred, they can only buy one of the expensive back, waited a long time finally arrived, found a broken pen, small sad 💔")</f>
        <v>Price instability pencil price fluctuated, like a roller coaster, bought a few hours after falling more than a hundred, they can only buy one of the expensive back, waited a long time finally arrived, found a broken pen, small sad 💔</v>
      </c>
    </row>
    <row r="18729">
      <c r="A18729" s="1">
        <v>4.0</v>
      </c>
      <c r="B18729" s="1" t="s">
        <v>18488</v>
      </c>
      <c r="C18729" t="str">
        <f>IFERROR(__xludf.DUMMYFUNCTION("GOOGLETRANSLATE(B18729, ""zh"", ""en"")"),"Getting started as a daily choice of Pelikan so-called ""classic"" series, M205 which is still relatively low-key silver trim, blue marble, have pearl reflection, color is also good value. Because it is stainless steel Yijin Bi sharp, feel sharp softer th"&amp;"an gold, so will feel the stretch. EF are relatively small and to be Zi. However, relatively small slit tip, and easily separated deformation force, so as the change in the intensity of writing, ink shade variation is obvious. This is different from M400 "&amp;"gold at the tip. Estimated write more, ink shade variation slotted change will reduce the General Assembly. If more sensitive to this, but also to accept the thickness of the F sharp, natural buy F more appropriate. Slightly smaller than the M400, a littl"&amp;"e light, but not feel the difference.")</f>
        <v>Getting started as a daily choice of Pelikan so-called "classic" series, M205 which is still relatively low-key silver trim, blue marble, have pearl reflection, color is also good value. Because it is stainless steel Yijin Bi sharp, feel sharp softer than gold, so will feel the stretch. EF are relatively small and to be Zi. However, relatively small slit tip, and easily separated deformation force, so as the change in the intensity of writing, ink shade variation is obvious. This is different from M400 gold at the tip. Estimated write more, ink shade variation slotted change will reduce the General Assembly. If more sensitive to this, but also to accept the thickness of the F sharp, natural buy F more appropriate. Slightly smaller than the M400, a little light, but not feel the difference.</v>
      </c>
    </row>
    <row r="18730">
      <c r="A18730" s="1">
        <v>4.0</v>
      </c>
      <c r="B18730" s="1" t="s">
        <v>18489</v>
      </c>
      <c r="C18730" t="str">
        <f>IFERROR(__xludf.DUMMYFUNCTION("GOOGLETRANSLATE(B18730, ""zh"", ""en"")"),"Logistics a lot faster to buy a New Year gift to his mother than adults estimated, after the arrival of a special phone I said it was like ha ha ha.")</f>
        <v>Logistics a lot faster to buy a New Year gift to his mother than adults estimated, after the arrival of a special phone I said it was like ha ha ha.</v>
      </c>
    </row>
    <row r="18731">
      <c r="A18731" s="1">
        <v>4.0</v>
      </c>
      <c r="B18731" s="1" t="s">
        <v>18490</v>
      </c>
      <c r="C18731" t="str">
        <f>IFERROR(__xludf.DUMMYFUNCTION("GOOGLETRANSLATE(B18731, ""zh"", ""en"")"),"The price is very good, the machine a little heavy, but very good quality. 2000w 240v needs to be used in voltage. Voltage is 220v 1700w, enough to use. Buy an adapter.")</f>
        <v>The price is very good, the machine a little heavy, but very good quality. 2000w 240v needs to be used in voltage. Voltage is 220v 1700w, enough to use. Buy an adapter.</v>
      </c>
    </row>
    <row r="18732">
      <c r="A18732" s="1">
        <v>4.0</v>
      </c>
      <c r="B18732" s="1" t="s">
        <v>18491</v>
      </c>
      <c r="C18732" t="str">
        <f>IFERROR(__xludf.DUMMYFUNCTION("GOOGLETRANSLATE(B18732, ""zh"", ""en"")"),"Hand forged molding a long time favorite wok, Nichia has been out of stock, after the arrival of using very conveniently, there are a few dissatisfied with: 1. known as whole iron building, welding handle at the obvious, the upper and lower tracks are wel"&amp;"ded, the handle should clip is up, firmness seemingly not a big problem. 2. The wooden handle feel comfortable, but shorter lengths, easily run along the iron, attention burning. 3. Beat the problem, the pot is not perfectly round, similar to the gourd-sh"&amp;"aped lid configuration is not good, on the gas stove is not very stable, with particular attention to this point. 4. Central not authentic, the secondary spike interval of 5 days, the price fell 50. Other advantages are consistent with the description, th"&amp;"ermal conductivity fast and equilibrium, also seeking to buy the peace of mind, free of other harmful impurities iron on the line .")</f>
        <v>Hand forged molding a long time favorite wok, Nichia has been out of stock, after the arrival of using very conveniently, there are a few dissatisfied with: 1. known as whole iron building, welding handle at the obvious, the upper and lower tracks are welded, the handle should clip is up, firmness seemingly not a big problem. 2. The wooden handle feel comfortable, but shorter lengths, easily run along the iron, attention burning. 3. Beat the problem, the pot is not perfectly round, similar to the gourd-shaped lid configuration is not good, on the gas stove is not very stable, with particular attention to this point. 4. Central not authentic, the secondary spike interval of 5 days, the price fell 50. Other advantages are consistent with the description, thermal conductivity fast and equilibrium, also seeking to buy the peace of mind, free of other harmful impurities iron on the line .</v>
      </c>
    </row>
    <row r="18733">
      <c r="A18733" s="1">
        <v>5.0</v>
      </c>
      <c r="B18733" s="1" t="s">
        <v>18492</v>
      </c>
      <c r="C18733" t="str">
        <f>IFERROR(__xludf.DUMMYFUNCTION("GOOGLETRANSLATE(B18733, ""zh"", ""en"")"),"Handy received about a week, the sea Amoy fast; there Cappuccino, latte function is very convenient; cheap.")</f>
        <v>Handy received about a week, the sea Amoy fast; there Cappuccino, latte function is very convenient; cheap.</v>
      </c>
    </row>
    <row r="18734">
      <c r="A18734" s="1">
        <v>5.0</v>
      </c>
      <c r="B18734" s="1" t="s">
        <v>18493</v>
      </c>
      <c r="C18734" t="str">
        <f>IFERROR(__xludf.DUMMYFUNCTION("GOOGLETRANSLATE(B18734, ""zh"", ""en"")"),"Very good, baby liked very good, baby liked")</f>
        <v>Very good, baby liked very good, baby liked</v>
      </c>
    </row>
    <row r="18735">
      <c r="A18735" s="1">
        <v>5.0</v>
      </c>
      <c r="B18735" s="1" t="s">
        <v>18494</v>
      </c>
      <c r="C18735" t="str">
        <f>IFERROR(__xludf.DUMMYFUNCTION("GOOGLETRANSLATE(B18735, ""zh"", ""en"")"),"Comments color is very positive, bright, like 😍")</f>
        <v>Comments color is very positive, bright, like 😍</v>
      </c>
    </row>
    <row r="18736">
      <c r="A18736" s="1">
        <v>5.0</v>
      </c>
      <c r="B18736" s="1" t="s">
        <v>18495</v>
      </c>
      <c r="C18736" t="str">
        <f>IFERROR(__xludf.DUMMYFUNCTION("GOOGLETRANSLATE(B18736, ""zh"", ""en"")"),"Express quickly things well")</f>
        <v>Express quickly things well</v>
      </c>
    </row>
    <row r="18737">
      <c r="A18737" s="1">
        <v>5.0</v>
      </c>
      <c r="B18737" s="1" t="s">
        <v>18496</v>
      </c>
      <c r="C18737" t="str">
        <f>IFERROR(__xludf.DUMMYFUNCTION("GOOGLETRANSLATE(B18737, ""zh"", ""en"")"),"Good, cost-effective version of the type well, these pants to buy three, Chuan Chuan work, cost-effective")</f>
        <v>Good, cost-effective version of the type well, these pants to buy three, Chuan Chuan work, cost-effective</v>
      </c>
    </row>
    <row r="18738">
      <c r="A18738" s="1">
        <v>5.0</v>
      </c>
      <c r="B18738" s="1" t="s">
        <v>18497</v>
      </c>
      <c r="C18738" t="str">
        <f>IFERROR(__xludf.DUMMYFUNCTION("GOOGLETRANSLATE(B18738, ""zh"", ""en"")"),"Thick clothes clothes is very strong, the color is not bad.")</f>
        <v>Thick clothes clothes is very strong, the color is not bad.</v>
      </c>
    </row>
    <row r="18739">
      <c r="A18739" s="1">
        <v>5.0</v>
      </c>
      <c r="B18739" s="1" t="s">
        <v>18498</v>
      </c>
      <c r="C18739" t="str">
        <f>IFERROR(__xludf.DUMMYFUNCTION("GOOGLETRANSLATE(B18739, ""zh"", ""en"")"),"Good insulation. I used to think what a cup is not the same. Used to know really is not the same, it is insulation, after 16 hours, straight drink warm water or even warm. thumbs up.")</f>
        <v>Good insulation. I used to think what a cup is not the same. Used to know really is not the same, it is insulation, after 16 hours, straight drink warm water or even warm. thumbs up.</v>
      </c>
    </row>
    <row r="18740">
      <c r="A18740" s="1">
        <v>5.0</v>
      </c>
      <c r="B18740" s="1" t="s">
        <v>18499</v>
      </c>
      <c r="C18740" t="str">
        <f>IFERROR(__xludf.DUMMYFUNCTION("GOOGLETRANSLATE(B18740, ""zh"", ""en"")"),"Satisfaction very good, very comfortable, very flexible, like wearing the same, for the first time scouring the sea, very satisfied")</f>
        <v>Satisfaction very good, very comfortable, very flexible, like wearing the same, for the first time scouring the sea, very satisfied</v>
      </c>
    </row>
    <row r="18741">
      <c r="A18741" s="1">
        <v>5.0</v>
      </c>
      <c r="B18741" s="1" t="s">
        <v>18500</v>
      </c>
      <c r="C18741" t="str">
        <f>IFERROR(__xludf.DUMMYFUNCTION("GOOGLETRANSLATE(B18741, ""zh"", ""en"")"),"Good, comfortable to wear good shoes, dress is also OK, but the logistics of speed less than the price of speed, the shoes have not received, it is the price")</f>
        <v>Good, comfortable to wear good shoes, dress is also OK, but the logistics of speed less than the price of speed, the shoes have not received, it is the price</v>
      </c>
    </row>
    <row r="18742">
      <c r="A18742" s="1">
        <v>5.0</v>
      </c>
      <c r="B18742" s="1" t="s">
        <v>18501</v>
      </c>
      <c r="C18742" t="str">
        <f>IFERROR(__xludf.DUMMYFUNCTION("GOOGLETRANSLATE(B18742, ""zh"", ""en"")"),"Satisfaction 178CM, 84KG, just fit")</f>
        <v>Satisfaction 178CM, 84KG, just fit</v>
      </c>
    </row>
    <row r="18743">
      <c r="A18743" s="1">
        <v>5.0</v>
      </c>
      <c r="B18743" s="1" t="s">
        <v>18502</v>
      </c>
      <c r="C18743" t="str">
        <f>IFERROR(__xludf.DUMMYFUNCTION("GOOGLETRANSLATE(B18743, ""zh"", ""en"")"),"Commodity genuine, very fond of, it is recommended to buy goods genuine, very fond of, recommended purchase")</f>
        <v>Commodity genuine, very fond of, it is recommended to buy goods genuine, very fond of, recommended purchase</v>
      </c>
    </row>
    <row r="18744">
      <c r="A18744" s="1">
        <v>5.0</v>
      </c>
      <c r="B18744" s="1" t="s">
        <v>18503</v>
      </c>
      <c r="C18744" t="str">
        <f>IFERROR(__xludf.DUMMYFUNCTION("GOOGLETRANSLATE(B18744, ""zh"", ""en"")"),"To the parents as well as they used to eat a meal time, I did not feel anything. It should be decent.")</f>
        <v>To the parents as well as they used to eat a meal time, I did not feel anything. It should be decent.</v>
      </c>
    </row>
    <row r="18745">
      <c r="A18745" s="1">
        <v>5.0</v>
      </c>
      <c r="B18745" s="1" t="s">
        <v>18504</v>
      </c>
      <c r="C18745" t="str">
        <f>IFERROR(__xludf.DUMMYFUNCTION("GOOGLETRANSLATE(B18745, ""zh"", ""en"")"),"Domestic pretty good wear 41 fit, the shoes a little pinch 7.5M. Work shoes, no problem")</f>
        <v>Domestic pretty good wear 41 fit, the shoes a little pinch 7.5M. Work shoes, no problem</v>
      </c>
    </row>
    <row r="18746">
      <c r="A18746" s="1">
        <v>5.0</v>
      </c>
      <c r="B18746" s="1" t="s">
        <v>18505</v>
      </c>
      <c r="C18746" t="str">
        <f>IFERROR(__xludf.DUMMYFUNCTION("GOOGLETRANSLATE(B18746, ""zh"", ""en"")"),"Very relaxed and very comfortable, very light, almost naked, and really, that is a little too large. . .")</f>
        <v>Very relaxed and very comfortable, very light, almost naked, and really, that is a little too large. . .</v>
      </c>
    </row>
    <row r="18747">
      <c r="A18747" s="1">
        <v>5.0</v>
      </c>
      <c r="B18747" s="1" t="s">
        <v>18506</v>
      </c>
      <c r="C18747" t="str">
        <f>IFERROR(__xludf.DUMMYFUNCTION("GOOGLETRANSLATE(B18747, ""zh"", ""en"")"),"Good thing the real thing, yak leather, made in China, fit, comfortable, less than 1000, ha ha ha ha")</f>
        <v>Good thing the real thing, yak leather, made in China, fit, comfortable, less than 1000, ha ha ha ha</v>
      </c>
    </row>
    <row r="18748">
      <c r="A18748" s="1">
        <v>5.0</v>
      </c>
      <c r="B18748" s="1" t="s">
        <v>18507</v>
      </c>
      <c r="C18748" t="str">
        <f>IFERROR(__xludf.DUMMYFUNCTION("GOOGLETRANSLATE(B18748, ""zh"", ""en"")"),"Yan high-value decoration store goods have not installed, high color value, no-frills feel, feel good")</f>
        <v>Yan high-value decoration store goods have not installed, high color value, no-frills feel, feel good</v>
      </c>
    </row>
    <row r="18749">
      <c r="A18749" s="1">
        <v>5.0</v>
      </c>
      <c r="B18749" s="1" t="s">
        <v>18508</v>
      </c>
      <c r="C18749" t="str">
        <f>IFERROR(__xludf.DUMMYFUNCTION("GOOGLETRANSLATE(B18749, ""zh"", ""en"")"),"Number is too large too large number, table allowed. We recommended to buy a smaller size")</f>
        <v>Number is too large too large number, table allowed. We recommended to buy a smaller size</v>
      </c>
    </row>
    <row r="18750">
      <c r="A18750" s="1">
        <v>5.0</v>
      </c>
      <c r="B18750" s="1" t="s">
        <v>18509</v>
      </c>
      <c r="C18750" t="str">
        <f>IFERROR(__xludf.DUMMYFUNCTION("GOOGLETRANSLATE(B18750, ""zh"", ""en"")"),"Very good very good, typical style white teeth, to the friend, but unfortunately has not wait for this price.")</f>
        <v>Very good very good, typical style white teeth, to the friend, but unfortunately has not wait for this price.</v>
      </c>
    </row>
    <row r="18751">
      <c r="A18751" s="1">
        <v>5.0</v>
      </c>
      <c r="B18751" s="1" t="s">
        <v>18510</v>
      </c>
      <c r="C18751" t="str">
        <f>IFERROR(__xludf.DUMMYFUNCTION("GOOGLETRANSLATE(B18751, ""zh"", ""en"")"),"Amazon sea RL purchase long-sleeved shirt fabric soft, good clothes, worth recommending!")</f>
        <v>Amazon sea RL purchase long-sleeved shirt fabric soft, good clothes, worth recommending!</v>
      </c>
    </row>
    <row r="18752">
      <c r="A18752" s="1">
        <v>5.0</v>
      </c>
      <c r="B18752" s="1" t="s">
        <v>18511</v>
      </c>
      <c r="C18752" t="str">
        <f>IFERROR(__xludf.DUMMYFUNCTION("GOOGLETRANSLATE(B18752, ""zh"", ""en"")"),"Very practical silicone spoon soft. The other end of the metal rod used to scrape mud stirring complementary tool tip either directly scraping apples, very convenient.")</f>
        <v>Very practical silicone spoon soft. The other end of the metal rod used to scrape mud stirring complementary tool tip either directly scraping apples, very convenient.</v>
      </c>
    </row>
    <row r="18753">
      <c r="A18753" s="1">
        <v>5.0</v>
      </c>
      <c r="B18753" s="1" t="s">
        <v>18512</v>
      </c>
      <c r="C18753" t="str">
        <f>IFERROR(__xludf.DUMMYFUNCTION("GOOGLETRANSLATE(B18753, ""zh"", ""en"")"),"11 186cm, 105kg, retired swimmer, xxl just right, with me scouring the sea Ouma, like Nike, nothing wrong size, unlike other people say too much.")</f>
        <v>11 186cm, 105kg, retired swimmer, xxl just right, with me scouring the sea Ouma, like Nike, nothing wrong size, unlike other people say too much.</v>
      </c>
    </row>
    <row r="18754">
      <c r="A18754" s="1">
        <v>2.0</v>
      </c>
      <c r="B18754" s="1" t="s">
        <v>18513</v>
      </c>
      <c r="C18754" t="str">
        <f>IFERROR(__xludf.DUMMYFUNCTION("GOOGLETRANSLATE(B18754, ""zh"", ""en"")"),"Cotton content is too low, comfort is poor cotton content is too low, comfort is poor, a bit like a paper rubbing of the skin catch the foot")</f>
        <v>Cotton content is too low, comfort is poor cotton content is too low, comfort is poor, a bit like a paper rubbing of the skin catch the foot</v>
      </c>
    </row>
    <row r="18755">
      <c r="A18755" s="1">
        <v>3.0</v>
      </c>
      <c r="B18755" s="1" t="s">
        <v>18514</v>
      </c>
      <c r="C18755" t="str">
        <f>IFERROR(__xludf.DUMMYFUNCTION("GOOGLETRANSLATE(B18755, ""zh"", ""en"")"),"Lee men featured classic straight jeans Boss 29W x 30L pants thick, autumn and winter or early spring wear. Should be a high waist, the waist suitable (not need to coat tucked that the belt system), slightly thicker wear strip inside warm pants, just thig"&amp;"h (but still not Bengzhi), or very loose leg (straight or not suitable for relatively thin), the length is not able to step on the edge of the heel shoes trousers when standing. Size: [waist: 78cm / 30.71in, pants length: 104cm / 40.94in, panty crotch len"&amp;"gth: 78cm / 30.71in, trousers width: 20cm / 7.87in] Actual Size: [height: 168cm, body weight: 54kg]")</f>
        <v>Lee men featured classic straight jeans Boss 29W x 30L pants thick, autumn and winter or early spring wear. Should be a high waist, the waist suitable (not need to coat tucked that the belt system), slightly thicker wear strip inside warm pants, just thigh (but still not Bengzhi), or very loose leg (straight or not suitable for relatively thin), the length is not able to step on the edge of the heel shoes trousers when standing. Size: [waist: 78cm / 30.71in, pants length: 104cm / 40.94in, panty crotch length: 78cm / 30.71in, trousers width: 20cm / 7.87in] Actual Size: [height: 168cm, body weight: 54kg]</v>
      </c>
    </row>
    <row r="18756">
      <c r="A18756" s="1">
        <v>3.0</v>
      </c>
      <c r="B18756" s="1" t="s">
        <v>18515</v>
      </c>
      <c r="C18756" t="str">
        <f>IFERROR(__xludf.DUMMYFUNCTION("GOOGLETRANSLATE(B18756, ""zh"", ""en"")"),"Too ...... I can only give my mother wore, at least freshman yards or more.")</f>
        <v>Too ...... I can only give my mother wore, at least freshman yards or more.</v>
      </c>
    </row>
    <row r="18757">
      <c r="A18757" s="1">
        <v>3.0</v>
      </c>
      <c r="B18757" s="1" t="s">
        <v>18516</v>
      </c>
      <c r="C18757" t="str">
        <f>IFERROR(__xludf.DUMMYFUNCTION("GOOGLETRANSLATE(B18757, ""zh"", ""en"")"),"Insole it? Not to say there are days insole Cock fried it? And no ah! This package is called a simple")</f>
        <v>Insole it? Not to say there are days insole Cock fried it? And no ah! This package is called a simple</v>
      </c>
    </row>
    <row r="18758">
      <c r="A18758" s="1">
        <v>1.0</v>
      </c>
      <c r="B18758" s="1" t="s">
        <v>18517</v>
      </c>
      <c r="C18758" t="str">
        <f>IFERROR(__xludf.DUMMYFUNCTION("GOOGLETRANSLATE(B18758, ""zh"", ""en"")"),"Less filter? ? ? Seemingly only to send the pot, no filter")</f>
        <v>Less filter? ? ? Seemingly only to send the pot, no filter</v>
      </c>
    </row>
    <row r="18759">
      <c r="A18759" s="1">
        <v>1.0</v>
      </c>
      <c r="B18759" s="1" t="s">
        <v>18518</v>
      </c>
      <c r="C18759" t="str">
        <f>IFERROR(__xludf.DUMMYFUNCTION("GOOGLETRANSLATE(B18759, ""zh"", ""en"")"),"Product Size to adults and children mixed together, mislead consumers choose the wrong size! Product Size to adults and children of mixed mislead consumers choose the wrong size! Very dissatisfied with the shopping experience!")</f>
        <v>Product Size to adults and children mixed together, mislead consumers choose the wrong size! Product Size to adults and children of mixed mislead consumers choose the wrong size! Very dissatisfied with the shopping experience!</v>
      </c>
    </row>
    <row r="18760">
      <c r="A18760" s="1">
        <v>4.0</v>
      </c>
      <c r="B18760" s="1" t="s">
        <v>18519</v>
      </c>
      <c r="C18760" t="str">
        <f>IFERROR(__xludf.DUMMYFUNCTION("GOOGLETRANSLATE(B18760, ""zh"", ""en"")"),"Taste a little smaller than the banana flavor, but still taste. Good quality, less likely to take four months.")</f>
        <v>Taste a little smaller than the banana flavor, but still taste. Good quality, less likely to take four months.</v>
      </c>
    </row>
    <row r="18761">
      <c r="A18761" s="1">
        <v>4.0</v>
      </c>
      <c r="B18761" s="1" t="s">
        <v>18520</v>
      </c>
      <c r="C18761" t="str">
        <f>IFERROR(__xludf.DUMMYFUNCTION("GOOGLETRANSLATE(B18761, ""zh"", ""en"")"),"Very light very light very light, but there are a few days to wear a shoe sole puff leak")</f>
        <v>Very light very light very light, but there are a few days to wear a shoe sole puff leak</v>
      </c>
    </row>
    <row r="18762">
      <c r="A18762" s="1">
        <v>4.0</v>
      </c>
      <c r="B18762" s="1" t="s">
        <v>18521</v>
      </c>
      <c r="C18762" t="str">
        <f>IFERROR(__xludf.DUMMYFUNCTION("GOOGLETRANSLATE(B18762, ""zh"", ""en"")"),"A little beat little old. Feel like junk. He has been busy selling fish.")</f>
        <v>A little beat little old. Feel like junk. He has been busy selling fish.</v>
      </c>
    </row>
    <row r="18763">
      <c r="A18763" s="1">
        <v>4.0</v>
      </c>
      <c r="B18763" s="1" t="s">
        <v>18522</v>
      </c>
      <c r="C18763" t="str">
        <f>IFERROR(__xludf.DUMMYFUNCTION("GOOGLETRANSLATE(B18763, ""zh"", ""en"")"),"Sense of hearing quality: the first with Sennheiser headphones, high quality sense of hearing: No open burning, a human voice on the ear has Shaoshao forward towards the teeth with a little sound, listen to feeling a little bass. After the open burning wi"&amp;"ll be pleasantly surprised")</f>
        <v>Sense of hearing quality: the first with Sennheiser headphones, high quality sense of hearing: No open burning, a human voice on the ear has Shaoshao forward towards the teeth with a little sound, listen to feeling a little bass. After the open burning will be pleasantly surprised</v>
      </c>
    </row>
    <row r="18764">
      <c r="A18764" s="1">
        <v>5.0</v>
      </c>
      <c r="B18764" s="1" t="s">
        <v>18523</v>
      </c>
      <c r="C18764" t="str">
        <f>IFERROR(__xludf.DUMMYFUNCTION("GOOGLETRANSLATE(B18764, ""zh"", ""en"")"),"Express is really slow, more than a month before to. But really fragrant waited a month was received, express too slow! But really fragrant, this price is nothing to hesitate, very comfortable to wear or whether it is sound. But only Apple phone Direct Pu"&amp;"sh. The last player expected to be better. Too lazy to toss.")</f>
        <v>Express is really slow, more than a month before to. But really fragrant waited a month was received, express too slow! But really fragrant, this price is nothing to hesitate, very comfortable to wear or whether it is sound. But only Apple phone Direct Push. The last player expected to be better. Too lazy to toss.</v>
      </c>
    </row>
    <row r="18765">
      <c r="A18765" s="1">
        <v>5.0</v>
      </c>
      <c r="B18765" s="1" t="s">
        <v>18524</v>
      </c>
      <c r="C18765" t="str">
        <f>IFERROR(__xludf.DUMMYFUNCTION("GOOGLETRANSLATE(B18765, ""zh"", ""en"")"),"Very good, very good. I bought several times, and has been in use.")</f>
        <v>Very good, very good. I bought several times, and has been in use.</v>
      </c>
    </row>
    <row r="18766">
      <c r="A18766" s="1">
        <v>5.0</v>
      </c>
      <c r="B18766" s="1" t="s">
        <v>18525</v>
      </c>
      <c r="C18766" t="str">
        <f>IFERROR(__xludf.DUMMYFUNCTION("GOOGLETRANSLATE(B18766, ""zh"", ""en"")"),"123 Why Do not know Ganduo Poor. Express fast, quiet hard drive, read and write speed satisfaction. The lesson can be assured to buy shots.")</f>
        <v>123 Why Do not know Ganduo Poor. Express fast, quiet hard drive, read and write speed satisfaction. The lesson can be assured to buy shots.</v>
      </c>
    </row>
    <row r="18767">
      <c r="A18767" s="1">
        <v>5.0</v>
      </c>
      <c r="B18767" s="1" t="s">
        <v>18526</v>
      </c>
      <c r="C18767" t="str">
        <f>IFERROR(__xludf.DUMMYFUNCTION("GOOGLETRANSLATE(B18767, ""zh"", ""en"")"),"A big box of good quality, open looked very good quality, but also wood use, look good, oh, the phone can be connected to the main fantastic")</f>
        <v>A big box of good quality, open looked very good quality, but also wood use, look good, oh, the phone can be connected to the main fantastic</v>
      </c>
    </row>
    <row r="18768">
      <c r="A18768" s="1">
        <v>5.0</v>
      </c>
      <c r="B18768" s="1" t="s">
        <v>18527</v>
      </c>
      <c r="C18768" t="str">
        <f>IFERROR(__xludf.DUMMYFUNCTION("GOOGLETRANSLATE(B18768, ""zh"", ""en"")"),"Nice Very good, cost efficient!")</f>
        <v>Nice Very good, cost efficient!</v>
      </c>
    </row>
    <row r="18769">
      <c r="A18769" s="1">
        <v>5.0</v>
      </c>
      <c r="B18769" s="1" t="s">
        <v>18528</v>
      </c>
      <c r="C18769" t="str">
        <f>IFERROR(__xludf.DUMMYFUNCTION("GOOGLETRANSLATE(B18769, ""zh"", ""en"")"),"Good baby grandson not to use it, looked good,")</f>
        <v>Good baby grandson not to use it, looked good,</v>
      </c>
    </row>
    <row r="18770">
      <c r="A18770" s="1">
        <v>5.0</v>
      </c>
      <c r="B18770" s="1" t="s">
        <v>18529</v>
      </c>
      <c r="C18770" t="str">
        <f>IFERROR(__xludf.DUMMYFUNCTION("GOOGLETRANSLATE(B18770, ""zh"", ""en"")"),"Really stronger than M200MKII small voice, can be heard clearly. M200MKII this does not work, there is no feeling of a small voice. Big sister's voice seemed to issue from the same display, can ignore E5 next to the display. All have active speakers is a "&amp;"bit of background noise, get another sound card. What is your E5, will turn on the switch when the ""pop"" sound? I have a box of a box no. . .")</f>
        <v>Really stronger than M200MKII small voice, can be heard clearly. M200MKII this does not work, there is no feeling of a small voice. Big sister's voice seemed to issue from the same display, can ignore E5 next to the display. All have active speakers is a bit of background noise, get another sound card. What is your E5, will turn on the switch when the "pop" sound? I have a box of a box no. . .</v>
      </c>
    </row>
    <row r="18771">
      <c r="A18771" s="1">
        <v>5.0</v>
      </c>
      <c r="B18771" s="1" t="s">
        <v>18530</v>
      </c>
      <c r="C18771" t="str">
        <f>IFERROR(__xludf.DUMMYFUNCTION("GOOGLETRANSLATE(B18771, ""zh"", ""en"")"),"Good very good")</f>
        <v>Good very good</v>
      </c>
    </row>
    <row r="18772">
      <c r="A18772" s="1">
        <v>5.0</v>
      </c>
      <c r="B18772" s="1" t="s">
        <v>18531</v>
      </c>
      <c r="C18772" t="str">
        <f>IFERROR(__xludf.DUMMYFUNCTION("GOOGLETRANSLATE(B18772, ""zh"", ""en"")"),"Novice into the pit capsule coffee machine and bought a selection, the price a little high, but more than a box of six loaded experience, but there is a box outside the box, feeling the last time that the split is nice.")</f>
        <v>Novice into the pit capsule coffee machine and bought a selection, the price a little high, but more than a box of six loaded experience, but there is a box outside the box, feeling the last time that the split is nice.</v>
      </c>
    </row>
    <row r="18773">
      <c r="A18773" s="1">
        <v>5.0</v>
      </c>
      <c r="B18773" s="1" t="s">
        <v>18532</v>
      </c>
      <c r="C18773" t="str">
        <f>IFERROR(__xludf.DUMMYFUNCTION("GOOGLETRANSLATE(B18773, ""zh"", ""en"")"),"A good treasure flagship stores are selling fake Amazon had to try to water the results were good")</f>
        <v>A good treasure flagship stores are selling fake Amazon had to try to water the results were good</v>
      </c>
    </row>
    <row r="18774">
      <c r="A18774" s="1">
        <v>5.0</v>
      </c>
      <c r="B18774" s="1" t="s">
        <v>18533</v>
      </c>
      <c r="C18774" t="str">
        <f>IFERROR(__xludf.DUMMYFUNCTION("GOOGLETRANSLATE(B18774, ""zh"", ""en"")"),"Overall, still very comfortable in general very comfortable, do not wear the foot, probably because I bought a slightly larger one yards of it. I usually wear Nike, NB shoes is 43 yards, in fact, buy 9 M on it, but this I bought nine yards W, so just feel"&amp;" the foot is still some amount of space there is no way to fill the last spot after a little insole much better, but still somewhat Kong Liang, no problem, do not wear the foot, that I was in the south, and now still a little hot. Basically occasionally w"&amp;"ear it this way, usually wearing casual shoes")</f>
        <v>Overall, still very comfortable in general very comfortable, do not wear the foot, probably because I bought a slightly larger one yards of it. I usually wear Nike, NB shoes is 43 yards, in fact, buy 9 M on it, but this I bought nine yards W, so just feel the foot is still some amount of space there is no way to fill the last spot after a little insole much better, but still somewhat Kong Liang, no problem, do not wear the foot, that I was in the south, and now still a little hot. Basically occasionally wear it this way, usually wearing casual shoes</v>
      </c>
    </row>
    <row r="18775">
      <c r="A18775" s="1">
        <v>5.0</v>
      </c>
      <c r="B18775" s="1" t="s">
        <v>18534</v>
      </c>
      <c r="C18775" t="str">
        <f>IFERROR(__xludf.DUMMYFUNCTION("GOOGLETRANSLATE(B18775, ""zh"", ""en"")"),"LEE pants pants very good, very fit. 172 to buy 65 kg of 31-30, want to give a friend in need a reference.")</f>
        <v>LEE pants pants very good, very fit. 172 to buy 65 kg of 31-30, want to give a friend in need a reference.</v>
      </c>
    </row>
    <row r="18776">
      <c r="A18776" s="1">
        <v>5.0</v>
      </c>
      <c r="B18776" s="1" t="s">
        <v>18535</v>
      </c>
      <c r="C18776" t="str">
        <f>IFERROR(__xludf.DUMMYFUNCTION("GOOGLETRANSLATE(B18776, ""zh"", ""en"")"),"Good comfortable, slightly elastic, decisively buy pieces of other colors.")</f>
        <v>Good comfortable, slightly elastic, decisively buy pieces of other colors.</v>
      </c>
    </row>
    <row r="18777">
      <c r="A18777" s="1">
        <v>5.0</v>
      </c>
      <c r="B18777" s="1" t="s">
        <v>18536</v>
      </c>
      <c r="C18777" t="str">
        <f>IFERROR(__xludf.DUMMYFUNCTION("GOOGLETRANSLATE(B18777, ""zh"", ""en"")"),"Baby supplies baby like, very practical! ! !")</f>
        <v>Baby supplies baby like, very practical! ! !</v>
      </c>
    </row>
    <row r="18778">
      <c r="A18778" s="1">
        <v>5.0</v>
      </c>
      <c r="B18778" s="1" t="s">
        <v>18537</v>
      </c>
      <c r="C18778" t="str">
        <f>IFERROR(__xludf.DUMMYFUNCTION("GOOGLETRANSLATE(B18778, ""zh"", ""en"")"),"Good quality, code is not domestic sports shoes 44 yards, 44 yards just this. Good quality, suitable for winter.")</f>
        <v>Good quality, code is not domestic sports shoes 44 yards, 44 yards just this. Good quality, suitable for winter.</v>
      </c>
    </row>
    <row r="18779">
      <c r="A18779" s="1">
        <v>5.0</v>
      </c>
      <c r="B18779" s="1" t="s">
        <v>18538</v>
      </c>
      <c r="C18779" t="str">
        <f>IFERROR(__xludf.DUMMYFUNCTION("GOOGLETRANSLATE(B18779, ""zh"", ""en"")"),"Right length is somewhat narrow shoes Dad liked, comfortable, genuine no other questions, purchasing activity is very cost-effective Oh")</f>
        <v>Right length is somewhat narrow shoes Dad liked, comfortable, genuine no other questions, purchasing activity is very cost-effective Oh</v>
      </c>
    </row>
    <row r="18780">
      <c r="A18780" s="1">
        <v>5.0</v>
      </c>
      <c r="B18780" s="1" t="s">
        <v>18539</v>
      </c>
      <c r="C18780" t="str">
        <f>IFERROR(__xludf.DUMMYFUNCTION("GOOGLETRANSLATE(B18780, ""zh"", ""en"")"),"Satisfied with lee bought it did before the first lee, this a good price 174, 72kg size just right")</f>
        <v>Satisfied with lee bought it did before the first lee, this a good price 174, 72kg size just right</v>
      </c>
    </row>
    <row r="18781">
      <c r="A18781" s="1">
        <v>5.0</v>
      </c>
      <c r="B18781" s="1" t="s">
        <v>18540</v>
      </c>
      <c r="C18781" t="str">
        <f>IFERROR(__xludf.DUMMYFUNCTION("GOOGLETRANSLATE(B18781, ""zh"", ""en"")"),"Good quality! There are good texture, sea buy back the time not too long, the future will concern!")</f>
        <v>Good quality! There are good texture, sea buy back the time not too long, the future will concern!</v>
      </c>
    </row>
    <row r="18782">
      <c r="A18782" s="1">
        <v>5.0</v>
      </c>
      <c r="B18782" s="1" t="s">
        <v>18541</v>
      </c>
      <c r="C18782" t="str">
        <f>IFERROR(__xludf.DUMMYFUNCTION("GOOGLETRANSLATE(B18782, ""zh"", ""en"")"),"Good push, sound details in place, the sense of hearing is fully worthy of the price of 7 million + virtues than 600 homes in Europe dt800 good push more, easily a good sound. Currently Denon DA-10 with push satisfactory effect, a better than a previous d"&amp;"t880 ear. Before did not find a good dt880 headphone amp this is my only choice. Direct Push or a simple front-end players this recommendation into the headset, very good control. Do not the dt880, common front end will also be able to send a sound, loudn"&amp;"ess there, but the details in general, the human voice very place.")</f>
        <v>Good push, sound details in place, the sense of hearing is fully worthy of the price of 7 million + virtues than 600 homes in Europe dt800 good push more, easily a good sound. Currently Denon DA-10 with push satisfactory effect, a better than a previous dt880 ear. Before did not find a good dt880 headphone amp this is my only choice. Direct Push or a simple front-end players this recommendation into the headset, very good control. Do not the dt880, common front end will also be able to send a sound, loudness there, but the details in general, the human voice very place.</v>
      </c>
    </row>
    <row r="18783">
      <c r="A18783" s="1">
        <v>5.0</v>
      </c>
      <c r="B18783" s="1" t="s">
        <v>18542</v>
      </c>
      <c r="C18783" t="str">
        <f>IFERROR(__xludf.DUMMYFUNCTION("GOOGLETRANSLATE(B18783, ""zh"", ""en"")"),"Homemade custard cake, red bean save a lot, though it will sell well, but taste good.")</f>
        <v>Homemade custard cake, red bean save a lot, though it will sell well, but taste good.</v>
      </c>
    </row>
    <row r="18784">
      <c r="A18784" s="1">
        <v>5.0</v>
      </c>
      <c r="B18784" s="1" t="s">
        <v>18543</v>
      </c>
      <c r="C18784" t="str">
        <f>IFERROR(__xludf.DUMMYFUNCTION("GOOGLETRANSLATE(B18784, ""zh"", ""en"")"),"Braun shavers, men deserve! German quality. Braun shavers you deserve. There is domestic production 3000S before. The German-5030S better, more veneer small motor sound. Yes")</f>
        <v>Braun shavers, men deserve! German quality. Braun shavers you deserve. There is domestic production 3000S before. The German-5030S better, more veneer small motor sound. Yes</v>
      </c>
    </row>
    <row r="18785">
      <c r="A18785" s="1">
        <v>5.0</v>
      </c>
      <c r="B18785" s="1" t="s">
        <v>18544</v>
      </c>
      <c r="C18785" t="str">
        <f>IFERROR(__xludf.DUMMYFUNCTION("GOOGLETRANSLATE(B18785, ""zh"", ""en"")"),"Plum pink can be pretty, but it feels a little flimsy cover, but certainly better than the Tiger")</f>
        <v>Plum pink can be pretty, but it feels a little flimsy cover, but certainly better than the Tiger</v>
      </c>
    </row>
    <row r="18786">
      <c r="A18786" s="1">
        <v>2.0</v>
      </c>
      <c r="B18786" s="1" t="s">
        <v>18545</v>
      </c>
      <c r="C18786" t="str">
        <f>IFERROR(__xludf.DUMMYFUNCTION("GOOGLETRANSLATE(B18786, ""zh"", ""en"")"),"Headset sound quality is not, spread the goods quality, not worth the logistics soon, received a week, exceeding expectations, but I was very disappointed with the sound quality, even better than Apple's own headphones, even as cx185, heart also plug.")</f>
        <v>Headset sound quality is not, spread the goods quality, not worth the logistics soon, received a week, exceeding expectations, but I was very disappointed with the sound quality, even better than Apple's own headphones, even as cx185, heart also plug.</v>
      </c>
    </row>
    <row r="18787">
      <c r="A18787" s="1">
        <v>3.0</v>
      </c>
      <c r="B18787" s="1" t="s">
        <v>18546</v>
      </c>
      <c r="C18787" t="str">
        <f>IFERROR(__xludf.DUMMYFUNCTION("GOOGLETRANSLATE(B18787, ""zh"", ""en"")"),"There is a gap just received the goods today, there is a pungent odor open, I do not know no later washed")</f>
        <v>There is a gap just received the goods today, there is a pungent odor open, I do not know no later washed</v>
      </c>
    </row>
    <row r="18788">
      <c r="A18788" s="1">
        <v>3.0</v>
      </c>
      <c r="B18788" s="1" t="s">
        <v>18547</v>
      </c>
      <c r="C18788" t="str">
        <f>IFERROR(__xludf.DUMMYFUNCTION("GOOGLETRANSLATE(B18788, ""zh"", ""en"")"),"Size of the system say just buy the M number is too small results are tied down off the tights look")</f>
        <v>Size of the system say just buy the M number is too small results are tied down off the tights look</v>
      </c>
    </row>
    <row r="18789">
      <c r="A18789" s="1">
        <v>1.0</v>
      </c>
      <c r="B18789" s="1" t="s">
        <v>18548</v>
      </c>
      <c r="C18789" t="str">
        <f>IFERROR(__xludf.DUMMYFUNCTION("GOOGLETRANSLATE(B18789, ""zh"", ""en"")"),"Speechless really a bad ratio, came after taste great made in china I have put up Nima Why did not discount, compensation by 30 percent and then break the eggs difficult to repair")</f>
        <v>Speechless really a bad ratio, came after taste great made in china I have put up Nima Why did not discount, compensation by 30 percent and then break the eggs difficult to repair</v>
      </c>
    </row>
    <row r="18790">
      <c r="A18790" s="1">
        <v>1.0</v>
      </c>
      <c r="B18790" s="1" t="s">
        <v>18549</v>
      </c>
      <c r="C18790" t="str">
        <f>IFERROR(__xludf.DUMMYFUNCTION("GOOGLETRANSLATE(B18790, ""zh"", ""en"")"),"Pants size is too large shining buying, but bought pants too big, can not wear. There is no way back overseas purchase, own a restocking fee, return shipping about the same price with pants.")</f>
        <v>Pants size is too large shining buying, but bought pants too big, can not wear. There is no way back overseas purchase, own a restocking fee, return shipping about the same price with pants.</v>
      </c>
    </row>
    <row r="18791">
      <c r="A18791" s="1">
        <v>4.0</v>
      </c>
      <c r="B18791" s="1" t="s">
        <v>18550</v>
      </c>
      <c r="C18791" t="str">
        <f>IFERROR(__xludf.DUMMYFUNCTION("GOOGLETRANSLATE(B18791, ""zh"", ""en"")"),"Note size! Champion S code usually wear size are suitable, this result somewhat tight. I am 173cm, 62kg, S code is too small, it is just barely fit the kind usually fitness, feeling the chest where very crowded. If M can buy a very comfortable to wear, to"&amp;" users after buying a reference.")</f>
        <v>Note size! Champion S code usually wear size are suitable, this result somewhat tight. I am 173cm, 62kg, S code is too small, it is just barely fit the kind usually fitness, feeling the chest where very crowded. If M can buy a very comfortable to wear, to users after buying a reference.</v>
      </c>
    </row>
    <row r="18792">
      <c r="A18792" s="1">
        <v>4.0</v>
      </c>
      <c r="B18792" s="1" t="s">
        <v>18551</v>
      </c>
      <c r="C18792" t="str">
        <f>IFERROR(__xludf.DUMMYFUNCTION("GOOGLETRANSLATE(B18792, ""zh"", ""en"")"),"Bought a total of two, this station has normal! ! ! Bought a total of two, there is another problem! ! ! Plug can not recognize the hard disk, an interface change, change the data line, the computer will not change, the suspected damage in transit. But co"&amp;"nsidering the possible transfer security, domestic warranty, no return, that is a long time to repair a lot of trouble! ! ! . . . . . This normal use, but the United States and Asia long before God to receive 720 rmb price of the car. . . . .")</f>
        <v>Bought a total of two, this station has normal! ! ! Bought a total of two, there is another problem! ! ! Plug can not recognize the hard disk, an interface change, change the data line, the computer will not change, the suspected damage in transit. But considering the possible transfer security, domestic warranty, no return, that is a long time to repair a lot of trouble! ! ! . . . . . This normal use, but the United States and Asia long before God to receive 720 rmb price of the car. . . . .</v>
      </c>
    </row>
    <row r="18793">
      <c r="A18793" s="1">
        <v>4.0</v>
      </c>
      <c r="B18793" s="1" t="s">
        <v>18552</v>
      </c>
      <c r="C18793" t="str">
        <f>IFERROR(__xludf.DUMMYFUNCTION("GOOGLETRANSLATE(B18793, ""zh"", ""en"")"),"Zipper bag which did not work well, there is no zipper sandwich, put the wallet or something important items insecure. If you can improve the look just fine!")</f>
        <v>Zipper bag which did not work well, there is no zipper sandwich, put the wallet or something important items insecure. If you can improve the look just fine!</v>
      </c>
    </row>
    <row r="18794">
      <c r="A18794" s="1">
        <v>4.0</v>
      </c>
      <c r="B18794" s="1" t="s">
        <v>18553</v>
      </c>
      <c r="C18794" t="str">
        <f>IFERROR(__xludf.DUMMYFUNCTION("GOOGLETRANSLATE(B18794, ""zh"", ""en"")"),"The right size with the domestic similar size, but also")</f>
        <v>The right size with the domestic similar size, but also</v>
      </c>
    </row>
    <row r="18795">
      <c r="A18795" s="1">
        <v>4.0</v>
      </c>
      <c r="B18795" s="1" t="s">
        <v>18554</v>
      </c>
      <c r="C18795" t="str">
        <f>IFERROR(__xludf.DUMMYFUNCTION("GOOGLETRANSLATE(B18795, ""zh"", ""en"")"),"It appears also looked good, have not used")</f>
        <v>It appears also looked good, have not used</v>
      </c>
    </row>
    <row r="18796">
      <c r="A18796" s="1">
        <v>5.0</v>
      </c>
      <c r="B18796" s="1" t="s">
        <v>18555</v>
      </c>
      <c r="C18796" t="str">
        <f>IFERROR(__xludf.DUMMYFUNCTION("GOOGLETRANSLATE(B18796, ""zh"", ""en"")"),"Yes something good, wearing warmer than the average.")</f>
        <v>Yes something good, wearing warmer than the average.</v>
      </c>
    </row>
    <row r="18797">
      <c r="A18797" s="1">
        <v>5.0</v>
      </c>
      <c r="B18797" s="1" t="s">
        <v>18556</v>
      </c>
      <c r="C18797" t="str">
        <f>IFERROR(__xludf.DUMMYFUNCTION("GOOGLETRANSLATE(B18797, ""zh"", ""en"")"),"Very, very cheap if you are using pc, to toss in, or does not recognize Oh, make up your own online Raiders")</f>
        <v>Very, very cheap if you are using pc, to toss in, or does not recognize Oh, make up your own online Raiders</v>
      </c>
    </row>
    <row r="18798">
      <c r="A18798" s="1">
        <v>5.0</v>
      </c>
      <c r="B18798" s="1" t="s">
        <v>18557</v>
      </c>
      <c r="C18798" t="str">
        <f>IFERROR(__xludf.DUMMYFUNCTION("GOOGLETRANSLATE(B18798, ""zh"", ""en"")"),"Out of the box ~ pretty good! No big considering whether domestic, or else we do is the factory of the world. Workmanship, fast boil water, low noise, fine filter. It meets the basic concept of consumption: DD commonly used with good!")</f>
        <v>Out of the box ~ pretty good! No big considering whether domestic, or else we do is the factory of the world. Workmanship, fast boil water, low noise, fine filter. It meets the basic concept of consumption: DD commonly used with good!</v>
      </c>
    </row>
    <row r="18799">
      <c r="A18799" s="1">
        <v>5.0</v>
      </c>
      <c r="B18799" s="1" t="s">
        <v>18558</v>
      </c>
      <c r="C18799" t="str">
        <f>IFERROR(__xludf.DUMMYFUNCTION("GOOGLETRANSLATE(B18799, ""zh"", ""en"")"),"Very pleasant first overseas purchase very good, packaging intact.")</f>
        <v>Very pleasant first overseas purchase very good, packaging intact.</v>
      </c>
    </row>
    <row r="18800">
      <c r="A18800" s="1">
        <v>5.0</v>
      </c>
      <c r="B18800" s="1" t="s">
        <v>18559</v>
      </c>
      <c r="C18800" t="str">
        <f>IFERROR(__xludf.DUMMYFUNCTION("GOOGLETRANSLATE(B18800, ""zh"", ""en"")"),"Give the child vitamin D supplements colleagues recommend vitamin D supplements to children what the child did not find the feeling of rejection, but also very convenient.")</f>
        <v>Give the child vitamin D supplements colleagues recommend vitamin D supplements to children what the child did not find the feeling of rejection, but also very convenient.</v>
      </c>
    </row>
    <row r="18801">
      <c r="A18801" s="1">
        <v>5.0</v>
      </c>
      <c r="B18801" s="1" t="s">
        <v>18560</v>
      </c>
      <c r="C18801" t="str">
        <f>IFERROR(__xludf.DUMMYFUNCTION("GOOGLETRANSLATE(B18801, ""zh"", ""en"")"),"good good good good")</f>
        <v>good good good good</v>
      </c>
    </row>
    <row r="18802">
      <c r="A18802" s="1">
        <v>5.0</v>
      </c>
      <c r="B18802" s="1" t="s">
        <v>18561</v>
      </c>
      <c r="C18802" t="str">
        <f>IFERROR(__xludf.DUMMYFUNCTION("GOOGLETRANSLATE(B18802, ""zh"", ""en"")"),"No size is too large, 42 yards shoes feel like 43-44")</f>
        <v>No size is too large, 42 yards shoes feel like 43-44</v>
      </c>
    </row>
    <row r="18803">
      <c r="A18803" s="1">
        <v>5.0</v>
      </c>
      <c r="B18803" s="1" t="s">
        <v>18562</v>
      </c>
      <c r="C18803" t="str">
        <f>IFERROR(__xludf.DUMMYFUNCTION("GOOGLETRANSLATE(B18803, ""zh"", ""en"")"),"Shoes the right size, no re-imagined, the color is, thick soles.")</f>
        <v>Shoes the right size, no re-imagined, the color is, thick soles.</v>
      </c>
    </row>
    <row r="18804">
      <c r="A18804" s="1">
        <v>5.0</v>
      </c>
      <c r="B18804" s="1" t="s">
        <v>18563</v>
      </c>
      <c r="C18804" t="str">
        <f>IFERROR(__xludf.DUMMYFUNCTION("GOOGLETRANSLATE(B18804, ""zh"", ""en"")"),"Value for money is thin, warm in general, after all, affordable.")</f>
        <v>Value for money is thin, warm in general, after all, affordable.</v>
      </c>
    </row>
    <row r="18805">
      <c r="A18805" s="1">
        <v>5.0</v>
      </c>
      <c r="B18805" s="1" t="s">
        <v>18564</v>
      </c>
      <c r="C18805" t="str">
        <f>IFERROR(__xludf.DUMMYFUNCTION("GOOGLETRANSLATE(B18805, ""zh"", ""en"")"),"You can just get the goods, very good value for money. Just received the goods, very good value for money. Just received the goods, very good value for money.")</f>
        <v>You can just get the goods, very good value for money. Just received the goods, very good value for money. Just received the goods, very good value for money.</v>
      </c>
    </row>
    <row r="18806">
      <c r="A18806" s="1">
        <v>5.0</v>
      </c>
      <c r="B18806" s="1" t="s">
        <v>18565</v>
      </c>
      <c r="C18806" t="str">
        <f>IFERROR(__xludf.DUMMYFUNCTION("GOOGLETRANSLATE(B18806, ""zh"", ""en"")"),"Like the Zojirushi very good design, good quality as always.")</f>
        <v>Like the Zojirushi very good design, good quality as always.</v>
      </c>
    </row>
    <row r="18807">
      <c r="A18807" s="1">
        <v>5.0</v>
      </c>
      <c r="B18807" s="1" t="s">
        <v>18566</v>
      </c>
      <c r="C18807" t="str">
        <f>IFERROR(__xludf.DUMMYFUNCTION("GOOGLETRANSLATE(B18807, ""zh"", ""en"")"),"Quite satisfied with the first sea scouring the world for the first time to buy, the whole quite satisfactory, prime members good use. Although the table is made in China, but inexpensive, also believe that Amazon's merchandise. Pretty good")</f>
        <v>Quite satisfied with the first sea scouring the world for the first time to buy, the whole quite satisfactory, prime members good use. Although the table is made in China, but inexpensive, also believe that Amazon's merchandise. Pretty good</v>
      </c>
    </row>
    <row r="18808">
      <c r="A18808" s="1">
        <v>5.0</v>
      </c>
      <c r="B18808" s="1" t="s">
        <v>18567</v>
      </c>
      <c r="C18808" t="str">
        <f>IFERROR(__xludf.DUMMYFUNCTION("GOOGLETRANSLATE(B18808, ""zh"", ""en"")"),"it is good! Very much, comfortable, consistent quality!")</f>
        <v>it is good! Very much, comfortable, consistent quality!</v>
      </c>
    </row>
    <row r="18809">
      <c r="A18809" s="1">
        <v>5.0</v>
      </c>
      <c r="B18809" s="1" t="s">
        <v>4858</v>
      </c>
      <c r="C18809" t="str">
        <f>IFERROR(__xludf.DUMMYFUNCTION("GOOGLETRANSLATE(B18809, ""zh"", ""en"")"),"Practical very soft very close, cheap prices, although waited quite a long time.")</f>
        <v>Practical very soft very close, cheap prices, although waited quite a long time.</v>
      </c>
    </row>
    <row r="18810">
      <c r="A18810" s="1">
        <v>5.0</v>
      </c>
      <c r="B18810" s="1" t="s">
        <v>18568</v>
      </c>
      <c r="C18810" t="str">
        <f>IFERROR(__xludf.DUMMYFUNCTION("GOOGLETRANSLATE(B18810, ""zh"", ""en"")"),"Than the domestic version looks fine to receive the baby, but did not use, bought a domestic version of the work seems to be sophisticated than before, the price is cheap. ,")</f>
        <v>Than the domestic version looks fine to receive the baby, but did not use, bought a domestic version of the work seems to be sophisticated than before, the price is cheap. ,</v>
      </c>
    </row>
    <row r="18811">
      <c r="A18811" s="1">
        <v>5.0</v>
      </c>
      <c r="B18811" s="1" t="s">
        <v>18569</v>
      </c>
      <c r="C18811" t="str">
        <f>IFERROR(__xludf.DUMMYFUNCTION("GOOGLETRANSLATE(B18811, ""zh"", ""en"")"),"Comfortable pants thin, comfortable, the best and then cheaper")</f>
        <v>Comfortable pants thin, comfortable, the best and then cheaper</v>
      </c>
    </row>
    <row r="18812">
      <c r="A18812" s="1">
        <v>5.0</v>
      </c>
      <c r="B18812" s="1" t="s">
        <v>18570</v>
      </c>
      <c r="C18812" t="str">
        <f>IFERROR(__xludf.DUMMYFUNCTION("GOOGLETRANSLATE(B18812, ""zh"", ""en"")"),"👍 Chenhei five advance stocking, stuff looks fine")</f>
        <v>👍 Chenhei five advance stocking, stuff looks fine</v>
      </c>
    </row>
    <row r="18813">
      <c r="A18813" s="1">
        <v>5.0</v>
      </c>
      <c r="B18813" s="1" t="s">
        <v>18571</v>
      </c>
      <c r="C18813" t="str">
        <f>IFERROR(__xludf.DUMMYFUNCTION("GOOGLETRANSLATE(B18813, ""zh"", ""en"")"),"A nice mug. The insulation effect is good, lightweight, have a home before, and feel good so just bought this.")</f>
        <v>A nice mug. The insulation effect is good, lightweight, have a home before, and feel good so just bought this.</v>
      </c>
    </row>
    <row r="18814">
      <c r="A18814" s="1">
        <v>5.0</v>
      </c>
      <c r="B18814" s="1" t="s">
        <v>18572</v>
      </c>
      <c r="C18814" t="str">
        <f>IFERROR(__xludf.DUMMYFUNCTION("GOOGLETRANSLATE(B18814, ""zh"", ""en"")"),"Comfortable, recommended usually wear 80B, this is not suitable size, you buy 75B, are also suitable. Cup size is accurate, very comfortable to wear, affordable, is now hooked on the underwear no rims, buy not stop.")</f>
        <v>Comfortable, recommended usually wear 80B, this is not suitable size, you buy 75B, are also suitable. Cup size is accurate, very comfortable to wear, affordable, is now hooked on the underwear no rims, buy not stop.</v>
      </c>
    </row>
    <row r="18815">
      <c r="A18815" s="1">
        <v>5.0</v>
      </c>
      <c r="B18815" s="1" t="s">
        <v>18573</v>
      </c>
      <c r="C18815" t="str">
        <f>IFERROR(__xludf.DUMMYFUNCTION("GOOGLETRANSLATE(B18815, ""zh"", ""en"")"),"perfect! The house has a bunch of pot Zwilling and a cool color, mostly from the counter to buy, then used many times, that 24 cm should be more practical, and so want to buy a try from overseas. The result, is really very pleasant surprise! Quality is mu"&amp;"ch better than the counter, but the price is much cheaper than the counter. It is also cheaper than online! Almost no flaws. This is the real genuine quality should have. Extreme regret from the counter to buy so much! After continuing to buy from Amazon!")</f>
        <v>perfect! The house has a bunch of pot Zwilling and a cool color, mostly from the counter to buy, then used many times, that 24 cm should be more practical, and so want to buy a try from overseas. The result, is really very pleasant surprise! Quality is much better than the counter, but the price is much cheaper than the counter. It is also cheaper than online! Almost no flaws. This is the real genuine quality should have. Extreme regret from the counter to buy so much! After continuing to buy from Amazon!</v>
      </c>
    </row>
    <row r="18816">
      <c r="A18816" s="1">
        <v>5.0</v>
      </c>
      <c r="B18816" s="1" t="s">
        <v>18574</v>
      </c>
      <c r="C18816" t="str">
        <f>IFERROR(__xludf.DUMMYFUNCTION("GOOGLETRANSLATE(B18816, ""zh"", ""en"")"),"And as I expected の fit, great! The price to buy! Very happy! Quality Bang Bang da! And as I expected の fit, great! The price to buy! Very happy! Quality Bang Bang da!")</f>
        <v>And as I expected の fit, great! The price to buy! Very happy! Quality Bang Bang da! And as I expected の fit, great! The price to buy! Very happy! Quality Bang Bang da!</v>
      </c>
    </row>
    <row r="18817">
      <c r="A18817" s="1">
        <v>5.0</v>
      </c>
      <c r="B18817" s="1" t="s">
        <v>18575</v>
      </c>
      <c r="C18817" t="str">
        <f>IFERROR(__xludf.DUMMYFUNCTION("GOOGLETRANSLATE(B18817, ""zh"", ""en"")"),"Clothes very well, strange customs duties, tell me who know nothing to say, m code 66 centimeters long, about 99 cm Bust, medium thickness, type of liberal bias, 170 / 68kg very appropriate. The only puzzling is the first batch bought two pieces, each ove"&amp;"r 180, only 20 tariff few each, a total of 409 yuan. Now every 178, the same two tariff increase to more than 430, do not have a fixed tariff? How change at any time, even if the change is also determined according to the type of goods and unit price ah!")</f>
        <v>Clothes very well, strange customs duties, tell me who know nothing to say, m code 66 centimeters long, about 99 cm Bust, medium thickness, type of liberal bias, 170 / 68kg very appropriate. The only puzzling is the first batch bought two pieces, each over 180, only 20 tariff few each, a total of 409 yuan. Now every 178, the same two tariff increase to more than 430, do not have a fixed tariff? How change at any time, even if the change is also determined according to the type of goods and unit price ah!</v>
      </c>
    </row>
    <row r="18818">
      <c r="A18818" s="1">
        <v>2.0</v>
      </c>
      <c r="B18818" s="1" t="s">
        <v>18576</v>
      </c>
      <c r="C18818" t="str">
        <f>IFERROR(__xludf.DUMMYFUNCTION("GOOGLETRANSLATE(B18818, ""zh"", ""en"")"),"Champion t no tag, collar splice site at the apparent poor quality, like a return!")</f>
        <v>Champion t no tag, collar splice site at the apparent poor quality, like a return!</v>
      </c>
    </row>
    <row r="18819">
      <c r="A18819" s="1">
        <v>3.0</v>
      </c>
      <c r="B18819" s="1" t="s">
        <v>18577</v>
      </c>
      <c r="C18819" t="str">
        <f>IFERROR(__xludf.DUMMYFUNCTION("GOOGLETRANSLATE(B18819, ""zh"", ""en"")"),"Excellent foot soles a little hard to walk up a little sore")</f>
        <v>Excellent foot soles a little hard to walk up a little sore</v>
      </c>
    </row>
    <row r="18820">
      <c r="A18820" s="1">
        <v>3.0</v>
      </c>
      <c r="B18820" s="1" t="s">
        <v>18578</v>
      </c>
      <c r="C18820" t="str">
        <f>IFERROR(__xludf.DUMMYFUNCTION("GOOGLETRANSLATE(B18820, ""zh"", ""en"")"),"Slightly smaller a little bit small, mostly not flexible.")</f>
        <v>Slightly smaller a little bit small, mostly not flexible.</v>
      </c>
    </row>
    <row r="18821">
      <c r="A18821" s="1">
        <v>1.0</v>
      </c>
      <c r="B18821" s="1" t="s">
        <v>18579</v>
      </c>
      <c r="C18821" t="str">
        <f>IFERROR(__xludf.DUMMYFUNCTION("GOOGLETRANSLATE(B18821, ""zh"", ""en"")"),"Is a new machine? How Headers have oil? Is a new machine? Serious doubts! Stir workmanship do not feel fine.")</f>
        <v>Is a new machine? How Headers have oil? Is a new machine? Serious doubts! Stir workmanship do not feel fine.</v>
      </c>
    </row>
    <row r="18822">
      <c r="A18822" s="1">
        <v>1.0</v>
      </c>
      <c r="B18822" s="1" t="s">
        <v>18580</v>
      </c>
      <c r="C18822" t="str">
        <f>IFERROR(__xludf.DUMMYFUNCTION("GOOGLETRANSLATE(B18822, ""zh"", ""en"")"),"Not on a month to month is not bad to bad, it can not be charged, and the country has not warranty. Six months ago, I bought a white still good, also drunk. We carefully consider whether to buy")</f>
        <v>Not on a month to month is not bad to bad, it can not be charged, and the country has not warranty. Six months ago, I bought a white still good, also drunk. We carefully consider whether to buy</v>
      </c>
    </row>
    <row r="18823">
      <c r="A18823" s="1">
        <v>1.0</v>
      </c>
      <c r="B18823" s="1" t="s">
        <v>18581</v>
      </c>
      <c r="C18823" t="str">
        <f>IFERROR(__xludf.DUMMYFUNCTION("GOOGLETRANSLATE(B18823, ""zh"", ""en"")"),"No stainless steel, plastic jugs thought it was stainless steel gallbladder, did not think that a plastic pot, do not recommend buying.")</f>
        <v>No stainless steel, plastic jugs thought it was stainless steel gallbladder, did not think that a plastic pot, do not recommend buying.</v>
      </c>
    </row>
    <row r="18824">
      <c r="A18824" s="1">
        <v>4.0</v>
      </c>
      <c r="B18824" s="1" t="s">
        <v>18582</v>
      </c>
      <c r="C18824" t="str">
        <f>IFERROR(__xludf.DUMMYFUNCTION("GOOGLETRANSLATE(B18824, ""zh"", ""en"")"),"Pigeon milk foam convenient not easy. Finally, starting a spoon to stir in the milk to the nipple erect high to drink.")</f>
        <v>Pigeon milk foam convenient not easy. Finally, starting a spoon to stir in the milk to the nipple erect high to drink.</v>
      </c>
    </row>
    <row r="18825">
      <c r="A18825" s="1">
        <v>4.0</v>
      </c>
      <c r="B18825" s="1" t="s">
        <v>18583</v>
      </c>
      <c r="C18825" t="str">
        <f>IFERROR(__xludf.DUMMYFUNCTION("GOOGLETRANSLATE(B18825, ""zh"", ""en"")"),"Number of serious discrepancies I 177, weight 170, partial body burly. Reference to other buyers comments, L No purchase is still too large, Sleeve, Length also, the width of the main body 200 of talent can make it up. Suitable fat or Tinker Bell. Clothes"&amp;" very thick, red is somewhat dim, and I like it. Is the old people and the United States is indeed a big gap size.")</f>
        <v>Number of serious discrepancies I 177, weight 170, partial body burly. Reference to other buyers comments, L No purchase is still too large, Sleeve, Length also, the width of the main body 200 of talent can make it up. Suitable fat or Tinker Bell. Clothes very thick, red is somewhat dim, and I like it. Is the old people and the United States is indeed a big gap size.</v>
      </c>
    </row>
    <row r="18826">
      <c r="A18826" s="1">
        <v>4.0</v>
      </c>
      <c r="B18826" s="1" t="s">
        <v>18584</v>
      </c>
      <c r="C18826" t="str">
        <f>IFERROR(__xludf.DUMMYFUNCTION("GOOGLETRANSLATE(B18826, ""zh"", ""en"")"),"Suitable wearing not very comfortable, size fit. Improvise when the pajamas to wear it")</f>
        <v>Suitable wearing not very comfortable, size fit. Improvise when the pajamas to wear it</v>
      </c>
    </row>
    <row r="18827">
      <c r="A18827" s="1">
        <v>4.0</v>
      </c>
      <c r="B18827" s="1" t="s">
        <v>18585</v>
      </c>
      <c r="C18827" t="str">
        <f>IFERROR(__xludf.DUMMYFUNCTION("GOOGLETRANSLATE(B18827, ""zh"", ""en"")"),"Shoes too skinny eight days of arrival is fast, cheap, workmanship can be manufactured in Vietnam, and description match, numbers are not allowed in front of the shoes too thin flip ,, serious, my feet on the very thin up also will not, I really do not I "&amp;"know to do more than wearing thin, and can only be given away for the first time scouring the sea very disappointed. 41 yards usually wear, this pair 8.5US one yards.")</f>
        <v>Shoes too skinny eight days of arrival is fast, cheap, workmanship can be manufactured in Vietnam, and description match, numbers are not allowed in front of the shoes too thin flip ,, serious, my feet on the very thin up also will not, I really do not I know to do more than wearing thin, and can only be given away for the first time scouring the sea very disappointed. 41 yards usually wear, this pair 8.5US one yards.</v>
      </c>
    </row>
    <row r="18828">
      <c r="A18828" s="1">
        <v>4.0</v>
      </c>
      <c r="B18828" s="1" t="s">
        <v>18586</v>
      </c>
      <c r="C18828" t="str">
        <f>IFERROR(__xludf.DUMMYFUNCTION("GOOGLETRANSLATE(B18828, ""zh"", ""en"")"),"Brush pretty good brush is also good, the price is more cost effective.")</f>
        <v>Brush pretty good brush is also good, the price is more cost effective.</v>
      </c>
    </row>
    <row r="18829">
      <c r="A18829" s="1">
        <v>5.0</v>
      </c>
      <c r="B18829" s="1" t="s">
        <v>18587</v>
      </c>
      <c r="C18829" t="str">
        <f>IFERROR(__xludf.DUMMYFUNCTION("GOOGLETRANSLATE(B18829, ""zh"", ""en"")"),"very good! Cheap! very good! Cheap! very good! Cheap! very good! Cheap!")</f>
        <v>very good! Cheap! very good! Cheap! very good! Cheap! very good! Cheap!</v>
      </c>
    </row>
    <row r="18830">
      <c r="A18830" s="1">
        <v>5.0</v>
      </c>
      <c r="B18830" s="1" t="s">
        <v>18588</v>
      </c>
      <c r="C18830" t="str">
        <f>IFERROR(__xludf.DUMMYFUNCTION("GOOGLETRANSLATE(B18830, ""zh"", ""en"")"),"Yan high value, good thermal insulation effect good results. Good-looking ~ ~ ~")</f>
        <v>Yan high value, good thermal insulation effect good results. Good-looking ~ ~ ~</v>
      </c>
    </row>
    <row r="18831">
      <c r="A18831" s="1">
        <v>5.0</v>
      </c>
      <c r="B18831" s="1" t="s">
        <v>18589</v>
      </c>
      <c r="C18831" t="str">
        <f>IFERROR(__xludf.DUMMYFUNCTION("GOOGLETRANSLATE(B18831, ""zh"", ""en"")"),"Exquisite workmanship, good quality have to say, quality, workmanship are impress")</f>
        <v>Exquisite workmanship, good quality have to say, quality, workmanship are impress</v>
      </c>
    </row>
    <row r="18832">
      <c r="A18832" s="1">
        <v>5.0</v>
      </c>
      <c r="B18832" s="1" t="s">
        <v>18590</v>
      </c>
      <c r="C18832" t="str">
        <f>IFERROR(__xludf.DUMMYFUNCTION("GOOGLETRANSLATE(B18832, ""zh"", ""en"")"),"Injury to the knee, the knee suddenly remembered the time to this recent movement, suddenly thought of this, and with the domestic price and is cheaper than direct mail, plus a tariff cheaper than the domestic, so why not buy from Amazon. Just begun to ea"&amp;"t do not know how to effect, because this is not the first stock I bought another, a little cheaper, as long as the basic ingredients but as little more than a few VD, give it a try")</f>
        <v>Injury to the knee, the knee suddenly remembered the time to this recent movement, suddenly thought of this, and with the domestic price and is cheaper than direct mail, plus a tariff cheaper than the domestic, so why not buy from Amazon. Just begun to eat do not know how to effect, because this is not the first stock I bought another, a little cheaper, as long as the basic ingredients but as little more than a few VD, give it a try</v>
      </c>
    </row>
    <row r="18833">
      <c r="A18833" s="1">
        <v>5.0</v>
      </c>
      <c r="B18833" s="1" t="s">
        <v>18591</v>
      </c>
      <c r="C18833" t="str">
        <f>IFERROR(__xludf.DUMMYFUNCTION("GOOGLETRANSLATE(B18833, ""zh"", ""en"")"),"The value of just the right size, the quality of Leverage, like!")</f>
        <v>The value of just the right size, the quality of Leverage, like!</v>
      </c>
    </row>
    <row r="18834">
      <c r="A18834" s="1">
        <v>5.0</v>
      </c>
      <c r="B18834" s="1" t="s">
        <v>18592</v>
      </c>
      <c r="C18834" t="str">
        <f>IFERROR(__xludf.DUMMYFUNCTION("GOOGLETRANSLATE(B18834, ""zh"", ""en"")"),"Long pants rather long pants longer than other sections 30L is longer")</f>
        <v>Long pants rather long pants longer than other sections 30L is longer</v>
      </c>
    </row>
    <row r="18835">
      <c r="A18835" s="1">
        <v>5.0</v>
      </c>
      <c r="B18835" s="1" t="s">
        <v>18593</v>
      </c>
      <c r="C18835" t="str">
        <f>IFERROR(__xludf.DUMMYFUNCTION("GOOGLETRANSLATE(B18835, ""zh"", ""en"")"),"Richell cup good set of cups, cover five months of July and August have it all, good quality, straws, complete accessories, like")</f>
        <v>Richell cup good set of cups, cover five months of July and August have it all, good quality, straws, complete accessories, like</v>
      </c>
    </row>
    <row r="18836">
      <c r="A18836" s="1">
        <v>5.0</v>
      </c>
      <c r="B18836" s="1" t="s">
        <v>18594</v>
      </c>
      <c r="C18836" t="str">
        <f>IFERROR(__xludf.DUMMYFUNCTION("GOOGLETRANSLATE(B18836, ""zh"", ""en"")"),"The first sea Amoy buy jeans, fit, good prices come back the next two black five. Waist thinner, but thick legs. . . May play more than cause. Usually difficult to buy to buy a pair of jeans that fit. lee levis store and bought two fairly fit, but the pri"&amp;"ce is too expensive. The sea Amoy are catching up with the discount, plus shipping costs less than 300, the store are thousands. it's a bargain. Mainly wearing a very appropriate, even more than the store bought also fit, slightly elastic, not tight. Wint"&amp;"er can be a thin sleeve a bit of warmth without affecting sit squatting to go. According to their size usually wear pants like the election, fit")</f>
        <v>The first sea Amoy buy jeans, fit, good prices come back the next two black five. Waist thinner, but thick legs. . . May play more than cause. Usually difficult to buy to buy a pair of jeans that fit. lee levis store and bought two fairly fit, but the price is too expensive. The sea Amoy are catching up with the discount, plus shipping costs less than 300, the store are thousands. it's a bargain. Mainly wearing a very appropriate, even more than the store bought also fit, slightly elastic, not tight. Winter can be a thin sleeve a bit of warmth without affecting sit squatting to go. According to their size usually wear pants like the election, fit</v>
      </c>
    </row>
    <row r="18837">
      <c r="A18837" s="1">
        <v>5.0</v>
      </c>
      <c r="B18837" s="1" t="s">
        <v>18595</v>
      </c>
      <c r="C18837" t="str">
        <f>IFERROR(__xludf.DUMMYFUNCTION("GOOGLETRANSLATE(B18837, ""zh"", ""en"")"),"Gospel fat is actually faster than the speed of Amazon's own forecast, pants quite like domestic or foreigner everywhere Slim pants fit me, ah, ha ha ha ha, I wear 178 30L enough, probably I do not like to wear long trousers reasons , and I can wear the 3"&amp;"2L")</f>
        <v>Gospel fat is actually faster than the speed of Amazon's own forecast, pants quite like domestic or foreigner everywhere Slim pants fit me, ah, ha ha ha ha, I wear 178 30L enough, probably I do not like to wear long trousers reasons , and I can wear the 32L</v>
      </c>
    </row>
    <row r="18838">
      <c r="A18838" s="1">
        <v>5.0</v>
      </c>
      <c r="B18838" s="1" t="s">
        <v>18596</v>
      </c>
      <c r="C18838" t="str">
        <f>IFERROR(__xludf.DUMMYFUNCTION("GOOGLETRANSLATE(B18838, ""zh"", ""en"")"),"Very good quality shoes British Lunfan, the version is very positive, wear a month, a variety of worn shoes no deformation. Stylish and classic. Disadvantages: 1, shoes are thin version, shoes, mouth tight, so it is best to buy a bigger size two numbers a"&amp;"re 1-2, said to be the time to buy new, but when sent clear second-hand shoes. And all kinds of packaging specifications of their music are not, there is no warranty card - but it is too fond of, on the left -")</f>
        <v>Very good quality shoes British Lunfan, the version is very positive, wear a month, a variety of worn shoes no deformation. Stylish and classic. Disadvantages: 1, shoes are thin version, shoes, mouth tight, so it is best to buy a bigger size two numbers are 1-2, said to be the time to buy new, but when sent clear second-hand shoes. And all kinds of packaging specifications of their music are not, there is no warranty card - but it is too fond of, on the left -</v>
      </c>
    </row>
    <row r="18839">
      <c r="A18839" s="1">
        <v>5.0</v>
      </c>
      <c r="B18839" s="1" t="s">
        <v>18597</v>
      </c>
      <c r="C18839" t="str">
        <f>IFERROR(__xludf.DUMMYFUNCTION("GOOGLETRANSLATE(B18839, ""zh"", ""en"")"),"Good price high, stockpile used, should be good")</f>
        <v>Good price high, stockpile used, should be good</v>
      </c>
    </row>
    <row r="18840">
      <c r="A18840" s="1">
        <v>5.0</v>
      </c>
      <c r="B18840" s="1" t="s">
        <v>18598</v>
      </c>
      <c r="C18840" t="str">
        <f>IFERROR(__xludf.DUMMYFUNCTION("GOOGLETRANSLATE(B18840, ""zh"", ""en"")"),"Classic ball-point pen shape is very classic, refill function be perfect. This chrome-plated brass to adding much quality pen. Although the price of small expensive but worth it.")</f>
        <v>Classic ball-point pen shape is very classic, refill function be perfect. This chrome-plated brass to adding much quality pen. Although the price of small expensive but worth it.</v>
      </c>
    </row>
    <row r="18841">
      <c r="A18841" s="1">
        <v>5.0</v>
      </c>
      <c r="B18841" s="1" t="s">
        <v>18599</v>
      </c>
      <c r="C18841" t="str">
        <f>IFERROR(__xludf.DUMMYFUNCTION("GOOGLETRANSLATE(B18841, ""zh"", ""en"")"),"Health doll comes standard with nothing to say, baby living standard, the boss run out to buy a second child followed by")</f>
        <v>Health doll comes standard with nothing to say, baby living standard, the boss run out to buy a second child followed by</v>
      </c>
    </row>
    <row r="18842">
      <c r="A18842" s="1">
        <v>5.0</v>
      </c>
      <c r="B18842" s="1" t="s">
        <v>18600</v>
      </c>
      <c r="C18842" t="str">
        <f>IFERROR(__xludf.DUMMYFUNCTION("GOOGLETRANSLATE(B18842, ""zh"", ""en"")"),"General oralB toothbrush can be used, prime avoid the overseas shipping is very cost-effective to buy a generic oralB toothbrush can be used, prime the free shipping overseas to buy a bargain.")</f>
        <v>General oralB toothbrush can be used, prime avoid the overseas shipping is very cost-effective to buy a generic oralB toothbrush can be used, prime the free shipping overseas to buy a bargain.</v>
      </c>
    </row>
    <row r="18843">
      <c r="A18843" s="1">
        <v>5.0</v>
      </c>
      <c r="B18843" s="1" t="s">
        <v>18601</v>
      </c>
      <c r="C18843" t="str">
        <f>IFERROR(__xludf.DUMMYFUNCTION("GOOGLETRANSLATE(B18843, ""zh"", ""en"")"),"Very satisfied just right, very comfortable, very satisfied with the shopping")</f>
        <v>Very satisfied just right, very comfortable, very satisfied with the shopping</v>
      </c>
    </row>
    <row r="18844">
      <c r="A18844" s="1">
        <v>5.0</v>
      </c>
      <c r="B18844" s="1" t="s">
        <v>18602</v>
      </c>
      <c r="C18844" t="str">
        <f>IFERROR(__xludf.DUMMYFUNCTION("GOOGLETRANSLATE(B18844, ""zh"", ""en"")"),"Good good texture, in order to rotate the cartridge tip slightly loose, normal writing no problem")</f>
        <v>Good good texture, in order to rotate the cartridge tip slightly loose, normal writing no problem</v>
      </c>
    </row>
    <row r="18845">
      <c r="A18845" s="1">
        <v>5.0</v>
      </c>
      <c r="B18845" s="1" t="s">
        <v>18603</v>
      </c>
      <c r="C18845" t="str">
        <f>IFERROR(__xludf.DUMMYFUNCTION("GOOGLETRANSLATE(B18845, ""zh"", ""en"")"),"High cost, recommended read reviews before that this pen is very heavy, can only do the eight children of the pen, get our hands on a look okay, not particularly heavy, no accident pen tongue is crooked, do not write many words can be used as everyday pen"&amp;" use, white flight phenomenon first there, but after later wrote almost 200 words basically there is no ink used is very dark, remained once a day frequency, to ensure that the next note that is water, feel good")</f>
        <v>High cost, recommended read reviews before that this pen is very heavy, can only do the eight children of the pen, get our hands on a look okay, not particularly heavy, no accident pen tongue is crooked, do not write many words can be used as everyday pen use, white flight phenomenon first there, but after later wrote almost 200 words basically there is no ink used is very dark, remained once a day frequency, to ensure that the next note that is water, feel good</v>
      </c>
    </row>
    <row r="18846">
      <c r="A18846" s="1">
        <v>5.0</v>
      </c>
      <c r="B18846" s="1" t="s">
        <v>18604</v>
      </c>
      <c r="C18846" t="str">
        <f>IFERROR(__xludf.DUMMYFUNCTION("GOOGLETRANSLATE(B18846, ""zh"", ""en"")"),"New Genuine price 10T1000 blocks do not know how long it will appear slightly larger noise")</f>
        <v>New Genuine price 10T1000 blocks do not know how long it will appear slightly larger noise</v>
      </c>
    </row>
    <row r="18847">
      <c r="A18847" s="1">
        <v>5.0</v>
      </c>
      <c r="B18847" s="1" t="s">
        <v>18605</v>
      </c>
      <c r="C18847" t="str">
        <f>IFERROR(__xludf.DUMMYFUNCTION("GOOGLETRANSLATE(B18847, ""zh"", ""en"")"),"Sea sea Amoy Amoy good price, good price")</f>
        <v>Sea sea Amoy Amoy good price, good price</v>
      </c>
    </row>
    <row r="18848">
      <c r="A18848" s="1">
        <v>5.0</v>
      </c>
      <c r="B18848" s="1" t="s">
        <v>18606</v>
      </c>
      <c r="C18848" t="str">
        <f>IFERROR(__xludf.DUMMYFUNCTION("GOOGLETRANSLATE(B18848, ""zh"", ""en"")"),"Size just good quality 178cm 80kg size just is not too long or too tight-fitting sleeves color did not color at an affordable price")</f>
        <v>Size just good quality 178cm 80kg size just is not too long or too tight-fitting sleeves color did not color at an affordable price</v>
      </c>
    </row>
    <row r="18849">
      <c r="A18849" s="1">
        <v>5.0</v>
      </c>
      <c r="B18849" s="1" t="s">
        <v>18607</v>
      </c>
      <c r="C18849" t="str">
        <f>IFERROR(__xludf.DUMMYFUNCTION("GOOGLETRANSLATE(B18849, ""zh"", ""en"")"),"Suitable 1 meter tall and 65, weighing 122. This number is just right. If people like the loose, need to enlarge One.")</f>
        <v>Suitable 1 meter tall and 65, weighing 122. This number is just right. If people like the loose, need to enlarge One.</v>
      </c>
    </row>
    <row r="18850">
      <c r="A18850" s="1">
        <v>5.0</v>
      </c>
      <c r="B18850" s="1" t="s">
        <v>18608</v>
      </c>
      <c r="C18850" t="str">
        <f>IFERROR(__xludf.DUMMYFUNCTION("GOOGLETRANSLATE(B18850, ""zh"", ""en"")"),"Good has repeatedly purchased this affordable package arrived well")</f>
        <v>Good has repeatedly purchased this affordable package arrived well</v>
      </c>
    </row>
    <row r="18851">
      <c r="A18851" s="1">
        <v>2.0</v>
      </c>
      <c r="B18851" s="1" t="s">
        <v>18609</v>
      </c>
      <c r="C18851" t="str">
        <f>IFERROR(__xludf.DUMMYFUNCTION("GOOGLETRANSLATE(B18851, ""zh"", ""en"")"),"Size table too inaccurate, too")</f>
        <v>Size table too inaccurate, too</v>
      </c>
    </row>
    <row r="18852">
      <c r="A18852" s="1">
        <v>3.0</v>
      </c>
      <c r="B18852" s="1" t="s">
        <v>18610</v>
      </c>
      <c r="C18852" t="str">
        <f>IFERROR(__xludf.DUMMYFUNCTION("GOOGLETRANSLATE(B18852, ""zh"", ""en"")"),"Fade wash more clothes in front of the logo will be out")</f>
        <v>Fade wash more clothes in front of the logo will be out</v>
      </c>
    </row>
    <row r="18853">
      <c r="A18853" s="1">
        <v>3.0</v>
      </c>
      <c r="B18853" s="1" t="s">
        <v>18611</v>
      </c>
      <c r="C18853" t="str">
        <f>IFERROR(__xludf.DUMMYFUNCTION("GOOGLETRANSLATE(B18853, ""zh"", ""en"")"),"Something authentic, packaging pulpy. The British Empire was so poor that boxes are not willing to give. Let the children single-handedly across the sea from. Tell the truth, from the point of view of comparison box, followed by Japan's degree fly ""Ameri"&amp;"ca&gt; = Germany, UK. Not something to be thankful for damage")</f>
        <v>Something authentic, packaging pulpy. The British Empire was so poor that boxes are not willing to give. Let the children single-handedly across the sea from. Tell the truth, from the point of view of comparison box, followed by Japan's degree fly "America&gt; = Germany, UK. Not something to be thankful for damage</v>
      </c>
    </row>
    <row r="18854">
      <c r="A18854" s="1">
        <v>3.0</v>
      </c>
      <c r="B18854" s="1" t="s">
        <v>18612</v>
      </c>
      <c r="C18854" t="str">
        <f>IFERROR(__xludf.DUMMYFUNCTION("GOOGLETRANSLATE(B18854, ""zh"", ""en"")"),"Too bought s code is still too big, clothes too long, the quality of the general feeling of it, to see the face of the price, the whole can")</f>
        <v>Too bought s code is still too big, clothes too long, the quality of the general feeling of it, to see the face of the price, the whole can</v>
      </c>
    </row>
    <row r="18855">
      <c r="A18855" s="1">
        <v>1.0</v>
      </c>
      <c r="B18855" s="1" t="s">
        <v>18613</v>
      </c>
      <c r="C18855" t="str">
        <f>IFERROR(__xludf.DUMMYFUNCTION("GOOGLETRANSLATE(B18855, ""zh"", ""en"")"),"Size of this size are not allowed to seriously strange, I'm all US version L T-shirt shirts are fat you suspect this one life")</f>
        <v>Size of this size are not allowed to seriously strange, I'm all US version L T-shirt shirts are fat you suspect this one life</v>
      </c>
    </row>
    <row r="18856">
      <c r="A18856" s="1">
        <v>1.0</v>
      </c>
      <c r="B18856" s="1" t="s">
        <v>18614</v>
      </c>
      <c r="C18856" t="str">
        <f>IFERROR(__xludf.DUMMYFUNCTION("GOOGLETRANSLATE(B18856, ""zh"", ""en"")"),"Strap fade I was on March 24 received the goods, Today is May 6, that is, more than a month, even faded strap! ! ! The first is the maintenance point phone has been unable to connect, no answer, again, customer service said no warranty strap, the strap va"&amp;"lue than a thousand pieces, the quality is not too bad now? If worn for six months, no problem, very angry! ! !")</f>
        <v>Strap fade I was on March 24 received the goods, Today is May 6, that is, more than a month, even faded strap! ! ! The first is the maintenance point phone has been unable to connect, no answer, again, customer service said no warranty strap, the strap value than a thousand pieces, the quality is not too bad now? If worn for six months, no problem, very angry! ! !</v>
      </c>
    </row>
    <row r="18857">
      <c r="A18857" s="1">
        <v>1.0</v>
      </c>
      <c r="B18857" s="1" t="s">
        <v>18615</v>
      </c>
      <c r="C18857" t="str">
        <f>IFERROR(__xludf.DUMMYFUNCTION("GOOGLETRANSLATE(B18857, ""zh"", ""en"")"),"Left and right stereo sound suddenly found poor big, big right, left very suddenly discovered about poor audio sound big, big right, left small, the right side to the left side with none of them. In addition the channel has been tried.")</f>
        <v>Left and right stereo sound suddenly found poor big, big right, left very suddenly discovered about poor audio sound big, big right, left small, the right side to the left side with none of them. In addition the channel has been tried.</v>
      </c>
    </row>
    <row r="18858">
      <c r="A18858" s="1">
        <v>4.0</v>
      </c>
      <c r="B18858" s="1" t="s">
        <v>18616</v>
      </c>
      <c r="C18858" t="str">
        <f>IFERROR(__xludf.DUMMYFUNCTION("GOOGLETRANSLATE(B18858, ""zh"", ""en"")"),"A little thin, spring models it should be! My height 178, weight 79kg, there is little stomach! M number is still large, about the same length, but too much fat legs Yeah, used to wear self-cultivation, which dressed like a bucket ah! Waist circumference "&amp;"more than! See more comments guess I would choose the S!")</f>
        <v>A little thin, spring models it should be! My height 178, weight 79kg, there is little stomach! M number is still large, about the same length, but too much fat legs Yeah, used to wear self-cultivation, which dressed like a bucket ah! Waist circumference more than! See more comments guess I would choose the S!</v>
      </c>
    </row>
    <row r="18859">
      <c r="A18859" s="1">
        <v>4.0</v>
      </c>
      <c r="B18859" s="1" t="s">
        <v>18617</v>
      </c>
      <c r="C18859" t="str">
        <f>IFERROR(__xludf.DUMMYFUNCTION("GOOGLETRANSLATE(B18859, ""zh"", ""en"")"),"Chinese clothing sizes and lack of contrast, it is easy to buy a big contrast with the lack of Chinese clothing size, it is easy to buy big")</f>
        <v>Chinese clothing sizes and lack of contrast, it is easy to buy a big contrast with the lack of Chinese clothing size, it is easy to buy big</v>
      </c>
    </row>
    <row r="18860">
      <c r="A18860" s="1">
        <v>4.0</v>
      </c>
      <c r="B18860" s="1" t="s">
        <v>18618</v>
      </c>
      <c r="C18860" t="str">
        <f>IFERROR(__xludf.DUMMYFUNCTION("GOOGLETRANSLATE(B18860, ""zh"", ""en"")"),"Cost can also use down is to knead the dough can also be the first to shake a bit exaggerated do not know how the two other brands")</f>
        <v>Cost can also use down is to knead the dough can also be the first to shake a bit exaggerated do not know how the two other brands</v>
      </c>
    </row>
    <row r="18861">
      <c r="A18861" s="1">
        <v>4.0</v>
      </c>
      <c r="B18861" s="1" t="s">
        <v>18619</v>
      </c>
      <c r="C18861" t="str">
        <f>IFERROR(__xludf.DUMMYFUNCTION("GOOGLETRANSLATE(B18861, ""zh"", ""en"")"),"Good clothes, is a thin installed style, material is also good, that is a bit thin")</f>
        <v>Good clothes, is a thin installed style, material is also good, that is a bit thin</v>
      </c>
    </row>
    <row r="18862">
      <c r="A18862" s="1">
        <v>4.0</v>
      </c>
      <c r="B18862" s="1" t="s">
        <v>18620</v>
      </c>
      <c r="C18862" t="str">
        <f>IFERROR(__xludf.DUMMYFUNCTION("GOOGLETRANSLATE(B18862, ""zh"", ""en"")"),"Uncle pants! Color images have color, it should be a little lighter than the picture khaki, khaki with a little feeling. Elastic material, worsted twill pants, moderate thickness, a suitable spring and wear comfort possible. 32 yards waistline 84 cm, low "&amp;"waist, crotch before long, partial fat legs, more suitable for the age level uncle wearing, I feel worse than I bought three years ago, CK 33 yards slim cotton pants type pants. Pants quite satisfied, this can only be said that he could. Less than 300 yua"&amp;"n hand, the price is okay. My Body Type: 169 cm, 73 kg, 90 waist, 99 hip, this 32x30 size appropriate.")</f>
        <v>Uncle pants! Color images have color, it should be a little lighter than the picture khaki, khaki with a little feeling. Elastic material, worsted twill pants, moderate thickness, a suitable spring and wear comfort possible. 32 yards waistline 84 cm, low waist, crotch before long, partial fat legs, more suitable for the age level uncle wearing, I feel worse than I bought three years ago, CK 33 yards slim cotton pants type pants. Pants quite satisfied, this can only be said that he could. Less than 300 yuan hand, the price is okay. My Body Type: 169 cm, 73 kg, 90 waist, 99 hip, this 32x30 size appropriate.</v>
      </c>
    </row>
    <row r="18863">
      <c r="A18863" s="1">
        <v>5.0</v>
      </c>
      <c r="B18863" s="1" t="s">
        <v>18621</v>
      </c>
      <c r="C18863" t="str">
        <f>IFERROR(__xludf.DUMMYFUNCTION("GOOGLETRANSLATE(B18863, ""zh"", ""en"")"),"High-quality kitchen cutlery Fu Teng Bao gourmet kitchen cutlery kit 4 sets of high (stainless steel) quality, thicker material, stainless steel kitchen utensils sold than in the general mall and thick material good. Although the price of small expensive,"&amp;" but use value.")</f>
        <v>High-quality kitchen cutlery Fu Teng Bao gourmet kitchen cutlery kit 4 sets of high (stainless steel) quality, thicker material, stainless steel kitchen utensils sold than in the general mall and thick material good. Although the price of small expensive, but use value.</v>
      </c>
    </row>
    <row r="18864">
      <c r="A18864" s="1">
        <v>5.0</v>
      </c>
      <c r="B18864" s="1" t="s">
        <v>18622</v>
      </c>
      <c r="C18864" t="str">
        <f>IFERROR(__xludf.DUMMYFUNCTION("GOOGLETRANSLATE(B18864, ""zh"", ""en"")"),"Well baby I liked it, two treasure of great need will buy! Logistics is to force")</f>
        <v>Well baby I liked it, two treasure of great need will buy! Logistics is to force</v>
      </c>
    </row>
    <row r="18865">
      <c r="A18865" s="1">
        <v>5.0</v>
      </c>
      <c r="B18865" s="1" t="s">
        <v>18623</v>
      </c>
      <c r="C18865" t="str">
        <f>IFERROR(__xludf.DUMMYFUNCTION("GOOGLETRANSLATE(B18865, ""zh"", ""en"")"),"Very good very good package")</f>
        <v>Very good very good package</v>
      </c>
    </row>
    <row r="18866">
      <c r="A18866" s="1">
        <v>5.0</v>
      </c>
      <c r="B18866" s="1" t="s">
        <v>18624</v>
      </c>
      <c r="C18866" t="str">
        <f>IFERROR(__xludf.DUMMYFUNCTION("GOOGLETRANSLATE(B18866, ""zh"", ""en"")"),"Goods is good merchandise, good that I did not pass through clothing, height 182, the election of large size, very appropriate. Who is too thin, there is embarrassed to wear fitness 😂")</f>
        <v>Goods is good merchandise, good that I did not pass through clothing, height 182, the election of large size, very appropriate. Who is too thin, there is embarrassed to wear fitness 😂</v>
      </c>
    </row>
    <row r="18867">
      <c r="A18867" s="1">
        <v>5.0</v>
      </c>
      <c r="B18867" s="1" t="s">
        <v>18625</v>
      </c>
      <c r="C18867" t="str">
        <f>IFERROR(__xludf.DUMMYFUNCTION("GOOGLETRANSLATE(B18867, ""zh"", ""en"")"),"The shoes are very satisfied with the recommendation of a pair of shoes, it should be manufactured in India. Yes 👍 I went to England two years ago did not focus on this brand of shoes. Britain again in the future have to buy several pairs of shoes.")</f>
        <v>The shoes are very satisfied with the recommendation of a pair of shoes, it should be manufactured in India. Yes 👍 I went to England two years ago did not focus on this brand of shoes. Britain again in the future have to buy several pairs of shoes.</v>
      </c>
    </row>
    <row r="18868">
      <c r="A18868" s="1">
        <v>5.0</v>
      </c>
      <c r="B18868" s="1" t="s">
        <v>18626</v>
      </c>
      <c r="C18868" t="str">
        <f>IFERROR(__xludf.DUMMYFUNCTION("GOOGLETRANSLATE(B18868, ""zh"", ""en"")"),"Affordable affordable, cost-effective, stable, quiet")</f>
        <v>Affordable affordable, cost-effective, stable, quiet</v>
      </c>
    </row>
    <row r="18869">
      <c r="A18869" s="1">
        <v>5.0</v>
      </c>
      <c r="B18869" s="1" t="s">
        <v>18627</v>
      </c>
      <c r="C18869" t="str">
        <f>IFERROR(__xludf.DUMMYFUNCTION("GOOGLETRANSLATE(B18869, ""zh"", ""en"")"),"Seagate Seagate hard disk quality is good, but Amazon's packaging too bad, then came outside packaging are damaged. Amazon's service quality in rapid decline.")</f>
        <v>Seagate Seagate hard disk quality is good, but Amazon's packaging too bad, then came outside packaging are damaged. Amazon's service quality in rapid decline.</v>
      </c>
    </row>
    <row r="18870">
      <c r="A18870" s="1">
        <v>5.0</v>
      </c>
      <c r="B18870" s="1" t="s">
        <v>18628</v>
      </c>
      <c r="C18870" t="str">
        <f>IFERROR(__xludf.DUMMYFUNCTION("GOOGLETRANSLATE(B18870, ""zh"", ""en"")"),"Style is not self meter eighty three, $ 140 kilos, W31L32, numbers are right, style is the fat section straight, a little big, wear it Minato live")</f>
        <v>Style is not self meter eighty three, $ 140 kilos, W31L32, numbers are right, style is the fat section straight, a little big, wear it Minato live</v>
      </c>
    </row>
    <row r="18871">
      <c r="A18871" s="1">
        <v>5.0</v>
      </c>
      <c r="B18871" s="1" t="s">
        <v>18629</v>
      </c>
      <c r="C18871" t="str">
        <f>IFERROR(__xludf.DUMMYFUNCTION("GOOGLETRANSLATE(B18871, ""zh"", ""en"")"),"A good shopping prime members eight days I went to the corner partial width but still can wear pretty shoes recommended most of the code")</f>
        <v>A good shopping prime members eight days I went to the corner partial width but still can wear pretty shoes recommended most of the code</v>
      </c>
    </row>
    <row r="18872">
      <c r="A18872" s="1">
        <v>5.0</v>
      </c>
      <c r="B18872" s="1" t="s">
        <v>18630</v>
      </c>
      <c r="C18872" t="str">
        <f>IFERROR(__xludf.DUMMYFUNCTION("GOOGLETRANSLATE(B18872, ""zh"", ""en"")"),"Okay ~ m to buy even a little bit loose.")</f>
        <v>Okay ~ m to buy even a little bit loose.</v>
      </c>
    </row>
    <row r="18873">
      <c r="A18873" s="1">
        <v>5.0</v>
      </c>
      <c r="B18873" s="1" t="s">
        <v>18631</v>
      </c>
      <c r="C18873" t="str">
        <f>IFERROR(__xludf.DUMMYFUNCTION("GOOGLETRANSLATE(B18873, ""zh"", ""en"")"),"Sweet, sweet baby it is like, baby it is like, automatically out, it is convenient")</f>
        <v>Sweet, sweet baby it is like, baby it is like, automatically out, it is convenient</v>
      </c>
    </row>
    <row r="18874">
      <c r="A18874" s="1">
        <v>5.0</v>
      </c>
      <c r="B18874" s="1" t="s">
        <v>18632</v>
      </c>
      <c r="C18874" t="str">
        <f>IFERROR(__xludf.DUMMYFUNCTION("GOOGLETRANSLATE(B18874, ""zh"", ""en"")"),"After the hard disk starts to look a certain format! After the buy back did not look carefully began to pass data, spread half found exFat formatted drives, so there quickly to pass data back, hard disk format change ...... funny hand #")</f>
        <v>After the hard disk starts to look a certain format! After the buy back did not look carefully began to pass data, spread half found exFat formatted drives, so there quickly to pass data back, hard disk format change ...... funny hand #</v>
      </c>
    </row>
    <row r="18875">
      <c r="A18875" s="1">
        <v>5.0</v>
      </c>
      <c r="B18875" s="1" t="s">
        <v>18633</v>
      </c>
      <c r="C18875" t="str">
        <f>IFERROR(__xludf.DUMMYFUNCTION("GOOGLETRANSLATE(B18875, ""zh"", ""en"")"),"Stockpile very convenient, you can record time")</f>
        <v>Stockpile very convenient, you can record time</v>
      </c>
    </row>
    <row r="18876">
      <c r="A18876" s="1">
        <v>5.0</v>
      </c>
      <c r="B18876" s="1" t="s">
        <v>18634</v>
      </c>
      <c r="C18876" t="str">
        <f>IFERROR(__xludf.DUMMYFUNCTION("GOOGLETRANSLATE(B18876, ""zh"", ""en"")"),"Super cost-effective 40 yards usually wear shoes, this right size 8.5")</f>
        <v>Super cost-effective 40 yards usually wear shoes, this right size 8.5</v>
      </c>
    </row>
    <row r="18877">
      <c r="A18877" s="1">
        <v>5.0</v>
      </c>
      <c r="B18877" s="1" t="s">
        <v>18635</v>
      </c>
      <c r="C18877" t="str">
        <f>IFERROR(__xludf.DUMMYFUNCTION("GOOGLETRANSLATE(B18877, ""zh"", ""en"")"),"Good first buy, the feeling can also be right.")</f>
        <v>Good first buy, the feeling can also be right.</v>
      </c>
    </row>
    <row r="18878">
      <c r="A18878" s="1">
        <v>5.0</v>
      </c>
      <c r="B18878" s="1" t="s">
        <v>18636</v>
      </c>
      <c r="C18878" t="str">
        <f>IFERROR(__xludf.DUMMYFUNCTION("GOOGLETRANSLATE(B18878, ""zh"", ""en"")"),"Well occasionally brought back at a Japanese, with no bleeding gums, easy to use.")</f>
        <v>Well occasionally brought back at a Japanese, with no bleeding gums, easy to use.</v>
      </c>
    </row>
    <row r="18879">
      <c r="A18879" s="1">
        <v>5.0</v>
      </c>
      <c r="B18879" s="1" t="s">
        <v>18637</v>
      </c>
      <c r="C18879" t="str">
        <f>IFERROR(__xludf.DUMMYFUNCTION("GOOGLETRANSLATE(B18879, ""zh"", ""en"")"),"The ultimate cost-effective, comfortable. Price really fragrant. Within Riga velvet is very comfortable, on the rim of the high state of the calf a little friction, wear long a little cover. This is my fifth double clarks, and the size of the shoes are st"&amp;"able, according to the normal foot long buy on line.")</f>
        <v>The ultimate cost-effective, comfortable. Price really fragrant. Within Riga velvet is very comfortable, on the rim of the high state of the calf a little friction, wear long a little cover. This is my fifth double clarks, and the size of the shoes are stable, according to the normal foot long buy on line.</v>
      </c>
    </row>
    <row r="18880">
      <c r="A18880" s="1">
        <v>5.0</v>
      </c>
      <c r="B18880" s="1" t="s">
        <v>18638</v>
      </c>
      <c r="C18880" t="str">
        <f>IFERROR(__xludf.DUMMYFUNCTION("GOOGLETRANSLATE(B18880, ""zh"", ""en"")"),"Value for money 80cm waist, just right. 173,69, do not change trousers")</f>
        <v>Value for money 80cm waist, just right. 173,69, do not change trousers</v>
      </c>
    </row>
    <row r="18881">
      <c r="A18881" s="1">
        <v>5.0</v>
      </c>
      <c r="B18881" s="1" t="s">
        <v>18639</v>
      </c>
      <c r="C18881" t="str">
        <f>IFERROR(__xludf.DUMMYFUNCTION("GOOGLETRANSLATE(B18881, ""zh"", ""en"")"),"Easy to use, affordable! Minato single buy, so worth it! Just a small household equipment, it is bigger than sanitary pads.")</f>
        <v>Easy to use, affordable! Minato single buy, so worth it! Just a small household equipment, it is bigger than sanitary pads.</v>
      </c>
    </row>
    <row r="18882">
      <c r="A18882" s="1">
        <v>5.0</v>
      </c>
      <c r="B18882" s="1" t="s">
        <v>18640</v>
      </c>
      <c r="C18882" t="str">
        <f>IFERROR(__xludf.DUMMYFUNCTION("GOOGLETRANSLATE(B18882, ""zh"", ""en"")"),"Good shoes to wear very comfortable shoes")</f>
        <v>Good shoes to wear very comfortable shoes</v>
      </c>
    </row>
    <row r="18883">
      <c r="A18883" s="1">
        <v>5.0</v>
      </c>
      <c r="B18883" s="1" t="s">
        <v>18641</v>
      </c>
      <c r="C18883" t="str">
        <f>IFERROR(__xludf.DUMMYFUNCTION("GOOGLETRANSLATE(B18883, ""zh"", ""en"")"),"The price is right is very good may need to buy most of the code, it may be my feet wide. Overall good")</f>
        <v>The price is right is very good may need to buy most of the code, it may be my feet wide. Overall good</v>
      </c>
    </row>
    <row r="18884">
      <c r="A18884" s="1">
        <v>5.0</v>
      </c>
      <c r="B18884" s="1" t="s">
        <v>18642</v>
      </c>
      <c r="C18884" t="str">
        <f>IFERROR(__xludf.DUMMYFUNCTION("GOOGLETRANSLATE(B18884, ""zh"", ""en"")"),"11 very much like ECCO shoes, her father's birthday gift, thank Amazon")</f>
        <v>11 very much like ECCO shoes, her father's birthday gift, thank Amazon</v>
      </c>
    </row>
    <row r="18885">
      <c r="A18885" s="1">
        <v>2.0</v>
      </c>
      <c r="B18885" s="1" t="s">
        <v>18643</v>
      </c>
      <c r="C18885" t="str">
        <f>IFERROR(__xludf.DUMMYFUNCTION("GOOGLETRANSLATE(B18885, ""zh"", ""en"")"),"Children watch watch itself is no problem, but too small and toys, especially the sense of loss after being comparison photos.")</f>
        <v>Children watch watch itself is no problem, but too small and toys, especially the sense of loss after being comparison photos.</v>
      </c>
    </row>
    <row r="18886">
      <c r="A18886" s="1">
        <v>3.0</v>
      </c>
      <c r="B18886" s="1" t="s">
        <v>18644</v>
      </c>
      <c r="C18886" t="str">
        <f>IFERROR(__xludf.DUMMYFUNCTION("GOOGLETRANSLATE(B18886, ""zh"", ""en"")"),"German technology is not strict German is not our imagination so strict, spent two months on the bad, but fortunately the Chinese can UNPROFOR, find Chengdu warranty for a point to handle the entire part, do not have this model, for the domestic 5100 seri"&amp;"es parts, say affect the use, now can be played with.")</f>
        <v>German technology is not strict German is not our imagination so strict, spent two months on the bad, but fortunately the Chinese can UNPROFOR, find Chengdu warranty for a point to handle the entire part, do not have this model, for the domestic 5100 series parts, say affect the use, now can be played with.</v>
      </c>
    </row>
    <row r="18887">
      <c r="A18887" s="1">
        <v>3.0</v>
      </c>
      <c r="B18887" s="1" t="s">
        <v>18645</v>
      </c>
      <c r="C18887" t="str">
        <f>IFERROR(__xludf.DUMMYFUNCTION("GOOGLETRANSLATE(B18887, ""zh"", ""en"")"),"GUNZE Gunze GUNZE no rims bra gentle Story County is no rims bra gentle Story has no shape, good upper body")</f>
        <v>GUNZE Gunze GUNZE no rims bra gentle Story County is no rims bra gentle Story has no shape, good upper body</v>
      </c>
    </row>
    <row r="18888">
      <c r="A18888" s="1">
        <v>1.0</v>
      </c>
      <c r="B18888" s="1" t="s">
        <v>18646</v>
      </c>
      <c r="C18888" t="str">
        <f>IFERROR(__xludf.DUMMYFUNCTION("GOOGLETRANSLATE(B18888, ""zh"", ""en"")"),"Vamp scratched scratches, overseas purchase defective products abroad is really doubt!")</f>
        <v>Vamp scratched scratches, overseas purchase defective products abroad is really doubt!</v>
      </c>
    </row>
    <row r="18889">
      <c r="A18889" s="1">
        <v>1.0</v>
      </c>
      <c r="B18889" s="1" t="s">
        <v>18647</v>
      </c>
      <c r="C18889" t="str">
        <f>IFERROR(__xludf.DUMMYFUNCTION("GOOGLETRANSLATE(B18889, ""zh"", ""en"")"),"Material waste, the belt is leather, very hard, careful to buy. I pants 30 yards")</f>
        <v>Material waste, the belt is leather, very hard, careful to buy. I pants 30 yards</v>
      </c>
    </row>
    <row r="18890">
      <c r="A18890" s="1">
        <v>4.0</v>
      </c>
      <c r="B18890" s="1" t="s">
        <v>18648</v>
      </c>
      <c r="C18890" t="str">
        <f>IFERROR(__xludf.DUMMYFUNCTION("GOOGLETRANSLATE(B18890, ""zh"", ""en"")"),"∴ very good with very good use, but the pen as fine ah! Pencil Why not the same ah? Seek to explain")</f>
        <v>∴ very good with very good use, but the pen as fine ah! Pencil Why not the same ah? Seek to explain</v>
      </c>
    </row>
    <row r="18891">
      <c r="A18891" s="1">
        <v>4.0</v>
      </c>
      <c r="B18891" s="1" t="s">
        <v>18649</v>
      </c>
      <c r="C18891" t="str">
        <f>IFERROR(__xludf.DUMMYFUNCTION("GOOGLETRANSLATE(B18891, ""zh"", ""en"")"),"Satisfaction very good, very fit, will continue to focus on the")</f>
        <v>Satisfaction very good, very fit, will continue to focus on the</v>
      </c>
    </row>
    <row r="18892">
      <c r="A18892" s="1">
        <v>4.0</v>
      </c>
      <c r="B18892" s="1" t="s">
        <v>18650</v>
      </c>
      <c r="C18892" t="str">
        <f>IFERROR(__xludf.DUMMYFUNCTION("GOOGLETRANSLATE(B18892, ""zh"", ""en"")"),"Smaller than the picture looks a lot made in Germany, directed these words to go, but much smaller than expected. Decoration stockpile, temporarily not available. There should be no problem.")</f>
        <v>Smaller than the picture looks a lot made in Germany, directed these words to go, but much smaller than expected. Decoration stockpile, temporarily not available. There should be no problem.</v>
      </c>
    </row>
    <row r="18893">
      <c r="A18893" s="1">
        <v>4.0</v>
      </c>
      <c r="B18893" s="1" t="s">
        <v>18651</v>
      </c>
      <c r="C18893" t="str">
        <f>IFERROR(__xludf.DUMMYFUNCTION("GOOGLETRANSLATE(B18893, ""zh"", ""en"")"),"Color difference color difference")</f>
        <v>Color difference color difference</v>
      </c>
    </row>
    <row r="18894">
      <c r="A18894" s="1">
        <v>4.0</v>
      </c>
      <c r="B18894" s="1" t="s">
        <v>18652</v>
      </c>
      <c r="C18894" t="str">
        <f>IFERROR(__xludf.DUMMYFUNCTION("GOOGLETRANSLATE(B18894, ""zh"", ""en"")"),"Neither shoe is not particularly consistent. Not too fine workmanship, also passable, no big problems, but a multi-thread, cable is not too neat, on the whole pretty shoes. We need to remind everyone that this pair of shoes I do not like a lot of the comm"&amp;"ents say is too large. I wear 73537 is 8.5W, the elastic just, but the length can be considered just a slight surplus. Because most of the comments say this SHOES number is too large, so buy 8.5D, the result is no surplus length, both before and after the"&amp;" top of the left foot can also be said to be just right, the question is badly worn right heel, and tight, a little plinth.")</f>
        <v>Neither shoe is not particularly consistent. Not too fine workmanship, also passable, no big problems, but a multi-thread, cable is not too neat, on the whole pretty shoes. We need to remind everyone that this pair of shoes I do not like a lot of the comments say is too large. I wear 73537 is 8.5W, the elastic just, but the length can be considered just a slight surplus. Because most of the comments say this SHOES number is too large, so buy 8.5D, the result is no surplus length, both before and after the top of the left foot can also be said to be just right, the question is badly worn right heel, and tight, a little plinth.</v>
      </c>
    </row>
    <row r="18895">
      <c r="A18895" s="1">
        <v>5.0</v>
      </c>
      <c r="B18895" s="1" t="s">
        <v>18653</v>
      </c>
      <c r="C18895" t="str">
        <f>IFERROR(__xludf.DUMMYFUNCTION("GOOGLETRANSLATE(B18895, ""zh"", ""en"")"),"Ultrafast overseas purchase would have thought a month to be delivered, I did not expect the first day of the National Day sent, only half the time, really fast! Hard sound is still there, but work together as long stable long enough!")</f>
        <v>Ultrafast overseas purchase would have thought a month to be delivered, I did not expect the first day of the National Day sent, only half the time, really fast! Hard sound is still there, but work together as long stable long enough!</v>
      </c>
    </row>
    <row r="18896">
      <c r="A18896" s="1">
        <v>5.0</v>
      </c>
      <c r="B18896" s="1" t="s">
        <v>18654</v>
      </c>
      <c r="C18896" t="str">
        <f>IFERROR(__xludf.DUMMYFUNCTION("GOOGLETRANSLATE(B18896, ""zh"", ""en"")"),"Wacoal good quality, very comfortable to wear.")</f>
        <v>Wacoal good quality, very comfortable to wear.</v>
      </c>
    </row>
    <row r="18897">
      <c r="A18897" s="1">
        <v>5.0</v>
      </c>
      <c r="B18897" s="1" t="s">
        <v>18655</v>
      </c>
      <c r="C18897" t="str">
        <f>IFERROR(__xludf.DUMMYFUNCTION("GOOGLETRANSLATE(B18897, ""zh"", ""en"")"),"Good work, clothes, small things very well, work is fine, is too small a")</f>
        <v>Good work, clothes, small things very well, work is fine, is too small a</v>
      </c>
    </row>
    <row r="18898">
      <c r="A18898" s="1">
        <v>5.0</v>
      </c>
      <c r="B18898" s="1" t="s">
        <v>18656</v>
      </c>
      <c r="C18898" t="str">
        <f>IFERROR(__xludf.DUMMYFUNCTION("GOOGLETRANSLATE(B18898, ""zh"", ""en"")"),"Genuine genuine doubt, the next buy")</f>
        <v>Genuine genuine doubt, the next buy</v>
      </c>
    </row>
    <row r="18899">
      <c r="A18899" s="1">
        <v>5.0</v>
      </c>
      <c r="B18899" s="1" t="s">
        <v>18657</v>
      </c>
      <c r="C18899" t="str">
        <f>IFERROR(__xludf.DUMMYFUNCTION("GOOGLETRANSLATE(B18899, ""zh"", ""en"")"),"Overseas great shopping experience! Great frying pan! Overseas purchase fast delivery, sent a week from North Las Vegas to come, to the force! Like 👍! Wok is very thick, very good work, fried steak, very good!")</f>
        <v>Overseas great shopping experience! Great frying pan! Overseas purchase fast delivery, sent a week from North Las Vegas to come, to the force! Like 👍! Wok is very thick, very good work, fried steak, very good!</v>
      </c>
    </row>
    <row r="18900">
      <c r="A18900" s="1">
        <v>5.0</v>
      </c>
      <c r="B18900" s="1" t="s">
        <v>18658</v>
      </c>
      <c r="C18900" t="str">
        <f>IFERROR(__xludf.DUMMYFUNCTION("GOOGLETRANSLATE(B18900, ""zh"", ""en"")"),"Comfortable and super comfortable, put on zero feeling, I never wore underwear so comfortable")</f>
        <v>Comfortable and super comfortable, put on zero feeling, I never wore underwear so comfortable</v>
      </c>
    </row>
    <row r="18901">
      <c r="A18901" s="1">
        <v>5.0</v>
      </c>
      <c r="B18901" s="1" t="s">
        <v>18659</v>
      </c>
      <c r="C18901" t="str">
        <f>IFERROR(__xludf.DUMMYFUNCTION("GOOGLETRANSLATE(B18901, ""zh"", ""en"")"),"Evaluation comfortable, no burden.")</f>
        <v>Evaluation comfortable, no burden.</v>
      </c>
    </row>
    <row r="18902">
      <c r="A18902" s="1">
        <v>5.0</v>
      </c>
      <c r="B18902" s="1" t="s">
        <v>18660</v>
      </c>
      <c r="C18902" t="str">
        <f>IFERROR(__xludf.DUMMYFUNCTION("GOOGLETRANSLATE(B18902, ""zh"", ""en"")"),"Good good watch, worth having")</f>
        <v>Good good watch, worth having</v>
      </c>
    </row>
    <row r="18903">
      <c r="A18903" s="1">
        <v>5.0</v>
      </c>
      <c r="B18903" s="1" t="s">
        <v>18661</v>
      </c>
      <c r="C18903" t="str">
        <f>IFERROR(__xludf.DUMMYFUNCTION("GOOGLETRANSLATE(B18903, ""zh"", ""en"")"),"In addition to packaging needs to be improved packaging is not good, a good rest")</f>
        <v>In addition to packaging needs to be improved packaging is not good, a good rest</v>
      </c>
    </row>
    <row r="18904">
      <c r="A18904" s="1">
        <v>5.0</v>
      </c>
      <c r="B18904" s="1" t="s">
        <v>18662</v>
      </c>
      <c r="C18904" t="str">
        <f>IFERROR(__xludf.DUMMYFUNCTION("GOOGLETRANSLATE(B18904, ""zh"", ""en"")"),"Very appropriate, no matter which respects the right fit, to force the price, nice color")</f>
        <v>Very appropriate, no matter which respects the right fit, to force the price, nice color</v>
      </c>
    </row>
    <row r="18905">
      <c r="A18905" s="1">
        <v>5.0</v>
      </c>
      <c r="B18905" s="1" t="s">
        <v>18663</v>
      </c>
      <c r="C18905" t="str">
        <f>IFERROR(__xludf.DUMMYFUNCTION("GOOGLETRANSLATE(B18905, ""zh"", ""en"")"),"Practical handsome and practical very good")</f>
        <v>Practical handsome and practical very good</v>
      </c>
    </row>
    <row r="18906">
      <c r="A18906" s="1">
        <v>5.0</v>
      </c>
      <c r="B18906" s="1" t="s">
        <v>18664</v>
      </c>
      <c r="C18906" t="str">
        <f>IFERROR(__xludf.DUMMYFUNCTION("GOOGLETRANSLATE(B18906, ""zh"", ""en"")"),"Satisfaction comfortable colors look good, satisfied, comfortable fabrics.")</f>
        <v>Satisfaction comfortable colors look good, satisfied, comfortable fabrics.</v>
      </c>
    </row>
    <row r="18907">
      <c r="A18907" s="1">
        <v>5.0</v>
      </c>
      <c r="B18907" s="1" t="s">
        <v>18665</v>
      </c>
      <c r="C18907" t="str">
        <f>IFERROR(__xludf.DUMMYFUNCTION("GOOGLETRANSLATE(B18907, ""zh"", ""en"")"),"Good pen! A gift to others, very big on ah!")</f>
        <v>Good pen! A gift to others, very big on ah!</v>
      </c>
    </row>
    <row r="18908">
      <c r="A18908" s="1">
        <v>5.0</v>
      </c>
      <c r="B18908" s="1" t="s">
        <v>18666</v>
      </c>
      <c r="C18908" t="str">
        <f>IFERROR(__xludf.DUMMYFUNCTION("GOOGLETRANSLATE(B18908, ""zh"", ""en"")"),"Very good pants fit, fabric is also good")</f>
        <v>Very good pants fit, fabric is also good</v>
      </c>
    </row>
    <row r="18909">
      <c r="A18909" s="1">
        <v>5.0</v>
      </c>
      <c r="B18909" s="1" t="s">
        <v>18667</v>
      </c>
      <c r="C18909" t="str">
        <f>IFERROR(__xludf.DUMMYFUNCTION("GOOGLETRANSLATE(B18909, ""zh"", ""en"")"),"Lightweight and easy to work feel are good, that is such a long time. 30cm is smaller than the average household, a family of three is pretty enough, dot lightweight point is pretty easy, one-handed girls can dish Britain. Washed add water to boil, then c"&amp;"asually opened the pot with fat, standing a little long time to use it, very good use ah, the picture is my first course boil. A whistle just fried meat, as long as no less than potato starch and starch-based ingredients particularly high, not sticking.")</f>
        <v>Lightweight and easy to work feel are good, that is such a long time. 30cm is smaller than the average household, a family of three is pretty enough, dot lightweight point is pretty easy, one-handed girls can dish Britain. Washed add water to boil, then casually opened the pot with fat, standing a little long time to use it, very good use ah, the picture is my first course boil. A whistle just fried meat, as long as no less than potato starch and starch-based ingredients particularly high, not sticking.</v>
      </c>
    </row>
    <row r="18910">
      <c r="A18910" s="1">
        <v>5.0</v>
      </c>
      <c r="B18910" s="1" t="s">
        <v>18668</v>
      </c>
      <c r="C18910" t="str">
        <f>IFERROR(__xludf.DUMMYFUNCTION("GOOGLETRANSLATE(B18910, ""zh"", ""en"")"),"Insulation effect is good, that is, the lid a little loose. Burning of boiling water, put 24 hours, and feeling hot. Good insulation.")</f>
        <v>Insulation effect is good, that is, the lid a little loose. Burning of boiling water, put 24 hours, and feeling hot. Good insulation.</v>
      </c>
    </row>
    <row r="18911">
      <c r="A18911" s="1">
        <v>5.0</v>
      </c>
      <c r="B18911" s="1" t="s">
        <v>18669</v>
      </c>
      <c r="C18911" t="str">
        <f>IFERROR(__xludf.DUMMYFUNCTION("GOOGLETRANSLATE(B18911, ""zh"", ""en"")"),"Waichuan underwear comfortable fabric is really comfortable! The right size, but although the underwear Waichuan can, black impervious? !")</f>
        <v>Waichuan underwear comfortable fabric is really comfortable! The right size, but although the underwear Waichuan can, black impervious? !</v>
      </c>
    </row>
    <row r="18912">
      <c r="A18912" s="1">
        <v>5.0</v>
      </c>
      <c r="B18912" s="1" t="s">
        <v>3468</v>
      </c>
      <c r="C18912" t="str">
        <f>IFERROR(__xludf.DUMMYFUNCTION("GOOGLETRANSLATE(B18912, ""zh"", ""en"")"),"Thin section cotton, thin, very comfortable!")</f>
        <v>Thin section cotton, thin, very comfortable!</v>
      </c>
    </row>
    <row r="18913">
      <c r="A18913" s="1">
        <v>5.0</v>
      </c>
      <c r="B18913" s="1" t="s">
        <v>15634</v>
      </c>
      <c r="C18913" t="str">
        <f>IFERROR(__xludf.DUMMYFUNCTION("GOOGLETRANSLATE(B18913, ""zh"", ""en"")"),"The machine does not turn bought a yellow, used twice normal, and the third did not turn up, nothing happens, could be what causes it?")</f>
        <v>The machine does not turn bought a yellow, used twice normal, and the third did not turn up, nothing happens, could be what causes it?</v>
      </c>
    </row>
    <row r="18914">
      <c r="A18914" s="1">
        <v>5.0</v>
      </c>
      <c r="B18914" s="1" t="s">
        <v>18670</v>
      </c>
      <c r="C18914" t="str">
        <f>IFERROR(__xludf.DUMMYFUNCTION("GOOGLETRANSLATE(B18914, ""zh"", ""en"")"),"Very comfortable, not self-cultivation, very comfortable to wear loose, but the old US version is very thick, ah, not self-cultivation, legs wide, general satisfaction.")</f>
        <v>Very comfortable, not self-cultivation, very comfortable to wear loose, but the old US version is very thick, ah, not self-cultivation, legs wide, general satisfaction.</v>
      </c>
    </row>
    <row r="18915">
      <c r="A18915" s="1">
        <v>5.0</v>
      </c>
      <c r="B18915" s="1" t="s">
        <v>18671</v>
      </c>
      <c r="C18915" t="str">
        <f>IFERROR(__xludf.DUMMYFUNCTION("GOOGLETRANSLATE(B18915, ""zh"", ""en"")"),"Taste very good to eat, but how high vitamin content can not know.")</f>
        <v>Taste very good to eat, but how high vitamin content can not know.</v>
      </c>
    </row>
    <row r="18916">
      <c r="A18916" s="1">
        <v>5.0</v>
      </c>
      <c r="B18916" s="1" t="s">
        <v>18672</v>
      </c>
      <c r="C18916" t="str">
        <f>IFERROR(__xludf.DUMMYFUNCTION("GOOGLETRANSLATE(B18916, ""zh"", ""en"")"),"Personally prefer the beauty of this production was the United States and Asia this good, close look at a lot of the kind of domestic banana tooth produced in Taiwan, fine teeth and sparse ... this dense and coarse teeth")</f>
        <v>Personally prefer the beauty of this production was the United States and Asia this good, close look at a lot of the kind of domestic banana tooth produced in Taiwan, fine teeth and sparse ... this dense and coarse teeth</v>
      </c>
    </row>
    <row r="18917">
      <c r="A18917" s="1">
        <v>2.0</v>
      </c>
      <c r="B18917" s="1" t="s">
        <v>18673</v>
      </c>
      <c r="C18917" t="str">
        <f>IFERROR(__xludf.DUMMYFUNCTION("GOOGLETRANSLATE(B18917, ""zh"", ""en"")"),"Pungent odor smaller size, color page is inconsistent with the pattern, shoes emit a pungent odor.")</f>
        <v>Pungent odor smaller size, color page is inconsistent with the pattern, shoes emit a pungent odor.</v>
      </c>
    </row>
    <row r="18918">
      <c r="A18918" s="1">
        <v>3.0</v>
      </c>
      <c r="B18918" s="1" t="s">
        <v>18674</v>
      </c>
      <c r="C18918" t="str">
        <f>IFERROR(__xludf.DUMMYFUNCTION("GOOGLETRANSLATE(B18918, ""zh"", ""en"")"),"Small single look, S code is too small in the comments, I should 170,75Kg M, feeling very thick cotton for reference only")</f>
        <v>Small single look, S code is too small in the comments, I should 170,75Kg M, feeling very thick cotton for reference only</v>
      </c>
    </row>
    <row r="18919">
      <c r="A18919" s="1">
        <v>3.0</v>
      </c>
      <c r="B18919" s="1" t="s">
        <v>18675</v>
      </c>
      <c r="C18919" t="str">
        <f>IFERROR(__xludf.DUMMYFUNCTION("GOOGLETRANSLATE(B18919, ""zh"", ""en"")"),"Lid lid bad habit pattern straw easy mode too easily broken two months began to put the bounce would not buckle before the bag leaks Lynx International bought a fake did not think that was purchased overseas also the It appears to be wrong with the design"&amp;" problem")</f>
        <v>Lid lid bad habit pattern straw easy mode too easily broken two months began to put the bounce would not buckle before the bag leaks Lynx International bought a fake did not think that was purchased overseas also the It appears to be wrong with the design problem</v>
      </c>
    </row>
    <row r="18920">
      <c r="A18920" s="1">
        <v>1.0</v>
      </c>
      <c r="B18920" s="1" t="s">
        <v>18676</v>
      </c>
      <c r="C18920" t="str">
        <f>IFERROR(__xludf.DUMMYFUNCTION("GOOGLETRANSLATE(B18920, ""zh"", ""en"")"),"There were open signs have been open signs, pay attention.")</f>
        <v>There were open signs have been open signs, pay attention.</v>
      </c>
    </row>
    <row r="18921">
      <c r="A18921" s="1">
        <v>1.0</v>
      </c>
      <c r="B18921" s="1" t="s">
        <v>18677</v>
      </c>
      <c r="C18921" t="str">
        <f>IFERROR(__xludf.DUMMYFUNCTION("GOOGLETRANSLATE(B18921, ""zh"", ""en"")"),"Poor quality comparable to 50 dollars of goods, within the velvet will be out, work can not bear to look, not as fake Taobao")</f>
        <v>Poor quality comparable to 50 dollars of goods, within the velvet will be out, work can not bear to look, not as fake Taobao</v>
      </c>
    </row>
    <row r="18922">
      <c r="A18922" s="1">
        <v>1.0</v>
      </c>
      <c r="B18922" s="1" t="s">
        <v>18678</v>
      </c>
      <c r="C18922" t="str">
        <f>IFERROR(__xludf.DUMMYFUNCTION("GOOGLETRANSLATE(B18922, ""zh"", ""en"")"),"Neck Neck too small, the sleeves too long")</f>
        <v>Neck Neck too small, the sleeves too long</v>
      </c>
    </row>
    <row r="18923">
      <c r="A18923" s="1">
        <v>4.0</v>
      </c>
      <c r="B18923" s="1" t="s">
        <v>18679</v>
      </c>
      <c r="C18923" t="str">
        <f>IFERROR(__xludf.DUMMYFUNCTION("GOOGLETRANSLATE(B18923, ""zh"", ""en"")"),"In addition to the price is not beautiful, but also other good read other people's recommendation to buy, something good, not use a spoon to scrape hard, very convenient to use, is the price a little expensive, more expensive than other platforms, but in "&amp;"order to ensure genuine, and spend more children money line ~")</f>
        <v>In addition to the price is not beautiful, but also other good read other people's recommendation to buy, something good, not use a spoon to scrape hard, very convenient to use, is the price a little expensive, more expensive than other platforms, but in order to ensure genuine, and spend more children money line ~</v>
      </c>
    </row>
    <row r="18924">
      <c r="A18924" s="1">
        <v>4.0</v>
      </c>
      <c r="B18924" s="1" t="s">
        <v>18680</v>
      </c>
      <c r="C18924" t="str">
        <f>IFERROR(__xludf.DUMMYFUNCTION("GOOGLETRANSLATE(B18924, ""zh"", ""en"")"),"The new is not quite the same as a new clean shaven")</f>
        <v>The new is not quite the same as a new clean shaven</v>
      </c>
    </row>
    <row r="18925">
      <c r="A18925" s="1">
        <v>4.0</v>
      </c>
      <c r="B18925" s="1" t="s">
        <v>18681</v>
      </c>
      <c r="C18925" t="str">
        <f>IFERROR(__xludf.DUMMYFUNCTION("GOOGLETRANSLATE(B18925, ""zh"", ""en"")"),"Hong Kong version of the US version of the internal size than end buy 2e is w wide. Say Asians feet wide, and my former one pair of kicks is not bad bought in Hong Kong is w, but this pair of really big enough, and the widened toe looks a little bun, not "&amp;"too good-looking. Minato Hu wear it. As upstairs said Amazon Size Chart wrong, you have carefully Kanma? Declare that I have a close look, my problem is the Hong Kong version and US version is not the same. US version or the proposed election d it.")</f>
        <v>Hong Kong version of the US version of the internal size than end buy 2e is w wide. Say Asians feet wide, and my former one pair of kicks is not bad bought in Hong Kong is w, but this pair of really big enough, and the widened toe looks a little bun, not too good-looking. Minato Hu wear it. As upstairs said Amazon Size Chart wrong, you have carefully Kanma? Declare that I have a close look, my problem is the Hong Kong version and US version is not the same. US version or the proposed election d it.</v>
      </c>
    </row>
    <row r="18926">
      <c r="A18926" s="1">
        <v>4.0</v>
      </c>
      <c r="B18926" s="1" t="s">
        <v>18682</v>
      </c>
      <c r="C18926" t="str">
        <f>IFERROR(__xludf.DUMMYFUNCTION("GOOGLETRANSLATE(B18926, ""zh"", ""en"")"),"Capacity, being quite good enough, super capacity, we do not know for how long")</f>
        <v>Capacity, being quite good enough, super capacity, we do not know for how long</v>
      </c>
    </row>
    <row r="18927">
      <c r="A18927" s="1">
        <v>4.0</v>
      </c>
      <c r="B18927" s="1" t="s">
        <v>18683</v>
      </c>
      <c r="C18927" t="str">
        <f>IFERROR(__xludf.DUMMYFUNCTION("GOOGLETRANSLATE(B18927, ""zh"", ""en"")"),"Overseas purchase size is a technology live 1.75 m 80 kg little fat. This size is too big")</f>
        <v>Overseas purchase size is a technology live 1.75 m 80 kg little fat. This size is too big</v>
      </c>
    </row>
    <row r="18928">
      <c r="A18928" s="1">
        <v>5.0</v>
      </c>
      <c r="B18928" s="1" t="s">
        <v>18684</v>
      </c>
      <c r="C18928" t="str">
        <f>IFERROR(__xludf.DUMMYFUNCTION("GOOGLETRANSLATE(B18928, ""zh"", ""en"")"),"172cm 75kg, choose the S number, is just 172cm 75kg, choose the S number, is just, clothes work well, there is no thread, embroidery Logo is very beautiful, wearing comfortable, both sides can wear, handsome, less than a point is inside that is the opposi"&amp;"te of the side pocket design, and later turn was wearing a hand from front to back into his pocket, crimes against humanity, but positive wear when anti pocket inside that it is very handy")</f>
        <v>172cm 75kg, choose the S number, is just 172cm 75kg, choose the S number, is just, clothes work well, there is no thread, embroidery Logo is very beautiful, wearing comfortable, both sides can wear, handsome, less than a point is inside that is the opposite of the side pocket design, and later turn was wearing a hand from front to back into his pocket, crimes against humanity, but positive wear when anti pocket inside that it is very handy</v>
      </c>
    </row>
    <row r="18929">
      <c r="A18929" s="1">
        <v>5.0</v>
      </c>
      <c r="B18929" s="1" t="s">
        <v>18685</v>
      </c>
      <c r="C18929" t="str">
        <f>IFERROR(__xludf.DUMMYFUNCTION("GOOGLETRANSLATE(B18929, ""zh"", ""en"")"),"Zojirushi glass cup is very good, matte feel, in-kind color dim")</f>
        <v>Zojirushi glass cup is very good, matte feel, in-kind color dim</v>
      </c>
    </row>
    <row r="18930">
      <c r="A18930" s="1">
        <v>5.0</v>
      </c>
      <c r="B18930" s="1" t="s">
        <v>18686</v>
      </c>
      <c r="C18930" t="str">
        <f>IFERROR(__xludf.DUMMYFUNCTION("GOOGLETRANSLATE(B18930, ""zh"", ""en"")"),"A good deal 16555 XS wear a little tight, but acceptable")</f>
        <v>A good deal 16555 XS wear a little tight, but acceptable</v>
      </c>
    </row>
    <row r="18931">
      <c r="A18931" s="1">
        <v>5.0</v>
      </c>
      <c r="B18931" s="1" t="s">
        <v>18687</v>
      </c>
      <c r="C18931" t="str">
        <f>IFERROR(__xludf.DUMMYFUNCTION("GOOGLETRANSLATE(B18931, ""zh"", ""en"")"),"Very good-looking, slender legs look, the soles wear faster")</f>
        <v>Very good-looking, slender legs look, the soles wear faster</v>
      </c>
    </row>
    <row r="18932">
      <c r="A18932" s="1">
        <v>5.0</v>
      </c>
      <c r="B18932" s="1" t="s">
        <v>18688</v>
      </c>
      <c r="C18932" t="str">
        <f>IFERROR(__xludf.DUMMYFUNCTION("GOOGLETRANSLATE(B18932, ""zh"", ""en"")"),"scorpio this is my favorite one, high cost, and wear very loose, shoulder width suitable for people who will wear the very type")</f>
        <v>scorpio this is my favorite one, high cost, and wear very loose, shoulder width suitable for people who will wear the very type</v>
      </c>
    </row>
    <row r="18933">
      <c r="A18933" s="1">
        <v>5.0</v>
      </c>
      <c r="B18933" s="1" t="s">
        <v>18689</v>
      </c>
      <c r="C18933" t="str">
        <f>IFERROR(__xludf.DUMMYFUNCTION("GOOGLETRANSLATE(B18933, ""zh"", ""en"")"),"Value for money deal very favorable prices so bought a twelve retain a")</f>
        <v>Value for money deal very favorable prices so bought a twelve retain a</v>
      </c>
    </row>
    <row r="18934">
      <c r="A18934" s="1">
        <v>5.0</v>
      </c>
      <c r="B18934" s="1" t="s">
        <v>18690</v>
      </c>
      <c r="C18934" t="str">
        <f>IFERROR(__xludf.DUMMYFUNCTION("GOOGLETRANSLATE(B18934, ""zh"", ""en"")"),"Like light and comfortable, commuting on foot wear, light and comfortable. Highly recommended!")</f>
        <v>Like light and comfortable, commuting on foot wear, light and comfortable. Highly recommended!</v>
      </c>
    </row>
    <row r="18935">
      <c r="A18935" s="1">
        <v>5.0</v>
      </c>
      <c r="B18935" s="1" t="s">
        <v>18691</v>
      </c>
      <c r="C18935" t="str">
        <f>IFERROR(__xludf.DUMMYFUNCTION("GOOGLETRANSLATE(B18935, ""zh"", ""en"")"),"Yes! ! ! Yes! ! !")</f>
        <v>Yes! ! ! Yes! ! !</v>
      </c>
    </row>
    <row r="18936">
      <c r="A18936" s="1">
        <v>5.0</v>
      </c>
      <c r="B18936" s="1" t="s">
        <v>18692</v>
      </c>
      <c r="C18936" t="str">
        <f>IFERROR(__xludf.DUMMYFUNCTION("GOOGLETRANSLATE(B18936, ""zh"", ""en"")"),"I bust 94 right size, this dress is no longer small. The clothes are made in Japan, not Ouma")</f>
        <v>I bust 94 right size, this dress is no longer small. The clothes are made in Japan, not Ouma</v>
      </c>
    </row>
    <row r="18937">
      <c r="A18937" s="1">
        <v>5.0</v>
      </c>
      <c r="B18937" s="1" t="s">
        <v>18693</v>
      </c>
      <c r="C18937" t="str">
        <f>IFERROR(__xludf.DUMMYFUNCTION("GOOGLETRANSLATE(B18937, ""zh"", ""en"")"),"Just 162cm, 128 pounds, M code are just the right shoulder!")</f>
        <v>Just 162cm, 128 pounds, M code are just the right shoulder!</v>
      </c>
    </row>
    <row r="18938">
      <c r="A18938" s="1">
        <v>5.0</v>
      </c>
      <c r="B18938" s="1" t="s">
        <v>18694</v>
      </c>
      <c r="C18938" t="str">
        <f>IFERROR(__xludf.DUMMYFUNCTION("GOOGLETRANSLATE(B18938, ""zh"", ""en"")"),"Finally replace the brush head installed before use hair a little fork, and finally add ammunition, feeling put, perfectly embodies the new feel. Ha ha ha.")</f>
        <v>Finally replace the brush head installed before use hair a little fork, and finally add ammunition, feeling put, perfectly embodies the new feel. Ha ha ha.</v>
      </c>
    </row>
    <row r="18939">
      <c r="A18939" s="1">
        <v>5.0</v>
      </c>
      <c r="B18939" s="1" t="s">
        <v>18695</v>
      </c>
      <c r="C18939" t="str">
        <f>IFERROR(__xludf.DUMMYFUNCTION("GOOGLETRANSLATE(B18939, ""zh"", ""en"")"),"Good good good oh ha ~ ~ ~ continue to buy back")</f>
        <v>Good good good oh ha ~ ~ ~ continue to buy back</v>
      </c>
    </row>
    <row r="18940">
      <c r="A18940" s="1">
        <v>5.0</v>
      </c>
      <c r="B18940" s="1" t="s">
        <v>18696</v>
      </c>
      <c r="C18940" t="str">
        <f>IFERROR(__xludf.DUMMYFUNCTION("GOOGLETRANSLATE(B18940, ""zh"", ""en"")"),"Good technology and a small mirror, like, like, like")</f>
        <v>Good technology and a small mirror, like, like, like</v>
      </c>
    </row>
    <row r="18941">
      <c r="A18941" s="1">
        <v>5.0</v>
      </c>
      <c r="B18941" s="1" t="s">
        <v>18697</v>
      </c>
      <c r="C18941" t="str">
        <f>IFERROR(__xludf.DUMMYFUNCTION("GOOGLETRANSLATE(B18941, ""zh"", ""en"")"),"Quality, warm and good size, very comfortable to wear skin, I will continue to focus on recently bought a dark, praising")</f>
        <v>Quality, warm and good size, very comfortable to wear skin, I will continue to focus on recently bought a dark, praising</v>
      </c>
    </row>
    <row r="18942">
      <c r="A18942" s="1">
        <v>5.0</v>
      </c>
      <c r="B18942" s="1" t="s">
        <v>18698</v>
      </c>
      <c r="C18942" t="str">
        <f>IFERROR(__xludf.DUMMYFUNCTION("GOOGLETRANSLATE(B18942, ""zh"", ""en"")"),"Good-looking, good to wear, worth buying for one thousand ocean, decisively buy big one yards. Intimate waist is very good, is not afraid to buy big 😊. Instant feeling earned. No picture bright red kind, but also good to see red, Bang Bang clatter.")</f>
        <v>Good-looking, good to wear, worth buying for one thousand ocean, decisively buy big one yards. Intimate waist is very good, is not afraid to buy big 😊. Instant feeling earned. No picture bright red kind, but also good to see red, Bang Bang clatter.</v>
      </c>
    </row>
    <row r="18943">
      <c r="A18943" s="1">
        <v>5.0</v>
      </c>
      <c r="B18943" s="1" t="s">
        <v>18699</v>
      </c>
      <c r="C18943" t="str">
        <f>IFERROR(__xludf.DUMMYFUNCTION("GOOGLETRANSLATE(B18943, ""zh"", ""en"")"),"Three defenses fast enough nice if u like u disk drive is quickly mlc particle velocity plus global lifetime warranty like SanDisk Extreme Ultra speed that is perfect")</f>
        <v>Three defenses fast enough nice if u like u disk drive is quickly mlc particle velocity plus global lifetime warranty like SanDisk Extreme Ultra speed that is perfect</v>
      </c>
    </row>
    <row r="18944">
      <c r="A18944" s="1">
        <v>5.0</v>
      </c>
      <c r="B18944" s="1" t="s">
        <v>18700</v>
      </c>
      <c r="C18944" t="str">
        <f>IFERROR(__xludf.DUMMYFUNCTION("GOOGLETRANSLATE(B18944, ""zh"", ""en"")"),"I bought a cute baby hedgehog set to use")</f>
        <v>I bought a cute baby hedgehog set to use</v>
      </c>
    </row>
    <row r="18945">
      <c r="A18945" s="1">
        <v>5.0</v>
      </c>
      <c r="B18945" s="1" t="s">
        <v>18701</v>
      </c>
      <c r="C18945" t="str">
        <f>IFERROR(__xludf.DUMMYFUNCTION("GOOGLETRANSLATE(B18945, ""zh"", ""en"")"),"Good, good insulation effect good, very good insulation effect")</f>
        <v>Good, good insulation effect good, very good insulation effect</v>
      </c>
    </row>
    <row r="18946">
      <c r="A18946" s="1">
        <v>5.0</v>
      </c>
      <c r="B18946" s="1" t="s">
        <v>18702</v>
      </c>
      <c r="C18946" t="str">
        <f>IFERROR(__xludf.DUMMYFUNCTION("GOOGLETRANSLATE(B18946, ""zh"", ""en"")"),"okokok good good, there is a good brand")</f>
        <v>okokok good good, there is a good brand</v>
      </c>
    </row>
    <row r="18947">
      <c r="A18947" s="1">
        <v>5.0</v>
      </c>
      <c r="B18947" s="1" t="s">
        <v>18703</v>
      </c>
      <c r="C18947" t="str">
        <f>IFERROR(__xludf.DUMMYFUNCTION("GOOGLETRANSLATE(B18947, ""zh"", ""en"")"),"Very affordable cost to the family with a stocking")</f>
        <v>Very affordable cost to the family with a stocking</v>
      </c>
    </row>
    <row r="18948">
      <c r="A18948" s="1">
        <v>5.0</v>
      </c>
      <c r="B18948" s="1" t="s">
        <v>18704</v>
      </c>
      <c r="C18948" t="str">
        <f>IFERROR(__xludf.DUMMYFUNCTION("GOOGLETRANSLATE(B18948, ""zh"", ""en"")"),"Good to see the price is right is very good, very beautiful shoes, the price is super fit, but was soon sent to the ~")</f>
        <v>Good to see the price is right is very good, very beautiful shoes, the price is super fit, but was soon sent to the ~</v>
      </c>
    </row>
    <row r="18949">
      <c r="A18949" s="1">
        <v>2.0</v>
      </c>
      <c r="B18949" s="1" t="s">
        <v>18705</v>
      </c>
      <c r="C18949" t="str">
        <f>IFERROR(__xludf.DUMMYFUNCTION("GOOGLETRANSLATE(B18949, ""zh"", ""en"")"),"While the number of non-standard code to buy pants with two yards, a difference of nearly two centimeters waistline. Would like to retire can not find the paragraph number, afraid to back the wrong cause trouble all left")</f>
        <v>While the number of non-standard code to buy pants with two yards, a difference of nearly two centimeters waistline. Would like to retire can not find the paragraph number, afraid to back the wrong cause trouble all left</v>
      </c>
    </row>
    <row r="18950">
      <c r="A18950" s="1">
        <v>3.0</v>
      </c>
      <c r="B18950" s="1" t="s">
        <v>18706</v>
      </c>
      <c r="C18950" t="str">
        <f>IFERROR(__xludf.DUMMYFUNCTION("GOOGLETRANSLATE(B18950, ""zh"", ""en"")"),"Not only with two batteries must be recharged after two, so it was imported!")</f>
        <v>Not only with two batteries must be recharged after two, so it was imported!</v>
      </c>
    </row>
    <row r="18951">
      <c r="A18951" s="1">
        <v>3.0</v>
      </c>
      <c r="B18951" s="1" t="s">
        <v>18707</v>
      </c>
      <c r="C18951" t="str">
        <f>IFERROR(__xludf.DUMMYFUNCTION("GOOGLETRANSLATE(B18951, ""zh"", ""en"")"),"Quality poor quality problems")</f>
        <v>Quality poor quality problems</v>
      </c>
    </row>
    <row r="18952">
      <c r="A18952" s="1">
        <v>3.0</v>
      </c>
      <c r="B18952" s="1" t="s">
        <v>18708</v>
      </c>
      <c r="C18952" t="str">
        <f>IFERROR(__xludf.DUMMYFUNCTION("GOOGLETRANSLATE(B18952, ""zh"", ""en"")"),"Small brim brim feeling too small, not much sun block.")</f>
        <v>Small brim brim feeling too small, not much sun block.</v>
      </c>
    </row>
    <row r="18953">
      <c r="A18953" s="1">
        <v>1.0</v>
      </c>
      <c r="B18953" s="1" t="s">
        <v>18709</v>
      </c>
      <c r="C18953" t="str">
        <f>IFERROR(__xludf.DUMMYFUNCTION("GOOGLETRANSLATE(B18953, ""zh"", ""en"")"),"Poor quality, poor after-sale quality is really bad, the quality of goods purchased abroad Amazon worrying, compared with the counter a big change. Many years have not encountered open plastic shoes, to wear less than two weeks overseas buy ... basically "&amp;"no after-sale ...")</f>
        <v>Poor quality, poor after-sale quality is really bad, the quality of goods purchased abroad Amazon worrying, compared with the counter a big change. Many years have not encountered open plastic shoes, to wear less than two weeks overseas buy ... basically no after-sale ...</v>
      </c>
    </row>
    <row r="18954">
      <c r="A18954" s="1">
        <v>1.0</v>
      </c>
      <c r="B18954" s="1" t="s">
        <v>18710</v>
      </c>
      <c r="C18954" t="str">
        <f>IFERROR(__xludf.DUMMYFUNCTION("GOOGLETRANSLATE(B18954, ""zh"", ""en"")"),"Leak leak ah! Cold water also leaks! Before seen on Taobao commented leak, that will not leak abroad, the result of the same, a little disappointed")</f>
        <v>Leak leak ah! Cold water also leaks! Before seen on Taobao commented leak, that will not leak abroad, the result of the same, a little disappointed</v>
      </c>
    </row>
    <row r="18955">
      <c r="A18955" s="1">
        <v>1.0</v>
      </c>
      <c r="B18955" s="1" t="s">
        <v>18711</v>
      </c>
      <c r="C18955" t="str">
        <f>IFERROR(__xludf.DUMMYFUNCTION("GOOGLETRANSLATE(B18955, ""zh"", ""en"")"),"Hard uncomfortable stiff soles of the feet to walk Ge feet fake or genuine do so")</f>
        <v>Hard uncomfortable stiff soles of the feet to walk Ge feet fake or genuine do so</v>
      </c>
    </row>
    <row r="18956">
      <c r="A18956" s="1">
        <v>4.0</v>
      </c>
      <c r="B18956" s="1" t="s">
        <v>18712</v>
      </c>
      <c r="C18956" t="str">
        <f>IFERROR(__xludf.DUMMYFUNCTION("GOOGLETRANSLATE(B18956, ""zh"", ""en"")"),"Lee Uniforms Men's Slim Straight 5 bags of pants just to get it back hard like cardboard, the effect is still pretty good shape for a long time, not easily deformed")</f>
        <v>Lee Uniforms Men's Slim Straight 5 bags of pants just to get it back hard like cardboard, the effect is still pretty good shape for a long time, not easily deformed</v>
      </c>
    </row>
    <row r="18957">
      <c r="A18957" s="1">
        <v>4.0</v>
      </c>
      <c r="B18957" s="1" t="s">
        <v>18713</v>
      </c>
      <c r="C18957" t="str">
        <f>IFERROR(__xludf.DUMMYFUNCTION("GOOGLETRANSLATE(B18957, ""zh"", ""en"")"),"Color positive, significant leisure. 72cm / 160cm - s number just waist, legs, buttocks slightly loose significant leisure. Length just ah.")</f>
        <v>Color positive, significant leisure. 72cm / 160cm - s number just waist, legs, buttocks slightly loose significant leisure. Length just ah.</v>
      </c>
    </row>
    <row r="18958">
      <c r="A18958" s="1">
        <v>4.0</v>
      </c>
      <c r="B18958" s="1" t="s">
        <v>18714</v>
      </c>
      <c r="C18958" t="str">
        <f>IFERROR(__xludf.DUMMYFUNCTION("GOOGLETRANSLATE(B18958, ""zh"", ""en"")"),"Big shoes to buy according to the usual size, just right, is narrower than adult shoes will not appropriate the money, foot fat person")</f>
        <v>Big shoes to buy according to the usual size, just right, is narrower than adult shoes will not appropriate the money, foot fat person</v>
      </c>
    </row>
    <row r="18959">
      <c r="A18959" s="1">
        <v>4.0</v>
      </c>
      <c r="B18959" s="1" t="s">
        <v>18715</v>
      </c>
      <c r="C18959" t="str">
        <f>IFERROR(__xludf.DUMMYFUNCTION("GOOGLETRANSLATE(B18959, ""zh"", ""en"")"),"Not used a cardboard box a cardboard came from the United States across the oceans China, the carton is not broke, the pot is also not bad. Saying pot so heavy ah, scrubbing pots is a problem, I can not turn on the water pond ah, afraid crushed. After fri"&amp;"ed vegetables over time preferably brush ah, too hot. The handle is too short. Not used, can not weigh spoon ah.")</f>
        <v>Not used a cardboard box a cardboard came from the United States across the oceans China, the carton is not broke, the pot is also not bad. Saying pot so heavy ah, scrubbing pots is a problem, I can not turn on the water pond ah, afraid crushed. After fried vegetables over time preferably brush ah, too hot. The handle is too short. Not used, can not weigh spoon ah.</v>
      </c>
    </row>
    <row r="18960">
      <c r="A18960" s="1">
        <v>5.0</v>
      </c>
      <c r="B18960" s="1" t="s">
        <v>18716</v>
      </c>
      <c r="C18960" t="str">
        <f>IFERROR(__xludf.DUMMYFUNCTION("GOOGLETRANSLATE(B18960, ""zh"", ""en"")"),"Design is very classic simplicity long before the fancy Braun this series of tables, very fond of this classic minimalist design, nothing too much decoration, metal strap texture is also very good. Packaging is very good, see that is certainly genuine. Am"&amp;"azon shipped quickly, received less than 24 hours the table.")</f>
        <v>Design is very classic simplicity long before the fancy Braun this series of tables, very fond of this classic minimalist design, nothing too much decoration, metal strap texture is also very good. Packaging is very good, see that is certainly genuine. Amazon shipped quickly, received less than 24 hours the table.</v>
      </c>
    </row>
    <row r="18961">
      <c r="A18961" s="1">
        <v>5.0</v>
      </c>
      <c r="B18961" s="1" t="s">
        <v>18717</v>
      </c>
      <c r="C18961" t="str">
        <f>IFERROR(__xludf.DUMMYFUNCTION("GOOGLETRANSLATE(B18961, ""zh"", ""en"")"),"34 36 buy appropriate well. Is this label is above the maximum size. For example, instead of 34, that is up to 34. It is recommended to buy a large number two seed")</f>
        <v>34 36 buy appropriate well. Is this label is above the maximum size. For example, instead of 34, that is up to 34. It is recommended to buy a large number two seed</v>
      </c>
    </row>
    <row r="18962">
      <c r="A18962" s="1">
        <v>5.0</v>
      </c>
      <c r="B18962" s="1" t="s">
        <v>18718</v>
      </c>
      <c r="C18962" t="str">
        <f>IFERROR(__xludf.DUMMYFUNCTION("GOOGLETRANSLATE(B18962, ""zh"", ""en"")"),"Very easy to use, for their own use and fed fed babies especially easy to use, this is the second set")</f>
        <v>Very easy to use, for their own use and fed fed babies especially easy to use, this is the second set</v>
      </c>
    </row>
    <row r="18963">
      <c r="A18963" s="1">
        <v>5.0</v>
      </c>
      <c r="B18963" s="1" t="s">
        <v>18719</v>
      </c>
      <c r="C18963" t="str">
        <f>IFERROR(__xludf.DUMMYFUNCTION("GOOGLETRANSLATE(B18963, ""zh"", ""en"")"),"Nutrition, delicious first purchase, nutritional supplements, good food a day, two, eat for a long time.")</f>
        <v>Nutrition, delicious first purchase, nutritional supplements, good food a day, two, eat for a long time.</v>
      </c>
    </row>
    <row r="18964">
      <c r="A18964" s="1">
        <v>5.0</v>
      </c>
      <c r="B18964" s="1" t="s">
        <v>18720</v>
      </c>
      <c r="C18964" t="str">
        <f>IFERROR(__xludf.DUMMYFUNCTION("GOOGLETRANSLATE(B18964, ""zh"", ""en"")"),"OK very fit, feeling good, that is a little thin and a little,")</f>
        <v>OK very fit, feeling good, that is a little thin and a little,</v>
      </c>
    </row>
    <row r="18965">
      <c r="A18965" s="1">
        <v>5.0</v>
      </c>
      <c r="B18965" s="1" t="s">
        <v>18721</v>
      </c>
      <c r="C18965" t="str">
        <f>IFERROR(__xludf.DUMMYFUNCTION("GOOGLETRANSLATE(B18965, ""zh"", ""en"")"),"Evaluation &lt;div id = ""video-block-R1RRZP2L1XIRHN"" class = ""a-section a-spacing-small a-spacing-top-mini video-block""&gt; &lt;div tabindex = ""0"" class = ""airy airy-svg vmin -supported airy-skin-beacon ""style ="" background-color: rgb (0, 0, 0); position:"&amp;" relative; width: 100%; height: 100%; font-size: 0px; overflow: hidden; outline: none; ""&gt; &lt;div class ="" airy-renderer-container ""style ="" position: relative; height: 100%; width: 100%; ""&gt; &lt;video id ="" 7 ""preload ="" auto ""src ="" https : //images-"&amp;"cn.ssl-images-amazon.com/images/I/514FsKOVS8S.mp4 ""style ="" position: absolute; left: 0px; top: 0px; overflow: hidden; height: 1px; width: 1px; ""&gt; &lt;/ video&gt; &lt;/ div&gt; &lt;div id ="" airy-slate-preload ""style ="" background-color: rgb (0, 0, 0); background-"&amp;"image: url (&amp; quot; https: // images -cn.ssl-images-amazon.com/images/I/81Krj-PvctS.png&amp;quot;); background-size: contain; background-position: center center; background-repeat: no-repeat; position: absolute; top: 0px; left: 0px; visibility: visible; width"&amp;": 100%; height: 100%; ""&gt; &lt;/ div&gt; &lt;iframe scrolling ="" no ""frame border = ""0"" src = ""about: blank"" style = ""display: none;""&gt; &lt;/ iframe&gt; &lt;div tabindex = ""- 1"" class = ""airy-controls-container"" style = ""opacity: 0; visibility : hidden; ""&gt; &lt;div"&amp;" tabindex ="" - 1 ""class ="" airy-screen-size-toggle airy-fullscreen ""&gt; &lt;/ div&gt; &lt;div tabindex ="" - 1 ""class ="" airy-container-bottom ""&gt; &lt;div tabindex = ""- 1"" class = ""airy-track-bar-spacer-left"" style = ""width: 11px;""&gt; &lt;/ div&gt; &lt;div tabindex = "&amp;"""- 1"" class = ""airy-play-toggle airy-play ""style ="" width: 12px; margin-right: 12px; ""&gt; &lt;/ div&gt; &lt;div tabindex ="" - 1 ""class ="" airy-audio-elements ""style ="" float: right; width: 34px ; ""&gt; &lt;div tabindex ="" - 1 ""class ="" airy-audio-toggle air"&amp;"y-on ""&gt; &lt;/ div&gt; &lt;div tabindex ="" - 1 ""class ="" airy-audio-container ""style ="" opacity: 0; visibility: hidden; ""&gt; &lt;div tabindex ="" - 1 ""class ="" airy-audio-track-bar ""style ="" height: 80%; ""&gt; &lt;div tabindex ="" - 1 ""class ="" airy- audio-scrub"&amp;"ber-bar ""style ="" height: 85%; ""&gt; &lt;/ div&gt; &lt;div tabindex ="" - 1 ""class ="" airy-audio-scrubber ""style ="" height: 12px; bottom: 85%; "" &gt; &lt;/ div&gt; &lt;/ div&gt; &lt;/ div&gt; &lt;/ div&gt; &lt;div tabindex = ""- 1"" class = ""airy-duration-label"" style = ""float: r ight;"&amp;" width: 26px; margin-right: 4px; text-align: center; ""&gt; 0:00 &lt;/ div&gt; &lt;div tabindex ="" - 1 ""class ="" airy-track-bar-spacer-right ""style = ""float: right; width: 11px;""&gt; &lt;/ div&gt; &lt;div tabindex = ""- 1"" class = ""airy-track-bar-container"" style = ""ma"&amp;"rgin-left: 35px; margin-right: 75px;"" &gt; &lt;div tabindex = ""- 1"" class = ""airy-track-bar airy-vertical-centering-table""&gt; &lt;div tabindex = ""- 1"" class = ""airy-vertical-centering-table-cell""&gt; &lt;div tabindex = ""- 1"" class = ""airy-track-bar-elements""&gt;"&amp;" &lt;div tabindex = ""- 1"" class = ""airy-progress-bar""&gt; &lt;/ div&gt; &lt;div tabindex = ""- 1"" class = ""airy-scrubber-bar""&gt; &lt;/ div&gt; &lt;div tabindex = ""- 1"" class = ""airy-scrubber""&gt; &lt;div tabindex = ""- 1"" class = ""airy-scrubber-icon""&gt; &lt;/ div&gt; &lt;div tabindex"&amp;" = ""- 1"" class = ""airy-adjusted-aui-tooltip"" style = ""opacity: 0; visibility: hidden;""&gt; &lt;div tabindex = ""- 1"" class = ""airy-adjusted-aui-tooltip -inner ""&gt; &lt;div tabindex ="" - 1 ""class ="" airy-current-time-label ""&gt; 0:00 &lt;/ div&gt; &lt;/ div&gt; &lt;div ta"&amp;"bindex ="" - 1 ""class ="" airy-adjusted- aui-arrow-border ""&gt; &lt;div tabindex ="" - 1 ""class ="" airy-adjusted-aui-arrow ""&gt; &lt;/ div&gt; &lt;/ div&gt; &lt;/ div&gt; &lt;/ div&gt; &lt;/ di v&gt; &lt;/ div&gt; &lt;/ div&gt; &lt;/ div&gt; &lt;/ div&gt; &lt;/ div&gt; &lt;div tabindex = ""- 1"" class = ""airy-age-gate a"&amp;"iry-stage airy-vertical-centering-table airy- dialog ""style ="" opacity: 0; visibility: hidden; ""&gt; &lt;div tabindex ="" - 1 ""class ="" airy-age-gate-vertical-centering-table-cell airy-vertical-centering-table-cell ""&gt; &lt;div tabindex = ""- 1"" class = ""air"&amp;"y-vertical-centering-wrapper airy-age-gate-elements-wrapper""&gt; &lt;div tabindex = ""- 1"" class = ""airy-age-gate-elements airy-dialog -elements ""&gt; &lt;div tabindex ="" - 1 ""class ="" airy-age-gate-prompt ""&gt; This video is not intended for all audiences What "&amp;"date were you born &lt;/ div&gt; &lt;div tabindex =.?"" - 1 ""class ="" airy-age-gate-inputs airy-dialog-inner-elements ""&gt; &lt;select tabindex ="" - 1 ""class ="" airy-age-gate-month ""&gt; &lt;option value ="" 1 ""&gt; January &lt; / option&gt; &lt;option value = ""2""&gt; February &lt;/ "&amp;"option&gt; &lt;option value = ""3""&gt; March &lt;/ option&gt; &lt;option value = ""4""&gt; April &lt;/ option&gt; &lt;option value = ""5""&gt; May &lt;/ option&gt; &lt;option value = ""6""&gt; June &lt;/ option&gt; &lt;option value = ""7""&gt; July &lt;/ option&gt; &lt;option value = ""8""&gt; August &lt;/ option&gt; &lt;option va"&amp;"lue = ""9 ""&gt; September &lt;/ option&gt; &lt;option value ="" 10 ""&gt; Octob er &lt;/ option&gt; &lt;option value = ""11""&gt; November &lt;/ option&gt; &lt;option value = ""12""&gt; December &lt;/ option&gt; &lt;/ select&gt; &lt;select tabindex = ""- 1"" class = ""airy-age- gate-day ""&gt; &lt;option value ="&amp;""" 1 ""&gt; 1 &lt;/ option&gt; &lt;option value ="" 2 ""&gt; 2 &lt;/ option&gt; &lt;option value ="" 3 ""&gt; 3 &lt;/ option&gt; &lt;option value ="" 4 ""&gt; 4 &lt;/ option&gt; &lt;option value ="" 5 ""&gt; 5 &lt;/ option&gt; &lt;option value ="" 6 ""&gt; 6 &lt;/ option&gt; &lt;option value ="" 7 ""&gt; 7 &lt;/ option&gt; &lt;option val"&amp;"ue = ""8""&gt; 8 &lt;/ option&gt; &lt;option value = ""9""&gt; 9 &lt;/ option&gt; &lt;option value = ""10""&gt; 10 &lt;/ option&gt; &lt;option value = ""11""&gt; 11 &lt;/ option&gt; &lt;option value = ""12""&gt; 12 &lt;/ option&gt; &lt;option value = ""13""&gt; 13 &lt;/ option&gt; &lt;option value = ""14""&gt; 14 &lt;/ option&gt; &lt;opt"&amp;"ion value = ""15""&gt; 15 &lt;/ option&gt; &lt;option value = ""16""&gt; 16 &lt;/ option&gt; &lt;option value = ""17""&gt; 17 &lt;/ option&gt; &lt;option value = ""18""&gt; 18 &lt;/ option&gt; &lt;option value = ""19""&gt; 19 &lt;/ option&gt; &lt;option value = ""20""&gt; 20 &lt;/ option&gt; &lt;option value = ""21""&gt; 21 &lt;/ o"&amp;"ption&gt; &lt;option value = ""22""&gt; 22 &lt;/ option&gt; &lt;option value = ""23""&gt; 23 &lt;/ option&gt; &lt;option value = ""24""&gt; 24 &lt;/ option&gt; &lt;option value = ""25""&gt; 25 &lt;/ option&gt; &lt;option value = ""26""&gt; 26 &lt;/ option&gt; &lt;option value = ""27"" &gt; 27 &lt;/ option&gt; &lt;option value = ""2"&amp;"8""&gt; 28 &lt;/ option&gt; &lt;option value = ""29""&gt; 29 &lt;/ option&gt; &lt;option value = ""30""&gt; 30 &lt;/ option&gt; &lt;option value = ""31""&gt; 31 &lt;/ option&gt; &lt;/ select&gt; &lt;select tabindex = ""- 1"" class = ""airy-age-gate-year""&gt; &lt;option value = ""2019""&gt; 2019 &lt;/ option&gt; &lt;option va"&amp;"lue = ""2018""&gt; 2018 &lt;/ option&gt; &lt;option value = ""2017""&gt; 2017 &lt;/ option&gt; &lt;option value = ""2016""&gt; ​​2016 &lt;/ option&gt; &lt;option value = ""2015""&gt; 2015 &lt;/ option&gt; &lt;option value = ""2014""&gt; 2014 &lt;/ option&gt; &lt;option value = ""2013""&gt; 2013 &lt;/ option&gt; &lt;option val"&amp;"ue = ""2012""&gt; 2012 &lt;/ option&gt; &lt;option value = ""2011""&gt; 2011 &lt;/ option&gt; &lt;option value = ""2010""&gt; 2010 &lt;/ option&gt; &lt;option value = ""2009""&gt; 2009 &lt;/ option&gt; &lt;option value = ""2008""&gt; 2008 &lt;/ option&gt; &lt;option value = ""2007""&gt; 2007 &lt;/ option&gt; &lt;option value "&amp;"= ""2006""&gt; 2006 &lt;/ option&gt; &lt;option value = ""2005""&gt; 2005 &lt;/ option&gt; &lt;option value = ""2004"" &gt; 2004 &lt;/ option&gt; &lt;option value = ""2003""&gt; 2003 &lt;/ option&gt; &lt;option value = ""2002""&gt; 2002 &lt;/ option&gt; &lt;option value = ""2001""&gt; 2001 &lt;/ option&gt; &lt;option value = "&amp;""" 2000 ""&gt; 2000 &lt;/ option&gt; &lt;option value ="" 1999 ""&gt; 1999 &lt;/ option&gt; &lt;option value ="" 1998 ""&gt; 1998 &lt;/ option&gt; &lt;option value ="" 1997 ""&gt; 1997 &lt;/ option&gt; &lt;option value = ""1996""&gt; 1996 &lt;/ option&gt; &lt;option value = ""1995""&gt; 1995 &lt;/ option&gt; &lt;option value "&amp;"= ""1994""&gt; 1994 &lt;/ option&gt; &lt;optio n value = ""1993""&gt; 1993 &lt;/ option&gt; &lt;option value = ""1992""&gt; 1992 &lt;/ option&gt; &lt;option value = ""1991""&gt; 1991 &lt;/ option&gt; &lt;option value = ""1990""&gt; 1990 &lt;/ option &gt; &lt;option value = ""1989""&gt; 1989 &lt;/ option&gt; &lt;option value ="&amp;" ""1988""&gt; 1988 &lt;/ option&gt; &lt;option value = ""1987""&gt; 1987 &lt;/ option&gt; &lt;option value = ""1986""&gt; 1986 &lt; / option&gt; &lt;option value = ""1985""&gt; 1985 &lt;/ option&gt; &lt;option value = ""1984""&gt; 1984 &lt;/ option&gt; &lt;option value = ""1983""&gt; 1983 &lt;/ option&gt; &lt;option value = "&amp;"""1982""&gt; 1982 &lt;/ option&gt; &lt;option value = ""1981""&gt; 1981 &lt;/ option&gt; &lt;option value = ""1980""&gt; 1980 &lt;/ option&gt; &lt;option value = ""1979""&gt; 1979 &lt;/ option&gt; &lt;option value = ""1978 ""&gt; 1978 &lt;/ option&gt; &lt;option value ="" 1977 ""&gt; 1977 &lt;/ option&gt; &lt;option value ="""&amp;" 1976 ""&gt; 1976 &lt;/ option&gt; &lt;option value ="" 1975 ""&gt; 1975 &lt;/ option&gt; &lt;option value = ""1974""&gt; 1974 &lt;/ option&gt; &lt;option value = ""1973""&gt; 1973 &lt;/ option&gt; &lt;option value = ""1972""&gt; 1972 &lt;/ option&gt; &lt;option value = ""1971""&gt; 1971 &lt;/ option&gt; &lt;option value = """&amp;"1970""&gt; 1970 &lt;/ option&gt; &lt;option value = ""1969""&gt; 1969 &lt;/ option&gt; &lt;option value = ""1968""&gt; 1968 &lt;/ option&gt; &lt;option value = ""1967""&gt; 1967 &lt;/ option&gt; &lt;option value = ""1966""&gt; 1966 &lt;/ option&gt; &lt;option value = ""1965""&gt; 1965 &lt;/ option&gt; &lt;option value = ""196"&amp;"4"" &gt; 1964 &lt;/ option&gt; &lt;option value = ""1963""&gt; 1963 &lt;/ option&gt; &lt;option value = ""1962""&gt; 1962 &lt;/ option&gt; &lt;option value = ""1961""&gt; 1961 &lt;/ option&gt; &lt;option value = "" 1960 ""&gt; 1960 &lt;/ option&gt; &lt;option value ="" 1959 ""&gt; 1959 &lt;/ option&gt; &lt;option value ="" 19"&amp;"58 ""&gt; 1958 &lt;/ option&gt; &lt;option value ="" 1957 ""&gt; 1957 &lt;/ option&gt; &lt;option value = ""1956""&gt; 1956 &lt;/ option&gt; &lt;option value = ""1955""&gt; 1955 &lt;/ option&gt; &lt;option value = ""1954""&gt; 1954 &lt;/ option&gt; &lt;option value = ""1953""&gt; 1953 &lt;/ option&gt; &lt; option value = ""19"&amp;"52""&gt; 1952 &lt;/ option&gt; &lt;option value = ""1951""&gt; 1951 &lt;/ option&gt; &lt;option value = ""1950""&gt; 1950 &lt;/ option&gt; &lt;option value = ""1949""&gt; 1949 &lt;/ option &gt; &lt;option value = ""1948""&gt; 1948 &lt;/ option&gt; &lt;option value = ""1947""&gt; 1947 &lt;/ option&gt; &lt;option value = ""1946"&amp;"""&gt; 1946 &lt;/ option&gt; &lt;option value = ""1945""&gt; 1945 &lt; / option&gt; &lt;option value = ""1944""&gt; 1944 &lt;/ option&gt; &lt;option value = ""1943""&gt; 1943 &lt;/ option&gt; &lt;option value = ""1942""&gt; 1942 &lt;/ option&gt; &lt;option value = ""1941""&gt; 1941 &lt;/ option&gt; &lt;option value = ""1940"""&amp;"&gt; 1940 &lt;/ option&gt; &lt;option value = ""1939""&gt; 1939 &lt;/ option&gt; &lt;option value = ""1938""&gt; 1938 &lt;/ option&gt; &lt;option value = ""1937 ""&gt; 1937 &lt;/ option&gt; &lt;option value ="" 1936 ""&gt; 1936 &lt;/ option&gt; &lt;option value ="" 1935 ""&gt; 1935 &lt;/ option&gt; &lt;Option value = ""1934"""&amp;"&gt; 1934 &lt;/ option&gt; &lt;option value = ""1933""&gt; 1933 &lt;/ option&gt; &lt;option value = ""1932""&gt; 1932 &lt;/ option&gt; &lt;option value = ""1931""&gt; 1931 &lt;/ option&gt; &lt;option value = ""1930""&gt; 1930 &lt;/ option&gt; &lt;option value = ""1929""&gt; 1929 &lt;/ option&gt; &lt;option value = ""1928""&gt; 1"&amp;"928 &lt;/ option&gt; &lt;option value = ""1927""&gt; 1927 &lt;/ option&gt; &lt;option value = ""1926""&gt; 1926 &lt;/ option&gt; &lt;option value = ""1925""&gt; 1925 &lt;/ option&gt; &lt;option value = ""1924""&gt; 1924 &lt;/ option&gt; &lt;option value = ""1923"" &gt; 1923 &lt;/ option&gt; &lt;option value = ""1922""&gt; 192"&amp;"2 &lt;/ option&gt; &lt;option value = ""1921""&gt; 1921 &lt;/ option&gt; &lt;option value = ""1920""&gt; 1920 &lt;/ option&gt; &lt;option value = "" 1919 ""&gt; 1919 &lt;/ option&gt; &lt;option value ="" 1918 ""&gt; 1918 &lt;/ option&gt; &lt;option value ="" 1917 ""&gt; 1917 &lt;/ option&gt; &lt;option value ="" 1916 ""&gt; 1"&amp;"916 &lt;/ option&gt; &lt;option value = ""1915""&gt; 1915 &lt;/ option&gt; &lt;option value = ""1914""&gt; 1914 &lt;/ option&gt; &lt;option value = ""1913""&gt; 1913 &lt;/ option&gt; &lt;option value = ""1912""&gt; 1912 &lt;/ option&gt; &lt; option value = ""1911""&gt; 1911 &lt;/ option&gt; &lt;option value = ""1910""&gt; 191"&amp;"0 &lt;/ option&gt; &lt;option value = ""1909""&gt; 1909 &lt;/ option&gt; &lt;option value = ""1908""&gt; 1908 &lt;/ option &gt; &lt;option value = ""1907""&gt; 1907 &lt;/ option&gt; &lt;option value = ""1906""&gt; 1906 &lt;/ option&gt; &lt;option value = ""1905""&gt; 1905 &lt;/ option&gt; &lt;option value = ""1904""&gt; 1904 "&amp;"&lt;/ option&gt; &lt;option value = ""1903""&gt; 1903 &lt;/ option&gt; &lt;option value = ""1902""&gt; 1902 &lt;/ option&gt; &lt;option value = ""1901""&gt; 1901 &lt;/ option&gt; &lt;option value = ""1900""&gt; 1900 &lt;/ option&gt; &lt;/ select&gt; &lt;div tabindex = ""- 1"" class = ""airy-age-gate-submit airy-submi"&amp;"t airy -button airy-submit-disabled ""&gt; Submit &lt;/ div&gt; &lt;/ div&gt; &lt;/ div&gt; &lt;/ div&gt; &lt;/ div&gt; &lt;/ div&gt; &lt;div tabindex ="" - 1 ""class ="" airy-install-flash -dialog airy-stage airy-vertical-centering-table airy-dialog airy-denied ""style ="" opacity: 0; visibility"&amp;": hidden; ""&gt; &lt;div tabindex ="" - 1 ""class ="" airy-install-flash-vertical -centering-table-cell airy-vertical-centering-table-cell ""&gt; &lt;div tabindex ="" - 1 ""class ="" airy-vertical-centering-wrapper airy-install-flash-elements-wrapper ""&gt; &lt;div tabinde"&amp;"x = ""-1"" class = ""airy-install-flash-elements airy-dialog-elements""&gt; &lt;div tabindex = ""- 1"" class = ""airy-install-flash-prompt""&gt; Adobe Flash Player is required to watch this video . &lt;/ div&gt; &lt;div tabindex = ""- 1"" class = ""airy-install-flash-butto"&amp;"n-wrapper airy-dialog-inner-elements""&gt; &lt;div tabindex = ""- 1"" class = ""ai ry-install-flash-button airy-button ""&gt; Install Flash Player &lt;/ div&gt; &lt;/ div&gt; &lt;/ div&gt; &lt;/ div&gt; &lt;/ div&gt; &lt;/ div&gt; &lt;div tabindex ="" - 1 ""class ="" airy-video-unsupported-dialog airy-"&amp;"stage airy-vertical-centering-table airy-dialog airy-denied ""style ="" opacity: 0; visibility: hidden; ""&gt; &lt;div tabindex ="" - 1 ""class ="" airy- video-unsupported-vertical-centering-table-cell airy-vertical-centering-table-cell ""&gt; &lt;div tabindex ="" - "&amp;"1 ""class ="" airy-vertical-centering-wrapper airy-video-unsupported-elements-wrapper "" &gt; &lt;div tabindex = ""- 1"" class = ""airy-video-unsupported-elements airy-dialog-elements""&gt; &lt;div tabindex = ""- 1"" class = ""airy-video-unsupported-prompt""&gt; &lt;/ div&gt;"&amp;" &lt;/ div&gt; &lt;/ div&gt; &lt;/ div&gt; &lt;/ div&gt; &lt;div tabindex = ""- 1"" class = ""airy-loading-spinner-stage airy-stage""&gt; &lt;div tabindex = ""- 1"" class = "" airy-loading-spinner-vertical-centering-table-cell airy-vertical-centering-table-cell ""&gt; &lt;div tabindex ="" - 1 "&amp;"""class ="" airy-loading-spinner-container airy-scalable-hint-container "" &gt; &lt;div tabindex = ""- 1"" class = ""airy-loading-spinner-dummy airy-scalable-dummy""&gt; &lt;/ div&gt; &lt;div tabindex = ""- 1"" class = ""airy-loading-spinner airy-hint"" style = ""visibilit"&amp;"y: hidden;""&gt; &lt;/ div&gt; &lt;/ div&gt; &lt;/ div&gt; &lt;/ div&gt; &lt;div tabindex = ""- 1"" class = ""airy- ads-screen-size-toggle airy-screen-size-toggle airy-fullscreen ""style ="" visibility: hidden; ""&gt; &lt;/ div&gt; &lt;div tabindex ="" - 1 ""class ="" airy-ad-prompt-container "" "&amp;"style = ""visibility: hidden;""&gt; &lt;div tabindex = ""- 1"" class = ""airy-ad-prompt-vertical-centering-table airy-vertical-centering-table""&gt; &lt;div tabindex = ""- 1"" class = ""airy-ad-prompt-vertical-centering-table-cell airy-vertical-centering-table-cell"""&amp;"&gt; &lt;div tabindex = ""- 1"" class = ""airy-ad-prompt-label""&gt; &lt;/ div&gt; &lt; / div&gt; &lt;/ div&gt; &lt;/ div&gt; &lt;div tabindex = ""- 1"" class = ""airy-ads-controls-container"" style = ""visibility: hidden;""&gt; &lt;div tabindex = ""- 1"" class = "" airy-ads-audio-toggle airy-aud"&amp;"io-toggle airy-on ""style ="" visibility: hidden; ""&gt; &lt;/ div&gt; &lt;div tabindex ="" - 1 ""class ="" airy-time-remaining-label-container "" &gt; &lt;div tabindex = ""- 1"" class = ""airy-time-remaining-vertical-centering-table airy-vertical-centering-table""&gt; &lt;div t"&amp;"abindex = ""- 1"" class = ""airy-time-remaining-vertical -centering-ta ble-cell airy-vertical-centering-table-cell ""&gt; &lt;div tabindex ="" - 1 ""class ="" airy-vertical-centering-wrapper airy-time-remaining-label-wrapper ""&gt; &lt;div tabindex ="" - 1 ""class ="&amp;""" airy-time-remaining-label ""style ="" visibility: hidden; ""&gt; &lt;/ div&gt; &lt;div tabindex ="" - 1 ""class ="" airy-ad-skip ""style ="" visibility: hidden; "" "": hidden visibility;""&gt; &lt;/ div&gt; &lt;/ div&gt; &lt;/ div&gt; &lt;/ div&gt; &lt;/ div -&gt; &lt;/ div&gt; &lt;div tabindex = ""1"" cl"&amp;"ass = style = ""airy-ad-end"" &gt; &lt;div tabindex = ""- 1"" class = ""airy-learn-more"" style = ""visibility: hidden;""&gt; &lt;/ div&gt; &lt;/ div&gt; &lt;div tabindex = ""- 1"" class = ""airy-play- toggle-hint-stage airy-stage airy-cursor ""&gt; &lt;div tabindex ="" - 1 ""class ="&amp;""" airy-play-toggle-hint-vertical-centering-table-cell airy-vertical-centering-table-cell airy- cursor ""&gt; &lt;div tabindex ="" - 1 ""class ="" airy-play-toggle-hint-container airy-scalable-hint-container ""&gt; &lt;div tabindex ="" - 1 ""class ="" airy-play-toggl"&amp;"e-hint -dummy airy-scalable-dummy ""&gt; &lt;/ div&gt; &lt;div tabindex ="" - 1 ""class ="" airy-play-toggle-hint airy-hint airy-play-hint ""style ="" opacity: 1; visibility: visible ; ""&gt; &lt;/ div&gt; &lt;/ div&gt; &lt;/ div&gt; &lt;/ div&gt; &lt;div tabi ndex = ""- 1"" class = ""airy-replay"&amp;"-hint-stage airy-stage"" style = ""visibility: hidden;""&gt; &lt;div tabindex = ""- 1"" class = ""airy-replay-hint-vertical-centering- table-cell airy-vertical-centering-table-cell airy-cursor ""&gt; &lt;div tabindex ="" - 1 ""class ="" airy-replay-hint-container air"&amp;"y-scalable-hint-container ""&gt; &lt;div tabindex ="" - 1 ""class ="" airy-replay-hint-dummy airy-scalable-dummy ""&gt; &lt;/ div&gt; &lt;div tabindex ="" - 1 ""class ="" airy-replay-hint airy-hint ""&gt; &lt;/ div&gt; &lt;/ div&gt; &lt;/ div&gt; &lt;/ div&gt; &lt;div tabindex = ""- 1"" class = ""airy-"&amp;"autoplay-hint-stage airy-stage"" style = ""visibility: hidden;""&gt; &lt;div tabindex = ""- 1"" class = ""airy-autoplay-hint-vertical-centering-table-cell airy-vertical-centering-table-cell airy-cursor""&gt; &lt;div tabindex = ""- 1"" class = ""airy-autoplay-hint-con"&amp;"tainer airy-scalable -hint-container ""&gt; &lt;div tabindex ="" - 1 ""class ="" airy-autoplay-hint-dummy airy-scalable-dummy ""&gt; &lt;/ div&gt; &lt;/ div&gt; &lt;/ div&gt; &lt;/ div&gt; &lt;/ div &gt; &lt;/ div&gt; &lt;input type = ""hidden"" name = """" value = ""https://images-cn.ssl-images-amazon"&amp;".com/images/I/514FsKOVS8S.mp4"" class = ""video-url"" &gt; &lt;input type = ""hidden"" name = """" value = ""Https://images-cn.ssl-images-amazon.com/images/I/81Krj-PvctS.png"" class = ""video-slate-img-url""&gt; &amp; nbsp; this is my Thai production, logistics very C"&amp;"ome on!")</f>
        <v>Evaluation &lt;div id = "video-block-R1RRZP2L1XIRHN" class = "a-section a-spacing-small a-spacing-top-mini video-block"&gt; &lt;div tabindex = "0" class = "airy airy-svg vmin -supported airy-skin-beacon "style =" background-color: rgb (0, 0, 0); position: relative; width: 100%; height: 100%; font-size: 0px; overflow: hidden; outline: none; "&gt; &lt;div class =" airy-renderer-container "style =" position: relative; height: 100%; width: 100%; "&gt; &lt;video id =" 7 "preload =" auto "src =" https : //images-cn.ssl-images-amazon.com/images/I/514FsKOVS8S.mp4 "style =" position: absolute; left: 0px; top: 0px; overflow: hidden; height: 1px; width: 1px; "&gt; &lt;/ video&gt; &lt;/ div&gt; &lt;div id =" airy-slate-preload "style =" background-color: rgb (0, 0, 0); background-image: url (&amp; quot; https: // images -cn.ssl-images-amazon.com/images/I/81Krj-PvctS.png&amp;quot;); background-size: contain; background-position: center center; background-repeat: no-repeat; position: absolute; top: 0px; left: 0px; visibility: visible; width: 100%; height: 100%; "&gt; &lt;/ div&gt; &lt;iframe scrolling =" no "frame border = "0" src = "about: blank" style = "display: none;"&gt; &lt;/ iframe&gt; &lt;div tabindex = "- 1" class = "airy-controls-container" style = "opacity: 0; visibility : hidden; "&gt; &lt;div tabindex =" - 1 "class =" airy-screen-size-toggle airy-fullscreen "&gt; &lt;/ div&gt; &lt;div tabindex =" - 1 "class =" airy-container-bottom "&gt; &lt;div tabindex = "- 1" class = "airy-track-bar-spacer-left" style = "width: 11px;"&gt; &lt;/ div&gt; &lt;div tabindex = "- 1" class = "airy-play-toggle airy-play "style =" width: 12px; margin-right: 12px; "&gt; &lt;/ div&gt; &lt;div tabindex =" - 1 "class =" airy-audio-elements "style =" float: right; width: 34px ; "&gt; &lt;div tabindex =" - 1 "class =" airy-audio-toggle airy-on "&gt; &lt;/ div&gt; &lt;div tabindex =" - 1 "class =" airy-audio-container "style =" opacity: 0; visibility: hidden; "&gt; &lt;div tabindex =" - 1 "class =" airy-audio-track-bar "style =" height: 80%; "&gt; &lt;div tabindex =" - 1 "class =" airy- audio-scrubber-bar "style =" height: 85%; "&gt; &lt;/ div&gt; &lt;div tabindex =" - 1 "class =" airy-audio-scrubber "style =" height: 12px; bottom: 85%; " &gt; &lt;/ div&gt; &lt;/ div&gt; &lt;/ div&gt; &lt;/ div&gt; &lt;div tabindex = "- 1" class = "airy-duration-label" style = "float: r ight; width: 26px; margin-right: 4px; text-align: center; "&gt; 0:00 &lt;/ div&gt; &lt;div tabindex =" - 1 "class =" airy-track-bar-spacer-right "style = "float: right; width: 11px;"&gt; &lt;/ div&gt; &lt;div tabindex = "- 1" class = "airy-track-bar-container" style = "margin-left: 35px; margin-right: 75px;" &gt; &lt;div tabindex = "- 1" class = "airy-track-bar airy-vertical-centering-table"&gt; &lt;div tabindex = "- 1" class = "airy-vertical-centering-table-cell"&gt; &lt;div tabindex = "- 1" class = "airy-track-bar-elements"&gt; &lt;div tabindex = "- 1" class = "airy-progress-bar"&gt; &lt;/ div&gt; &lt;div tabindex = "- 1" class = "airy-scrubber-bar"&gt; &lt;/ div&gt; &lt;div tabindex = "- 1" class = "airy-scrubber"&gt; &lt;div tabindex = "- 1" class = "airy-scrubber-icon"&gt; &lt;/ div&gt; &lt;div tabindex = "- 1" class = "airy-adjusted-aui-tooltip" style = "opacity: 0; visibility: hidden;"&gt; &lt;div tabindex = "- 1" class = "airy-adjusted-aui-tooltip -inner "&gt; &lt;div tabindex =" - 1 "class =" airy-current-time-label "&gt; 0:00 &lt;/ div&gt; &lt;/ div&gt; &lt;div tabindex =" - 1 "class =" airy-adjusted- aui-arrow-border "&gt; &lt;div tabindex =" - 1 "class =" airy-adjusted-aui-arrow "&gt; &lt;/ div&gt; &lt;/ div&gt; &lt;/ div&gt; &lt;/ div&gt; &lt;/ di v&gt; &lt;/ div&gt; &lt;/ div&gt; &lt;/ div&gt; &lt;/ div&gt; &lt;/ div&gt; &lt;div tabindex = "- 1" class = "airy-age-gate airy-stage airy-vertical-centering-table airy- dialog "style =" opacity: 0; visibility: hidden; "&gt; &lt;div tabindex =" - 1 "class =" airy-age-gate-vertical-centering-table-cell airy-vertical-centering-table-cell "&gt; &lt;div tabindex = "- 1" class = "airy-vertical-centering-wrapper airy-age-gate-elements-wrapper"&gt; &lt;div tabindex = "- 1" class = "airy-age-gate-elements airy-dialog -elements "&gt; &lt;div tabindex =" - 1 "class =" airy-age-gate-prompt "&gt; This video is not intended for all audiences What date were you born &lt;/ div&gt; &lt;div tabindex =.?" - 1 "class =" airy-age-gate-inputs airy-dialog-inner-elements "&gt; &lt;select tabindex =" - 1 "class =" airy-age-gate-month "&gt; &lt;option value =" 1 "&gt; January &lt; / option&gt; &lt;option value = "2"&gt; February &lt;/ option&gt; &lt;option value = "3"&gt; March &lt;/ option&gt; &lt;option value = "4"&gt; April &lt;/ option&gt; &lt;option value = "5"&gt; May &lt;/ option&gt; &lt;option value = "6"&gt; June &lt;/ option&gt; &lt;option value = "7"&gt; July &lt;/ option&gt; &lt;option value = "8"&gt; August &lt;/ option&gt; &lt;option value = "9 "&gt; September &lt;/ option&gt; &lt;option value =" 10 "&gt; Octob er &lt;/ option&gt; &lt;option value = "11"&gt; November &lt;/ option&gt; &lt;option value = "12"&gt; December &lt;/ option&gt; &lt;/ select&gt; &lt;select tabindex = "- 1" class = "airy-age- gate-day "&gt; &lt;option value =" 1 "&gt; 1 &lt;/ option&gt; &lt;option value =" 2 "&gt; 2 &lt;/ option&gt; &lt;option value =" 3 "&gt; 3 &lt;/ option&gt; &lt;option value =" 4 "&gt; 4 &lt;/ option&gt; &lt;option value =" 5 "&gt; 5 &lt;/ option&gt; &lt;option value =" 6 "&gt; 6 &lt;/ option&gt; &lt;option value =" 7 "&gt; 7 &lt;/ option&gt; &lt;option value = "8"&gt; 8 &lt;/ option&gt; &lt;option value = "9"&gt; 9 &lt;/ option&gt; &lt;option value = "10"&gt; 10 &lt;/ option&gt; &lt;option value = "11"&gt; 11 &lt;/ option&gt; &lt;option value = "12"&gt; 12 &lt;/ option&gt; &lt;option value = "13"&gt; 13 &lt;/ option&gt; &lt;option value = "14"&gt; 14 &lt;/ option&gt; &lt;option value = "15"&gt; 15 &lt;/ option&gt; &lt;option value = "16"&gt; 16 &lt;/ option&gt; &lt;option value = "17"&gt; 17 &lt;/ option&gt; &lt;option value = "18"&gt; 18 &lt;/ option&gt; &lt;option value = "19"&gt;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 &gt; 27 &lt;/ option&gt; &lt;option value = "28"&gt; 28 &lt;/ option&gt; &lt;option value = "29"&gt; 29 &lt;/ option&gt; &lt;option value = "30"&gt; 30 &lt;/ option&gt; &lt;option value = "31"&gt; 31 &lt;/ option&gt; &lt;/ select&gt; &lt;select tabindex = "- 1" class = "airy-age-gate-year"&gt; &lt;option value = "2019"&gt; 2019 &lt;/ option&gt; &lt;option value = "2018"&gt; 2018 &lt;/ option&gt; &lt;option value = "2017"&gt; 2017 &lt;/ option&gt; &lt;option value = "2016"&gt; ​​2016 &lt;/ option&gt; &lt;option value = "2015"&gt; 2015 &lt;/ option&gt; &lt;option value = "2014"&gt; 2014 &lt;/ option&gt; &lt;option value = "2013"&gt; 2013 &lt;/ option&gt; &lt;option value = "2012"&gt; 2012 &lt;/ option&gt; &lt;option value = "2011"&gt; 2011 &lt;/ option&gt; &lt;option value = "2010"&gt; 2010 &lt;/ option&gt; &lt;option value = "2009"&gt; 2009 &lt;/ option&gt; &lt;option value = "2008"&gt; 2008 &lt;/ option&gt; &lt;option value = "2007"&gt; 2007 &lt;/ option&gt; &lt;option value = "2006"&gt; 2006 &lt;/ option&gt; &lt;option value = "2005"&gt; 2005 &lt;/ option&gt; &lt;option value = "2004" &gt; 2004 &lt;/ option&gt; &lt;option value = "2003"&gt; 2003 &lt;/ option&gt; &lt;option value = "2002"&gt; 2002 &lt;/ option&gt; &lt;option value = "2001"&gt; 2001 &lt;/ option&gt; &lt;option value = " 2000 "&gt; 2000 &lt;/ option&gt; &lt;option value =" 1999 "&gt; 1999 &lt;/ option&gt; &lt;option value =" 1998 "&gt; 1998 &lt;/ option&gt; &lt;option value =" 1997 "&gt; 1997 &lt;/ option&gt; &lt;option value = "1996"&gt; 1996 &lt;/ option&gt; &lt;option value = "1995"&gt; 1995 &lt;/ option&gt; &lt;option value = "1994"&gt; 1994 &lt;/ option&gt; &lt;optio n value = "1993"&gt; 1993 &lt;/ option&gt; &lt;option value = "1992"&gt; 1992 &lt;/ option&gt; &lt;option value = "1991"&gt; 1991 &lt;/ option&gt; &lt;option value = "1990"&gt; 1990 &lt;/ option &gt; &lt;option value = "1989"&gt; 1989 &lt;/ option&gt; &lt;option value = "1988"&gt; 1988 &lt;/ option&gt; &lt;option value = "1987"&gt; 1987 &lt;/ option&gt; &lt;option value = "1986"&gt; 1986 &lt; / option&gt; &lt;option value = "1985"&gt; 1985 &lt;/ option&gt; &lt;option value = "1984"&gt; 1984 &lt;/ option&gt; &lt;option value = "1983"&gt; 1983 &lt;/ option&gt; &lt;option value = "1982"&gt; 1982 &lt;/ option&gt; &lt;option value = "1981"&gt; 1981 &lt;/ option&gt; &lt;option value = "1980"&gt; 1980 &lt;/ option&gt; &lt;option value = "1979"&gt; 1979 &lt;/ option&gt; &lt;option value = "1978 "&gt; 1978 &lt;/ option&gt; &lt;option value =" 1977 "&gt; 1977 &lt;/ option&gt; &lt;option value =" 1976 "&gt; 1976 &lt;/ option&gt; &lt;option value =" 1975 "&gt; 1975 &lt;/ option&gt; &lt;option value = "1974"&gt; 1974 &lt;/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"1966"&gt; 1966 &lt;/ option&gt; &lt;option value = "1965"&gt; 1965 &lt;/ option&gt; &lt;option value = "1964" &gt; 1964 &lt;/ option&gt; &lt;option value = "1963"&gt; 1963 &lt;/ option&gt; &lt;option value = "1962"&gt; 1962 &lt;/ option&gt; &lt;option value = "1961"&gt; 1961 &lt;/ option&gt; &lt;option value = " 1960 "&gt; 1960 &lt;/ option&gt; &lt;option value =" 1959 "&gt; 1959 &lt;/ option&gt; &lt;option value =" 1958 "&gt; 1958 &lt;/ option&gt; &lt;option value =" 1957 "&gt; 1957 &lt;/ option&gt; &lt;option value = "1956"&gt; 1956 &lt;/ option&gt; &lt;option value = "1955"&gt; 1955 &lt;/ option&gt; &lt;option value = "1954"&gt; 1954 &lt;/ option&gt; &lt;option value = "1953"&gt; 1953 &lt;/ option&gt; &lt; option value = "1952"&gt; 1952 &lt;/ option&gt; &lt;option value = "1951"&gt; 1951 &lt;/ option&gt; &lt;option value = "1950"&gt; 1950 &lt;/ option&gt; &lt;option value = "1949"&gt; 1949 &lt;/ option &gt; &lt;option value = "1948"&gt; 1948 &lt;/ option&gt; &lt;option value = "1947"&gt; 1947 &lt;/ option&gt; &lt;option value = "1946"&gt; 1946 &lt;/ option&gt; &lt;option value = "1945"&gt; 1945 &lt; / option&gt; &lt;option value = "1944"&gt; 1944 &lt;/ option&gt; &lt;option value = "1943"&gt; 1943 &lt;/ option&gt; &lt;option value = "1942"&gt; 1942 &lt;/ option&gt; &lt;option value = "1941"&gt; 1941 &lt;/ option&gt; &lt;option value = "1940"&gt; 1940 &lt;/ option&gt; &lt;option value = "1939"&gt; 1939 &lt;/ option&gt; &lt;option value = "1938"&gt; 1938 &lt;/ option&gt; &lt;option value = "1937 "&gt; 1937 &lt;/ option&gt; &lt;option value =" 1936 "&gt; 1936 &lt;/ option&gt; &lt;option value =" 1935 "&gt; 1935 &lt;/ option&gt; &lt;Option value = "1934"&gt; 1934 &lt;/ option&gt; &lt;option value = "1933"&gt; 1933 &lt;/ option&gt; &lt;option value = "1932"&gt; 1932 &lt;/ option&gt; &lt;option value = "1931"&gt; 1931 &lt;/ option&gt; &lt;option value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 &gt; 1923 &lt;/ option&gt; &lt;option value = "1922"&gt; 1922 &lt;/ option&gt; &lt;option value = "1921"&gt; 1921 &lt;/ option&gt; &lt;option value = "1920"&gt; 1920 &lt;/ option&gt; &lt;option value = " 1919 "&gt; 1919 &lt;/ option&gt; &lt;option value =" 1918 "&gt; 1918 &lt;/ option&gt; &lt;option value =" 1917 "&gt; 1917 &lt;/ option&gt; &lt;option value =" 1916 "&gt; 1916 &lt;/ option&gt; &lt;option value = "1915"&gt; 1915 &lt;/ option&gt; &lt;option value = "1914"&gt; 1914 &lt;/ option&gt; &lt;option value = "1913"&gt; 1913 &lt;/ option&gt; &lt;option value = "1912"&gt; 1912 &lt;/ option&gt; &lt; option value = "1911"&gt; 1911 &lt;/ option&gt; &lt;option value = "1910"&gt; 1910 &lt;/ option&gt; &lt;option value = "1909"&gt; 1909 &lt;/ option&gt; &lt;option value = "1908"&gt; 1908 &lt;/ option &gt; &lt;option value = "1907"&gt; 1907 &lt;/ option&gt; &lt;option value = "1906"&gt; 1906 &lt;/ option&gt; &lt;option value = "1905"&gt; 1905 &lt;/ option&gt; &lt;option value = "1904"&gt; 1904 &lt;/ option&gt; &lt;option value = "1903"&gt; 1903 &lt;/ option&gt; &lt;option value = "1902"&gt; 1902 &lt;/ option&gt; &lt;option value = "1901"&gt; 1901 &lt;/ option&gt; &lt;option value = "1900"&gt; 1900 &lt;/ option&gt; &lt;/ select&gt; &lt;div tabindex = "- 1" class = "airy-age-gate-submit airy-submit airy -button airy-submit-disabled "&gt; Submit &lt;/ div&gt; &lt;/ div&gt; &lt;/ div&gt; &lt;/ div&gt; &lt;/ div&gt; &lt;/ div&gt; &lt;div tabindex =" - 1 "class =" airy-install-flash -dialog airy-stage airy-vertical-centering-table airy-dialog airy-denied "style =" opacity: 0; visibility: hidden; "&gt; &lt;div tabindex =" - 1 "class =" airy-install-flash-vertical -centering-table-cell airy-vertical-centering-table-cell "&gt; &lt;div tabindex =" - 1 "class =" airy-vertical-centering-wrapper airy-install-flash-elements-wrapper "&gt; &lt;div tabindex = "-1" class = "airy-install-flash-elements airy-dialog-elements"&gt; &lt;div tabindex = "- 1" class = "airy-install-flash-prompt"&gt; Adobe Flash Player is required to watch this video . &lt;/ div&gt; &lt;div tabindex = "- 1" class = "airy-install-flash-button-wrapper airy-dialog-inner-elements"&gt; &lt;div tabindex = "- 1" class = "ai ry-install-flash-button airy-button "&gt; Install Flash Player &lt;/ div&gt; &lt;/ div&gt; &lt;/ div&gt; &lt;/ div&gt; &lt;/ div&gt; &lt;/ div&gt; &lt;div tabindex =" - 1 "class =" airy-video-unsupported-dialog airy-stage airy-vertical-centering-table airy-dialog airy-denied "style =" opacity: 0; visibility: hidden; "&gt; &lt;div tabindex =" - 1 "class =" airy- video-unsupported-vertical-centering-table-cell airy-vertical-centering-table-cell "&gt; &lt;div tabindex =" - 1 "class =" airy-vertical-centering-wrapper airy-video-unsupported-elements-wrapper " &gt; &lt;div tabindex = "- 1" class = "airy-video-unsupported-elements airy-dialog-elements"&gt; &lt;div tabindex = "- 1" class = "airy-video-unsupported-prompt"&gt; &lt;/ div&gt; &lt;/ div&gt; &lt;/ div&gt; &lt;/ div&gt; &lt;/ div&gt; &lt;div tabindex = "- 1" class = "airy-loading-spinner-stage airy-stage"&gt; &lt;div tabindex = "- 1" class = " airy-loading-spinner-vertical-centering-table-cell airy-vertical-centering-table-cell "&gt; &lt;div tabindex =" - 1 "class =" airy-loading-spinner-container airy-scalable-hint-container " &gt; &lt;div tabindex = "- 1" class = "airy-loading-spinner-dummy airy-scalable-dummy"&gt; &lt;/ div&gt; &lt;div tabindex = "- 1" class = "airy-loading-spinner airy-hint" style = "visibility: hidden;"&gt; &lt;/ div&gt; &lt;/ div&gt; &lt;/ div&gt; &lt;/ div&gt; &lt;div tabindex = "- 1" class = "airy- ads-screen-size-toggle airy-screen-size-toggle airy-fullscreen "style =" visibility: hidden; "&gt; &lt;/ div&gt; &lt;div tabindex =" - 1 "class =" airy-ad-prompt-container " style = "visibility: hidden;"&gt; &lt;div tabindex = "- 1" class = "airy-ad-prompt-vertical-centering-table airy-vertical-centering-table"&gt; &lt;div tabindex = "- 1" class = "airy-ad-prompt-vertical-centering-table-cell airy-vertical-centering-table-cell"&gt; &lt;div tabindex = "- 1" class = "airy-ad-prompt-label"&gt; &lt;/ div&gt; &lt; / div&gt; &lt;/ div&gt; &lt;/ div&gt; &lt;div tabindex = "- 1" class = "airy-ads-controls-container" style = "visibility: hidden;"&gt; &lt;div tabindex = "- 1" class = " airy-ads-audio-toggle airy-audio-toggle airy-on "style =" visibility: hidden; "&gt; &lt;/ div&gt; &lt;div tabindex =" - 1 "class =" airy-time-remaining-label-container " &gt; &lt;div tabindex = "- 1" class = "airy-time-remaining-vertical-centering-table airy-vertical-centering-table"&gt; &lt;div tabindex = "- 1" class = "airy-time-remaining-vertical -centering-ta ble-cell airy-vertical-centering-table-cell "&gt; &lt;div tabindex =" - 1 "class =" airy-vertical-centering-wrapper airy-time-remaining-label-wrapper "&gt; &lt;div tabindex =" - 1 "class =" airy-time-remaining-label "style =" visibility: hidden; "&gt; &lt;/ div&gt; &lt;div tabindex =" - 1 "class =" airy-ad-skip "style =" visibility: hidden; " ": hidden visibility;"&gt; &lt;/ div&gt; &lt;/ div&gt; &lt;/ div&gt; &lt;/ div&gt; &lt;/ div -&gt; &lt;/ div&gt; &lt;div tabindex = "1" class = style = "airy-ad-end" &gt; &lt;div tabindex = "- 1" class = "airy-learn-more" style = "visibility: hidden;"&gt; &lt;/ div&gt; &lt;/ div&gt; &lt;div tabindex = "- 1" class = "airy-play- toggle-hint-stage airy-stage airy-cursor "&gt; &lt;div tabindex =" - 1 "class =" airy-play-toggle-hint-vertical-centering-table-cell airy-vertical-centering-table-cell airy- cursor "&gt; &lt;div tabindex =" - 1 "class =" airy-play-toggle-hint-container airy-scalable-hint-container "&gt; &lt;div tabindex =" - 1 "class =" airy-play-toggle-hint -dummy airy-scalable-dummy "&gt; &lt;/ div&gt; &lt;div tabindex =" - 1 "class =" airy-play-toggle-hint airy-hint airy-play-hint "style =" opacity: 1; visibility: visible ; "&gt; &lt;/ div&gt; &lt;/ div&gt; &lt;/ div&gt; &lt;/ div&gt; &lt;div tabi ndex = "- 1" class = "airy-replay-hint-stage airy-stage" style = "visibility: hidden;"&gt; &lt;div tabindex = "- 1" class = "airy-replay-hint-vertical-centering- table-cell airy-vertical-centering-table-cell airy-cursor "&gt; &lt;div tabindex =" - 1 "class =" airy-replay-hint-container airy-scalable-hint-container "&gt; &lt;div tabindex =" - 1 "class =" airy-replay-hint-dummy airy-scalable-dummy "&gt; &lt;/ div&gt; &lt;div tabindex =" - 1 "class =" airy-replay-hint airy-hint "&gt; &lt;/ div&gt; &lt;/ div&gt; &lt;/ div&gt; &lt;/ div&gt; &lt;div tabindex = "- 1" class = "airy-autoplay-hint-stage airy-stage" style = "visibility: hidden;"&gt; &lt;div tabindex = "- 1" class = "airy-autoplay-hint-vertical-centering-table-cell airy-vertical-centering-table-cell airy-cursor"&gt; &lt;div tabindex = "- 1" class = "airy-autoplay-hint-container airy-scalable -hint-container "&gt; &lt;div tabindex =" - 1 "class =" airy-autoplay-hint-dummy airy-scalable-dummy "&gt; &lt;/ div&gt; &lt;/ div&gt; &lt;/ div&gt; &lt;/ div&gt; &lt;/ div &gt; &lt;/ div&gt; &lt;input type = "hidden" name = "" value = "https://images-cn.ssl-images-amazon.com/images/I/514FsKOVS8S.mp4" class = "video-url" &gt; &lt;input type = "hidden" name = "" value = "Https://images-cn.ssl-images-amazon.com/images/I/81Krj-PvctS.png" class = "video-slate-img-url"&gt; &amp; nbsp; this is my Thai production, logistics very Come on!</v>
      </c>
    </row>
    <row r="18966">
      <c r="A18966" s="1">
        <v>5.0</v>
      </c>
      <c r="B18966" s="1" t="s">
        <v>18722</v>
      </c>
      <c r="C18966" t="str">
        <f>IFERROR(__xludf.DUMMYFUNCTION("GOOGLETRANSLATE(B18966, ""zh"", ""en"")"),"You have to buy the most suitable quite suitable ah! Inexpensive! Going to buy")</f>
        <v>You have to buy the most suitable quite suitable ah! Inexpensive! Going to buy</v>
      </c>
    </row>
    <row r="18967">
      <c r="A18967" s="1">
        <v>5.0</v>
      </c>
      <c r="B18967" s="1" t="s">
        <v>18723</v>
      </c>
      <c r="C18967" t="str">
        <f>IFERROR(__xludf.DUMMYFUNCTION("GOOGLETRANSLATE(B18967, ""zh"", ""en"")"),"Good good, I have been using this, double seal at ease")</f>
        <v>Good good, I have been using this, double seal at ease</v>
      </c>
    </row>
    <row r="18968">
      <c r="A18968" s="1">
        <v>5.0</v>
      </c>
      <c r="B18968" s="1" t="s">
        <v>18724</v>
      </c>
      <c r="C18968" t="str">
        <f>IFERROR(__xludf.DUMMYFUNCTION("GOOGLETRANSLATE(B18968, ""zh"", ""en"")"),"Very, very good, good. Easy to use")</f>
        <v>Very, very good, good. Easy to use</v>
      </c>
    </row>
    <row r="18969">
      <c r="A18969" s="1">
        <v>5.0</v>
      </c>
      <c r="B18969" s="1" t="s">
        <v>18725</v>
      </c>
      <c r="C18969" t="str">
        <f>IFERROR(__xludf.DUMMYFUNCTION("GOOGLETRANSLATE(B18969, ""zh"", ""en"")"),"Good shoes, shoes are very appropriate, I usually wear 37, just this summer, penetrating gas, not stuffy, very well liked")</f>
        <v>Good shoes, shoes are very appropriate, I usually wear 37, just this summer, penetrating gas, not stuffy, very well liked</v>
      </c>
    </row>
    <row r="18970">
      <c r="A18970" s="1">
        <v>5.0</v>
      </c>
      <c r="B18970" s="1" t="s">
        <v>18726</v>
      </c>
      <c r="C18970" t="str">
        <f>IFERROR(__xludf.DUMMYFUNCTION("GOOGLETRANSLATE(B18970, ""zh"", ""en"")"),"Suitable substantially normally wear shoes 42 yards, the amount of offal 26cm long, the foot is fat. 8.5 buy feeling okay, a little bit of pressure in front of the instep, estimated to wear a period of time like, buy more if the president. for reference")</f>
        <v>Suitable substantially normally wear shoes 42 yards, the amount of offal 26cm long, the foot is fat. 8.5 buy feeling okay, a little bit of pressure in front of the instep, estimated to wear a period of time like, buy more if the president. for reference</v>
      </c>
    </row>
    <row r="18971">
      <c r="A18971" s="1">
        <v>5.0</v>
      </c>
      <c r="B18971" s="1" t="s">
        <v>18727</v>
      </c>
      <c r="C18971" t="str">
        <f>IFERROR(__xludf.DUMMYFUNCTION("GOOGLETRANSLATE(B18971, ""zh"", ""en"")"),"Things have been very good with Pigeon bottle nipple, something good.")</f>
        <v>Things have been very good with Pigeon bottle nipple, something good.</v>
      </c>
    </row>
    <row r="18972">
      <c r="A18972" s="1">
        <v>5.0</v>
      </c>
      <c r="B18972" s="1" t="s">
        <v>18728</v>
      </c>
      <c r="C18972" t="str">
        <f>IFERROR(__xludf.DUMMYFUNCTION("GOOGLETRANSLATE(B18972, ""zh"", ""en"")"),"Easy to install and easy drinking something good, very clean filtered water")</f>
        <v>Easy to install and easy drinking something good, very clean filtered water</v>
      </c>
    </row>
    <row r="18973">
      <c r="A18973" s="1">
        <v>5.0</v>
      </c>
      <c r="B18973" s="1" t="s">
        <v>4860</v>
      </c>
      <c r="C18973" t="str">
        <f>IFERROR(__xludf.DUMMYFUNCTION("GOOGLETRANSLATE(B18973, ""zh"", ""en"")"),"Wife satisfactory workmanship and color are very good! Inside is velvet")</f>
        <v>Wife satisfactory workmanship and color are very good! Inside is velvet</v>
      </c>
    </row>
    <row r="18974">
      <c r="A18974" s="1">
        <v>5.0</v>
      </c>
      <c r="B18974" s="1" t="s">
        <v>18729</v>
      </c>
      <c r="C18974" t="str">
        <f>IFERROR(__xludf.DUMMYFUNCTION("GOOGLETRANSLATE(B18974, ""zh"", ""en"")"),"Very good comfortable pants, elastic very comfortable, reluctant to wash, others do not want to wear jeans!")</f>
        <v>Very good comfortable pants, elastic very comfortable, reluctant to wash, others do not want to wear jeans!</v>
      </c>
    </row>
    <row r="18975">
      <c r="A18975" s="1">
        <v>5.0</v>
      </c>
      <c r="B18975" s="1" t="s">
        <v>18730</v>
      </c>
      <c r="C18975" t="str">
        <f>IFERROR(__xludf.DUMMYFUNCTION("GOOGLETRANSLATE(B18975, ""zh"", ""en"")"),"Very, very good, is to buy time did not see, is a 3-month-old baby pacifier use")</f>
        <v>Very, very good, is to buy time did not see, is a 3-month-old baby pacifier use</v>
      </c>
    </row>
    <row r="18976">
      <c r="A18976" s="1">
        <v>5.0</v>
      </c>
      <c r="B18976" s="1" t="s">
        <v>18731</v>
      </c>
      <c r="C18976" t="str">
        <f>IFERROR(__xludf.DUMMYFUNCTION("GOOGLETRANSLATE(B18976, ""zh"", ""en"")"),"Milk bags can not comment stated in taste ah, I feel milk bags can temporarily did not find a bad place")</f>
        <v>Milk bags can not comment stated in taste ah, I feel milk bags can temporarily did not find a bad place</v>
      </c>
    </row>
    <row r="18977">
      <c r="A18977" s="1">
        <v>5.0</v>
      </c>
      <c r="B18977" s="1" t="s">
        <v>18732</v>
      </c>
      <c r="C18977" t="str">
        <f>IFERROR(__xludf.DUMMYFUNCTION("GOOGLETRANSLATE(B18977, ""zh"", ""en"")"),"Too many cost-effective than Taobao flagship store! made in Vietnam, shoes work well, just the width, length and some long, probably my foot width, foot wear tongue really need to wear long socks")</f>
        <v>Too many cost-effective than Taobao flagship store! made in Vietnam, shoes work well, just the width, length and some long, probably my foot width, foot wear tongue really need to wear long socks</v>
      </c>
    </row>
    <row r="18978">
      <c r="A18978" s="1">
        <v>5.0</v>
      </c>
      <c r="B18978" s="1" t="s">
        <v>18733</v>
      </c>
      <c r="C18978" t="str">
        <f>IFERROR(__xludf.DUMMYFUNCTION("GOOGLETRANSLATE(B18978, ""zh"", ""en"")"),"Enough loose USA (L), 183,97, big butt, thick legs, the shorts loose enough, the design is very reasonable, of course, the fabric looks cheap")</f>
        <v>Enough loose USA (L), 183,97, big butt, thick legs, the shorts loose enough, the design is very reasonable, of course, the fabric looks cheap</v>
      </c>
    </row>
    <row r="18979">
      <c r="A18979" s="1">
        <v>5.0</v>
      </c>
      <c r="B18979" s="1" t="s">
        <v>18734</v>
      </c>
      <c r="C18979" t="str">
        <f>IFERROR(__xludf.DUMMYFUNCTION("GOOGLETRANSLATE(B18979, ""zh"", ""en"")"),"Compared to the domestic price to force or the Internet, so the price to buy genuine value, and exercise the child good habits")</f>
        <v>Compared to the domestic price to force or the Internet, so the price to buy genuine value, and exercise the child good habits</v>
      </c>
    </row>
    <row r="18980">
      <c r="A18980" s="1">
        <v>5.0</v>
      </c>
      <c r="B18980" s="1" t="s">
        <v>18735</v>
      </c>
      <c r="C18980" t="str">
        <f>IFERROR(__xludf.DUMMYFUNCTION("GOOGLETRANSLATE(B18980, ""zh"", ""en"")"),"Good speed and stability, sound is very light, feel good")</f>
        <v>Good speed and stability, sound is very light, feel good</v>
      </c>
    </row>
    <row r="18981">
      <c r="A18981" s="1">
        <v>5.0</v>
      </c>
      <c r="B18981" s="1" t="s">
        <v>18736</v>
      </c>
      <c r="C18981" t="str">
        <f>IFERROR(__xludf.DUMMYFUNCTION("GOOGLETRANSLATE(B18981, ""zh"", ""en"")"),"To help a friend buy, good quality! I helped a friend buy it,")</f>
        <v>To help a friend buy, good quality! I helped a friend buy it,</v>
      </c>
    </row>
    <row r="18982">
      <c r="A18982" s="1">
        <v>2.0</v>
      </c>
      <c r="B18982" s="1" t="s">
        <v>18737</v>
      </c>
      <c r="C18982" t="str">
        <f>IFERROR(__xludf.DUMMYFUNCTION("GOOGLETRANSLATE(B18982, ""zh"", ""en"")"),"Great last bought a little bit big, this is just right. Taobao also bought no rims, can not bear to throw up after two. This is really value for money!")</f>
        <v>Great last bought a little bit big, this is just right. Taobao also bought no rims, can not bear to throw up after two. This is really value for money!</v>
      </c>
    </row>
    <row r="18983">
      <c r="A18983" s="1">
        <v>3.0</v>
      </c>
      <c r="B18983" s="1" t="s">
        <v>18738</v>
      </c>
      <c r="C18983" t="str">
        <f>IFERROR(__xludf.DUMMYFUNCTION("GOOGLETRANSLATE(B18983, ""zh"", ""en"")"),"Too heavy. Cortex class. General style, has become obsolete. Sports shoes 42, the size just right. Workmanship is not fine. Cortex class. Heavier, probably more than 500 grams of.")</f>
        <v>Too heavy. Cortex class. General style, has become obsolete. Sports shoes 42, the size just right. Workmanship is not fine. Cortex class. Heavier, probably more than 500 grams of.</v>
      </c>
    </row>
    <row r="18984">
      <c r="A18984" s="1">
        <v>3.0</v>
      </c>
      <c r="B18984" s="1" t="s">
        <v>18739</v>
      </c>
      <c r="C18984" t="str">
        <f>IFERROR(__xludf.DUMMYFUNCTION("GOOGLETRANSLATE(B18984, ""zh"", ""en"")"),"Quite satisfactory material and workmanship really like a general. 173 / 67kg, S code exactly, Slim")</f>
        <v>Quite satisfactory material and workmanship really like a general. 173 / 67kg, S code exactly, Slim</v>
      </c>
    </row>
    <row r="18985">
      <c r="A18985" s="1">
        <v>3.0</v>
      </c>
      <c r="B18985" s="1" t="s">
        <v>18740</v>
      </c>
      <c r="C18985" t="str">
        <f>IFERROR(__xludf.DUMMYFUNCTION("GOOGLETRANSLATE(B18985, ""zh"", ""en"")"),"Rough back fast logistics, shipping and other flowers are grateful. Although I only use the front, but the back of it too rough, watching too affect the overall appearance, which makes me suspect that is not good in Germany. Think piece of rough scars and"&amp;" so I can only back to Samsung.")</f>
        <v>Rough back fast logistics, shipping and other flowers are grateful. Although I only use the front, but the back of it too rough, watching too affect the overall appearance, which makes me suspect that is not good in Germany. Think piece of rough scars and so I can only back to Samsung.</v>
      </c>
    </row>
    <row r="18986">
      <c r="A18986" s="1">
        <v>1.0</v>
      </c>
      <c r="B18986" s="1" t="s">
        <v>18741</v>
      </c>
      <c r="C18986" t="str">
        <f>IFERROR(__xludf.DUMMYFUNCTION("GOOGLETRANSLATE(B18986, ""zh"", ""en"")"),"Not the same as before the smell too much to buy with, big taste, do not know what flavor, Amazon is not shy")</f>
        <v>Not the same as before the smell too much to buy with, big taste, do not know what flavor, Amazon is not shy</v>
      </c>
    </row>
    <row r="18987">
      <c r="A18987" s="1">
        <v>1.0</v>
      </c>
      <c r="B18987" s="1" t="s">
        <v>18742</v>
      </c>
      <c r="C18987" t="str">
        <f>IFERROR(__xludf.DUMMYFUNCTION("GOOGLETRANSLATE(B18987, ""zh"", ""en"")"),"I was too big 2-foot-8 waist, bought L is called a big washing")</f>
        <v>I was too big 2-foot-8 waist, bought L is called a big washing</v>
      </c>
    </row>
    <row r="18988">
      <c r="A18988" s="1">
        <v>4.0</v>
      </c>
      <c r="B18988" s="1" t="s">
        <v>18743</v>
      </c>
      <c r="C18988" t="str">
        <f>IFERROR(__xludf.DUMMYFUNCTION("GOOGLETRANSLATE(B18988, ""zh"", ""en"")"),"Buy big ... very good clothes, that is big on the 1st ...")</f>
        <v>Buy big ... very good clothes, that is big on the 1st ...</v>
      </c>
    </row>
    <row r="18989">
      <c r="A18989" s="1">
        <v>4.0</v>
      </c>
      <c r="B18989" s="1" t="s">
        <v>18744</v>
      </c>
      <c r="C18989" t="str">
        <f>IFERROR(__xludf.DUMMYFUNCTION("GOOGLETRANSLATE(B18989, ""zh"", ""en"")"),"Storage tool, worth buying! Goods good, with taxes but the price is not low, there is no package. The total worth buying!")</f>
        <v>Storage tool, worth buying! Goods good, with taxes but the price is not low, there is no package. The total worth buying!</v>
      </c>
    </row>
    <row r="18990">
      <c r="A18990" s="1">
        <v>4.0</v>
      </c>
      <c r="B18990" s="1" t="s">
        <v>18745</v>
      </c>
      <c r="C18990" t="str">
        <f>IFERROR(__xludf.DUMMYFUNCTION("GOOGLETRANSLATE(B18990, ""zh"", ""en"")"),"Long sleeves and long sleeves super super super ah")</f>
        <v>Long sleeves and long sleeves super super super ah</v>
      </c>
    </row>
    <row r="18991">
      <c r="A18991" s="1">
        <v>4.0</v>
      </c>
      <c r="B18991" s="1" t="s">
        <v>18746</v>
      </c>
      <c r="C18991" t="str">
        <f>IFERROR(__xludf.DUMMYFUNCTION("GOOGLETRANSLATE(B18991, ""zh"", ""en"")"),"Satisfied with the shoes a little pressure foot, but fortunately shot wide version, if the winter wear thick socks to shoot most of the code's recommendations. Some places have shoes to wear, overall okay, after all, in the country to buy a lot cheaper th"&amp;"an eight hundred start.")</f>
        <v>Satisfied with the shoes a little pressure foot, but fortunately shot wide version, if the winter wear thick socks to shoot most of the code's recommendations. Some places have shoes to wear, overall okay, after all, in the country to buy a lot cheaper than eight hundred start.</v>
      </c>
    </row>
    <row r="18992">
      <c r="A18992" s="1">
        <v>4.0</v>
      </c>
      <c r="B18992" s="1" t="s">
        <v>18747</v>
      </c>
      <c r="C18992" t="str">
        <f>IFERROR(__xludf.DUMMYFUNCTION("GOOGLETRANSLATE(B18992, ""zh"", ""en"")"),"Amazon first dial quite small, hard strap, consider changing one, with the same general description. Everyday wear should be no big problem")</f>
        <v>Amazon first dial quite small, hard strap, consider changing one, with the same general description. Everyday wear should be no big problem</v>
      </c>
    </row>
    <row r="18993">
      <c r="A18993" s="1">
        <v>5.0</v>
      </c>
      <c r="B18993" s="1" t="s">
        <v>18748</v>
      </c>
      <c r="C18993" t="str">
        <f>IFERROR(__xludf.DUMMYFUNCTION("GOOGLETRANSLATE(B18993, ""zh"", ""en"")"),"Simple, practical and many of my friends say good-looking oh")</f>
        <v>Simple, practical and many of my friends say good-looking oh</v>
      </c>
    </row>
    <row r="18994">
      <c r="A18994" s="1">
        <v>5.0</v>
      </c>
      <c r="B18994" s="1" t="s">
        <v>18749</v>
      </c>
      <c r="C18994" t="str">
        <f>IFERROR(__xludf.DUMMYFUNCTION("GOOGLETRANSLATE(B18994, ""zh"", ""en"")"),"Only trusted with something Staedtler Germans do!")</f>
        <v>Only trusted with something Staedtler Germans do!</v>
      </c>
    </row>
    <row r="18995">
      <c r="A18995" s="1">
        <v>5.0</v>
      </c>
      <c r="B18995" s="1" t="s">
        <v>18750</v>
      </c>
      <c r="C18995" t="str">
        <f>IFERROR(__xludf.DUMMYFUNCTION("GOOGLETRANSLATE(B18995, ""zh"", ""en"")"),"Easy easy to use than the original clean clear water floss, spray higher frequency, softer.")</f>
        <v>Easy easy to use than the original clean clear water floss, spray higher frequency, softer.</v>
      </c>
    </row>
    <row r="18996">
      <c r="A18996" s="1">
        <v>5.0</v>
      </c>
      <c r="B18996" s="1" t="s">
        <v>18751</v>
      </c>
      <c r="C18996" t="str">
        <f>IFERROR(__xludf.DUMMYFUNCTION("GOOGLETRANSLATE(B18996, ""zh"", ""en"")"),"Cheap brush head is very cost-effective, than I feel the brush head and buying a little freshman little bit, but does not affect the teeth, very good!")</f>
        <v>Cheap brush head is very cost-effective, than I feel the brush head and buying a little freshman little bit, but does not affect the teeth, very good!</v>
      </c>
    </row>
    <row r="18997">
      <c r="A18997" s="1">
        <v>5.0</v>
      </c>
      <c r="B18997" s="1" t="s">
        <v>18752</v>
      </c>
      <c r="C18997" t="str">
        <f>IFERROR(__xludf.DUMMYFUNCTION("GOOGLETRANSLATE(B18997, ""zh"", ""en"")"),"Recommended smell children or, in love with the children wash their hands")</f>
        <v>Recommended smell children or, in love with the children wash their hands</v>
      </c>
    </row>
    <row r="18998">
      <c r="A18998" s="1">
        <v>5.0</v>
      </c>
      <c r="B18998" s="1" t="s">
        <v>18753</v>
      </c>
      <c r="C18998" t="str">
        <f>IFERROR(__xludf.DUMMYFUNCTION("GOOGLETRANSLATE(B18998, ""zh"", ""en"")"),"Simple simple workmanship is very good like the color and style ease of operation")</f>
        <v>Simple simple workmanship is very good like the color and style ease of operation</v>
      </c>
    </row>
    <row r="18999">
      <c r="A18999" s="1">
        <v>5.0</v>
      </c>
      <c r="B18999" s="1" t="s">
        <v>18754</v>
      </c>
      <c r="C18999" t="str">
        <f>IFERROR(__xludf.DUMMYFUNCTION("GOOGLETRANSLATE(B18999, ""zh"", ""en"")"),"Always good always, well, 173,80, the election of the M number, some tight, but not close. Soft fabric, material work much better than the champion.")</f>
        <v>Always good always, well, 173,80, the election of the M number, some tight, but not close. Soft fabric, material work much better than the champion.</v>
      </c>
    </row>
    <row r="19000">
      <c r="A19000" s="1">
        <v>5.0</v>
      </c>
      <c r="B19000" s="1" t="s">
        <v>18755</v>
      </c>
      <c r="C19000" t="str">
        <f>IFERROR(__xludf.DUMMYFUNCTION("GOOGLETRANSLATE(B19000, ""zh"", ""en"")"),"Worth buying the brand on the tall, full of a sense of quality, price to buy the common brand of this quality brand with the fun stuff, the price really feel very real. Good things can be maintained")</f>
        <v>Worth buying the brand on the tall, full of a sense of quality, price to buy the common brand of this quality brand with the fun stuff, the price really feel very real. Good things can be maintained</v>
      </c>
    </row>
    <row r="19001">
      <c r="A19001" s="1">
        <v>5.0</v>
      </c>
      <c r="B19001" s="1" t="s">
        <v>18756</v>
      </c>
      <c r="C19001" t="str">
        <f>IFERROR(__xludf.DUMMYFUNCTION("GOOGLETRANSLATE(B19001, ""zh"", ""en"")"),"I 178,69 kg, should buy L No. I 178,69 kg, a little thin. In fact, this time to buy the wrong, thought it was the US version, to buy M number, knot finishing up only to find that the Japanese version, the Japanese version of the size and almost home, so i"&amp;"t should just buy L number, M number slightly smaller a Diudiu, so give my wife to wear, next time I buy one becomes a lovers. Fabric is very soft and comfortable, medium thickness, just to wear spring and autumn.")</f>
        <v>I 178,69 kg, should buy L No. I 178,69 kg, a little thin. In fact, this time to buy the wrong, thought it was the US version, to buy M number, knot finishing up only to find that the Japanese version, the Japanese version of the size and almost home, so it should just buy L number, M number slightly smaller a Diudiu, so give my wife to wear, next time I buy one becomes a lovers. Fabric is very soft and comfortable, medium thickness, just to wear spring and autumn.</v>
      </c>
    </row>
    <row r="19002">
      <c r="A19002" s="1">
        <v>5.0</v>
      </c>
      <c r="B19002" s="1" t="s">
        <v>18757</v>
      </c>
      <c r="C19002" t="str">
        <f>IFERROR(__xludf.DUMMYFUNCTION("GOOGLETRANSLATE(B19002, ""zh"", ""en"")"),"Good quality pregnancy stockpile not spend, good quality bottle, hope the baby likes.")</f>
        <v>Good quality pregnancy stockpile not spend, good quality bottle, hope the baby likes.</v>
      </c>
    </row>
    <row r="19003">
      <c r="A19003" s="1">
        <v>5.0</v>
      </c>
      <c r="B19003" s="1" t="s">
        <v>18758</v>
      </c>
      <c r="C19003" t="str">
        <f>IFERROR(__xludf.DUMMYFUNCTION("GOOGLETRANSLATE(B19003, ""zh"", ""en"")"),"A little bit big big")</f>
        <v>A little bit big big</v>
      </c>
    </row>
    <row r="19004">
      <c r="A19004" s="1">
        <v>5.0</v>
      </c>
      <c r="B19004" s="1" t="s">
        <v>18759</v>
      </c>
      <c r="C19004" t="str">
        <f>IFERROR(__xludf.DUMMYFUNCTION("GOOGLETRANSLATE(B19004, ""zh"", ""en"")"),"Comfortable, fat can wear very comfortable, good, suddenly fat also can wear to 100kg")</f>
        <v>Comfortable, fat can wear very comfortable, good, suddenly fat also can wear to 100kg</v>
      </c>
    </row>
    <row r="19005">
      <c r="A19005" s="1">
        <v>5.0</v>
      </c>
      <c r="B19005" s="1" t="s">
        <v>18760</v>
      </c>
      <c r="C19005" t="str">
        <f>IFERROR(__xludf.DUMMYFUNCTION("GOOGLETRANSLATE(B19005, ""zh"", ""en"")"),"Quality is very good, thank you")</f>
        <v>Quality is very good, thank you</v>
      </c>
    </row>
    <row r="19006">
      <c r="A19006" s="1">
        <v>5.0</v>
      </c>
      <c r="B19006" s="1" t="s">
        <v>18761</v>
      </c>
      <c r="C19006" t="str">
        <f>IFERROR(__xludf.DUMMYFUNCTION("GOOGLETRANSLATE(B19006, ""zh"", ""en"")"),"Recommended to buy very standard size, color is very positive, very good quality.")</f>
        <v>Recommended to buy very standard size, color is very positive, very good quality.</v>
      </c>
    </row>
    <row r="19007">
      <c r="A19007" s="1">
        <v>5.0</v>
      </c>
      <c r="B19007" s="1" t="s">
        <v>18762</v>
      </c>
      <c r="C19007" t="str">
        <f>IFERROR(__xludf.DUMMYFUNCTION("GOOGLETRANSLATE(B19007, ""zh"", ""en"")"),"good goods already received, faster than imagined, very good product! like!")</f>
        <v>good goods already received, faster than imagined, very good product! like!</v>
      </c>
    </row>
    <row r="19008">
      <c r="A19008" s="1">
        <v>5.0</v>
      </c>
      <c r="B19008" s="1" t="s">
        <v>18763</v>
      </c>
      <c r="C19008" t="str">
        <f>IFERROR(__xludf.DUMMYFUNCTION("GOOGLETRANSLATE(B19008, ""zh"", ""en"")"),"Stick very insulation, like once again to go into the purchase of two")</f>
        <v>Stick very insulation, like once again to go into the purchase of two</v>
      </c>
    </row>
    <row r="19009">
      <c r="A19009" s="1">
        <v>5.0</v>
      </c>
      <c r="B19009" s="1" t="s">
        <v>18764</v>
      </c>
      <c r="C19009" t="str">
        <f>IFERROR(__xludf.DUMMYFUNCTION("GOOGLETRANSLATE(B19009, ""zh"", ""en"")"),"Very good fabric, thin, no chest pressure, does not even fall flat chest")</f>
        <v>Very good fabric, thin, no chest pressure, does not even fall flat chest</v>
      </c>
    </row>
    <row r="19010">
      <c r="A19010" s="1">
        <v>5.0</v>
      </c>
      <c r="B19010" s="1" t="s">
        <v>18765</v>
      </c>
      <c r="C19010" t="str">
        <f>IFERROR(__xludf.DUMMYFUNCTION("GOOGLETRANSLATE(B19010, ""zh"", ""en"")"),"Chaohaoyong easy to use more than a hair dryer with 1000w of the previous. Before very hot, still blowing slowly, and now the big wind, does not feel particularly hot, dry hair relatively docile and shiny. I suspect this is not the goods are sold to the c"&amp;"ountry. A conversion like a head without a transformer. It is very convenient.")</f>
        <v>Chaohaoyong easy to use more than a hair dryer with 1000w of the previous. Before very hot, still blowing slowly, and now the big wind, does not feel particularly hot, dry hair relatively docile and shiny. I suspect this is not the goods are sold to the country. A conversion like a head without a transformer. It is very convenient.</v>
      </c>
    </row>
    <row r="19011">
      <c r="A19011" s="1">
        <v>5.0</v>
      </c>
      <c r="B19011" s="1" t="s">
        <v>18766</v>
      </c>
      <c r="C19011" t="str">
        <f>IFERROR(__xludf.DUMMYFUNCTION("GOOGLETRANSLATE(B19011, ""zh"", ""en"")"),"OK size suitable thin fabric is very comfortable.")</f>
        <v>OK size suitable thin fabric is very comfortable.</v>
      </c>
    </row>
    <row r="19012">
      <c r="A19012" s="1">
        <v>5.0</v>
      </c>
      <c r="B19012" s="1" t="s">
        <v>18767</v>
      </c>
      <c r="C19012" t="str">
        <f>IFERROR(__xludf.DUMMYFUNCTION("GOOGLETRANSLATE(B19012, ""zh"", ""en"")"),"Overseas purchase convenient, efficient transportation, packaging firm, no doubt genuine overseas purchase convenient, fast transport, no doubt genuine, do not worry about packing, very strong")</f>
        <v>Overseas purchase convenient, efficient transportation, packaging firm, no doubt genuine overseas purchase convenient, fast transport, no doubt genuine, do not worry about packing, very strong</v>
      </c>
    </row>
    <row r="19013">
      <c r="A19013" s="1">
        <v>5.0</v>
      </c>
      <c r="B19013" s="1" t="s">
        <v>18768</v>
      </c>
      <c r="C19013" t="str">
        <f>IFERROR(__xludf.DUMMYFUNCTION("GOOGLETRANSLATE(B19013, ""zh"", ""en"")"),"Aha handy, do not play like an egg, like a drill to take this fight very gently but quickly with egg can send short time, but also by the effect of the original much better, feels like holding the original beat eggs in a drill, now too effortless")</f>
        <v>Aha handy, do not play like an egg, like a drill to take this fight very gently but quickly with egg can send short time, but also by the effect of the original much better, feels like holding the original beat eggs in a drill, now too effortless</v>
      </c>
    </row>
    <row r="19014">
      <c r="A19014" s="1">
        <v>5.0</v>
      </c>
      <c r="B19014" s="1" t="s">
        <v>18769</v>
      </c>
      <c r="C19014" t="str">
        <f>IFERROR(__xludf.DUMMYFUNCTION("GOOGLETRANSLATE(B19014, ""zh"", ""en"")"),"The size of the fine. The first sea Amazon purchase, the quality of nice, fat is good, I 192cm, weight 92kg, XXL good mast. European and American version and the country really is not the same.")</f>
        <v>The size of the fine. The first sea Amazon purchase, the quality of nice, fat is good, I 192cm, weight 92kg, XXL good mast. European and American version and the country really is not the same.</v>
      </c>
    </row>
    <row r="19015">
      <c r="A19015" s="1">
        <v>2.0</v>
      </c>
      <c r="B19015" s="1" t="s">
        <v>18770</v>
      </c>
      <c r="C19015" t="str">
        <f>IFERROR(__xludf.DUMMYFUNCTION("GOOGLETRANSLATE(B19015, ""zh"", ""en"")"),"Before buying a non-standard size of 31 straight, found their belts too big, then buy this one 30. But feel their belts too tight, feeling different styles of sizes allowed, big difference.")</f>
        <v>Before buying a non-standard size of 31 straight, found their belts too big, then buy this one 30. But feel their belts too tight, feeling different styles of sizes allowed, big difference.</v>
      </c>
    </row>
    <row r="19016">
      <c r="A19016" s="1">
        <v>3.0</v>
      </c>
      <c r="B19016" s="1" t="s">
        <v>18771</v>
      </c>
      <c r="C19016" t="str">
        <f>IFERROR(__xludf.DUMMYFUNCTION("GOOGLETRANSLATE(B19016, ""zh"", ""en"")"),"The old man old man shirt just a shirt, do not count on it")</f>
        <v>The old man old man shirt just a shirt, do not count on it</v>
      </c>
    </row>
    <row r="19017">
      <c r="A19017" s="1">
        <v>3.0</v>
      </c>
      <c r="B19017" s="1" t="s">
        <v>18772</v>
      </c>
      <c r="C19017" t="str">
        <f>IFERROR(__xludf.DUMMYFUNCTION("GOOGLETRANSLATE(B19017, ""zh"", ""en"")"),"Quality quality of this dress is very general,")</f>
        <v>Quality quality of this dress is very general,</v>
      </c>
    </row>
    <row r="19018">
      <c r="A19018" s="1">
        <v>1.0</v>
      </c>
      <c r="B19018" s="1" t="s">
        <v>18773</v>
      </c>
      <c r="C19018" t="str">
        <f>IFERROR(__xludf.DUMMYFUNCTION("GOOGLETRANSLATE(B19018, ""zh"", ""en"")"),"Poor saw a lot of comments said the packaging is torn traces, looked under the rear left and right sides get our hands on a new adhesive strip. Ok. Opened it, which means the machine has been broken plastic case is not formed, Oh. Previously I have great "&amp;"confidence in the Amazon, goodbye. I no longer lazy, or their own sea Amoy go.")</f>
        <v>Poor saw a lot of comments said the packaging is torn traces, looked under the rear left and right sides get our hands on a new adhesive strip. Ok. Opened it, which means the machine has been broken plastic case is not formed, Oh. Previously I have great confidence in the Amazon, goodbye. I no longer lazy, or their own sea Amoy go.</v>
      </c>
    </row>
    <row r="19019">
      <c r="A19019" s="1">
        <v>1.0</v>
      </c>
      <c r="B19019" s="1" t="s">
        <v>18774</v>
      </c>
      <c r="C19019" t="str">
        <f>IFERROR(__xludf.DUMMYFUNCTION("GOOGLETRANSLATE(B19019, ""zh"", ""en"")"),"Bad in April bought a baby cream self Amazon US, sent a one expired in March to me, complained to buy, or sent over the May futures! We may now repeated complaints to customer service, now not an argument to me. So the quality of milk and I doubt it.")</f>
        <v>Bad in April bought a baby cream self Amazon US, sent a one expired in March to me, complained to buy, or sent over the May futures! We may now repeated complaints to customer service, now not an argument to me. So the quality of milk and I doubt it.</v>
      </c>
    </row>
    <row r="19020">
      <c r="A19020" s="1">
        <v>1.0</v>
      </c>
      <c r="B19020" s="1" t="s">
        <v>18775</v>
      </c>
      <c r="C19020" t="str">
        <f>IFERROR(__xludf.DUMMYFUNCTION("GOOGLETRANSLATE(B19020, ""zh"", ""en"")"),"Lot carton and the bottle had actually inconsistent believe a large platform, big brand. Eat a few pieces only to find, actually not the same lot number on the box and bottle. Otherwise eat, returns in")</f>
        <v>Lot carton and the bottle had actually inconsistent believe a large platform, big brand. Eat a few pieces only to find, actually not the same lot number on the box and bottle. Otherwise eat, returns in</v>
      </c>
    </row>
    <row r="19021">
      <c r="A19021" s="1">
        <v>4.0</v>
      </c>
      <c r="B19021" s="1" t="s">
        <v>18776</v>
      </c>
      <c r="C19021" t="str">
        <f>IFERROR(__xludf.DUMMYFUNCTION("GOOGLETRANSLATE(B19021, ""zh"", ""en"")"),"Usually slightly larger adidas wear 44 yards, us10. I bought this UK9, or slightly larger a little. UK8.5 I think basically appropriate.")</f>
        <v>Usually slightly larger adidas wear 44 yards, us10. I bought this UK9, or slightly larger a little. UK8.5 I think basically appropriate.</v>
      </c>
    </row>
    <row r="19022">
      <c r="A19022" s="1">
        <v>4.0</v>
      </c>
      <c r="B19022" s="1" t="s">
        <v>18777</v>
      </c>
      <c r="C19022" t="str">
        <f>IFERROR(__xludf.DUMMYFUNCTION("GOOGLETRANSLATE(B19022, ""zh"", ""en"")"),"Nice bottle of very good quality here is better than China, the lid is a nice start for not always behind the hole, I do not know why.")</f>
        <v>Nice bottle of very good quality here is better than China, the lid is a nice start for not always behind the hole, I do not know why.</v>
      </c>
    </row>
    <row r="19023">
      <c r="A19023" s="1">
        <v>4.0</v>
      </c>
      <c r="B19023" s="1" t="s">
        <v>18778</v>
      </c>
      <c r="C19023" t="str">
        <f>IFERROR(__xludf.DUMMYFUNCTION("GOOGLETRANSLATE(B19023, ""zh"", ""en"")"),"Slightly smaller than imagined a little smaller than expected, basic things can still pretend to be, a small camera bag also enough, praise")</f>
        <v>Slightly smaller than imagined a little smaller than expected, basic things can still pretend to be, a small camera bag also enough, praise</v>
      </c>
    </row>
    <row r="19024">
      <c r="A19024" s="1">
        <v>4.0</v>
      </c>
      <c r="B19024" s="1" t="s">
        <v>18779</v>
      </c>
      <c r="C19024" t="str">
        <f>IFERROR(__xludf.DUMMYFUNCTION("GOOGLETRANSLATE(B19024, ""zh"", ""en"")"),"Slightly small capacity, good speed slightly small capacity, only the 2T 1.8T, glycidyl component a little big. Speed ​​is also good, with a 3.0 jack. 1g stuff instant transfer. The price is very affordable, I am buying my colleagues want to buy, the resu"&amp;"lt of price increases it!")</f>
        <v>Slightly small capacity, good speed slightly small capacity, only the 2T 1.8T, glycidyl component a little big. Speed ​​is also good, with a 3.0 jack. 1g stuff instant transfer. The price is very affordable, I am buying my colleagues want to buy, the result of price increases it!</v>
      </c>
    </row>
    <row r="19025">
      <c r="A19025" s="1">
        <v>4.0</v>
      </c>
      <c r="B19025" s="1" t="s">
        <v>18780</v>
      </c>
      <c r="C19025" t="str">
        <f>IFERROR(__xludf.DUMMYFUNCTION("GOOGLETRANSLATE(B19025, ""zh"", ""en"")"),"Spring day to wear appropriate quality is very good, it is the feeling to buy a small number M One, 175,85 kg L should buy the appropriate number.")</f>
        <v>Spring day to wear appropriate quality is very good, it is the feeling to buy a small number M One, 175,85 kg L should buy the appropriate number.</v>
      </c>
    </row>
    <row r="19026">
      <c r="A19026" s="1">
        <v>5.0</v>
      </c>
      <c r="B19026" s="1" t="s">
        <v>18781</v>
      </c>
      <c r="C19026" t="str">
        <f>IFERROR(__xludf.DUMMYFUNCTION("GOOGLETRANSLATE(B19026, ""zh"", ""en"")"),"Casio Men's MQ24-7E Casual Watch With Black ... looks fine, good, post soon")</f>
        <v>Casio Men's MQ24-7E Casual Watch With Black ... looks fine, good, post soon</v>
      </c>
    </row>
    <row r="19027">
      <c r="A19027" s="1">
        <v>5.0</v>
      </c>
      <c r="B19027" s="1" t="s">
        <v>18782</v>
      </c>
      <c r="C19027" t="str">
        <f>IFERROR(__xludf.DUMMYFUNCTION("GOOGLETRANSLATE(B19027, ""zh"", ""en"")"),"~ First experience overseas purchase with Amazon first overseas purchase, logistics faster than expected, things are good - do not wear big boots to wear small, the size of just, you can wear thick wool Sork.")</f>
        <v>~ First experience overseas purchase with Amazon first overseas purchase, logistics faster than expected, things are good - do not wear big boots to wear small, the size of just, you can wear thick wool Sork.</v>
      </c>
    </row>
    <row r="19028">
      <c r="A19028" s="1">
        <v>5.0</v>
      </c>
      <c r="B19028" s="1" t="s">
        <v>18783</v>
      </c>
      <c r="C19028" t="str">
        <f>IFERROR(__xludf.DUMMYFUNCTION("GOOGLETRANSLATE(B19028, ""zh"", ""en"")"),"Yes. It is possible!")</f>
        <v>Yes. It is possible!</v>
      </c>
    </row>
    <row r="19029">
      <c r="A19029" s="1">
        <v>5.0</v>
      </c>
      <c r="B19029" s="1" t="s">
        <v>18784</v>
      </c>
      <c r="C19029" t="str">
        <f>IFERROR(__xludf.DUMMYFUNCTION("GOOGLETRANSLATE(B19029, ""zh"", ""en"")"),"Amazon is great overseas purchase this voltage is 110V, be sure to buy a voltage converter, I bought the 2000W, the machine only a few hundred watts of power, but considering the heat transformer, wattage buy relatively large, with the same machine store "&amp;"if purchased KL models Note, KL should be a special contribution, is custom models")</f>
        <v>Amazon is great overseas purchase this voltage is 110V, be sure to buy a voltage converter, I bought the 2000W, the machine only a few hundred watts of power, but considering the heat transformer, wattage buy relatively large, with the same machine store if purchased KL models Note, KL should be a special contribution, is custom models</v>
      </c>
    </row>
    <row r="19030">
      <c r="A19030" s="1">
        <v>5.0</v>
      </c>
      <c r="B19030" s="1" t="s">
        <v>18785</v>
      </c>
      <c r="C19030" t="str">
        <f>IFERROR(__xludf.DUMMYFUNCTION("GOOGLETRANSLATE(B19030, ""zh"", ""en"")"),"Very good very easy to use, large volume of water.")</f>
        <v>Very good very easy to use, large volume of water.</v>
      </c>
    </row>
    <row r="19031">
      <c r="A19031" s="1">
        <v>5.0</v>
      </c>
      <c r="B19031" s="1" t="s">
        <v>18786</v>
      </c>
      <c r="C19031" t="str">
        <f>IFERROR(__xludf.DUMMYFUNCTION("GOOGLETRANSLATE(B19031, ""zh"", ""en"")"),"A good deal so beautiful so beautiful! Price super good! Good deal")</f>
        <v>A good deal so beautiful so beautiful! Price super good! Good deal</v>
      </c>
    </row>
    <row r="19032">
      <c r="A19032" s="1">
        <v>5.0</v>
      </c>
      <c r="B19032" s="1" t="s">
        <v>18787</v>
      </c>
      <c r="C19032" t="str">
        <f>IFERROR(__xludf.DUMMYFUNCTION("GOOGLETRANSLATE(B19032, ""zh"", ""en"")"),"Satisfied and comfortable, suitable for spring and winter wear. Logistics faster.")</f>
        <v>Satisfied and comfortable, suitable for spring and winter wear. Logistics faster.</v>
      </c>
    </row>
    <row r="19033">
      <c r="A19033" s="1">
        <v>5.0</v>
      </c>
      <c r="B19033" s="1" t="s">
        <v>18788</v>
      </c>
      <c r="C19033" t="str">
        <f>IFERROR(__xludf.DUMMYFUNCTION("GOOGLETRANSLATE(B19033, ""zh"", ""en"")"),"Good good pot pot, I feel very durable, very good clean-up")</f>
        <v>Good good pot pot, I feel very durable, very good clean-up</v>
      </c>
    </row>
    <row r="19034">
      <c r="A19034" s="1">
        <v>5.0</v>
      </c>
      <c r="B19034" s="1" t="s">
        <v>18789</v>
      </c>
      <c r="C19034" t="str">
        <f>IFERROR(__xludf.DUMMYFUNCTION("GOOGLETRANSLATE(B19034, ""zh"", ""en"")"),"Good well worth buying cotton, comfortable to wear, although the men, but the upper body is still very delicate, beat the M code 161m, 55kg. Slim.")</f>
        <v>Good well worth buying cotton, comfortable to wear, although the men, but the upper body is still very delicate, beat the M code 161m, 55kg. Slim.</v>
      </c>
    </row>
    <row r="19035">
      <c r="A19035" s="1">
        <v>5.0</v>
      </c>
      <c r="B19035" s="1" t="s">
        <v>18790</v>
      </c>
      <c r="C19035" t="str">
        <f>IFERROR(__xludf.DUMMYFUNCTION("GOOGLETRANSLATE(B19035, ""zh"", ""en"")"),"Genuine, good relatively high cost")</f>
        <v>Genuine, good relatively high cost</v>
      </c>
    </row>
    <row r="19036">
      <c r="A19036" s="1">
        <v>5.0</v>
      </c>
      <c r="B19036" s="1" t="s">
        <v>18791</v>
      </c>
      <c r="C19036" t="str">
        <f>IFERROR(__xludf.DUMMYFUNCTION("GOOGLETRANSLATE(B19036, ""zh"", ""en"")"),"Very good very good Long Valley Park clay pot, but fortunately unpacking intact. Porridge boil, boil the soup once or twice, very satisfied")</f>
        <v>Very good very good Long Valley Park clay pot, but fortunately unpacking intact. Porridge boil, boil the soup once or twice, very satisfied</v>
      </c>
    </row>
    <row r="19037">
      <c r="A19037" s="1">
        <v>5.0</v>
      </c>
      <c r="B19037" s="1" t="s">
        <v>18792</v>
      </c>
      <c r="C19037" t="str">
        <f>IFERROR(__xludf.DUMMYFUNCTION("GOOGLETRANSLATE(B19037, ""zh"", ""en"")"),"it is good! Details workmanship, significant force all black grid.")</f>
        <v>it is good! Details workmanship, significant force all black grid.</v>
      </c>
    </row>
    <row r="19038">
      <c r="A19038" s="1">
        <v>5.0</v>
      </c>
      <c r="B19038" s="1" t="s">
        <v>18793</v>
      </c>
      <c r="C19038" t="str">
        <f>IFERROR(__xludf.DUMMYFUNCTION("GOOGLETRANSLATE(B19038, ""zh"", ""en"")"),"Lightweight and comfortable for the first time to buy such a light underwear, and comfortable, really good")</f>
        <v>Lightweight and comfortable for the first time to buy such a light underwear, and comfortable, really good</v>
      </c>
    </row>
    <row r="19039">
      <c r="A19039" s="1">
        <v>5.0</v>
      </c>
      <c r="B19039" s="1" t="s">
        <v>18794</v>
      </c>
      <c r="C19039" t="str">
        <f>IFERROR(__xludf.DUMMYFUNCTION("GOOGLETRANSLATE(B19039, ""zh"", ""en"")"),"Wear comfortable, size is too large and a half number. Origin Thai, Amsterdam shipments a week to arrive. Comfortable to wear, number of half size is too large, the top of the rear foot forward can easily put a finger, the back of a shoe lining visual com"&amp;"pression ratio refers to a comparison Ning sports shoes from 0.3 to 0.5 cm long. Not satisfied with the place, hard and soft leather uppers and two shoes pores of thickness is not uniform, wearing a time not very uniform deformation. Thai workers craft se"&amp;"ems to be improved. The disadvantage is not obvious, acceptable, overall very satisfied.")</f>
        <v>Wear comfortable, size is too large and a half number. Origin Thai, Amsterdam shipments a week to arrive. Comfortable to wear, number of half size is too large, the top of the rear foot forward can easily put a finger, the back of a shoe lining visual compression ratio refers to a comparison Ning sports shoes from 0.3 to 0.5 cm long. Not satisfied with the place, hard and soft leather uppers and two shoes pores of thickness is not uniform, wearing a time not very uniform deformation. Thai workers craft seems to be improved. The disadvantage is not obvious, acceptable, overall very satisfied.</v>
      </c>
    </row>
    <row r="19040">
      <c r="A19040" s="1">
        <v>5.0</v>
      </c>
      <c r="B19040" s="1" t="s">
        <v>18795</v>
      </c>
      <c r="C19040" t="str">
        <f>IFERROR(__xludf.DUMMYFUNCTION("GOOGLETRANSLATE(B19040, ""zh"", ""en"")"),"Worth having very value, do not expect direct push, the game is. If you put good people can match the sound will change. Rough points, on the outside of the unit using a double-sided tacky DT990. Overall pretty good,")</f>
        <v>Worth having very value, do not expect direct push, the game is. If you put good people can match the sound will change. Rough points, on the outside of the unit using a double-sided tacky DT990. Overall pretty good,</v>
      </c>
    </row>
    <row r="19041">
      <c r="A19041" s="1">
        <v>5.0</v>
      </c>
      <c r="B19041" s="1" t="s">
        <v>18796</v>
      </c>
      <c r="C19041" t="str">
        <f>IFERROR(__xludf.DUMMYFUNCTION("GOOGLETRANSLATE(B19041, ""zh"", ""en"")"),"Awesome what you pay for, ah, the United States began to cry. 165 high, 47 kg, S code appropriate, may also be added to the fleece sweater.")</f>
        <v>Awesome what you pay for, ah, the United States began to cry. 165 high, 47 kg, S code appropriate, may also be added to the fleece sweater.</v>
      </c>
    </row>
    <row r="19042">
      <c r="A19042" s="1">
        <v>5.0</v>
      </c>
      <c r="B19042" s="1" t="s">
        <v>18797</v>
      </c>
      <c r="C19042" t="str">
        <f>IFERROR(__xludf.DUMMYFUNCTION("GOOGLETRANSLATE(B19042, ""zh"", ""en"")"),"When doing activities into high value dish Yan, the price is right, the spoon is really easy to use ah it is suitable for your baby to eat with the adults fed, then the handle a little short, plate color value is high")</f>
        <v>When doing activities into high value dish Yan, the price is right, the spoon is really easy to use ah it is suitable for your baby to eat with the adults fed, then the handle a little short, plate color value is high</v>
      </c>
    </row>
    <row r="19043">
      <c r="A19043" s="1">
        <v>5.0</v>
      </c>
      <c r="B19043" s="1" t="s">
        <v>18798</v>
      </c>
      <c r="C19043" t="str">
        <f>IFERROR(__xludf.DUMMYFUNCTION("GOOGLETRANSLATE(B19043, ""zh"", ""en"")"),"Number numbers too much, at least two big numbers, please note buyers, but very comfortable")</f>
        <v>Number numbers too much, at least two big numbers, please note buyers, but very comfortable</v>
      </c>
    </row>
    <row r="19044">
      <c r="A19044" s="1">
        <v>5.0</v>
      </c>
      <c r="B19044" s="1" t="s">
        <v>18799</v>
      </c>
      <c r="C19044" t="str">
        <f>IFERROR(__xludf.DUMMYFUNCTION("GOOGLETRANSLATE(B19044, ""zh"", ""en"")"),"Bad not long after it has been broken down I would have thought this a good quality inside out")</f>
        <v>Bad not long after it has been broken down I would have thought this a good quality inside out</v>
      </c>
    </row>
    <row r="19045">
      <c r="A19045" s="1">
        <v>5.0</v>
      </c>
      <c r="B19045" s="1" t="s">
        <v>18800</v>
      </c>
      <c r="C19045" t="str">
        <f>IFERROR(__xludf.DUMMYFUNCTION("GOOGLETRANSLATE(B19045, ""zh"", ""en"")"),"Just the right size particularly good-looking, like")</f>
        <v>Just the right size particularly good-looking, like</v>
      </c>
    </row>
    <row r="19046">
      <c r="A19046" s="1">
        <v>5.0</v>
      </c>
      <c r="B19046" s="1" t="s">
        <v>18801</v>
      </c>
      <c r="C19046" t="str">
        <f>IFERROR(__xludf.DUMMYFUNCTION("GOOGLETRANSLATE(B19046, ""zh"", ""en"")"),"The right size. Recommended. The right size. Recommended.")</f>
        <v>The right size. Recommended. The right size. Recommended.</v>
      </c>
    </row>
    <row r="19047">
      <c r="A19047" s="1">
        <v>5.0</v>
      </c>
      <c r="B19047" s="1" t="s">
        <v>18802</v>
      </c>
      <c r="C19047" t="str">
        <f>IFERROR(__xludf.DUMMYFUNCTION("GOOGLETRANSLATE(B19047, ""zh"", ""en"")"),"Shavers brand has been used, fast and clean shaven, very much.")</f>
        <v>Shavers brand has been used, fast and clean shaven, very much.</v>
      </c>
    </row>
    <row r="19048">
      <c r="A19048" s="1">
        <v>2.0</v>
      </c>
      <c r="B19048" s="1" t="s">
        <v>18803</v>
      </c>
      <c r="C19048" t="str">
        <f>IFERROR(__xludf.DUMMYFUNCTION("GOOGLETRANSLATE(B19048, ""zh"", ""en"")"),"Heavy lid shape very pretty, is too heavy lid, with a very unfavorable, as toys.")</f>
        <v>Heavy lid shape very pretty, is too heavy lid, with a very unfavorable, as toys.</v>
      </c>
    </row>
    <row r="19049">
      <c r="A19049" s="1">
        <v>3.0</v>
      </c>
      <c r="B19049" s="1" t="s">
        <v>18804</v>
      </c>
      <c r="C19049" t="str">
        <f>IFERROR(__xludf.DUMMYFUNCTION("GOOGLETRANSLATE(B19049, ""zh"", ""en"")"),"Immediately preceding a little narrower a little tight, a little foot wear, wear desired period of time would be better. Send quickly, although it is soft but not as soft.")</f>
        <v>Immediately preceding a little narrower a little tight, a little foot wear, wear desired period of time would be better. Send quickly, although it is soft but not as soft.</v>
      </c>
    </row>
    <row r="19050">
      <c r="A19050" s="1">
        <v>3.0</v>
      </c>
      <c r="B19050" s="1" t="s">
        <v>18805</v>
      </c>
      <c r="C19050" t="str">
        <f>IFERROR(__xludf.DUMMYFUNCTION("GOOGLETRANSLATE(B19050, ""zh"", ""en"")"),"Clothes in general the general quality of the clothes, can casually Chuan Chuan, slightly larger than usual")</f>
        <v>Clothes in general the general quality of the clothes, can casually Chuan Chuan, slightly larger than usual</v>
      </c>
    </row>
    <row r="19051">
      <c r="A19051" s="1">
        <v>3.0</v>
      </c>
      <c r="B19051" s="1" t="s">
        <v>18806</v>
      </c>
      <c r="C19051" t="str">
        <f>IFERROR(__xludf.DUMMYFUNCTION("GOOGLETRANSLATE(B19051, ""zh"", ""en"")"),"Melamine is not good-looking and practical, can not be boiled disinfection, also crispy, once the children fall to the ground, rotten.")</f>
        <v>Melamine is not good-looking and practical, can not be boiled disinfection, also crispy, once the children fall to the ground, rotten.</v>
      </c>
    </row>
    <row r="19052">
      <c r="A19052" s="1">
        <v>1.0</v>
      </c>
      <c r="B19052" s="1" t="s">
        <v>18807</v>
      </c>
      <c r="C19052" t="str">
        <f>IFERROR(__xludf.DUMMYFUNCTION("GOOGLETRANSLATE(B19052, ""zh"", ""en"")"),"Absolutely a pit, caution is a reactance, you 🐎 size table is written cheat ghost, Tete me hang out, you have a product in this review are appropriate to the size chart Why not write a quasi-professional deceptive What, I would like to retire at a glance"&amp;" back twenty or thirty dollars, huh, and have not seen such a powerful shopping software")</f>
        <v>Absolutely a pit, caution is a reactance, you 🐎 size table is written cheat ghost, Tete me hang out, you have a product in this review are appropriate to the size chart Why not write a quasi-professional deceptive What, I would like to retire at a glance back twenty or thirty dollars, huh, and have not seen such a powerful shopping software</v>
      </c>
    </row>
    <row r="19053">
      <c r="A19053" s="1">
        <v>1.0</v>
      </c>
      <c r="B19053" s="1" t="s">
        <v>18808</v>
      </c>
      <c r="C19053" t="str">
        <f>IFERROR(__xludf.DUMMYFUNCTION("GOOGLETRANSLATE(B19053, ""zh"", ""en"")"),"Walk stopped, just thought it was out of power, for a battery, or after this, do not bother to back International and expensive, in short, is not a pleasant shopping just one day, walk I stopped, just thought it was not electricity, and for the battery, o"&amp;"r after this, suspected quality problems, can see the position 6 of the surface has defects after the turn on the lights, do not bother to back International and expensive, in short, is an unpleasant shopping.")</f>
        <v>Walk stopped, just thought it was out of power, for a battery, or after this, do not bother to back International and expensive, in short, is not a pleasant shopping just one day, walk I stopped, just thought it was not electricity, and for the battery, or after this, suspected quality problems, can see the position 6 of the surface has defects after the turn on the lights, do not bother to back International and expensive, in short, is an unpleasant shopping.</v>
      </c>
    </row>
    <row r="19054">
      <c r="A19054" s="1">
        <v>4.0</v>
      </c>
      <c r="B19054" s="1" t="s">
        <v>18809</v>
      </c>
      <c r="C19054" t="str">
        <f>IFERROR(__xludf.DUMMYFUNCTION("GOOGLETRANSLATE(B19054, ""zh"", ""en"")"),"Insulation place is quite like the feeling of pressing the lid of the cup mouth a little loose not tight feeling pressure")</f>
        <v>Insulation place is quite like the feeling of pressing the lid of the cup mouth a little loose not tight feeling pressure</v>
      </c>
    </row>
    <row r="19055">
      <c r="A19055" s="1">
        <v>4.0</v>
      </c>
      <c r="B19055" s="1" t="s">
        <v>18810</v>
      </c>
      <c r="C19055" t="str">
        <f>IFERROR(__xludf.DUMMYFUNCTION("GOOGLETRANSLATE(B19055, ""zh"", ""en"")"),"Feeling not as good as last time tb US direct mail still can quality that can be used.")</f>
        <v>Feeling not as good as last time tb US direct mail still can quality that can be used.</v>
      </c>
    </row>
    <row r="19056">
      <c r="A19056" s="1">
        <v>4.0</v>
      </c>
      <c r="B19056" s="1" t="s">
        <v>18811</v>
      </c>
      <c r="C19056" t="str">
        <f>IFERROR(__xludf.DUMMYFUNCTION("GOOGLETRANSLATE(B19056, ""zh"", ""en"")"),"Worth buying good, thin and very comfortable, no trace")</f>
        <v>Worth buying good, thin and very comfortable, no trace</v>
      </c>
    </row>
    <row r="19057">
      <c r="A19057" s="1">
        <v>4.0</v>
      </c>
      <c r="B19057" s="1" t="s">
        <v>18812</v>
      </c>
      <c r="C19057" t="str">
        <f>IFERROR(__xludf.DUMMYFUNCTION("GOOGLETRANSLATE(B19057, ""zh"", ""en"")"),"The price of goods on hand not 50, I? ? ? Being not allergic, packaging more convenient health, but just got finished on the price, the loss of 50 yuan out of thin air very uncomfortable = =")</f>
        <v>The price of goods on hand not 50, I? ? ? Being not allergic, packaging more convenient health, but just got finished on the price, the loss of 50 yuan out of thin air very uncomfortable = =</v>
      </c>
    </row>
    <row r="19058">
      <c r="A19058" s="1">
        <v>4.0</v>
      </c>
      <c r="B19058" s="1" t="s">
        <v>18813</v>
      </c>
      <c r="C19058" t="str">
        <f>IFERROR(__xludf.DUMMYFUNCTION("GOOGLETRANSLATE(B19058, ""zh"", ""en"")"),"Unfortunately not cover ah good quality, but unfortunately did not cover")</f>
        <v>Unfortunately not cover ah good quality, but unfortunately did not cover</v>
      </c>
    </row>
    <row r="19059">
      <c r="A19059" s="1">
        <v>5.0</v>
      </c>
      <c r="B19059" s="1" t="s">
        <v>18814</v>
      </c>
      <c r="C19059" t="str">
        <f>IFERROR(__xludf.DUMMYFUNCTION("GOOGLETRANSLATE(B19059, ""zh"", ""en"")"),"Relying on the Japanese out of the packaging so careful packaging of 100 points is enough! Bb bowl to store goods have not used should be good! Amoy sea now has no other platform, prime over 200 free mail, both fidelity and fast! Baton!")</f>
        <v>Relying on the Japanese out of the packaging so careful packaging of 100 points is enough! Bb bowl to store goods have not used should be good! Amoy sea now has no other platform, prime over 200 free mail, both fidelity and fast! Baton!</v>
      </c>
    </row>
    <row r="19060">
      <c r="A19060" s="1">
        <v>5.0</v>
      </c>
      <c r="B19060" s="1" t="s">
        <v>18815</v>
      </c>
      <c r="C19060" t="str">
        <f>IFERROR(__xludf.DUMMYFUNCTION("GOOGLETRANSLATE(B19060, ""zh"", ""en"")"),"Color of lead good, very good, it should be true")</f>
        <v>Color of lead good, very good, it should be true</v>
      </c>
    </row>
    <row r="19061">
      <c r="A19061" s="1">
        <v>5.0</v>
      </c>
      <c r="B19061" s="1" t="s">
        <v>18816</v>
      </c>
      <c r="C19061" t="str">
        <f>IFERROR(__xludf.DUMMYFUNCTION("GOOGLETRANSLATE(B19061, ""zh"", ""en"")"),"Good product pants good, but I bought a big one yard.")</f>
        <v>Good product pants good, but I bought a big one yard.</v>
      </c>
    </row>
    <row r="19062">
      <c r="A19062" s="1">
        <v>5.0</v>
      </c>
      <c r="B19062" s="1" t="s">
        <v>18817</v>
      </c>
      <c r="C19062" t="str">
        <f>IFERROR(__xludf.DUMMYFUNCTION("GOOGLETRANSLATE(B19062, ""zh"", ""en"")"),"Whether the United States and the quality of the supermarket to buy the same price a little expensive")</f>
        <v>Whether the United States and the quality of the supermarket to buy the same price a little expensive</v>
      </c>
    </row>
    <row r="19063">
      <c r="A19063" s="1">
        <v>5.0</v>
      </c>
      <c r="B19063" s="1" t="s">
        <v>9862</v>
      </c>
      <c r="C19063" t="str">
        <f>IFERROR(__xludf.DUMMYFUNCTION("GOOGLETRANSLATE(B19063, ""zh"", ""en"")"),"Yes okay, I received.")</f>
        <v>Yes okay, I received.</v>
      </c>
    </row>
    <row r="19064">
      <c r="A19064" s="1">
        <v>5.0</v>
      </c>
      <c r="B19064" s="1" t="s">
        <v>18818</v>
      </c>
      <c r="C19064" t="str">
        <f>IFERROR(__xludf.DUMMYFUNCTION("GOOGLETRANSLATE(B19064, ""zh"", ""en"")"),"Recommended to buy quality worthy of the price, origin China.")</f>
        <v>Recommended to buy quality worthy of the price, origin China.</v>
      </c>
    </row>
    <row r="19065">
      <c r="A19065" s="1">
        <v>5.0</v>
      </c>
      <c r="B19065" s="1" t="s">
        <v>18819</v>
      </c>
      <c r="C19065" t="str">
        <f>IFERROR(__xludf.DUMMYFUNCTION("GOOGLETRANSLATE(B19065, ""zh"", ""en"")"),"Good insulation insulation good, watertight, look beautiful!")</f>
        <v>Good insulation insulation good, watertight, look beautiful!</v>
      </c>
    </row>
    <row r="19066">
      <c r="A19066" s="1">
        <v>5.0</v>
      </c>
      <c r="B19066" s="1" t="s">
        <v>18820</v>
      </c>
      <c r="C19066" t="str">
        <f>IFERROR(__xludf.DUMMYFUNCTION("GOOGLETRANSLATE(B19066, ""zh"", ""en"")"),"This can be a good series. As always, look for how long")</f>
        <v>This can be a good series. As always, look for how long</v>
      </c>
    </row>
    <row r="19067">
      <c r="A19067" s="1">
        <v>5.0</v>
      </c>
      <c r="B19067" s="1" t="s">
        <v>18821</v>
      </c>
      <c r="C19067" t="str">
        <f>IFERROR(__xludf.DUMMYFUNCTION("GOOGLETRANSLATE(B19067, ""zh"", ""en"")"),"Everything is good value for money satisfaction, 170, M code is appropriate.")</f>
        <v>Everything is good value for money satisfaction, 170, M code is appropriate.</v>
      </c>
    </row>
    <row r="19068">
      <c r="A19068" s="1">
        <v>5.0</v>
      </c>
      <c r="B19068" s="1" t="s">
        <v>18822</v>
      </c>
      <c r="C19068" t="str">
        <f>IFERROR(__xludf.DUMMYFUNCTION("GOOGLETRANSLATE(B19068, ""zh"", ""en"")"),"Affordable ate a bottle, no adverse reactions, affordable")</f>
        <v>Affordable ate a bottle, no adverse reactions, affordable</v>
      </c>
    </row>
    <row r="19069">
      <c r="A19069" s="1">
        <v>5.0</v>
      </c>
      <c r="B19069" s="1" t="s">
        <v>18823</v>
      </c>
      <c r="C19069" t="str">
        <f>IFERROR(__xludf.DUMMYFUNCTION("GOOGLETRANSLATE(B19069, ""zh"", ""en"")"),"Honduras description consistent with good production of good quality and comfortable")</f>
        <v>Honduras description consistent with good production of good quality and comfortable</v>
      </c>
    </row>
    <row r="19070">
      <c r="A19070" s="1">
        <v>5.0</v>
      </c>
      <c r="B19070" s="1" t="s">
        <v>18824</v>
      </c>
      <c r="C19070" t="str">
        <f>IFERROR(__xludf.DUMMYFUNCTION("GOOGLETRANSLATE(B19070, ""zh"", ""en"")"),"satisfaction! Very satisfied with the shopping!")</f>
        <v>satisfaction! Very satisfied with the shopping!</v>
      </c>
    </row>
    <row r="19071">
      <c r="A19071" s="1">
        <v>5.0</v>
      </c>
      <c r="B19071" s="1" t="s">
        <v>18825</v>
      </c>
      <c r="C19071" t="str">
        <f>IFERROR(__xludf.DUMMYFUNCTION("GOOGLETRANSLATE(B19071, ""zh"", ""en"")"),"Satisfied with nothing to say, very satisfied.")</f>
        <v>Satisfied with nothing to say, very satisfied.</v>
      </c>
    </row>
    <row r="19072">
      <c r="A19072" s="1">
        <v>5.0</v>
      </c>
      <c r="B19072" s="1" t="s">
        <v>18826</v>
      </c>
      <c r="C19072" t="str">
        <f>IFERROR(__xludf.DUMMYFUNCTION("GOOGLETRANSLATE(B19072, ""zh"", ""en"")"),"It is very appropriate that the sleeves a little longer appropriate and AF brand clothes, like the bust size is very accurate sea Amazon purchase fast thank you")</f>
        <v>It is very appropriate that the sleeves a little longer appropriate and AF brand clothes, like the bust size is very accurate sea Amazon purchase fast thank you</v>
      </c>
    </row>
    <row r="19073">
      <c r="A19073" s="1">
        <v>5.0</v>
      </c>
      <c r="B19073" s="1" t="s">
        <v>18827</v>
      </c>
      <c r="C19073" t="str">
        <f>IFERROR(__xludf.DUMMYFUNCTION("GOOGLETRANSLATE(B19073, ""zh"", ""en"")"),"Standard protective footwear standard protective footwear, but take this to wear to work is a bit extravagant, large enough to have the bottom 3cm thick, but the feeling is not very wearable")</f>
        <v>Standard protective footwear standard protective footwear, but take this to wear to work is a bit extravagant, large enough to have the bottom 3cm thick, but the feeling is not very wearable</v>
      </c>
    </row>
    <row r="19074">
      <c r="A19074" s="1">
        <v>5.0</v>
      </c>
      <c r="B19074" s="1" t="s">
        <v>18828</v>
      </c>
      <c r="C19074" t="str">
        <f>IFERROR(__xludf.DUMMYFUNCTION("GOOGLETRANSLATE(B19074, ""zh"", ""en"")"),". I did not try very fit yardage wrong a little bit through the summer does not affect")</f>
        <v>. I did not try very fit yardage wrong a little bit through the summer does not affect</v>
      </c>
    </row>
    <row r="19075">
      <c r="A19075" s="1">
        <v>5.0</v>
      </c>
      <c r="B19075" s="1" t="s">
        <v>18829</v>
      </c>
      <c r="C19075" t="str">
        <f>IFERROR(__xludf.DUMMYFUNCTION("GOOGLETRANSLATE(B19075, ""zh"", ""en"")"),"The price is reasonable, I 183,78 kg, wearing a little big L")</f>
        <v>The price is reasonable, I 183,78 kg, wearing a little big L</v>
      </c>
    </row>
    <row r="19076">
      <c r="A19076" s="1">
        <v>5.0</v>
      </c>
      <c r="B19076" s="1" t="s">
        <v>18830</v>
      </c>
      <c r="C19076" t="str">
        <f>IFERROR(__xludf.DUMMYFUNCTION("GOOGLETRANSLATE(B19076, ""zh"", ""en"")"),"Very nice very nice pair of shoes, size is just right, my wife liked, and now wear every day. Feedback wife looks a bit hard soles slippery? Other no weaknesses. Overseas purchase is very good, the domestic price can not buy it")</f>
        <v>Very nice very nice pair of shoes, size is just right, my wife liked, and now wear every day. Feedback wife looks a bit hard soles slippery? Other no weaknesses. Overseas purchase is very good, the domestic price can not buy it</v>
      </c>
    </row>
    <row r="19077">
      <c r="A19077" s="1">
        <v>5.0</v>
      </c>
      <c r="B19077" s="1" t="s">
        <v>18831</v>
      </c>
      <c r="C19077" t="str">
        <f>IFERROR(__xludf.DUMMYFUNCTION("GOOGLETRANSLATE(B19077, ""zh"", ""en"")"),"Super warm advantages: 1, the thermal properties of strong ah ~ ~ ~ ~ early spring, when other people down jacket coat, I just come back to this one shirt and a thin coat Spring and Autumn can be a 2, a lot thinner than the average Qiuyi, the thickness an"&amp;"d shirt spring shirt almost 3, 4 personal design very good, wash a few times no pilling")</f>
        <v>Super warm advantages: 1, the thermal properties of strong ah ~ ~ ~ ~ early spring, when other people down jacket coat, I just come back to this one shirt and a thin coat Spring and Autumn can be a 2, a lot thinner than the average Qiuyi, the thickness and shirt spring shirt almost 3, 4 personal design very good, wash a few times no pilling</v>
      </c>
    </row>
    <row r="19078">
      <c r="A19078" s="1">
        <v>5.0</v>
      </c>
      <c r="B19078" s="1" t="s">
        <v>18832</v>
      </c>
      <c r="C19078" t="str">
        <f>IFERROR(__xludf.DUMMYFUNCTION("GOOGLETRANSLATE(B19078, ""zh"", ""en"")"),"Smooth writing, durable! AIU in evaluating the best gel pen, well-deserved reputation, smooth writing, and durable.")</f>
        <v>Smooth writing, durable! AIU in evaluating the best gel pen, well-deserved reputation, smooth writing, and durable.</v>
      </c>
    </row>
    <row r="19079">
      <c r="A19079" s="1">
        <v>5.0</v>
      </c>
      <c r="B19079" s="1" t="s">
        <v>18833</v>
      </c>
      <c r="C19079" t="str">
        <f>IFERROR(__xludf.DUMMYFUNCTION("GOOGLETRANSLATE(B19079, ""zh"", ""en"")"),"It is a genuine good, and bought the same as before. Children liked!")</f>
        <v>It is a genuine good, and bought the same as before. Children liked!</v>
      </c>
    </row>
    <row r="19080">
      <c r="A19080" s="1">
        <v>5.0</v>
      </c>
      <c r="B19080" s="1" t="s">
        <v>18834</v>
      </c>
      <c r="C19080" t="str">
        <f>IFERROR(__xludf.DUMMYFUNCTION("GOOGLETRANSLATE(B19080, ""zh"", ""en"")"),"Comfortable leather soft on the feet comfortable, breathable slightly worse, most of the code code than domestic prices than domestic double 11 also lower.")</f>
        <v>Comfortable leather soft on the feet comfortable, breathable slightly worse, most of the code code than domestic prices than domestic double 11 also lower.</v>
      </c>
    </row>
    <row r="19081">
      <c r="A19081" s="1">
        <v>2.0</v>
      </c>
      <c r="B19081" s="1" t="s">
        <v>18835</v>
      </c>
      <c r="C19081" t="str">
        <f>IFERROR(__xludf.DUMMYFUNCTION("GOOGLETRANSLATE(B19081, ""zh"", ""en"")"),"Suction is too small! Under the sucker suction little baby gently mention just holding up the bowl, pocket mouth very well, the baby's chin to prevent falling over, but holding up after the useless!")</f>
        <v>Suction is too small! Under the sucker suction little baby gently mention just holding up the bowl, pocket mouth very well, the baby's chin to prevent falling over, but holding up after the useless!</v>
      </c>
    </row>
    <row r="19082">
      <c r="A19082" s="1">
        <v>3.0</v>
      </c>
      <c r="B19082" s="1" t="s">
        <v>18836</v>
      </c>
      <c r="C19082" t="str">
        <f>IFERROR(__xludf.DUMMYFUNCTION("GOOGLETRANSLATE(B19082, ""zh"", ""en"")"),"Models strange some hard cloth pants, pants strange, very loose in front, behind very tight. Very unique design, make do wear")</f>
        <v>Models strange some hard cloth pants, pants strange, very loose in front, behind very tight. Very unique design, make do wear</v>
      </c>
    </row>
    <row r="19083">
      <c r="A19083" s="1">
        <v>3.0</v>
      </c>
      <c r="B19083" s="1" t="s">
        <v>18837</v>
      </c>
      <c r="C19083" t="str">
        <f>IFERROR(__xludf.DUMMYFUNCTION("GOOGLETRANSLATE(B19083, ""zh"", ""en"")"),"Loose and comfortable, with the wear with respect to the body of the Asian people, this is more suitable for Europeans and Americans to wear pants, because a little bit big, especially the ass place to look is hung, there is no sense of violation and, as "&amp;"a leisure to wear, in fact, pretty good, relaxed, comfortable, is its first impression.")</f>
        <v>Loose and comfortable, with the wear with respect to the body of the Asian people, this is more suitable for Europeans and Americans to wear pants, because a little bit big, especially the ass place to look is hung, there is no sense of violation and, as a leisure to wear, in fact, pretty good, relaxed, comfortable, is its first impression.</v>
      </c>
    </row>
    <row r="19084">
      <c r="A19084" s="1">
        <v>1.0</v>
      </c>
      <c r="B19084" s="1" t="s">
        <v>18838</v>
      </c>
      <c r="C19084" t="str">
        <f>IFERROR(__xludf.DUMMYFUNCTION("GOOGLETRANSLATE(B19084, ""zh"", ""en"")"),"False absolutely false. Undoubtedly")</f>
        <v>False absolutely false. Undoubtedly</v>
      </c>
    </row>
    <row r="19085">
      <c r="A19085" s="1">
        <v>1.0</v>
      </c>
      <c r="B19085" s="1" t="s">
        <v>18839</v>
      </c>
      <c r="C19085" t="str">
        <f>IFERROR(__xludf.DUMMYFUNCTION("GOOGLETRANSLATE(B19085, ""zh"", ""en"")"),"Product quality super bad! Pants very poor quality, hard cloth was very uncomfortable!")</f>
        <v>Product quality super bad! Pants very poor quality, hard cloth was very uncomfortable!</v>
      </c>
    </row>
    <row r="19086">
      <c r="A19086" s="1">
        <v>1.0</v>
      </c>
      <c r="B19086" s="1" t="s">
        <v>18840</v>
      </c>
      <c r="C19086" t="str">
        <f>IFERROR(__xludf.DUMMYFUNCTION("GOOGLETRANSLATE(B19086, ""zh"", ""en"")"),"Very bad ... doubt genuine diamond money ... my friend is not the same ... with a few days there is a problem ... use now broken ...")</f>
        <v>Very bad ... doubt genuine diamond money ... my friend is not the same ... with a few days there is a problem ... use now broken ...</v>
      </c>
    </row>
    <row r="19087">
      <c r="A19087" s="1">
        <v>4.0</v>
      </c>
      <c r="B19087" s="1" t="s">
        <v>18841</v>
      </c>
      <c r="C19087" t="str">
        <f>IFERROR(__xludf.DUMMYFUNCTION("GOOGLETRANSLATE(B19087, ""zh"", ""en"")"),"Too small to buy a small point, I thought it would too large")</f>
        <v>Too small to buy a small point, I thought it would too large</v>
      </c>
    </row>
    <row r="19088">
      <c r="A19088" s="1">
        <v>4.0</v>
      </c>
      <c r="B19088" s="1" t="s">
        <v>18842</v>
      </c>
      <c r="C19088" t="str">
        <f>IFERROR(__xludf.DUMMYFUNCTION("GOOGLETRANSLATE(B19088, ""zh"", ""en"")"),"Things okay right size, logistics also can be, the parcel is not damaged, very comfortable shoes on the feet, which is the cortex.")</f>
        <v>Things okay right size, logistics also can be, the parcel is not damaged, very comfortable shoes on the feet, which is the cortex.</v>
      </c>
    </row>
    <row r="19089">
      <c r="A19089" s="1">
        <v>4.0</v>
      </c>
      <c r="B19089" s="1" t="s">
        <v>18843</v>
      </c>
      <c r="C19089" t="str">
        <f>IFERROR(__xludf.DUMMYFUNCTION("GOOGLETRANSLATE(B19089, ""zh"", ""en"")"),"Comfortable, home wear. Very comfortable, but too large. Home wear well.")</f>
        <v>Comfortable, home wear. Very comfortable, but too large. Home wear well.</v>
      </c>
    </row>
    <row r="19090">
      <c r="A19090" s="1">
        <v>4.0</v>
      </c>
      <c r="B19090" s="1" t="s">
        <v>18844</v>
      </c>
      <c r="C19090" t="str">
        <f>IFERROR(__xludf.DUMMYFUNCTION("GOOGLETRANSLATE(B19090, ""zh"", ""en"")"),"Very good in China what code on what to buy code")</f>
        <v>Very good in China what code on what to buy code</v>
      </c>
    </row>
    <row r="19091">
      <c r="A19091" s="1">
        <v>5.0</v>
      </c>
      <c r="B19091" s="1" t="s">
        <v>18845</v>
      </c>
      <c r="C19091" t="str">
        <f>IFERROR(__xludf.DUMMYFUNCTION("GOOGLETRANSLATE(B19091, ""zh"", ""en"")"),"Has been longing for a satisfying experience authentic Lee jeans, the members of the date made me wish. After the hand thing very satisfied!")</f>
        <v>Has been longing for a satisfying experience authentic Lee jeans, the members of the date made me wish. After the hand thing very satisfied!</v>
      </c>
    </row>
    <row r="19092">
      <c r="A19092" s="1">
        <v>5.0</v>
      </c>
      <c r="B19092" s="1" t="s">
        <v>18846</v>
      </c>
      <c r="C19092" t="str">
        <f>IFERROR(__xludf.DUMMYFUNCTION("GOOGLETRANSLATE(B19092, ""zh"", ""en"")"),"Wild classic casual shoes good to wear wild style. Vamp easy to fouling difficult to clean")</f>
        <v>Wild classic casual shoes good to wear wild style. Vamp easy to fouling difficult to clean</v>
      </c>
    </row>
    <row r="19093">
      <c r="A19093" s="1">
        <v>5.0</v>
      </c>
      <c r="B19093" s="1" t="s">
        <v>18847</v>
      </c>
      <c r="C19093" t="str">
        <f>IFERROR(__xludf.DUMMYFUNCTION("GOOGLETRANSLATE(B19093, ""zh"", ""en"")"),"Very good much cheaper than the mall, basically the same thing, anyway, I super like it.")</f>
        <v>Very good much cheaper than the mall, basically the same thing, anyway, I super like it.</v>
      </c>
    </row>
    <row r="19094">
      <c r="A19094" s="1">
        <v>5.0</v>
      </c>
      <c r="B19094" s="1" t="s">
        <v>18848</v>
      </c>
      <c r="C19094" t="str">
        <f>IFERROR(__xludf.DUMMYFUNCTION("GOOGLETRANSLATE(B19094, ""zh"", ""en"")"),"Size Size is appropriate, material is also good, cheaper than the store, she wore very comfortable.")</f>
        <v>Size Size is appropriate, material is also good, cheaper than the store, she wore very comfortable.</v>
      </c>
    </row>
    <row r="19095">
      <c r="A19095" s="1">
        <v>5.0</v>
      </c>
      <c r="B19095" s="1" t="s">
        <v>18849</v>
      </c>
      <c r="C19095" t="str">
        <f>IFERROR(__xludf.DUMMYFUNCTION("GOOGLETRANSLATE(B19095, ""zh"", ""en"")"),"A good choice is very good, quality rods")</f>
        <v>A good choice is very good, quality rods</v>
      </c>
    </row>
    <row r="19096">
      <c r="A19096" s="1">
        <v>5.0</v>
      </c>
      <c r="B19096" s="1" t="s">
        <v>18850</v>
      </c>
      <c r="C19096" t="str">
        <f>IFERROR(__xludf.DUMMYFUNCTION("GOOGLETRANSLATE(B19096, ""zh"", ""en"")"),"Satisfied")</f>
        <v>Satisfied</v>
      </c>
    </row>
    <row r="19097">
      <c r="A19097" s="1">
        <v>5.0</v>
      </c>
      <c r="B19097" s="1" t="s">
        <v>18851</v>
      </c>
      <c r="C19097" t="str">
        <f>IFERROR(__xludf.DUMMYFUNCTION("GOOGLETRANSLATE(B19097, ""zh"", ""en"")"),"worth buying! This is not the store, not try, looked right on-line orders, especially fit and comfortable, perfect for a shopping!")</f>
        <v>worth buying! This is not the store, not try, looked right on-line orders, especially fit and comfortable, perfect for a shopping!</v>
      </c>
    </row>
    <row r="19098">
      <c r="A19098" s="1">
        <v>5.0</v>
      </c>
      <c r="B19098" s="1" t="s">
        <v>18852</v>
      </c>
      <c r="C19098" t="str">
        <f>IFERROR(__xludf.DUMMYFUNCTION("GOOGLETRANSLATE(B19098, ""zh"", ""en"")"),"CK thick clothes very warm partial emphasis, relatively old style")</f>
        <v>CK thick clothes very warm partial emphasis, relatively old style</v>
      </c>
    </row>
    <row r="19099">
      <c r="A19099" s="1">
        <v>5.0</v>
      </c>
      <c r="B19099" s="1" t="s">
        <v>18853</v>
      </c>
      <c r="C19099" t="str">
        <f>IFERROR(__xludf.DUMMYFUNCTION("GOOGLETRANSLATE(B19099, ""zh"", ""en"")"),"Very nice price little expensive, very beautiful. Good color")</f>
        <v>Very nice price little expensive, very beautiful. Good color</v>
      </c>
    </row>
    <row r="19100">
      <c r="A19100" s="1">
        <v>5.0</v>
      </c>
      <c r="B19100" s="1" t="s">
        <v>18854</v>
      </c>
      <c r="C19100" t="str">
        <f>IFERROR(__xludf.DUMMYFUNCTION("GOOGLETRANSLATE(B19100, ""zh"", ""en"")"),"Price concessions, receiving fast! Shoes very good, very fond of suitable size! Seven days arrived, logistics soon!")</f>
        <v>Price concessions, receiving fast! Shoes very good, very fond of suitable size! Seven days arrived, logistics soon!</v>
      </c>
    </row>
    <row r="19101">
      <c r="A19101" s="1">
        <v>5.0</v>
      </c>
      <c r="B19101" s="1" t="s">
        <v>18855</v>
      </c>
      <c r="C19101" t="str">
        <f>IFERROR(__xludf.DUMMYFUNCTION("GOOGLETRANSLATE(B19101, ""zh"", ""en"")"),"Basically still possible")</f>
        <v>Basically still possible</v>
      </c>
    </row>
    <row r="19102">
      <c r="A19102" s="1">
        <v>5.0</v>
      </c>
      <c r="B19102" s="1" t="s">
        <v>18856</v>
      </c>
      <c r="C19102" t="str">
        <f>IFERROR(__xludf.DUMMYFUNCTION("GOOGLETRANSLATE(B19102, ""zh"", ""en"")"),"SanDisk evaluation of products UDMA7 16GB easy to use and found no quality problems, reasonable price, fast delivery, very satisfied.")</f>
        <v>SanDisk evaluation of products UDMA7 16GB easy to use and found no quality problems, reasonable price, fast delivery, very satisfied.</v>
      </c>
    </row>
    <row r="19103">
      <c r="A19103" s="1">
        <v>5.0</v>
      </c>
      <c r="B19103" s="1" t="s">
        <v>18857</v>
      </c>
      <c r="C19103" t="str">
        <f>IFERROR(__xludf.DUMMYFUNCTION("GOOGLETRANSLATE(B19103, ""zh"", ""en"")"),"Size 168 / 70kg s code fit Size")</f>
        <v>Size 168 / 70kg s code fit Size</v>
      </c>
    </row>
    <row r="19104">
      <c r="A19104" s="1">
        <v>5.0</v>
      </c>
      <c r="B19104" s="1" t="s">
        <v>18858</v>
      </c>
      <c r="C19104" t="str">
        <f>IFERROR(__xludf.DUMMYFUNCTION("GOOGLETRANSLATE(B19104, ""zh"", ""en"")"),"suitable The biom series is suitable for work and leisure, and the price is much cheaper than domestic shopping malls.")</f>
        <v>suitable The biom series is suitable for work and leisure, and the price is much cheaper than domestic shopping malls.</v>
      </c>
    </row>
    <row r="19105">
      <c r="A19105" s="1">
        <v>5.0</v>
      </c>
      <c r="B19105" s="1" t="s">
        <v>18859</v>
      </c>
      <c r="C19105" t="str">
        <f>IFERROR(__xludf.DUMMYFUNCTION("GOOGLETRANSLATE(B19105, ""zh"", ""en"")"),"The machine is very good, super-fast to send out order when the stock display 12, No. 11 shipments in advance, No. 16 at hand to spend, to buy so many times overseas purchase this is probably the fastest Luckily packaging also added outside the box, perfe"&amp;"ct hand, which presented at the end of the capsule expire. The new machine color is very beautiful, very atmospheric, has been used up, beat milk foam is very delicate, I used to use fully automatic machines, milk foam to fight their own, often handled ba"&amp;"dly, I feel more suitable capsule machine, can guarantee that every Cup has a certain level. Also clean the key is practical, flashes suggesting that cleaning after playing a milk coffee, press and hold to cue lights burn out on a good clean, very simple,"&amp;" you can not run out of milk back into the refrigerator, the feeling is really super easy to use, recommended to buy!")</f>
        <v>The machine is very good, super-fast to send out order when the stock display 12, No. 11 shipments in advance, No. 16 at hand to spend, to buy so many times overseas purchase this is probably the fastest Luckily packaging also added outside the box, perfect hand, which presented at the end of the capsule expire. The new machine color is very beautiful, very atmospheric, has been used up, beat milk foam is very delicate, I used to use fully automatic machines, milk foam to fight their own, often handled badly, I feel more suitable capsule machine, can guarantee that every Cup has a certain level. Also clean the key is practical, flashes suggesting that cleaning after playing a milk coffee, press and hold to cue lights burn out on a good clean, very simple, you can not run out of milk back into the refrigerator, the feeling is really super easy to use, recommended to buy!</v>
      </c>
    </row>
    <row r="19106">
      <c r="A19106" s="1">
        <v>5.0</v>
      </c>
      <c r="B19106" s="1" t="s">
        <v>18860</v>
      </c>
      <c r="C19106" t="str">
        <f>IFERROR(__xludf.DUMMYFUNCTION("GOOGLETRANSLATE(B19106, ""zh"", ""en"")"),"well! Express really fast. Version is what I want. well.")</f>
        <v>well! Express really fast. Version is what I want. well.</v>
      </c>
    </row>
    <row r="19107">
      <c r="A19107" s="1">
        <v>5.0</v>
      </c>
      <c r="B19107" s="1" t="s">
        <v>18861</v>
      </c>
      <c r="C19107" t="str">
        <f>IFERROR(__xludf.DUMMYFUNCTION("GOOGLETRANSLATE(B19107, ""zh"", ""en"")"),"Slim is worth buying, the right size.")</f>
        <v>Slim is worth buying, the right size.</v>
      </c>
    </row>
    <row r="19108">
      <c r="A19108" s="1">
        <v>5.0</v>
      </c>
      <c r="B19108" s="1" t="s">
        <v>18862</v>
      </c>
      <c r="C19108" t="str">
        <f>IFERROR(__xludf.DUMMYFUNCTION("GOOGLETRANSLATE(B19108, ""zh"", ""en"")"),"Very comfortable, very good, no tight")</f>
        <v>Very comfortable, very good, no tight</v>
      </c>
    </row>
    <row r="19109">
      <c r="A19109" s="1">
        <v>5.0</v>
      </c>
      <c r="B19109" s="1" t="s">
        <v>18863</v>
      </c>
      <c r="C19109" t="str">
        <f>IFERROR(__xludf.DUMMYFUNCTION("GOOGLETRANSLATE(B19109, ""zh"", ""en"")"),"zheng pin from not evaluated before, do not know how many wasted points, points can change money now know, they should look carefully evaluated, then I put these words to copy to go, both to earn points, but also save trouble, where one copy where, most i"&amp;"mportantly, do not seriously review, do not think how much worse word, sent directly to it, recommend it to everyone!")</f>
        <v>zheng pin from not evaluated before, do not know how many wasted points, points can change money now know, they should look carefully evaluated, then I put these words to copy to go, both to earn points, but also save trouble, where one copy where, most importantly, do not seriously review, do not think how much worse word, sent directly to it, recommend it to everyone!</v>
      </c>
    </row>
    <row r="19110">
      <c r="A19110" s="1">
        <v>5.0</v>
      </c>
      <c r="B19110" s="1" t="s">
        <v>18864</v>
      </c>
      <c r="C19110" t="str">
        <f>IFERROR(__xludf.DUMMYFUNCTION("GOOGLETRANSLATE(B19110, ""zh"", ""en"")"),"This casual pants is to help my colleagues to buy, very fit, the price premium")</f>
        <v>This casual pants is to help my colleagues to buy, very fit, the price premium</v>
      </c>
    </row>
    <row r="19111">
      <c r="A19111" s="1">
        <v>5.0</v>
      </c>
      <c r="B19111" s="1" t="s">
        <v>18865</v>
      </c>
      <c r="C19111" t="str">
        <f>IFERROR(__xludf.DUMMYFUNCTION("GOOGLETRANSLATE(B19111, ""zh"", ""en"")"),"Praise is genuine, is absolutely overseas direct mail. The price much cheaper than domestic. Just pay attention to the thigh fat, my pants thigh a bit tight.")</f>
        <v>Praise is genuine, is absolutely overseas direct mail. The price much cheaper than domestic. Just pay attention to the thigh fat, my pants thigh a bit tight.</v>
      </c>
    </row>
    <row r="19112">
      <c r="A19112" s="1">
        <v>2.0</v>
      </c>
      <c r="B19112" s="1" t="s">
        <v>13063</v>
      </c>
      <c r="C19112" t="str">
        <f>IFERROR(__xludf.DUMMYFUNCTION("GOOGLETRANSLATE(B19112, ""zh"", ""en"")"),"Color completely fail to understand what color")</f>
        <v>Color completely fail to understand what color</v>
      </c>
    </row>
    <row r="19113">
      <c r="A19113" s="1">
        <v>3.0</v>
      </c>
      <c r="B19113" s="1" t="s">
        <v>18866</v>
      </c>
      <c r="C19113" t="str">
        <f>IFERROR(__xludf.DUMMYFUNCTION("GOOGLETRANSLATE(B19113, ""zh"", ""en"")"),"Good quality, plate too much product quality is very good, the only regret is that the clothes model in accordance with the orders of my height and weight Amazon intelligent recommendation models will be big out so much (two larger models), returns have t"&amp;"o bear the freight, hope can be improved.")</f>
        <v>Good quality, plate too much product quality is very good, the only regret is that the clothes model in accordance with the orders of my height and weight Amazon intelligent recommendation models will be big out so much (two larger models), returns have to bear the freight, hope can be improved.</v>
      </c>
    </row>
    <row r="19114">
      <c r="A19114" s="1">
        <v>3.0</v>
      </c>
      <c r="B19114" s="1" t="s">
        <v>18867</v>
      </c>
      <c r="C19114" t="str">
        <f>IFERROR(__xludf.DUMMYFUNCTION("GOOGLETRANSLATE(B19114, ""zh"", ""en"")"),"Fortunately, good, soft, metal buckle can be. There is not satisfied with the edge of the black line. We can also see from the picture.")</f>
        <v>Fortunately, good, soft, metal buckle can be. There is not satisfied with the edge of the black line. We can also see from the picture.</v>
      </c>
    </row>
    <row r="19115">
      <c r="A19115" s="1">
        <v>1.0</v>
      </c>
      <c r="B19115" s="1" t="s">
        <v>18868</v>
      </c>
      <c r="C19115" t="str">
        <f>IFERROR(__xludf.DUMMYFUNCTION("GOOGLETRANSLATE(B19115, ""zh"", ""en"")"),"Not new shoes, two shoes have quality problems crease on the left crease is very serious, is not new shoes")</f>
        <v>Not new shoes, two shoes have quality problems crease on the left crease is very serious, is not new shoes</v>
      </c>
    </row>
    <row r="19116">
      <c r="A19116" s="1">
        <v>1.0</v>
      </c>
      <c r="B19116" s="1" t="s">
        <v>18869</v>
      </c>
      <c r="C19116" t="str">
        <f>IFERROR(__xludf.DUMMYFUNCTION("GOOGLETRANSLATE(B19116, ""zh"", ""en"")"),"Very poor, not recommended to buy, very cheap products is very poor, will not pay attention to their own tune when encountered, are not allowed to travel, is a complete waste, has been thrown")</f>
        <v>Very poor, not recommended to buy, very cheap products is very poor, will not pay attention to their own tune when encountered, are not allowed to travel, is a complete waste, has been thrown</v>
      </c>
    </row>
    <row r="19117">
      <c r="A19117" s="1">
        <v>4.0</v>
      </c>
      <c r="B19117" s="1" t="s">
        <v>18870</v>
      </c>
      <c r="C19117" t="str">
        <f>IFERROR(__xludf.DUMMYFUNCTION("GOOGLETRANSLATE(B19117, ""zh"", ""en"")"),"Is there a dual-purpose glass pipette itself it can also, no smell, dual straw should be with it, but no, I have seen on Taobao are all people do forget the straw trap when maybe it is shipped")</f>
        <v>Is there a dual-purpose glass pipette itself it can also, no smell, dual straw should be with it, but no, I have seen on Taobao are all people do forget the straw trap when maybe it is shipped</v>
      </c>
    </row>
    <row r="19118">
      <c r="A19118" s="1">
        <v>4.0</v>
      </c>
      <c r="B19118" s="1" t="s">
        <v>18871</v>
      </c>
      <c r="C19118" t="str">
        <f>IFERROR(__xludf.DUMMYFUNCTION("GOOGLETRANSLATE(B19118, ""zh"", ""en"")"),"A little bit long plus velvet very warm, color is also good, a little bit longer")</f>
        <v>A little bit long plus velvet very warm, color is also good, a little bit longer</v>
      </c>
    </row>
    <row r="19119">
      <c r="A19119" s="1">
        <v>4.0</v>
      </c>
      <c r="B19119" s="1" t="s">
        <v>18872</v>
      </c>
      <c r="C19119" t="str">
        <f>IFERROR(__xludf.DUMMYFUNCTION("GOOGLETRANSLATE(B19119, ""zh"", ""en"")"),"Okay not my favorite cotton fabric texture in general, not good before I buy CK quality, but also cheaper to buy than ever before")</f>
        <v>Okay not my favorite cotton fabric texture in general, not good before I buy CK quality, but also cheaper to buy than ever before</v>
      </c>
    </row>
    <row r="19120">
      <c r="A19120" s="1">
        <v>4.0</v>
      </c>
      <c r="B19120" s="1" t="s">
        <v>18873</v>
      </c>
      <c r="C19120" t="str">
        <f>IFERROR(__xludf.DUMMYFUNCTION("GOOGLETRANSLATE(B19120, ""zh"", ""en"")"),"The headphones have a higher cost with Dafa MDR-950BT, because the bass is too daunting, so I decided to change the three-tone balanced listening. This headset overseas purchase price is really a lot lower than the domestic, around 650 won quite cost-effe"&amp;"ctive. Faster clearance than expected, a week to go. There is no emphasis on what headphones range, although unlike many mainstream headphones can make people experience the obvious sense of rhythm (bass), but for a long time listening experience but it i"&amp;"s very comfortable, you can complete experience to a whole song all the songs featured, and not just part of it. Ear slightly smaller, a little chuck, telephone line designed audio cable, really long and very convenient, really want to wear on the road as"&amp;" if not ugly (of course not recommended).")</f>
        <v>The headphones have a higher cost with Dafa MDR-950BT, because the bass is too daunting, so I decided to change the three-tone balanced listening. This headset overseas purchase price is really a lot lower than the domestic, around 650 won quite cost-effective. Faster clearance than expected, a week to go. There is no emphasis on what headphones range, although unlike many mainstream headphones can make people experience the obvious sense of rhythm (bass), but for a long time listening experience but it is very comfortable, you can complete experience to a whole song all the songs featured, and not just part of it. Ear slightly smaller, a little chuck, telephone line designed audio cable, really long and very convenient, really want to wear on the road as if not ugly (of course not recommended).</v>
      </c>
    </row>
    <row r="19121">
      <c r="A19121" s="1">
        <v>4.0</v>
      </c>
      <c r="B19121" s="1" t="s">
        <v>18874</v>
      </c>
      <c r="C19121" t="str">
        <f>IFERROR(__xludf.DUMMYFUNCTION("GOOGLETRANSLATE(B19121, ""zh"", ""en"")"),"Genuine eating until the effect.")</f>
        <v>Genuine eating until the effect.</v>
      </c>
    </row>
    <row r="19122">
      <c r="A19122" s="1">
        <v>5.0</v>
      </c>
      <c r="B19122" s="1" t="s">
        <v>18875</v>
      </c>
      <c r="C19122" t="str">
        <f>IFERROR(__xludf.DUMMYFUNCTION("GOOGLETRANSLATE(B19122, ""zh"", ""en"")"),"Great a pen, a pen worth buying great, worth buying")</f>
        <v>Great a pen, a pen worth buying great, worth buying</v>
      </c>
    </row>
    <row r="19123">
      <c r="A19123" s="1">
        <v>5.0</v>
      </c>
      <c r="B19123" s="1" t="s">
        <v>18876</v>
      </c>
      <c r="C19123" t="str">
        <f>IFERROR(__xludf.DUMMYFUNCTION("GOOGLETRANSLATE(B19123, ""zh"", ""en"")"),"Great great")</f>
        <v>Great great</v>
      </c>
    </row>
    <row r="19124">
      <c r="A19124" s="1">
        <v>5.0</v>
      </c>
      <c r="B19124" s="1" t="s">
        <v>18877</v>
      </c>
      <c r="C19124" t="str">
        <f>IFERROR(__xludf.DUMMYFUNCTION("GOOGLETRANSLATE(B19124, ""zh"", ""en"")"),"Good 180,82kg wear appropriate L, no thread and gray as before to buy are good, praise the next Sesame delivery staff is to force, thank you")</f>
        <v>Good 180,82kg wear appropriate L, no thread and gray as before to buy are good, praise the next Sesame delivery staff is to force, thank you</v>
      </c>
    </row>
    <row r="19125">
      <c r="A19125" s="1">
        <v>5.0</v>
      </c>
      <c r="B19125" s="1" t="s">
        <v>18878</v>
      </c>
      <c r="C19125" t="str">
        <f>IFERROR(__xludf.DUMMYFUNCTION("GOOGLETRANSLATE(B19125, ""zh"", ""en"")"),"Quality, packaging is very good made in China, but the first-class quality and logistics from Japan to China, there is no bump and loss")</f>
        <v>Quality, packaging is very good made in China, but the first-class quality and logistics from Japan to China, there is no bump and loss</v>
      </c>
    </row>
    <row r="19126">
      <c r="A19126" s="1">
        <v>5.0</v>
      </c>
      <c r="B19126" s="1" t="s">
        <v>18879</v>
      </c>
      <c r="C19126" t="str">
        <f>IFERROR(__xludf.DUMMYFUNCTION("GOOGLETRANSLATE(B19126, ""zh"", ""en"")"),"Meat good partner and steak is simply a perfect match. Used to fry other meat is also good to eat")</f>
        <v>Meat good partner and steak is simply a perfect match. Used to fry other meat is also good to eat</v>
      </c>
    </row>
    <row r="19127">
      <c r="A19127" s="1">
        <v>5.0</v>
      </c>
      <c r="B19127" s="1" t="s">
        <v>18880</v>
      </c>
      <c r="C19127" t="str">
        <f>IFERROR(__xludf.DUMMYFUNCTION("GOOGLETRANSLATE(B19127, ""zh"", ""en"")"),"The effect can be, winter clothes to wear inside pretty good")</f>
        <v>The effect can be, winter clothes to wear inside pretty good</v>
      </c>
    </row>
    <row r="19128">
      <c r="A19128" s="1">
        <v>5.0</v>
      </c>
      <c r="B19128" s="1" t="s">
        <v>18881</v>
      </c>
      <c r="C19128" t="str">
        <f>IFERROR(__xludf.DUMMYFUNCTION("GOOGLETRANSLATE(B19128, ""zh"", ""en"")"),"An electric razor good good use. All parties satisfied.")</f>
        <v>An electric razor good good use. All parties satisfied.</v>
      </c>
    </row>
    <row r="19129">
      <c r="A19129" s="1">
        <v>5.0</v>
      </c>
      <c r="B19129" s="1" t="s">
        <v>18882</v>
      </c>
      <c r="C19129" t="str">
        <f>IFERROR(__xludf.DUMMYFUNCTION("GOOGLETRANSLATE(B19129, ""zh"", ""en"")"),"Comfortable comfortable very thin, but not shaping, cool summer. What to see focus on it. Exact number")</f>
        <v>Comfortable comfortable very thin, but not shaping, cool summer. What to see focus on it. Exact number</v>
      </c>
    </row>
    <row r="19130">
      <c r="A19130" s="1">
        <v>5.0</v>
      </c>
      <c r="B19130" s="1" t="s">
        <v>18883</v>
      </c>
      <c r="C19130" t="str">
        <f>IFERROR(__xludf.DUMMYFUNCTION("GOOGLETRANSLATE(B19130, ""zh"", ""en"")"),"US version plus velvet pants winter wear very comfortable, Amazon purchased overseas trustworthy.")</f>
        <v>US version plus velvet pants winter wear very comfortable, Amazon purchased overseas trustworthy.</v>
      </c>
    </row>
    <row r="19131">
      <c r="A19131" s="1">
        <v>5.0</v>
      </c>
      <c r="B19131" s="1" t="s">
        <v>18884</v>
      </c>
      <c r="C19131" t="str">
        <f>IFERROR(__xludf.DUMMYFUNCTION("GOOGLETRANSLATE(B19131, ""zh"", ""en"")"),"Time how to adjust very pretty, is to have crushed after box, give it away, do not know how to adjust the time")</f>
        <v>Time how to adjust very pretty, is to have crushed after box, give it away, do not know how to adjust the time</v>
      </c>
    </row>
    <row r="19132">
      <c r="A19132" s="1">
        <v>5.0</v>
      </c>
      <c r="B19132" s="1" t="s">
        <v>18885</v>
      </c>
      <c r="C19132" t="str">
        <f>IFERROR(__xludf.DUMMYFUNCTION("GOOGLETRANSLATE(B19132, ""zh"", ""en"")"),"High cost of the plug! A big sound field, clear details, no pot has been quite a force, and sound effects are great!")</f>
        <v>High cost of the plug! A big sound field, clear details, no pot has been quite a force, and sound effects are great!</v>
      </c>
    </row>
    <row r="19133">
      <c r="A19133" s="1">
        <v>5.0</v>
      </c>
      <c r="B19133" s="1" t="s">
        <v>18886</v>
      </c>
      <c r="C19133" t="str">
        <f>IFERROR(__xludf.DUMMYFUNCTION("GOOGLETRANSLATE(B19133, ""zh"", ""en"")"),"In addition to cost-effective noise a little bit big, price is really too high, the write speed of approximately 200m / s")</f>
        <v>In addition to cost-effective noise a little bit big, price is really too high, the write speed of approximately 200m / s</v>
      </c>
    </row>
    <row r="19134">
      <c r="A19134" s="1">
        <v>5.0</v>
      </c>
      <c r="B19134" s="1" t="s">
        <v>18887</v>
      </c>
      <c r="C19134" t="str">
        <f>IFERROR(__xludf.DUMMYFUNCTION("GOOGLETRANSLATE(B19134, ""zh"", ""en"")"),"Recommended very comfortable, worth having, highly recommended")</f>
        <v>Recommended very comfortable, worth having, highly recommended</v>
      </c>
    </row>
    <row r="19135">
      <c r="A19135" s="1">
        <v>5.0</v>
      </c>
      <c r="B19135" s="1" t="s">
        <v>18888</v>
      </c>
      <c r="C19135" t="str">
        <f>IFERROR(__xludf.DUMMYFUNCTION("GOOGLETRANSLATE(B19135, ""zh"", ""en"")"),"Good workmanship very good, get the hands weighty than the original little guy, do not feel a little extra water. And smooth switch three modes, when the water pressure, the normal mode (that is without air) can also be used.")</f>
        <v>Good workmanship very good, get the hands weighty than the original little guy, do not feel a little extra water. And smooth switch three modes, when the water pressure, the normal mode (that is without air) can also be used.</v>
      </c>
    </row>
    <row r="19136">
      <c r="A19136" s="1">
        <v>5.0</v>
      </c>
      <c r="B19136" s="1" t="s">
        <v>18889</v>
      </c>
      <c r="C19136" t="str">
        <f>IFERROR(__xludf.DUMMYFUNCTION("GOOGLETRANSLATE(B19136, ""zh"", ""en"")"),"As good as Citizen bm8475 international logistics is to force goods and imagine 👍🏻")</f>
        <v>As good as Citizen bm8475 international logistics is to force goods and imagine 👍🏻</v>
      </c>
    </row>
    <row r="19137">
      <c r="A19137" s="1">
        <v>5.0</v>
      </c>
      <c r="B19137" s="1" t="s">
        <v>18890</v>
      </c>
      <c r="C19137" t="str">
        <f>IFERROR(__xludf.DUMMYFUNCTION("GOOGLETRANSLATE(B19137, ""zh"", ""en"")"),"Something very good to wear a little tight, it is estimated to wear a few days will loose points. Shoes very good, light.")</f>
        <v>Something very good to wear a little tight, it is estimated to wear a few days will loose points. Shoes very good, light.</v>
      </c>
    </row>
    <row r="19138">
      <c r="A19138" s="1">
        <v>5.0</v>
      </c>
      <c r="B19138" s="1" t="s">
        <v>12514</v>
      </c>
      <c r="C19138" t="str">
        <f>IFERROR(__xludf.DUMMYFUNCTION("GOOGLETRANSLATE(B19138, ""zh"", ""en"")"),"Comfort. Wear is not a bit shy, cotton fabric, that is comfortable and Shoulong, very satisfied!")</f>
        <v>Comfort. Wear is not a bit shy, cotton fabric, that is comfortable and Shoulong, very satisfied!</v>
      </c>
    </row>
    <row r="19139">
      <c r="A19139" s="1">
        <v>5.0</v>
      </c>
      <c r="B19139" s="1" t="s">
        <v>18891</v>
      </c>
      <c r="C19139" t="str">
        <f>IFERROR(__xludf.DUMMYFUNCTION("GOOGLETRANSLATE(B19139, ""zh"", ""en"")"),"1 too thin, so the fit is not very good, or good use of experience")</f>
        <v>1 too thin, so the fit is not very good, or good use of experience</v>
      </c>
    </row>
    <row r="19140">
      <c r="A19140" s="1">
        <v>5.0</v>
      </c>
      <c r="B19140" s="1" t="s">
        <v>18892</v>
      </c>
      <c r="C19140" t="str">
        <f>IFERROR(__xludf.DUMMYFUNCTION("GOOGLETRANSLATE(B19140, ""zh"", ""en"")"),"Good usually wear 41, UK7.5 just OK quality, comfortable to wear")</f>
        <v>Good usually wear 41, UK7.5 just OK quality, comfortable to wear</v>
      </c>
    </row>
    <row r="19141">
      <c r="A19141" s="1">
        <v>5.0</v>
      </c>
      <c r="B19141" s="1" t="s">
        <v>18893</v>
      </c>
      <c r="C19141" t="str">
        <f>IFERROR(__xludf.DUMMYFUNCTION("GOOGLETRANSLATE(B19141, ""zh"", ""en"")"),"Manufacturing process is very good. Very fond of, the production process is simply perfect. But not yet begun to use it.")</f>
        <v>Manufacturing process is very good. Very fond of, the production process is simply perfect. But not yet begun to use it.</v>
      </c>
    </row>
    <row r="19142">
      <c r="A19142" s="1">
        <v>5.0</v>
      </c>
      <c r="B19142" s="1" t="s">
        <v>18894</v>
      </c>
      <c r="C19142" t="str">
        <f>IFERROR(__xludf.DUMMYFUNCTION("GOOGLETRANSLATE(B19142, ""zh"", ""en"")"),"Good little big a little long but short of the 30 fear")</f>
        <v>Good little big a little long but short of the 30 fear</v>
      </c>
    </row>
    <row r="19143">
      <c r="A19143" s="1">
        <v>5.0</v>
      </c>
      <c r="B19143" s="1" t="s">
        <v>18895</v>
      </c>
      <c r="C19143" t="str">
        <f>IFERROR(__xludf.DUMMYFUNCTION("GOOGLETRANSLATE(B19143, ""zh"", ""en"")"),"Follow the instructions, very good last night to cook for 3 minutes porridge, pour into it, the company brought this morning porridge ~~~")</f>
        <v>Follow the instructions, very good last night to cook for 3 minutes porridge, pour into it, the company brought this morning porridge ~~~</v>
      </c>
    </row>
    <row r="19144">
      <c r="A19144" s="1">
        <v>2.0</v>
      </c>
      <c r="B19144" s="1" t="s">
        <v>18896</v>
      </c>
      <c r="C19144" t="str">
        <f>IFERROR(__xludf.DUMMYFUNCTION("GOOGLETRANSLATE(B19144, ""zh"", ""en"")"),"Slightly disappointed cortex good, simple style look good, but there is a fatal flaw is not connected sewing thread, find another tailor handled well ...")</f>
        <v>Slightly disappointed cortex good, simple style look good, but there is a fatal flaw is not connected sewing thread, find another tailor handled well ...</v>
      </c>
    </row>
    <row r="19145">
      <c r="A19145" s="1">
        <v>3.0</v>
      </c>
      <c r="B19145" s="1" t="s">
        <v>18897</v>
      </c>
      <c r="C19145" t="str">
        <f>IFERROR(__xludf.DUMMYFUNCTION("GOOGLETRANSLATE(B19145, ""zh"", ""en"")"),"Serious too large too large size is too large ah! Is at least one yard. Other brands of another good. In the Amazon shopping is a matter of luck? 😂")</f>
        <v>Serious too large too large size is too large ah! Is at least one yard. Other brands of another good. In the Amazon shopping is a matter of luck? 😂</v>
      </c>
    </row>
    <row r="19146">
      <c r="A19146" s="1">
        <v>3.0</v>
      </c>
      <c r="B19146" s="1" t="s">
        <v>18898</v>
      </c>
      <c r="C19146" t="str">
        <f>IFERROR(__xludf.DUMMYFUNCTION("GOOGLETRANSLATE(B19146, ""zh"", ""en"")"),"Domestic cheaper around the country are selling only 240, but the domestic packaging different, and comes with brush head is the worst kind. This comes with two good brush")</f>
        <v>Domestic cheaper around the country are selling only 240, but the domestic packaging different, and comes with brush head is the worst kind. This comes with two good brush</v>
      </c>
    </row>
    <row r="19147">
      <c r="A19147" s="1">
        <v>1.0</v>
      </c>
      <c r="B19147" s="1" t="s">
        <v>18899</v>
      </c>
      <c r="C19147" t="str">
        <f>IFERROR(__xludf.DUMMYFUNCTION("GOOGLETRANSLATE(B19147, ""zh"", ""en"")"),"Returns inconvenient to return overseas shopping is very convenient to buy unsuitable goods to be returned will have to pay high freight, is not worth. Like this underwear, breast shape is very strange, the whole is a thin cloth, did not see the details o"&amp;"f good tailoring and design. I do not recommend this dress. Overseas purchase this fitting clothes not try do not know they fit, the trial can not be refunded, or do not buy this.")</f>
        <v>Returns inconvenient to return overseas shopping is very convenient to buy unsuitable goods to be returned will have to pay high freight, is not worth. Like this underwear, breast shape is very strange, the whole is a thin cloth, did not see the details of good tailoring and design. I do not recommend this dress. Overseas purchase this fitting clothes not try do not know they fit, the trial can not be refunded, or do not buy this.</v>
      </c>
    </row>
    <row r="19148">
      <c r="A19148" s="1">
        <v>1.0</v>
      </c>
      <c r="B19148" s="1" t="s">
        <v>18900</v>
      </c>
      <c r="C19148" t="str">
        <f>IFERROR(__xludf.DUMMYFUNCTION("GOOGLETRANSLATE(B19148, ""zh"", ""en"")"),"Not recommended for children with rough dare")</f>
        <v>Not recommended for children with rough dare</v>
      </c>
    </row>
    <row r="19149">
      <c r="A19149" s="1">
        <v>1.0</v>
      </c>
      <c r="B19149" s="1" t="s">
        <v>18901</v>
      </c>
      <c r="C19149" t="str">
        <f>IFERROR(__xludf.DUMMYFUNCTION("GOOGLETRANSLATE(B19149, ""zh"", ""en"")"),"All this leading ah scratches inside the box is not cut off, the inside of the clamp and the metal tap fitting are all designated rub scratches")</f>
        <v>All this leading ah scratches inside the box is not cut off, the inside of the clamp and the metal tap fitting are all designated rub scratches</v>
      </c>
    </row>
    <row r="19150">
      <c r="A19150" s="1">
        <v>4.0</v>
      </c>
      <c r="B19150" s="1" t="s">
        <v>18902</v>
      </c>
      <c r="C19150" t="str">
        <f>IFERROR(__xludf.DUMMYFUNCTION("GOOGLETRANSLATE(B19150, ""zh"", ""en"")"),"Retro shape, texture good power, water very fast, the overall texture is also very good. There are red plastic block was I pulled down. But the inner wall of the thermometer or plastic, that can not be removed, I hope it can be too safe. Look like, overal"&amp;"l good!")</f>
        <v>Retro shape, texture good power, water very fast, the overall texture is also very good. There are red plastic block was I pulled down. But the inner wall of the thermometer or plastic, that can not be removed, I hope it can be too safe. Look like, overall good!</v>
      </c>
    </row>
    <row r="19151">
      <c r="A19151" s="1">
        <v>4.0</v>
      </c>
      <c r="B19151" s="1" t="s">
        <v>18903</v>
      </c>
      <c r="C19151" t="str">
        <f>IFERROR(__xludf.DUMMYFUNCTION("GOOGLETRANSLATE(B19151, ""zh"", ""en"")"),"Acting poor. Acting poor. General cargo. Thin")</f>
        <v>Acting poor. Acting poor. General cargo. Thin</v>
      </c>
    </row>
    <row r="19152">
      <c r="A19152" s="1">
        <v>4.0</v>
      </c>
      <c r="B19152" s="1" t="s">
        <v>18904</v>
      </c>
      <c r="C19152" t="str">
        <f>IFERROR(__xludf.DUMMYFUNCTION("GOOGLETRANSLATE(B19152, ""zh"", ""en"")"),"Something good, that is a little big noise floor, the sound crisp and straightforward! Something good, that is a little big noise floor, the sound crisp and straightforward!")</f>
        <v>Something good, that is a little big noise floor, the sound crisp and straightforward! Something good, that is a little big noise floor, the sound crisp and straightforward!</v>
      </c>
    </row>
    <row r="19153">
      <c r="A19153" s="1">
        <v>4.0</v>
      </c>
      <c r="B19153" s="1" t="s">
        <v>18905</v>
      </c>
      <c r="C19153" t="str">
        <f>IFERROR(__xludf.DUMMYFUNCTION("GOOGLETRANSLATE(B19153, ""zh"", ""en"")"),"Easy to use and easy operation, the milk foam is often erupted")</f>
        <v>Easy to use and easy operation, the milk foam is often erupted</v>
      </c>
    </row>
    <row r="19154">
      <c r="A19154" s="1">
        <v>4.0</v>
      </c>
      <c r="B19154" s="1" t="s">
        <v>18906</v>
      </c>
      <c r="C19154" t="str">
        <f>IFERROR(__xludf.DUMMYFUNCTION("GOOGLETRANSLATE(B19154, ""zh"", ""en"")"),"To ass drilled ah. . . Size small, to ass drilled ah. . . Good distressed. . .")</f>
        <v>To ass drilled ah. . . Size small, to ass drilled ah. . . Good distressed. . .</v>
      </c>
    </row>
    <row r="19155">
      <c r="A19155" s="1">
        <v>5.0</v>
      </c>
      <c r="B19155" s="1" t="s">
        <v>18907</v>
      </c>
      <c r="C19155" t="str">
        <f>IFERROR(__xludf.DUMMYFUNCTION("GOOGLETRANSLATE(B19155, ""zh"", ""en"")"),"The gray hair may be a little green kind, not the cold gray tones. A little slightly through the meat, wearing thermal effect can be, but did not feel the heat.")</f>
        <v>The gray hair may be a little green kind, not the cold gray tones. A little slightly through the meat, wearing thermal effect can be, but did not feel the heat.</v>
      </c>
    </row>
    <row r="19156">
      <c r="A19156" s="1">
        <v>5.0</v>
      </c>
      <c r="B19156" s="1" t="s">
        <v>18908</v>
      </c>
      <c r="C19156" t="str">
        <f>IFERROR(__xludf.DUMMYFUNCTION("GOOGLETRANSLATE(B19156, ""zh"", ""en"")"),"Domestic use transformer to go with good quality, is still made in China, because it is sold to Japan, the voltage is 100V, power 700W, the need was equipped with a transformer, should not directly plug into the power outlet when domestic use")</f>
        <v>Domestic use transformer to go with good quality, is still made in China, because it is sold to Japan, the voltage is 100V, power 700W, the need was equipped with a transformer, should not directly plug into the power outlet when domestic use</v>
      </c>
    </row>
    <row r="19157">
      <c r="A19157" s="1">
        <v>5.0</v>
      </c>
      <c r="B19157" s="1" t="s">
        <v>18909</v>
      </c>
      <c r="C19157" t="str">
        <f>IFERROR(__xludf.DUMMYFUNCTION("GOOGLETRANSLATE(B19157, ""zh"", ""en"")"),"Very good to set smaller than the normal size yard or two. I 175,65kg given the small number of positive fit.")</f>
        <v>Very good to set smaller than the normal size yard or two. I 175,65kg given the small number of positive fit.</v>
      </c>
    </row>
    <row r="19158">
      <c r="A19158" s="1">
        <v>5.0</v>
      </c>
      <c r="B19158" s="1" t="s">
        <v>18910</v>
      </c>
      <c r="C19158" t="str">
        <f>IFERROR(__xludf.DUMMYFUNCTION("GOOGLETRANSLATE(B19158, ""zh"", ""en"")"),"Machine mincing machine very powerful powerful, whether meat or vegetables while on the puree, is playing out of meat as filling taste worse")</f>
        <v>Machine mincing machine very powerful powerful, whether meat or vegetables while on the puree, is playing out of meat as filling taste worse</v>
      </c>
    </row>
    <row r="19159">
      <c r="A19159" s="1">
        <v>5.0</v>
      </c>
      <c r="B19159" s="1" t="s">
        <v>18911</v>
      </c>
      <c r="C19159" t="str">
        <f>IFERROR(__xludf.DUMMYFUNCTION("GOOGLETRANSLATE(B19159, ""zh"", ""en"")"),"Nice kind color a little deeper. Cup body and padlock color is very beautiful. Reluctant to use!")</f>
        <v>Nice kind color a little deeper. Cup body and padlock color is very beautiful. Reluctant to use!</v>
      </c>
    </row>
    <row r="19160">
      <c r="A19160" s="1">
        <v>5.0</v>
      </c>
      <c r="B19160" s="1" t="s">
        <v>18912</v>
      </c>
      <c r="C19160" t="str">
        <f>IFERROR(__xludf.DUMMYFUNCTION("GOOGLETRANSLATE(B19160, ""zh"", ""en"")"),"Good fabric soft and comfortable, that is too thin, and fall when Qiuku wear it.")</f>
        <v>Good fabric soft and comfortable, that is too thin, and fall when Qiuku wear it.</v>
      </c>
    </row>
    <row r="19161">
      <c r="A19161" s="1">
        <v>5.0</v>
      </c>
      <c r="B19161" s="1" t="s">
        <v>18913</v>
      </c>
      <c r="C19161" t="str">
        <f>IFERROR(__xludf.DUMMYFUNCTION("GOOGLETRANSLATE(B19161, ""zh"", ""en"")"),"Regular jeans 173cm fit, weighing 90 kg, to buy 36W x 29L, and the length is appropriate Feishou. 36W refers to the waist is 36 inches, that is 2.54cm x 36 = 91cm, 36W and domestic jeans are basically the same. Not too long pants 29L understand, it should"&amp;" refer to the amount of a vertical start Dangxia long pants, the amount almost 2.54cm x 29 = 74 cm. Comments before November 29, 2016 referred to the pants-type questions, this pants for some strong buyers also checked the information, forward it to your "&amp;"reference (From ""sea Amoy US Polo shirts and T-shirt size Fit Detailed : from Ralph Lauren to Archeopteryx, the size of different brands experience real experience ""): comparison of European and American Slim thin waist in the body, especially the slim "&amp;"fit or custom fit, may be a good fit belly obvious guy. Original Fit or Regular Fit, Classic Fit are generally US standards body. What is American standard body? Height is just like you, but a lot wider cross-section of which one. Stomach relatively large"&amp;" --- &amp; gt; Original Fit, Regular Fit, Classic Fit stomach obvious --- &amp; gt; Custom Fit or Slim Fit. What is the stomach? --- &amp; gt; Slim Fit.")</f>
        <v>Regular jeans 173cm fit, weighing 90 kg, to buy 36W x 29L, and the length is appropriate Feishou. 36W refers to the waist is 36 inches, that is 2.54cm x 36 = 91cm, 36W and domestic jeans are basically the same. Not too long pants 29L understand, it should refer to the amount of a vertical start Dangxia long pants, the amount almost 2.54cm x 29 = 74 cm. Comments before November 29, 2016 referred to the pants-type questions, this pants for some strong buyers also checked the information, forward it to your reference (From "sea Amoy US Polo shirts and T-shirt size Fit Detailed : from Ralph Lauren to Archeopteryx, the size of different brands experience real experience "): comparison of European and American Slim thin waist in the body, especially the slim fit or custom fit, may be a good fit belly obvious guy. Original Fit or Regular Fit, Classic Fit are generally US standards body. What is American standard body? Height is just like you, but a lot wider cross-section of which one. Stomach relatively large --- &amp; gt; Original Fit, Regular Fit, Classic Fit stomach obvious --- &amp; gt; Custom Fit or Slim Fit. What is the stomach? --- &amp; gt; Slim Fit.</v>
      </c>
    </row>
    <row r="19162">
      <c r="A19162" s="1">
        <v>5.0</v>
      </c>
      <c r="B19162" s="1" t="s">
        <v>18914</v>
      </c>
      <c r="C19162" t="str">
        <f>IFERROR(__xludf.DUMMYFUNCTION("GOOGLETRANSLATE(B19162, ""zh"", ""en"")"),"Detoxification long-term use, might well")</f>
        <v>Detoxification long-term use, might well</v>
      </c>
    </row>
    <row r="19163">
      <c r="A19163" s="1">
        <v>5.0</v>
      </c>
      <c r="B19163" s="1" t="s">
        <v>18915</v>
      </c>
      <c r="C19163" t="str">
        <f>IFERROR(__xludf.DUMMYFUNCTION("GOOGLETRANSLATE(B19163, ""zh"", ""en"")"),"Rigid good-looking appearance, exquisite discount. More rigid material. Black rob five of eight days of arrival, found that prices dropped by a length")</f>
        <v>Rigid good-looking appearance, exquisite discount. More rigid material. Black rob five of eight days of arrival, found that prices dropped by a length</v>
      </c>
    </row>
    <row r="19164">
      <c r="A19164" s="1">
        <v>5.0</v>
      </c>
      <c r="B19164" s="1" t="s">
        <v>18916</v>
      </c>
      <c r="C19164" t="str">
        <f>IFERROR(__xludf.DUMMYFUNCTION("GOOGLETRANSLATE(B19164, ""zh"", ""en"")"),"Good quality is good, the right size. . . .")</f>
        <v>Good quality is good, the right size. . . .</v>
      </c>
    </row>
    <row r="19165">
      <c r="A19165" s="1">
        <v>5.0</v>
      </c>
      <c r="B19165" s="1" t="s">
        <v>18917</v>
      </c>
      <c r="C19165" t="str">
        <f>IFERROR(__xludf.DUMMYFUNCTION("GOOGLETRANSLATE(B19165, ""zh"", ""en"")"),"Big quality workmanship really big, comfortable to wear.")</f>
        <v>Big quality workmanship really big, comfortable to wear.</v>
      </c>
    </row>
    <row r="19166">
      <c r="A19166" s="1">
        <v>5.0</v>
      </c>
      <c r="B19166" s="1" t="s">
        <v>18918</v>
      </c>
      <c r="C19166" t="str">
        <f>IFERROR(__xludf.DUMMYFUNCTION("GOOGLETRANSLATE(B19166, ""zh"", ""en"")"),"To be used to store goods, baby not use, do not know how")</f>
        <v>To be used to store goods, baby not use, do not know how</v>
      </c>
    </row>
    <row r="19167">
      <c r="A19167" s="1">
        <v>5.0</v>
      </c>
      <c r="B19167" s="1" t="s">
        <v>18919</v>
      </c>
      <c r="C19167" t="str">
        <f>IFERROR(__xludf.DUMMYFUNCTION("GOOGLETRANSLATE(B19167, ""zh"", ""en"")"),"Suitable 1.75 m code number, the code number of suitable")</f>
        <v>Suitable 1.75 m code number, the code number of suitable</v>
      </c>
    </row>
    <row r="19168">
      <c r="A19168" s="1">
        <v>5.0</v>
      </c>
      <c r="B19168" s="1" t="s">
        <v>18920</v>
      </c>
      <c r="C19168" t="str">
        <f>IFERROR(__xludf.DUMMYFUNCTION("GOOGLETRANSLATE(B19168, ""zh"", ""en"")"),"Product quality is very good quality is very good, exactly the same description with the seller, very satisfied, really like, completely beyond expectations, very fast delivery, packaging very carefully, tight logistics company service attitude is good, f"&amp;"ast delivery , very satisfied with the shopping.")</f>
        <v>Product quality is very good quality is very good, exactly the same description with the seller, very satisfied, really like, completely beyond expectations, very fast delivery, packaging very carefully, tight logistics company service attitude is good, fast delivery , very satisfied with the shopping.</v>
      </c>
    </row>
    <row r="19169">
      <c r="A19169" s="1">
        <v>5.0</v>
      </c>
      <c r="B19169" s="1" t="s">
        <v>18921</v>
      </c>
      <c r="C19169" t="str">
        <f>IFERROR(__xludf.DUMMYFUNCTION("GOOGLETRANSLATE(B19169, ""zh"", ""en"")"),"Fashion shoes, leather good, comfortable and generous. Overseas purchase of speed is amazing, incredibly fast ...... shoes is too comfortable, and this is through the best shoes, look very stylish, bought before a low, it is like this look fast to ECCO lo"&amp;"st, plus tax more than 10 points, the price can only buy half the domestic double ...... Haha 😊, will continue to focus on overseas purchase, affordable.")</f>
        <v>Fashion shoes, leather good, comfortable and generous. Overseas purchase of speed is amazing, incredibly fast ...... shoes is too comfortable, and this is through the best shoes, look very stylish, bought before a low, it is like this look fast to ECCO lost, plus tax more than 10 points, the price can only buy half the domestic double ...... Haha 😊, will continue to focus on overseas purchase, affordable.</v>
      </c>
    </row>
    <row r="19170">
      <c r="A19170" s="1">
        <v>5.0</v>
      </c>
      <c r="B19170" s="1" t="s">
        <v>18922</v>
      </c>
      <c r="C19170" t="str">
        <f>IFERROR(__xludf.DUMMYFUNCTION("GOOGLETRANSLATE(B19170, ""zh"", ""en"")"),"Good height 180, weight 74 kg, just wear m code, which can wear a shirt plus a thin sweater. Very satisfied ~")</f>
        <v>Good height 180, weight 74 kg, just wear m code, which can wear a shirt plus a thin sweater. Very satisfied ~</v>
      </c>
    </row>
    <row r="19171">
      <c r="A19171" s="1">
        <v>5.0</v>
      </c>
      <c r="B19171" s="1" t="s">
        <v>18923</v>
      </c>
      <c r="C19171" t="str">
        <f>IFERROR(__xludf.DUMMYFUNCTION("GOOGLETRANSLATE(B19171, ""zh"", ""en"")"),"Yes something good new unopened!")</f>
        <v>Yes something good new unopened!</v>
      </c>
    </row>
    <row r="19172">
      <c r="A19172" s="1">
        <v>5.0</v>
      </c>
      <c r="B19172" s="1" t="s">
        <v>18924</v>
      </c>
      <c r="C19172" t="str">
        <f>IFERROR(__xludf.DUMMYFUNCTION("GOOGLETRANSLATE(B19172, ""zh"", ""en"")"),"No matter how much money should not send someone else return defective products to buy someone else return the goods, with the contrast of what to know before buying, and it has a foot shoe tree, has not, no shoe tree bird SHOES truck lines are jumper, bu"&amp;"t come on, who told this pair of cheap, it does not know whether it was the United States shipped over, feeling a mess logistics information will be in Suzhou, one will be in the United States.")</f>
        <v>No matter how much money should not send someone else return defective products to buy someone else return the goods, with the contrast of what to know before buying, and it has a foot shoe tree, has not, no shoe tree bird SHOES truck lines are jumper, but come on, who told this pair of cheap, it does not know whether it was the United States shipped over, feeling a mess logistics information will be in Suzhou, one will be in the United States.</v>
      </c>
    </row>
    <row r="19173">
      <c r="A19173" s="1">
        <v>5.0</v>
      </c>
      <c r="B19173" s="1" t="s">
        <v>7125</v>
      </c>
      <c r="C19173" t="str">
        <f>IFERROR(__xludf.DUMMYFUNCTION("GOOGLETRANSLATE(B19173, ""zh"", ""en"")"),"US comfortable to wear without feeling very pretty")</f>
        <v>US comfortable to wear without feeling very pretty</v>
      </c>
    </row>
    <row r="19174">
      <c r="A19174" s="1">
        <v>5.0</v>
      </c>
      <c r="B19174" s="1" t="s">
        <v>18925</v>
      </c>
      <c r="C19174" t="str">
        <f>IFERROR(__xludf.DUMMYFUNCTION("GOOGLETRANSLATE(B19174, ""zh"", ""en"")"),"Yan pretty high value")</f>
        <v>Yan pretty high value</v>
      </c>
    </row>
    <row r="19175">
      <c r="A19175" s="1">
        <v>5.0</v>
      </c>
      <c r="B19175" s="1" t="s">
        <v>18926</v>
      </c>
      <c r="C19175" t="str">
        <f>IFERROR(__xludf.DUMMYFUNCTION("GOOGLETRANSLATE(B19175, ""zh"", ""en"")"),"Value for money really like super, very supportive, very good quality, exactly the same description with the seller, very satisfied, really like, completely beyond expectations, very fast delivery, packaging very carefully, tight, and logistics services g"&amp;"ood attitude, delivery fast, very satisfied with the shopping")</f>
        <v>Value for money really like super, very supportive, very good quality, exactly the same description with the seller, very satisfied, really like, completely beyond expectations, very fast delivery, packaging very carefully, tight, and logistics services good attitude, delivery fast, very satisfied with the shopping</v>
      </c>
    </row>
    <row r="19176">
      <c r="A19176" s="1">
        <v>5.0</v>
      </c>
      <c r="B19176" s="1" t="s">
        <v>18927</v>
      </c>
      <c r="C19176" t="str">
        <f>IFERROR(__xludf.DUMMYFUNCTION("GOOGLETRANSLATE(B19176, ""zh"", ""en"")"),"Cup good. Very good, watertight, put warm water at noon, at night a little warm, good insulation, can also express speed, about a week they received. The only downside is that there is a little taste of the lid, going to the bubble point over and over aga"&amp;"in lemon flavor.")</f>
        <v>Cup good. Very good, watertight, put warm water at noon, at night a little warm, good insulation, can also express speed, about a week they received. The only downside is that there is a little taste of the lid, going to the bubble point over and over again lemon flavor.</v>
      </c>
    </row>
    <row r="19177">
      <c r="A19177" s="1">
        <v>2.0</v>
      </c>
      <c r="B19177" s="1" t="s">
        <v>18928</v>
      </c>
      <c r="C19177" t="str">
        <f>IFERROR(__xludf.DUMMYFUNCTION("GOOGLETRANSLATE(B19177, ""zh"", ""en"")"),"Could not completely sucked completely sucked live ah, pull on a fall.")</f>
        <v>Could not completely sucked completely sucked live ah, pull on a fall.</v>
      </c>
    </row>
    <row r="19178">
      <c r="A19178" s="1">
        <v>3.0</v>
      </c>
      <c r="B19178" s="1" t="s">
        <v>18929</v>
      </c>
      <c r="C19178" t="str">
        <f>IFERROR(__xludf.DUMMYFUNCTION("GOOGLETRANSLATE(B19178, ""zh"", ""en"")"),"Foot wear do not know why sometimes wear the foot, skin are broken")</f>
        <v>Foot wear do not know why sometimes wear the foot, skin are broken</v>
      </c>
    </row>
    <row r="19179">
      <c r="A19179" s="1">
        <v>3.0</v>
      </c>
      <c r="B19179" s="1" t="s">
        <v>18930</v>
      </c>
      <c r="C19179" t="str">
        <f>IFERROR(__xludf.DUMMYFUNCTION("GOOGLETRANSLATE(B19179, ""zh"", ""en"")"),"Serious side width, lint, thin down and the fade lint. 178 high 175 pounds, Chest 108 Waist two feet seven selected number of M, partial width, and long sleeves. Personal feeling is more suitable for high-180-185, 180 pounds wearing guy.")</f>
        <v>Serious side width, lint, thin down and the fade lint. 178 high 175 pounds, Chest 108 Waist two feet seven selected number of M, partial width, and long sleeves. Personal feeling is more suitable for high-180-185, 180 pounds wearing guy.</v>
      </c>
    </row>
    <row r="19180">
      <c r="A19180" s="1">
        <v>3.0</v>
      </c>
      <c r="B19180" s="1" t="s">
        <v>18931</v>
      </c>
      <c r="C19180" t="str">
        <f>IFERROR(__xludf.DUMMYFUNCTION("GOOGLETRANSLATE(B19180, ""zh"", ""en"")"),"Sea bargain, but be careful surface scratches, similar to the defective")</f>
        <v>Sea bargain, but be careful surface scratches, similar to the defective</v>
      </c>
    </row>
    <row r="19181">
      <c r="A19181" s="1">
        <v>1.0</v>
      </c>
      <c r="B19181" s="1" t="s">
        <v>18932</v>
      </c>
      <c r="C19181" t="str">
        <f>IFERROR(__xludf.DUMMYFUNCTION("GOOGLETRANSLATE(B19181, ""zh"", ""en"")"),"Size Size seriously inappropriate ah. I bought 40 yards, sent me a look at 38.5. I was drunk")</f>
        <v>Size Size seriously inappropriate ah. I bought 40 yards, sent me a look at 38.5. I was drunk</v>
      </c>
    </row>
    <row r="19182">
      <c r="A19182" s="1">
        <v>1.0</v>
      </c>
      <c r="B19182" s="1" t="s">
        <v>18933</v>
      </c>
      <c r="C19182" t="str">
        <f>IFERROR(__xludf.DUMMYFUNCTION("GOOGLETRANSLATE(B19182, ""zh"", ""en"")"),"+ Obvious stains foreign garbage hole family received express, fast hand packaging are thrown, can not get back the goods ...... obvious quality problems, holes + obvious stains,")</f>
        <v>+ Obvious stains foreign garbage hole family received express, fast hand packaging are thrown, can not get back the goods ...... obvious quality problems, holes + obvious stains,</v>
      </c>
    </row>
    <row r="19183">
      <c r="A19183" s="1">
        <v>4.0</v>
      </c>
      <c r="B19183" s="1" t="s">
        <v>18934</v>
      </c>
      <c r="C19183" t="str">
        <f>IFERROR(__xludf.DUMMYFUNCTION("GOOGLETRANSLATE(B19183, ""zh"", ""en"")"),"There defective shoe shoes small scratches, too lazy to trouble returned the")</f>
        <v>There defective shoe shoes small scratches, too lazy to trouble returned the</v>
      </c>
    </row>
    <row r="19184">
      <c r="A19184" s="1">
        <v>4.0</v>
      </c>
      <c r="B19184" s="1" t="s">
        <v>18935</v>
      </c>
      <c r="C19184" t="str">
        <f>IFERROR(__xludf.DUMMYFUNCTION("GOOGLETRANSLATE(B19184, ""zh"", ""en"")"),"10361 Dominica produce the shoes have five origin, buy Dominica workmanship not up to much. Post Bar preliminary determination identified is true. Wind courier is very slow. .")</f>
        <v>10361 Dominica produce the shoes have five origin, buy Dominica workmanship not up to much. Post Bar preliminary determination identified is true. Wind courier is very slow. .</v>
      </c>
    </row>
    <row r="19185">
      <c r="A19185" s="1">
        <v>4.0</v>
      </c>
      <c r="B19185" s="1" t="s">
        <v>18936</v>
      </c>
      <c r="C19185" t="str">
        <f>IFERROR(__xludf.DUMMYFUNCTION("GOOGLETRANSLATE(B19185, ""zh"", ""en"")"),"I have no power, oh so fast when the price is really low to start, shut down inconvenient, and my how so fast no electricity! How fat thing! ! !")</f>
        <v>I have no power, oh so fast when the price is really low to start, shut down inconvenient, and my how so fast no electricity! How fat thing! ! !</v>
      </c>
    </row>
    <row r="19186">
      <c r="A19186" s="1">
        <v>4.0</v>
      </c>
      <c r="B19186" s="1" t="s">
        <v>18937</v>
      </c>
      <c r="C19186" t="str">
        <f>IFERROR(__xludf.DUMMYFUNCTION("GOOGLETRANSLATE(B19186, ""zh"", ""en"")"),"Champion this brand can be. Work fine. The first did not buy experience. This code is a big lot. But overseas sent it. Speed ​​a little faster. If, later, you must be careful to buy the size. I think the price is about the same. Tax plus freight. This too"&amp;" lazy to change.")</f>
        <v>Champion this brand can be. Work fine. The first did not buy experience. This code is a big lot. But overseas sent it. Speed ​​a little faster. If, later, you must be careful to buy the size. I think the price is about the same. Tax plus freight. This too lazy to change.</v>
      </c>
    </row>
    <row r="19187">
      <c r="A19187" s="1">
        <v>4.0</v>
      </c>
      <c r="B19187" s="1" t="s">
        <v>18938</v>
      </c>
      <c r="C19187" t="str">
        <f>IFERROR(__xludf.DUMMYFUNCTION("GOOGLETRANSLATE(B19187, ""zh"", ""en"")"),"Buy a little loose some size, wearing more comfortable wearing some tight waistline. Kevin buy the same number of reference before. Quality did not have to say.")</f>
        <v>Buy a little loose some size, wearing more comfortable wearing some tight waistline. Kevin buy the same number of reference before. Quality did not have to say.</v>
      </c>
    </row>
    <row r="19188">
      <c r="A19188" s="1">
        <v>5.0</v>
      </c>
      <c r="B19188" s="1" t="s">
        <v>18939</v>
      </c>
      <c r="C19188" t="str">
        <f>IFERROR(__xludf.DUMMYFUNCTION("GOOGLETRANSLATE(B19188, ""zh"", ""en"")"),"Slow delivery, it will sound, Sony taste shipments transport is very slow, the sound quality will be on it!")</f>
        <v>Slow delivery, it will sound, Sony taste shipments transport is very slow, the sound quality will be on it!</v>
      </c>
    </row>
    <row r="19189">
      <c r="A19189" s="1">
        <v>5.0</v>
      </c>
      <c r="B19189" s="1" t="s">
        <v>18940</v>
      </c>
      <c r="C19189" t="str">
        <f>IFERROR(__xludf.DUMMYFUNCTION("GOOGLETRANSLATE(B19189, ""zh"", ""en"")"),"Good job with easy movement")</f>
        <v>Good job with easy movement</v>
      </c>
    </row>
    <row r="19190">
      <c r="A19190" s="1">
        <v>5.0</v>
      </c>
      <c r="B19190" s="1" t="s">
        <v>18941</v>
      </c>
      <c r="C19190" t="str">
        <f>IFERROR(__xludf.DUMMYFUNCTION("GOOGLETRANSLATE(B19190, ""zh"", ""en"")"),"It's a perfect sea Amoy usual sneakers 43 9.5 The shoes I bought a 9 or more than half of the domestic manufacturing stable yard work OK")</f>
        <v>It's a perfect sea Amoy usual sneakers 43 9.5 The shoes I bought a 9 or more than half of the domestic manufacturing stable yard work OK</v>
      </c>
    </row>
    <row r="19191">
      <c r="A19191" s="1">
        <v>5.0</v>
      </c>
      <c r="B19191" s="1" t="s">
        <v>18942</v>
      </c>
      <c r="C19191" t="str">
        <f>IFERROR(__xludf.DUMMYFUNCTION("GOOGLETRANSLATE(B19191, ""zh"", ""en"")"),"Genuine, authentic family feel good with the down down with his family feel good")</f>
        <v>Genuine, authentic family feel good with the down down with his family feel good</v>
      </c>
    </row>
    <row r="19192">
      <c r="A19192" s="1">
        <v>5.0</v>
      </c>
      <c r="B19192" s="1" t="s">
        <v>18943</v>
      </c>
      <c r="C19192" t="str">
        <f>IFERROR(__xludf.DUMMYFUNCTION("GOOGLETRANSLATE(B19192, ""zh"", ""en"")"),"This shoe size just put on a very fit, wear it out walking foot feeling very comfortable, good cushioning effect, usually it is enough to wear to work, the right size! Logistics very quickly and very timely!")</f>
        <v>This shoe size just put on a very fit, wear it out walking foot feeling very comfortable, good cushioning effect, usually it is enough to wear to work, the right size! Logistics very quickly and very timely!</v>
      </c>
    </row>
    <row r="19193">
      <c r="A19193" s="1">
        <v>5.0</v>
      </c>
      <c r="B19193" s="1" t="s">
        <v>18944</v>
      </c>
      <c r="C19193" t="str">
        <f>IFERROR(__xludf.DUMMYFUNCTION("GOOGLETRANSLATE(B19193, ""zh"", ""en"")"),"43 good things to buy 9.5, just before seeing a friend in the US to buy this and similar, Southeast Asia and China are the feet")</f>
        <v>43 good things to buy 9.5, just before seeing a friend in the US to buy this and similar, Southeast Asia and China are the feet</v>
      </c>
    </row>
    <row r="19194">
      <c r="A19194" s="1">
        <v>5.0</v>
      </c>
      <c r="B19194" s="1" t="s">
        <v>18945</v>
      </c>
      <c r="C19194" t="str">
        <f>IFERROR(__xludf.DUMMYFUNCTION("GOOGLETRANSLATE(B19194, ""zh"", ""en"")"),"Well pullout, the European standard three-point transfer, very good!")</f>
        <v>Well pullout, the European standard three-point transfer, very good!</v>
      </c>
    </row>
    <row r="19195">
      <c r="A19195" s="1">
        <v>5.0</v>
      </c>
      <c r="B19195" s="1" t="s">
        <v>9687</v>
      </c>
      <c r="C19195" t="str">
        <f>IFERROR(__xludf.DUMMYFUNCTION("GOOGLETRANSLATE(B19195, ""zh"", ""en"")"),"Shopping evaluate! ! Baby good, very fit! 160cm, 52kg wear suitable! !")</f>
        <v>Shopping evaluate! ! Baby good, very fit! 160cm, 52kg wear suitable! !</v>
      </c>
    </row>
    <row r="19196">
      <c r="A19196" s="1">
        <v>5.0</v>
      </c>
      <c r="B19196" s="1" t="s">
        <v>18946</v>
      </c>
      <c r="C19196" t="str">
        <f>IFERROR(__xludf.DUMMYFUNCTION("GOOGLETRANSLATE(B19196, ""zh"", ""en"")"),"Pretty easy to use for a long time, baby applicable")</f>
        <v>Pretty easy to use for a long time, baby applicable</v>
      </c>
    </row>
    <row r="19197">
      <c r="A19197" s="1">
        <v>5.0</v>
      </c>
      <c r="B19197" s="1" t="s">
        <v>18947</v>
      </c>
      <c r="C19197" t="str">
        <f>IFERROR(__xludf.DUMMYFUNCTION("GOOGLETRANSLATE(B19197, ""zh"", ""en"")"),"A good shopping experience! Own 39 yards to buy this EU40 US (6 6.5 a) the size is just right, thin shoes, work shoes, very good! Thai-made, the situation is not very comfortable on the feet Ge feet, the severity of the right, kicker! Very satisfied!")</f>
        <v>A good shopping experience! Own 39 yards to buy this EU40 US (6 6.5 a) the size is just right, thin shoes, work shoes, very good! Thai-made, the situation is not very comfortable on the feet Ge feet, the severity of the right, kicker! Very satisfied!</v>
      </c>
    </row>
    <row r="19198">
      <c r="A19198" s="1">
        <v>5.0</v>
      </c>
      <c r="B19198" s="1" t="s">
        <v>18948</v>
      </c>
      <c r="C19198" t="str">
        <f>IFERROR(__xludf.DUMMYFUNCTION("GOOGLETRANSLATE(B19198, ""zh"", ""en"")"),"Excellent! Great cast-iron pot, very good, I never have to worry Ma Ma fried steak and the chicken. Pot is indeed very heavy, very grateful to all the way to the delivery courier. The only drawback: rust easily. Special care needs pot, wash must be used w"&amp;"ithin two hours, washed again calcined at a certain to dry. Otherwise, there will be rust.")</f>
        <v>Excellent! Great cast-iron pot, very good, I never have to worry Ma Ma fried steak and the chicken. Pot is indeed very heavy, very grateful to all the way to the delivery courier. The only drawback: rust easily. Special care needs pot, wash must be used within two hours, washed again calcined at a certain to dry. Otherwise, there will be rust.</v>
      </c>
    </row>
    <row r="19199">
      <c r="A19199" s="1">
        <v>5.0</v>
      </c>
      <c r="B19199" s="1" t="s">
        <v>18949</v>
      </c>
      <c r="C19199" t="str">
        <f>IFERROR(__xludf.DUMMYFUNCTION("GOOGLETRANSLATE(B19199, ""zh"", ""en"")"),"Good good bottle may have been using it how")</f>
        <v>Good good bottle may have been using it how</v>
      </c>
    </row>
    <row r="19200">
      <c r="A19200" s="1">
        <v>5.0</v>
      </c>
      <c r="B19200" s="1" t="s">
        <v>18950</v>
      </c>
      <c r="C19200" t="str">
        <f>IFERROR(__xludf.DUMMYFUNCTION("GOOGLETRANSLATE(B19200, ""zh"", ""en"")"),"Small pots, orders must be pre-concept ah worth the money, but a family of four pots too small, pre-orders are read size, but did not think so small. We have to go to Ikea to buy a large stainless steel bowl, gradually getting good vegetables 😊☹️")</f>
        <v>Small pots, orders must be pre-concept ah worth the money, but a family of four pots too small, pre-orders are read size, but did not think so small. We have to go to Ikea to buy a large stainless steel bowl, gradually getting good vegetables 😊☹️</v>
      </c>
    </row>
    <row r="19201">
      <c r="A19201" s="1">
        <v>5.0</v>
      </c>
      <c r="B19201" s="1" t="s">
        <v>18951</v>
      </c>
      <c r="C19201" t="str">
        <f>IFERROR(__xludf.DUMMYFUNCTION("GOOGLETRANSLATE(B19201, ""zh"", ""en"")"),"Quality is very good! Mounted on 1dx, although not yet experienced 14 high-speed continuous shooting test, until now the performance is not bad!")</f>
        <v>Quality is very good! Mounted on 1dx, although not yet experienced 14 high-speed continuous shooting test, until now the performance is not bad!</v>
      </c>
    </row>
    <row r="19202">
      <c r="A19202" s="1">
        <v>5.0</v>
      </c>
      <c r="B19202" s="1" t="s">
        <v>18952</v>
      </c>
      <c r="C19202" t="str">
        <f>IFERROR(__xludf.DUMMYFUNCTION("GOOGLETRANSLATE(B19202, ""zh"", ""en"")"),"I am 170cm high comfort, weight 52, wearing a very comfortable, but also cheaper than those purchasing Taobao, is genuine, it will buy back")</f>
        <v>I am 170cm high comfort, weight 52, wearing a very comfortable, but also cheaper than those purchasing Taobao, is genuine, it will buy back</v>
      </c>
    </row>
    <row r="19203">
      <c r="A19203" s="1">
        <v>5.0</v>
      </c>
      <c r="B19203" s="1" t="s">
        <v>18953</v>
      </c>
      <c r="C19203" t="str">
        <f>IFERROR(__xludf.DUMMYFUNCTION("GOOGLETRANSLATE(B19203, ""zh"", ""en"")"),"Perfect, many voices are parsed out notebook with E5, must be matched with a usb sound card, otherwise the background noise is too big! I was with the same brand of audiobox usb gold &lt;a data-hook=""product-link-linked"" class=""a-link-normal"" href=""/dp/"&amp;"B00FW4J7VW/ref=cm_cr_getr_d_rvw_txt?ie=UTF8""&gt; PreSonus Puri sonar AudioBox USB gold &amp; nbsp; 2-channel USB audio interface (luxury-gold Limited Edition containing Studio One recording software) &lt;/a&gt;, connecting line is &lt;a data-hook = ""product-link-linked"&amp;""" class = ""a -link-normal ""href ="" / Monoprice-6 Yingchi XLR- revolution 1-4 inches -TRS- male cable (Amazon imported direct mining - American brand)? / dp / B001UJEKZ6 / ref = cm_cr_getr_d_rvw_txt ie = UTF8 ""&gt; Monoprice 6 foot-4-inch TRS revolution "&amp;"XLR male cable (Amazon imported direct mining, American brand) &lt;/a&gt;, these lines are thicker than the cord. . . . Even after the sound card, no background noise, previously unheard voices are out, perfect ah! ! ! A good horse with a good saddle, not only "&amp;"to buy a horse, saddle unworthy ah!")</f>
        <v>Perfect, many voices are parsed out notebook with E5, must be matched with a usb sound card, otherwise the background noise is too big! I was with the same brand of audiobox usb gold &lt;a data-hook="product-link-linked" class="a-link-normal" href="/dp/B00FW4J7VW/ref=cm_cr_getr_d_rvw_txt?ie=UTF8"&gt; PreSonus Puri sonar AudioBox USB gold &amp; nbsp; 2-channel USB audio interface (luxury-gold Limited Edition containing Studio One recording software) &lt;/a&gt;, connecting line is &lt;a data-hook = "product-link-linked" class = "a -link-normal "href =" / Monoprice-6 Yingchi XLR- revolution 1-4 inches -TRS- male cable (Amazon imported direct mining - American brand)? / dp / B001UJEKZ6 / ref = cm_cr_getr_d_rvw_txt ie = UTF8 "&gt; Monoprice 6 foot-4-inch TRS revolution XLR male cable (Amazon imported direct mining, American brand) &lt;/a&gt;, these lines are thicker than the cord. . . . Even after the sound card, no background noise, previously unheard voices are out, perfect ah! ! ! A good horse with a good saddle, not only to buy a horse, saddle unworthy ah!</v>
      </c>
    </row>
    <row r="19204">
      <c r="A19204" s="1">
        <v>5.0</v>
      </c>
      <c r="B19204" s="1" t="s">
        <v>18954</v>
      </c>
      <c r="C19204" t="str">
        <f>IFERROR(__xludf.DUMMYFUNCTION("GOOGLETRANSLATE(B19204, ""zh"", ""en"")"),"Well worth love very much! Now Fissler price of 10,005 compared to, like white pick! Looks exactly the same function, but also a lot more accessories! Trial for a while, China voltage no problem!")</f>
        <v>Well worth love very much! Now Fissler price of 10,005 compared to, like white pick! Looks exactly the same function, but also a lot more accessories! Trial for a while, China voltage no problem!</v>
      </c>
    </row>
    <row r="19205">
      <c r="A19205" s="1">
        <v>5.0</v>
      </c>
      <c r="B19205" s="1" t="s">
        <v>18955</v>
      </c>
      <c r="C19205" t="str">
        <f>IFERROR(__xludf.DUMMYFUNCTION("GOOGLETRANSLATE(B19205, ""zh"", ""en"")"),"Very praise! 37 shoes, the shoes 38, generally wear Ouma 37.5, UK4.5 of. So this pair chose 6.5W, width fit, do not choose small, this width also feel a little bit narrow. Another word length substantially exactly, a little larger seven yards may be selec"&amp;"ted from, for your reference! Like shoes, super, super bargain price! ! !")</f>
        <v>Very praise! 37 shoes, the shoes 38, generally wear Ouma 37.5, UK4.5 of. So this pair chose 6.5W, width fit, do not choose small, this width also feel a little bit narrow. Another word length substantially exactly, a little larger seven yards may be selected from, for your reference! Like shoes, super, super bargain price! ! !</v>
      </c>
    </row>
    <row r="19206">
      <c r="A19206" s="1">
        <v>5.0</v>
      </c>
      <c r="B19206" s="1" t="s">
        <v>18956</v>
      </c>
      <c r="C19206" t="str">
        <f>IFERROR(__xludf.DUMMYFUNCTION("GOOGLETRANSLATE(B19206, ""zh"", ""en"")"),"I feel very good worth buying, you can buy!")</f>
        <v>I feel very good worth buying, you can buy!</v>
      </c>
    </row>
    <row r="19207">
      <c r="A19207" s="1">
        <v>5.0</v>
      </c>
      <c r="B19207" s="1" t="s">
        <v>18957</v>
      </c>
      <c r="C19207" t="str">
        <f>IFERROR(__xludf.DUMMYFUNCTION("GOOGLETRANSLATE(B19207, ""zh"", ""en"")"),"Small size desktop speakers sound very clean, but the bass is not very good, Size placed in it, you can not ask too much. The key in this than I buy the E5, it does not pass over the current computer sound occurs (that is really annoying).")</f>
        <v>Small size desktop speakers sound very clean, but the bass is not very good, Size placed in it, you can not ask too much. The key in this than I buy the E5, it does not pass over the current computer sound occurs (that is really annoying).</v>
      </c>
    </row>
    <row r="19208">
      <c r="A19208" s="1">
        <v>5.0</v>
      </c>
      <c r="B19208" s="1" t="s">
        <v>18958</v>
      </c>
      <c r="C19208" t="str">
        <f>IFERROR(__xludf.DUMMYFUNCTION("GOOGLETRANSLATE(B19208, ""zh"", ""en"")"),"4 rapidly Kusakabe single, 8 receive the goods. Package good, the right size. I was walking from work on the spring and summer, when used, do not like handbags and handbags, and shoulder bags and hot, so I chose this.")</f>
        <v>4 rapidly Kusakabe single, 8 receive the goods. Package good, the right size. I was walking from work on the spring and summer, when used, do not like handbags and handbags, and shoulder bags and hot, so I chose this.</v>
      </c>
    </row>
    <row r="19209">
      <c r="A19209" s="1">
        <v>5.0</v>
      </c>
      <c r="B19209" s="1" t="s">
        <v>18959</v>
      </c>
      <c r="C19209" t="str">
        <f>IFERROR(__xludf.DUMMYFUNCTION("GOOGLETRANSLATE(B19209, ""zh"", ""en"")"),"Too many counterfeit goods, a little awkward size 180 / 80KG buy L Length is appropriate, but a bit long sleeves, the clothes imitation goods too much, go out and meet a lot, just like you are driving a Porsche found the streets SR9 drove Aurora X6 ,,,, r"&amp;"esults are everywhere. . . . .")</f>
        <v>Too many counterfeit goods, a little awkward size 180 / 80KG buy L Length is appropriate, but a bit long sleeves, the clothes imitation goods too much, go out and meet a lot, just like you are driving a Porsche found the streets SR9 drove Aurora X6 ,,,, results are everywhere. . . . .</v>
      </c>
    </row>
    <row r="19210">
      <c r="A19210" s="1">
        <v>2.0</v>
      </c>
      <c r="B19210" s="1" t="s">
        <v>18960</v>
      </c>
      <c r="C19210" t="str">
        <f>IFERROR(__xludf.DUMMYFUNCTION("GOOGLETRANSLATE(B19210, ""zh"", ""en"")"),"Not to mention the basic version, baggy, old man to wear it, not to mention back version of the basic type, baggy, old man wearing it, back")</f>
        <v>Not to mention the basic version, baggy, old man to wear it, not to mention back version of the basic type, baggy, old man wearing it, back</v>
      </c>
    </row>
    <row r="19211">
      <c r="A19211" s="1">
        <v>3.0</v>
      </c>
      <c r="B19211" s="1" t="s">
        <v>18961</v>
      </c>
      <c r="C19211" t="str">
        <f>IFERROR(__xludf.DUMMYFUNCTION("GOOGLETRANSLATE(B19211, ""zh"", ""en"")"),"No water of more than a month, not the water")</f>
        <v>No water of more than a month, not the water</v>
      </c>
    </row>
    <row r="19212">
      <c r="A19212" s="1">
        <v>3.0</v>
      </c>
      <c r="B19212" s="1" t="s">
        <v>18962</v>
      </c>
      <c r="C19212" t="str">
        <f>IFERROR(__xludf.DUMMYFUNCTION("GOOGLETRANSLATE(B19212, ""zh"", ""en"")"),"Quality generally like to eat color camera phone, the actual colors too bright, not very pink, a little pick people. Thin clothes, wore a black primer little seen. Feel bad. Look at the reviews said the big two yards, but this seems not very large, had to"&amp;" buy a loose sense, the result code m wearing stickers. Overall Honestly, this sweater domestic sales 100 may have to think about to buy, the return is not convenient, leaving just Chuan Chuan. Honduras production.")</f>
        <v>Quality generally like to eat color camera phone, the actual colors too bright, not very pink, a little pick people. Thin clothes, wore a black primer little seen. Feel bad. Look at the reviews said the big two yards, but this seems not very large, had to buy a loose sense, the result code m wearing stickers. Overall Honestly, this sweater domestic sales 100 may have to think about to buy, the return is not convenient, leaving just Chuan Chuan. Honduras production.</v>
      </c>
    </row>
    <row r="19213">
      <c r="A19213" s="1">
        <v>1.0</v>
      </c>
      <c r="B19213" s="1" t="s">
        <v>18963</v>
      </c>
      <c r="C19213" t="str">
        <f>IFERROR(__xludf.DUMMYFUNCTION("GOOGLETRANSLATE(B19213, ""zh"", ""en"")"),"Not worth buying listen to online speech, he said that the pole head, the result is a single-pole head. Of the more expensive price, the most important thing is not refundable.")</f>
        <v>Not worth buying listen to online speech, he said that the pole head, the result is a single-pole head. Of the more expensive price, the most important thing is not refundable.</v>
      </c>
    </row>
    <row r="19214">
      <c r="A19214" s="1">
        <v>1.0</v>
      </c>
      <c r="B19214" s="1" t="s">
        <v>18964</v>
      </c>
      <c r="C19214" t="str">
        <f>IFERROR(__xludf.DUMMYFUNCTION("GOOGLETRANSLATE(B19214, ""zh"", ""en"")"),"I did not understand Indonesian bought regret production, domestic sales, domestic businesses are feeling linked to foreign shop, mistaken for the Anglo-American Products")</f>
        <v>I did not understand Indonesian bought regret production, domestic sales, domestic businesses are feeling linked to foreign shop, mistaken for the Anglo-American Products</v>
      </c>
    </row>
    <row r="19215">
      <c r="A19215" s="1">
        <v>1.0</v>
      </c>
      <c r="B19215" s="1" t="s">
        <v>18965</v>
      </c>
      <c r="C19215" t="str">
        <f>IFERROR(__xludf.DUMMYFUNCTION("GOOGLETRANSLATE(B19215, ""zh"", ""en"")"),"Shoes very good, very bad shopping experience styles and colors are very good, partial fine lace; logistics speed quickly; but receive the shoes in the day and found the same product very significant price reduction, experience is poor; to praise the shoe"&amp;"s of 5 stars , to -4 star shopping experience, comprehensive evaluation of a star.")</f>
        <v>Shoes very good, very bad shopping experience styles and colors are very good, partial fine lace; logistics speed quickly; but receive the shoes in the day and found the same product very significant price reduction, experience is poor; to praise the shoes of 5 stars , to -4 star shopping experience, comprehensive evaluation of a star.</v>
      </c>
    </row>
    <row r="19216">
      <c r="A19216" s="1">
        <v>4.0</v>
      </c>
      <c r="B19216" s="1" t="s">
        <v>18966</v>
      </c>
      <c r="C19216" t="str">
        <f>IFERROR(__xludf.DUMMYFUNCTION("GOOGLETRANSLATE(B19216, ""zh"", ""en"")"),"Ms. boots GORETEX did not give a fifth, because every time his wife to wear to wear to go to the aid of a shoehorn, this design may have little small flaws, completely different or accurate. In whole or in pleasant shopping. Price changes, too, such as th"&amp;"e stock market.")</f>
        <v>Ms. boots GORETEX did not give a fifth, because every time his wife to wear to wear to go to the aid of a shoehorn, this design may have little small flaws, completely different or accurate. In whole or in pleasant shopping. Price changes, too, such as the stock market.</v>
      </c>
    </row>
    <row r="19217">
      <c r="A19217" s="1">
        <v>4.0</v>
      </c>
      <c r="B19217" s="1" t="s">
        <v>18967</v>
      </c>
      <c r="C19217" t="str">
        <f>IFERROR(__xludf.DUMMYFUNCTION("GOOGLETRANSLATE(B19217, ""zh"", ""en"")"),"Fortunately, fortunately it is genuine, authentic ,, is the baby is eating a large green, assist probiotics to no avail. .")</f>
        <v>Fortunately, fortunately it is genuine, authentic ,, is the baby is eating a large green, assist probiotics to no avail. .</v>
      </c>
    </row>
    <row r="19218">
      <c r="A19218" s="1">
        <v>4.0</v>
      </c>
      <c r="B19218" s="1" t="s">
        <v>18968</v>
      </c>
      <c r="C19218" t="str">
        <f>IFERROR(__xludf.DUMMYFUNCTION("GOOGLETRANSLATE(B19218, ""zh"", ""en"")"),"Good old ink work is also good, praise")</f>
        <v>Good old ink work is also good, praise</v>
      </c>
    </row>
    <row r="19219">
      <c r="A19219" s="1">
        <v>4.0</v>
      </c>
      <c r="B19219" s="1" t="s">
        <v>18969</v>
      </c>
      <c r="C19219" t="str">
        <f>IFERROR(__xludf.DUMMYFUNCTION("GOOGLETRANSLATE(B19219, ""zh"", ""en"")"),"A little fade buy four lee this brand of jeans, the color will be out only when these pants soaked with salt water, and very serious, I hope not fade when washed again ,,,")</f>
        <v>A little fade buy four lee this brand of jeans, the color will be out only when these pants soaked with salt water, and very serious, I hope not fade when washed again ,,,</v>
      </c>
    </row>
    <row r="19220">
      <c r="A19220" s="1">
        <v>4.0</v>
      </c>
      <c r="B19220" s="1" t="s">
        <v>18970</v>
      </c>
      <c r="C19220" t="str">
        <f>IFERROR(__xludf.DUMMYFUNCTION("GOOGLETRANSLATE(B19220, ""zh"", ""en"")"),"It is also possible to wear very comfortable clothes to work a little flaw")</f>
        <v>It is also possible to wear very comfortable clothes to work a little flaw</v>
      </c>
    </row>
    <row r="19221">
      <c r="A19221" s="1">
        <v>5.0</v>
      </c>
      <c r="B19221" s="1" t="s">
        <v>18971</v>
      </c>
      <c r="C19221" t="str">
        <f>IFERROR(__xludf.DUMMYFUNCTION("GOOGLETRANSLATE(B19221, ""zh"", ""en"")"),"I think vitamin sugar can also be")</f>
        <v>I think vitamin sugar can also be</v>
      </c>
    </row>
    <row r="19222">
      <c r="A19222" s="1">
        <v>5.0</v>
      </c>
      <c r="B19222" s="1" t="s">
        <v>18972</v>
      </c>
      <c r="C19222" t="str">
        <f>IFERROR(__xludf.DUMMYFUNCTION("GOOGLETRANSLATE(B19222, ""zh"", ""en"")"),"Heavy pot enamel pot, about ten pounds, like the comments said lid very heavy, no Nichia good packaging, better use of the SF in the domestic segment, pan intact, hand 814 plus tax, it feels good deal , hoping durable")</f>
        <v>Heavy pot enamel pot, about ten pounds, like the comments said lid very heavy, no Nichia good packaging, better use of the SF in the domestic segment, pan intact, hand 814 plus tax, it feels good deal , hoping durable</v>
      </c>
    </row>
    <row r="19223">
      <c r="A19223" s="1">
        <v>5.0</v>
      </c>
      <c r="B19223" s="1" t="s">
        <v>18973</v>
      </c>
      <c r="C19223" t="str">
        <f>IFERROR(__xludf.DUMMYFUNCTION("GOOGLETRANSLATE(B19223, ""zh"", ""en"")"),"Very fine powder. You can taste very fine powder, can taste")</f>
        <v>Very fine powder. You can taste very fine powder, can taste</v>
      </c>
    </row>
    <row r="19224">
      <c r="A19224" s="1">
        <v>5.0</v>
      </c>
      <c r="B19224" s="1" t="s">
        <v>18974</v>
      </c>
      <c r="C19224" t="str">
        <f>IFERROR(__xludf.DUMMYFUNCTION("GOOGLETRANSLATE(B19224, ""zh"", ""en"")"),"Stick dishwasher not installed, no experience, first wash block in the store's top product! Haha ~")</f>
        <v>Stick dishwasher not installed, no experience, first wash block in the store's top product! Haha ~</v>
      </c>
    </row>
    <row r="19225">
      <c r="A19225" s="1">
        <v>5.0</v>
      </c>
      <c r="B19225" s="1" t="s">
        <v>18975</v>
      </c>
      <c r="C19225" t="str">
        <f>IFERROR(__xludf.DUMMYFUNCTION("GOOGLETRANSLATE(B19225, ""zh"", ""en"")"),"Watches express the problem is good, no bad hair to come, is getting a bit ragged Express box")</f>
        <v>Watches express the problem is good, no bad hair to come, is getting a bit ragged Express box</v>
      </c>
    </row>
    <row r="19226">
      <c r="A19226" s="1">
        <v>5.0</v>
      </c>
      <c r="B19226" s="1" t="s">
        <v>18976</v>
      </c>
      <c r="C19226" t="str">
        <f>IFERROR(__xludf.DUMMYFUNCTION("GOOGLETRANSLATE(B19226, ""zh"", ""en"")"),"I liked very satisfied, although the sleeves trifle generous, but a sense of personal Leverage, sweat warm is first class, very much. 173 65Kg the appropriate code")</f>
        <v>I liked very satisfied, although the sleeves trifle generous, but a sense of personal Leverage, sweat warm is first class, very much. 173 65Kg the appropriate code</v>
      </c>
    </row>
    <row r="19227">
      <c r="A19227" s="1">
        <v>5.0</v>
      </c>
      <c r="B19227" s="1" t="s">
        <v>18977</v>
      </c>
      <c r="C19227" t="str">
        <f>IFERROR(__xludf.DUMMYFUNCTION("GOOGLETRANSLATE(B19227, ""zh"", ""en"")"),"Not very nice pants skinny trousers, quality, fabric, the version are very good.")</f>
        <v>Not very nice pants skinny trousers, quality, fabric, the version are very good.</v>
      </c>
    </row>
    <row r="19228">
      <c r="A19228" s="1">
        <v>5.0</v>
      </c>
      <c r="B19228" s="1" t="s">
        <v>18978</v>
      </c>
      <c r="C19228" t="str">
        <f>IFERROR(__xludf.DUMMYFUNCTION("GOOGLETRANSLATE(B19228, ""zh"", ""en"")"),"Perfect size, can refer to the perfect size, very fit, not very thick, suitable for autumn and winter wear. But it is precisely because it is very fit, which can only wear a shirt, a vest can not even add up. Read a lot commented matching pants too small,"&amp;" I think 31 is a little worried, but surprisingly fit, there are about 1 inch larger. Brothers and sisters to buy a reference: 172/65, bust 98, waist circumference 2 feet 3,38S perfect.")</f>
        <v>Perfect size, can refer to the perfect size, very fit, not very thick, suitable for autumn and winter wear. But it is precisely because it is very fit, which can only wear a shirt, a vest can not even add up. Read a lot commented matching pants too small, I think 31 is a little worried, but surprisingly fit, there are about 1 inch larger. Brothers and sisters to buy a reference: 172/65, bust 98, waist circumference 2 feet 3,38S perfect.</v>
      </c>
    </row>
    <row r="19229">
      <c r="A19229" s="1">
        <v>5.0</v>
      </c>
      <c r="B19229" s="1" t="s">
        <v>18979</v>
      </c>
      <c r="C19229" t="str">
        <f>IFERROR(__xludf.DUMMYFUNCTION("GOOGLETRANSLATE(B19229, ""zh"", ""en"")"),"Worth having is very good, and cheaper. After a pair of shoes preferred it at Amazon")</f>
        <v>Worth having is very good, and cheaper. After a pair of shoes preferred it at Amazon</v>
      </c>
    </row>
    <row r="19230">
      <c r="A19230" s="1">
        <v>5.0</v>
      </c>
      <c r="B19230" s="1" t="s">
        <v>18980</v>
      </c>
      <c r="C19230" t="str">
        <f>IFERROR(__xludf.DUMMYFUNCTION("GOOGLETRANSLATE(B19230, ""zh"", ""en"")"),"Worth buying is very good, you can use the old models 6610-01. And very cost-effective.")</f>
        <v>Worth buying is very good, you can use the old models 6610-01. And very cost-effective.</v>
      </c>
    </row>
    <row r="19231">
      <c r="A19231" s="1">
        <v>5.0</v>
      </c>
      <c r="B19231" s="1" t="s">
        <v>18981</v>
      </c>
      <c r="C19231" t="str">
        <f>IFERROR(__xludf.DUMMYFUNCTION("GOOGLETRANSLATE(B19231, ""zh"", ""en"")"),"Size, materials are in line with the expected size, materials are in line with expectations")</f>
        <v>Size, materials are in line with the expected size, materials are in line with expectations</v>
      </c>
    </row>
    <row r="19232">
      <c r="A19232" s="1">
        <v>5.0</v>
      </c>
      <c r="B19232" s="1" t="s">
        <v>18982</v>
      </c>
      <c r="C19232" t="str">
        <f>IFERROR(__xludf.DUMMYFUNCTION("GOOGLETRANSLATE(B19232, ""zh"", ""en"")"),"Something good logistics fast, five-star good hey, for the first time to buy things on Amazon and experience the feeling is very good, faster than I thought")</f>
        <v>Something good logistics fast, five-star good hey, for the first time to buy things on Amazon and experience the feeling is very good, faster than I thought</v>
      </c>
    </row>
    <row r="19233">
      <c r="A19233" s="1">
        <v>5.0</v>
      </c>
      <c r="B19233" s="1" t="s">
        <v>18983</v>
      </c>
      <c r="C19233" t="str">
        <f>IFERROR(__xludf.DUMMYFUNCTION("GOOGLETRANSLATE(B19233, ""zh"", ""en"")"),"Well with no pen bag, pen bag the original placement of the! Good use like a pen")</f>
        <v>Well with no pen bag, pen bag the original placement of the! Good use like a pen</v>
      </c>
    </row>
    <row r="19234">
      <c r="A19234" s="1">
        <v>5.0</v>
      </c>
      <c r="B19234" s="1" t="s">
        <v>18984</v>
      </c>
      <c r="C19234" t="str">
        <f>IFERROR(__xludf.DUMMYFUNCTION("GOOGLETRANSLATE(B19234, ""zh"", ""en"")"),"Fit husband 182cm150 pounds wearing this coat is very appropriate, very soft fleece inner layer, high cost ah, satisfaction!")</f>
        <v>Fit husband 182cm150 pounds wearing this coat is very appropriate, very soft fleece inner layer, high cost ah, satisfaction!</v>
      </c>
    </row>
    <row r="19235">
      <c r="A19235" s="1">
        <v>5.0</v>
      </c>
      <c r="B19235" s="1" t="s">
        <v>2253</v>
      </c>
      <c r="C19235" t="str">
        <f>IFERROR(__xludf.DUMMYFUNCTION("GOOGLETRANSLATE(B19235, ""zh"", ""en"")"),"Very Good Very Good")</f>
        <v>Very Good Very Good</v>
      </c>
    </row>
    <row r="19236">
      <c r="A19236" s="1">
        <v>5.0</v>
      </c>
      <c r="B19236" s="1" t="s">
        <v>18985</v>
      </c>
      <c r="C19236" t="str">
        <f>IFERROR(__xludf.DUMMYFUNCTION("GOOGLETRANSLATE(B19236, ""zh"", ""en"")"),"Good use, easy to carry, go where you can drink pure water it")</f>
        <v>Good use, easy to carry, go where you can drink pure water it</v>
      </c>
    </row>
    <row r="19237">
      <c r="A19237" s="1">
        <v>5.0</v>
      </c>
      <c r="B19237" s="1" t="s">
        <v>18986</v>
      </c>
      <c r="C19237" t="str">
        <f>IFERROR(__xludf.DUMMYFUNCTION("GOOGLETRANSLATE(B19237, ""zh"", ""en"")"),"Performance is good insulation performance, good looks")</f>
        <v>Performance is good insulation performance, good looks</v>
      </c>
    </row>
    <row r="19238">
      <c r="A19238" s="1">
        <v>5.0</v>
      </c>
      <c r="B19238" s="1" t="s">
        <v>18987</v>
      </c>
      <c r="C19238" t="str">
        <f>IFERROR(__xludf.DUMMYFUNCTION("GOOGLETRANSLATE(B19238, ""zh"", ""en"")"),"This problem does not taste good transportation, cooking it taste good.")</f>
        <v>This problem does not taste good transportation, cooking it taste good.</v>
      </c>
    </row>
    <row r="19239">
      <c r="A19239" s="1">
        <v>5.0</v>
      </c>
      <c r="B19239" s="1" t="s">
        <v>18988</v>
      </c>
      <c r="C19239" t="str">
        <f>IFERROR(__xludf.DUMMYFUNCTION("GOOGLETRANSLATE(B19239, ""zh"", ""en"")"),"Generous generous table no lights at night with luminous very satisfied")</f>
        <v>Generous generous table no lights at night with luminous very satisfied</v>
      </c>
    </row>
    <row r="19240">
      <c r="A19240" s="1">
        <v>5.0</v>
      </c>
      <c r="B19240" s="1" t="s">
        <v>18989</v>
      </c>
      <c r="C19240" t="str">
        <f>IFERROR(__xludf.DUMMYFUNCTION("GOOGLETRANSLATE(B19240, ""zh"", ""en"")"),"Mushroom sleeping bag clean and beautiful, soft and comfortable, like")</f>
        <v>Mushroom sleeping bag clean and beautiful, soft and comfortable, like</v>
      </c>
    </row>
    <row r="19241">
      <c r="A19241" s="1">
        <v>5.0</v>
      </c>
      <c r="B19241" s="1" t="s">
        <v>18990</v>
      </c>
      <c r="C19241" t="str">
        <f>IFERROR(__xludf.DUMMYFUNCTION("GOOGLETRANSLATE(B19241, ""zh"", ""en"")"),"Praise logistics quickly, wearing very comfortable, affordable, high praise")</f>
        <v>Praise logistics quickly, wearing very comfortable, affordable, high praise</v>
      </c>
    </row>
    <row r="19242">
      <c r="A19242" s="1">
        <v>5.0</v>
      </c>
      <c r="B19242" s="1" t="s">
        <v>18991</v>
      </c>
      <c r="C19242" t="str">
        <f>IFERROR(__xludf.DUMMYFUNCTION("GOOGLETRANSLATE(B19242, ""zh"", ""en"")"),"Not bad exquisite good choice note to remember where you put it put")</f>
        <v>Not bad exquisite good choice note to remember where you put it put</v>
      </c>
    </row>
    <row r="19243">
      <c r="A19243" s="1">
        <v>2.0</v>
      </c>
      <c r="B19243" s="1" t="s">
        <v>18992</v>
      </c>
      <c r="C19243" t="str">
        <f>IFERROR(__xludf.DUMMYFUNCTION("GOOGLETRANSLATE(B19243, ""zh"", ""en"")"),"Quality style code number is to spread the goods are also reluctant to accept, but the fabric is a spread the goods! It is not worth the price.")</f>
        <v>Quality style code number is to spread the goods are also reluctant to accept, but the fabric is a spread the goods! It is not worth the price.</v>
      </c>
    </row>
    <row r="19244">
      <c r="A19244" s="1">
        <v>3.0</v>
      </c>
      <c r="B19244" s="1" t="s">
        <v>18993</v>
      </c>
      <c r="C19244" t="str">
        <f>IFERROR(__xludf.DUMMYFUNCTION("GOOGLETRANSLATE(B19244, ""zh"", ""en"")"),"Too tight it! , Not to protect the price! Too tight, the yardage is recommended to take the big two yards, quality clothes, okay! Price is not photographed two days dropped 80 yuan!")</f>
        <v>Too tight it! , Not to protect the price! Too tight, the yardage is recommended to take the big two yards, quality clothes, okay! Price is not photographed two days dropped 80 yuan!</v>
      </c>
    </row>
    <row r="19245">
      <c r="A19245" s="1">
        <v>3.0</v>
      </c>
      <c r="B19245" s="1" t="s">
        <v>18994</v>
      </c>
      <c r="C19245" t="str">
        <f>IFERROR(__xludf.DUMMYFUNCTION("GOOGLETRANSLATE(B19245, ""zh"", ""en"")"),"Feel nothing and I feel nothing different in general a few decades ago, is a lot of small, very portable")</f>
        <v>Feel nothing and I feel nothing different in general a few decades ago, is a lot of small, very portable</v>
      </c>
    </row>
    <row r="19246">
      <c r="A19246" s="1">
        <v>3.0</v>
      </c>
      <c r="B19246" s="1" t="s">
        <v>18995</v>
      </c>
      <c r="C19246" t="str">
        <f>IFERROR(__xludf.DUMMYFUNCTION("GOOGLETRANSLATE(B19246, ""zh"", ""en"")"),"Not as good as the domestic shoe shoe design in question, there is no support for the arch, resulting in excessive toe difficult to walk more than two kilometers will foot pain.")</f>
        <v>Not as good as the domestic shoe shoe design in question, there is no support for the arch, resulting in excessive toe difficult to walk more than two kilometers will foot pain.</v>
      </c>
    </row>
    <row r="19247">
      <c r="A19247" s="1">
        <v>1.0</v>
      </c>
      <c r="B19247" s="1" t="s">
        <v>18996</v>
      </c>
      <c r="C19247" t="str">
        <f>IFERROR(__xludf.DUMMYFUNCTION("GOOGLETRANSLATE(B19247, ""zh"", ""en"")"),"Poor hip than do domestic small, the material is also ultra-poor, it is better to buy Anta, US crown spike")</f>
        <v>Poor hip than do domestic small, the material is also ultra-poor, it is better to buy Anta, US crown spike</v>
      </c>
    </row>
    <row r="19248">
      <c r="A19248" s="1">
        <v>1.0</v>
      </c>
      <c r="B19248" s="1" t="s">
        <v>18997</v>
      </c>
      <c r="C19248" t="str">
        <f>IFERROR(__xludf.DUMMYFUNCTION("GOOGLETRANSLATE(B19248, ""zh"", ""en"")"),"Too, the equivalent of three domestic defective size XL, and armpit marked defective products")</f>
        <v>Too, the equivalent of three domestic defective size XL, and armpit marked defective products</v>
      </c>
    </row>
    <row r="19249">
      <c r="A19249" s="1">
        <v>1.0</v>
      </c>
      <c r="B19249" s="1" t="s">
        <v>18998</v>
      </c>
      <c r="C19249" t="str">
        <f>IFERROR(__xludf.DUMMYFUNCTION("GOOGLETRANSLATE(B19249, ""zh"", ""en"")"),"Amazon's customer service is really bad electricity supplier in the worst of all. Amazon customer service has always been rude and overbearing, in addition to delete comments not do anything else, no wonder can not survive in China.")</f>
        <v>Amazon's customer service is really bad electricity supplier in the worst of all. Amazon customer service has always been rude and overbearing, in addition to delete comments not do anything else, no wonder can not survive in China.</v>
      </c>
    </row>
    <row r="19250">
      <c r="A19250" s="1">
        <v>4.0</v>
      </c>
      <c r="B19250" s="1" t="s">
        <v>18999</v>
      </c>
      <c r="C19250" t="str">
        <f>IFERROR(__xludf.DUMMYFUNCTION("GOOGLETRANSLATE(B19250, ""zh"", ""en"")"),"Good very soft denim material, wearing a very spiritual, 160,48, xs appropriate. He wore a thick sweater sleeves that are also suitable. Still quite real wear. That is, the collar label behind that piece of denim is not completely sewn on clothes, I did n"&amp;"ot pass through this brand do not know is this before, but it feels uncomfortable")</f>
        <v>Good very soft denim material, wearing a very spiritual, 160,48, xs appropriate. He wore a thick sweater sleeves that are also suitable. Still quite real wear. That is, the collar label behind that piece of denim is not completely sewn on clothes, I did not pass through this brand do not know is this before, but it feels uncomfortable</v>
      </c>
    </row>
    <row r="19251">
      <c r="A19251" s="1">
        <v>4.0</v>
      </c>
      <c r="B19251" s="1" t="s">
        <v>19000</v>
      </c>
      <c r="C19251" t="str">
        <f>IFERROR(__xludf.DUMMYFUNCTION("GOOGLETRANSLATE(B19251, ""zh"", ""en"")"),"Feel good. Has been breastfeeding, bottle did not spend.")</f>
        <v>Feel good. Has been breastfeeding, bottle did not spend.</v>
      </c>
    </row>
    <row r="19252">
      <c r="A19252" s="1">
        <v>4.0</v>
      </c>
      <c r="B19252" s="1" t="s">
        <v>19001</v>
      </c>
      <c r="C19252" t="str">
        <f>IFERROR(__xludf.DUMMYFUNCTION("GOOGLETRANSLATE(B19252, ""zh"", ""en"")"),"The cable head-foot is very comfortable, good-looking shoes, but work somewhat hairy ah, some local cable head, looked under the Dominican Republic origin ...... ...... work we still can not keep up China ah, with Southeast Asia is also immeasurably")</f>
        <v>The cable head-foot is very comfortable, good-looking shoes, but work somewhat hairy ah, some local cable head, looked under the Dominican Republic origin ...... ...... work we still can not keep up China ah, with Southeast Asia is also immeasurably</v>
      </c>
    </row>
    <row r="19253">
      <c r="A19253" s="1">
        <v>4.0</v>
      </c>
      <c r="B19253" s="1" t="s">
        <v>19002</v>
      </c>
      <c r="C19253" t="str">
        <f>IFERROR(__xludf.DUMMYFUNCTION("GOOGLETRANSLATE(B19253, ""zh"", ""en"")"),"Australia eat calcium to share when, after returning to re-purchase. Grow older, teeth and some acid, calcium eat nourishing food. Australia's health products is trustworthy.")</f>
        <v>Australia eat calcium to share when, after returning to re-purchase. Grow older, teeth and some acid, calcium eat nourishing food. Australia's health products is trustworthy.</v>
      </c>
    </row>
    <row r="19254">
      <c r="A19254" s="1">
        <v>5.0</v>
      </c>
      <c r="B19254" s="1" t="s">
        <v>19003</v>
      </c>
      <c r="C19254" t="str">
        <f>IFERROR(__xludf.DUMMYFUNCTION("GOOGLETRANSLATE(B19254, ""zh"", ""en"")"),"Worth buying sweet and sour, a big bottle, like family. The effect of vitamin supplements can not be verified.")</f>
        <v>Worth buying sweet and sour, a big bottle, like family. The effect of vitamin supplements can not be verified.</v>
      </c>
    </row>
    <row r="19255">
      <c r="A19255" s="1">
        <v>5.0</v>
      </c>
      <c r="B19255" s="1" t="s">
        <v>19004</v>
      </c>
      <c r="C19255" t="str">
        <f>IFERROR(__xludf.DUMMYFUNCTION("GOOGLETRANSLATE(B19255, ""zh"", ""en"")"),"Half of a good bargain! ! ! Before purchasing online over a pair, feel good to wear! Ultra-thin! He has bought a pair!")</f>
        <v>Half of a good bargain! ! ! Before purchasing online over a pair, feel good to wear! Ultra-thin! He has bought a pair!</v>
      </c>
    </row>
    <row r="19256">
      <c r="A19256" s="1">
        <v>5.0</v>
      </c>
      <c r="B19256" s="1" t="s">
        <v>19005</v>
      </c>
      <c r="C19256" t="str">
        <f>IFERROR(__xludf.DUMMYFUNCTION("GOOGLETRANSLATE(B19256, ""zh"", ""en"")"),"boon quite good, basic American now things are made inChina a")</f>
        <v>boon quite good, basic American now things are made inChina a</v>
      </c>
    </row>
    <row r="19257">
      <c r="A19257" s="1">
        <v>5.0</v>
      </c>
      <c r="B19257" s="1" t="s">
        <v>19006</v>
      </c>
      <c r="C19257" t="str">
        <f>IFERROR(__xludf.DUMMYFUNCTION("GOOGLETRANSLATE(B19257, ""zh"", ""en"")"),"It should be genuine fidelity")</f>
        <v>It should be genuine fidelity</v>
      </c>
    </row>
    <row r="19258">
      <c r="A19258" s="1">
        <v>5.0</v>
      </c>
      <c r="B19258" s="1" t="s">
        <v>19007</v>
      </c>
      <c r="C19258" t="str">
        <f>IFERROR(__xludf.DUMMYFUNCTION("GOOGLETRANSLATE(B19258, ""zh"", ""en"")"),"Inexpensive is genuine, foot feeling to wear for some time will rise for standard feet")</f>
        <v>Inexpensive is genuine, foot feeling to wear for some time will rise for standard feet</v>
      </c>
    </row>
    <row r="19259">
      <c r="A19259" s="1">
        <v>5.0</v>
      </c>
      <c r="B19259" s="1" t="s">
        <v>19008</v>
      </c>
      <c r="C19259" t="str">
        <f>IFERROR(__xludf.DUMMYFUNCTION("GOOGLETRANSLATE(B19259, ""zh"", ""en"")"),"Super good quality, the price is high cup very good, fine workmanship, good sealing")</f>
        <v>Super good quality, the price is high cup very good, fine workmanship, good sealing</v>
      </c>
    </row>
    <row r="19260">
      <c r="A19260" s="1">
        <v>5.0</v>
      </c>
      <c r="B19260" s="1" t="s">
        <v>19009</v>
      </c>
      <c r="C19260" t="str">
        <f>IFERROR(__xludf.DUMMYFUNCTION("GOOGLETRANSLATE(B19260, ""zh"", ""en"")"),"Very very good I liked better than I expected")</f>
        <v>Very very good I liked better than I expected</v>
      </c>
    </row>
    <row r="19261">
      <c r="A19261" s="1">
        <v>5.0</v>
      </c>
      <c r="B19261" s="1" t="s">
        <v>19010</v>
      </c>
      <c r="C19261" t="str">
        <f>IFERROR(__xludf.DUMMYFUNCTION("GOOGLETRANSLATE(B19261, ""zh"", ""en"")"),"Cheap and good and cheap and good, really rich substance of US imperialism")</f>
        <v>Cheap and good and cheap and good, really rich substance of US imperialism</v>
      </c>
    </row>
    <row r="19262">
      <c r="A19262" s="1">
        <v>5.0</v>
      </c>
      <c r="B19262" s="1" t="s">
        <v>19011</v>
      </c>
      <c r="C19262" t="str">
        <f>IFERROR(__xludf.DUMMYFUNCTION("GOOGLETRANSLATE(B19262, ""zh"", ""en"")"),"Awesome Awesome headphones headphones with long ears hurt, superb sound quality")</f>
        <v>Awesome Awesome headphones headphones with long ears hurt, superb sound quality</v>
      </c>
    </row>
    <row r="19263">
      <c r="A19263" s="1">
        <v>5.0</v>
      </c>
      <c r="B19263" s="1" t="s">
        <v>19012</v>
      </c>
      <c r="C19263" t="str">
        <f>IFERROR(__xludf.DUMMYFUNCTION("GOOGLETRANSLATE(B19263, ""zh"", ""en"")"),"Steady sound quality tri-band equalizer, after wearing the look and feel great, no problems, mainly Original headset sets a little, listen a long time ear pain, for the condom, the more comfortable")</f>
        <v>Steady sound quality tri-band equalizer, after wearing the look and feel great, no problems, mainly Original headset sets a little, listen a long time ear pain, for the condom, the more comfortable</v>
      </c>
    </row>
    <row r="19264">
      <c r="A19264" s="1">
        <v>5.0</v>
      </c>
      <c r="B19264" s="1" t="s">
        <v>19013</v>
      </c>
      <c r="C19264" t="str">
        <f>IFERROR(__xludf.DUMMYFUNCTION("GOOGLETRANSLATE(B19264, ""zh"", ""en"")"),"Day trial membership to buy a very nice thing to criticize Amazon: no code number translating into A75, C80 and the like, got more than I want to buy do not dare to buy, afraid yardage inappropriate. Now the code number of the picture offer for your refer"&amp;"ence")</f>
        <v>Day trial membership to buy a very nice thing to criticize Amazon: no code number translating into A75, C80 and the like, got more than I want to buy do not dare to buy, afraid yardage inappropriate. Now the code number of the picture offer for your reference</v>
      </c>
    </row>
    <row r="19265">
      <c r="A19265" s="1">
        <v>5.0</v>
      </c>
      <c r="B19265" s="1" t="s">
        <v>19014</v>
      </c>
      <c r="C19265" t="str">
        <f>IFERROR(__xludf.DUMMYFUNCTION("GOOGLETRANSLATE(B19265, ""zh"", ""en"")"),"This is to take care of a single size is appropriate, my husband and I can carry, the boys carry out quite nice")</f>
        <v>This is to take care of a single size is appropriate, my husband and I can carry, the boys carry out quite nice</v>
      </c>
    </row>
    <row r="19266">
      <c r="A19266" s="1">
        <v>5.0</v>
      </c>
      <c r="B19266" s="1" t="s">
        <v>19015</v>
      </c>
      <c r="C19266" t="str">
        <f>IFERROR(__xludf.DUMMYFUNCTION("GOOGLETRANSLATE(B19266, ""zh"", ""en"")"),"86 is slightly larger around the waist, usually 32 to buy pants are right, this is slightly too large to buy 32, 31 is enough, because there are elastic, resilient and elastic waist band also")</f>
        <v>86 is slightly larger around the waist, usually 32 to buy pants are right, this is slightly too large to buy 32, 31 is enough, because there are elastic, resilient and elastic waist band also</v>
      </c>
    </row>
    <row r="19267">
      <c r="A19267" s="1">
        <v>5.0</v>
      </c>
      <c r="B19267" s="1" t="s">
        <v>19016</v>
      </c>
      <c r="C19267" t="str">
        <f>IFERROR(__xludf.DUMMYFUNCTION("GOOGLETRANSLATE(B19267, ""zh"", ""en"")"),"This inexpensive calcium calcium is mainly bought for my grandmother and mother to eat, just eat this calcium grandmother said the evening will not cramp the feet, can be considered a commodity often engage in activities, and every time there is activity "&amp;"on the buy 4 bottle at home, is not flattered")</f>
        <v>This inexpensive calcium calcium is mainly bought for my grandmother and mother to eat, just eat this calcium grandmother said the evening will not cramp the feet, can be considered a commodity often engage in activities, and every time there is activity on the buy 4 bottle at home, is not flattered</v>
      </c>
    </row>
    <row r="19268">
      <c r="A19268" s="1">
        <v>5.0</v>
      </c>
      <c r="B19268" s="1" t="s">
        <v>19017</v>
      </c>
      <c r="C19268" t="str">
        <f>IFERROR(__xludf.DUMMYFUNCTION("GOOGLETRANSLATE(B19268, ""zh"", ""en"")"),"Sri Lanka too large one yard origin, code number is too large one yards than domestic")</f>
        <v>Sri Lanka too large one yard origin, code number is too large one yards than domestic</v>
      </c>
    </row>
    <row r="19269">
      <c r="A19269" s="1">
        <v>5.0</v>
      </c>
      <c r="B19269" s="1" t="s">
        <v>19018</v>
      </c>
      <c r="C19269" t="str">
        <f>IFERROR(__xludf.DUMMYFUNCTION("GOOGLETRANSLATE(B19269, ""zh"", ""en"")"),"Very very satisfied with the quality, color is also pretty good value, and Ina, KVK almost, high cost, satisfaction")</f>
        <v>Very very satisfied with the quality, color is also pretty good value, and Ina, KVK almost, high cost, satisfaction</v>
      </c>
    </row>
    <row r="19270">
      <c r="A19270" s="1">
        <v>5.0</v>
      </c>
      <c r="B19270" s="1" t="s">
        <v>19019</v>
      </c>
      <c r="C19270" t="str">
        <f>IFERROR(__xludf.DUMMYFUNCTION("GOOGLETRANSLATE(B19270, ""zh"", ""en"")"),"Good quality good quality, the baby likes.")</f>
        <v>Good quality good quality, the baby likes.</v>
      </c>
    </row>
    <row r="19271">
      <c r="A19271" s="1">
        <v>5.0</v>
      </c>
      <c r="B19271" s="1" t="s">
        <v>19020</v>
      </c>
      <c r="C19271" t="str">
        <f>IFERROR(__xludf.DUMMYFUNCTION("GOOGLETRANSLATE(B19271, ""zh"", ""en"")"),"it's good it's good")</f>
        <v>it's good it's good</v>
      </c>
    </row>
    <row r="19272">
      <c r="A19272" s="1">
        <v>5.0</v>
      </c>
      <c r="B19272" s="1" t="s">
        <v>19021</v>
      </c>
      <c r="C19272" t="str">
        <f>IFERROR(__xludf.DUMMYFUNCTION("GOOGLETRANSLATE(B19272, ""zh"", ""en"")"),"Good color version Ye Hao worth buying 178,78kg, waist 31, 31 * 30 just to wear, very good length. But I have thick legs, so a little tight, but the elastic pants itself is good, so that is fairly comfortable. It is more than expected.")</f>
        <v>Good color version Ye Hao worth buying 178,78kg, waist 31, 31 * 30 just to wear, very good length. But I have thick legs, so a little tight, but the elastic pants itself is good, so that is fairly comfortable. It is more than expected.</v>
      </c>
    </row>
    <row r="19273">
      <c r="A19273" s="1">
        <v>5.0</v>
      </c>
      <c r="B19273" s="1" t="s">
        <v>19022</v>
      </c>
      <c r="C19273" t="str">
        <f>IFERROR(__xludf.DUMMYFUNCTION("GOOGLETRANSLATE(B19273, ""zh"", ""en"")"),"Perfect shoe size standard, material enough, work is also good, great style, much cheaper than a treasure, there are genuine security, under orders to receipt only takes ten days short, very satisfied.")</f>
        <v>Perfect shoe size standard, material enough, work is also good, great style, much cheaper than a treasure, there are genuine security, under orders to receipt only takes ten days short, very satisfied.</v>
      </c>
    </row>
    <row r="19274">
      <c r="A19274" s="1">
        <v>5.0</v>
      </c>
      <c r="B19274" s="1" t="s">
        <v>19023</v>
      </c>
      <c r="C19274" t="str">
        <f>IFERROR(__xludf.DUMMYFUNCTION("GOOGLETRANSLATE(B19274, ""zh"", ""en"")"),"Very, very good very beautiful, very comfortable, looked for a long time, and finally shot, very satisfied")</f>
        <v>Very, very good very beautiful, very comfortable, looked for a long time, and finally shot, very satisfied</v>
      </c>
    </row>
    <row r="19275">
      <c r="A19275" s="1">
        <v>2.0</v>
      </c>
      <c r="B19275" s="1" t="s">
        <v>19024</v>
      </c>
      <c r="C19275" t="str">
        <f>IFERROR(__xludf.DUMMYFUNCTION("GOOGLETRANSLATE(B19275, ""zh"", ""en"")"),"Pants too thin, not suitable for winter wear pants too thin in Beijing, Beijing is not suitable for winter wear, looking at the picture very thick, found that simply not the case. . . . . Pants too thin, not suitable for winter wear in Beijing, the pictur"&amp;"e looked very thick, found that simply not the case. . . . . Pants too thin, not suitable for winter wear in Beijing, the picture looked very thick, found that simply not the case. . . . .")</f>
        <v>Pants too thin, not suitable for winter wear pants too thin in Beijing, Beijing is not suitable for winter wear, looking at the picture very thick, found that simply not the case. . . . . Pants too thin, not suitable for winter wear in Beijing, the picture looked very thick, found that simply not the case. . . . . Pants too thin, not suitable for winter wear in Beijing, the picture looked very thick, found that simply not the case. . . . .</v>
      </c>
    </row>
    <row r="19276">
      <c r="A19276" s="1">
        <v>3.0</v>
      </c>
      <c r="B19276" s="1" t="s">
        <v>19025</v>
      </c>
      <c r="C19276" t="str">
        <f>IFERROR(__xludf.DUMMYFUNCTION("GOOGLETRANSLATE(B19276, ""zh"", ""en"")"),"Not a big ah little fat, large size control Amazon do not know who did it, not even allowed to okay")</f>
        <v>Not a big ah little fat, large size control Amazon do not know who did it, not even allowed to okay</v>
      </c>
    </row>
    <row r="19277">
      <c r="A19277" s="1">
        <v>3.0</v>
      </c>
      <c r="B19277" s="1" t="s">
        <v>19026</v>
      </c>
      <c r="C19277" t="str">
        <f>IFERROR(__xludf.DUMMYFUNCTION("GOOGLETRANSLATE(B19277, ""zh"", ""en"")"),"One pair of boots a week high cost received quickly. Shoes are very nice but also very comfortable shoe models I received flawed. Although after-sales resolved quickly but my heart I would like to receive one pair of perfect shoes hope can have a good pre"&amp;"-delivery inspection")</f>
        <v>One pair of boots a week high cost received quickly. Shoes are very nice but also very comfortable shoe models I received flawed. Although after-sales resolved quickly but my heart I would like to receive one pair of perfect shoes hope can have a good pre-delivery inspection</v>
      </c>
    </row>
    <row r="19278">
      <c r="A19278" s="1">
        <v>3.0</v>
      </c>
      <c r="B19278" s="1" t="s">
        <v>19027</v>
      </c>
      <c r="C19278" t="str">
        <f>IFERROR(__xludf.DUMMYFUNCTION("GOOGLETRANSLATE(B19278, ""zh"", ""en"")"),"Generally like this three-head shaver general like ah, I feel not very easy to use")</f>
        <v>Generally like this three-head shaver general like ah, I feel not very easy to use</v>
      </c>
    </row>
    <row r="19279">
      <c r="A19279" s="1">
        <v>1.0</v>
      </c>
      <c r="B19279" s="1" t="s">
        <v>19028</v>
      </c>
      <c r="C19279" t="str">
        <f>IFERROR(__xludf.DUMMYFUNCTION("GOOGLETRANSLATE(B19279, ""zh"", ""en"")"),"Less than two months and I broke the Waterpik really flattered. A business trip three days to come back, want to use it last night, suddenly press the power button no response, it should be broken. It seems some people say online, overseas shopping is rea"&amp;"lly easy bad, there is no warranty. Cup. I shop at Amazon for many years, I bought a lot of things, this is one of the most tragic.")</f>
        <v>Less than two months and I broke the Waterpik really flattered. A business trip three days to come back, want to use it last night, suddenly press the power button no response, it should be broken. It seems some people say online, overseas shopping is really easy bad, there is no warranty. Cup. I shop at Amazon for many years, I bought a lot of things, this is one of the most tragic.</v>
      </c>
    </row>
    <row r="19280">
      <c r="A19280" s="1">
        <v>1.0</v>
      </c>
      <c r="B19280" s="1" t="s">
        <v>19029</v>
      </c>
      <c r="C19280" t="str">
        <f>IFERROR(__xludf.DUMMYFUNCTION("GOOGLETRANSLATE(B19280, ""zh"", ""en"")"),"Not only the number of filter cartridges 11 I received, why")</f>
        <v>Not only the number of filter cartridges 11 I received, why</v>
      </c>
    </row>
    <row r="19281">
      <c r="A19281" s="1">
        <v>4.0</v>
      </c>
      <c r="B19281" s="1" t="s">
        <v>19030</v>
      </c>
      <c r="C19281" t="str">
        <f>IFERROR(__xludf.DUMMYFUNCTION("GOOGLETRANSLATE(B19281, ""zh"", ""en"")"),"Workmanship is very good this price workmanship is very good, sound okay, that is not good treble convergence")</f>
        <v>Workmanship is very good this price workmanship is very good, sound okay, that is not good treble convergence</v>
      </c>
    </row>
    <row r="19282">
      <c r="A19282" s="1">
        <v>4.0</v>
      </c>
      <c r="B19282" s="1" t="s">
        <v>19031</v>
      </c>
      <c r="C19282" t="str">
        <f>IFERROR(__xludf.DUMMYFUNCTION("GOOGLETRANSLATE(B19282, ""zh"", ""en"")"),"A little color clothing styles are like, but go ahead and buy a large size or small point than expected.")</f>
        <v>A little color clothing styles are like, but go ahead and buy a large size or small point than expected.</v>
      </c>
    </row>
    <row r="19283">
      <c r="A19283" s="1">
        <v>4.0</v>
      </c>
      <c r="B19283" s="1" t="s">
        <v>19032</v>
      </c>
      <c r="C19283" t="str">
        <f>IFERROR(__xludf.DUMMYFUNCTION("GOOGLETRANSLATE(B19283, ""zh"", ""en"")"),"Noise Do not vote for him, good sound quality 1. The quality did not say, stronger than the bose and Sony with the price. 2. Noise is really hopeless ah, I do not spend money on it. 3. feeling not as good as their own non-noise-canceling headphones.")</f>
        <v>Noise Do not vote for him, good sound quality 1. The quality did not say, stronger than the bose and Sony with the price. 2. Noise is really hopeless ah, I do not spend money on it. 3. feeling not as good as their own non-noise-canceling headphones.</v>
      </c>
    </row>
    <row r="19284">
      <c r="A19284" s="1">
        <v>4.0</v>
      </c>
      <c r="B19284" s="1" t="s">
        <v>19033</v>
      </c>
      <c r="C19284" t="str">
        <f>IFERROR(__xludf.DUMMYFUNCTION("GOOGLETRANSLATE(B19284, ""zh"", ""en"")"),"Smaller than the normal number of ECCO shoes are a small number, the number is small, just a small completely different, be sure to select a large number of the selection, to be a reference")</f>
        <v>Smaller than the normal number of ECCO shoes are a small number, the number is small, just a small completely different, be sure to select a large number of the selection, to be a reference</v>
      </c>
    </row>
    <row r="19285">
      <c r="A19285" s="1">
        <v>4.0</v>
      </c>
      <c r="B19285" s="1" t="s">
        <v>19034</v>
      </c>
      <c r="C19285" t="str">
        <f>IFERROR(__xludf.DUMMYFUNCTION("GOOGLETRANSLATE(B19285, ""zh"", ""en"")"),"This is just the right size 36.5, is the rain can not wear, will be very hard to accept")</f>
        <v>This is just the right size 36.5, is the rain can not wear, will be very hard to accept</v>
      </c>
    </row>
    <row r="19286">
      <c r="A19286" s="1">
        <v>5.0</v>
      </c>
      <c r="B19286" s="1" t="s">
        <v>19035</v>
      </c>
      <c r="C19286" t="str">
        <f>IFERROR(__xludf.DUMMYFUNCTION("GOOGLETRANSLATE(B19286, ""zh"", ""en"")"),"Great 1.78,63kg, 30 × 32 just fine workmanship, the price is certainly lower than the domestic")</f>
        <v>Great 1.78,63kg, 30 × 32 just fine workmanship, the price is certainly lower than the domestic</v>
      </c>
    </row>
    <row r="19287">
      <c r="A19287" s="1">
        <v>5.0</v>
      </c>
      <c r="B19287" s="1" t="s">
        <v>19036</v>
      </c>
      <c r="C19287" t="str">
        <f>IFERROR(__xludf.DUMMYFUNCTION("GOOGLETRANSLATE(B19287, ""zh"", ""en"")"),"Praise very comfortable with them, it is recommended to buy")</f>
        <v>Praise very comfortable with them, it is recommended to buy</v>
      </c>
    </row>
    <row r="19288">
      <c r="A19288" s="1">
        <v>5.0</v>
      </c>
      <c r="B19288" s="1" t="s">
        <v>19037</v>
      </c>
      <c r="C19288" t="str">
        <f>IFERROR(__xludf.DUMMYFUNCTION("GOOGLETRANSLATE(B19288, ""zh"", ""en"")"),"Like the 250 ohm pro version still in very good push, the sound clean, no coloration, open sound field. Instrument separation is very high, very pure sound like this")</f>
        <v>Like the 250 ohm pro version still in very good push, the sound clean, no coloration, open sound field. Instrument separation is very high, very pure sound like this</v>
      </c>
    </row>
    <row r="19289">
      <c r="A19289" s="1">
        <v>5.0</v>
      </c>
      <c r="B19289" s="1" t="s">
        <v>19038</v>
      </c>
      <c r="C19289" t="str">
        <f>IFERROR(__xludf.DUMMYFUNCTION("GOOGLETRANSLATE(B19289, ""zh"", ""en"")"),"Very good 185cm 87kg 2 feet 9 waist W38L32 very appropriate and flexible inside plus pants Well no problem to work on the details of some small flaws, but considering the price is still very worthwhile overall praise")</f>
        <v>Very good 185cm 87kg 2 feet 9 waist W38L32 very appropriate and flexible inside plus pants Well no problem to work on the details of some small flaws, but considering the price is still very worthwhile overall praise</v>
      </c>
    </row>
    <row r="19290">
      <c r="A19290" s="1">
        <v>5.0</v>
      </c>
      <c r="B19290" s="1" t="s">
        <v>19039</v>
      </c>
      <c r="C19290" t="str">
        <f>IFERROR(__xludf.DUMMYFUNCTION("GOOGLETRANSLATE(B19290, ""zh"", ""en"")"),"Suitable comfortable suitable comfortable, 186 90kg, appropriate")</f>
        <v>Suitable comfortable suitable comfortable, 186 90kg, appropriate</v>
      </c>
    </row>
    <row r="19291">
      <c r="A19291" s="1">
        <v>5.0</v>
      </c>
      <c r="B19291" s="1" t="s">
        <v>19040</v>
      </c>
      <c r="C19291" t="str">
        <f>IFERROR(__xludf.DUMMYFUNCTION("GOOGLETRANSLATE(B19291, ""zh"", ""en"")"),"Like very comfortable, cost-effective, wearing good-looking, the only downside is that the whole work a little bit rough, but does not affect this is a good pair of shoes")</f>
        <v>Like very comfortable, cost-effective, wearing good-looking, the only downside is that the whole work a little bit rough, but does not affect this is a good pair of shoes</v>
      </c>
    </row>
    <row r="19292">
      <c r="A19292" s="1">
        <v>5.0</v>
      </c>
      <c r="B19292" s="1" t="s">
        <v>19041</v>
      </c>
      <c r="C19292" t="str">
        <f>IFERROR(__xludf.DUMMYFUNCTION("GOOGLETRANSLATE(B19292, ""zh"", ""en"")"),"Good feeling good, not from the previous evaluation, I do not know how many wasted points, points can change money now know, they should look carefully evaluated, then I put these words to copy to go, both to earn points, but also save time, copy where th"&amp;"ey go, the most important thing is, do not seriously review, do not think how much worse word, sent directly to it, recommend it to everyone! !")</f>
        <v>Good feeling good, not from the previous evaluation, I do not know how many wasted points, points can change money now know, they should look carefully evaluated, then I put these words to copy to go, both to earn points, but also save time, copy where they go, the most important thing is, do not seriously review, do not think how much worse word, sent directly to it, recommend it to everyone! !</v>
      </c>
    </row>
    <row r="19293">
      <c r="A19293" s="1">
        <v>5.0</v>
      </c>
      <c r="B19293" s="1" t="s">
        <v>19042</v>
      </c>
      <c r="C19293" t="str">
        <f>IFERROR(__xludf.DUMMYFUNCTION("GOOGLETRANSLATE(B19293, ""zh"", ""en"")"),"KOSS ear-hook of the best I bought a headset, there are three requirements: 1, bass good enough; 2, 3 can not sound leakage must be ear-hook, this Gaussian avoid ear pain, I purposely drained away Jingdong iron triangle, then buy back the sea. Before KSC7"&amp;"5 I have been using the back end of the line is bad I removed the bad. So buy again. In addition the material is mighty Amazon overseas!")</f>
        <v>KOSS ear-hook of the best I bought a headset, there are three requirements: 1, bass good enough; 2, 3 can not sound leakage must be ear-hook, this Gaussian avoid ear pain, I purposely drained away Jingdong iron triangle, then buy back the sea. Before KSC75 I have been using the back end of the line is bad I removed the bad. So buy again. In addition the material is mighty Amazon overseas!</v>
      </c>
    </row>
    <row r="19294">
      <c r="A19294" s="1">
        <v>5.0</v>
      </c>
      <c r="B19294" s="1" t="s">
        <v>19043</v>
      </c>
      <c r="C19294" t="str">
        <f>IFERROR(__xludf.DUMMYFUNCTION("GOOGLETRANSLATE(B19294, ""zh"", ""en"")"),"I served prime prime convenience and fast indeed with a difference, originally expected to reach 10 actually went to No. 2, and this pot Package estimated to be five kilograms, freight even if they have more than 50 domestic transportation.")</f>
        <v>I served prime prime convenience and fast indeed with a difference, originally expected to reach 10 actually went to No. 2, and this pot Package estimated to be five kilograms, freight even if they have more than 50 domestic transportation.</v>
      </c>
    </row>
    <row r="19295">
      <c r="A19295" s="1">
        <v>5.0</v>
      </c>
      <c r="B19295" s="1" t="s">
        <v>19044</v>
      </c>
      <c r="C19295" t="str">
        <f>IFERROR(__xludf.DUMMYFUNCTION("GOOGLETRANSLATE(B19295, ""zh"", ""en"")"),"Good quality is really good")</f>
        <v>Good quality is really good</v>
      </c>
    </row>
    <row r="19296">
      <c r="A19296" s="1">
        <v>5.0</v>
      </c>
      <c r="B19296" s="1" t="s">
        <v>19045</v>
      </c>
      <c r="C19296" t="str">
        <f>IFERROR(__xludf.DUMMYFUNCTION("GOOGLETRANSLATE(B19296, ""zh"", ""en"")"),"Comfortable foot feeling good")</f>
        <v>Comfortable foot feeling good</v>
      </c>
    </row>
    <row r="19297">
      <c r="A19297" s="1">
        <v>5.0</v>
      </c>
      <c r="B19297" s="1" t="s">
        <v>19046</v>
      </c>
      <c r="C19297" t="str">
        <f>IFERROR(__xludf.DUMMYFUNCTION("GOOGLETRANSLATE(B19297, ""zh"", ""en"")"),"Zojirushi enough for a person to go out drinking")</f>
        <v>Zojirushi enough for a person to go out drinking</v>
      </c>
    </row>
    <row r="19298">
      <c r="A19298" s="1">
        <v>5.0</v>
      </c>
      <c r="B19298" s="1" t="s">
        <v>19047</v>
      </c>
      <c r="C19298" t="str">
        <f>IFERROR(__xludf.DUMMYFUNCTION("GOOGLETRANSLATE(B19298, ""zh"", ""en"")"),"Sizes for reference. I had bought a seat of your pants section pants, fat, thin, very suitable length, very lucky. So this is the last full accordance with the size to buy. I listed my own size: my height 173cm, weight 87kg, fairly thick thighs, circumfer"&amp;"ence of about 60cm (probably the length of two A4 paper). I bought the 34W * 30L. I want to give up her mind to reference.")</f>
        <v>Sizes for reference. I had bought a seat of your pants section pants, fat, thin, very suitable length, very lucky. So this is the last full accordance with the size to buy. I listed my own size: my height 173cm, weight 87kg, fairly thick thighs, circumference of about 60cm (probably the length of two A4 paper). I bought the 34W * 30L. I want to give up her mind to reference.</v>
      </c>
    </row>
    <row r="19299">
      <c r="A19299" s="1">
        <v>5.0</v>
      </c>
      <c r="B19299" s="1" t="s">
        <v>12202</v>
      </c>
      <c r="C19299" t="str">
        <f>IFERROR(__xludf.DUMMYFUNCTION("GOOGLETRANSLATE(B19299, ""zh"", ""en"")"),"Clothes a bit small, logistics super fast. Clothes a bit small, logistics super fast.")</f>
        <v>Clothes a bit small, logistics super fast. Clothes a bit small, logistics super fast.</v>
      </c>
    </row>
    <row r="19300">
      <c r="A19300" s="1">
        <v>5.0</v>
      </c>
      <c r="B19300" s="1" t="s">
        <v>19048</v>
      </c>
      <c r="C19300" t="str">
        <f>IFERROR(__xludf.DUMMYFUNCTION("GOOGLETRANSLATE(B19300, ""zh"", ""en"")"),"The best dishes block with super-easy to use, washed a lot cleaner than classic, with this never wanted to go back to the classic.")</f>
        <v>The best dishes block with super-easy to use, washed a lot cleaner than classic, with this never wanted to go back to the classic.</v>
      </c>
    </row>
    <row r="19301">
      <c r="A19301" s="1">
        <v>5.0</v>
      </c>
      <c r="B19301" s="1" t="s">
        <v>19049</v>
      </c>
      <c r="C19301" t="str">
        <f>IFERROR(__xludf.DUMMYFUNCTION("GOOGLETRANSLATE(B19301, ""zh"", ""en"")"),"Color deviation, comfortable in-kind is dark blue, not purple, but the quality is good")</f>
        <v>Color deviation, comfortable in-kind is dark blue, not purple, but the quality is good</v>
      </c>
    </row>
    <row r="19302">
      <c r="A19302" s="1">
        <v>5.0</v>
      </c>
      <c r="B19302" s="1" t="s">
        <v>19050</v>
      </c>
      <c r="C19302" t="str">
        <f>IFERROR(__xludf.DUMMYFUNCTION("GOOGLETRANSLATE(B19302, ""zh"", ""en"")"),"Genuine, soft, cute US direct mail, single number March 17, 26, received a, very fast speed. About 100 cheaper than domestic, bottle should be genuine, very soft, fell not broken, there is a faint smell of silica gel (silica gel are normal with a touch of"&amp;" taste), good Q cute bottle, the baby likes. 😄😄")</f>
        <v>Genuine, soft, cute US direct mail, single number March 17, 26, received a, very fast speed. About 100 cheaper than domestic, bottle should be genuine, very soft, fell not broken, there is a faint smell of silica gel (silica gel are normal with a touch of taste), good Q cute bottle, the baby likes. 😄😄</v>
      </c>
    </row>
    <row r="19303">
      <c r="A19303" s="1">
        <v>5.0</v>
      </c>
      <c r="B19303" s="1" t="s">
        <v>19051</v>
      </c>
      <c r="C19303" t="str">
        <f>IFERROR(__xludf.DUMMYFUNCTION("GOOGLETRANSLATE(B19303, ""zh"", ""en"")"),"Well good. Packing found no damage; night with a piece, actually relatively clean.")</f>
        <v>Well good. Packing found no damage; night with a piece, actually relatively clean.</v>
      </c>
    </row>
    <row r="19304">
      <c r="A19304" s="1">
        <v>5.0</v>
      </c>
      <c r="B19304" s="1" t="s">
        <v>19052</v>
      </c>
      <c r="C19304" t="str">
        <f>IFERROR(__xludf.DUMMYFUNCTION("GOOGLETRANSLATE(B19304, ""zh"", ""en"")"),"The size of the right size, there really is little to wear after the fever")</f>
        <v>The size of the right size, there really is little to wear after the fever</v>
      </c>
    </row>
    <row r="19305">
      <c r="A19305" s="1">
        <v>5.0</v>
      </c>
      <c r="B19305" s="1" t="s">
        <v>19053</v>
      </c>
      <c r="C19305" t="str">
        <f>IFERROR(__xludf.DUMMYFUNCTION("GOOGLETRANSLATE(B19305, ""zh"", ""en"")"),"Value for money nib a little crooked, Twist fails to the overall feeling of value, a sense of 21K write harder than writing music, the same smoothness. Like it encountered over six hundred yuan Zhendian treasure price do not miss.")</f>
        <v>Value for money nib a little crooked, Twist fails to the overall feeling of value, a sense of 21K write harder than writing music, the same smoothness. Like it encountered over six hundred yuan Zhendian treasure price do not miss.</v>
      </c>
    </row>
    <row r="19306">
      <c r="A19306" s="1">
        <v>5.0</v>
      </c>
      <c r="B19306" s="1" t="s">
        <v>19054</v>
      </c>
      <c r="C19306" t="str">
        <f>IFERROR(__xludf.DUMMYFUNCTION("GOOGLETRANSLATE(B19306, ""zh"", ""en"")"),"Size good quality, is too large")</f>
        <v>Size good quality, is too large</v>
      </c>
    </row>
    <row r="19307">
      <c r="A19307" s="1">
        <v>5.0</v>
      </c>
      <c r="B19307" s="1" t="s">
        <v>19055</v>
      </c>
      <c r="C19307" t="str">
        <f>IFERROR(__xludf.DUMMYFUNCTION("GOOGLETRANSLATE(B19307, ""zh"", ""en"")"),"Good pen, for writing Chinese! In particular deal, okay ratio over 2000 Pike century!")</f>
        <v>Good pen, for writing Chinese! In particular deal, okay ratio over 2000 Pike century!</v>
      </c>
    </row>
    <row r="19308">
      <c r="A19308" s="1">
        <v>2.0</v>
      </c>
      <c r="B19308" s="1" t="s">
        <v>19056</v>
      </c>
      <c r="C19308" t="str">
        <f>IFERROR(__xludf.DUMMYFUNCTION("GOOGLETRANSLATE(B19308, ""zh"", ""en"")"),"Flawed cheap is cheap, but there are flaws, the return is not convenient, do not recommend buying")</f>
        <v>Flawed cheap is cheap, but there are flaws, the return is not convenient, do not recommend buying</v>
      </c>
    </row>
    <row r="19309">
      <c r="A19309" s="1">
        <v>3.0</v>
      </c>
      <c r="B19309" s="1" t="s">
        <v>19057</v>
      </c>
      <c r="C19309" t="str">
        <f>IFERROR(__xludf.DUMMYFUNCTION("GOOGLETRANSLATE(B19309, ""zh"", ""en"")"),"Like a general, not as good as before the legendary Red Eye is a network with a really down in general, in addition to the box relatively new idea, with a really down to no effect, the price is not cheap, really like a general")</f>
        <v>Like a general, not as good as before the legendary Red Eye is a network with a really down in general, in addition to the box relatively new idea, with a really down to no effect, the price is not cheap, really like a general</v>
      </c>
    </row>
    <row r="19310">
      <c r="A19310" s="1">
        <v>3.0</v>
      </c>
      <c r="B19310" s="1" t="s">
        <v>19058</v>
      </c>
      <c r="C19310" t="str">
        <f>IFERROR(__xludf.DUMMYFUNCTION("GOOGLETRANSLATE(B19310, ""zh"", ""en"")"),"The assessment has been received. I do not know the table is not really, good looking, retro. Strap, pictures and objects than there is color, but can not scratch the surface of the strap. Gently with your fingernail will look at the mark. Mark will not d"&amp;"isappear.")</f>
        <v>The assessment has been received. I do not know the table is not really, good looking, retro. Strap, pictures and objects than there is color, but can not scratch the surface of the strap. Gently with your fingernail will look at the mark. Mark will not disappear.</v>
      </c>
    </row>
    <row r="19311">
      <c r="A19311" s="1">
        <v>1.0</v>
      </c>
      <c r="B19311" s="1" t="s">
        <v>19059</v>
      </c>
      <c r="C19311" t="str">
        <f>IFERROR(__xludf.DUMMYFUNCTION("GOOGLETRANSLATE(B19311, ""zh"", ""en"")"),"Defective wash later, crumpled fabrics, cotton inside seems a lot less, and empty and thin.")</f>
        <v>Defective wash later, crumpled fabrics, cotton inside seems a lot less, and empty and thin.</v>
      </c>
    </row>
    <row r="19312">
      <c r="A19312" s="1">
        <v>1.0</v>
      </c>
      <c r="B19312" s="1" t="s">
        <v>19060</v>
      </c>
      <c r="C19312" t="str">
        <f>IFERROR(__xludf.DUMMYFUNCTION("GOOGLETRANSLATE(B19312, ""zh"", ""en"")"),"Only the left side of the headset are sound, no sound on the right. And there are signs of use, it is not new. Profiteers, piss me off. I said how so cheap. The headset has only left the ring, not the right sound. And there are signs of use, it is not new"&amp;". Extremely angry, so much of the Amazon network actually sell the products in question. Remember the sky will not fall this sentence is right.")</f>
        <v>Only the left side of the headset are sound, no sound on the right. And there are signs of use, it is not new. Profiteers, piss me off. I said how so cheap. The headset has only left the ring, not the right sound. And there are signs of use, it is not new. Extremely angry, so much of the Amazon network actually sell the products in question. Remember the sky will not fall this sentence is right.</v>
      </c>
    </row>
    <row r="19313">
      <c r="A19313" s="1">
        <v>4.0</v>
      </c>
      <c r="B19313" s="1" t="s">
        <v>19061</v>
      </c>
      <c r="C19313" t="str">
        <f>IFERROR(__xludf.DUMMYFUNCTION("GOOGLETRANSLATE(B19313, ""zh"", ""en"")"),"No I want to be a lot harder than walking boots have worn too much time to hope it can be better")</f>
        <v>No I want to be a lot harder than walking boots have worn too much time to hope it can be better</v>
      </c>
    </row>
    <row r="19314">
      <c r="A19314" s="1">
        <v>4.0</v>
      </c>
      <c r="B19314" s="1" t="s">
        <v>19062</v>
      </c>
      <c r="C19314" t="str">
        <f>IFERROR(__xludf.DUMMYFUNCTION("GOOGLETRANSLATE(B19314, ""zh"", ""en"")"),"S slightly dizzy very good use, but also cut prices, and things can be, it used the generic, cheaper than buying a lot in the country, the instrument allows to use 2 years.")</f>
        <v>S slightly dizzy very good use, but also cut prices, and things can be, it used the generic, cheaper than buying a lot in the country, the instrument allows to use 2 years.</v>
      </c>
    </row>
    <row r="19315">
      <c r="A19315" s="1">
        <v>4.0</v>
      </c>
      <c r="B19315" s="1" t="s">
        <v>19063</v>
      </c>
      <c r="C19315" t="str">
        <f>IFERROR(__xludf.DUMMYFUNCTION("GOOGLETRANSLATE(B19315, ""zh"", ""en"")"),"Cost-effective data backup power for NAS copy speed substantially little sound 150+")</f>
        <v>Cost-effective data backup power for NAS copy speed substantially little sound 150+</v>
      </c>
    </row>
    <row r="19316">
      <c r="A19316" s="1">
        <v>4.0</v>
      </c>
      <c r="B19316" s="1" t="s">
        <v>19064</v>
      </c>
      <c r="C19316" t="str">
        <f>IFERROR(__xludf.DUMMYFUNCTION("GOOGLETRANSLATE(B19316, ""zh"", ""en"")"),"A little disappointed, did not imagine the kind of quality as shown far better, a little disappointed, but cotton okay, kind of far Figure")</f>
        <v>A little disappointed, did not imagine the kind of quality as shown far better, a little disappointed, but cotton okay, kind of far Figure</v>
      </c>
    </row>
    <row r="19317">
      <c r="A19317" s="1">
        <v>4.0</v>
      </c>
      <c r="B19317" s="1" t="s">
        <v>19065</v>
      </c>
      <c r="C19317" t="str">
        <f>IFERROR(__xludf.DUMMYFUNCTION("GOOGLETRANSLATE(B19317, ""zh"", ""en"")"),"I do not know how the sound quality? Poor first to say! 18 days after the next single, completely do not see signs to be shipped! Even if it is in the headset fighter, Rolls-Royce car, the Ke Go clean, but also to the negative feedback, positive correlati"&amp;"on with Sennheiser HD 25 has nothing to do with selling its merchants! Negative Ratings! Another: a few days after the Poor received the goods. ugly! This thing off the ground, do not know what people are lazy look to see, let alone to bend over to pick u"&amp;"p too. The first matter, and immediately connected to a continuous MP3 playback continuously 14 hours (which is 70 brawl phones can push move, there is a kind of mold, the volume is large, but not resistant to listen and Seoul). Then connect the old secti"&amp;"on of the Qing Hua Wugang 2.6F amp. Put some kind of folk, clear and opacity. In contrast, the old headset pronunciation like a painting, which HD25 also like a painting, three-dimensional paintings! Headphones sound original flat, only the X, Y axis! HD2"&amp;"5 performance significantly more than one axis, Z-axis! Praise! Star changed from a four-star, not more of, well proud province.")</f>
        <v>I do not know how the sound quality? Poor first to say! 18 days after the next single, completely do not see signs to be shipped! Even if it is in the headset fighter, Rolls-Royce car, the Ke Go clean, but also to the negative feedback, positive correlation with Sennheiser HD 25 has nothing to do with selling its merchants! Negative Ratings! Another: a few days after the Poor received the goods. ugly! This thing off the ground, do not know what people are lazy look to see, let alone to bend over to pick up too. The first matter, and immediately connected to a continuous MP3 playback continuously 14 hours (which is 70 brawl phones can push move, there is a kind of mold, the volume is large, but not resistant to listen and Seoul). Then connect the old section of the Qing Hua Wugang 2.6F amp. Put some kind of folk, clear and opacity. In contrast, the old headset pronunciation like a painting, which HD25 also like a painting, three-dimensional paintings! Headphones sound original flat, only the X, Y axis! HD25 performance significantly more than one axis, Z-axis! Praise! Star changed from a four-star, not more of, well proud province.</v>
      </c>
    </row>
    <row r="19318">
      <c r="A19318" s="1">
        <v>5.0</v>
      </c>
      <c r="B19318" s="1" t="s">
        <v>19066</v>
      </c>
      <c r="C19318" t="str">
        <f>IFERROR(__xludf.DUMMYFUNCTION("GOOGLETRANSLATE(B19318, ""zh"", ""en"")"),"Da 162-53 kg in addition to very good point long sleeves are other more appropriate. Style is also very generous. Partial leisure section, suited to their needs.")</f>
        <v>Da 162-53 kg in addition to very good point long sleeves are other more appropriate. Style is also very generous. Partial leisure section, suited to their needs.</v>
      </c>
    </row>
    <row r="19319">
      <c r="A19319" s="1">
        <v>5.0</v>
      </c>
      <c r="B19319" s="1" t="s">
        <v>19067</v>
      </c>
      <c r="C19319" t="str">
        <f>IFERROR(__xludf.DUMMYFUNCTION("GOOGLETRANSLATE(B19319, ""zh"", ""en"")"),"Delicious inexpensive very good, kids love to eat, the price is cheaper than the domestic, the next still here to buy")</f>
        <v>Delicious inexpensive very good, kids love to eat, the price is cheaper than the domestic, the next still here to buy</v>
      </c>
    </row>
    <row r="19320">
      <c r="A19320" s="1">
        <v>5.0</v>
      </c>
      <c r="B19320" s="1" t="s">
        <v>19068</v>
      </c>
      <c r="C19320" t="str">
        <f>IFERROR(__xludf.DUMMYFUNCTION("GOOGLETRANSLATE(B19320, ""zh"", ""en"")"),"it is good! satisfaction. This is good! No rubber taste of what the child did not teething time, every day, holding a mill, Listening to the sound of friction, very happy, children six months of age on the teeth. . . .")</f>
        <v>it is good! satisfaction. This is good! No rubber taste of what the child did not teething time, every day, holding a mill, Listening to the sound of friction, very happy, children six months of age on the teeth. . . .</v>
      </c>
    </row>
    <row r="19321">
      <c r="A19321" s="1">
        <v>5.0</v>
      </c>
      <c r="B19321" s="1" t="s">
        <v>19069</v>
      </c>
      <c r="C19321" t="str">
        <f>IFERROR(__xludf.DUMMYFUNCTION("GOOGLETRANSLATE(B19321, ""zh"", ""en"")"),"Enjoy early morning to buy two important features actually did not introduce, one, comes with filters, effects are not very good but certainly better than not, and open the clean-up is easy; Second, up to 85 °, worry-free use of solar water heaters")</f>
        <v>Enjoy early morning to buy two important features actually did not introduce, one, comes with filters, effects are not very good but certainly better than not, and open the clean-up is easy; Second, up to 85 °, worry-free use of solar water heaters</v>
      </c>
    </row>
    <row r="19322">
      <c r="A19322" s="1">
        <v>5.0</v>
      </c>
      <c r="B19322" s="1" t="s">
        <v>5328</v>
      </c>
      <c r="C19322" t="str">
        <f>IFERROR(__xludf.DUMMYFUNCTION("GOOGLETRANSLATE(B19322, ""zh"", ""en"")"),"Good, good cheap comfortable, cheap comfortable, worth buying")</f>
        <v>Good, good cheap comfortable, cheap comfortable, worth buying</v>
      </c>
    </row>
    <row r="19323">
      <c r="A19323" s="1">
        <v>5.0</v>
      </c>
      <c r="B19323" s="1" t="s">
        <v>19070</v>
      </c>
      <c r="C19323" t="str">
        <f>IFERROR(__xludf.DUMMYFUNCTION("GOOGLETRANSLATE(B19323, ""zh"", ""en"")"),"Value for money 177,72kg just right, wearing more comfortable. For spring and summer wear, thin section, quality okay, a little more than the color of partial image light that")</f>
        <v>Value for money 177,72kg just right, wearing more comfortable. For spring and summer wear, thin section, quality okay, a little more than the color of partial image light that</v>
      </c>
    </row>
    <row r="19324">
      <c r="A19324" s="1">
        <v>5.0</v>
      </c>
      <c r="B19324" s="1" t="s">
        <v>19071</v>
      </c>
      <c r="C19324" t="str">
        <f>IFERROR(__xludf.DUMMYFUNCTION("GOOGLETRANSLATE(B19324, ""zh"", ""en"")"),"Good quality, made in China. I liked it, affordable. Good quality, made in China. I liked it, affordable.")</f>
        <v>Good quality, made in China. I liked it, affordable. Good quality, made in China. I liked it, affordable.</v>
      </c>
    </row>
    <row r="19325">
      <c r="A19325" s="1">
        <v>5.0</v>
      </c>
      <c r="B19325" s="1" t="s">
        <v>19072</v>
      </c>
      <c r="C19325" t="str">
        <f>IFERROR(__xludf.DUMMYFUNCTION("GOOGLETRANSLATE(B19325, ""zh"", ""en"")"),"We buy when we must look at the size! They belts gap with us! Their sub-dimension! To be optimistic about the next single I bought out! Keep using it with the grandchildren! Returns do not know how!")</f>
        <v>We buy when we must look at the size! They belts gap with us! Their sub-dimension! To be optimistic about the next single I bought out! Keep using it with the grandchildren! Returns do not know how!</v>
      </c>
    </row>
    <row r="19326">
      <c r="A19326" s="1">
        <v>5.0</v>
      </c>
      <c r="B19326" s="1" t="s">
        <v>19073</v>
      </c>
      <c r="C19326" t="str">
        <f>IFERROR(__xludf.DUMMYFUNCTION("GOOGLETRANSLATE(B19326, ""zh"", ""en"")"),"The more you use the more sense when beginning the general feeling, after burning for some time, in response, has greatly improved bass, enough daily use.")</f>
        <v>The more you use the more sense when beginning the general feeling, after burning for some time, in response, has greatly improved bass, enough daily use.</v>
      </c>
    </row>
    <row r="19327">
      <c r="A19327" s="1">
        <v>5.0</v>
      </c>
      <c r="B19327" s="1" t="s">
        <v>19074</v>
      </c>
      <c r="C19327" t="str">
        <f>IFERROR(__xludf.DUMMYFUNCTION("GOOGLETRANSLATE(B19327, ""zh"", ""en"")"),"Really pay attention to the election code is really too large a lot of weight 193cm L 93 should buy the US version is really nice big scary")</f>
        <v>Really pay attention to the election code is really too large a lot of weight 193cm L 93 should buy the US version is really nice big scary</v>
      </c>
    </row>
    <row r="19328">
      <c r="A19328" s="1">
        <v>5.0</v>
      </c>
      <c r="B19328" s="1" t="s">
        <v>19075</v>
      </c>
      <c r="C19328" t="str">
        <f>IFERROR(__xludf.DUMMYFUNCTION("GOOGLETRANSLATE(B19328, ""zh"", ""en"")"),"With a good use for a few months, I feel good.")</f>
        <v>With a good use for a few months, I feel good.</v>
      </c>
    </row>
    <row r="19329">
      <c r="A19329" s="1">
        <v>5.0</v>
      </c>
      <c r="B19329" s="1" t="s">
        <v>19076</v>
      </c>
      <c r="C19329" t="str">
        <f>IFERROR(__xludf.DUMMYFUNCTION("GOOGLETRANSLATE(B19329, ""zh"", ""en"")"),"Good quality and fine workmanship, good quality, cotton texture, fabric soft and comfortable to wear, the right size, the version good, long-sleeved short coat, it is suitable for rendering, to my surprise, like quickly start it, definitely somewhere to v"&amp;"alue.")</f>
        <v>Good quality and fine workmanship, good quality, cotton texture, fabric soft and comfortable to wear, the right size, the version good, long-sleeved short coat, it is suitable for rendering, to my surprise, like quickly start it, definitely somewhere to value.</v>
      </c>
    </row>
    <row r="19330">
      <c r="A19330" s="1">
        <v>5.0</v>
      </c>
      <c r="B19330" s="1" t="s">
        <v>19077</v>
      </c>
      <c r="C19330" t="str">
        <f>IFERROR(__xludf.DUMMYFUNCTION("GOOGLETRANSLATE(B19330, ""zh"", ""en"")"),"Good use box is intact, but there is a written broken pencil core, after all, come back from overseas postal, really handy, next time run out come back to buy Oh! !")</f>
        <v>Good use box is intact, but there is a written broken pencil core, after all, come back from overseas postal, really handy, next time run out come back to buy Oh! !</v>
      </c>
    </row>
    <row r="19331">
      <c r="A19331" s="1">
        <v>5.0</v>
      </c>
      <c r="B19331" s="1" t="s">
        <v>19078</v>
      </c>
      <c r="C19331" t="str">
        <f>IFERROR(__xludf.DUMMYFUNCTION("GOOGLETRANSLATE(B19331, ""zh"", ""en"")"),"Japan's first buy wok wok uncoated Japan expected by bit longer")</f>
        <v>Japan's first buy wok wok uncoated Japan expected by bit longer</v>
      </c>
    </row>
    <row r="19332">
      <c r="A19332" s="1">
        <v>5.0</v>
      </c>
      <c r="B19332" s="1" t="s">
        <v>19079</v>
      </c>
      <c r="C19332" t="str">
        <f>IFERROR(__xludf.DUMMYFUNCTION("GOOGLETRANSLATE(B19332, ""zh"", ""en"")"),"Worthy of praise 176cm 85kg L is just good")</f>
        <v>Worthy of praise 176cm 85kg L is just good</v>
      </c>
    </row>
    <row r="19333">
      <c r="A19333" s="1">
        <v>5.0</v>
      </c>
      <c r="B19333" s="1" t="s">
        <v>19080</v>
      </c>
      <c r="C19333" t="str">
        <f>IFERROR(__xludf.DUMMYFUNCTION("GOOGLETRANSLATE(B19333, ""zh"", ""en"")"),"Sound quality is good, wearing a long head a little bit sound quality is good, the price spike is to force")</f>
        <v>Sound quality is good, wearing a long head a little bit sound quality is good, the price spike is to force</v>
      </c>
    </row>
    <row r="19334">
      <c r="A19334" s="1">
        <v>5.0</v>
      </c>
      <c r="B19334" s="1" t="s">
        <v>11336</v>
      </c>
      <c r="C19334" t="str">
        <f>IFERROR(__xludf.DUMMYFUNCTION("GOOGLETRANSLATE(B19334, ""zh"", ""en"")"),"Satisfaction very comfortable to wear, the Japanese do really good bra")</f>
        <v>Satisfaction very comfortable to wear, the Japanese do really good bra</v>
      </c>
    </row>
    <row r="19335">
      <c r="A19335" s="1">
        <v>5.0</v>
      </c>
      <c r="B19335" s="1" t="s">
        <v>19081</v>
      </c>
      <c r="C19335" t="str">
        <f>IFERROR(__xludf.DUMMYFUNCTION("GOOGLETRANSLATE(B19335, ""zh"", ""en"")"),"Very good, children like very good way to school to listen to English every day.")</f>
        <v>Very good, children like very good way to school to listen to English every day.</v>
      </c>
    </row>
    <row r="19336">
      <c r="A19336" s="1">
        <v>5.0</v>
      </c>
      <c r="B19336" s="1" t="s">
        <v>19082</v>
      </c>
      <c r="C19336" t="str">
        <f>IFERROR(__xludf.DUMMYFUNCTION("GOOGLETRANSLATE(B19336, ""zh"", ""en"")"),"I hope useful checked the brand is good, but many people say useful, many people say it is. I hope that is useful")</f>
        <v>I hope useful checked the brand is good, but many people say useful, many people say it is. I hope that is useful</v>
      </c>
    </row>
    <row r="19337">
      <c r="A19337" s="1">
        <v>5.0</v>
      </c>
      <c r="B19337" s="1" t="s">
        <v>19083</v>
      </c>
      <c r="C19337" t="str">
        <f>IFERROR(__xludf.DUMMYFUNCTION("GOOGLETRANSLATE(B19337, ""zh"", ""en"")"),"Freeze useless to understand such a good black machine is really easy to use. There are several suggestions sent to buy friends. ①pro600 for ordinary families, beat egg bowl slightly larger capacity, that can be considered less money. ② cast aluminum part"&amp;"s, including egg basin, will black out, wash a few times, a few times began to rub thrown away, then fine. ③ Some people say will not move a stir, it is because the dough is too dry, the machine automatically stops working. So tell us, do not stir the dou"&amp;"gh is too dry. ④ silver nice.")</f>
        <v>Freeze useless to understand such a good black machine is really easy to use. There are several suggestions sent to buy friends. ①pro600 for ordinary families, beat egg bowl slightly larger capacity, that can be considered less money. ② cast aluminum parts, including egg basin, will black out, wash a few times, a few times began to rub thrown away, then fine. ③ Some people say will not move a stir, it is because the dough is too dry, the machine automatically stops working. So tell us, do not stir the dough is too dry. ④ silver nice.</v>
      </c>
    </row>
    <row r="19338">
      <c r="A19338" s="1">
        <v>5.0</v>
      </c>
      <c r="B19338" s="1" t="s">
        <v>19084</v>
      </c>
      <c r="C19338" t="str">
        <f>IFERROR(__xludf.DUMMYFUNCTION("GOOGLETRANSLATE(B19338, ""zh"", ""en"")"),"Good shoes very comfortable very good value for money")</f>
        <v>Good shoes very comfortable very good value for money</v>
      </c>
    </row>
    <row r="19339">
      <c r="A19339" s="1">
        <v>5.0</v>
      </c>
      <c r="B19339" s="1" t="s">
        <v>19085</v>
      </c>
      <c r="C19339" t="str">
        <f>IFERROR(__xludf.DUMMYFUNCTION("GOOGLETRANSLATE(B19339, ""zh"", ""en"")"),"This is a five-star prices for this polo really cheap, work is also good, but unfortunately, too much is too big too big")</f>
        <v>This is a five-star prices for this polo really cheap, work is also good, but unfortunately, too much is too big too big</v>
      </c>
    </row>
    <row r="19340">
      <c r="A19340" s="1">
        <v>2.0</v>
      </c>
      <c r="B19340" s="1" t="s">
        <v>19086</v>
      </c>
      <c r="C19340" t="str">
        <f>IFERROR(__xludf.DUMMYFUNCTION("GOOGLETRANSLATE(B19340, ""zh"", ""en"")"),"Code number is too large in general, is not particularly good-looking!")</f>
        <v>Code number is too large in general, is not particularly good-looking!</v>
      </c>
    </row>
    <row r="19341">
      <c r="A19341" s="1">
        <v>3.0</v>
      </c>
      <c r="B19341" s="1" t="s">
        <v>19087</v>
      </c>
      <c r="C19341" t="str">
        <f>IFERROR(__xludf.DUMMYFUNCTION("GOOGLETRANSLATE(B19341, ""zh"", ""en"")"),"Quality is very general socks quality in general, thread and more, do not recommend buying.")</f>
        <v>Quality is very general socks quality in general, thread and more, do not recommend buying.</v>
      </c>
    </row>
    <row r="19342">
      <c r="A19342" s="1">
        <v>3.0</v>
      </c>
      <c r="B19342" s="1" t="s">
        <v>19088</v>
      </c>
      <c r="C19342" t="str">
        <f>IFERROR(__xludf.DUMMYFUNCTION("GOOGLETRANSLATE(B19342, ""zh"", ""en"")"),"East-West differences in how a big Zile ah! , Just waistband, but the large and long legs, or the thin, winter is not wearing trousers, placed it. I 170 / 73.5, pants sell trumpet s")</f>
        <v>East-West differences in how a big Zile ah! , Just waistband, but the large and long legs, or the thin, winter is not wearing trousers, placed it. I 170 / 73.5, pants sell trumpet s</v>
      </c>
    </row>
    <row r="19343">
      <c r="A19343" s="1">
        <v>1.0</v>
      </c>
      <c r="B19343" s="1" t="s">
        <v>19089</v>
      </c>
      <c r="C19343" t="str">
        <f>IFERROR(__xludf.DUMMYFUNCTION("GOOGLETRANSLATE(B19343, ""zh"", ""en"")"),"Businesses are color blind or brain problem? Look at merchandise marked color (single color of goods), and then I actually got to see color, do you have a little sense of responsibility, brain or eyes should go to the hospital to check? Wait so many days,"&amp;" etc. is not their own goods orders, I was speechless.")</f>
        <v>Businesses are color blind or brain problem? Look at merchandise marked color (single color of goods), and then I actually got to see color, do you have a little sense of responsibility, brain or eyes should go to the hospital to check? Wait so many days, etc. is not their own goods orders, I was speechless.</v>
      </c>
    </row>
    <row r="19344">
      <c r="A19344" s="1">
        <v>1.0</v>
      </c>
      <c r="B19344" s="1" t="s">
        <v>19090</v>
      </c>
      <c r="C19344" t="str">
        <f>IFERROR(__xludf.DUMMYFUNCTION("GOOGLETRANSLATE(B19344, ""zh"", ""en"")"),"Silly pants my height generally were heavier, and therefore need to buy pants to change trousers (because of various Nutty not designed for cold), can be seen in the Amazon to the appropriate size of the jeans is quite pleased, so I buy one, really approp"&amp;"riate, I thought oh well, the results put on experience, in addition to other appropriate size are not appropriate, neither self-cultivation models, but not loose, baggy and bulging, like an old man pants, boring.")</f>
        <v>Silly pants my height generally were heavier, and therefore need to buy pants to change trousers (because of various Nutty not designed for cold), can be seen in the Amazon to the appropriate size of the jeans is quite pleased, so I buy one, really appropriate, I thought oh well, the results put on experience, in addition to other appropriate size are not appropriate, neither self-cultivation models, but not loose, baggy and bulging, like an old man pants, boring.</v>
      </c>
    </row>
    <row r="19345">
      <c r="A19345" s="1">
        <v>1.0</v>
      </c>
      <c r="B19345" s="1" t="s">
        <v>19091</v>
      </c>
      <c r="C19345" t="str">
        <f>IFERROR(__xludf.DUMMYFUNCTION("GOOGLETRANSLATE(B19345, ""zh"", ""en"")"),"Unsatisfactory unsatisfactory")</f>
        <v>Unsatisfactory unsatisfactory</v>
      </c>
    </row>
    <row r="19346">
      <c r="A19346" s="1">
        <v>4.0</v>
      </c>
      <c r="B19346" s="1" t="s">
        <v>19092</v>
      </c>
      <c r="C19346" t="str">
        <f>IFERROR(__xludf.DUMMYFUNCTION("GOOGLETRANSLATE(B19346, ""zh"", ""en"")"),"Fortunately, that is almost workmanship. Fortunately, that is almost workmanship.")</f>
        <v>Fortunately, that is almost workmanship. Fortunately, that is almost workmanship.</v>
      </c>
    </row>
    <row r="19347">
      <c r="A19347" s="1">
        <v>4.0</v>
      </c>
      <c r="B19347" s="1" t="s">
        <v>19093</v>
      </c>
      <c r="C19347" t="str">
        <f>IFERROR(__xludf.DUMMYFUNCTION("GOOGLETRANSLATE(B19347, ""zh"", ""en"")"),"Color is very important to pick the wrong color, green Fubai recommendation to buy, I feel wearing black.")</f>
        <v>Color is very important to pick the wrong color, green Fubai recommendation to buy, I feel wearing black.</v>
      </c>
    </row>
    <row r="19348">
      <c r="A19348" s="1">
        <v>4.0</v>
      </c>
      <c r="B19348" s="1" t="s">
        <v>19094</v>
      </c>
      <c r="C19348" t="str">
        <f>IFERROR(__xludf.DUMMYFUNCTION("GOOGLETRANSLATE(B19348, ""zh"", ""en"")"),"Suitable size of the right size, work in general. you get what you pay for. 170 yards usually, this appropriate LL")</f>
        <v>Suitable size of the right size, work in general. you get what you pay for. 170 yards usually, this appropriate LL</v>
      </c>
    </row>
    <row r="19349">
      <c r="A19349" s="1">
        <v>4.0</v>
      </c>
      <c r="B19349" s="1" t="s">
        <v>19095</v>
      </c>
      <c r="C19349" t="str">
        <f>IFERROR(__xludf.DUMMYFUNCTION("GOOGLETRANSLATE(B19349, ""zh"", ""en"")"),"New / used? Impeccable appearance, tattered box does not matter, I think it can do the packaging of the money saved to the table to do a little more real is very happy. But I picked up the open table that moment I wonder whether this is new. The following"&amp;" reasons: B-box master station through the same section up table, a new table entry card at the crown (FIG. 2), to remove the card, i.e. the hands start moving. But the problem is I do not see this card, from the moment I saw the table, at 6:00 in the sec"&amp;"ond hand go. I do not know Amazon is not stuffed block others to return to my table, out of the box video evidence did not bother to find customer service for the first time overseas Amazon shopping experience is not very satisfactory.")</f>
        <v>New / used? Impeccable appearance, tattered box does not matter, I think it can do the packaging of the money saved to the table to do a little more real is very happy. But I picked up the open table that moment I wonder whether this is new. The following reasons: B-box master station through the same section up table, a new table entry card at the crown (FIG. 2), to remove the card, i.e. the hands start moving. But the problem is I do not see this card, from the moment I saw the table, at 6:00 in the second hand go. I do not know Amazon is not stuffed block others to return to my table, out of the box video evidence did not bother to find customer service for the first time overseas Amazon shopping experience is not very satisfactory.</v>
      </c>
    </row>
    <row r="19350">
      <c r="A19350" s="1">
        <v>4.0</v>
      </c>
      <c r="B19350" s="1" t="s">
        <v>19096</v>
      </c>
      <c r="C19350" t="str">
        <f>IFERROR(__xludf.DUMMYFUNCTION("GOOGLETRANSLATE(B19350, ""zh"", ""en"")"),"Basic critical than satisfied with the shoes in the store to try on a little bit, a lot of price difference.")</f>
        <v>Basic critical than satisfied with the shoes in the store to try on a little bit, a lot of price difference.</v>
      </c>
    </row>
    <row r="19351">
      <c r="A19351" s="1">
        <v>5.0</v>
      </c>
      <c r="B19351" s="1" t="s">
        <v>19097</v>
      </c>
      <c r="C19351" t="str">
        <f>IFERROR(__xludf.DUMMYFUNCTION("GOOGLETRANSLATE(B19351, ""zh"", ""en"")"),"To others to buy someone else to buy, mainly cheap")</f>
        <v>To others to buy someone else to buy, mainly cheap</v>
      </c>
    </row>
    <row r="19352">
      <c r="A19352" s="1">
        <v>5.0</v>
      </c>
      <c r="B19352" s="1" t="s">
        <v>19098</v>
      </c>
      <c r="C19352" t="str">
        <f>IFERROR(__xludf.DUMMYFUNCTION("GOOGLETRANSLATE(B19352, ""zh"", ""en"")"),"Cost-effective to buy looked a long time and finally get back on the tried a cup of really good deal as well as prime Member capsule 16 feet in Europe but presented interface")</f>
        <v>Cost-effective to buy looked a long time and finally get back on the tried a cup of really good deal as well as prime Member capsule 16 feet in Europe but presented interface</v>
      </c>
    </row>
    <row r="19353">
      <c r="A19353" s="1">
        <v>5.0</v>
      </c>
      <c r="B19353" s="1" t="s">
        <v>19099</v>
      </c>
      <c r="C19353" t="str">
        <f>IFERROR(__xludf.DUMMYFUNCTION("GOOGLETRANSLATE(B19353, ""zh"", ""en"")"),"Things okay size is very positive size and the domestic one hair like so wear what code to buy what code on the line I bought a big one yard to send someone wearing material, although worse than the domestic counter, compared to second-tier brands still s"&amp;"trong, work can be bought black, somewhat similar to a stretch trousers")</f>
        <v>Things okay size is very positive size and the domestic one hair like so wear what code to buy what code on the line I bought a big one yard to send someone wearing material, although worse than the domestic counter, compared to second-tier brands still strong, work can be bought black, somewhat similar to a stretch trousers</v>
      </c>
    </row>
    <row r="19354">
      <c r="A19354" s="1">
        <v>5.0</v>
      </c>
      <c r="B19354" s="1" t="s">
        <v>19100</v>
      </c>
      <c r="C19354" t="str">
        <f>IFERROR(__xludf.DUMMYFUNCTION("GOOGLETRANSLATE(B19354, ""zh"", ""en"")"),"Spring and Autumn warm and good, warm and good, size is not too large may also")</f>
        <v>Spring and Autumn warm and good, warm and good, size is not too large may also</v>
      </c>
    </row>
    <row r="19355">
      <c r="A19355" s="1">
        <v>5.0</v>
      </c>
      <c r="B19355" s="1" t="s">
        <v>19101</v>
      </c>
      <c r="C19355" t="str">
        <f>IFERROR(__xludf.DUMMYFUNCTION("GOOGLETRANSLATE(B19355, ""zh"", ""en"")"),"Temperature sensing very practical, to prevent the temperature of hot mouth feel very useful to prevent hot mouth")</f>
        <v>Temperature sensing very practical, to prevent the temperature of hot mouth feel very useful to prevent hot mouth</v>
      </c>
    </row>
    <row r="19356">
      <c r="A19356" s="1">
        <v>5.0</v>
      </c>
      <c r="B19356" s="1" t="s">
        <v>19102</v>
      </c>
      <c r="C19356" t="str">
        <f>IFERROR(__xludf.DUMMYFUNCTION("GOOGLETRANSLATE(B19356, ""zh"", ""en"")"),"Comfortable, quality. Comfortable, quality, value for money.")</f>
        <v>Comfortable, quality. Comfortable, quality, value for money.</v>
      </c>
    </row>
    <row r="19357">
      <c r="A19357" s="1">
        <v>5.0</v>
      </c>
      <c r="B19357" s="1" t="s">
        <v>19103</v>
      </c>
      <c r="C19357" t="str">
        <f>IFERROR(__xludf.DUMMYFUNCTION("GOOGLETRANSLATE(B19357, ""zh"", ""en"")"),"The only time overseas purchase, this product is only satisfactory bought two pairs of shoes, a belt, the belt is only satisfactory. . . Good quality, and soft, size is just right.")</f>
        <v>The only time overseas purchase, this product is only satisfactory bought two pairs of shoes, a belt, the belt is only satisfactory. . . Good quality, and soft, size is just right.</v>
      </c>
    </row>
    <row r="19358">
      <c r="A19358" s="1">
        <v>5.0</v>
      </c>
      <c r="B19358" s="1" t="s">
        <v>19104</v>
      </c>
      <c r="C19358" t="str">
        <f>IFERROR(__xludf.DUMMYFUNCTION("GOOGLETRANSLATE(B19358, ""zh"", ""en"")"),"This is a good stand stand too fond")</f>
        <v>This is a good stand stand too fond</v>
      </c>
    </row>
    <row r="19359">
      <c r="A19359" s="1">
        <v>5.0</v>
      </c>
      <c r="B19359" s="1" t="s">
        <v>19105</v>
      </c>
      <c r="C19359" t="str">
        <f>IFERROR(__xludf.DUMMYFUNCTION("GOOGLETRANSLATE(B19359, ""zh"", ""en"")"),"Life can be very good small pen, suitable for portable, great. It can seem a lifetime.")</f>
        <v>Life can be very good small pen, suitable for portable, great. It can seem a lifetime.</v>
      </c>
    </row>
    <row r="19360">
      <c r="A19360" s="1">
        <v>5.0</v>
      </c>
      <c r="B19360" s="1" t="s">
        <v>19106</v>
      </c>
      <c r="C19360" t="str">
        <f>IFERROR(__xludf.DUMMYFUNCTION("GOOGLETRANSLATE(B19360, ""zh"", ""en"")"),"Logistics fast, shoes can also leather, shoes light, is the sole hard, need to add a comfortable insole. Foot wide, then, from the point of view will be some ugly.")</f>
        <v>Logistics fast, shoes can also leather, shoes light, is the sole hard, need to add a comfortable insole. Foot wide, then, from the point of view will be some ugly.</v>
      </c>
    </row>
    <row r="19361">
      <c r="A19361" s="1">
        <v>5.0</v>
      </c>
      <c r="B19361" s="1" t="s">
        <v>19107</v>
      </c>
      <c r="C19361" t="str">
        <f>IFERROR(__xludf.DUMMYFUNCTION("GOOGLETRANSLATE(B19361, ""zh"", ""en"")"),"Very comfortable to wear pajamas when bought, very comfortable, washing feeling shrunk points.")</f>
        <v>Very comfortable to wear pajamas when bought, very comfortable, washing feeling shrunk points.</v>
      </c>
    </row>
    <row r="19362">
      <c r="A19362" s="1">
        <v>5.0</v>
      </c>
      <c r="B19362" s="1" t="s">
        <v>19108</v>
      </c>
      <c r="C19362" t="str">
        <f>IFERROR(__xludf.DUMMYFUNCTION("GOOGLETRANSLATE(B19362, ""zh"", ""en"")"),"Oh Well Leverage drop! 👍 under order number 13, number 25 - two colors to get knocked beautiful, golden retention, burgundy send a friend ~ sent all the way from Japan, packaging is also in good condition, especially rods, Amazon's service experience eve"&amp;"ry time Awesome. Last night tried downloading the boiling water, just to get up early to drink today, dormitories limited power, and they will be their own eggs simmered stew porridge ~ happy!")</f>
        <v>Oh Well Leverage drop! 👍 under order number 13, number 25 - two colors to get knocked beautiful, golden retention, burgundy send a friend ~ sent all the way from Japan, packaging is also in good condition, especially rods, Amazon's service experience every time Awesome. Last night tried downloading the boiling water, just to get up early to drink today, dormitories limited power, and they will be their own eggs simmered stew porridge ~ happy!</v>
      </c>
    </row>
    <row r="19363">
      <c r="A19363" s="1">
        <v>5.0</v>
      </c>
      <c r="B19363" s="1" t="s">
        <v>19109</v>
      </c>
      <c r="C19363" t="str">
        <f>IFERROR(__xludf.DUMMYFUNCTION("GOOGLETRANSLATE(B19363, ""zh"", ""en"")"),"Fit, as expected commodity as expected, fit!")</f>
        <v>Fit, as expected commodity as expected, fit!</v>
      </c>
    </row>
    <row r="19364">
      <c r="A19364" s="1">
        <v>5.0</v>
      </c>
      <c r="B19364" s="1" t="s">
        <v>19110</v>
      </c>
      <c r="C19364" t="str">
        <f>IFERROR(__xludf.DUMMYFUNCTION("GOOGLETRANSLATE(B19364, ""zh"", ""en"")"),"Good quality socks, dark elasticity always great, but the color is much more than skin deep, but fortunately so thick socks to wear in cold weather, good or darker, or others looked cold")</f>
        <v>Good quality socks, dark elasticity always great, but the color is much more than skin deep, but fortunately so thick socks to wear in cold weather, good or darker, or others looked cold</v>
      </c>
    </row>
    <row r="19365">
      <c r="A19365" s="1">
        <v>5.0</v>
      </c>
      <c r="B19365" s="1" t="s">
        <v>19111</v>
      </c>
      <c r="C19365" t="str">
        <f>IFERROR(__xludf.DUMMYFUNCTION("GOOGLETRANSLATE(B19365, ""zh"", ""en"")"),"highly recommended! ! ! The right size, good quality, ultra-fast delivery, very satisfied!")</f>
        <v>highly recommended! ! ! The right size, good quality, ultra-fast delivery, very satisfied!</v>
      </c>
    </row>
    <row r="19366">
      <c r="A19366" s="1">
        <v>5.0</v>
      </c>
      <c r="B19366" s="1" t="s">
        <v>19112</v>
      </c>
      <c r="C19366" t="str">
        <f>IFERROR(__xludf.DUMMYFUNCTION("GOOGLETRANSLATE(B19366, ""zh"", ""en"")"),"Soon the price of beauty, to the week, on the feet very appropriate, also very nice. Pleasant shopping Oh")</f>
        <v>Soon the price of beauty, to the week, on the feet very appropriate, also very nice. Pleasant shopping Oh</v>
      </c>
    </row>
    <row r="19367">
      <c r="A19367" s="1">
        <v>5.0</v>
      </c>
      <c r="B19367" s="1" t="s">
        <v>19113</v>
      </c>
      <c r="C19367" t="str">
        <f>IFERROR(__xludf.DUMMYFUNCTION("GOOGLETRANSLATE(B19367, ""zh"", ""en"")"),"Size Size quasi quite the same shoes feel particularly good quality Japanese market")</f>
        <v>Size Size quasi quite the same shoes feel particularly good quality Japanese market</v>
      </c>
    </row>
    <row r="19368">
      <c r="A19368" s="1">
        <v>5.0</v>
      </c>
      <c r="B19368" s="1" t="s">
        <v>19114</v>
      </c>
      <c r="C19368" t="str">
        <f>IFERROR(__xludf.DUMMYFUNCTION("GOOGLETRANSLATE(B19368, ""zh"", ""en"")"),"Vanilla okay this vanilla protein powder was okay, wish I could send a measuring cup. Chinese product description posted no label, may be due to foreign direct shipments due to non-Chinese businesses reselling.")</f>
        <v>Vanilla okay this vanilla protein powder was okay, wish I could send a measuring cup. Chinese product description posted no label, may be due to foreign direct shipments due to non-Chinese businesses reselling.</v>
      </c>
    </row>
    <row r="19369">
      <c r="A19369" s="1">
        <v>5.0</v>
      </c>
      <c r="B19369" s="1" t="s">
        <v>19115</v>
      </c>
      <c r="C19369" t="str">
        <f>IFERROR(__xludf.DUMMYFUNCTION("GOOGLETRANSLATE(B19369, ""zh"", ""en"")"),"5,610,493 into the ha ha ha, finally line and the 5600 series")</f>
        <v>5,610,493 into the ha ha ha, finally line and the 5600 series</v>
      </c>
    </row>
    <row r="19370">
      <c r="A19370" s="1">
        <v>5.0</v>
      </c>
      <c r="B19370" s="1" t="s">
        <v>19116</v>
      </c>
      <c r="C19370" t="str">
        <f>IFERROR(__xludf.DUMMYFUNCTION("GOOGLETRANSLATE(B19370, ""zh"", ""en"")"),"Impeccable sigh about how there are so comfortable to wear good underwear")</f>
        <v>Impeccable sigh about how there are so comfortable to wear good underwear</v>
      </c>
    </row>
    <row r="19371">
      <c r="A19371" s="1">
        <v>5.0</v>
      </c>
      <c r="B19371" s="1" t="s">
        <v>19117</v>
      </c>
      <c r="C19371" t="str">
        <f>IFERROR(__xludf.DUMMYFUNCTION("GOOGLETRANSLATE(B19371, ""zh"", ""en"")"),"I can say that the person in charge, not evil tone phone Direct Push recently bought this monitor, push straight with 7 Ultimate glory can still hear. But really no comparison there would be no harm if holding just one point of view it can be so, if the p"&amp;"ursuit of high-quality still have the amp. It can be said that price until early push than I bought a lot of good Sennheiser px200 a generation.")</f>
        <v>I can say that the person in charge, not evil tone phone Direct Push recently bought this monitor, push straight with 7 Ultimate glory can still hear. But really no comparison there would be no harm if holding just one point of view it can be so, if the pursuit of high-quality still have the amp. It can be said that price until early push than I bought a lot of good Sennheiser px200 a generation.</v>
      </c>
    </row>
    <row r="19372">
      <c r="A19372" s="1">
        <v>5.0</v>
      </c>
      <c r="B19372" s="1" t="s">
        <v>19118</v>
      </c>
      <c r="C19372" t="str">
        <f>IFERROR(__xludf.DUMMYFUNCTION("GOOGLETRANSLATE(B19372, ""zh"", ""en"")"),"Too large one yard too large one yards, 39 yards of the foot, bought 6UK, long, should buy 575 more appropriate")</f>
        <v>Too large one yard too large one yards, 39 yards of the foot, bought 6UK, long, should buy 575 more appropriate</v>
      </c>
    </row>
    <row r="19373">
      <c r="A19373" s="1">
        <v>2.0</v>
      </c>
      <c r="B19373" s="1" t="s">
        <v>19119</v>
      </c>
      <c r="C19373" t="str">
        <f>IFERROR(__xludf.DUMMYFUNCTION("GOOGLETRANSLATE(B19373, ""zh"", ""en"")"),"Origin, delivery to actually MADE IN CHINA. I sea Amoy doing, put so much effort, this is not deceptive thing.")</f>
        <v>Origin, delivery to actually MADE IN CHINA. I sea Amoy doing, put so much effort, this is not deceptive thing.</v>
      </c>
    </row>
    <row r="19374">
      <c r="A19374" s="1">
        <v>3.0</v>
      </c>
      <c r="B19374" s="1" t="s">
        <v>19120</v>
      </c>
      <c r="C19374" t="str">
        <f>IFERROR(__xludf.DUMMYFUNCTION("GOOGLETRANSLATE(B19374, ""zh"", ""en"")"),"The other is good, is fade, fade! Khaki pants to the dyed ............ outside cowboy shirt also stained with a black line, silent, and foreign goods to ourselves like it?")</f>
        <v>The other is good, is fade, fade! Khaki pants to the dyed ............ outside cowboy shirt also stained with a black line, silent, and foreign goods to ourselves like it?</v>
      </c>
    </row>
    <row r="19375">
      <c r="A19375" s="1">
        <v>3.0</v>
      </c>
      <c r="B19375" s="1" t="s">
        <v>19121</v>
      </c>
      <c r="C19375" t="str">
        <f>IFERROR(__xludf.DUMMYFUNCTION("GOOGLETRANSLATE(B19375, ""zh"", ""en"")"),"Noisy noise, vibration is relatively large, I do not know this is not normal.")</f>
        <v>Noisy noise, vibration is relatively large, I do not know this is not normal.</v>
      </c>
    </row>
    <row r="19376">
      <c r="A19376" s="1">
        <v>1.0</v>
      </c>
      <c r="B19376" s="1" t="s">
        <v>19122</v>
      </c>
      <c r="C19376" t="str">
        <f>IFERROR(__xludf.DUMMYFUNCTION("GOOGLETRANSLATE(B19376, ""zh"", ""en"")"),"Serious fade serious fade, poor quality!")</f>
        <v>Serious fade serious fade, poor quality!</v>
      </c>
    </row>
    <row r="19377">
      <c r="A19377" s="1">
        <v>1.0</v>
      </c>
      <c r="B19377" s="1" t="s">
        <v>19123</v>
      </c>
      <c r="C19377" t="str">
        <f>IFERROR(__xludf.DUMMYFUNCTION("GOOGLETRANSLATE(B19377, ""zh"", ""en"")"),"Quality worrying wear for three months, there are open lines, tear")</f>
        <v>Quality worrying wear for three months, there are open lines, tear</v>
      </c>
    </row>
    <row r="19378">
      <c r="A19378" s="1">
        <v>1.0</v>
      </c>
      <c r="B19378" s="1" t="s">
        <v>19124</v>
      </c>
      <c r="C19378" t="str">
        <f>IFERROR(__xludf.DUMMYFUNCTION("GOOGLETRANSLATE(B19378, ""zh"", ""en"")"),"Allegedly altered date, print date place was covered with a white film, careful purchase! And refused to return, reject the claim. I had purchased in the US astaxanthin same paragraph, the date printed on the bottom right of the space specification, lot n"&amp;"umber: 1400301415, OCT 2017, the purchase of this section astaxanthin, place the bottom right corner of the original manual printing date, there are obvious white rectangle covering film, batch number printed on the bottom of the bottle date again: 140030"&amp;"1564 NOV2019, and I buy in the US astaxanthin, places in the specification of the lower right corner to print the date, there is no white rectangle covering film, the product is suspected of altering the date, and stores Amazon customer service refused to"&amp;" return, reject the claim, careful purchase!")</f>
        <v>Allegedly altered date, print date place was covered with a white film, careful purchase! And refused to return, reject the claim. I had purchased in the US astaxanthin same paragraph, the date printed on the bottom right of the space specification, lot number: 1400301415, OCT 2017, the purchase of this section astaxanthin, place the bottom right corner of the original manual printing date, there are obvious white rectangle covering film, batch number printed on the bottom of the bottle date again: 1400301564 NOV2019, and I buy in the US astaxanthin, places in the specification of the lower right corner to print the date, there is no white rectangle covering film, the product is suspected of altering the date, and stores Amazon customer service refused to return, reject the claim, careful purchase!</v>
      </c>
    </row>
    <row r="19379">
      <c r="A19379" s="1">
        <v>4.0</v>
      </c>
      <c r="B19379" s="1" t="s">
        <v>19125</v>
      </c>
      <c r="C19379" t="str">
        <f>IFERROR(__xludf.DUMMYFUNCTION("GOOGLETRANSLATE(B19379, ""zh"", ""en"")"),"Feel good, M tip is not very thick. At the same time buy than the LX gray paint pen control is better. Akagane color personality. The clip is not copper-colored.")</f>
        <v>Feel good, M tip is not very thick. At the same time buy than the LX gray paint pen control is better. Akagane color personality. The clip is not copper-colored.</v>
      </c>
    </row>
    <row r="19380">
      <c r="A19380" s="1">
        <v>4.0</v>
      </c>
      <c r="B19380" s="1" t="s">
        <v>19126</v>
      </c>
      <c r="C19380" t="str">
        <f>IFERROR(__xludf.DUMMYFUNCTION("GOOGLETRANSLATE(B19380, ""zh"", ""en"")"),"Hard leather is leather hard nice color hard back Le")</f>
        <v>Hard leather is leather hard nice color hard back Le</v>
      </c>
    </row>
    <row r="19381">
      <c r="A19381" s="1">
        <v>4.0</v>
      </c>
      <c r="B19381" s="1" t="s">
        <v>19127</v>
      </c>
      <c r="C19381" t="str">
        <f>IFERROR(__xludf.DUMMYFUNCTION("GOOGLETRANSLATE(B19381, ""zh"", ""en"")"),"Cost-effective, quality is a point not mention the issue in front of ten million here, a mention on the broken broken off, and only the Xiu like this. The cheapest pair of love walked out of the question")</f>
        <v>Cost-effective, quality is a point not mention the issue in front of ten million here, a mention on the broken broken off, and only the Xiu like this. The cheapest pair of love walked out of the question</v>
      </c>
    </row>
    <row r="19382">
      <c r="A19382" s="1">
        <v>4.0</v>
      </c>
      <c r="B19382" s="1" t="s">
        <v>19128</v>
      </c>
      <c r="C19382" t="str">
        <f>IFERROR(__xludf.DUMMYFUNCTION("GOOGLETRANSLATE(B19382, ""zh"", ""en"")"),"A little fat such as the length of the work is worth the price, a little, silm thin models wear is still a little fat. Not personal money.")</f>
        <v>A little fat such as the length of the work is worth the price, a little, silm thin models wear is still a little fat. Not personal money.</v>
      </c>
    </row>
    <row r="19383">
      <c r="A19383" s="1">
        <v>5.0</v>
      </c>
      <c r="B19383" s="1" t="s">
        <v>19129</v>
      </c>
      <c r="C19383" t="str">
        <f>IFERROR(__xludf.DUMMYFUNCTION("GOOGLETRANSLATE(B19383, ""zh"", ""en"")"),"Shirt good and worth buying, good,")</f>
        <v>Shirt good and worth buying, good,</v>
      </c>
    </row>
    <row r="19384">
      <c r="A19384" s="1">
        <v>5.0</v>
      </c>
      <c r="B19384" s="1" t="s">
        <v>19130</v>
      </c>
      <c r="C19384" t="str">
        <f>IFERROR(__xludf.DUMMYFUNCTION("GOOGLETRANSLATE(B19384, ""zh"", ""en"")"),"3A years can buy these games go into the speed figure, better than I hoped. With the difference between chicken 960pro next door and the only copy of the boot time reflected. Although Flash grain prices soared, however, is little more than 40 percent off "&amp;"the national mainstream, coupled with life now TLC particle is also very stable, so you can really be considered a completely replace the HDD games, specialty stores (save art films except for warehouse disk), which is in contrast to enhance the daily per"&amp;"formance of the obvious, is used to go back the difference.")</f>
        <v>3A years can buy these games go into the speed figure, better than I hoped. With the difference between chicken 960pro next door and the only copy of the boot time reflected. Although Flash grain prices soared, however, is little more than 40 percent off the national mainstream, coupled with life now TLC particle is also very stable, so you can really be considered a completely replace the HDD games, specialty stores (save art films except for warehouse disk), which is in contrast to enhance the daily performance of the obvious, is used to go back the difference.</v>
      </c>
    </row>
    <row r="19385">
      <c r="A19385" s="1">
        <v>5.0</v>
      </c>
      <c r="B19385" s="1" t="s">
        <v>19131</v>
      </c>
      <c r="C19385" t="str">
        <f>IFERROR(__xludf.DUMMYFUNCTION("GOOGLETRANSLATE(B19385, ""zh"", ""en"")"),"Very well served to take a total of seven days, the Central American origin, I 1 m 8 through 29 are suitable length, trousers do not roll. Also wear comfortable, not stuffy hot days wear, dumped Korean version of the ten blocks. The most important is affo"&amp;"rdable ah!")</f>
        <v>Very well served to take a total of seven days, the Central American origin, I 1 m 8 through 29 are suitable length, trousers do not roll. Also wear comfortable, not stuffy hot days wear, dumped Korean version of the ten blocks. The most important is affordable ah!</v>
      </c>
    </row>
    <row r="19386">
      <c r="A19386" s="1">
        <v>5.0</v>
      </c>
      <c r="B19386" s="1" t="s">
        <v>19132</v>
      </c>
      <c r="C19386" t="str">
        <f>IFERROR(__xludf.DUMMYFUNCTION("GOOGLETRANSLATE(B19386, ""zh"", ""en"")"),"Very good 175 150 78 waist just wear 29/30, the version Invincible very significant leg length fit, low waist very slim but not tight uncomfortable. This should be considered gstar overalls basic models, but little enough style Amazon")</f>
        <v>Very good 175 150 78 waist just wear 29/30, the version Invincible very significant leg length fit, low waist very slim but not tight uncomfortable. This should be considered gstar overalls basic models, but little enough style Amazon</v>
      </c>
    </row>
    <row r="19387">
      <c r="A19387" s="1">
        <v>5.0</v>
      </c>
      <c r="B19387" s="1" t="s">
        <v>19133</v>
      </c>
      <c r="C19387" t="str">
        <f>IFERROR(__xludf.DUMMYFUNCTION("GOOGLETRANSLATE(B19387, ""zh"", ""en"")"),"The price is very good value for money, and very like the style")</f>
        <v>The price is very good value for money, and very like the style</v>
      </c>
    </row>
    <row r="19388">
      <c r="A19388" s="1">
        <v>5.0</v>
      </c>
      <c r="B19388" s="1" t="s">
        <v>19134</v>
      </c>
      <c r="C19388" t="str">
        <f>IFERROR(__xludf.DUMMYFUNCTION("GOOGLETRANSLATE(B19388, ""zh"", ""en"")"),"Hat hat design is quite nice, nice color, is a good hat, I give praise! it is good!")</f>
        <v>Hat hat design is quite nice, nice color, is a good hat, I give praise! it is good!</v>
      </c>
    </row>
    <row r="19389">
      <c r="A19389" s="1">
        <v>5.0</v>
      </c>
      <c r="B19389" s="1" t="s">
        <v>19135</v>
      </c>
      <c r="C19389" t="str">
        <f>IFERROR(__xludf.DUMMYFUNCTION("GOOGLETRANSLATE(B19389, ""zh"", ""en"")"),"Code number code number is too small compared to nike, adidas like the small lot. 164,65kg, L code just just right, a little surplus at all. It seems the future still have to buy the US version.")</f>
        <v>Code number code number is too small compared to nike, adidas like the small lot. 164,65kg, L code just just right, a little surplus at all. It seems the future still have to buy the US version.</v>
      </c>
    </row>
    <row r="19390">
      <c r="A19390" s="1">
        <v>5.0</v>
      </c>
      <c r="B19390" s="1" t="s">
        <v>19136</v>
      </c>
      <c r="C19390" t="str">
        <f>IFERROR(__xludf.DUMMYFUNCTION("GOOGLETRANSLATE(B19390, ""zh"", ""en"")"),"Satisfaction is very good, comfortable fabrics, feel the quality is better than the domestic, that is, slow delivery point can be understood. Than domestic small one yard to buy")</f>
        <v>Satisfaction is very good, comfortable fabrics, feel the quality is better than the domestic, that is, slow delivery point can be understood. Than domestic small one yard to buy</v>
      </c>
    </row>
    <row r="19391">
      <c r="A19391" s="1">
        <v>5.0</v>
      </c>
      <c r="B19391" s="1" t="s">
        <v>19137</v>
      </c>
      <c r="C19391" t="str">
        <f>IFERROR(__xludf.DUMMYFUNCTION("GOOGLETRANSLATE(B19391, ""zh"", ""en"")"),"Sale took more than six months, leather strap now some problems, I feel it will not be long off!")</f>
        <v>Sale took more than six months, leather strap now some problems, I feel it will not be long off!</v>
      </c>
    </row>
    <row r="19392">
      <c r="A19392" s="1">
        <v>5.0</v>
      </c>
      <c r="B19392" s="1" t="s">
        <v>19138</v>
      </c>
      <c r="C19392" t="str">
        <f>IFERROR(__xludf.DUMMYFUNCTION("GOOGLETRANSLATE(B19392, ""zh"", ""en"")"),"Good for spring and autumn wear wife does not like this style, there is no want to start")</f>
        <v>Good for spring and autumn wear wife does not like this style, there is no want to start</v>
      </c>
    </row>
    <row r="19393">
      <c r="A19393" s="1">
        <v>5.0</v>
      </c>
      <c r="B19393" s="1" t="s">
        <v>19139</v>
      </c>
      <c r="C19393" t="str">
        <f>IFERROR(__xludf.DUMMYFUNCTION("GOOGLETRANSLATE(B19393, ""zh"", ""en"")"),"White said that bad? It was white deaf! Although outside the network say that is not good, but I have chosen to say good! clear! Comfortable! Ah well clear, really clear resolve, there is no external network said paste into a lump of feeling, friends ~ ~ "&amp;"~ 349 to buy a great deal better than k52, k52 I bought a broken Lak")</f>
        <v>White said that bad? It was white deaf! Although outside the network say that is not good, but I have chosen to say good! clear! Comfortable! Ah well clear, really clear resolve, there is no external network said paste into a lump of feeling, friends ~ ~ ~ 349 to buy a great deal better than k52, k52 I bought a broken Lak</v>
      </c>
    </row>
    <row r="19394">
      <c r="A19394" s="1">
        <v>5.0</v>
      </c>
      <c r="B19394" s="1" t="s">
        <v>19140</v>
      </c>
      <c r="C19394" t="str">
        <f>IFERROR(__xludf.DUMMYFUNCTION("GOOGLETRANSLATE(B19394, ""zh"", ""en"")"),"Suitable waist Tuicu 170,63 people, waist two feet three inches five selected w29L30, Jive color results shorter than other colors, improvise to wear. Waist jeans just fine Tuicu this election.")</f>
        <v>Suitable waist Tuicu 170,63 people, waist two feet three inches five selected w29L30, Jive color results shorter than other colors, improvise to wear. Waist jeans just fine Tuicu this election.</v>
      </c>
    </row>
    <row r="19395">
      <c r="A19395" s="1">
        <v>5.0</v>
      </c>
      <c r="B19395" s="1" t="s">
        <v>19141</v>
      </c>
      <c r="C19395" t="str">
        <f>IFERROR(__xludf.DUMMYFUNCTION("GOOGLETRANSLATE(B19395, ""zh"", ""en"")"),"Tried it easy to use good use")</f>
        <v>Tried it easy to use good use</v>
      </c>
    </row>
    <row r="19396">
      <c r="A19396" s="1">
        <v>5.0</v>
      </c>
      <c r="B19396" s="1" t="s">
        <v>19142</v>
      </c>
      <c r="C19396" t="str">
        <f>IFERROR(__xludf.DUMMYFUNCTION("GOOGLETRANSLATE(B19396, ""zh"", ""en"")"),"Brand pants worth having cost-effective, continuous bought three pants this brand, recently bought a shirt, pants wrinkle resistance")</f>
        <v>Brand pants worth having cost-effective, continuous bought three pants this brand, recently bought a shirt, pants wrinkle resistance</v>
      </c>
    </row>
    <row r="19397">
      <c r="A19397" s="1">
        <v>5.0</v>
      </c>
      <c r="B19397" s="1" t="s">
        <v>19143</v>
      </c>
      <c r="C19397" t="str">
        <f>IFERROR(__xludf.DUMMYFUNCTION("GOOGLETRANSLATE(B19397, ""zh"", ""en"")"),"Good shoes, prime members to buy soon, orders ten days hand, Amazon prime membership is more cost-effective value compared to the domestic logistics. Good quality shoe itself, stick work, the texture is enough. This is a routine width versions may not be "&amp;"suitable feet wide, but for me it is just right: the arch part a little bit tight but very insecure, front foot space is great, the rear support is in place as very suitable for everyday wear. Long-term experience needs to be updated.")</f>
        <v>Good shoes, prime members to buy soon, orders ten days hand, Amazon prime membership is more cost-effective value compared to the domestic logistics. Good quality shoe itself, stick work, the texture is enough. This is a routine width versions may not be suitable feet wide, but for me it is just right: the arch part a little bit tight but very insecure, front foot space is great, the rear support is in place as very suitable for everyday wear. Long-term experience needs to be updated.</v>
      </c>
    </row>
    <row r="19398">
      <c r="A19398" s="1">
        <v>5.0</v>
      </c>
      <c r="B19398" s="1" t="s">
        <v>19144</v>
      </c>
      <c r="C19398" t="str">
        <f>IFERROR(__xludf.DUMMYFUNCTION("GOOGLETRANSLATE(B19398, ""zh"", ""en"")"),"Old and grow stronger taste headphone monitor headset, much MSG")</f>
        <v>Old and grow stronger taste headphone monitor headset, much MSG</v>
      </c>
    </row>
    <row r="19399">
      <c r="A19399" s="1">
        <v>5.0</v>
      </c>
      <c r="B19399" s="1" t="s">
        <v>19145</v>
      </c>
      <c r="C19399" t="str">
        <f>IFERROR(__xludf.DUMMYFUNCTION("GOOGLETRANSLATE(B19399, ""zh"", ""en"")"),"34L good to buy a little long, short errands also bought ... long boots to wear myself with good quality ...")</f>
        <v>34L good to buy a little long, short errands also bought ... long boots to wear myself with good quality ...</v>
      </c>
    </row>
    <row r="19400">
      <c r="A19400" s="1">
        <v>5.0</v>
      </c>
      <c r="B19400" s="1" t="s">
        <v>19146</v>
      </c>
      <c r="C19400" t="str">
        <f>IFERROR(__xludf.DUMMYFUNCTION("GOOGLETRANSLATE(B19400, ""zh"", ""en"")"),"ecco shoes very like this, regardless of color, style, wearing comfort is very good! I will continue to pay attention!")</f>
        <v>ecco shoes very like this, regardless of color, style, wearing comfort is very good! I will continue to pay attention!</v>
      </c>
    </row>
    <row r="19401">
      <c r="A19401" s="1">
        <v>5.0</v>
      </c>
      <c r="B19401" s="1" t="s">
        <v>19147</v>
      </c>
      <c r="C19401" t="str">
        <f>IFERROR(__xludf.DUMMYFUNCTION("GOOGLETRANSLATE(B19401, ""zh"", ""en"")"),"Express gratifying, shoes express satisfaction with faster than expected half a month, and sent before New Year's Eve, it is really a big surprise. Very comfortable shoes, do not wear foot feeling, I did not feel pressure instep. Foot length 262mm, slight"&amp;"ly wider, usually 42 Nike, Puma 41, this election 8.5 very appropriate for reference.")</f>
        <v>Express gratifying, shoes express satisfaction with faster than expected half a month, and sent before New Year's Eve, it is really a big surprise. Very comfortable shoes, do not wear foot feeling, I did not feel pressure instep. Foot length 262mm, slightly wider, usually 42 Nike, Puma 41, this election 8.5 very appropriate for reference.</v>
      </c>
    </row>
    <row r="19402">
      <c r="A19402" s="1">
        <v>5.0</v>
      </c>
      <c r="B19402" s="1" t="s">
        <v>19148</v>
      </c>
      <c r="C19402" t="str">
        <f>IFERROR(__xludf.DUMMYFUNCTION("GOOGLETRANSLATE(B19402, ""zh"", ""en"")"),"recommend. Very comfortable, if the number in between two numbers, choose a small number of recommendation.")</f>
        <v>recommend. Very comfortable, if the number in between two numbers, choose a small number of recommendation.</v>
      </c>
    </row>
    <row r="19403">
      <c r="A19403" s="1">
        <v>5.0</v>
      </c>
      <c r="B19403" s="1" t="s">
        <v>19149</v>
      </c>
      <c r="C19403" t="str">
        <f>IFERROR(__xludf.DUMMYFUNCTION("GOOGLETRANSLATE(B19403, ""zh"", ""en"")"),"Spoon on top do not find the same taste once panned Mayer")</f>
        <v>Spoon on top do not find the same taste once panned Mayer</v>
      </c>
    </row>
    <row r="19404">
      <c r="A19404" s="1">
        <v>5.0</v>
      </c>
      <c r="B19404" s="1" t="s">
        <v>19150</v>
      </c>
      <c r="C19404" t="str">
        <f>IFERROR(__xludf.DUMMYFUNCTION("GOOGLETRANSLATE(B19404, ""zh"", ""en"")"),"Good quality and practical, easy to use.")</f>
        <v>Good quality and practical, easy to use.</v>
      </c>
    </row>
    <row r="19405">
      <c r="A19405" s="1">
        <v>2.0</v>
      </c>
      <c r="B19405" s="1" t="s">
        <v>19151</v>
      </c>
      <c r="C19405" t="str">
        <f>IFERROR(__xludf.DUMMYFUNCTION("GOOGLETRANSLATE(B19405, ""zh"", ""en"")"),"Wrong color sent the wrong color of it, how so deep")</f>
        <v>Wrong color sent the wrong color of it, how so deep</v>
      </c>
    </row>
    <row r="19406">
      <c r="A19406" s="1">
        <v>3.0</v>
      </c>
      <c r="B19406" s="1" t="s">
        <v>19152</v>
      </c>
      <c r="C19406" t="str">
        <f>IFERROR(__xludf.DUMMYFUNCTION("GOOGLETRANSLATE(B19406, ""zh"", ""en"")"),"Did not imagine the good receipt of goods demolished at the scene; this fancy bananas that section, but the product description indicates that for 0-12 months baby, my baby 17 months, so buy this, but when the baby It found that because of the shark dorsa"&amp;"l fin, can out into the baby's mouth parts much, I bought the baby is now with long teeth, but also a little out of reach of gum inside, a little disappointed.")</f>
        <v>Did not imagine the good receipt of goods demolished at the scene; this fancy bananas that section, but the product description indicates that for 0-12 months baby, my baby 17 months, so buy this, but when the baby It found that because of the shark dorsal fin, can out into the baby's mouth parts much, I bought the baby is now with long teeth, but also a little out of reach of gum inside, a little disappointed.</v>
      </c>
    </row>
    <row r="19407">
      <c r="A19407" s="1">
        <v>3.0</v>
      </c>
      <c r="B19407" s="1" t="s">
        <v>19153</v>
      </c>
      <c r="C19407" t="str">
        <f>IFERROR(__xludf.DUMMYFUNCTION("GOOGLETRANSLATE(B19407, ""zh"", ""en"")"),"Not recommended for hair loss fleece inside, dressed in a black, not recommended")</f>
        <v>Not recommended for hair loss fleece inside, dressed in a black, not recommended</v>
      </c>
    </row>
    <row r="19408">
      <c r="A19408" s="1">
        <v>3.0</v>
      </c>
      <c r="B19408" s="1" t="s">
        <v>19154</v>
      </c>
      <c r="C19408" t="str">
        <f>IFERROR(__xludf.DUMMYFUNCTION("GOOGLETRANSLATE(B19408, ""zh"", ""en"")"),"Matter too much code symbols, 160 xs wear or large. I do not know how the given code.")</f>
        <v>Matter too much code symbols, 160 xs wear or large. I do not know how the given code.</v>
      </c>
    </row>
    <row r="19409">
      <c r="A19409" s="1">
        <v>1.0</v>
      </c>
      <c r="B19409" s="1" t="s">
        <v>19155</v>
      </c>
      <c r="C19409" t="str">
        <f>IFERROR(__xludf.DUMMYFUNCTION("GOOGLETRANSLATE(B19409, ""zh"", ""en"")"),"Not recommended to have seen some negative reviews before buying this purchase, but did not choose anything else good to buy a pot or so. To get a look and found the problem before we describe almost all there is: plastic work materials are very rough, bo"&amp;"th sides of the high and low water mark scale, non-insulated stainless steel body (this is a personal choice but added nothing wrong), in addition to my the pot spout inside there is one large and two small abrasion, bruising! Verifiable advantage is very"&amp;" small and very quiet noise. Total votes difference, I miss Tefal kettle with while studying, we strongly recommend the introduction of Amazon Tefal, Braun also proposed to find a reliable manufacturing plant")</f>
        <v>Not recommended to have seen some negative reviews before buying this purchase, but did not choose anything else good to buy a pot or so. To get a look and found the problem before we describe almost all there is: plastic work materials are very rough, both sides of the high and low water mark scale, non-insulated stainless steel body (this is a personal choice but added nothing wrong), in addition to my the pot spout inside there is one large and two small abrasion, bruising! Verifiable advantage is very small and very quiet noise. Total votes difference, I miss Tefal kettle with while studying, we strongly recommend the introduction of Amazon Tefal, Braun also proposed to find a reliable manufacturing plant</v>
      </c>
    </row>
    <row r="19410">
      <c r="A19410" s="1">
        <v>1.0</v>
      </c>
      <c r="B19410" s="1" t="s">
        <v>19156</v>
      </c>
      <c r="C19410" t="str">
        <f>IFERROR(__xludf.DUMMYFUNCTION("GOOGLETRANSLATE(B19410, ""zh"", ""en"")"),"Not worth buying high-temperature sterilization, shallow soup bowl, buy carefully")</f>
        <v>Not worth buying high-temperature sterilization, shallow soup bowl, buy carefully</v>
      </c>
    </row>
    <row r="19411">
      <c r="A19411" s="1">
        <v>4.0</v>
      </c>
      <c r="B19411" s="1" t="s">
        <v>19157</v>
      </c>
      <c r="C19411" t="str">
        <f>IFERROR(__xludf.DUMMYFUNCTION("GOOGLETRANSLATE(B19411, ""zh"", ""en"")"),"Comfortable fabric is too big, my height 184, weight 100KG, bought a XXL too much can also accept, be loose money, but the problem is too long, too long clothing are a hip, visually appropriate to buy the L")</f>
        <v>Comfortable fabric is too big, my height 184, weight 100KG, bought a XXL too much can also accept, be loose money, but the problem is too long, too long clothing are a hip, visually appropriate to buy the L</v>
      </c>
    </row>
    <row r="19412">
      <c r="A19412" s="1">
        <v>4.0</v>
      </c>
      <c r="B19412" s="1" t="s">
        <v>19158</v>
      </c>
      <c r="C19412" t="str">
        <f>IFERROR(__xludf.DUMMYFUNCTION("GOOGLETRANSLATE(B19412, ""zh"", ""en"")"),"Buy big fabric is very comfortable, it is to buy big.")</f>
        <v>Buy big fabric is very comfortable, it is to buy big.</v>
      </c>
    </row>
    <row r="19413">
      <c r="A19413" s="1">
        <v>4.0</v>
      </c>
      <c r="B19413" s="1" t="s">
        <v>19159</v>
      </c>
      <c r="C19413" t="str">
        <f>IFERROR(__xludf.DUMMYFUNCTION("GOOGLETRANSLATE(B19413, ""zh"", ""en"")"),"Cost-effective, good texture, normal size, is narrow shoes, which can only wear thin socks.")</f>
        <v>Cost-effective, good texture, normal size, is narrow shoes, which can only wear thin socks.</v>
      </c>
    </row>
    <row r="19414">
      <c r="A19414" s="1">
        <v>4.0</v>
      </c>
      <c r="B19414" s="1" t="s">
        <v>19160</v>
      </c>
      <c r="C19414" t="str">
        <f>IFERROR(__xludf.DUMMYFUNCTION("GOOGLETRANSLATE(B19414, ""zh"", ""en"")"),"In the following pages marked commodity producing countries picture is good")</f>
        <v>In the following pages marked commodity producing countries picture is good</v>
      </c>
    </row>
    <row r="19415">
      <c r="A19415" s="1">
        <v>4.0</v>
      </c>
      <c r="B19415" s="1" t="s">
        <v>19161</v>
      </c>
      <c r="C19415" t="str">
        <f>IFERROR(__xludf.DUMMYFUNCTION("GOOGLETRANSLATE(B19415, ""zh"", ""en"")"),"Net height, S code pants and some long pants 1.72, or a little longer")</f>
        <v>Net height, S code pants and some long pants 1.72, or a little longer</v>
      </c>
    </row>
    <row r="19416">
      <c r="A19416" s="1">
        <v>5.0</v>
      </c>
      <c r="B19416" s="1" t="s">
        <v>19162</v>
      </c>
      <c r="C19416" t="str">
        <f>IFERROR(__xludf.DUMMYFUNCTION("GOOGLETRANSLATE(B19416, ""zh"", ""en"")"),"With rear-known good packaging intact, use is also good. Useful for the elderly, like mouthwash, mouthwash clean mouth better than the effect.")</f>
        <v>With rear-known good packaging intact, use is also good. Useful for the elderly, like mouthwash, mouthwash clean mouth better than the effect.</v>
      </c>
    </row>
    <row r="19417">
      <c r="A19417" s="1">
        <v>5.0</v>
      </c>
      <c r="B19417" s="1" t="s">
        <v>19163</v>
      </c>
      <c r="C19417" t="str">
        <f>IFERROR(__xludf.DUMMYFUNCTION("GOOGLETRANSLATE(B19417, ""zh"", ""en"")"),"Very good, very good suitable, but the only problem is that people may be tried on")</f>
        <v>Very good, very good suitable, but the only problem is that people may be tried on</v>
      </c>
    </row>
    <row r="19418">
      <c r="A19418" s="1">
        <v>5.0</v>
      </c>
      <c r="B19418" s="1" t="s">
        <v>19164</v>
      </c>
      <c r="C19418" t="str">
        <f>IFERROR(__xludf.DUMMYFUNCTION("GOOGLETRANSLATE(B19418, ""zh"", ""en"")"),"Good good, height 163, weight 106, just right, not very thick, just right.")</f>
        <v>Good good, height 163, weight 106, just right, not very thick, just right.</v>
      </c>
    </row>
    <row r="19419">
      <c r="A19419" s="1">
        <v>5.0</v>
      </c>
      <c r="B19419" s="1" t="s">
        <v>19165</v>
      </c>
      <c r="C19419" t="str">
        <f>IFERROR(__xludf.DUMMYFUNCTION("GOOGLETRANSLATE(B19419, ""zh"", ""en"")"),"Well better than expected, good shopping")</f>
        <v>Well better than expected, good shopping</v>
      </c>
    </row>
    <row r="19420">
      <c r="A19420" s="1">
        <v>5.0</v>
      </c>
      <c r="B19420" s="1" t="s">
        <v>19166</v>
      </c>
      <c r="C19420" t="str">
        <f>IFERROR(__xludf.DUMMYFUNCTION("GOOGLETRANSLATE(B19420, ""zh"", ""en"")"),"Super nice and nice scissors scissors very beautiful and easy to use, the length is about 13-inch Macbook Pro width, high color value, good quality")</f>
        <v>Super nice and nice scissors scissors very beautiful and easy to use, the length is about 13-inch Macbook Pro width, high color value, good quality</v>
      </c>
    </row>
    <row r="19421">
      <c r="A19421" s="1">
        <v>5.0</v>
      </c>
      <c r="B19421" s="1" t="s">
        <v>19167</v>
      </c>
      <c r="C19421" t="str">
        <f>IFERROR(__xludf.DUMMYFUNCTION("GOOGLETRANSLATE(B19421, ""zh"", ""en"")"),"Cost-effective products like pot goodness can not find the beginning of the opening of the switching power supply that is defective, almost on the return. Slowly use, discovery and goodness similar products, recipes shining goodness goods can be, the pric"&amp;"e is one-fifth of goodness goods.")</f>
        <v>Cost-effective products like pot goodness can not find the beginning of the opening of the switching power supply that is defective, almost on the return. Slowly use, discovery and goodness similar products, recipes shining goodness goods can be, the price is one-fifth of goodness goods.</v>
      </c>
    </row>
    <row r="19422">
      <c r="A19422" s="1">
        <v>5.0</v>
      </c>
      <c r="B19422" s="1" t="s">
        <v>19168</v>
      </c>
      <c r="C19422" t="str">
        <f>IFERROR(__xludf.DUMMYFUNCTION("GOOGLETRANSLATE(B19422, ""zh"", ""en"")"),"Quality, warm mountain looked branch brother recommended shopping list to buy, finally arrived, ears and head in the cold are protected, quality is very good!")</f>
        <v>Quality, warm mountain looked branch brother recommended shopping list to buy, finally arrived, ears and head in the cold are protected, quality is very good!</v>
      </c>
    </row>
    <row r="19423">
      <c r="A19423" s="1">
        <v>5.0</v>
      </c>
      <c r="B19423" s="1" t="s">
        <v>19169</v>
      </c>
      <c r="C19423" t="str">
        <f>IFERROR(__xludf.DUMMYFUNCTION("GOOGLETRANSLATE(B19423, ""zh"", ""en"")"),"Like love, it will put a little meat broke.")</f>
        <v>Like love, it will put a little meat broke.</v>
      </c>
    </row>
    <row r="19424">
      <c r="A19424" s="1">
        <v>5.0</v>
      </c>
      <c r="B19424" s="1" t="s">
        <v>19170</v>
      </c>
      <c r="C19424" t="str">
        <f>IFERROR(__xludf.DUMMYFUNCTION("GOOGLETRANSLATE(B19424, ""zh"", ""en"")"),"Probiotics animals, but also easy to carry and eat, very good but unfortunately did not catch up with the activity price")</f>
        <v>Probiotics animals, but also easy to carry and eat, very good but unfortunately did not catch up with the activity price</v>
      </c>
    </row>
    <row r="19425">
      <c r="A19425" s="1">
        <v>5.0</v>
      </c>
      <c r="B19425" s="1" t="s">
        <v>19171</v>
      </c>
      <c r="C19425" t="str">
        <f>IFERROR(__xludf.DUMMYFUNCTION("GOOGLETRANSLATE(B19425, ""zh"", ""en"")"),"The price is worth buying accident, yes!")</f>
        <v>The price is worth buying accident, yes!</v>
      </c>
    </row>
    <row r="19426">
      <c r="A19426" s="1">
        <v>5.0</v>
      </c>
      <c r="B19426" s="1" t="s">
        <v>19172</v>
      </c>
      <c r="C19426" t="str">
        <f>IFERROR(__xludf.DUMMYFUNCTION("GOOGLETRANSLATE(B19426, ""zh"", ""en"")"),"Cost is very high capacity is large enough, feel very cost-effective to buy, satisfaction")</f>
        <v>Cost is very high capacity is large enough, feel very cost-effective to buy, satisfaction</v>
      </c>
    </row>
    <row r="19427">
      <c r="A19427" s="1">
        <v>5.0</v>
      </c>
      <c r="B19427" s="1" t="s">
        <v>19173</v>
      </c>
      <c r="C19427" t="str">
        <f>IFERROR(__xludf.DUMMYFUNCTION("GOOGLETRANSLATE(B19427, ""zh"", ""en"")"),"Dimension c well, not eating, getting bigger bottle, day one is also convenient.")</f>
        <v>Dimension c well, not eating, getting bigger bottle, day one is also convenient.</v>
      </c>
    </row>
    <row r="19428">
      <c r="A19428" s="1">
        <v>5.0</v>
      </c>
      <c r="B19428" s="1" t="s">
        <v>19174</v>
      </c>
      <c r="C19428" t="str">
        <f>IFERROR(__xludf.DUMMYFUNCTION("GOOGLETRANSLATE(B19428, ""zh"", ""en"")"),"Color is very good, something good fit, like")</f>
        <v>Color is very good, something good fit, like</v>
      </c>
    </row>
    <row r="19429">
      <c r="A19429" s="1">
        <v>5.0</v>
      </c>
      <c r="B19429" s="1" t="s">
        <v>19175</v>
      </c>
      <c r="C19429" t="str">
        <f>IFERROR(__xludf.DUMMYFUNCTION("GOOGLETRANSLATE(B19429, ""zh"", ""en"")"),"The price to what a bike, but very value, inexpensive, law-abiding, okay, what should the price bicycles, cheap, law-abiding, Danru boiled water")</f>
        <v>The price to what a bike, but very value, inexpensive, law-abiding, okay, what should the price bicycles, cheap, law-abiding, Danru boiled water</v>
      </c>
    </row>
    <row r="19430">
      <c r="A19430" s="1">
        <v>5.0</v>
      </c>
      <c r="B19430" s="1" t="s">
        <v>19176</v>
      </c>
      <c r="C19430" t="str">
        <f>IFERROR(__xludf.DUMMYFUNCTION("GOOGLETRANSLATE(B19430, ""zh"", ""en"")"),"Good toothbrush than domestic prices more than fair, universal voltage, a charger enough, just a couple good, but also multi-mode")</f>
        <v>Good toothbrush than domestic prices more than fair, universal voltage, a charger enough, just a couple good, but also multi-mode</v>
      </c>
    </row>
    <row r="19431">
      <c r="A19431" s="1">
        <v>5.0</v>
      </c>
      <c r="B19431" s="1" t="s">
        <v>19177</v>
      </c>
      <c r="C19431" t="str">
        <f>IFERROR(__xludf.DUMMYFUNCTION("GOOGLETRANSLATE(B19431, ""zh"", ""en"")"),"Great to see a good friend with pudding pudding")</f>
        <v>Great to see a good friend with pudding pudding</v>
      </c>
    </row>
    <row r="19432">
      <c r="A19432" s="1">
        <v>5.0</v>
      </c>
      <c r="B19432" s="1" t="s">
        <v>19178</v>
      </c>
      <c r="C19432" t="str">
        <f>IFERROR(__xludf.DUMMYFUNCTION("GOOGLETRANSLATE(B19432, ""zh"", ""en"")"),"Well more convenient, will repurchase")</f>
        <v>Well more convenient, will repurchase</v>
      </c>
    </row>
    <row r="19433">
      <c r="A19433" s="1">
        <v>5.0</v>
      </c>
      <c r="B19433" s="1" t="s">
        <v>19179</v>
      </c>
      <c r="C19433" t="str">
        <f>IFERROR(__xludf.DUMMYFUNCTION("GOOGLETRANSLATE(B19433, ""zh"", ""en"")"),"Good watertight, 3 years of age are suitable, reasonably lightweight design, and have a spare straw")</f>
        <v>Good watertight, 3 years of age are suitable, reasonably lightweight design, and have a spare straw</v>
      </c>
    </row>
    <row r="19434">
      <c r="A19434" s="1">
        <v>5.0</v>
      </c>
      <c r="B19434" s="1" t="s">
        <v>19180</v>
      </c>
      <c r="C19434" t="str">
        <f>IFERROR(__xludf.DUMMYFUNCTION("GOOGLETRANSLATE(B19434, ""zh"", ""en"")"),"Cheap and affordable cheap and affordable")</f>
        <v>Cheap and affordable cheap and affordable</v>
      </c>
    </row>
    <row r="19435">
      <c r="A19435" s="1">
        <v>5.0</v>
      </c>
      <c r="B19435" s="1" t="s">
        <v>19181</v>
      </c>
      <c r="C19435" t="str">
        <f>IFERROR(__xludf.DUMMYFUNCTION("GOOGLETRANSLATE(B19435, ""zh"", ""en"")"),"Good box! This box buy some time, after the trial, personally feel that the speakers sound balance Naiting, definitely enough bass, treble soft and not harsh. A promotional price Amazon is value for money. Recommendation to buy, of course, the front end t"&amp;"o match a good job, or sent some effect.")</f>
        <v>Good box! This box buy some time, after the trial, personally feel that the speakers sound balance Naiting, definitely enough bass, treble soft and not harsh. A promotional price Amazon is value for money. Recommendation to buy, of course, the front end to match a good job, or sent some effect.</v>
      </c>
    </row>
    <row r="19436">
      <c r="A19436" s="1">
        <v>5.0</v>
      </c>
      <c r="B19436" s="1" t="s">
        <v>19182</v>
      </c>
      <c r="C19436" t="str">
        <f>IFERROR(__xludf.DUMMYFUNCTION("GOOGLETRANSLATE(B19436, ""zh"", ""en"")"),"Satisfaction of German origin, looks better quality point, the key is cheap.")</f>
        <v>Satisfaction of German origin, looks better quality point, the key is cheap.</v>
      </c>
    </row>
    <row r="19437">
      <c r="A19437" s="1">
        <v>2.0</v>
      </c>
      <c r="B19437" s="1" t="s">
        <v>19183</v>
      </c>
      <c r="C19437" t="str">
        <f>IFERROR(__xludf.DUMMYFUNCTION("GOOGLETRANSLATE(B19437, ""zh"", ""en"")"),"Too bad inside the plastic products, which are in the pot, boil water is bound to have taste.")</f>
        <v>Too bad inside the plastic products, which are in the pot, boil water is bound to have taste.</v>
      </c>
    </row>
    <row r="19438">
      <c r="A19438" s="1">
        <v>3.0</v>
      </c>
      <c r="B19438" s="1" t="s">
        <v>19184</v>
      </c>
      <c r="C19438" t="str">
        <f>IFERROR(__xludf.DUMMYFUNCTION("GOOGLETRANSLATE(B19438, ""zh"", ""en"")"),"3 stars not only to use them, such as cold weather with them, two given away, own one to talk about that I stayed, paint have been spent, lost a few, also drunk, and so behind with the look insulation effect of it.")</f>
        <v>3 stars not only to use them, such as cold weather with them, two given away, own one to talk about that I stayed, paint have been spent, lost a few, also drunk, and so behind with the look insulation effect of it.</v>
      </c>
    </row>
    <row r="19439">
      <c r="A19439" s="1">
        <v>3.0</v>
      </c>
      <c r="B19439" s="1" t="s">
        <v>19185</v>
      </c>
      <c r="C19439" t="str">
        <f>IFERROR(__xludf.DUMMYFUNCTION("GOOGLETRANSLATE(B19439, ""zh"", ""en"")"),"You can also help colleagues to buy, he said that he could, very insulation")</f>
        <v>You can also help colleagues to buy, he said that he could, very insulation</v>
      </c>
    </row>
    <row r="19440">
      <c r="A19440" s="1">
        <v>1.0</v>
      </c>
      <c r="B19440" s="1" t="s">
        <v>19186</v>
      </c>
      <c r="C19440" t="str">
        <f>IFERROR(__xludf.DUMMYFUNCTION("GOOGLETRANSLATE(B19440, ""zh"", ""en"")"),"Leakage of milk used in the last box of the last two packets of milk bags actually found the place beneath the side pressing the leak milk, a little bit of oozing. Hard to say what the mood is. Every now actually have to worry about a dress of milk would "&amp;"not be back to a milk bag.")</f>
        <v>Leakage of milk used in the last box of the last two packets of milk bags actually found the place beneath the side pressing the leak milk, a little bit of oozing. Hard to say what the mood is. Every now actually have to worry about a dress of milk would not be back to a milk bag.</v>
      </c>
    </row>
    <row r="19441">
      <c r="A19441" s="1">
        <v>1.0</v>
      </c>
      <c r="B19441" s="1" t="s">
        <v>19187</v>
      </c>
      <c r="C19441" t="str">
        <f>IFERROR(__xludf.DUMMYFUNCTION("GOOGLETRANSLATE(B19441, ""zh"", ""en"")"),"Not recommended to buy previously bought a Champion mesh shorts, feel cheap and comfortable to wear trousers to see this price is not expensive to buy, difficult to satisfactory results. 1, thin pants. Although the style is loose, probably because I walk "&amp;"very fast sake, inner thighs have worn. Already thin pants, wear life is estimated will not be long; 2, waistband portion having off-line situation. Often find a long line at the mention pants. Pull off, over time, has cropped up a long; 3, not what I exp"&amp;"ected color dark blue, a little 'unsolicited old'; usually I will 'color fastness' as one of the criteria for evaluating the quality of clothing but because of the above two 1,2, do not need to look at the color fastness.")</f>
        <v>Not recommended to buy previously bought a Champion mesh shorts, feel cheap and comfortable to wear trousers to see this price is not expensive to buy, difficult to satisfactory results. 1, thin pants. Although the style is loose, probably because I walk very fast sake, inner thighs have worn. Already thin pants, wear life is estimated will not be long; 2, waistband portion having off-line situation. Often find a long line at the mention pants. Pull off, over time, has cropped up a long; 3, not what I expected color dark blue, a little 'unsolicited old'; usually I will 'color fastness' as one of the criteria for evaluating the quality of clothing but because of the above two 1,2, do not need to look at the color fastness.</v>
      </c>
    </row>
    <row r="19442">
      <c r="A19442" s="1">
        <v>4.0</v>
      </c>
      <c r="B19442" s="1" t="s">
        <v>19188</v>
      </c>
      <c r="C19442" t="str">
        <f>IFERROR(__xludf.DUMMYFUNCTION("GOOGLETRANSLATE(B19442, ""zh"", ""en"")"),"First press instep shoes work well, worth the price. My foot is pretty standard kind of running shoes uk7.5 eu41.5, shoes uk6.5, Amazon ECCO also bought a few pairs, never appeared not fit, but I was referring to comments this pair, buy a bigger size UK7,"&amp;" after a foot because of the large code length is noticeably longer, but because the insole thick, powerful pressure or pressure feet, together with a very hard hiking shoes, leading to a very uncomfortable foot. If your feet are not particularly the kind"&amp;" of thin, I do not recommend buying this. If you have to buy, another insoles can be resolved, but the first wife insole looks very sophisticated look, but do not pity.")</f>
        <v>First press instep shoes work well, worth the price. My foot is pretty standard kind of running shoes uk7.5 eu41.5, shoes uk6.5, Amazon ECCO also bought a few pairs, never appeared not fit, but I was referring to comments this pair, buy a bigger size UK7, after a foot because of the large code length is noticeably longer, but because the insole thick, powerful pressure or pressure feet, together with a very hard hiking shoes, leading to a very uncomfortable foot. If your feet are not particularly the kind of thin, I do not recommend buying this. If you have to buy, another insoles can be resolved, but the first wife insole looks very sophisticated look, but do not pity.</v>
      </c>
    </row>
    <row r="19443">
      <c r="A19443" s="1">
        <v>4.0</v>
      </c>
      <c r="B19443" s="1" t="s">
        <v>19189</v>
      </c>
      <c r="C19443" t="str">
        <f>IFERROR(__xludf.DUMMYFUNCTION("GOOGLETRANSLATE(B19443, ""zh"", ""en"")"),"Like love, very beautiful, not with.")</f>
        <v>Like love, very beautiful, not with.</v>
      </c>
    </row>
    <row r="19444">
      <c r="A19444" s="1">
        <v>4.0</v>
      </c>
      <c r="B19444" s="1" t="s">
        <v>19190</v>
      </c>
      <c r="C19444" t="str">
        <f>IFERROR(__xludf.DUMMYFUNCTION("GOOGLETRANSLATE(B19444, ""zh"", ""en"")"),"Can look forward to a little longer received on the use, really non-stick, but do not know for how long, before Amazon also bought a non-stick pan, coating came off less than a year")</f>
        <v>Can look forward to a little longer received on the use, really non-stick, but do not know for how long, before Amazon also bought a non-stick pan, coating came off less than a year</v>
      </c>
    </row>
    <row r="19445">
      <c r="A19445" s="1">
        <v>4.0</v>
      </c>
      <c r="B19445" s="1" t="s">
        <v>19191</v>
      </c>
      <c r="C19445" t="str">
        <f>IFERROR(__xludf.DUMMYFUNCTION("GOOGLETRANSLATE(B19445, ""zh"", ""en"")"),"Suitable size, general quality of 38.5 feet, usually wear 39, just bought us8M size is appropriate. Price plus tax a total of 580. but! ! Quality shoes really flattered, design problems with the slippery to walk on both sides outside the Alice, not Genjia"&amp;"o, take a step there is a crease, and top to toe joint pain, find it hard to shoelace tied, a little tight for a ribbon section some. I do not know is genuine? We are all so? Out with this thing is really annoying.")</f>
        <v>Suitable size, general quality of 38.5 feet, usually wear 39, just bought us8M size is appropriate. Price plus tax a total of 580. but! ! Quality shoes really flattered, design problems with the slippery to walk on both sides outside the Alice, not Genjiao, take a step there is a crease, and top to toe joint pain, find it hard to shoelace tied, a little tight for a ribbon section some. I do not know is genuine? We are all so? Out with this thing is really annoying.</v>
      </c>
    </row>
    <row r="19446">
      <c r="A19446" s="1">
        <v>4.0</v>
      </c>
      <c r="B19446" s="1" t="s">
        <v>19192</v>
      </c>
      <c r="C19446" t="str">
        <f>IFERROR(__xludf.DUMMYFUNCTION("GOOGLETRANSLATE(B19446, ""zh"", ""en"")"),"Try produced in Mexico. Quality in general. cheap price. Waist mouth open line, too troublesome, self-proclaimed sew it, so be it. 170cm.68kg. W 31L30 appropriate.")</f>
        <v>Try produced in Mexico. Quality in general. cheap price. Waist mouth open line, too troublesome, self-proclaimed sew it, so be it. 170cm.68kg. W 31L30 appropriate.</v>
      </c>
    </row>
    <row r="19447">
      <c r="A19447" s="1">
        <v>5.0</v>
      </c>
      <c r="B19447" s="1" t="s">
        <v>19193</v>
      </c>
      <c r="C19447" t="str">
        <f>IFERROR(__xludf.DUMMYFUNCTION("GOOGLETRANSLATE(B19447, ""zh"", ""en"")"),"Very good very good, very good workmanship details")</f>
        <v>Very good very good, very good workmanship details</v>
      </c>
    </row>
    <row r="19448">
      <c r="A19448" s="1">
        <v>5.0</v>
      </c>
      <c r="B19448" s="1" t="s">
        <v>19194</v>
      </c>
      <c r="C19448" t="str">
        <f>IFERROR(__xludf.DUMMYFUNCTION("GOOGLETRANSLATE(B19448, ""zh"", ""en"")"),"Well right size and almost the size of its music Nike selected a number on the line")</f>
        <v>Well right size and almost the size of its music Nike selected a number on the line</v>
      </c>
    </row>
    <row r="19449">
      <c r="A19449" s="1">
        <v>5.0</v>
      </c>
      <c r="B19449" s="1" t="s">
        <v>19195</v>
      </c>
      <c r="C19449" t="str">
        <f>IFERROR(__xludf.DUMMYFUNCTION("GOOGLETRANSLATE(B19449, ""zh"", ""en"")"),"Shoes very good, better than expected. A little too large, size description which corresponds to 40.5 7UK, I just put on, but I usually wear 41.5. Soles a little bit hard, but this series is so. In short, very satisfied, much cheaper than domestic, value "&amp;"for money! Shoes very good, it is better than expected")</f>
        <v>Shoes very good, better than expected. A little too large, size description which corresponds to 40.5 7UK, I just put on, but I usually wear 41.5. Soles a little bit hard, but this series is so. In short, very satisfied, much cheaper than domestic, value for money! Shoes very good, it is better than expected</v>
      </c>
    </row>
    <row r="19450">
      <c r="A19450" s="1">
        <v>5.0</v>
      </c>
      <c r="B19450" s="1" t="s">
        <v>19196</v>
      </c>
      <c r="C19450" t="str">
        <f>IFERROR(__xludf.DUMMYFUNCTION("GOOGLETRANSLATE(B19450, ""zh"", ""en"")"),"maca as good as last time, the second purchase, prices edged up")</f>
        <v>maca as good as last time, the second purchase, prices edged up</v>
      </c>
    </row>
    <row r="19451">
      <c r="A19451" s="1">
        <v>5.0</v>
      </c>
      <c r="B19451" s="1" t="s">
        <v>19197</v>
      </c>
      <c r="C19451" t="str">
        <f>IFERROR(__xludf.DUMMYFUNCTION("GOOGLETRANSLATE(B19451, ""zh"", ""en"")"),"Very very good first look shiny and smooth leather, good quality and very good care, not to mention such tooling boots do not need to worry too much. Secondly, the right size, I bought the W head, my feet 26.5 cm long, usually wearing Adidas Nike 26.5, th"&amp;"is is just eight yards widened. If you do not have to widen 8.5, and my last pair of boots is like that. The price is very appropriate, 703 Tai Yuen buy, taxes and 80, because these shoes, I bought a year PRIME, estimate that it will buy some things at th"&amp;"e end, after all the domestic price can buy such shoes")</f>
        <v>Very very good first look shiny and smooth leather, good quality and very good care, not to mention such tooling boots do not need to worry too much. Secondly, the right size, I bought the W head, my feet 26.5 cm long, usually wearing Adidas Nike 26.5, this is just eight yards widened. If you do not have to widen 8.5, and my last pair of boots is like that. The price is very appropriate, 703 Tai Yuen buy, taxes and 80, because these shoes, I bought a year PRIME, estimate that it will buy some things at the end, after all the domestic price can buy such shoes</v>
      </c>
    </row>
    <row r="19452">
      <c r="A19452" s="1">
        <v>5.0</v>
      </c>
      <c r="B19452" s="1" t="s">
        <v>19198</v>
      </c>
      <c r="C19452" t="str">
        <f>IFERROR(__xludf.DUMMYFUNCTION("GOOGLETRANSLATE(B19452, ""zh"", ""en"")"),"My mom feel good pot is too heavy, my mother take the time and not move, specially bought one, I did not expect my mother quite like it, and gave mom to buy a home.")</f>
        <v>My mom feel good pot is too heavy, my mother take the time and not move, specially bought one, I did not expect my mother quite like it, and gave mom to buy a home.</v>
      </c>
    </row>
    <row r="19453">
      <c r="A19453" s="1">
        <v>5.0</v>
      </c>
      <c r="B19453" s="1" t="s">
        <v>19199</v>
      </c>
      <c r="C19453" t="str">
        <f>IFERROR(__xludf.DUMMYFUNCTION("GOOGLETRANSLATE(B19453, ""zh"", ""en"")"),"Convenient price is really beautiful, simple to use, easy to do complex food at any time.")</f>
        <v>Convenient price is really beautiful, simple to use, easy to do complex food at any time.</v>
      </c>
    </row>
    <row r="19454">
      <c r="A19454" s="1">
        <v>5.0</v>
      </c>
      <c r="B19454" s="1" t="s">
        <v>19200</v>
      </c>
      <c r="C19454" t="str">
        <f>IFERROR(__xludf.DUMMYFUNCTION("GOOGLETRANSLATE(B19454, ""zh"", ""en"")"),"Praise stew beaker very sophisticated, high capacity, thermal insulation effect is good, not yet begun porridge, we believe we are very good")</f>
        <v>Praise stew beaker very sophisticated, high capacity, thermal insulation effect is good, not yet begun porridge, we believe we are very good</v>
      </c>
    </row>
    <row r="19455">
      <c r="A19455" s="1">
        <v>5.0</v>
      </c>
      <c r="B19455" s="1" t="s">
        <v>19201</v>
      </c>
      <c r="C19455" t="str">
        <f>IFERROR(__xludf.DUMMYFUNCTION("GOOGLETRANSLATE(B19455, ""zh"", ""en"")"),"Very good table is very good watch, travel time is very accurate, very pretty.")</f>
        <v>Very good table is very good watch, travel time is very accurate, very pretty.</v>
      </c>
    </row>
    <row r="19456">
      <c r="A19456" s="1">
        <v>5.0</v>
      </c>
      <c r="B19456" s="1" t="s">
        <v>19202</v>
      </c>
      <c r="C19456" t="str">
        <f>IFERROR(__xludf.DUMMYFUNCTION("GOOGLETRANSLATE(B19456, ""zh"", ""en"")"),"Training for a suitable running shoes sprint training a very suitable running shoes, no rear foot gel forefoot cushioning, and the ground to force very awkward, parcel is also very good, can be used for speed training.")</f>
        <v>Training for a suitable running shoes sprint training a very suitable running shoes, no rear foot gel forefoot cushioning, and the ground to force very awkward, parcel is also very good, can be used for speed training.</v>
      </c>
    </row>
    <row r="19457">
      <c r="A19457" s="1">
        <v>5.0</v>
      </c>
      <c r="B19457" s="1" t="s">
        <v>19203</v>
      </c>
      <c r="C19457" t="str">
        <f>IFERROR(__xludf.DUMMYFUNCTION("GOOGLETRANSLATE(B19457, ""zh"", ""en"")"),"Goose bottle this bottle in 29 years, when finally received, but the post office to pick up my own, do not know why the Post Office said that the parcel is not responsible for mailing, but milk storage bags was sent to the address specified. Praise is not"&amp;" given to the commodity logistics, the bottle is very good, like a goose egg in the hands, wash it should be very easy, very good quality bottle, not a little taste.")</f>
        <v>Goose bottle this bottle in 29 years, when finally received, but the post office to pick up my own, do not know why the Post Office said that the parcel is not responsible for mailing, but milk storage bags was sent to the address specified. Praise is not given to the commodity logistics, the bottle is very good, like a goose egg in the hands, wash it should be very easy, very good quality bottle, not a little taste.</v>
      </c>
    </row>
    <row r="19458">
      <c r="A19458" s="1">
        <v>5.0</v>
      </c>
      <c r="B19458" s="1" t="s">
        <v>19204</v>
      </c>
      <c r="C19458" t="str">
        <f>IFERROR(__xludf.DUMMYFUNCTION("GOOGLETRANSLATE(B19458, ""zh"", ""en"")"),"Calm atmosphere for the first time in the ""Amazon"" love to buy, fabrics and shoe size just like I expected. Personally I think that the shoes fit middle-aged man, wearing a grade.")</f>
        <v>Calm atmosphere for the first time in the "Amazon" love to buy, fabrics and shoe size just like I expected. Personally I think that the shoes fit middle-aged man, wearing a grade.</v>
      </c>
    </row>
    <row r="19459">
      <c r="A19459" s="1">
        <v>5.0</v>
      </c>
      <c r="B19459" s="1" t="s">
        <v>19205</v>
      </c>
      <c r="C19459" t="str">
        <f>IFERROR(__xludf.DUMMYFUNCTION("GOOGLETRANSLATE(B19459, ""zh"", ""en"")"),"Yes the whole bottle is very soft, feeling very comfortable.")</f>
        <v>Yes the whole bottle is very soft, feeling very comfortable.</v>
      </c>
    </row>
    <row r="19460">
      <c r="A19460" s="1">
        <v>5.0</v>
      </c>
      <c r="B19460" s="1" t="s">
        <v>19206</v>
      </c>
      <c r="C19460" t="str">
        <f>IFERROR(__xludf.DUMMYFUNCTION("GOOGLETRANSLATE(B19460, ""zh"", ""en"")"),"Size can also be good, height 172, weight 72kg, s code still appropriate")</f>
        <v>Size can also be good, height 172, weight 72kg, s code still appropriate</v>
      </c>
    </row>
    <row r="19461">
      <c r="A19461" s="1">
        <v>5.0</v>
      </c>
      <c r="B19461" s="1" t="s">
        <v>19207</v>
      </c>
      <c r="C19461" t="str">
        <f>IFERROR(__xludf.DUMMYFUNCTION("GOOGLETRANSLATE(B19461, ""zh"", ""en"")"),"Indeed the number of European version of the code is too large one yards, automatic buy a small one yard.")</f>
        <v>Indeed the number of European version of the code is too large one yards, automatic buy a small one yard.</v>
      </c>
    </row>
    <row r="19462">
      <c r="A19462" s="1">
        <v>5.0</v>
      </c>
      <c r="B19462" s="1" t="s">
        <v>19208</v>
      </c>
      <c r="C19462" t="str">
        <f>IFERROR(__xludf.DUMMYFUNCTION("GOOGLETRANSLATE(B19462, ""zh"", ""en"")"),"Very affordable quality toothbrush factory or guaranteed when taking advantage of cheap Tuen a wave, this life of some consumables and more store is obviously no harm. Overseas entire shopping experience is great.")</f>
        <v>Very affordable quality toothbrush factory or guaranteed when taking advantage of cheap Tuen a wave, this life of some consumables and more store is obviously no harm. Overseas entire shopping experience is great.</v>
      </c>
    </row>
    <row r="19463">
      <c r="A19463" s="1">
        <v>5.0</v>
      </c>
      <c r="B19463" s="1" t="s">
        <v>19209</v>
      </c>
      <c r="C19463" t="str">
        <f>IFERROR(__xludf.DUMMYFUNCTION("GOOGLETRANSLATE(B19463, ""zh"", ""en"")"),"Size accuracy is very important overall feeling good, more comfortable, somewhat rough. Amazon to buy the shoes above the size of overseas control some confusion, each code corresponding to the shoe foot length must be accurate job.")</f>
        <v>Size accuracy is very important overall feeling good, more comfortable, somewhat rough. Amazon to buy the shoes above the size of overseas control some confusion, each code corresponding to the shoe foot length must be accurate job.</v>
      </c>
    </row>
    <row r="19464">
      <c r="A19464" s="1">
        <v>5.0</v>
      </c>
      <c r="B19464" s="1" t="s">
        <v>19210</v>
      </c>
      <c r="C19464" t="str">
        <f>IFERROR(__xludf.DUMMYFUNCTION("GOOGLETRANSLATE(B19464, ""zh"", ""en"")"),"Great hair clipper haircut haircut, hairstyle ideal for short round, hope and durable")</f>
        <v>Great hair clipper haircut haircut, hairstyle ideal for short round, hope and durable</v>
      </c>
    </row>
    <row r="19465">
      <c r="A19465" s="1">
        <v>5.0</v>
      </c>
      <c r="B19465" s="1" t="s">
        <v>19211</v>
      </c>
      <c r="C19465" t="str">
        <f>IFERROR(__xludf.DUMMYFUNCTION("GOOGLETRANSLATE(B19465, ""zh"", ""en"")"),"The real stealth through the socks, do not want to wear a country! Not easy to hook wire, there are invisible!")</f>
        <v>The real stealth through the socks, do not want to wear a country! Not easy to hook wire, there are invisible!</v>
      </c>
    </row>
    <row r="19466">
      <c r="A19466" s="1">
        <v>5.0</v>
      </c>
      <c r="B19466" s="1" t="s">
        <v>19212</v>
      </c>
      <c r="C19466" t="str">
        <f>IFERROR(__xludf.DUMMYFUNCTION("GOOGLETRANSLATE(B19466, ""zh"", ""en"")"),"Nice watch looks good, but the table is too small, the appearance of praise")</f>
        <v>Nice watch looks good, but the table is too small, the appearance of praise</v>
      </c>
    </row>
    <row r="19467">
      <c r="A19467" s="1">
        <v>5.0</v>
      </c>
      <c r="B19467" s="1" t="s">
        <v>19213</v>
      </c>
      <c r="C19467" t="str">
        <f>IFERROR(__xludf.DUMMYFUNCTION("GOOGLETRANSLATE(B19467, ""zh"", ""en"")"),"This eye cream converted into water from the emulsion process is very fast, very moist, a little bit is enough. Very powerful! ! ! This eye cream converted into water from the emulsion process is very fast, very moist, a little bit is enough. Very powerfu"&amp;"l! ! !")</f>
        <v>This eye cream converted into water from the emulsion process is very fast, very moist, a little bit is enough. Very powerful! ! ! This eye cream converted into water from the emulsion process is very fast, very moist, a little bit is enough. Very powerful! ! !</v>
      </c>
    </row>
    <row r="19468">
      <c r="A19468" s="1">
        <v>5.0</v>
      </c>
      <c r="B19468" s="1" t="s">
        <v>19214</v>
      </c>
      <c r="C19468" t="str">
        <f>IFERROR(__xludf.DUMMYFUNCTION("GOOGLETRANSLATE(B19468, ""zh"", ""en"")"),"Belt the price is right, cost-effective, arrival also fast, very good")</f>
        <v>Belt the price is right, cost-effective, arrival also fast, very good</v>
      </c>
    </row>
    <row r="19469">
      <c r="A19469" s="1">
        <v>2.0</v>
      </c>
      <c r="B19469" s="1" t="s">
        <v>19215</v>
      </c>
      <c r="C19469" t="str">
        <f>IFERROR(__xludf.DUMMYFUNCTION("GOOGLETRANSLATE(B19469, ""zh"", ""en"")"),"Poor are only just beginning to feel value for money! Now regret! After washing twice, actually loose! Loose! It is the kind of gently pull the whole dress came off the loose! A bit too much!")</f>
        <v>Poor are only just beginning to feel value for money! Now regret! After washing twice, actually loose! Loose! It is the kind of gently pull the whole dress came off the loose! A bit too much!</v>
      </c>
    </row>
    <row r="19470">
      <c r="A19470" s="1">
        <v>3.0</v>
      </c>
      <c r="B19470" s="1" t="s">
        <v>19216</v>
      </c>
      <c r="C19470" t="str">
        <f>IFERROR(__xludf.DUMMYFUNCTION("GOOGLETRANSLATE(B19470, ""zh"", ""en"")"),"Hang pants a bit too long to wash and pilling not wearing it a few times pilling")</f>
        <v>Hang pants a bit too long to wash and pilling not wearing it a few times pilling</v>
      </c>
    </row>
    <row r="19471">
      <c r="A19471" s="1">
        <v>3.0</v>
      </c>
      <c r="B19471" s="1" t="s">
        <v>19217</v>
      </c>
      <c r="C19471" t="str">
        <f>IFERROR(__xludf.DUMMYFUNCTION("GOOGLETRANSLATE(B19471, ""zh"", ""en"")"),"I am a small size of 38 feet, socks size feels too small,")</f>
        <v>I am a small size of 38 feet, socks size feels too small,</v>
      </c>
    </row>
    <row r="19472">
      <c r="A19472" s="1">
        <v>1.0</v>
      </c>
      <c r="B19472" s="1" t="s">
        <v>19218</v>
      </c>
      <c r="C19472" t="str">
        <f>IFERROR(__xludf.DUMMYFUNCTION("GOOGLETRANSLATE(B19472, ""zh"", ""en"")"),"Two championship brand of T-shirt Amazon selling all foreign garbage, bought two T-shirts, not even the tag are not, with wrinkled clothes like mustard greens, it is estimated that a few cents in the United States, to China on as luxuries")</f>
        <v>Two championship brand of T-shirt Amazon selling all foreign garbage, bought two T-shirts, not even the tag are not, with wrinkled clothes like mustard greens, it is estimated that a few cents in the United States, to China on as luxuries</v>
      </c>
    </row>
    <row r="19473">
      <c r="A19473" s="1">
        <v>1.0</v>
      </c>
      <c r="B19473" s="1" t="s">
        <v>19219</v>
      </c>
      <c r="C19473" t="str">
        <f>IFERROR(__xludf.DUMMYFUNCTION("GOOGLETRANSLATE(B19473, ""zh"", ""en"")"),"Do not buy received is bad, while not ring, no matter to Sony after-sales service, really rubbish, nothing with.")</f>
        <v>Do not buy received is bad, while not ring, no matter to Sony after-sales service, really rubbish, nothing with.</v>
      </c>
    </row>
    <row r="19474">
      <c r="A19474" s="1">
        <v>1.0</v>
      </c>
      <c r="B19474" s="1" t="s">
        <v>19220</v>
      </c>
      <c r="C19474" t="str">
        <f>IFERROR(__xludf.DUMMYFUNCTION("GOOGLETRANSLATE(B19474, ""zh"", ""en"")"),"Poor quality, do not buy poor quality, it is recommended that you do not buy, wear lace on a day from the ball, but the cup also collapse,")</f>
        <v>Poor quality, do not buy poor quality, it is recommended that you do not buy, wear lace on a day from the ball, but the cup also collapse,</v>
      </c>
    </row>
    <row r="19475">
      <c r="A19475" s="1">
        <v>4.0</v>
      </c>
      <c r="B19475" s="1" t="s">
        <v>19221</v>
      </c>
      <c r="C19475" t="str">
        <f>IFERROR(__xludf.DUMMYFUNCTION("GOOGLETRANSLATE(B19475, ""zh"", ""en"")"),"Code than normal code quality is very good, but big yards too chose L code can wear to feel chest only when wearing pajamas")</f>
        <v>Code than normal code quality is very good, but big yards too chose L code can wear to feel chest only when wearing pajamas</v>
      </c>
    </row>
    <row r="19476">
      <c r="A19476" s="1">
        <v>4.0</v>
      </c>
      <c r="B19476" s="1" t="s">
        <v>19222</v>
      </c>
      <c r="C19476" t="str">
        <f>IFERROR(__xludf.DUMMYFUNCTION("GOOGLETRANSLATE(B19476, ""zh"", ""en"")"),"Cost-effective style also, leather hard point, wearing okay.")</f>
        <v>Cost-effective style also, leather hard point, wearing okay.</v>
      </c>
    </row>
    <row r="19477">
      <c r="A19477" s="1">
        <v>4.0</v>
      </c>
      <c r="B19477" s="1" t="s">
        <v>19223</v>
      </c>
      <c r="C19477" t="str">
        <f>IFERROR(__xludf.DUMMYFUNCTION("GOOGLETRANSLATE(B19477, ""zh"", ""en"")"),"Was tried on, flawed usually wear 39, bought 8.5 is appropriate, but unfortunately with a lot of comments like obvious traces tried on the shoes, the shoe toe a little glue, laces also dip a little brown stains, that returned too much trouble to accept it"&amp;", I bought tax increases to more than seven hundred, bought on price cuts have not received 100 overseas customers to buy, and the shopping experience how good it can not be called")</f>
        <v>Was tried on, flawed usually wear 39, bought 8.5 is appropriate, but unfortunately with a lot of comments like obvious traces tried on the shoes, the shoe toe a little glue, laces also dip a little brown stains, that returned too much trouble to accept it, I bought tax increases to more than seven hundred, bought on price cuts have not received 100 overseas customers to buy, and the shopping experience how good it can not be called</v>
      </c>
    </row>
    <row r="19478">
      <c r="A19478" s="1">
        <v>4.0</v>
      </c>
      <c r="B19478" s="1" t="s">
        <v>19224</v>
      </c>
      <c r="C19478" t="str">
        <f>IFERROR(__xludf.DUMMYFUNCTION("GOOGLETRANSLATE(B19478, ""zh"", ""en"")"),"Fine foot does not look good! ! Foot length 24cm, neither fat nor thin, United States Code 7.5 wear. . See reviews buy 7m, suitable long half-width of the code size can be calculated. But small feet ah, meat weight + 120 long boots the upper body support "&amp;"unsightly. It is suitable for small boots thick legs, my sister a 155 (thick legs) wearing good-looking than me. It has 168 feet of fine really not recommended. It has been busy fish. .")</f>
        <v>Fine foot does not look good! ! Foot length 24cm, neither fat nor thin, United States Code 7.5 wear. . See reviews buy 7m, suitable long half-width of the code size can be calculated. But small feet ah, meat weight + 120 long boots the upper body support unsightly. It is suitable for small boots thick legs, my sister a 155 (thick legs) wearing good-looking than me. It has 168 feet of fine really not recommended. It has been busy fish. .</v>
      </c>
    </row>
    <row r="19479">
      <c r="A19479" s="1">
        <v>4.0</v>
      </c>
      <c r="B19479" s="1" t="s">
        <v>19225</v>
      </c>
      <c r="C19479" t="str">
        <f>IFERROR(__xludf.DUMMYFUNCTION("GOOGLETRANSLATE(B19479, ""zh"", ""en"")"),"danner danner a pair of good shoes. 7ee length 7.5d and not much difference just a little narrow. Is within GTX does not know how not waterproof up. The only drawback is that Amazon buy danner built half the palm shoe tree is gone, this is the essence of "&amp;"danner ah!")</f>
        <v>danner danner a pair of good shoes. 7ee length 7.5d and not much difference just a little narrow. Is within GTX does not know how not waterproof up. The only drawback is that Amazon buy danner built half the palm shoe tree is gone, this is the essence of danner ah!</v>
      </c>
    </row>
    <row r="19480">
      <c r="A19480" s="1">
        <v>5.0</v>
      </c>
      <c r="B19480" s="1" t="s">
        <v>19226</v>
      </c>
      <c r="C19480" t="str">
        <f>IFERROR(__xludf.DUMMYFUNCTION("GOOGLETRANSLATE(B19480, ""zh"", ""en"")"),"Fast delivery fast, a week from the US to China, and what brand to buy, the quality is also not worry, praise!")</f>
        <v>Fast delivery fast, a week from the US to China, and what brand to buy, the quality is also not worry, praise!</v>
      </c>
    </row>
    <row r="19481">
      <c r="A19481" s="1">
        <v>5.0</v>
      </c>
      <c r="B19481" s="1" t="s">
        <v>19227</v>
      </c>
      <c r="C19481" t="str">
        <f>IFERROR(__xludf.DUMMYFUNCTION("GOOGLETRANSLATE(B19481, ""zh"", ""en"")"),"Good use, comfortable texture, awesome")</f>
        <v>Good use, comfortable texture, awesome</v>
      </c>
    </row>
    <row r="19482">
      <c r="A19482" s="1">
        <v>5.0</v>
      </c>
      <c r="B19482" s="1" t="s">
        <v>19228</v>
      </c>
      <c r="C19482" t="str">
        <f>IFERROR(__xludf.DUMMYFUNCTION("GOOGLETRANSLATE(B19482, ""zh"", ""en"")"),"Good size and material are more satisfied")</f>
        <v>Good size and material are more satisfied</v>
      </c>
    </row>
    <row r="19483">
      <c r="A19483" s="1">
        <v>5.0</v>
      </c>
      <c r="B19483" s="1" t="s">
        <v>19229</v>
      </c>
      <c r="C19483" t="str">
        <f>IFERROR(__xludf.DUMMYFUNCTION("GOOGLETRANSLATE(B19483, ""zh"", ""en"")"),"Very comfortable choice super cool, especially for pregnant women like me, it is also very easy to wash")</f>
        <v>Very comfortable choice super cool, especially for pregnant women like me, it is also very easy to wash</v>
      </c>
    </row>
    <row r="19484">
      <c r="A19484" s="1">
        <v>5.0</v>
      </c>
      <c r="B19484" s="1" t="s">
        <v>19230</v>
      </c>
      <c r="C19484" t="str">
        <f>IFERROR(__xludf.DUMMYFUNCTION("GOOGLETRANSLATE(B19484, ""zh"", ""en"")"),"Well worth buying, not static, feels fleshy")</f>
        <v>Well worth buying, not static, feels fleshy</v>
      </c>
    </row>
    <row r="19485">
      <c r="A19485" s="1">
        <v>5.0</v>
      </c>
      <c r="B19485" s="1" t="s">
        <v>19231</v>
      </c>
      <c r="C19485" t="str">
        <f>IFERROR(__xludf.DUMMYFUNCTION("GOOGLETRANSLATE(B19485, ""zh"", ""en"")"),"I like hat. Pretty good, work is in place. Wooden cable head or something, fine. Express is also to force ah, from Britain to China and received only took seven days, and now the purchase of overseas direct mail faster than the speed ah. Cool, great shopp"&amp;"ing experience.")</f>
        <v>I like hat. Pretty good, work is in place. Wooden cable head or something, fine. Express is also to force ah, from Britain to China and received only took seven days, and now the purchase of overseas direct mail faster than the speed ah. Cool, great shopping experience.</v>
      </c>
    </row>
    <row r="19486">
      <c r="A19486" s="1">
        <v>5.0</v>
      </c>
      <c r="B19486" s="1" t="s">
        <v>19232</v>
      </c>
      <c r="C19486" t="str">
        <f>IFERROR(__xludf.DUMMYFUNCTION("GOOGLETRANSLATE(B19486, ""zh"", ""en"")"),"Yes - I can always, always been a family heirloom with a series ~ ~")</f>
        <v>Yes - I can always, always been a family heirloom with a series ~ ~</v>
      </c>
    </row>
    <row r="19487">
      <c r="A19487" s="1">
        <v>5.0</v>
      </c>
      <c r="B19487" s="1" t="s">
        <v>19233</v>
      </c>
      <c r="C19487" t="str">
        <f>IFERROR(__xludf.DUMMYFUNCTION("GOOGLETRANSLATE(B19487, ""zh"", ""en"")"),"General gakki US version of the same paragraph, but work is really not very good, but taking into account the US version of the price, it is still accepted")</f>
        <v>General gakki US version of the same paragraph, but work is really not very good, but taking into account the US version of the price, it is still accepted</v>
      </c>
    </row>
    <row r="19488">
      <c r="A19488" s="1">
        <v>5.0</v>
      </c>
      <c r="B19488" s="1" t="s">
        <v>19234</v>
      </c>
      <c r="C19488" t="str">
        <f>IFERROR(__xludf.DUMMYFUNCTION("GOOGLETRANSLATE(B19488, ""zh"", ""en"")"),"Good use for some time, have the effect of")</f>
        <v>Good use for some time, have the effect of</v>
      </c>
    </row>
    <row r="19489">
      <c r="A19489" s="1">
        <v>5.0</v>
      </c>
      <c r="B19489" s="1" t="s">
        <v>19235</v>
      </c>
      <c r="C19489" t="str">
        <f>IFERROR(__xludf.DUMMYFUNCTION("GOOGLETRANSLATE(B19489, ""zh"", ""en"")"),"Very satisfied with the bottle received, it looks good, baby super like, has been holding a drink!")</f>
        <v>Very satisfied with the bottle received, it looks good, baby super like, has been holding a drink!</v>
      </c>
    </row>
    <row r="19490">
      <c r="A19490" s="1">
        <v>5.0</v>
      </c>
      <c r="B19490" s="1" t="s">
        <v>19236</v>
      </c>
      <c r="C19490" t="str">
        <f>IFERROR(__xludf.DUMMYFUNCTION("GOOGLETRANSLATE(B19490, ""zh"", ""en"")"),"Good price none, than domestic direct buy cheaper. Relatively thick 4tb can be understood. Nothing noise, all aspects of work is also good, speed is also possible.")</f>
        <v>Good price none, than domestic direct buy cheaper. Relatively thick 4tb can be understood. Nothing noise, all aspects of work is also good, speed is also possible.</v>
      </c>
    </row>
    <row r="19491">
      <c r="A19491" s="1">
        <v>5.0</v>
      </c>
      <c r="B19491" s="1" t="s">
        <v>19237</v>
      </c>
      <c r="C19491" t="str">
        <f>IFERROR(__xludf.DUMMYFUNCTION("GOOGLETRANSLATE(B19491, ""zh"", ""en"")"),"Very practical mixer simple and practical, prepare a little food will soon be able to make juices and smoothies, a great noise from time to time, after cleaning is also very convenient and practical. It is worth a blender have.")</f>
        <v>Very practical mixer simple and practical, prepare a little food will soon be able to make juices and smoothies, a great noise from time to time, after cleaning is also very convenient and practical. It is worth a blender have.</v>
      </c>
    </row>
    <row r="19492">
      <c r="A19492" s="1">
        <v>5.0</v>
      </c>
      <c r="B19492" s="1" t="s">
        <v>19238</v>
      </c>
      <c r="C19492" t="str">
        <f>IFERROR(__xludf.DUMMYFUNCTION("GOOGLETRANSLATE(B19492, ""zh"", ""en"")"),"Comfortable, breathable and comfortable breathable wear outdoor activities for the summer. And put on quite handsome. The price is affordable.")</f>
        <v>Comfortable, breathable and comfortable breathable wear outdoor activities for the summer. And put on quite handsome. The price is affordable.</v>
      </c>
    </row>
    <row r="19493">
      <c r="A19493" s="1">
        <v>5.0</v>
      </c>
      <c r="B19493" s="1" t="s">
        <v>19239</v>
      </c>
      <c r="C19493" t="str">
        <f>IFERROR(__xludf.DUMMYFUNCTION("GOOGLETRANSLATE(B19493, ""zh"", ""en"")"),"Wear comfortable clothes to wear comfortable clothes, not too loose phenomenon, it is worth buying.")</f>
        <v>Wear comfortable clothes to wear comfortable clothes, not too loose phenomenon, it is worth buying.</v>
      </c>
    </row>
    <row r="19494">
      <c r="A19494" s="1">
        <v>5.0</v>
      </c>
      <c r="B19494" s="1" t="s">
        <v>19240</v>
      </c>
      <c r="C19494" t="str">
        <f>IFERROR(__xludf.DUMMYFUNCTION("GOOGLETRANSLATE(B19494, ""zh"", ""en"")"),"With no underwear no rims feel like comfortable clothes very special beauty, because there is no underwire plus material soft and light, wearing the same feeling after wearing. Can wear lingerie than usual to buy smaller, usually buy 75B, and his family's"&amp;" wearing the same number slightly larger.")</f>
        <v>With no underwear no rims feel like comfortable clothes very special beauty, because there is no underwire plus material soft and light, wearing the same feeling after wearing. Can wear lingerie than usual to buy smaller, usually buy 75B, and his family's wearing the same number slightly larger.</v>
      </c>
    </row>
    <row r="19495">
      <c r="A19495" s="1">
        <v>5.0</v>
      </c>
      <c r="B19495" s="1" t="s">
        <v>19241</v>
      </c>
      <c r="C19495" t="str">
        <f>IFERROR(__xludf.DUMMYFUNCTION("GOOGLETRANSLATE(B19495, ""zh"", ""en"")"),"Satisfaction for the first time in Central Asia right size height 178 weight 145 w34 l32 ankle does not like to be one yard short of good quality according to the size you buy enough to seriously review")</f>
        <v>Satisfaction for the first time in Central Asia right size height 178 weight 145 w34 l32 ankle does not like to be one yard short of good quality according to the size you buy enough to seriously review</v>
      </c>
    </row>
    <row r="19496">
      <c r="A19496" s="1">
        <v>5.0</v>
      </c>
      <c r="B19496" s="1" t="s">
        <v>19242</v>
      </c>
      <c r="C19496" t="str">
        <f>IFERROR(__xludf.DUMMYFUNCTION("GOOGLETRANSLATE(B19496, ""zh"", ""en"")"),"Version very good, very good texture tough rugged version of the type, texture, tough solid")</f>
        <v>Version very good, very good texture tough rugged version of the type, texture, tough solid</v>
      </c>
    </row>
    <row r="19497">
      <c r="A19497" s="1">
        <v>5.0</v>
      </c>
      <c r="B19497" s="1" t="s">
        <v>19243</v>
      </c>
      <c r="C19497" t="str">
        <f>IFERROR(__xludf.DUMMYFUNCTION("GOOGLETRANSLATE(B19497, ""zh"", ""en"")"),"Products like Puma models like color, usually wear shoes 41 yards, slightly tight points. Overall value for money, love!")</f>
        <v>Products like Puma models like color, usually wear shoes 41 yards, slightly tight points. Overall value for money, love!</v>
      </c>
    </row>
    <row r="19498">
      <c r="A19498" s="1">
        <v>5.0</v>
      </c>
      <c r="B19498" s="1" t="s">
        <v>929</v>
      </c>
      <c r="C19498" t="str">
        <f>IFERROR(__xludf.DUMMYFUNCTION("GOOGLETRANSLATE(B19498, ""zh"", ""en"")"),"Buy big clothes also good, but buy big, some small one yard more fit, height 168 weight 128.")</f>
        <v>Buy big clothes also good, but buy big, some small one yard more fit, height 168 weight 128.</v>
      </c>
    </row>
    <row r="19499">
      <c r="A19499" s="1">
        <v>5.0</v>
      </c>
      <c r="B19499" s="1" t="s">
        <v>19244</v>
      </c>
      <c r="C19499" t="str">
        <f>IFERROR(__xludf.DUMMYFUNCTION("GOOGLETRANSLATE(B19499, ""zh"", ""en"")"),"Good dissolution, tried it tastes good, taste like high Lego, good food, but not particularly sweet, acceptable range, they used an ordinary cup of punch, cover the lid shakes, dissolve well, there is foaming, no not soluble Lumps. No washing of cups, con"&amp;"tinue with the water, a little odor. Good packaging, express open when a little dusting, easy to find a spoon in it, you need to find half a day with chopsticks, with the experience and did not feel at present, just once. First time to buy protein powder,"&amp;" do not know the true and false")</f>
        <v>Good dissolution, tried it tastes good, taste like high Lego, good food, but not particularly sweet, acceptable range, they used an ordinary cup of punch, cover the lid shakes, dissolve well, there is foaming, no not soluble Lumps. No washing of cups, continue with the water, a little odor. Good packaging, express open when a little dusting, easy to find a spoon in it, you need to find half a day with chopsticks, with the experience and did not feel at present, just once. First time to buy protein powder, do not know the true and false</v>
      </c>
    </row>
    <row r="19500">
      <c r="A19500" s="1">
        <v>5.0</v>
      </c>
      <c r="B19500" s="1" t="s">
        <v>19245</v>
      </c>
      <c r="C19500" t="str">
        <f>IFERROR(__xludf.DUMMYFUNCTION("GOOGLETRANSLATE(B19500, ""zh"", ""en"")"),"Like I liked it, I have trusted Thermos")</f>
        <v>Like I liked it, I have trusted Thermos</v>
      </c>
    </row>
    <row r="19501">
      <c r="A19501" s="1">
        <v>5.0</v>
      </c>
      <c r="B19501" s="1" t="s">
        <v>19246</v>
      </c>
      <c r="C19501" t="str">
        <f>IFERROR(__xludf.DUMMYFUNCTION("GOOGLETRANSLATE(B19501, ""zh"", ""en"")"),"When jobs to the children, and twist something very convenient! When jobs to the children, and twist something very convenient!")</f>
        <v>When jobs to the children, and twist something very convenient! When jobs to the children, and twist something very convenient!</v>
      </c>
    </row>
    <row r="19502">
      <c r="A19502" s="1">
        <v>2.0</v>
      </c>
      <c r="B19502" s="1" t="s">
        <v>19247</v>
      </c>
      <c r="C19502" t="str">
        <f>IFERROR(__xludf.DUMMYFUNCTION("GOOGLETRANSLATE(B19502, ""zh"", ""en"")"),"Packaging rough simple box broke not only did the packaging, do not have taped it sent the box on. Box are broken. Filter immediately leak out. Amazon, you really can.")</f>
        <v>Packaging rough simple box broke not only did the packaging, do not have taped it sent the box on. Box are broken. Filter immediately leak out. Amazon, you really can.</v>
      </c>
    </row>
    <row r="19503">
      <c r="A19503" s="1">
        <v>3.0</v>
      </c>
      <c r="B19503" s="1" t="s">
        <v>19248</v>
      </c>
      <c r="C19503" t="str">
        <f>IFERROR(__xludf.DUMMYFUNCTION("GOOGLETRANSLATE(B19503, ""zh"", ""en"")"),"No jacket pouch on the picture! No jacket pouch on the picture! Other satisfaction! ! !")</f>
        <v>No jacket pouch on the picture! No jacket pouch on the picture! Other satisfaction! ! !</v>
      </c>
    </row>
    <row r="19504">
      <c r="A19504" s="1">
        <v>3.0</v>
      </c>
      <c r="B19504" s="1" t="s">
        <v>19249</v>
      </c>
      <c r="C19504" t="str">
        <f>IFERROR(__xludf.DUMMYFUNCTION("GOOGLETRANSLATE(B19504, ""zh"", ""en"")"),"It looks pretty good. I did not imagine ugly, pretty good-looking")</f>
        <v>It looks pretty good. I did not imagine ugly, pretty good-looking</v>
      </c>
    </row>
    <row r="19505">
      <c r="A19505" s="1">
        <v>3.0</v>
      </c>
      <c r="B19505" s="1" t="s">
        <v>19250</v>
      </c>
      <c r="C19505" t="str">
        <f>IFERROR(__xludf.DUMMYFUNCTION("GOOGLETRANSLATE(B19505, ""zh"", ""en"")"),"Some hard soles soles hard, not suitable for everyday wear, for the first time to buy such shoes, it is probably not used to this style")</f>
        <v>Some hard soles soles hard, not suitable for everyday wear, for the first time to buy such shoes, it is probably not used to this style</v>
      </c>
    </row>
    <row r="19506">
      <c r="A19506" s="1">
        <v>1.0</v>
      </c>
      <c r="B19506" s="1" t="s">
        <v>19251</v>
      </c>
      <c r="C19506" t="str">
        <f>IFERROR(__xludf.DUMMYFUNCTION("GOOGLETRANSLATE(B19506, ""zh"", ""en"")"),"Not satisfied with the genuine appearance are even wearing different non-genuine okay")</f>
        <v>Not satisfied with the genuine appearance are even wearing different non-genuine okay</v>
      </c>
    </row>
    <row r="19507">
      <c r="A19507" s="1">
        <v>1.0</v>
      </c>
      <c r="B19507" s="1" t="s">
        <v>19252</v>
      </c>
      <c r="C19507" t="str">
        <f>IFERROR(__xludf.DUMMYFUNCTION("GOOGLETRANSLATE(B19507, ""zh"", ""en"")"),"Before prudent to buy regret buying cheaper plans did not watch the comments, the quality is really secondary, bristles up to a week on the bombing, not as domestic knockoff")</f>
        <v>Before prudent to buy regret buying cheaper plans did not watch the comments, the quality is really secondary, bristles up to a week on the bombing, not as domestic knockoff</v>
      </c>
    </row>
    <row r="19508">
      <c r="A19508" s="1">
        <v>1.0</v>
      </c>
      <c r="B19508" s="1" t="s">
        <v>19253</v>
      </c>
      <c r="C19508" t="str">
        <f>IFERROR(__xludf.DUMMYFUNCTION("GOOGLETRANSLATE(B19508, ""zh"", ""en"")"),"Severe left foot wear the shoes you want to buy the students to be careful ah, left foot serious foot wear, to wear for a day, which wears leather heel. Due to our side temperature was cold yesterday, so buy now to wear, because the results of customer se"&amp;"rvice that sign for longer than a month, not to return. Profound lesson ah. . . . . .")</f>
        <v>Severe left foot wear the shoes you want to buy the students to be careful ah, left foot serious foot wear, to wear for a day, which wears leather heel. Due to our side temperature was cold yesterday, so buy now to wear, because the results of customer service that sign for longer than a month, not to return. Profound lesson ah. . . . . .</v>
      </c>
    </row>
    <row r="19509">
      <c r="A19509" s="1">
        <v>4.0</v>
      </c>
      <c r="B19509" s="1" t="s">
        <v>19254</v>
      </c>
      <c r="C19509" t="str">
        <f>IFERROR(__xludf.DUMMYFUNCTION("GOOGLETRANSLATE(B19509, ""zh"", ""en"")"),"According to the actual size of a large number of buy than 260 shoe size, but the actual shoes large a yard")</f>
        <v>According to the actual size of a large number of buy than 260 shoe size, but the actual shoes large a yard</v>
      </c>
    </row>
    <row r="19510">
      <c r="A19510" s="1">
        <v>4.0</v>
      </c>
      <c r="B19510" s="1" t="s">
        <v>19255</v>
      </c>
      <c r="C19510" t="str">
        <f>IFERROR(__xludf.DUMMYFUNCTION("GOOGLETRANSLATE(B19510, ""zh"", ""en"")"),"Generally, the Forum artifact feel the sound muffled, true in general, but worthy of the price of full reduction of 100. Artifact on the forum.")</f>
        <v>Generally, the Forum artifact feel the sound muffled, true in general, but worthy of the price of full reduction of 100. Artifact on the forum.</v>
      </c>
    </row>
    <row r="19511">
      <c r="A19511" s="1">
        <v>4.0</v>
      </c>
      <c r="B19511" s="1" t="s">
        <v>19256</v>
      </c>
      <c r="C19511" t="str">
        <f>IFERROR(__xludf.DUMMYFUNCTION("GOOGLETRANSLATE(B19511, ""zh"", ""en"")"),"Good quality shoes in addition to some big shoes did not say, style is also very nice, so how big is the size, number 8 buy this, buy a number of styles almost 9 last year, this year's results are much better than No. 8 No. 9 last year to at least one lar"&amp;"ge yards.")</f>
        <v>Good quality shoes in addition to some big shoes did not say, style is also very nice, so how big is the size, number 8 buy this, buy a number of styles almost 9 last year, this year's results are much better than No. 8 No. 9 last year to at least one large yards.</v>
      </c>
    </row>
    <row r="19512">
      <c r="A19512" s="1">
        <v>4.0</v>
      </c>
      <c r="B19512" s="1" t="s">
        <v>19257</v>
      </c>
      <c r="C19512" t="str">
        <f>IFERROR(__xludf.DUMMYFUNCTION("GOOGLETRANSLATE(B19512, ""zh"", ""en"")"),"Praise T-shirt version of the type well, the fabric quality in general")</f>
        <v>Praise T-shirt version of the type well, the fabric quality in general</v>
      </c>
    </row>
    <row r="19513">
      <c r="A19513" s="1">
        <v>5.0</v>
      </c>
      <c r="B19513" s="1" t="s">
        <v>19258</v>
      </c>
      <c r="C19513" t="str">
        <f>IFERROR(__xludf.DUMMYFUNCTION("GOOGLETRANSLATE(B19513, ""zh"", ""en"")"),"Or fly like the shoes code, in accordance with the normal wear orders on the line")</f>
        <v>Or fly like the shoes code, in accordance with the normal wear orders on the line</v>
      </c>
    </row>
    <row r="19514">
      <c r="A19514" s="1">
        <v>5.0</v>
      </c>
      <c r="B19514" s="1" t="s">
        <v>19259</v>
      </c>
      <c r="C19514" t="str">
        <f>IFERROR(__xludf.DUMMYFUNCTION("GOOGLETRANSLATE(B19514, ""zh"", ""en"")"),"Like to feel good, wear comfortable, good-looking! What is certain when it comes to discount buy two!")</f>
        <v>Like to feel good, wear comfortable, good-looking! What is certain when it comes to discount buy two!</v>
      </c>
    </row>
    <row r="19515">
      <c r="A19515" s="1">
        <v>5.0</v>
      </c>
      <c r="B19515" s="1" t="s">
        <v>19260</v>
      </c>
      <c r="C19515" t="str">
        <f>IFERROR(__xludf.DUMMYFUNCTION("GOOGLETRANSLATE(B19515, ""zh"", ""en"")"),"Very, very good quality, very comfortable")</f>
        <v>Very, very good quality, very comfortable</v>
      </c>
    </row>
    <row r="19516">
      <c r="A19516" s="1">
        <v>5.0</v>
      </c>
      <c r="B19516" s="1" t="s">
        <v>19261</v>
      </c>
      <c r="C19516" t="str">
        <f>IFERROR(__xludf.DUMMYFUNCTION("GOOGLETRANSLATE(B19516, ""zh"", ""en"")"),"Do not hesitate to buy a nice comfortable quickly, is to quickly start. Size standards of comfort class set off beautiful feet. 120 minutes")</f>
        <v>Do not hesitate to buy a nice comfortable quickly, is to quickly start. Size standards of comfort class set off beautiful feet. 120 minutes</v>
      </c>
    </row>
    <row r="19517">
      <c r="A19517" s="1">
        <v>5.0</v>
      </c>
      <c r="B19517" s="1" t="s">
        <v>19262</v>
      </c>
      <c r="C19517" t="str">
        <f>IFERROR(__xludf.DUMMYFUNCTION("GOOGLETRANSLATE(B19517, ""zh"", ""en"")"),"Good belt like the belt of their home, simplicity, fidelity, rugged, has begun to use, and very man")</f>
        <v>Good belt like the belt of their home, simplicity, fidelity, rugged, has begun to use, and very man</v>
      </c>
    </row>
    <row r="19518">
      <c r="A19518" s="1">
        <v>5.0</v>
      </c>
      <c r="B19518" s="1" t="s">
        <v>19263</v>
      </c>
      <c r="C19518" t="str">
        <f>IFERROR(__xludf.DUMMYFUNCTION("GOOGLETRANSLATE(B19518, ""zh"", ""en"")"),"Yes underwear underwear good, comfort, satisfaction")</f>
        <v>Yes underwear underwear good, comfort, satisfaction</v>
      </c>
    </row>
    <row r="19519">
      <c r="A19519" s="1">
        <v>5.0</v>
      </c>
      <c r="B19519" s="1" t="s">
        <v>19264</v>
      </c>
      <c r="C19519" t="str">
        <f>IFERROR(__xludf.DUMMYFUNCTION("GOOGLETRANSLATE(B19519, ""zh"", ""en"")"),"ecco ecco shoes, comfortable and beautiful like the shoes, once bought two pairs, this shoe is very comfortable, breathable, the price is a little high, 850 + tax, there is a small little expensive, but comfortable wearing stylish, 5 star praise.")</f>
        <v>ecco ecco shoes, comfortable and beautiful like the shoes, once bought two pairs, this shoe is very comfortable, breathable, the price is a little high, 850 + tax, there is a small little expensive, but comfortable wearing stylish, 5 star praise.</v>
      </c>
    </row>
    <row r="19520">
      <c r="A19520" s="1">
        <v>5.0</v>
      </c>
      <c r="B19520" s="1" t="s">
        <v>19265</v>
      </c>
      <c r="C19520" t="str">
        <f>IFERROR(__xludf.DUMMYFUNCTION("GOOGLETRANSLATE(B19520, ""zh"", ""en"")"),"Taste not Tell, but the taste is really tasty")</f>
        <v>Taste not Tell, but the taste is really tasty</v>
      </c>
    </row>
    <row r="19521">
      <c r="A19521" s="1">
        <v>5.0</v>
      </c>
      <c r="B19521" s="1" t="s">
        <v>19266</v>
      </c>
      <c r="C19521" t="str">
        <f>IFERROR(__xludf.DUMMYFUNCTION("GOOGLETRANSLATE(B19521, ""zh"", ""en"")"),"1.62, 89. Bust weight 60.M code appropriate, this relatively thin denim jacket upper arm, arms thick careful to buy 1.62 Dolls, bust 89 weight 60.M code appropriate, this denim jacket arm relatively thin, thick arms Dolls careful to buy. Good quality, col"&amp;"or pictures.")</f>
        <v>1.62, 89. Bust weight 60.M code appropriate, this relatively thin denim jacket upper arm, arms thick careful to buy 1.62 Dolls, bust 89 weight 60.M code appropriate, this denim jacket arm relatively thin, thick arms Dolls careful to buy. Good quality, color pictures.</v>
      </c>
    </row>
    <row r="19522">
      <c r="A19522" s="1">
        <v>5.0</v>
      </c>
      <c r="B19522" s="1" t="s">
        <v>19267</v>
      </c>
      <c r="C19522" t="str">
        <f>IFERROR(__xludf.DUMMYFUNCTION("GOOGLETRANSLATE(B19522, ""zh"", ""en"")"),"The price is right to buy good half-ear, the sound quality close to the Apple wired headset, a JBL style is accustomed to tuning, partial human voice in the middle ...")</f>
        <v>The price is right to buy good half-ear, the sound quality close to the Apple wired headset, a JBL style is accustomed to tuning, partial human voice in the middle ...</v>
      </c>
    </row>
    <row r="19523">
      <c r="A19523" s="1">
        <v>5.0</v>
      </c>
      <c r="B19523" s="1" t="s">
        <v>19268</v>
      </c>
      <c r="C19523" t="str">
        <f>IFERROR(__xludf.DUMMYFUNCTION("GOOGLETRANSLATE(B19523, ""zh"", ""en"")"),"A little short 175cm, 70kg, M No. sleeves long enough but a little height")</f>
        <v>A little short 175cm, 70kg, M No. sleeves long enough but a little height</v>
      </c>
    </row>
    <row r="19524">
      <c r="A19524" s="1">
        <v>5.0</v>
      </c>
      <c r="B19524" s="1" t="s">
        <v>19269</v>
      </c>
      <c r="C19524" t="str">
        <f>IFERROR(__xludf.DUMMYFUNCTION("GOOGLETRANSLATE(B19524, ""zh"", ""en"")"),"A sea Amoy 172 cm high price, 145 pounds, wearing this size slightly larger than the same size Wrangler to loose points, work is very solid, fabric thick, suitable for autumn and winter, the legs a little big, it is the US version of the style of it but w"&amp;"earing more comfortable. Buy price 146+ tariff, about 160, cost-effective.")</f>
        <v>A sea Amoy 172 cm high price, 145 pounds, wearing this size slightly larger than the same size Wrangler to loose points, work is very solid, fabric thick, suitable for autumn and winter, the legs a little big, it is the US version of the style of it but wearing more comfortable. Buy price 146+ tariff, about 160, cost-effective.</v>
      </c>
    </row>
    <row r="19525">
      <c r="A19525" s="1">
        <v>5.0</v>
      </c>
      <c r="B19525" s="1" t="s">
        <v>19270</v>
      </c>
      <c r="C19525" t="str">
        <f>IFERROR(__xludf.DUMMYFUNCTION("GOOGLETRANSLATE(B19525, ""zh"", ""en"")"),"Standard size is very standard size, according to the international unit conversion on it, belt quality is very light, but very strong.")</f>
        <v>Standard size is very standard size, according to the international unit conversion on it, belt quality is very light, but very strong.</v>
      </c>
    </row>
    <row r="19526">
      <c r="A19526" s="1">
        <v>5.0</v>
      </c>
      <c r="B19526" s="1" t="s">
        <v>19271</v>
      </c>
      <c r="C19526" t="str">
        <f>IFERROR(__xludf.DUMMYFUNCTION("GOOGLETRANSLATE(B19526, ""zh"", ""en"")"),"Oversized 170 tall, 70 kg body weight have to wear a big. good quality")</f>
        <v>Oversized 170 tall, 70 kg body weight have to wear a big. good quality</v>
      </c>
    </row>
    <row r="19527">
      <c r="A19527" s="1">
        <v>5.0</v>
      </c>
      <c r="B19527" s="1" t="s">
        <v>19272</v>
      </c>
      <c r="C19527" t="str">
        <f>IFERROR(__xludf.DUMMYFUNCTION("GOOGLETRANSLATE(B19527, ""zh"", ""en"")"),"Good insulation performance, stylish looks good, the mouth can be removed for easy cleaning, domestic websites than purchasing cheaper, very satisfied with my mom")</f>
        <v>Good insulation performance, stylish looks good, the mouth can be removed for easy cleaning, domestic websites than purchasing cheaper, very satisfied with my mom</v>
      </c>
    </row>
    <row r="19528">
      <c r="A19528" s="1">
        <v>5.0</v>
      </c>
      <c r="B19528" s="1" t="s">
        <v>19273</v>
      </c>
      <c r="C19528" t="str">
        <f>IFERROR(__xludf.DUMMYFUNCTION("GOOGLETRANSLATE(B19528, ""zh"", ""en"")"),"Well, and I believe will do better in the future, people of Chinese tea, the water quality requirements are particularly high, but natural mountain spring water is hard to find, filter jug ​​appeared just solved the problem, but I believe the future in de"&amp;"sign it would be better aesthetic aspects of a more refined, and a filter out of the water just cook a pot of tea, and change the filter more straightforward tips ~")</f>
        <v>Well, and I believe will do better in the future, people of Chinese tea, the water quality requirements are particularly high, but natural mountain spring water is hard to find, filter jug ​​appeared just solved the problem, but I believe the future in design it would be better aesthetic aspects of a more refined, and a filter out of the water just cook a pot of tea, and change the filter more straightforward tips ~</v>
      </c>
    </row>
    <row r="19529">
      <c r="A19529" s="1">
        <v>5.0</v>
      </c>
      <c r="B19529" s="1" t="s">
        <v>19274</v>
      </c>
      <c r="C19529" t="str">
        <f>IFERROR(__xludf.DUMMYFUNCTION("GOOGLETRANSLATE(B19529, ""zh"", ""en"")"),"Satisfied with the shopping")</f>
        <v>Satisfied with the shopping</v>
      </c>
    </row>
    <row r="19530">
      <c r="A19530" s="1">
        <v>5.0</v>
      </c>
      <c r="B19530" s="1" t="s">
        <v>19275</v>
      </c>
      <c r="C19530" t="str">
        <f>IFERROR(__xludf.DUMMYFUNCTION("GOOGLETRANSLATE(B19530, ""zh"", ""en"")"),"Classical weapon used a aiwa CD Walkman McIntosh played a classical CD, dramatically changed my views on this CD, it used to be no good headphones. Especially the drums, very good piece of classical headphones weapon. I have no amp, but the thrust of AIWA"&amp;" may be good.")</f>
        <v>Classical weapon used a aiwa CD Walkman McIntosh played a classical CD, dramatically changed my views on this CD, it used to be no good headphones. Especially the drums, very good piece of classical headphones weapon. I have no amp, but the thrust of AIWA may be good.</v>
      </c>
    </row>
    <row r="19531">
      <c r="A19531" s="1">
        <v>5.0</v>
      </c>
      <c r="B19531" s="1" t="s">
        <v>3617</v>
      </c>
      <c r="C19531" t="str">
        <f>IFERROR(__xludf.DUMMYFUNCTION("GOOGLETRANSLATE(B19531, ""zh"", ""en"")"),"Well that is a little uncomfortable when wearing white clothes through")</f>
        <v>Well that is a little uncomfortable when wearing white clothes through</v>
      </c>
    </row>
    <row r="19532">
      <c r="A19532" s="1">
        <v>5.0</v>
      </c>
      <c r="B19532" s="1" t="s">
        <v>19276</v>
      </c>
      <c r="C19532" t="str">
        <f>IFERROR(__xludf.DUMMYFUNCTION("GOOGLETRANSLATE(B19532, ""zh"", ""en"")"),"The baby is like, the color workmanship are worthy of the brand with the baby for a while, the insulation effect in general, but in this age is appropriate.")</f>
        <v>The baby is like, the color workmanship are worthy of the brand with the baby for a while, the insulation effect in general, but in this age is appropriate.</v>
      </c>
    </row>
    <row r="19533">
      <c r="A19533" s="1">
        <v>5.0</v>
      </c>
      <c r="B19533" s="1" t="s">
        <v>19277</v>
      </c>
      <c r="C19533" t="str">
        <f>IFERROR(__xludf.DUMMYFUNCTION("GOOGLETRANSLATE(B19533, ""zh"", ""en"")"),"Before elastic quality are good to buy a husband abroad especially comfortable to wear. The first attempt to buy on Amazon, although production in Vietnam but the quality is good. And stretch fabric is quite good, is primarily a cheaper price with foreign"&amp;" than domestic.")</f>
        <v>Before elastic quality are good to buy a husband abroad especially comfortable to wear. The first attempt to buy on Amazon, although production in Vietnam but the quality is good. And stretch fabric is quite good, is primarily a cheaper price with foreign than domestic.</v>
      </c>
    </row>
    <row r="19534">
      <c r="A19534" s="1">
        <v>5.0</v>
      </c>
      <c r="B19534" s="1" t="s">
        <v>19278</v>
      </c>
      <c r="C19534" t="str">
        <f>IFERROR(__xludf.DUMMYFUNCTION("GOOGLETRANSLATE(B19534, ""zh"", ""en"")"),"Zojirushi likes, buy and buy")</f>
        <v>Zojirushi likes, buy and buy</v>
      </c>
    </row>
    <row r="19535">
      <c r="A19535" s="1">
        <v>2.0</v>
      </c>
      <c r="B19535" s="1" t="s">
        <v>19279</v>
      </c>
      <c r="C19535" t="str">
        <f>IFERROR(__xludf.DUMMYFUNCTION("GOOGLETRANSLATE(B19535, ""zh"", ""en"")"),"Shipping errors right size, buy is 9uk, sent me a 9.5uk, a great big slice. This is how the Amazon")</f>
        <v>Shipping errors right size, buy is 9uk, sent me a 9.5uk, a great big slice. This is how the Amazon</v>
      </c>
    </row>
    <row r="19536">
      <c r="A19536" s="1">
        <v>3.0</v>
      </c>
      <c r="B19536" s="1" t="s">
        <v>19280</v>
      </c>
      <c r="C19536" t="str">
        <f>IFERROR(__xludf.DUMMYFUNCTION("GOOGLETRANSLATE(B19536, ""zh"", ""en"")"),"After the waist does not hesitate or not returned")</f>
        <v>After the waist does not hesitate or not returned</v>
      </c>
    </row>
    <row r="19537">
      <c r="A19537" s="1">
        <v>3.0</v>
      </c>
      <c r="B19537" s="1" t="s">
        <v>19281</v>
      </c>
      <c r="C19537" t="str">
        <f>IFERROR(__xludf.DUMMYFUNCTION("GOOGLETRANSLATE(B19537, ""zh"", ""en"")"),"Software problem quickly received something, but there is a problem, broadcasting and recording are set to yeti, so as not to record vocals and accompaniment inside the computer at the same time. How should I do")</f>
        <v>Software problem quickly received something, but there is a problem, broadcasting and recording are set to yeti, so as not to record vocals and accompaniment inside the computer at the same time. How should I do</v>
      </c>
    </row>
    <row r="19538">
      <c r="A19538" s="1">
        <v>3.0</v>
      </c>
      <c r="B19538" s="1" t="s">
        <v>19282</v>
      </c>
      <c r="C19538" t="str">
        <f>IFERROR(__xludf.DUMMYFUNCTION("GOOGLETRANSLATE(B19538, ""zh"", ""en"")"),"Unlike Tiger Cup insulation insulation effect in general")</f>
        <v>Unlike Tiger Cup insulation insulation effect in general</v>
      </c>
    </row>
    <row r="19539">
      <c r="A19539" s="1">
        <v>1.0</v>
      </c>
      <c r="B19539" s="1" t="s">
        <v>19283</v>
      </c>
      <c r="C19539" t="str">
        <f>IFERROR(__xludf.DUMMYFUNCTION("GOOGLETRANSLATE(B19539, ""zh"", ""en"")"),"Fade serious defective products have never seen such a poor quality, fade serious, on the washing machine, the other shirt T-shirt all stained.")</f>
        <v>Fade serious defective products have never seen such a poor quality, fade serious, on the washing machine, the other shirt T-shirt all stained.</v>
      </c>
    </row>
    <row r="19540">
      <c r="A19540" s="1">
        <v>1.0</v>
      </c>
      <c r="B19540" s="1" t="s">
        <v>19284</v>
      </c>
      <c r="C19540" t="str">
        <f>IFERROR(__xludf.DUMMYFUNCTION("GOOGLETRANSLATE(B19540, ""zh"", ""en"")"),"Three defective filter which only one can be used, the other two are leaking black powder, water failed completely filtered")</f>
        <v>Three defective filter which only one can be used, the other two are leaking black powder, water failed completely filtered</v>
      </c>
    </row>
    <row r="19541">
      <c r="A19541" s="1">
        <v>4.0</v>
      </c>
      <c r="B19541" s="1" t="s">
        <v>19285</v>
      </c>
      <c r="C19541" t="str">
        <f>IFERROR(__xludf.DUMMYFUNCTION("GOOGLETRANSLATE(B19541, ""zh"", ""en"")"),"Pants height 178 weight 145 number to buy m still a little long")</f>
        <v>Pants height 178 weight 145 number to buy m still a little long</v>
      </c>
    </row>
    <row r="19542">
      <c r="A19542" s="1">
        <v>4.0</v>
      </c>
      <c r="B19542" s="1" t="s">
        <v>19286</v>
      </c>
      <c r="C19542" t="str">
        <f>IFERROR(__xludf.DUMMYFUNCTION("GOOGLETRANSLATE(B19542, ""zh"", ""en"")"),"Pretty good, do not know the price of cost-effective protein content is not less than canned, or muscle grow now to a certain extent is not as good long.")</f>
        <v>Pretty good, do not know the price of cost-effective protein content is not less than canned, or muscle grow now to a certain extent is not as good long.</v>
      </c>
    </row>
    <row r="19543">
      <c r="A19543" s="1">
        <v>4.0</v>
      </c>
      <c r="B19543" s="1" t="s">
        <v>19287</v>
      </c>
      <c r="C19543" t="str">
        <f>IFERROR(__xludf.DUMMYFUNCTION("GOOGLETRANSLATE(B19543, ""zh"", ""en"")"),"172cm 75kg, choose the M number, a lot of big, should choose S number, back, clothes itself is very good, light, good texture 172cm 75kg, choose the M number, a lot of big, should select the number of S, back, clothes itself is very good, light, good text"&amp;"ure")</f>
        <v>172cm 75kg, choose the M number, a lot of big, should choose S number, back, clothes itself is very good, light, good texture 172cm 75kg, choose the M number, a lot of big, should select the number of S, back, clothes itself is very good, light, good texture</v>
      </c>
    </row>
    <row r="19544">
      <c r="A19544" s="1">
        <v>4.0</v>
      </c>
      <c r="B19544" s="1" t="s">
        <v>19288</v>
      </c>
      <c r="C19544" t="str">
        <f>IFERROR(__xludf.DUMMYFUNCTION("GOOGLETRANSLATE(B19544, ""zh"", ""en"")"),"Too large a portion of section legs, buttocks apparent size is too large, the waist fit.")</f>
        <v>Too large a portion of section legs, buttocks apparent size is too large, the waist fit.</v>
      </c>
    </row>
    <row r="19545">
      <c r="A19545" s="1">
        <v>4.0</v>
      </c>
      <c r="B19545" s="1" t="s">
        <v>19289</v>
      </c>
      <c r="C19545" t="str">
        <f>IFERROR(__xludf.DUMMYFUNCTION("GOOGLETRANSLATE(B19545, ""zh"", ""en"")"),"Bottle with them did not feel where there are problems, you can")</f>
        <v>Bottle with them did not feel where there are problems, you can</v>
      </c>
    </row>
    <row r="19546">
      <c r="A19546" s="1">
        <v>5.0</v>
      </c>
      <c r="B19546" s="1" t="s">
        <v>19290</v>
      </c>
      <c r="C19546" t="str">
        <f>IFERROR(__xludf.DUMMYFUNCTION("GOOGLETRANSLATE(B19546, ""zh"", ""en"")"),"Suitable for use toothpaste to brush up well. Cheaper than domestic.")</f>
        <v>Suitable for use toothpaste to brush up well. Cheaper than domestic.</v>
      </c>
    </row>
    <row r="19547">
      <c r="A19547" s="1">
        <v>5.0</v>
      </c>
      <c r="B19547" s="1" t="s">
        <v>19291</v>
      </c>
      <c r="C19547" t="str">
        <f>IFERROR(__xludf.DUMMYFUNCTION("GOOGLETRANSLATE(B19547, ""zh"", ""en"")"),"Cost-effective to buy a few pieces, the price is good, the quality is not bad, I 170 high, 75 kilos belong partial sturdy body type, wear L number is appropriate. Amazon also logistics speed super fast, three days arrival. Do not ask too much clothes as a"&amp;" whole, the championship is still very good value for money.")</f>
        <v>Cost-effective to buy a few pieces, the price is good, the quality is not bad, I 170 high, 75 kilos belong partial sturdy body type, wear L number is appropriate. Amazon also logistics speed super fast, three days arrival. Do not ask too much clothes as a whole, the championship is still very good value for money.</v>
      </c>
    </row>
    <row r="19548">
      <c r="A19548" s="1">
        <v>5.0</v>
      </c>
      <c r="B19548" s="1" t="s">
        <v>19292</v>
      </c>
      <c r="C19548" t="str">
        <f>IFERROR(__xludf.DUMMYFUNCTION("GOOGLETRANSLATE(B19548, ""zh"", ""en"")"),"Worth having without further ado, is definitely worth having a pair of shoes")</f>
        <v>Worth having without further ado, is definitely worth having a pair of shoes</v>
      </c>
    </row>
    <row r="19549">
      <c r="A19549" s="1">
        <v>5.0</v>
      </c>
      <c r="B19549" s="1" t="s">
        <v>19293</v>
      </c>
      <c r="C19549" t="str">
        <f>IFERROR(__xludf.DUMMYFUNCTION("GOOGLETRANSLATE(B19549, ""zh"", ""en"")"),"Yes! Before the family ate dimension Glucosamine works well. But there is no good to continue to eat, FLAC two years the Ministry of joint Youteng. Before the subject is green, try the Blue Label")</f>
        <v>Yes! Before the family ate dimension Glucosamine works well. But there is no good to continue to eat, FLAC two years the Ministry of joint Youteng. Before the subject is green, try the Blue Label</v>
      </c>
    </row>
    <row r="19550">
      <c r="A19550" s="1">
        <v>5.0</v>
      </c>
      <c r="B19550" s="1" t="s">
        <v>19294</v>
      </c>
      <c r="C19550" t="str">
        <f>IFERROR(__xludf.DUMMYFUNCTION("GOOGLETRANSLATE(B19550, ""zh"", ""en"")"),"Easy to use is very good, packaging is also sent over Germany there is no damage, improved a lot than the old version, with a capacity suitable for family")</f>
        <v>Easy to use is very good, packaging is also sent over Germany there is no damage, improved a lot than the old version, with a capacity suitable for family</v>
      </c>
    </row>
    <row r="19551">
      <c r="A19551" s="1">
        <v>5.0</v>
      </c>
      <c r="B19551" s="1" t="s">
        <v>19295</v>
      </c>
      <c r="C19551" t="str">
        <f>IFERROR(__xludf.DUMMYFUNCTION("GOOGLETRANSLATE(B19551, ""zh"", ""en"")"),"Well just buy, the result is very good. I like to use Straight Cup. Thick stainless steel cup at (a double), like")</f>
        <v>Well just buy, the result is very good. I like to use Straight Cup. Thick stainless steel cup at (a double), like</v>
      </c>
    </row>
    <row r="19552">
      <c r="A19552" s="1">
        <v>5.0</v>
      </c>
      <c r="B19552" s="1" t="s">
        <v>19296</v>
      </c>
      <c r="C19552" t="str">
        <f>IFERROR(__xludf.DUMMYFUNCTION("GOOGLETRANSLATE(B19552, ""zh"", ""en"")"),"Activity cost is very high price did not carefully listened 8010 such as a public 3-inch monitor, so I can not do with the size comparison. Comparison with the family sc205 minimum 5-inch, full inferior in particular low frequency, and in complex scenario"&amp;"s sound a little clouding (decoding may be portable pot), another work in general. But the price is so cheap 3-inch speaker, the already amazing enough, the little house near field listening very appropriate, in 2000-2500 files can be considered very comp"&amp;"etitive.")</f>
        <v>Activity cost is very high price did not carefully listened 8010 such as a public 3-inch monitor, so I can not do with the size comparison. Comparison with the family sc205 minimum 5-inch, full inferior in particular low frequency, and in complex scenarios sound a little clouding (decoding may be portable pot), another work in general. But the price is so cheap 3-inch speaker, the already amazing enough, the little house near field listening very appropriate, in 2000-2500 files can be considered very competitive.</v>
      </c>
    </row>
    <row r="19553">
      <c r="A19553" s="1">
        <v>5.0</v>
      </c>
      <c r="B19553" s="1" t="s">
        <v>19297</v>
      </c>
      <c r="C19553" t="str">
        <f>IFERROR(__xludf.DUMMYFUNCTION("GOOGLETRANSLATE(B19553, ""zh"", ""en"")"),"The quality is really super good! ! ! No fat feet buy most like to receive the shoes really super satisfied, it is 10 days from receipt to buy it, super fast, and super good quality! ! ! The most critical thing is that I usually UK4, foot fat, have hallux"&amp;" valgus, but not high instep, the number looking to buy more than half of Internet users say, is also just a good little freshman, does not appear the situation is not good to wear off, super satisfied, it is recommended to fat MM feet, and buy most of th"&amp;"e code, special bar quality good, but I bought a very expensive, nearly twice the others")</f>
        <v>The quality is really super good! ! ! No fat feet buy most like to receive the shoes really super satisfied, it is 10 days from receipt to buy it, super fast, and super good quality! ! ! The most critical thing is that I usually UK4, foot fat, have hallux valgus, but not high instep, the number looking to buy more than half of Internet users say, is also just a good little freshman, does not appear the situation is not good to wear off, super satisfied, it is recommended to fat MM feet, and buy most of the code, special bar quality good, but I bought a very expensive, nearly twice the others</v>
      </c>
    </row>
    <row r="19554">
      <c r="A19554" s="1">
        <v>5.0</v>
      </c>
      <c r="B19554" s="1" t="s">
        <v>19298</v>
      </c>
      <c r="C19554" t="str">
        <f>IFERROR(__xludf.DUMMYFUNCTION("GOOGLETRANSLATE(B19554, ""zh"", ""en"")"),"Reference data back to the buyer. 178cm height, weight 72kg, bust 97cm, arm length 186cm, code M is selected, as shown in FIG sleeves quite suitable, slim section, do liner, also when wearing the jacket, jacket is Alpha SL, both with a plan.")</f>
        <v>Reference data back to the buyer. 178cm height, weight 72kg, bust 97cm, arm length 186cm, code M is selected, as shown in FIG sleeves quite suitable, slim section, do liner, also when wearing the jacket, jacket is Alpha SL, both with a plan.</v>
      </c>
    </row>
    <row r="19555">
      <c r="A19555" s="1">
        <v>5.0</v>
      </c>
      <c r="B19555" s="1" t="s">
        <v>19299</v>
      </c>
      <c r="C19555" t="str">
        <f>IFERROR(__xludf.DUMMYFUNCTION("GOOGLETRANSLATE(B19555, ""zh"", ""en"")"),"Cost-effective consumable system toothbrush head, high cost. 8 which is also separately packaged separately, each of the head cover also comes clean.")</f>
        <v>Cost-effective consumable system toothbrush head, high cost. 8 which is also separately packaged separately, each of the head cover also comes clean.</v>
      </c>
    </row>
    <row r="19556">
      <c r="A19556" s="1">
        <v>5.0</v>
      </c>
      <c r="B19556" s="1" t="s">
        <v>19300</v>
      </c>
      <c r="C19556" t="str">
        <f>IFERROR(__xludf.DUMMYFUNCTION("GOOGLETRANSLATE(B19556, ""zh"", ""en"")"),"Belt buckles better than domestic products, I do not know whether genuine leather")</f>
        <v>Belt buckles better than domestic products, I do not know whether genuine leather</v>
      </c>
    </row>
    <row r="19557">
      <c r="A19557" s="1">
        <v>5.0</v>
      </c>
      <c r="B19557" s="1" t="s">
        <v>19301</v>
      </c>
      <c r="C19557" t="str">
        <f>IFERROR(__xludf.DUMMYFUNCTION("GOOGLETRANSLATE(B19557, ""zh"", ""en"")"),"Good four operating modes difference is obvious. Good work. Things are really great, is also preparing to buy a stand before it is received, after receiving found that simply do not buy highly enough. :) It was suggested higher operating modes needs to bu"&amp;"y PRO delivery speed really fast, from order to receipt of goods, but 5,6 days! Virtually no delays at any point. Increased in Central Asia after the United States and Asia to buy what confidence!")</f>
        <v>Good four operating modes difference is obvious. Good work. Things are really great, is also preparing to buy a stand before it is received, after receiving found that simply do not buy highly enough. :) It was suggested higher operating modes needs to buy PRO delivery speed really fast, from order to receipt of goods, but 5,6 days! Virtually no delays at any point. Increased in Central Asia after the United States and Asia to buy what confidence!</v>
      </c>
    </row>
    <row r="19558">
      <c r="A19558" s="1">
        <v>5.0</v>
      </c>
      <c r="B19558" s="1" t="s">
        <v>19302</v>
      </c>
      <c r="C19558" t="str">
        <f>IFERROR(__xludf.DUMMYFUNCTION("GOOGLETRANSLATE(B19558, ""zh"", ""en"")"),"Design Perfect! Light and comfortable! Significant foot thin! satisfied!")</f>
        <v>Design Perfect! Light and comfortable! Significant foot thin! satisfied!</v>
      </c>
    </row>
    <row r="19559">
      <c r="A19559" s="1">
        <v>5.0</v>
      </c>
      <c r="B19559" s="1" t="s">
        <v>19303</v>
      </c>
      <c r="C19559" t="str">
        <f>IFERROR(__xludf.DUMMYFUNCTION("GOOGLETRANSLATE(B19559, ""zh"", ""en"")"),"Lee trousers me Height 1.69m Weight 75kg. Waist 96cm. Upon receipt of the purchase W34 * L30 try very fit, that is, long pants rather long and 2cm. If you choose W34 * L29 will be good, send comments for your reference.")</f>
        <v>Lee trousers me Height 1.69m Weight 75kg. Waist 96cm. Upon receipt of the purchase W34 * L30 try very fit, that is, long pants rather long and 2cm. If you choose W34 * L29 will be good, send comments for your reference.</v>
      </c>
    </row>
    <row r="19560">
      <c r="A19560" s="1">
        <v>5.0</v>
      </c>
      <c r="B19560" s="1" t="s">
        <v>19304</v>
      </c>
      <c r="C19560" t="str">
        <f>IFERROR(__xludf.DUMMYFUNCTION("GOOGLETRANSLATE(B19560, ""zh"", ""en"")"),"Black has a little big but still nice")</f>
        <v>Black has a little big but still nice</v>
      </c>
    </row>
    <row r="19561">
      <c r="A19561" s="1">
        <v>5.0</v>
      </c>
      <c r="B19561" s="1" t="s">
        <v>19305</v>
      </c>
      <c r="C19561" t="str">
        <f>IFERROR(__xludf.DUMMYFUNCTION("GOOGLETRANSLATE(B19561, ""zh"", ""en"")"),"More appropriate to fairly appropriate")</f>
        <v>More appropriate to fairly appropriate</v>
      </c>
    </row>
    <row r="19562">
      <c r="A19562" s="1">
        <v>5.0</v>
      </c>
      <c r="B19562" s="1" t="s">
        <v>19306</v>
      </c>
      <c r="C19562" t="str">
        <f>IFERROR(__xludf.DUMMYFUNCTION("GOOGLETRANSLATE(B19562, ""zh"", ""en"")"),"It really is too beautiful sleeves, very cute, very nice, reluctantly gave a girl, very much.")</f>
        <v>It really is too beautiful sleeves, very cute, very nice, reluctantly gave a girl, very much.</v>
      </c>
    </row>
    <row r="19563">
      <c r="A19563" s="1">
        <v>5.0</v>
      </c>
      <c r="B19563" s="1" t="s">
        <v>19307</v>
      </c>
      <c r="C19563" t="str">
        <f>IFERROR(__xludf.DUMMYFUNCTION("GOOGLETRANSLATE(B19563, ""zh"", ""en"")"),"Casio pretty good-looking, beautiful, practical, like.")</f>
        <v>Casio pretty good-looking, beautiful, practical, like.</v>
      </c>
    </row>
    <row r="19564">
      <c r="A19564" s="1">
        <v>5.0</v>
      </c>
      <c r="B19564" s="1" t="s">
        <v>19308</v>
      </c>
      <c r="C19564" t="str">
        <f>IFERROR(__xludf.DUMMYFUNCTION("GOOGLETRANSLATE(B19564, ""zh"", ""en"")"),"The sole cushioning Nike 42.5,43 usually also comfortable, this 43.5 Wear appropriate, running not run, brought pressure the road, the sole really feel very comfortable! Sitting here now sitting, feeling a little hot.")</f>
        <v>The sole cushioning Nike 42.5,43 usually also comfortable, this 43.5 Wear appropriate, running not run, brought pressure the road, the sole really feel very comfortable! Sitting here now sitting, feeling a little hot.</v>
      </c>
    </row>
    <row r="19565">
      <c r="A19565" s="1">
        <v>5.0</v>
      </c>
      <c r="B19565" s="1" t="s">
        <v>19309</v>
      </c>
      <c r="C19565" t="str">
        <f>IFERROR(__xludf.DUMMYFUNCTION("GOOGLETRANSLATE(B19565, ""zh"", ""en"")"),"Soft skin-friendly material suitable size standard size, wearing comfortable, materials and workmanship are very good. satisfaction")</f>
        <v>Soft skin-friendly material suitable size standard size, wearing comfortable, materials and workmanship are very good. satisfaction</v>
      </c>
    </row>
    <row r="19566">
      <c r="A19566" s="1">
        <v>5.0</v>
      </c>
      <c r="B19566" s="1" t="s">
        <v>19310</v>
      </c>
      <c r="C19566" t="str">
        <f>IFERROR(__xludf.DUMMYFUNCTION("GOOGLETRANSLATE(B19566, ""zh"", ""en"")"),"Quite suitable, overall quite satisfactory. Length just right, quite right. Of course, the taste is still there, individuals can accept. Feeling a little hard, it may be a period of time with a softer and more. Cortex words can not say, because not many u"&amp;"sually contact, can only say that the individual is satisfied, the front cortex is smooth, but not reflective, the back is matte, feels very rough, there will be a little bit off the black particles, belt punch side and have no other treatment, directly t"&amp;"o the belt table are stripped out layers are demonstrated directly. Processing belt head suture also can be, and will not burst thread, it may be good luck. Metal belt buckle bleaching it will take time to examine. Here are some data, need for a reference"&amp;", wherein the amount of the belt 34 code. Belt head to tail 104.3CM; 108CM full length belt (metal belt buckle comprising a); belt width 3.35CM; 3MM belt thick; a first hole center from the belt tail most about 11.35CM; each hole center distance 2.5CM; 5 "&amp;"Total holes.")</f>
        <v>Quite suitable, overall quite satisfactory. Length just right, quite right. Of course, the taste is still there, individuals can accept. Feeling a little hard, it may be a period of time with a softer and more. Cortex words can not say, because not many usually contact, can only say that the individual is satisfied, the front cortex is smooth, but not reflective, the back is matte, feels very rough, there will be a little bit off the black particles, belt punch side and have no other treatment, directly to the belt table are stripped out layers are demonstrated directly. Processing belt head suture also can be, and will not burst thread, it may be good luck. Metal belt buckle bleaching it will take time to examine. Here are some data, need for a reference, wherein the amount of the belt 34 code. Belt head to tail 104.3CM; 108CM full length belt (metal belt buckle comprising a); belt width 3.35CM; 3MM belt thick; a first hole center from the belt tail most about 11.35CM; each hole center distance 2.5CM; 5 Total holes.</v>
      </c>
    </row>
    <row r="19567">
      <c r="A19567" s="1">
        <v>5.0</v>
      </c>
      <c r="B19567" s="1" t="s">
        <v>19311</v>
      </c>
      <c r="C19567" t="str">
        <f>IFERROR(__xludf.DUMMYFUNCTION("GOOGLETRANSLATE(B19567, ""zh"", ""en"")"),"Well just wear the right foot at the ankle foot wear badly, he added a foot wear stickers solved.")</f>
        <v>Well just wear the right foot at the ankle foot wear badly, he added a foot wear stickers solved.</v>
      </c>
    </row>
    <row r="19568">
      <c r="A19568" s="1">
        <v>2.0</v>
      </c>
      <c r="B19568" s="1" t="s">
        <v>19312</v>
      </c>
      <c r="C19568" t="str">
        <f>IFERROR(__xludf.DUMMYFUNCTION("GOOGLETRANSLATE(B19568, ""zh"", ""en"")"),"What does seem though, and the picture is the same, but the quality looks like a street goods, it really is a sub penny goods ~ ~ ~ So I'm going to put myself into a metal strap may also nice point.")</f>
        <v>What does seem though, and the picture is the same, but the quality looks like a street goods, it really is a sub penny goods ~ ~ ~ So I'm going to put myself into a metal strap may also nice point.</v>
      </c>
    </row>
    <row r="19569">
      <c r="A19569" s="1">
        <v>3.0</v>
      </c>
      <c r="B19569" s="1" t="s">
        <v>19313</v>
      </c>
      <c r="C19569" t="str">
        <f>IFERROR(__xludf.DUMMYFUNCTION("GOOGLETRANSLATE(B19569, ""zh"", ""en"")"),"Can look very nice, very light, which has a coating, but the insulation effect is not so good legend, are barely 24 hours.")</f>
        <v>Can look very nice, very light, which has a coating, but the insulation effect is not so good legend, are barely 24 hours.</v>
      </c>
    </row>
    <row r="19570">
      <c r="A19570" s="1">
        <v>3.0</v>
      </c>
      <c r="B19570" s="1" t="s">
        <v>19314</v>
      </c>
      <c r="C19570" t="str">
        <f>IFERROR(__xludf.DUMMYFUNCTION("GOOGLETRANSLATE(B19570, ""zh"", ""en"")"),"Material in general. Can also work, but material looks very good, wear feeling in general, did not meet expectations, signs are very rough, do not know whether it is genuine. I wanted to return, then think back and forth too much trouble, so I left. for r"&amp;"eference only.")</f>
        <v>Material in general. Can also work, but material looks very good, wear feeling in general, did not meet expectations, signs are very rough, do not know whether it is genuine. I wanted to return, then think back and forth too much trouble, so I left. for reference only.</v>
      </c>
    </row>
    <row r="19571">
      <c r="A19571" s="1">
        <v>1.0</v>
      </c>
      <c r="B19571" s="1" t="s">
        <v>19315</v>
      </c>
      <c r="C19571" t="str">
        <f>IFERROR(__xludf.DUMMYFUNCTION("GOOGLETRANSLATE(B19571, ""zh"", ""en"")"),"Zaoxin of a single shopping experience at the five black, the result did not receive such a long time, followed by a query, sign the package has already been asked a colleague to help sign around said no, and quickly contact the courier company, say you w"&amp;"ant to send the sender can initiate an inquiry, contacted Amazon customer service, I waited ten days, and finally figure out that the courier was mistakenly voted for someone else, and repeated turnover was finally retrieved the courier, the packaging has"&amp;" been removed, is still full of goods do not know is not used, in short, the very Zaoxin")</f>
        <v>Zaoxin of a single shopping experience at the five black, the result did not receive such a long time, followed by a query, sign the package has already been asked a colleague to help sign around said no, and quickly contact the courier company, say you want to send the sender can initiate an inquiry, contacted Amazon customer service, I waited ten days, and finally figure out that the courier was mistakenly voted for someone else, and repeated turnover was finally retrieved the courier, the packaging has been removed, is still full of goods do not know is not used, in short, the very Zaoxin</v>
      </c>
    </row>
    <row r="19572">
      <c r="A19572" s="1">
        <v>1.0</v>
      </c>
      <c r="B19572" s="1" t="s">
        <v>19316</v>
      </c>
      <c r="C19572" t="str">
        <f>IFERROR(__xludf.DUMMYFUNCTION("GOOGLETRANSLATE(B19572, ""zh"", ""en"")"),"About the quality of the Amazon are marked with the seal, simple to cast doubt on whether it is genuine, material is hard, uncomfortable to wear, for the first time to buy, very disappointed")</f>
        <v>About the quality of the Amazon are marked with the seal, simple to cast doubt on whether it is genuine, material is hard, uncomfortable to wear, for the first time to buy, very disappointed</v>
      </c>
    </row>
    <row r="19573">
      <c r="A19573" s="1">
        <v>1.0</v>
      </c>
      <c r="B19573" s="1" t="s">
        <v>19317</v>
      </c>
      <c r="C19573" t="str">
        <f>IFERROR(__xludf.DUMMYFUNCTION("GOOGLETRANSLATE(B19573, ""zh"", ""en"")"),"Poor quality, useless power can not be recharged a few times! Quality super bad ah, is not recommended to buy, buy half a year can not be charged, the charge is not power, but Amazon does not have any after-sale! ! A star do not want to")</f>
        <v>Poor quality, useless power can not be recharged a few times! Quality super bad ah, is not recommended to buy, buy half a year can not be charged, the charge is not power, but Amazon does not have any after-sale! ! A star do not want to</v>
      </c>
    </row>
    <row r="19574">
      <c r="A19574" s="1">
        <v>4.0</v>
      </c>
      <c r="B19574" s="1" t="s">
        <v>19318</v>
      </c>
      <c r="C19574" t="str">
        <f>IFERROR(__xludf.DUMMYFUNCTION("GOOGLETRANSLATE(B19574, ""zh"", ""en"")"),"Size begin to see the comment to buy! I weight 220 height 183. I bought the L number is too small button on the buckle is not given away!")</f>
        <v>Size begin to see the comment to buy! I weight 220 height 183. I bought the L number is too small button on the buckle is not given away!</v>
      </c>
    </row>
    <row r="19575">
      <c r="A19575" s="1">
        <v>4.0</v>
      </c>
      <c r="B19575" s="1" t="s">
        <v>19319</v>
      </c>
      <c r="C19575" t="str">
        <f>IFERROR(__xludf.DUMMYFUNCTION("GOOGLETRANSLATE(B19575, ""zh"", ""en"")"),"Nice pen for the first time with a German pen nib is very smooth, very smooth water, the main features of the tip first, very rough, M tip has reached the upper limit my daily office, and then it is only as thick pen use; the second is the pen body is ver"&amp;"y thick, brawny me 185 in our hands feel a bit rough, just started not too accustomed to; the third is a little loose pen, pen rotation in place there will be a prompt snaps into place, but not tight, there are sway; Fourth, the process is not perfect, I "&amp;"pen this pen is the tongue is crooked.")</f>
        <v>Nice pen for the first time with a German pen nib is very smooth, very smooth water, the main features of the tip first, very rough, M tip has reached the upper limit my daily office, and then it is only as thick pen use; the second is the pen body is very thick, brawny me 185 in our hands feel a bit rough, just started not too accustomed to; the third is a little loose pen, pen rotation in place there will be a prompt snaps into place, but not tight, there are sway; Fourth, the process is not perfect, I pen this pen is the tongue is crooked.</v>
      </c>
    </row>
    <row r="19576">
      <c r="A19576" s="1">
        <v>4.0</v>
      </c>
      <c r="B19576" s="1" t="s">
        <v>19320</v>
      </c>
      <c r="C19576" t="str">
        <f>IFERROR(__xludf.DUMMYFUNCTION("GOOGLETRANSLATE(B19576, ""zh"", ""en"")"),"Sea Amoy Japan and the packaging is not the same as Japan and I had to buy not the same")</f>
        <v>Sea Amoy Japan and the packaging is not the same as Japan and I had to buy not the same</v>
      </c>
    </row>
    <row r="19577">
      <c r="A19577" s="1">
        <v>4.0</v>
      </c>
      <c r="B19577" s="1" t="s">
        <v>19321</v>
      </c>
      <c r="C19577" t="str">
        <f>IFERROR(__xludf.DUMMYFUNCTION("GOOGLETRANSLATE(B19577, ""zh"", ""en"")"),"Comfortable wearing also a little deformed after washed, did not start so good-looking")</f>
        <v>Comfortable wearing also a little deformed after washed, did not start so good-looking</v>
      </c>
    </row>
    <row r="19578">
      <c r="A19578" s="1">
        <v>4.0</v>
      </c>
      <c r="B19578" s="1" t="s">
        <v>19322</v>
      </c>
      <c r="C19578" t="str">
        <f>IFERROR(__xludf.DUMMYFUNCTION("GOOGLETRANSLATE(B19578, ""zh"", ""en"")"),"No pictures look good on foot, a distance like shoes. On foot no pictures look good, feel a kind of coarse cloth shoes look cheap. And maybe with me about the big do not hold up. But still love clarks this brand. Adi Nike shoes 43 yards, this large buy 8."&amp;"5 yards half yards, 8 yards wear is appropriate.")</f>
        <v>No pictures look good on foot, a distance like shoes. On foot no pictures look good, feel a kind of coarse cloth shoes look cheap. And maybe with me about the big do not hold up. But still love clarks this brand. Adi Nike shoes 43 yards, this large buy 8.5 yards half yards, 8 yards wear is appropriate.</v>
      </c>
    </row>
    <row r="19579">
      <c r="A19579" s="1">
        <v>5.0</v>
      </c>
      <c r="B19579" s="1" t="s">
        <v>19323</v>
      </c>
      <c r="C19579" t="str">
        <f>IFERROR(__xludf.DUMMYFUNCTION("GOOGLETRANSLATE(B19579, ""zh"", ""en"")"),"Pants can be worn in summer, not too thick, too waistband, does not match the size and description")</f>
        <v>Pants can be worn in summer, not too thick, too waistband, does not match the size and description</v>
      </c>
    </row>
    <row r="19580">
      <c r="A19580" s="1">
        <v>5.0</v>
      </c>
      <c r="B19580" s="1" t="s">
        <v>19324</v>
      </c>
      <c r="C19580" t="str">
        <f>IFERROR(__xludf.DUMMYFUNCTION("GOOGLETRANSLATE(B19580, ""zh"", ""en"")"),"LEE is very good quality very good, the version is very good, but also continue to buy")</f>
        <v>LEE is very good quality very good, the version is very good, but also continue to buy</v>
      </c>
    </row>
    <row r="19581">
      <c r="A19581" s="1">
        <v>5.0</v>
      </c>
      <c r="B19581" s="1" t="s">
        <v>19325</v>
      </c>
      <c r="C19581" t="str">
        <f>IFERROR(__xludf.DUMMYFUNCTION("GOOGLETRANSLATE(B19581, ""zh"", ""en"")"),"Beautiful, beautiful is not cheap, not cheap, but also")</f>
        <v>Beautiful, beautiful is not cheap, not cheap, but also</v>
      </c>
    </row>
    <row r="19582">
      <c r="A19582" s="1">
        <v>5.0</v>
      </c>
      <c r="B19582" s="1" t="s">
        <v>19326</v>
      </c>
      <c r="C19582" t="str">
        <f>IFERROR(__xludf.DUMMYFUNCTION("GOOGLETRANSLATE(B19582, ""zh"", ""en"")"),"8t good enough to keep the year, several did not test it, but the feeling is still relatively fast, cost-effective good!")</f>
        <v>8t good enough to keep the year, several did not test it, but the feeling is still relatively fast, cost-effective good!</v>
      </c>
    </row>
    <row r="19583">
      <c r="A19583" s="1">
        <v>5.0</v>
      </c>
      <c r="B19583" s="1" t="s">
        <v>19327</v>
      </c>
      <c r="C19583" t="str">
        <f>IFERROR(__xludf.DUMMYFUNCTION("GOOGLETRANSLATE(B19583, ""zh"", ""en"")"),"Very good thin, suitable for summer wear, work is also good")</f>
        <v>Very good thin, suitable for summer wear, work is also good</v>
      </c>
    </row>
    <row r="19584">
      <c r="A19584" s="1">
        <v>5.0</v>
      </c>
      <c r="B19584" s="1" t="s">
        <v>19328</v>
      </c>
      <c r="C19584" t="str">
        <f>IFERROR(__xludf.DUMMYFUNCTION("GOOGLETRANSLATE(B19584, ""zh"", ""en"")"),"Still in trial amazon global shipments from Europe, about 10 days to Shanghai. Packaging is not unpacked good! Jingdong buy sonicare toothbrush and electric toothbrush brush or some of the original not the same, tried a little, there is no discomfort, wou"&amp;"ld be quite good, if indeed you can hear three months, again updating, temporarily give praise!")</f>
        <v>Still in trial amazon global shipments from Europe, about 10 days to Shanghai. Packaging is not unpacked good! Jingdong buy sonicare toothbrush and electric toothbrush brush or some of the original not the same, tried a little, there is no discomfort, would be quite good, if indeed you can hear three months, again updating, temporarily give praise!</v>
      </c>
    </row>
    <row r="19585">
      <c r="A19585" s="1">
        <v>5.0</v>
      </c>
      <c r="B19585" s="1" t="s">
        <v>19329</v>
      </c>
      <c r="C19585" t="str">
        <f>IFERROR(__xludf.DUMMYFUNCTION("GOOGLETRANSLATE(B19585, ""zh"", ""en"")"),"It should be three years after buy a throw at home did not bring out a few days I remember my father had to work with superscript covered with paint point now when the father has not found it sort of things actually are in the normal walking. At that time"&amp;" the feeling I'll take the watch for life. Water and soap to scrub clean and paint points as a read like I'll always take should be for three years to buy a throw at home after a few days I remember my father did not bring out work on the passing standard"&amp;" point now covered with paint father has when not finishing things actually still I find it normal walking. At that time the feeling I'll take the watch for life. Water and soap to scrub clean and paint points as a read like I will always be with")</f>
        <v>It should be three years after buy a throw at home did not bring out a few days I remember my father had to work with superscript covered with paint point now when the father has not found it sort of things actually are in the normal walking. At that time the feeling I'll take the watch for life. Water and soap to scrub clean and paint points as a read like I'll always take should be for three years to buy a throw at home after a few days I remember my father did not bring out work on the passing standard point now covered with paint father has when not finishing things actually still I find it normal walking. At that time the feeling I'll take the watch for life. Water and soap to scrub clean and paint points as a read like I will always be with</v>
      </c>
    </row>
    <row r="19586">
      <c r="A19586" s="1">
        <v>5.0</v>
      </c>
      <c r="B19586" s="1" t="s">
        <v>19330</v>
      </c>
      <c r="C19586" t="str">
        <f>IFERROR(__xludf.DUMMYFUNCTION("GOOGLETRANSLATE(B19586, ""zh"", ""en"")"),"After listening to comments you very appropriate, I 185CM, 95KG L code just right to buy")</f>
        <v>After listening to comments you very appropriate, I 185CM, 95KG L code just right to buy</v>
      </c>
    </row>
    <row r="19587">
      <c r="A19587" s="1">
        <v>5.0</v>
      </c>
      <c r="B19587" s="1" t="s">
        <v>19331</v>
      </c>
      <c r="C19587" t="str">
        <f>IFERROR(__xludf.DUMMYFUNCTION("GOOGLETRANSLATE(B19587, ""zh"", ""en"")"),"very satisfied! Bag is very good 👍! Appearance looked very little practical can hold! Internal stratification is very reasonable, solid work! very satisfied! !")</f>
        <v>very satisfied! Bag is very good 👍! Appearance looked very little practical can hold! Internal stratification is very reasonable, solid work! very satisfied! !</v>
      </c>
    </row>
    <row r="19588">
      <c r="A19588" s="1">
        <v>5.0</v>
      </c>
      <c r="B19588" s="1" t="s">
        <v>19332</v>
      </c>
      <c r="C19588" t="str">
        <f>IFERROR(__xludf.DUMMYFUNCTION("GOOGLETRANSLATE(B19588, ""zh"", ""en"")"),"Something good something good, very comfortable to wear, size is the standard United States Code, is too large")</f>
        <v>Something good something good, very comfortable to wear, size is the standard United States Code, is too large</v>
      </c>
    </row>
    <row r="19589">
      <c r="A19589" s="1">
        <v>5.0</v>
      </c>
      <c r="B19589" s="1" t="s">
        <v>19333</v>
      </c>
      <c r="C19589" t="str">
        <f>IFERROR(__xludf.DUMMYFUNCTION("GOOGLETRANSLATE(B19589, ""zh"", ""en"")"),"Suitable very very appropriate, very much")</f>
        <v>Suitable very very appropriate, very much</v>
      </c>
    </row>
    <row r="19590">
      <c r="A19590" s="1">
        <v>5.0</v>
      </c>
      <c r="B19590" s="1" t="s">
        <v>19334</v>
      </c>
      <c r="C19590" t="str">
        <f>IFERROR(__xludf.DUMMYFUNCTION("GOOGLETRANSLATE(B19590, ""zh"", ""en"")"),"Are okay so far no problems other people have said crack open plastic peel and stick stitching is very good, dry weather is likely. 34, 33 to buy 36 of the pants being combined. Color skin feeling okay, the price and fit, do not expect the leather, compos"&amp;"ite skin glue glue seam is inevitable. Has added a purchase, Minato orders, made in China, packed solid. Good with jeans.")</f>
        <v>Are okay so far no problems other people have said crack open plastic peel and stick stitching is very good, dry weather is likely. 34, 33 to buy 36 of the pants being combined. Color skin feeling okay, the price and fit, do not expect the leather, composite skin glue glue seam is inevitable. Has added a purchase, Minato orders, made in China, packed solid. Good with jeans.</v>
      </c>
    </row>
    <row r="19591">
      <c r="A19591" s="1">
        <v>5.0</v>
      </c>
      <c r="B19591" s="1" t="s">
        <v>19335</v>
      </c>
      <c r="C19591" t="str">
        <f>IFERROR(__xludf.DUMMYFUNCTION("GOOGLETRANSLATE(B19591, ""zh"", ""en"")"),"Good quality. Quality is very good, cost-effective.")</f>
        <v>Good quality. Quality is very good, cost-effective.</v>
      </c>
    </row>
    <row r="19592">
      <c r="A19592" s="1">
        <v>5.0</v>
      </c>
      <c r="B19592" s="1" t="s">
        <v>19336</v>
      </c>
      <c r="C19592" t="str">
        <f>IFERROR(__xludf.DUMMYFUNCTION("GOOGLETRANSLATE(B19592, ""zh"", ""en"")"),"Yes! Baby received in advance, it is applicable, the core is a half-ear which is nice, long wear no discomfort, listen to music, phone calls are good, especially when driving more convenient or movement.")</f>
        <v>Yes! Baby received in advance, it is applicable, the core is a half-ear which is nice, long wear no discomfort, listen to music, phone calls are good, especially when driving more convenient or movement.</v>
      </c>
    </row>
    <row r="19593">
      <c r="A19593" s="1">
        <v>5.0</v>
      </c>
      <c r="B19593" s="1" t="s">
        <v>19337</v>
      </c>
      <c r="C19593" t="str">
        <f>IFERROR(__xludf.DUMMYFUNCTION("GOOGLETRANSLATE(B19593, ""zh"", ""en"")"),"Arrive soon, very comfortable. The arrival of a week, the price is cheap, very comfortable, 70c wear m just, in fact, a little cup shape, not exactly a soft piece of cloth, or essentially combine the comfort and shape. Comfort is really the first one.")</f>
        <v>Arrive soon, very comfortable. The arrival of a week, the price is cheap, very comfortable, 70c wear m just, in fact, a little cup shape, not exactly a soft piece of cloth, or essentially combine the comfort and shape. Comfort is really the first one.</v>
      </c>
    </row>
    <row r="19594">
      <c r="A19594" s="1">
        <v>5.0</v>
      </c>
      <c r="B19594" s="1" t="s">
        <v>18917</v>
      </c>
      <c r="C19594" t="str">
        <f>IFERROR(__xludf.DUMMYFUNCTION("GOOGLETRANSLATE(B19594, ""zh"", ""en"")"),"Big quality workmanship really big, comfortable to wear.")</f>
        <v>Big quality workmanship really big, comfortable to wear.</v>
      </c>
    </row>
    <row r="19595">
      <c r="A19595" s="1">
        <v>5.0</v>
      </c>
      <c r="B19595" s="1" t="s">
        <v>9685</v>
      </c>
      <c r="C19595" t="str">
        <f>IFERROR(__xludf.DUMMYFUNCTION("GOOGLETRANSLATE(B19595, ""zh"", ""en"")"),"I buy small, there is no think to buy big, you can find me change. I buy small, there is no think to buy big, you can find me change.")</f>
        <v>I buy small, there is no think to buy big, you can find me change. I buy small, there is no think to buy big, you can find me change.</v>
      </c>
    </row>
    <row r="19596">
      <c r="A19596" s="1">
        <v>5.0</v>
      </c>
      <c r="B19596" s="1" t="s">
        <v>19338</v>
      </c>
      <c r="C19596" t="str">
        <f>IFERROR(__xludf.DUMMYFUNCTION("GOOGLETRANSLATE(B19596, ""zh"", ""en"")"),"Very, very good quality, very comfortable on the feet. Domestic shoes 41 yards, 41 yards to buy is the right size!")</f>
        <v>Very, very good quality, very comfortable on the feet. Domestic shoes 41 yards, 41 yards to buy is the right size!</v>
      </c>
    </row>
    <row r="19597">
      <c r="A19597" s="1">
        <v>5.0</v>
      </c>
      <c r="B19597" s="1" t="s">
        <v>19339</v>
      </c>
      <c r="C19597" t="str">
        <f>IFERROR(__xludf.DUMMYFUNCTION("GOOGLETRANSLATE(B19597, ""zh"", ""en"")"),"Recommend it to everyone! ! Well, not from the previous evaluation, I do not know how many wasted points, points can change money now know, they should look carefully evaluated, then I put these words to copy to go, both to earn points, but also save trou"&amp;"ble, where one copy where, most importantly, do not seriously review, do not think how much worse word, sent directly to it, recommend it to everyone! !")</f>
        <v>Recommend it to everyone! ! Well, not from the previous evaluation, I do not know how many wasted points, points can change money now know, they should look carefully evaluated, then I put these words to copy to go, both to earn points, but also save trouble, where one copy where, most importantly, do not seriously review, do not think how much worse word, sent directly to it, recommend it to everyone! !</v>
      </c>
    </row>
    <row r="19598">
      <c r="A19598" s="1">
        <v>5.0</v>
      </c>
      <c r="B19598" s="1" t="s">
        <v>19340</v>
      </c>
      <c r="C19598" t="str">
        <f>IFERROR(__xludf.DUMMYFUNCTION("GOOGLETRANSLATE(B19598, ""zh"", ""en"")"),"Overseas buy good things well, put on the same skin like")</f>
        <v>Overseas buy good things well, put on the same skin like</v>
      </c>
    </row>
    <row r="19599">
      <c r="A19599" s="1">
        <v>5.0</v>
      </c>
      <c r="B19599" s="1" t="s">
        <v>19341</v>
      </c>
      <c r="C19599" t="str">
        <f>IFERROR(__xludf.DUMMYFUNCTION("GOOGLETRANSLATE(B19599, ""zh"", ""en"")"),"Equipment and stable operation for a few years to buy the United States and Asia, with a few years to think of it comments, I still have not filled, not out of question, desktop hard, do download the disk, almost always open")</f>
        <v>Equipment and stable operation for a few years to buy the United States and Asia, with a few years to think of it comments, I still have not filled, not out of question, desktop hard, do download the disk, almost always open</v>
      </c>
    </row>
    <row r="19600">
      <c r="A19600" s="1">
        <v>2.0</v>
      </c>
      <c r="B19600" s="1" t="s">
        <v>19342</v>
      </c>
      <c r="C19600" t="str">
        <f>IFERROR(__xludf.DUMMYFUNCTION("GOOGLETRANSLATE(B19600, ""zh"", ""en"")"),"! Sole is too hard, uncomfortable")</f>
        <v>! Sole is too hard, uncomfortable</v>
      </c>
    </row>
    <row r="19601">
      <c r="A19601" s="1">
        <v>3.0</v>
      </c>
      <c r="B19601" s="1" t="s">
        <v>19343</v>
      </c>
      <c r="C19601" t="str">
        <f>IFERROR(__xludf.DUMMYFUNCTION("GOOGLETRANSLATE(B19601, ""zh"", ""en"")"),"Right size the right size, is the waistband tightening the rope too long.")</f>
        <v>Right size the right size, is the waistband tightening the rope too long.</v>
      </c>
    </row>
    <row r="19602">
      <c r="A19602" s="1">
        <v>3.0</v>
      </c>
      <c r="B19602" s="1" t="s">
        <v>19344</v>
      </c>
      <c r="C19602" t="str">
        <f>IFERROR(__xludf.DUMMYFUNCTION("GOOGLETRANSLATE(B19602, ""zh"", ""en"")"),"Material too hard is not good use, waste")</f>
        <v>Material too hard is not good use, waste</v>
      </c>
    </row>
    <row r="19603">
      <c r="A19603" s="1">
        <v>1.0</v>
      </c>
      <c r="B19603" s="1" t="s">
        <v>19345</v>
      </c>
      <c r="C19603" t="str">
        <f>IFERROR(__xludf.DUMMYFUNCTION("GOOGLETRANSLATE(B19603, ""zh"", ""en"")"),"Africa, the US and Asia shipping! Guangzhou hair! Be careful to buy! AIU is not shipped. It turned out to be coming from Guangzhou hair good luck. Smell great, creased, not used. AIU can not only choose a direct mail in the Adriatic outsourcing. Amazon di"&amp;"sappointing. Baoma Do not waste your money.")</f>
        <v>Africa, the US and Asia shipping! Guangzhou hair! Be careful to buy! AIU is not shipped. It turned out to be coming from Guangzhou hair good luck. Smell great, creased, not used. AIU can not only choose a direct mail in the Adriatic outsourcing. Amazon disappointing. Baoma Do not waste your money.</v>
      </c>
    </row>
    <row r="19604">
      <c r="A19604" s="1">
        <v>1.0</v>
      </c>
      <c r="B19604" s="1" t="s">
        <v>19346</v>
      </c>
      <c r="C19604" t="str">
        <f>IFERROR(__xludf.DUMMYFUNCTION("GOOGLETRANSLATE(B19604, ""zh"", ""en"")"),"Color consistency on the web and in-kind vary widely!")</f>
        <v>Color consistency on the web and in-kind vary widely!</v>
      </c>
    </row>
    <row r="19605">
      <c r="A19605" s="1">
        <v>4.0</v>
      </c>
      <c r="B19605" s="1" t="s">
        <v>19347</v>
      </c>
      <c r="C19605" t="str">
        <f>IFERROR(__xludf.DUMMYFUNCTION("GOOGLETRANSLATE(B19605, ""zh"", ""en"")"),"You pay, quality generally 177, 77 kg, size partial loose mass in general, easier way deform the fabric, pay for it")</f>
        <v>You pay, quality generally 177, 77 kg, size partial loose mass in general, easier way deform the fabric, pay for it</v>
      </c>
    </row>
    <row r="19606">
      <c r="A19606" s="1">
        <v>4.0</v>
      </c>
      <c r="B19606" s="1" t="s">
        <v>19348</v>
      </c>
      <c r="C19606" t="str">
        <f>IFERROR(__xludf.DUMMYFUNCTION("GOOGLETRANSLATE(B19606, ""zh"", ""en"")"),"Commodity good and worth buying. Speaker's power is small, very pick sources, a few hundred dollars to listen great value to a good sound speaker cables need to be replaced and 3.5 turn Lotus plug.")</f>
        <v>Commodity good and worth buying. Speaker's power is small, very pick sources, a few hundred dollars to listen great value to a good sound speaker cables need to be replaced and 3.5 turn Lotus plug.</v>
      </c>
    </row>
    <row r="19607">
      <c r="A19607" s="1">
        <v>4.0</v>
      </c>
      <c r="B19607" s="1" t="s">
        <v>19349</v>
      </c>
      <c r="C19607" t="str">
        <f>IFERROR(__xludf.DUMMYFUNCTION("GOOGLETRANSLATE(B19607, ""zh"", ""en"")"),"Cheap good style, material is also very good, the price is cheap, the disadvantage is not allowed to size, one yards, three is not as big.")</f>
        <v>Cheap good style, material is also very good, the price is cheap, the disadvantage is not allowed to size, one yards, three is not as big.</v>
      </c>
    </row>
    <row r="19608">
      <c r="A19608" s="1">
        <v>4.0</v>
      </c>
      <c r="B19608" s="1" t="s">
        <v>19350</v>
      </c>
      <c r="C19608" t="str">
        <f>IFERROR(__xludf.DUMMYFUNCTION("GOOGLETRANSLATE(B19608, ""zh"", ""en"")"),"Super suitable for large chest, spike nike, adidas, Decathlon! This is really super sports underwear suitable for large chest, cup proper, that is, around the end of small, wear than usual underwear small one yards, each with extended wear time to buckle "&amp;"is very convenient, but excellent damping performance, spike nike, Decathlon, highly recommended!")</f>
        <v>Super suitable for large chest, spike nike, adidas, Decathlon! This is really super sports underwear suitable for large chest, cup proper, that is, around the end of small, wear than usual underwear small one yards, each with extended wear time to buckle is very convenient, but excellent damping performance, spike nike, Decathlon, highly recommended!</v>
      </c>
    </row>
    <row r="19609">
      <c r="A19609" s="1">
        <v>4.0</v>
      </c>
      <c r="B19609" s="1" t="s">
        <v>19351</v>
      </c>
      <c r="C19609" t="str">
        <f>IFERROR(__xludf.DUMMYFUNCTION("GOOGLETRANSLATE(B19609, ""zh"", ""en"")"),"This seems too large a number of domestic and codes different, feels too large a number, because overseas purchase, so returned a bad")</f>
        <v>This seems too large a number of domestic and codes different, feels too large a number, because overseas purchase, so returned a bad</v>
      </c>
    </row>
    <row r="19610">
      <c r="A19610" s="1">
        <v>5.0</v>
      </c>
      <c r="B19610" s="1" t="s">
        <v>19352</v>
      </c>
      <c r="C19610" t="str">
        <f>IFERROR(__xludf.DUMMYFUNCTION("GOOGLETRANSLATE(B19610, ""zh"", ""en"")"),"Ai high as shoes light and comfortable outdoor shoes everyday casual feel Ye Hao with most of the code than the same code sneakers")</f>
        <v>Ai high as shoes light and comfortable outdoor shoes everyday casual feel Ye Hao with most of the code than the same code sneakers</v>
      </c>
    </row>
    <row r="19611">
      <c r="A19611" s="1">
        <v>5.0</v>
      </c>
      <c r="B19611" s="1" t="s">
        <v>19353</v>
      </c>
      <c r="C19611" t="str">
        <f>IFERROR(__xludf.DUMMYFUNCTION("GOOGLETRANSLATE(B19611, ""zh"", ""en"")"),"Shoes good quality shoes, beautiful, good quality.")</f>
        <v>Shoes good quality shoes, beautiful, good quality.</v>
      </c>
    </row>
    <row r="19612">
      <c r="A19612" s="1">
        <v>5.0</v>
      </c>
      <c r="B19612" s="1" t="s">
        <v>19354</v>
      </c>
      <c r="C19612" t="str">
        <f>IFERROR(__xludf.DUMMYFUNCTION("GOOGLETRANSLATE(B19612, ""zh"", ""en"")"),"Very suitable shoes is great")</f>
        <v>Very suitable shoes is great</v>
      </c>
    </row>
    <row r="19613">
      <c r="A19613" s="1">
        <v>5.0</v>
      </c>
      <c r="B19613" s="1" t="s">
        <v>19355</v>
      </c>
      <c r="C19613" t="str">
        <f>IFERROR(__xludf.DUMMYFUNCTION("GOOGLETRANSLATE(B19613, ""zh"", ""en"")"),"you deserve to have! Hand 980, and basically had no problems, small defects are within the tolerance range of psychological, stews impeccable, high efficiency, low smoke, smell no way out. Shopping Cart There are five pots, could not help but open to see "&amp;"every day the price has not changed, have a look a the bag.")</f>
        <v>you deserve to have! Hand 980, and basically had no problems, small defects are within the tolerance range of psychological, stews impeccable, high efficiency, low smoke, smell no way out. Shopping Cart There are five pots, could not help but open to see every day the price has not changed, have a look a the bag.</v>
      </c>
    </row>
    <row r="19614">
      <c r="A19614" s="1">
        <v>5.0</v>
      </c>
      <c r="B19614" s="1" t="s">
        <v>19356</v>
      </c>
      <c r="C19614" t="str">
        <f>IFERROR(__xludf.DUMMYFUNCTION("GOOGLETRANSLATE(B19614, ""zh"", ""en"")"),"Buy the plastic cups the cup where to buy it, my broken")</f>
        <v>Buy the plastic cups the cup where to buy it, my broken</v>
      </c>
    </row>
    <row r="19615">
      <c r="A19615" s="1">
        <v>5.0</v>
      </c>
      <c r="B19615" s="1" t="s">
        <v>19357</v>
      </c>
      <c r="C19615" t="str">
        <f>IFERROR(__xludf.DUMMYFUNCTION("GOOGLETRANSLATE(B19615, ""zh"", ""en"")"),"Really like this fabric, very good. 17670 wear M liked the fabric, very good. 17670 wear M")</f>
        <v>Really like this fabric, very good. 17670 wear M liked the fabric, very good. 17670 wear M</v>
      </c>
    </row>
    <row r="19616">
      <c r="A19616" s="1">
        <v>5.0</v>
      </c>
      <c r="B19616" s="1" t="s">
        <v>19358</v>
      </c>
      <c r="C19616" t="str">
        <f>IFERROR(__xludf.DUMMYFUNCTION("GOOGLETRANSLATE(B19616, ""zh"", ""en"")"),"Effect like this brand")</f>
        <v>Effect like this brand</v>
      </c>
    </row>
    <row r="19617">
      <c r="A19617" s="1">
        <v>5.0</v>
      </c>
      <c r="B19617" s="1" t="s">
        <v>19359</v>
      </c>
      <c r="C19617" t="str">
        <f>IFERROR(__xludf.DUMMYFUNCTION("GOOGLETRANSLATE(B19617, ""zh"", ""en"")"),"Shoes or can buy to the father, he was like, my mom completely different to buy big, wear in front a little empty, now, it seems the quality is good, very light, very good walk.")</f>
        <v>Shoes or can buy to the father, he was like, my mom completely different to buy big, wear in front a little empty, now, it seems the quality is good, very light, very good walk.</v>
      </c>
    </row>
    <row r="19618">
      <c r="A19618" s="1">
        <v>5.0</v>
      </c>
      <c r="B19618" s="1" t="s">
        <v>19360</v>
      </c>
      <c r="C19618" t="str">
        <f>IFERROR(__xludf.DUMMYFUNCTION("GOOGLETRANSLATE(B19618, ""zh"", ""en"")"),"SKECHERS children liked her immediately put on a suitable, more comfortable soles.")</f>
        <v>SKECHERS children liked her immediately put on a suitable, more comfortable soles.</v>
      </c>
    </row>
    <row r="19619">
      <c r="A19619" s="1">
        <v>5.0</v>
      </c>
      <c r="B19619" s="1" t="s">
        <v>19361</v>
      </c>
      <c r="C19619" t="str">
        <f>IFERROR(__xludf.DUMMYFUNCTION("GOOGLETRANSLATE(B19619, ""zh"", ""en"")"),"Careful selection of the first stage transformer friend Bi Jie Bulls were burned transformer station after the discovery that a lot of clear water and clean floss Bulls burned out, I warned transformer must do their homework, read together for a long time"&amp;" with my friends bought a red sun transformer, with a very smoothly with no will not just think a little more than a toothbrush is not required. . . Knew that a buy Aquarius. .")</f>
        <v>Careful selection of the first stage transformer friend Bi Jie Bulls were burned transformer station after the discovery that a lot of clear water and clean floss Bulls burned out, I warned transformer must do their homework, read together for a long time with my friends bought a red sun transformer, with a very smoothly with no will not just think a little more than a toothbrush is not required. . . Knew that a buy Aquarius. .</v>
      </c>
    </row>
    <row r="19620">
      <c r="A19620" s="1">
        <v>5.0</v>
      </c>
      <c r="B19620" s="1" t="s">
        <v>19362</v>
      </c>
      <c r="C19620" t="str">
        <f>IFERROR(__xludf.DUMMYFUNCTION("GOOGLETRANSLATE(B19620, ""zh"", ""en"")"),"This should not be so good-looking blue-kind good-looking than the picture, very satisfied")</f>
        <v>This should not be so good-looking blue-kind good-looking than the picture, very satisfied</v>
      </c>
    </row>
    <row r="19621">
      <c r="A19621" s="1">
        <v>5.0</v>
      </c>
      <c r="B19621" s="1" t="s">
        <v>19363</v>
      </c>
      <c r="C19621" t="str">
        <f>IFERROR(__xludf.DUMMYFUNCTION("GOOGLETRANSLATE(B19621, ""zh"", ""en"")"),"Clothes will be a little larger than the domestic reducing two yards of clothes already cut a yard, but a little big")</f>
        <v>Clothes will be a little larger than the domestic reducing two yards of clothes already cut a yard, but a little big</v>
      </c>
    </row>
    <row r="19622">
      <c r="A19622" s="1">
        <v>5.0</v>
      </c>
      <c r="B19622" s="1" t="s">
        <v>19364</v>
      </c>
      <c r="C19622" t="str">
        <f>IFERROR(__xludf.DUMMYFUNCTION("GOOGLETRANSLATE(B19622, ""zh"", ""en"")"),"123 for the first time to buy, see the kind finally understand why some people buy it hooked. . Luo Yan work is not true value can compare such electrodes. .")</f>
        <v>123 for the first time to buy, see the kind finally understand why some people buy it hooked. . Luo Yan work is not true value can compare such electrodes. .</v>
      </c>
    </row>
    <row r="19623">
      <c r="A19623" s="1">
        <v>5.0</v>
      </c>
      <c r="B19623" s="1" t="s">
        <v>19365</v>
      </c>
      <c r="C19623" t="str">
        <f>IFERROR(__xludf.DUMMYFUNCTION("GOOGLETRANSLATE(B19623, ""zh"", ""en"")"),"Genuine filter kettle is genuine, but the packaging too simple, but fortunately no bad hand kettle")</f>
        <v>Genuine filter kettle is genuine, but the packaging too simple, but fortunately no bad hand kettle</v>
      </c>
    </row>
    <row r="19624">
      <c r="A19624" s="1">
        <v>5.0</v>
      </c>
      <c r="B19624" s="1" t="s">
        <v>19366</v>
      </c>
      <c r="C19624" t="str">
        <f>IFERROR(__xludf.DUMMYFUNCTION("GOOGLETRANSLATE(B19624, ""zh"", ""en"")"),"Good nike usually wear 39 this price just eight yards Hao")</f>
        <v>Good nike usually wear 39 this price just eight yards Hao</v>
      </c>
    </row>
    <row r="19625">
      <c r="A19625" s="1">
        <v>5.0</v>
      </c>
      <c r="B19625" s="1" t="s">
        <v>19367</v>
      </c>
      <c r="C19625" t="str">
        <f>IFERROR(__xludf.DUMMYFUNCTION("GOOGLETRANSLATE(B19625, ""zh"", ""en"")"),"Happy shopping for the elderly to wear")</f>
        <v>Happy shopping for the elderly to wear</v>
      </c>
    </row>
    <row r="19626">
      <c r="A19626" s="1">
        <v>5.0</v>
      </c>
      <c r="B19626" s="1" t="s">
        <v>19368</v>
      </c>
      <c r="C19626" t="str">
        <f>IFERROR(__xludf.DUMMYFUNCTION("GOOGLETRANSLATE(B19626, ""zh"", ""en"")"),"Seiko climbing the table table good, authentic and correct, dial color should be green, not dark green. Needle digital scale smugglers and very beautiful. very satisfied. Logistics fast enough, it is praise.")</f>
        <v>Seiko climbing the table table good, authentic and correct, dial color should be green, not dark green. Needle digital scale smugglers and very beautiful. very satisfied. Logistics fast enough, it is praise.</v>
      </c>
    </row>
    <row r="19627">
      <c r="A19627" s="1">
        <v>5.0</v>
      </c>
      <c r="B19627" s="1" t="s">
        <v>19369</v>
      </c>
      <c r="C19627" t="str">
        <f>IFERROR(__xludf.DUMMYFUNCTION("GOOGLETRANSLATE(B19627, ""zh"", ""en"")"),"Origin The underwear is really good, very comfortable, compared with Uniqlo smaller size a little bit, little effect.")</f>
        <v>Origin The underwear is really good, very comfortable, compared with Uniqlo smaller size a little bit, little effect.</v>
      </c>
    </row>
    <row r="19628">
      <c r="A19628" s="1">
        <v>5.0</v>
      </c>
      <c r="B19628" s="1" t="s">
        <v>19370</v>
      </c>
      <c r="C19628" t="str">
        <f>IFERROR(__xludf.DUMMYFUNCTION("GOOGLETRANSLATE(B19628, ""zh"", ""en"")"),"The cup is the cup holding the outer tube beautiful, bags exquisite workmanship, mainly very light and heat, the night before about 50 degrees into the warm water, the next morning still warm, hard to come by")</f>
        <v>The cup is the cup holding the outer tube beautiful, bags exquisite workmanship, mainly very light and heat, the night before about 50 degrees into the warm water, the next morning still warm, hard to come by</v>
      </c>
    </row>
    <row r="19629">
      <c r="A19629" s="1">
        <v>5.0</v>
      </c>
      <c r="B19629" s="1" t="s">
        <v>19371</v>
      </c>
      <c r="C19629" t="str">
        <f>IFERROR(__xludf.DUMMYFUNCTION("GOOGLETRANSLATE(B19629, ""zh"", ""en"")"),"Very good very good 👌")</f>
        <v>Very good very good 👌</v>
      </c>
    </row>
    <row r="19630">
      <c r="A19630" s="1">
        <v>5.0</v>
      </c>
      <c r="B19630" s="1" t="s">
        <v>19372</v>
      </c>
      <c r="C19630" t="str">
        <f>IFERROR(__xludf.DUMMYFUNCTION("GOOGLETRANSLATE(B19630, ""zh"", ""en"")"),"Super affordable, very comfortable underwear does not look like other differences, but really very comfortable to wear, never tucked the card, X number large enough fat to wear no problem")</f>
        <v>Super affordable, very comfortable underwear does not look like other differences, but really very comfortable to wear, never tucked the card, X number large enough fat to wear no problem</v>
      </c>
    </row>
    <row r="19631">
      <c r="A19631" s="1">
        <v>5.0</v>
      </c>
      <c r="B19631" s="1" t="s">
        <v>19373</v>
      </c>
      <c r="C19631" t="str">
        <f>IFERROR(__xludf.DUMMYFUNCTION("GOOGLETRANSLATE(B19631, ""zh"", ""en"")"),"Satisfaction is great!")</f>
        <v>Satisfaction is great!</v>
      </c>
    </row>
    <row r="19632">
      <c r="A19632" s="1">
        <v>2.0</v>
      </c>
      <c r="B19632" s="1" t="s">
        <v>19374</v>
      </c>
      <c r="C19632" t="str">
        <f>IFERROR(__xludf.DUMMYFUNCTION("GOOGLETRANSLATE(B19632, ""zh"", ""en"")"),"After Seagate product is garbage once bought four identical Seagate hard drive, to get the goods, one of which could not be read directly on the computer to! Return, and initially let myself go to post office to mail courier, shipping it, in the form of v"&amp;"ouchers back to me, too shameless! Negotiation for several days, finally agreed to pick up, to pick up from this, to give me money back, tossing more than two months! Seagate electronics garbage!")</f>
        <v>After Seagate product is garbage once bought four identical Seagate hard drive, to get the goods, one of which could not be read directly on the computer to! Return, and initially let myself go to post office to mail courier, shipping it, in the form of vouchers back to me, too shameless! Negotiation for several days, finally agreed to pick up, to pick up from this, to give me money back, tossing more than two months! Seagate electronics garbage!</v>
      </c>
    </row>
    <row r="19633">
      <c r="A19633" s="1">
        <v>3.0</v>
      </c>
      <c r="B19633" s="1" t="s">
        <v>19375</v>
      </c>
      <c r="C19633" t="str">
        <f>IFERROR(__xludf.DUMMYFUNCTION("GOOGLETRANSLATE(B19633, ""zh"", ""en"")"),"Not to say, the whole package weighs broken, transported to packing all broken, customs clearance for far too long, has not arrived, is not transported to the packaging, nor even a box, all comes to an end. The post office and asked if I sign, think Well,"&amp;" do not care about. very angry.")</f>
        <v>Not to say, the whole package weighs broken, transported to packing all broken, customs clearance for far too long, has not arrived, is not transported to the packaging, nor even a box, all comes to an end. The post office and asked if I sign, think Well, do not care about. very angry.</v>
      </c>
    </row>
    <row r="19634">
      <c r="A19634" s="1">
        <v>3.0</v>
      </c>
      <c r="B19634" s="1" t="s">
        <v>19376</v>
      </c>
      <c r="C19634" t="str">
        <f>IFERROR(__xludf.DUMMYFUNCTION("GOOGLETRANSLATE(B19634, ""zh"", ""en"")"),"Cambodia boots production work is not very fine fabrics written by leather like leather but feels like a leather")</f>
        <v>Cambodia boots production work is not very fine fabrics written by leather like leather but feels like a leather</v>
      </c>
    </row>
    <row r="19635">
      <c r="A19635" s="1">
        <v>1.0</v>
      </c>
      <c r="B19635" s="1" t="s">
        <v>19377</v>
      </c>
      <c r="C19635" t="str">
        <f>IFERROR(__xludf.DUMMYFUNCTION("GOOGLETRANSLATE(B19635, ""zh"", ""en"")"),"Not suitable to eat Chinese food with good baby, bought only a spoon, plate useless")</f>
        <v>Not suitable to eat Chinese food with good baby, bought only a spoon, plate useless</v>
      </c>
    </row>
    <row r="19636">
      <c r="A19636" s="1">
        <v>1.0</v>
      </c>
      <c r="B19636" s="1" t="s">
        <v>19378</v>
      </c>
      <c r="C19636" t="str">
        <f>IFERROR(__xludf.DUMMYFUNCTION("GOOGLETRANSLATE(B19636, ""zh"", ""en"")"),"China-made oversized higher 90% 19% Lycra Kam high price return cost Chinese-made oversized higher 90% 19% Lycra Kam price high cost of returns and the Chinese way of thinking Americans carrying quite different for the first time in the Amazon there is a "&amp;"lot of convenient shopping")</f>
        <v>China-made oversized higher 90% 19% Lycra Kam high price return cost Chinese-made oversized higher 90% 19% Lycra Kam price high cost of returns and the Chinese way of thinking Americans carrying quite different for the first time in the Amazon there is a lot of convenient shopping</v>
      </c>
    </row>
    <row r="19637">
      <c r="A19637" s="1">
        <v>1.0</v>
      </c>
      <c r="B19637" s="1" t="s">
        <v>19379</v>
      </c>
      <c r="C19637" t="str">
        <f>IFERROR(__xludf.DUMMYFUNCTION("GOOGLETRANSLATE(B19637, ""zh"", ""en"")"),"Good good use with ah, rough, intermediate edge high low, both the oil flow sideways")</f>
        <v>Good good use with ah, rough, intermediate edge high low, both the oil flow sideways</v>
      </c>
    </row>
    <row r="19638">
      <c r="A19638" s="1">
        <v>4.0</v>
      </c>
      <c r="B19638" s="1" t="s">
        <v>19380</v>
      </c>
      <c r="C19638" t="str">
        <f>IFERROR(__xludf.DUMMYFUNCTION("GOOGLETRANSLATE(B19638, ""zh"", ""en"")"),"Nice voice mellow sound, is my favorite style, but the bass, there is no good equipment, a good little amp then listened on the phone, the sound is directly connected to the phone number is not recommended withered. Work can only say that in general, the "&amp;"first beam scratches leather, leather open painted metal also obvious unevenness. Overall nine hundred or less is a good choice.")</f>
        <v>Nice voice mellow sound, is my favorite style, but the bass, there is no good equipment, a good little amp then listened on the phone, the sound is directly connected to the phone number is not recommended withered. Work can only say that in general, the first beam scratches leather, leather open painted metal also obvious unevenness. Overall nine hundred or less is a good choice.</v>
      </c>
    </row>
    <row r="19639">
      <c r="A19639" s="1">
        <v>4.0</v>
      </c>
      <c r="B19639" s="1" t="s">
        <v>19381</v>
      </c>
      <c r="C19639" t="str">
        <f>IFERROR(__xludf.DUMMYFUNCTION("GOOGLETRANSLATE(B19639, ""zh"", ""en"")"),"Not bad, understand the point of direct mail in English or Meyer bar. Not bad, understand the point of direct mail in English or Meyer bar, Central Asia after-sales bad.")</f>
        <v>Not bad, understand the point of direct mail in English or Meyer bar. Not bad, understand the point of direct mail in English or Meyer bar, Central Asia after-sales bad.</v>
      </c>
    </row>
    <row r="19640">
      <c r="A19640" s="1">
        <v>4.0</v>
      </c>
      <c r="B19640" s="1" t="s">
        <v>19382</v>
      </c>
      <c r="C19640" t="str">
        <f>IFERROR(__xludf.DUMMYFUNCTION("GOOGLETRANSLATE(B19640, ""zh"", ""en"")"),"General quality clothes too large height 175 weight 70kg L that is too large to be positive fit s hope you can help")</f>
        <v>General quality clothes too large height 175 weight 70kg L that is too large to be positive fit s hope you can help</v>
      </c>
    </row>
    <row r="19641">
      <c r="A19641" s="1">
        <v>4.0</v>
      </c>
      <c r="B19641" s="1" t="s">
        <v>19383</v>
      </c>
      <c r="C19641" t="str">
        <f>IFERROR(__xludf.DUMMYFUNCTION("GOOGLETRANSLATE(B19641, ""zh"", ""en"")"),"Good texture, thin fabric is very good, the size of which is marked with the same, very accurate, good style, thin! US price of gifted!")</f>
        <v>Good texture, thin fabric is very good, the size of which is marked with the same, very accurate, good style, thin! US price of gifted!</v>
      </c>
    </row>
    <row r="19642">
      <c r="A19642" s="1">
        <v>4.0</v>
      </c>
      <c r="B19642" s="1" t="s">
        <v>19384</v>
      </c>
      <c r="C19642" t="str">
        <f>IFERROR(__xludf.DUMMYFUNCTION("GOOGLETRANSLATE(B19642, ""zh"", ""en"")"),"There taste is not particularly good sealing tighten occasionally leak a little nipple hole is relatively small personally think it is genuine, but others say that her family did not tell me this is not the same taste")</f>
        <v>There taste is not particularly good sealing tighten occasionally leak a little nipple hole is relatively small personally think it is genuine, but others say that her family did not tell me this is not the same taste</v>
      </c>
    </row>
    <row r="19643">
      <c r="A19643" s="1">
        <v>5.0</v>
      </c>
      <c r="B19643" s="1" t="s">
        <v>19385</v>
      </c>
      <c r="C19643" t="str">
        <f>IFERROR(__xludf.DUMMYFUNCTION("GOOGLETRANSLATE(B19643, ""zh"", ""en"")"),"A few months before arrival, but the value of a used electric toothbrush hates the brush manufacturers why so expensive, this twenty dollars a close, do not curse the side brushing side")</f>
        <v>A few months before arrival, but the value of a used electric toothbrush hates the brush manufacturers why so expensive, this twenty dollars a close, do not curse the side brushing side</v>
      </c>
    </row>
    <row r="19644">
      <c r="A19644" s="1">
        <v>5.0</v>
      </c>
      <c r="B19644" s="1" t="s">
        <v>19386</v>
      </c>
      <c r="C19644" t="str">
        <f>IFERROR(__xludf.DUMMYFUNCTION("GOOGLETRANSLATE(B19644, ""zh"", ""en"")"),"Good quality, it just made the wrong color, a single number under 15 is not the color I want children, 20 hair goods, 30, received half a month is basically the way, from just 10 before and after shipment to receipt day, Amazon UK last time to buy shoes i"&amp;"s this time, coincides coincidence, clothes color darker, prefer light-colored models, but try a bit, feeling, or can, size just right, tailor-made like, ha ha ha, overall satisfaction, being no problems, reasonable price.")</f>
        <v>Good quality, it just made the wrong color, a single number under 15 is not the color I want children, 20 hair goods, 30, received half a month is basically the way, from just 10 before and after shipment to receipt day, Amazon UK last time to buy shoes is this time, coincides coincidence, clothes color darker, prefer light-colored models, but try a bit, feeling, or can, size just right, tailor-made like, ha ha ha, overall satisfaction, being no problems, reasonable price.</v>
      </c>
    </row>
    <row r="19645">
      <c r="A19645" s="1">
        <v>5.0</v>
      </c>
      <c r="B19645" s="1" t="s">
        <v>19387</v>
      </c>
      <c r="C19645" t="str">
        <f>IFERROR(__xludf.DUMMYFUNCTION("GOOGLETRANSLATE(B19645, ""zh"", ""en"")"),"This consistent pressure a little instep shoes UK and US size, I bought UK8.5, my domestic size 42 yards, the length of the right, but feeling a little pressure instep.")</f>
        <v>This consistent pressure a little instep shoes UK and US size, I bought UK8.5, my domestic size 42 yards, the length of the right, but feeling a little pressure instep.</v>
      </c>
    </row>
    <row r="19646">
      <c r="A19646" s="1">
        <v>5.0</v>
      </c>
      <c r="B19646" s="1" t="s">
        <v>19388</v>
      </c>
      <c r="C19646" t="str">
        <f>IFERROR(__xludf.DUMMYFUNCTION("GOOGLETRANSLATE(B19646, ""zh"", ""en"")"),"Fit, elastic good, very comfortable to wear!")</f>
        <v>Fit, elastic good, very comfortable to wear!</v>
      </c>
    </row>
    <row r="19647">
      <c r="A19647" s="1">
        <v>5.0</v>
      </c>
      <c r="B19647" s="1" t="s">
        <v>19389</v>
      </c>
      <c r="C19647" t="str">
        <f>IFERROR(__xludf.DUMMYFUNCTION("GOOGLETRANSLATE(B19647, ""zh"", ""en"")"),"In fact, the disc is not overturned helium helium air performance are similar, just think a little helium disk force Glygoyle")</f>
        <v>In fact, the disc is not overturned helium helium air performance are similar, just think a little helium disk force Glygoyle</v>
      </c>
    </row>
    <row r="19648">
      <c r="A19648" s="1">
        <v>5.0</v>
      </c>
      <c r="B19648" s="1" t="s">
        <v>19390</v>
      </c>
      <c r="C19648" t="str">
        <f>IFERROR(__xludf.DUMMYFUNCTION("GOOGLETRANSLATE(B19648, ""zh"", ""en"")"),"Enamel cookware received earlier than expected the new darling of the baby, is imported, packaging is also very good, enamel pot of exquisite, perfect, very much. And other additional comments after use.")</f>
        <v>Enamel cookware received earlier than expected the new darling of the baby, is imported, packaging is also very good, enamel pot of exquisite, perfect, very much. And other additional comments after use.</v>
      </c>
    </row>
    <row r="19649">
      <c r="A19649" s="1">
        <v>5.0</v>
      </c>
      <c r="B19649" s="1" t="s">
        <v>19391</v>
      </c>
      <c r="C19649" t="str">
        <f>IFERROR(__xludf.DUMMYFUNCTION("GOOGLETRANSLATE(B19649, ""zh"", ""en"")"),"I liked very much, commodities intact. The new stainless steel mixing barrels of clean, first, and a little bit of dough, the dough repeatedly wiped his entire stainless steel mixing drum, mixing drum and then the next plane, the dough would not have a bl"&amp;"ack.")</f>
        <v>I liked very much, commodities intact. The new stainless steel mixing barrels of clean, first, and a little bit of dough, the dough repeatedly wiped his entire stainless steel mixing drum, mixing drum and then the next plane, the dough would not have a black.</v>
      </c>
    </row>
    <row r="19650">
      <c r="A19650" s="1">
        <v>5.0</v>
      </c>
      <c r="B19650" s="1" t="s">
        <v>19392</v>
      </c>
      <c r="C19650" t="str">
        <f>IFERROR(__xludf.DUMMYFUNCTION("GOOGLETRANSLATE(B19650, ""zh"", ""en"")"),"Well first of all, very thick soles very soft, very flexible, mainly because there are two layers of insoles, are glued together, increased wear at least one centimeter. Soft leather, but not particularly breathable, should wear appropriate autumn and win"&amp;"ter, but I Yining, a few winter of minus 20 to 30 degrees will certainly be cold, late autumn early winter almost appropriate. Secondly, I foot length 257mm, foot width 10.8cm, uk7.5 is appropriate, give you a reference")</f>
        <v>Well first of all, very thick soles very soft, very flexible, mainly because there are two layers of insoles, are glued together, increased wear at least one centimeter. Soft leather, but not particularly breathable, should wear appropriate autumn and winter, but I Yining, a few winter of minus 20 to 30 degrees will certainly be cold, late autumn early winter almost appropriate. Secondly, I foot length 257mm, foot width 10.8cm, uk7.5 is appropriate, give you a reference</v>
      </c>
    </row>
    <row r="19651">
      <c r="A19651" s="1">
        <v>5.0</v>
      </c>
      <c r="B19651" s="1" t="s">
        <v>19393</v>
      </c>
      <c r="C19651" t="str">
        <f>IFERROR(__xludf.DUMMYFUNCTION("GOOGLETRANSLATE(B19651, ""zh"", ""en"")"),"Fit pretty good read like shoes super fit")</f>
        <v>Fit pretty good read like shoes super fit</v>
      </c>
    </row>
    <row r="19652">
      <c r="A19652" s="1">
        <v>5.0</v>
      </c>
      <c r="B19652" s="1" t="s">
        <v>19394</v>
      </c>
      <c r="C19652" t="str">
        <f>IFERROR(__xludf.DUMMYFUNCTION("GOOGLETRANSLATE(B19652, ""zh"", ""en"")"),"Handsome shoulder bag Nichia's delivery speed is really great, a little bit bigger backpack, which sub-grid small, fabric good, very light overall quality, appearance is very important handsome, quite satisfactory.")</f>
        <v>Handsome shoulder bag Nichia's delivery speed is really great, a little bit bigger backpack, which sub-grid small, fabric good, very light overall quality, appearance is very important handsome, quite satisfactory.</v>
      </c>
    </row>
    <row r="19653">
      <c r="A19653" s="1">
        <v>5.0</v>
      </c>
      <c r="B19653" s="1" t="s">
        <v>19395</v>
      </c>
      <c r="C19653" t="str">
        <f>IFERROR(__xludf.DUMMYFUNCTION("GOOGLETRANSLATE(B19653, ""zh"", ""en"")"),"Japan line of products of good quality and production in the United States, Japan express meticulous in line with expectations, the Japanese lines in line with the Asian body, according to a bigger size more feeling sweater. Quality did not say, no proble"&amp;"m, much better than the United States and Asia about 100, when the United States wanted to buy cheap produce, fortunately refrained. The Japanese have made express obsessive-compulsive disorder, plug-in will know what I say, easy to pull the box design, l"&amp;"ike the demolition of biscuit box, tied with a rubber band clothes in a nice post on stiff cardboard, nothing will not move during transport . After more good stuff to Nichia Amoy Tide brand")</f>
        <v>Japan line of products of good quality and production in the United States, Japan express meticulous in line with expectations, the Japanese lines in line with the Asian body, according to a bigger size more feeling sweater. Quality did not say, no problem, much better than the United States and Asia about 100, when the United States wanted to buy cheap produce, fortunately refrained. The Japanese have made express obsessive-compulsive disorder, plug-in will know what I say, easy to pull the box design, like the demolition of biscuit box, tied with a rubber band clothes in a nice post on stiff cardboard, nothing will not move during transport . After more good stuff to Nichia Amoy Tide brand</v>
      </c>
    </row>
    <row r="19654">
      <c r="A19654" s="1">
        <v>5.0</v>
      </c>
      <c r="B19654" s="1" t="s">
        <v>19396</v>
      </c>
      <c r="C19654" t="str">
        <f>IFERROR(__xludf.DUMMYFUNCTION("GOOGLETRANSLATE(B19654, ""zh"", ""en"")"),"Very black ink is the best I've seen in my experience might be less, but this is the best I've ever used ink. All other ink feathering of paper, with a very black does not even bleeding, and very black waterproof")</f>
        <v>Very black ink is the best I've seen in my experience might be less, but this is the best I've ever used ink. All other ink feathering of paper, with a very black does not even bleeding, and very black waterproof</v>
      </c>
    </row>
    <row r="19655">
      <c r="A19655" s="1">
        <v>5.0</v>
      </c>
      <c r="B19655" s="1" t="s">
        <v>19397</v>
      </c>
      <c r="C19655" t="str">
        <f>IFERROR(__xludf.DUMMYFUNCTION("GOOGLETRANSLATE(B19655, ""zh"", ""en"")"),"Worth having very good very like!")</f>
        <v>Worth having very good very like!</v>
      </c>
    </row>
    <row r="19656">
      <c r="A19656" s="1">
        <v>5.0</v>
      </c>
      <c r="B19656" s="1" t="s">
        <v>19398</v>
      </c>
      <c r="C19656" t="str">
        <f>IFERROR(__xludf.DUMMYFUNCTION("GOOGLETRANSLATE(B19656, ""zh"", ""en"")"),"Very, very good quality speakers")</f>
        <v>Very, very good quality speakers</v>
      </c>
    </row>
    <row r="19657">
      <c r="A19657" s="1">
        <v>5.0</v>
      </c>
      <c r="B19657" s="1" t="s">
        <v>19399</v>
      </c>
      <c r="C19657" t="str">
        <f>IFERROR(__xludf.DUMMYFUNCTION("GOOGLETRANSLATE(B19657, ""zh"", ""en"")"),"Good-looking and comfortable to wear good-looking and comfortable, but heavier than generally do a lot of sports shoes")</f>
        <v>Good-looking and comfortable to wear good-looking and comfortable, but heavier than generally do a lot of sports shoes</v>
      </c>
    </row>
    <row r="19658">
      <c r="A19658" s="1">
        <v>5.0</v>
      </c>
      <c r="B19658" s="1" t="s">
        <v>19400</v>
      </c>
      <c r="C19658" t="str">
        <f>IFERROR(__xludf.DUMMYFUNCTION("GOOGLETRANSLATE(B19658, ""zh"", ""en"")"),"Good overall feel good, light, exquisite surface, inside a little rough, but also very easy to set up, the price has been good enough.")</f>
        <v>Good overall feel good, light, exquisite surface, inside a little rough, but also very easy to set up, the price has been good enough.</v>
      </c>
    </row>
    <row r="19659">
      <c r="A19659" s="1">
        <v>5.0</v>
      </c>
      <c r="B19659" s="1" t="s">
        <v>19401</v>
      </c>
      <c r="C19659" t="str">
        <f>IFERROR(__xludf.DUMMYFUNCTION("GOOGLETRANSLATE(B19659, ""zh"", ""en"")"),"Thin, slightly self Ladies and gentlemen, I am very responsible to say, to the north, the pants are this spring and summer, relatively thin. I was watching some commented buy ""relatively thick Dongkuan"", now estimated to be watching Cantonese say. In ad"&amp;"dition, overall slightly slim pants.")</f>
        <v>Thin, slightly self Ladies and gentlemen, I am very responsible to say, to the north, the pants are this spring and summer, relatively thin. I was watching some commented buy "relatively thick Dongkuan", now estimated to be watching Cantonese say. In addition, overall slightly slim pants.</v>
      </c>
    </row>
    <row r="19660">
      <c r="A19660" s="1">
        <v>5.0</v>
      </c>
      <c r="B19660" s="1" t="s">
        <v>19402</v>
      </c>
      <c r="C19660" t="str">
        <f>IFERROR(__xludf.DUMMYFUNCTION("GOOGLETRANSLATE(B19660, ""zh"", ""en"")"),"perfectly worked! The price is very friendly and cheaper than a hundred treasure, and also a large capacity, spent half a year are normal ~ praise ~ point to the Amazon")</f>
        <v>perfectly worked! The price is very friendly and cheaper than a hundred treasure, and also a large capacity, spent half a year are normal ~ praise ~ point to the Amazon</v>
      </c>
    </row>
    <row r="19661">
      <c r="A19661" s="1">
        <v>5.0</v>
      </c>
      <c r="B19661" s="1" t="s">
        <v>19403</v>
      </c>
      <c r="C19661" t="str">
        <f>IFERROR(__xludf.DUMMYFUNCTION("GOOGLETRANSLATE(B19661, ""zh"", ""en"")"),"Very good ink does not leak when sent, very good. Writing is very smooth, used in the Parker Pen, a week to put off writing no ink phenomenon.")</f>
        <v>Very good ink does not leak when sent, very good. Writing is very smooth, used in the Parker Pen, a week to put off writing no ink phenomenon.</v>
      </c>
    </row>
    <row r="19662">
      <c r="A19662" s="1">
        <v>5.0</v>
      </c>
      <c r="B19662" s="1" t="s">
        <v>19404</v>
      </c>
      <c r="C19662" t="str">
        <f>IFERROR(__xludf.DUMMYFUNCTION("GOOGLETRANSLATE(B19662, ""zh"", ""en"")"),"Lee men's Slim Straight jeans quality is very good, almost no color, size is the United States Code, is too large, height 185, weight 75kg wear 32 × 32 on it.")</f>
        <v>Lee men's Slim Straight jeans quality is very good, almost no color, size is the United States Code, is too large, height 185, weight 75kg wear 32 × 32 on it.</v>
      </c>
    </row>
    <row r="19663">
      <c r="A19663" s="1">
        <v>5.0</v>
      </c>
      <c r="B19663" s="1" t="s">
        <v>19405</v>
      </c>
      <c r="C19663" t="str">
        <f>IFERROR(__xludf.DUMMYFUNCTION("GOOGLETRANSLATE(B19663, ""zh"", ""en"")"),"Buy clothes rather long before the black pieces, and then buy the blue one on the exchange, quality is no problem, a little bit biased long, too large price fluctuations")</f>
        <v>Buy clothes rather long before the black pieces, and then buy the blue one on the exchange, quality is no problem, a little bit biased long, too large price fluctuations</v>
      </c>
    </row>
    <row r="19664">
      <c r="A19664" s="1">
        <v>5.0</v>
      </c>
      <c r="B19664" s="1" t="s">
        <v>19406</v>
      </c>
      <c r="C19664" t="str">
        <f>IFERROR(__xludf.DUMMYFUNCTION("GOOGLETRANSLATE(B19664, ""zh"", ""en"")"),"Slightly larger than the usually wear 255, this time to buy the 250 is also a little big, the other is good")</f>
        <v>Slightly larger than the usually wear 255, this time to buy the 250 is also a little big, the other is good</v>
      </c>
    </row>
    <row r="19665">
      <c r="A19665" s="1">
        <v>2.0</v>
      </c>
      <c r="B19665" s="1" t="s">
        <v>19407</v>
      </c>
      <c r="C19665" t="str">
        <f>IFERROR(__xludf.DUMMYFUNCTION("GOOGLETRANSLATE(B19665, ""zh"", ""en"")"),"A year more, the switch on the bad. A year more, the switch on the bad.")</f>
        <v>A year more, the switch on the bad. A year more, the switch on the bad.</v>
      </c>
    </row>
    <row r="19666">
      <c r="A19666" s="1">
        <v>3.0</v>
      </c>
      <c r="B19666" s="1" t="s">
        <v>19408</v>
      </c>
      <c r="C19666" t="str">
        <f>IFERROR(__xludf.DUMMYFUNCTION("GOOGLETRANSLATE(B19666, ""zh"", ""en"")"),"It can also be more tasteless, grinding effect like a general, now in use as a container, otherwise idle.")</f>
        <v>It can also be more tasteless, grinding effect like a general, now in use as a container, otherwise idle.</v>
      </c>
    </row>
    <row r="19667">
      <c r="A19667" s="1">
        <v>3.0</v>
      </c>
      <c r="B19667" s="1" t="s">
        <v>19409</v>
      </c>
      <c r="C19667" t="str">
        <f>IFERROR(__xludf.DUMMYFUNCTION("GOOGLETRANSLATE(B19667, ""zh"", ""en"")"),"Just so relatively cut cloth, light transmission, the version no problem, the collar is not so high, but I did not expect cloth so bad, make do do it")</f>
        <v>Just so relatively cut cloth, light transmission, the version no problem, the collar is not so high, but I did not expect cloth so bad, make do do it</v>
      </c>
    </row>
    <row r="19668">
      <c r="A19668" s="1">
        <v>3.0</v>
      </c>
      <c r="B19668" s="1" t="s">
        <v>19410</v>
      </c>
      <c r="C19668" t="str">
        <f>IFERROR(__xludf.DUMMYFUNCTION("GOOGLETRANSLATE(B19668, ""zh"", ""en"")"),"Bad bad stream stream, whole box full rain bubble rotten. Fortunately, there are goods inside a plastic bag.")</f>
        <v>Bad bad stream stream, whole box full rain bubble rotten. Fortunately, there are goods inside a plastic bag.</v>
      </c>
    </row>
    <row r="19669">
      <c r="A19669" s="1">
        <v>1.0</v>
      </c>
      <c r="B19669" s="1" t="s">
        <v>19411</v>
      </c>
      <c r="C19669" t="str">
        <f>IFERROR(__xludf.DUMMYFUNCTION("GOOGLETRANSLATE(B19669, ""zh"", ""en"")"),"Overseas purchase of goods purchased overseas logistics too slow, too difficult to grasp the size, not too big or too small, and after-sales service return too much trouble")</f>
        <v>Overseas purchase of goods purchased overseas logistics too slow, too difficult to grasp the size, not too big or too small, and after-sales service return too much trouble</v>
      </c>
    </row>
    <row r="19670">
      <c r="A19670" s="1">
        <v>1.0</v>
      </c>
      <c r="B19670" s="1" t="s">
        <v>19412</v>
      </c>
      <c r="C19670" t="str">
        <f>IFERROR(__xludf.DUMMYFUNCTION("GOOGLETRANSLATE(B19670, ""zh"", ""en"")"),"Cortex seems to have problems, careful selection of goods appearance and Lynx flagship store Clarks consistent, but the cortex does not seem the same, it is clear that the cortex is not delicate, feeling dissatisfied. Need to choose carefully!")</f>
        <v>Cortex seems to have problems, careful selection of goods appearance and Lynx flagship store Clarks consistent, but the cortex does not seem the same, it is clear that the cortex is not delicate, feeling dissatisfied. Need to choose carefully!</v>
      </c>
    </row>
    <row r="19671">
      <c r="A19671" s="1">
        <v>1.0</v>
      </c>
      <c r="B19671" s="1" t="s">
        <v>19413</v>
      </c>
      <c r="C19671" t="str">
        <f>IFERROR(__xludf.DUMMYFUNCTION("GOOGLETRANSLATE(B19671, ""zh"", ""en"")"),"Code number ridiculously large general quality color deviation, code number is too large, I 173, weight 73 kg, L number is too large, only more than 180 people to wear,")</f>
        <v>Code number ridiculously large general quality color deviation, code number is too large, I 173, weight 73 kg, L number is too large, only more than 180 people to wear,</v>
      </c>
    </row>
    <row r="19672">
      <c r="A19672" s="1">
        <v>4.0</v>
      </c>
      <c r="B19672" s="1" t="s">
        <v>19414</v>
      </c>
      <c r="C19672" t="str">
        <f>IFERROR(__xludf.DUMMYFUNCTION("GOOGLETRANSLATE(B19672, ""zh"", ""en"")"),"Buy small read many reviews of selected M, wearing feeling a little small, height 176, weight 88, wearing L should be.")</f>
        <v>Buy small read many reviews of selected M, wearing feeling a little small, height 176, weight 88, wearing L should be.</v>
      </c>
    </row>
    <row r="19673">
      <c r="A19673" s="1">
        <v>4.0</v>
      </c>
      <c r="B19673" s="1" t="s">
        <v>19415</v>
      </c>
      <c r="C19673" t="str">
        <f>IFERROR(__xludf.DUMMYFUNCTION("GOOGLETRANSLATE(B19673, ""zh"", ""en"")"),"The taste of the cup is very beautiful, as with the mug, thermal insulation effect is particularly good, but after a taste pour boiling water over a period of time to cover.")</f>
        <v>The taste of the cup is very beautiful, as with the mug, thermal insulation effect is particularly good, but after a taste pour boiling water over a period of time to cover.</v>
      </c>
    </row>
    <row r="19674">
      <c r="A19674" s="1">
        <v>4.0</v>
      </c>
      <c r="B19674" s="1" t="s">
        <v>19416</v>
      </c>
      <c r="C19674" t="str">
        <f>IFERROR(__xludf.DUMMYFUNCTION("GOOGLETRANSLATE(B19674, ""zh"", ""en"")"),"Stretch fabric is very, very close, inside fleece, very warm Advantages: fabric is very elastic, very close, inside fleece, very warm Cons: To be shared equally dry, or it may be longer, inner thigh at the stalls, there triangle patchwork, just wear some "&amp;"are not used ps: according to the usual size to wear")</f>
        <v>Stretch fabric is very, very close, inside fleece, very warm Advantages: fabric is very elastic, very close, inside fleece, very warm Cons: To be shared equally dry, or it may be longer, inner thigh at the stalls, there triangle patchwork, just wear some are not used ps: according to the usual size to wear</v>
      </c>
    </row>
    <row r="19675">
      <c r="A19675" s="1">
        <v>4.0</v>
      </c>
      <c r="B19675" s="1" t="s">
        <v>19417</v>
      </c>
      <c r="C19675" t="str">
        <f>IFERROR(__xludf.DUMMYFUNCTION("GOOGLETRANSLATE(B19675, ""zh"", ""en"")"),"I do not know why there is no sign shoes shoes no signs, shoes, hand over four hundred yuan price is not high, like the brand can be purchased")</f>
        <v>I do not know why there is no sign shoes shoes no signs, shoes, hand over four hundred yuan price is not high, like the brand can be purchased</v>
      </c>
    </row>
    <row r="19676">
      <c r="A19676" s="1">
        <v>5.0</v>
      </c>
      <c r="B19676" s="1" t="s">
        <v>19418</v>
      </c>
      <c r="C19676" t="str">
        <f>IFERROR(__xludf.DUMMYFUNCTION("GOOGLETRANSLATE(B19676, ""zh"", ""en"")"),"Good socks towel bottom socks, very thick")</f>
        <v>Good socks towel bottom socks, very thick</v>
      </c>
    </row>
    <row r="19677">
      <c r="A19677" s="1">
        <v>5.0</v>
      </c>
      <c r="B19677" s="1" t="s">
        <v>19419</v>
      </c>
      <c r="C19677" t="str">
        <f>IFERROR(__xludf.DUMMYFUNCTION("GOOGLETRANSLATE(B19677, ""zh"", ""en"")"),"Quality headset with a period of time, very quality headphones, the German production, computers, mobile phones direct push effects are good, long time to listen not tired. Put the Taiwanese push effect is very good, provided that the source is higher qua"&amp;"lity, more general use 24bit or dsd play, beginning to burn completely sufficient, cost is very high.")</f>
        <v>Quality headset with a period of time, very quality headphones, the German production, computers, mobile phones direct push effects are good, long time to listen not tired. Put the Taiwanese push effect is very good, provided that the source is higher quality, more general use 24bit or dsd play, beginning to burn completely sufficient, cost is very high.</v>
      </c>
    </row>
    <row r="19678">
      <c r="A19678" s="1">
        <v>5.0</v>
      </c>
      <c r="B19678" s="1" t="s">
        <v>19420</v>
      </c>
      <c r="C19678" t="str">
        <f>IFERROR(__xludf.DUMMYFUNCTION("GOOGLETRANSLATE(B19678, ""zh"", ""en"")"),"Do not buy overseas Amazon, too long to get the goods! Something good, that is, across the sea, waiting half, opened it, Jiangsu origin. Amazon's proposal directly ordered domestic stuff!")</f>
        <v>Do not buy overseas Amazon, too long to get the goods! Something good, that is, across the sea, waiting half, opened it, Jiangsu origin. Amazon's proposal directly ordered domestic stuff!</v>
      </c>
    </row>
    <row r="19679">
      <c r="A19679" s="1">
        <v>5.0</v>
      </c>
      <c r="B19679" s="1" t="s">
        <v>19421</v>
      </c>
      <c r="C19679" t="str">
        <f>IFERROR(__xludf.DUMMYFUNCTION("GOOGLETRANSLATE(B19679, ""zh"", ""en"")"),"Genuine cheap")</f>
        <v>Genuine cheap</v>
      </c>
    </row>
    <row r="19680">
      <c r="A19680" s="1">
        <v>5.0</v>
      </c>
      <c r="B19680" s="1" t="s">
        <v>19422</v>
      </c>
      <c r="C19680" t="str">
        <f>IFERROR(__xludf.DUMMYFUNCTION("GOOGLETRANSLATE(B19680, ""zh"", ""en"")"),"Better to do than to say, one week in advance. awesome! Concern for a long time, just like this color, until finally 6 fold. Street than sports shoes, suck the eye. However, relatively hard soles, like outdoor shoes.")</f>
        <v>Better to do than to say, one week in advance. awesome! Concern for a long time, just like this color, until finally 6 fold. Street than sports shoes, suck the eye. However, relatively hard soles, like outdoor shoes.</v>
      </c>
    </row>
    <row r="19681">
      <c r="A19681" s="1">
        <v>5.0</v>
      </c>
      <c r="B19681" s="1" t="s">
        <v>19423</v>
      </c>
      <c r="C19681" t="str">
        <f>IFERROR(__xludf.DUMMYFUNCTION("GOOGLETRANSLATE(B19681, ""zh"", ""en"")"),"Yes indeed true, accurate and completely different.")</f>
        <v>Yes indeed true, accurate and completely different.</v>
      </c>
    </row>
    <row r="19682">
      <c r="A19682" s="1">
        <v>5.0</v>
      </c>
      <c r="B19682" s="1" t="s">
        <v>19424</v>
      </c>
      <c r="C19682" t="str">
        <f>IFERROR(__xludf.DUMMYFUNCTION("GOOGLETRANSLATE(B19682, ""zh"", ""en"")"),"Wearing a really comfortable to buy a big point, but can wear lace up, this pair much comfortable than 10061, 10061 is really hard")</f>
        <v>Wearing a really comfortable to buy a big point, but can wear lace up, this pair much comfortable than 10061, 10061 is really hard</v>
      </c>
    </row>
    <row r="19683">
      <c r="A19683" s="1">
        <v>5.0</v>
      </c>
      <c r="B19683" s="1" t="s">
        <v>19425</v>
      </c>
      <c r="C19683" t="str">
        <f>IFERROR(__xludf.DUMMYFUNCTION("GOOGLETRANSLATE(B19683, ""zh"", ""en"")"),"Stick solid durable, handsome and stylish")</f>
        <v>Stick solid durable, handsome and stylish</v>
      </c>
    </row>
    <row r="19684">
      <c r="A19684" s="1">
        <v>5.0</v>
      </c>
      <c r="B19684" s="1" t="s">
        <v>19426</v>
      </c>
      <c r="C19684" t="str">
        <f>IFERROR(__xludf.DUMMYFUNCTION("GOOGLETRANSLATE(B19684, ""zh"", ""en"")"),"Nichia not set off the slightly more expensive price, comfort is very good, winter wear is estimated more appropriate, because there is no underwire for breast shape is still very high degree requirements")</f>
        <v>Nichia not set off the slightly more expensive price, comfort is very good, winter wear is estimated more appropriate, because there is no underwire for breast shape is still very high degree requirements</v>
      </c>
    </row>
    <row r="19685">
      <c r="A19685" s="1">
        <v>5.0</v>
      </c>
      <c r="B19685" s="1" t="s">
        <v>19427</v>
      </c>
      <c r="C19685" t="str">
        <f>IFERROR(__xludf.DUMMYFUNCTION("GOOGLETRANSLATE(B19685, ""zh"", ""en"")"),"Good cup to cup the department are very good, lightweight, insulation, and lock easy to use, without affecting the mouth water.")</f>
        <v>Good cup to cup the department are very good, lightweight, insulation, and lock easy to use, without affecting the mouth water.</v>
      </c>
    </row>
    <row r="19686">
      <c r="A19686" s="1">
        <v>5.0</v>
      </c>
      <c r="B19686" s="1" t="s">
        <v>19428</v>
      </c>
      <c r="C19686" t="str">
        <f>IFERROR(__xludf.DUMMYFUNCTION("GOOGLETRANSLATE(B19686, ""zh"", ""en"")"),"Usually wear 38 shoes, the color looks good, but my feet a little too high, though, that high instep links to buy most of the code")</f>
        <v>Usually wear 38 shoes, the color looks good, but my feet a little too high, though, that high instep links to buy most of the code</v>
      </c>
    </row>
    <row r="19687">
      <c r="A19687" s="1">
        <v>5.0</v>
      </c>
      <c r="B19687" s="1" t="s">
        <v>19429</v>
      </c>
      <c r="C19687" t="str">
        <f>IFERROR(__xludf.DUMMYFUNCTION("GOOGLETRANSLATE(B19687, ""zh"", ""en"")"),"Good stuff is very good, very cheap, if the tariffs do not like")</f>
        <v>Good stuff is very good, very cheap, if the tariffs do not like</v>
      </c>
    </row>
    <row r="19688">
      <c r="A19688" s="1">
        <v>5.0</v>
      </c>
      <c r="B19688" s="1" t="s">
        <v>19430</v>
      </c>
      <c r="C19688" t="str">
        <f>IFERROR(__xludf.DUMMYFUNCTION("GOOGLETRANSLATE(B19688, ""zh"", ""en"")"),"These trousers can improve Charisma Oh! These pants is the best present I am a sports pants worn.")</f>
        <v>These trousers can improve Charisma Oh! These pants is the best present I am a sports pants worn.</v>
      </c>
    </row>
    <row r="19689">
      <c r="A19689" s="1">
        <v>5.0</v>
      </c>
      <c r="B19689" s="1" t="s">
        <v>19431</v>
      </c>
      <c r="C19689" t="str">
        <f>IFERROR(__xludf.DUMMYFUNCTION("GOOGLETRANSLATE(B19689, ""zh"", ""en"")"),"kvl3100 shake more powerful, hope we can use some days, bread gloves rub the film does not come out")</f>
        <v>kvl3100 shake more powerful, hope we can use some days, bread gloves rub the film does not come out</v>
      </c>
    </row>
    <row r="19690">
      <c r="A19690" s="1">
        <v>5.0</v>
      </c>
      <c r="B19690" s="1" t="s">
        <v>19432</v>
      </c>
      <c r="C19690" t="str">
        <f>IFERROR(__xludf.DUMMYFUNCTION("GOOGLETRANSLATE(B19690, ""zh"", ""en"")"),"I have a good effect to improve the tone of a very serious tone to get up from the notes, the first time after brushing your teeth before going to bed with, I did not expect the morning up bad breath is not a really good years without feeling! Anger must "&amp;"praise! When mouthwash is a little spicy tongue, but like a spit, and then his mouth has been the xylitol sweetness, quite comfortable. Will definitely buy-back, and so the price of a little more than store ~")</f>
        <v>I have a good effect to improve the tone of a very serious tone to get up from the notes, the first time after brushing your teeth before going to bed with, I did not expect the morning up bad breath is not a really good years without feeling! Anger must praise! When mouthwash is a little spicy tongue, but like a spit, and then his mouth has been the xylitol sweetness, quite comfortable. Will definitely buy-back, and so the price of a little more than store ~</v>
      </c>
    </row>
    <row r="19691">
      <c r="A19691" s="1">
        <v>5.0</v>
      </c>
      <c r="B19691" s="1" t="s">
        <v>19433</v>
      </c>
      <c r="C19691" t="str">
        <f>IFERROR(__xludf.DUMMYFUNCTION("GOOGLETRANSLATE(B19691, ""zh"", ""en"")"),"Nice pants color more positive, less fade, elastic, soft and comfortable, thickness moderate.")</f>
        <v>Nice pants color more positive, less fade, elastic, soft and comfortable, thickness moderate.</v>
      </c>
    </row>
    <row r="19692">
      <c r="A19692" s="1">
        <v>5.0</v>
      </c>
      <c r="B19692" s="1" t="s">
        <v>19434</v>
      </c>
      <c r="C19692" t="str">
        <f>IFERROR(__xludf.DUMMYFUNCTION("GOOGLETRANSLATE(B19692, ""zh"", ""en"")"),"Well ah well ah well ah well ah well ah well, not from the previous evaluation, I do not know how many wasted points, points can change money now know, they should look carefully evaluated, then I put these words copy gone, not only earn points, but also "&amp;"the easy way, where are copying where, most importantly, do not seriously review, do not think how much worse word, sent directly to it, recommend it to everyone! !")</f>
        <v>Well ah well ah well ah well ah well ah well, not from the previous evaluation, I do not know how many wasted points, points can change money now know, they should look carefully evaluated, then I put these words copy gone, not only earn points, but also the easy way, where are copying where, most importantly, do not seriously review, do not think how much worse word, sent directly to it, recommend it to everyone! !</v>
      </c>
    </row>
    <row r="19693">
      <c r="A19693" s="1">
        <v>5.0</v>
      </c>
      <c r="B19693" s="1" t="s">
        <v>19435</v>
      </c>
      <c r="C19693" t="str">
        <f>IFERROR(__xludf.DUMMYFUNCTION("GOOGLETRANSLATE(B19693, ""zh"", ""en"")"),"Professional studio monitor speaker This speaker looks beautiful, exquisite workmanship, solid bass, midrange and full, clear treble, each distinct musical voices, very much.")</f>
        <v>Professional studio monitor speaker This speaker looks beautiful, exquisite workmanship, solid bass, midrange and full, clear treble, each distinct musical voices, very much.</v>
      </c>
    </row>
    <row r="19694">
      <c r="A19694" s="1">
        <v>5.0</v>
      </c>
      <c r="B19694" s="1" t="s">
        <v>19436</v>
      </c>
      <c r="C19694" t="str">
        <f>IFERROR(__xludf.DUMMYFUNCTION("GOOGLETRANSLATE(B19694, ""zh"", ""en"")"),"Yes! Speed ​​100M / S. The price is very good, but portability is also very good.")</f>
        <v>Yes! Speed ​​100M / S. The price is very good, but portability is also very good.</v>
      </c>
    </row>
    <row r="19695">
      <c r="A19695" s="1">
        <v>5.0</v>
      </c>
      <c r="B19695" s="1" t="s">
        <v>19437</v>
      </c>
      <c r="C19695" t="str">
        <f>IFERROR(__xludf.DUMMYFUNCTION("GOOGLETRANSLATE(B19695, ""zh"", ""en"")"),"I feel good to catch up with events, the price is only about half the usual. Air rain feeling good, since the size is larger than the original Croma 100, and mixing valve should open a large job, so the feel than the original water.")</f>
        <v>I feel good to catch up with events, the price is only about half the usual. Air rain feeling good, since the size is larger than the original Croma 100, and mixing valve should open a large job, so the feel than the original water.</v>
      </c>
    </row>
    <row r="19696">
      <c r="A19696" s="1">
        <v>5.0</v>
      </c>
      <c r="B19696" s="1" t="s">
        <v>19438</v>
      </c>
      <c r="C19696" t="str">
        <f>IFERROR(__xludf.DUMMYFUNCTION("GOOGLETRANSLATE(B19696, ""zh"", ""en"")"),"Good quality, good-looking to wear at least buy big, and later took a back right, really good quality, style Ye Hao")</f>
        <v>Good quality, good-looking to wear at least buy big, and later took a back right, really good quality, style Ye Hao</v>
      </c>
    </row>
    <row r="19697">
      <c r="A19697" s="1">
        <v>5.0</v>
      </c>
      <c r="B19697" s="1" t="s">
        <v>19439</v>
      </c>
      <c r="C19697" t="str">
        <f>IFERROR(__xludf.DUMMYFUNCTION("GOOGLETRANSLATE(B19697, ""zh"", ""en"")"),"Quality should be original, not like the kind of domestic four of 20 yuan. Good quality, which it durable. The whole family a year to solve the brush head.")</f>
        <v>Quality should be original, not like the kind of domestic four of 20 yuan. Good quality, which it durable. The whole family a year to solve the brush head.</v>
      </c>
    </row>
    <row r="19698">
      <c r="A19698" s="1">
        <v>2.0</v>
      </c>
      <c r="B19698" s="1" t="s">
        <v>19440</v>
      </c>
      <c r="C19698" t="str">
        <f>IFERROR(__xludf.DUMMYFUNCTION("GOOGLETRANSLATE(B19698, ""zh"", ""en"")"),"Rough texture than cotton, plus 5% of other fibers, feeling a bit rough, not very comfortable. A little disappointed.")</f>
        <v>Rough texture than cotton, plus 5% of other fibers, feeling a bit rough, not very comfortable. A little disappointed.</v>
      </c>
    </row>
    <row r="19699">
      <c r="A19699" s="1">
        <v>3.0</v>
      </c>
      <c r="B19699" s="1" t="s">
        <v>19441</v>
      </c>
      <c r="C19699" t="str">
        <f>IFERROR(__xludf.DUMMYFUNCTION("GOOGLETRANSLATE(B19699, ""zh"", ""en"")"),"Collar a little cross 160,51, L number a little larger, but more than the poor quality of the velvet, wearing a collar there is a little off, a little cross. The price is very cheap, hand 155.6. Do not recommend to buy, I want to help their sister.")</f>
        <v>Collar a little cross 160,51, L number a little larger, but more than the poor quality of the velvet, wearing a collar there is a little off, a little cross. The price is very cheap, hand 155.6. Do not recommend to buy, I want to help their sister.</v>
      </c>
    </row>
    <row r="19700">
      <c r="A19700" s="1">
        <v>3.0</v>
      </c>
      <c r="B19700" s="1" t="s">
        <v>19442</v>
      </c>
      <c r="C19700" t="str">
        <f>IFERROR(__xludf.DUMMYFUNCTION("GOOGLETRANSLATE(B19700, ""zh"", ""en"")"),"Hard materials very hard materials, fabric than hard jeans, the average person is not appropriate")</f>
        <v>Hard materials very hard materials, fabric than hard jeans, the average person is not appropriate</v>
      </c>
    </row>
    <row r="19701">
      <c r="A19701" s="1">
        <v>3.0</v>
      </c>
      <c r="B19701" s="1" t="s">
        <v>19443</v>
      </c>
      <c r="C19701" t="str">
        <f>IFERROR(__xludf.DUMMYFUNCTION("GOOGLETRANSLATE(B19701, ""zh"", ""en"")"),"Handle Kediao an overseas purchase pots, entirely blocking luck, buy a cool color, Ningbo shipping appalling pot still grinding, buy staub, the handle Kediao not small piece, as also followed some loose next , worry chunk off the rust, crying!")</f>
        <v>Handle Kediao an overseas purchase pots, entirely blocking luck, buy a cool color, Ningbo shipping appalling pot still grinding, buy staub, the handle Kediao not small piece, as also followed some loose next , worry chunk off the rust, crying!</v>
      </c>
    </row>
    <row r="19702">
      <c r="A19702" s="1">
        <v>1.0</v>
      </c>
      <c r="B19702" s="1" t="s">
        <v>19444</v>
      </c>
      <c r="C19702" t="str">
        <f>IFERROR(__xludf.DUMMYFUNCTION("GOOGLETRANSLATE(B19702, ""zh"", ""en"")"),"ECCO heel and toe space, so it was okay, the other is a slag slag. Narrow shoes and foot pressure. When not received them yet to drop two hundred, disappointment")</f>
        <v>ECCO heel and toe space, so it was okay, the other is a slag slag. Narrow shoes and foot pressure. When not received them yet to drop two hundred, disappointment</v>
      </c>
    </row>
    <row r="19703">
      <c r="A19703" s="1">
        <v>1.0</v>
      </c>
      <c r="B19703" s="1" t="s">
        <v>19445</v>
      </c>
      <c r="C19703" t="str">
        <f>IFERROR(__xludf.DUMMYFUNCTION("GOOGLETRANSLATE(B19703, ""zh"", ""en"")"),"Code number and the actual fit the physique is really silent, and usually wear XL, commented that look too large, single-M, or more than two yards too large, do the next time you want to set XS? Spanning four yards representation can not accept, estimated"&amp;" that even if the return shipping costs are more than this price, even my mother wore no less than this number, only to give it away, and not everyone can hold live this code number")</f>
        <v>Code number and the actual fit the physique is really silent, and usually wear XL, commented that look too large, single-M, or more than two yards too large, do the next time you want to set XS? Spanning four yards representation can not accept, estimated that even if the return shipping costs are more than this price, even my mother wore no less than this number, only to give it away, and not everyone can hold live this code number</v>
      </c>
    </row>
    <row r="19704">
      <c r="A19704" s="1">
        <v>4.0</v>
      </c>
      <c r="B19704" s="1" t="s">
        <v>19446</v>
      </c>
      <c r="C19704" t="str">
        <f>IFERROR(__xludf.DUMMYFUNCTION("GOOGLETRANSLATE(B19704, ""zh"", ""en"")"),"Okay nothing wrong shoes, shoe size standard, very comfortable to wear, after all, ECCO, but the color and picture pages biased, too deep, brown the close.")</f>
        <v>Okay nothing wrong shoes, shoe size standard, very comfortable to wear, after all, ECCO, but the color and picture pages biased, too deep, brown the close.</v>
      </c>
    </row>
    <row r="19705">
      <c r="A19705" s="1">
        <v>4.0</v>
      </c>
      <c r="B19705" s="1" t="s">
        <v>19447</v>
      </c>
      <c r="C19705" t="str">
        <f>IFERROR(__xludf.DUMMYFUNCTION("GOOGLETRANSLATE(B19705, ""zh"", ""en"")"),"Quality not really feel like washing do not know will not be hair loss making rough overall okay")</f>
        <v>Quality not really feel like washing do not know will not be hair loss making rough overall okay</v>
      </c>
    </row>
    <row r="19706">
      <c r="A19706" s="1">
        <v>4.0</v>
      </c>
      <c r="B19706" s="1" t="s">
        <v>19448</v>
      </c>
      <c r="C19706" t="str">
        <f>IFERROR(__xludf.DUMMYFUNCTION("GOOGLETRANSLATE(B19706, ""zh"", ""en"")"),"May be appropriate")</f>
        <v>May be appropriate</v>
      </c>
    </row>
    <row r="19707">
      <c r="A19707" s="1">
        <v>4.0</v>
      </c>
      <c r="B19707" s="1" t="s">
        <v>19449</v>
      </c>
      <c r="C19707" t="str">
        <f>IFERROR(__xludf.DUMMYFUNCTION("GOOGLETRANSLATE(B19707, ""zh"", ""en"")"),". . . No title to the men 8.5us boyfriend to buy, as long as with the usual shoes, usually wear 41 yards more. Styles can also, good quality, is a bit hard soles.")</f>
        <v>. . . No title to the men 8.5us boyfriend to buy, as long as with the usual shoes, usually wear 41 yards more. Styles can also, good quality, is a bit hard soles.</v>
      </c>
    </row>
    <row r="19708">
      <c r="A19708" s="1">
        <v>4.0</v>
      </c>
      <c r="B19708" s="1" t="s">
        <v>19450</v>
      </c>
      <c r="C19708" t="str">
        <f>IFERROR(__xludf.DUMMYFUNCTION("GOOGLETRANSLATE(B19708, ""zh"", ""en"")"),"Cheap pants, casual Chuan Chuan most appropriate")</f>
        <v>Cheap pants, casual Chuan Chuan most appropriate</v>
      </c>
    </row>
    <row r="19709">
      <c r="A19709" s="1">
        <v>5.0</v>
      </c>
      <c r="B19709" s="1" t="s">
        <v>19451</v>
      </c>
      <c r="C19709" t="str">
        <f>IFERROR(__xludf.DUMMYFUNCTION("GOOGLETRANSLATE(B19709, ""zh"", ""en"")"),"Very nice very nice cups, lids color slightly darker point, the material is not the same no way. Excellent insulation properties. LP sent to work with.")</f>
        <v>Very nice very nice cups, lids color slightly darker point, the material is not the same no way. Excellent insulation properties. LP sent to work with.</v>
      </c>
    </row>
    <row r="19710">
      <c r="A19710" s="1">
        <v>5.0</v>
      </c>
      <c r="B19710" s="1" t="s">
        <v>19452</v>
      </c>
      <c r="C19710" t="str">
        <f>IFERROR(__xludf.DUMMYFUNCTION("GOOGLETRANSLATE(B19710, ""zh"", ""en"")"),"Good quality good quality! British Sea because it is purchased, plug British subject, need with a national standard turn British standard plug adapter plug is readily available online.")</f>
        <v>Good quality good quality! British Sea because it is purchased, plug British subject, need with a national standard turn British standard plug adapter plug is readily available online.</v>
      </c>
    </row>
    <row r="19711">
      <c r="A19711" s="1">
        <v>5.0</v>
      </c>
      <c r="B19711" s="1" t="s">
        <v>19453</v>
      </c>
      <c r="C19711" t="str">
        <f>IFERROR(__xludf.DUMMYFUNCTION("GOOGLETRANSLATE(B19711, ""zh"", ""en"")"),"Very comfortable soft warm, rather long sleeves, the price is now less than 200 arrived very")</f>
        <v>Very comfortable soft warm, rather long sleeves, the price is now less than 200 arrived very</v>
      </c>
    </row>
    <row r="19712">
      <c r="A19712" s="1">
        <v>5.0</v>
      </c>
      <c r="B19712" s="1" t="s">
        <v>19454</v>
      </c>
      <c r="C19712" t="str">
        <f>IFERROR(__xludf.DUMMYFUNCTION("GOOGLETRANSLATE(B19712, ""zh"", ""en"")"),"Good to the parents to buy, not used to start with, and later with shun. The strange thing is there is no Chinese version of the world's specification, awkward 😅")</f>
        <v>Good to the parents to buy, not used to start with, and later with shun. The strange thing is there is no Chinese version of the world's specification, awkward 😅</v>
      </c>
    </row>
    <row r="19713">
      <c r="A19713" s="1">
        <v>5.0</v>
      </c>
      <c r="B19713" s="1" t="s">
        <v>19455</v>
      </c>
      <c r="C19713" t="str">
        <f>IFERROR(__xludf.DUMMYFUNCTION("GOOGLETRANSLATE(B19713, ""zh"", ""en"")"),"A little big, good quality jeans belts similar, but the legs a little big, do not like going to change what may")</f>
        <v>A little big, good quality jeans belts similar, but the legs a little big, do not like going to change what may</v>
      </c>
    </row>
    <row r="19714">
      <c r="A19714" s="1">
        <v>5.0</v>
      </c>
      <c r="B19714" s="1" t="s">
        <v>19456</v>
      </c>
      <c r="C19714" t="str">
        <f>IFERROR(__xludf.DUMMYFUNCTION("GOOGLETRANSLATE(B19714, ""zh"", ""en"")"),"Cost-effective pen is not suitable for small is too small, does not take less than three years old. But a good deal, ready to give as gifts.")</f>
        <v>Cost-effective pen is not suitable for small is too small, does not take less than three years old. But a good deal, ready to give as gifts.</v>
      </c>
    </row>
    <row r="19715">
      <c r="A19715" s="1">
        <v>5.0</v>
      </c>
      <c r="B19715" s="1" t="s">
        <v>19457</v>
      </c>
      <c r="C19715" t="str">
        <f>IFERROR(__xludf.DUMMYFUNCTION("GOOGLETRANSLATE(B19715, ""zh"", ""en"")"),"Very good, very good nothing to say, nothing to say")</f>
        <v>Very good, very good nothing to say, nothing to say</v>
      </c>
    </row>
    <row r="19716">
      <c r="A19716" s="1">
        <v>5.0</v>
      </c>
      <c r="B19716" s="1" t="s">
        <v>19458</v>
      </c>
      <c r="C19716" t="str">
        <f>IFERROR(__xludf.DUMMYFUNCTION("GOOGLETRANSLATE(B19716, ""zh"", ""en"")"),"🔥 good bag can hold a lot of things most important is cooool")</f>
        <v>🔥 good bag can hold a lot of things most important is cooool</v>
      </c>
    </row>
    <row r="19717">
      <c r="A19717" s="1">
        <v>5.0</v>
      </c>
      <c r="B19717" s="1" t="s">
        <v>19459</v>
      </c>
      <c r="C19717" t="str">
        <f>IFERROR(__xludf.DUMMYFUNCTION("GOOGLETRANSLATE(B19717, ""zh"", ""en"")"),"Satisfaction popular environmental packaging today, the goods arrived safely, happy; Nichia quality control can, except for a small part defects, inner pot perfect.")</f>
        <v>Satisfaction popular environmental packaging today, the goods arrived safely, happy; Nichia quality control can, except for a small part defects, inner pot perfect.</v>
      </c>
    </row>
    <row r="19718">
      <c r="A19718" s="1">
        <v>5.0</v>
      </c>
      <c r="B19718" s="1" t="s">
        <v>19460</v>
      </c>
      <c r="C19718" t="str">
        <f>IFERROR(__xludf.DUMMYFUNCTION("GOOGLETRANSLATE(B19718, ""zh"", ""en"")"),"Strawberry smells bad, do not you feel there is a lot of flavors of strawberry flavor, I can not stand, protein is good")</f>
        <v>Strawberry smells bad, do not you feel there is a lot of flavors of strawberry flavor, I can not stand, protein is good</v>
      </c>
    </row>
    <row r="19719">
      <c r="A19719" s="1">
        <v>5.0</v>
      </c>
      <c r="B19719" s="1" t="s">
        <v>19461</v>
      </c>
      <c r="C19719" t="str">
        <f>IFERROR(__xludf.DUMMYFUNCTION("GOOGLETRANSLATE(B19719, ""zh"", ""en"")"),"OK 175,65kg, M is perfect, a slight elastic force")</f>
        <v>OK 175,65kg, M is perfect, a slight elastic force</v>
      </c>
    </row>
    <row r="19720">
      <c r="A19720" s="1">
        <v>5.0</v>
      </c>
      <c r="B19720" s="1" t="s">
        <v>19462</v>
      </c>
      <c r="C19720" t="str">
        <f>IFERROR(__xludf.DUMMYFUNCTION("GOOGLETRANSLATE(B19720, ""zh"", ""en"")"),"US-good quality, large capacity, is also very nice, chic")</f>
        <v>US-good quality, large capacity, is also very nice, chic</v>
      </c>
    </row>
    <row r="19721">
      <c r="A19721" s="1">
        <v>5.0</v>
      </c>
      <c r="B19721" s="1" t="s">
        <v>19463</v>
      </c>
      <c r="C19721" t="str">
        <f>IFERROR(__xludf.DUMMYFUNCTION("GOOGLETRANSLATE(B19721, ""zh"", ""en"")"),"Nice 188/85, according to the commentary to buy M, said Ming Dema US version of the same title and larger, be careful not to buy the wrong. Fabric is very soft and comfortable, quick-drying, but not thin")</f>
        <v>Nice 188/85, according to the commentary to buy M, said Ming Dema US version of the same title and larger, be careful not to buy the wrong. Fabric is very soft and comfortable, quick-drying, but not thin</v>
      </c>
    </row>
    <row r="19722">
      <c r="A19722" s="1">
        <v>5.0</v>
      </c>
      <c r="B19722" s="1" t="s">
        <v>19464</v>
      </c>
      <c r="C19722" t="str">
        <f>IFERROR(__xludf.DUMMYFUNCTION("GOOGLETRANSLATE(B19722, ""zh"", ""en"")"),"Removable hard disk appearance beautiful. Transmission speed!")</f>
        <v>Removable hard disk appearance beautiful. Transmission speed!</v>
      </c>
    </row>
    <row r="19723">
      <c r="A19723" s="1">
        <v>5.0</v>
      </c>
      <c r="B19723" s="1" t="s">
        <v>19465</v>
      </c>
      <c r="C19723" t="str">
        <f>IFERROR(__xludf.DUMMYFUNCTION("GOOGLETRANSLATE(B19723, ""zh"", ""en"")"),"Low with PTer storage disc PTer, use nearly a year full of fast, in addition to the noise a little big, the other is good. The main memory is used, then black five cheap to buy, it is recommended ~ (unfortunately now out of stock)")</f>
        <v>Low with PTer storage disc PTer, use nearly a year full of fast, in addition to the noise a little big, the other is good. The main memory is used, then black five cheap to buy, it is recommended ~ (unfortunately now out of stock)</v>
      </c>
    </row>
    <row r="19724">
      <c r="A19724" s="1">
        <v>5.0</v>
      </c>
      <c r="B19724" s="1" t="s">
        <v>19466</v>
      </c>
      <c r="C19724" t="str">
        <f>IFERROR(__xludf.DUMMYFUNCTION("GOOGLETRANSLATE(B19724, ""zh"", ""en"")"),"No good, hair is also very fast")</f>
        <v>No good, hair is also very fast</v>
      </c>
    </row>
    <row r="19725">
      <c r="A19725" s="1">
        <v>5.0</v>
      </c>
      <c r="B19725" s="1" t="s">
        <v>19467</v>
      </c>
      <c r="C19725" t="str">
        <f>IFERROR(__xludf.DUMMYFUNCTION("GOOGLETRANSLATE(B19725, ""zh"", ""en"")"),"Now only buy a pair of shoes to wear ECCO ECCO shoes is comfortable")</f>
        <v>Now only buy a pair of shoes to wear ECCO ECCO shoes is comfortable</v>
      </c>
    </row>
    <row r="19726">
      <c r="A19726" s="1">
        <v>5.0</v>
      </c>
      <c r="B19726" s="1" t="s">
        <v>19468</v>
      </c>
      <c r="C19726" t="str">
        <f>IFERROR(__xludf.DUMMYFUNCTION("GOOGLETRANSLATE(B19726, ""zh"", ""en"")"),"satisfaction! This should be the place of origin from Shanghai! But the quality is very good! A previously used, the insulation effect is very good, a few years later because the leak does not heat up again this time to buy! Good packaging! Amazon more re"&amp;"liable!")</f>
        <v>satisfaction! This should be the place of origin from Shanghai! But the quality is very good! A previously used, the insulation effect is very good, a few years later because the leak does not heat up again this time to buy! Good packaging! Amazon more reliable!</v>
      </c>
    </row>
    <row r="19727">
      <c r="A19727" s="1">
        <v>5.0</v>
      </c>
      <c r="B19727" s="1" t="s">
        <v>19469</v>
      </c>
      <c r="C19727" t="str">
        <f>IFERROR(__xludf.DUMMYFUNCTION("GOOGLETRANSLATE(B19727, ""zh"", ""en"")"),"very good! Very good, Made in China, size 41 domestic and overseas purchase, too, is different in kind with the picture provided, the picture is light brown, light gray in kind")</f>
        <v>very good! Very good, Made in China, size 41 domestic and overseas purchase, too, is different in kind with the picture provided, the picture is light brown, light gray in kind</v>
      </c>
    </row>
    <row r="19728">
      <c r="A19728" s="1">
        <v>5.0</v>
      </c>
      <c r="B19728" s="1" t="s">
        <v>19470</v>
      </c>
      <c r="C19728" t="str">
        <f>IFERROR(__xludf.DUMMYFUNCTION("GOOGLETRANSLATE(B19728, ""zh"", ""en"")"),"Soon satisfaction, the right size, from 38 to 7.5, good-looking, is not likely to hit the little white shoes")</f>
        <v>Soon satisfaction, the right size, from 38 to 7.5, good-looking, is not likely to hit the little white shoes</v>
      </c>
    </row>
    <row r="19729">
      <c r="A19729" s="1">
        <v>5.0</v>
      </c>
      <c r="B19729" s="1" t="s">
        <v>19471</v>
      </c>
      <c r="C19729" t="str">
        <f>IFERROR(__xludf.DUMMYFUNCTION("GOOGLETRANSLATE(B19729, ""zh"", ""en"")"),"It feels good value for money Oh, no collision ~")</f>
        <v>It feels good value for money Oh, no collision ~</v>
      </c>
    </row>
    <row r="19730">
      <c r="A19730" s="1">
        <v>5.0</v>
      </c>
      <c r="B19730" s="1" t="s">
        <v>19472</v>
      </c>
      <c r="C19730" t="str">
        <f>IFERROR(__xludf.DUMMYFUNCTION("GOOGLETRANSLATE(B19730, ""zh"", ""en"")"),"Pretty cost-effective. Good-looking style.")</f>
        <v>Pretty cost-effective. Good-looking style.</v>
      </c>
    </row>
    <row r="19731">
      <c r="A19731" s="1">
        <v>2.0</v>
      </c>
      <c r="B19731" s="1" t="s">
        <v>19473</v>
      </c>
      <c r="C19731" t="str">
        <f>IFERROR(__xludf.DUMMYFUNCTION("GOOGLETRANSLATE(B19731, ""zh"", ""en"")"),"Around the circle or full circle made in china or made in china")</f>
        <v>Around the circle or full circle made in china or made in china</v>
      </c>
    </row>
    <row r="19732">
      <c r="A19732" s="1">
        <v>3.0</v>
      </c>
      <c r="B19732" s="1" t="s">
        <v>19474</v>
      </c>
      <c r="C19732" t="str">
        <f>IFERROR(__xludf.DUMMYFUNCTION("GOOGLETRANSLATE(B19732, ""zh"", ""en"")"),"Fortunately, fork, spoon a little big better fork, spoon a little too big")</f>
        <v>Fortunately, fork, spoon a little big better fork, spoon a little too big</v>
      </c>
    </row>
    <row r="19733">
      <c r="A19733" s="1">
        <v>3.0</v>
      </c>
      <c r="B19733" s="1" t="s">
        <v>19475</v>
      </c>
      <c r="C19733" t="str">
        <f>IFERROR(__xludf.DUMMYFUNCTION("GOOGLETRANSLATE(B19733, ""zh"", ""en"")"),"Good after-sale cheap, the size allowed, the sleeves too long, a good after-sales")</f>
        <v>Good after-sale cheap, the size allowed, the sleeves too long, a good after-sales</v>
      </c>
    </row>
    <row r="19734">
      <c r="A19734" s="1">
        <v>1.0</v>
      </c>
      <c r="B19734" s="1" t="s">
        <v>19476</v>
      </c>
      <c r="C19734" t="str">
        <f>IFERROR(__xludf.DUMMYFUNCTION("GOOGLETRANSLATE(B19734, ""zh"", ""en"")"),"Fake and shoddy products the same style / model, originally just a different color, now before the merchandise is completely different!")</f>
        <v>Fake and shoddy products the same style / model, originally just a different color, now before the merchandise is completely different!</v>
      </c>
    </row>
    <row r="19735">
      <c r="A19735" s="1">
        <v>1.0</v>
      </c>
      <c r="B19735" s="1" t="s">
        <v>19477</v>
      </c>
      <c r="C19735" t="str">
        <f>IFERROR(__xludf.DUMMYFUNCTION("GOOGLETRANSLATE(B19735, ""zh"", ""en"")"),"Buy quality is bad")</f>
        <v>Buy quality is bad</v>
      </c>
    </row>
    <row r="19736">
      <c r="A19736" s="1">
        <v>4.0</v>
      </c>
      <c r="B19736" s="1" t="s">
        <v>19478</v>
      </c>
      <c r="C19736" t="str">
        <f>IFERROR(__xludf.DUMMYFUNCTION("GOOGLETRANSLATE(B19736, ""zh"", ""en"")"),"There are two check valves is not it? ? I Bahrain remaining two check valves, do not know the water heater or thermostatic shower, knowing Big Brother talk about trouble")</f>
        <v>There are two check valves is not it? ? I Bahrain remaining two check valves, do not know the water heater or thermostatic shower, knowing Big Brother talk about trouble</v>
      </c>
    </row>
    <row r="19737">
      <c r="A19737" s="1">
        <v>4.0</v>
      </c>
      <c r="B19737" s="1" t="s">
        <v>19479</v>
      </c>
      <c r="C19737" t="str">
        <f>IFERROR(__xludf.DUMMYFUNCTION("GOOGLETRANSLATE(B19737, ""zh"", ""en"")"),"Texture more refreshing effect is still there, the texture is also more comfortable, suitable for spring and summer use.")</f>
        <v>Texture more refreshing effect is still there, the texture is also more comfortable, suitable for spring and summer use.</v>
      </c>
    </row>
    <row r="19738">
      <c r="A19738" s="1">
        <v>4.0</v>
      </c>
      <c r="B19738" s="1" t="s">
        <v>19480</v>
      </c>
      <c r="C19738" t="str">
        <f>IFERROR(__xludf.DUMMYFUNCTION("GOOGLETRANSLATE(B19738, ""zh"", ""en"")"),"Clothes a little big, wear good, comfortable clothes are a bit big, wear very good, very comfortable")</f>
        <v>Clothes a little big, wear good, comfortable clothes are a bit big, wear very good, very comfortable</v>
      </c>
    </row>
    <row r="19739">
      <c r="A19739" s="1">
        <v>4.0</v>
      </c>
      <c r="B19739" s="1" t="s">
        <v>19481</v>
      </c>
      <c r="C19739" t="str">
        <f>IFERROR(__xludf.DUMMYFUNCTION("GOOGLETRANSLATE(B19739, ""zh"", ""en"")"),"Attractive price, work a little rough, logistics and quality should be no problem faster than expected, the voltage is 120v, 325w, 500w transformer need to buy, so the price is even cheaper than the domestic half. The cook rough work, followed by a black "&amp;"bare wire has leaked, as well as in front of the machine where the snap imprecise, can see the screw. But above all to find ways to solve their own problems, and the boot is also no problem. In the face of such a low price, these small issues are not a pr"&amp;"oblem.")</f>
        <v>Attractive price, work a little rough, logistics and quality should be no problem faster than expected, the voltage is 120v, 325w, 500w transformer need to buy, so the price is even cheaper than the domestic half. The cook rough work, followed by a black bare wire has leaked, as well as in front of the machine where the snap imprecise, can see the screw. But above all to find ways to solve their own problems, and the boot is also no problem. In the face of such a low price, these small issues are not a problem.</v>
      </c>
    </row>
    <row r="19740">
      <c r="A19740" s="1">
        <v>4.0</v>
      </c>
      <c r="B19740" s="1" t="s">
        <v>19482</v>
      </c>
      <c r="C19740" t="str">
        <f>IFERROR(__xludf.DUMMYFUNCTION("GOOGLETRANSLATE(B19740, ""zh"", ""en"")"),"Look ahead to 8 days before the expected arrival time is No. 20, and then yesterday came suddenly Amazon Express also wonder what's to come Yes. Waistband just, but people are long-legged men in Europe and America ...... God what, too long ......")</f>
        <v>Look ahead to 8 days before the expected arrival time is No. 20, and then yesterday came suddenly Amazon Express also wonder what's to come Yes. Waistband just, but people are long-legged men in Europe and America ...... God what, too long ......</v>
      </c>
    </row>
    <row r="19741">
      <c r="A19741" s="1">
        <v>5.0</v>
      </c>
      <c r="B19741" s="1" t="s">
        <v>19483</v>
      </c>
      <c r="C19741" t="str">
        <f>IFERROR(__xludf.DUMMYFUNCTION("GOOGLETRANSLATE(B19741, ""zh"", ""en"")"),"Than any domestic website are not cheap with absolutely no say in the evaluation of suspected second-hand, new products, sealing integrity. Used the same brand of stuff, very good.")</f>
        <v>Than any domestic website are not cheap with absolutely no say in the evaluation of suspected second-hand, new products, sealing integrity. Used the same brand of stuff, very good.</v>
      </c>
    </row>
    <row r="19742">
      <c r="A19742" s="1">
        <v>5.0</v>
      </c>
      <c r="B19742" s="1" t="s">
        <v>4940</v>
      </c>
      <c r="C19742" t="str">
        <f>IFERROR(__xludf.DUMMYFUNCTION("GOOGLETRANSLATE(B19742, ""zh"", ""en"")"),"Well worth the high cost of buying good quality size is too large loose version plus velvet models feels very comfortable")</f>
        <v>Well worth the high cost of buying good quality size is too large loose version plus velvet models feels very comfortable</v>
      </c>
    </row>
    <row r="19743">
      <c r="A19743" s="1">
        <v>5.0</v>
      </c>
      <c r="B19743" s="1" t="s">
        <v>19484</v>
      </c>
      <c r="C19743" t="str">
        <f>IFERROR(__xludf.DUMMYFUNCTION("GOOGLETRANSLATE(B19743, ""zh"", ""en"")"),"The high cost to buy 450 packs gave a beginning to burn the preceding laptop push. . It is said that only about 60 percent of push fungus feel okay 😂")</f>
        <v>The high cost to buy 450 packs gave a beginning to burn the preceding laptop push. . It is said that only about 60 percent of push fungus feel okay 😂</v>
      </c>
    </row>
    <row r="19744">
      <c r="A19744" s="1">
        <v>5.0</v>
      </c>
      <c r="B19744" s="1" t="s">
        <v>19485</v>
      </c>
      <c r="C19744" t="str">
        <f>IFERROR(__xludf.DUMMYFUNCTION("GOOGLETRANSLATE(B19744, ""zh"", ""en"")"),"Easy to use without very delicate foods can be polished, easy to clean good")</f>
        <v>Easy to use without very delicate foods can be polished, easy to clean good</v>
      </c>
    </row>
    <row r="19745">
      <c r="A19745" s="1">
        <v>5.0</v>
      </c>
      <c r="B19745" s="1" t="s">
        <v>19486</v>
      </c>
      <c r="C19745" t="str">
        <f>IFERROR(__xludf.DUMMYFUNCTION("GOOGLETRANSLATE(B19745, ""zh"", ""en"")"),"Very good very light, Portuguese production, bright little reddish, should be the standard of 36,355 wearing slightly larger a little bit.")</f>
        <v>Very good very light, Portuguese production, bright little reddish, should be the standard of 36,355 wearing slightly larger a little bit.</v>
      </c>
    </row>
    <row r="19746">
      <c r="A19746" s="1">
        <v>5.0</v>
      </c>
      <c r="B19746" s="1" t="s">
        <v>19487</v>
      </c>
      <c r="C19746" t="str">
        <f>IFERROR(__xludf.DUMMYFUNCTION("GOOGLETRANSLATE(B19746, ""zh"", ""en"")"),"180 height, 74KG. Just choose W32L32 waist pants to wear very comfortable, style is also very nice. Pick just right, I 180 height, 74KG. Just choose W32L32 waist, slightly loose trousers, the other perfect")</f>
        <v>180 height, 74KG. Just choose W32L32 waist pants to wear very comfortable, style is also very nice. Pick just right, I 180 height, 74KG. Just choose W32L32 waist, slightly loose trousers, the other perfect</v>
      </c>
    </row>
    <row r="19747">
      <c r="A19747" s="1">
        <v>5.0</v>
      </c>
      <c r="B19747" s="1" t="s">
        <v>19488</v>
      </c>
      <c r="C19747" t="str">
        <f>IFERROR(__xludf.DUMMYFUNCTION("GOOGLETRANSLATE(B19747, ""zh"", ""en"")"),"Express really fast it should be genuine, with up pretty good. Express very fast, just seven days to mail from abroad to")</f>
        <v>Express really fast it should be genuine, with up pretty good. Express very fast, just seven days to mail from abroad to</v>
      </c>
    </row>
    <row r="19748">
      <c r="A19748" s="1">
        <v>5.0</v>
      </c>
      <c r="B19748" s="1" t="s">
        <v>19489</v>
      </c>
      <c r="C19748" t="str">
        <f>IFERROR(__xludf.DUMMYFUNCTION("GOOGLETRANSLATE(B19748, ""zh"", ""en"")"),"Overall satisfaction overall satisfaction, the Internet, said there is a red plate, not open to confirm the runtime noise slightly larger.")</f>
        <v>Overall satisfaction overall satisfaction, the Internet, said there is a red plate, not open to confirm the runtime noise slightly larger.</v>
      </c>
    </row>
    <row r="19749">
      <c r="A19749" s="1">
        <v>5.0</v>
      </c>
      <c r="B19749" s="1" t="s">
        <v>19490</v>
      </c>
      <c r="C19749" t="str">
        <f>IFERROR(__xludf.DUMMYFUNCTION("GOOGLETRANSLATE(B19749, ""zh"", ""en"")"),"Keep after three months of use, the baby will look like, quite satisfied with the shopping")</f>
        <v>Keep after three months of use, the baby will look like, quite satisfied with the shopping</v>
      </c>
    </row>
    <row r="19750">
      <c r="A19750" s="1">
        <v>5.0</v>
      </c>
      <c r="B19750" s="1" t="s">
        <v>19491</v>
      </c>
      <c r="C19750" t="str">
        <f>IFERROR(__xludf.DUMMYFUNCTION("GOOGLETRANSLATE(B19750, ""zh"", ""en"")"),"There is no spring and summer slim jeans wear thin elastic before the summer is over trousers and slacks, jeans, this high cost, tariffs count less than 200 yuan, really cost-effective too.")</f>
        <v>There is no spring and summer slim jeans wear thin elastic before the summer is over trousers and slacks, jeans, this high cost, tariffs count less than 200 yuan, really cost-effective too.</v>
      </c>
    </row>
    <row r="19751">
      <c r="A19751" s="1">
        <v>5.0</v>
      </c>
      <c r="B19751" s="1" t="s">
        <v>19492</v>
      </c>
      <c r="C19751" t="str">
        <f>IFERROR(__xludf.DUMMYFUNCTION("GOOGLETRANSLATE(B19751, ""zh"", ""en"")"),"Karcher vacuum cleaner look easy to use has been to buy a good vacuum cleaner, the mall saw this v7, the price of your teeth itch a little bit, but fortunately, Amazon let me have it, trek came to my house, we study a little bitter hope easy to use")</f>
        <v>Karcher vacuum cleaner look easy to use has been to buy a good vacuum cleaner, the mall saw this v7, the price of your teeth itch a little bit, but fortunately, Amazon let me have it, trek came to my house, we study a little bitter hope easy to use</v>
      </c>
    </row>
    <row r="19752">
      <c r="A19752" s="1">
        <v>5.0</v>
      </c>
      <c r="B19752" s="1" t="s">
        <v>19493</v>
      </c>
      <c r="C19752" t="str">
        <f>IFERROR(__xludf.DUMMYFUNCTION("GOOGLETRANSLATE(B19752, ""zh"", ""en"")"),"Buy one pair and then again to buy a little smaller")</f>
        <v>Buy one pair and then again to buy a little smaller</v>
      </c>
    </row>
    <row r="19753">
      <c r="A19753" s="1">
        <v>5.0</v>
      </c>
      <c r="B19753" s="1" t="s">
        <v>19494</v>
      </c>
      <c r="C19753" t="str">
        <f>IFERROR(__xludf.DUMMYFUNCTION("GOOGLETRANSLATE(B19753, ""zh"", ""en"")"),"nice, super good version of something very positive! Five-star praise, needless to say.")</f>
        <v>nice, super good version of something very positive! Five-star praise, needless to say.</v>
      </c>
    </row>
    <row r="19754">
      <c r="A19754" s="1">
        <v>5.0</v>
      </c>
      <c r="B19754" s="1" t="s">
        <v>19495</v>
      </c>
      <c r="C19754" t="str">
        <f>IFERROR(__xludf.DUMMYFUNCTION("GOOGLETRANSLATE(B19754, ""zh"", ""en"")"),"Easy to read and write speed of qualified fever. Exquisite workmanship.")</f>
        <v>Easy to read and write speed of qualified fever. Exquisite workmanship.</v>
      </c>
    </row>
    <row r="19755">
      <c r="A19755" s="1">
        <v>5.0</v>
      </c>
      <c r="B19755" s="1" t="s">
        <v>19496</v>
      </c>
      <c r="C19755" t="str">
        <f>IFERROR(__xludf.DUMMYFUNCTION("GOOGLETRANSLATE(B19755, ""zh"", ""en"")"),"Authentic running shoes are pretty good, 400 to buy, like")</f>
        <v>Authentic running shoes are pretty good, 400 to buy, like</v>
      </c>
    </row>
    <row r="19756">
      <c r="A19756" s="1">
        <v>5.0</v>
      </c>
      <c r="B19756" s="1" t="s">
        <v>19497</v>
      </c>
      <c r="C19756" t="str">
        <f>IFERROR(__xludf.DUMMYFUNCTION("GOOGLETRANSLATE(B19756, ""zh"", ""en"")"),"Convenient, easy to use, there is also a favorite, easy to use, 40-degree water on the inside for a long time, no problem")</f>
        <v>Convenient, easy to use, there is also a favorite, easy to use, 40-degree water on the inside for a long time, no problem</v>
      </c>
    </row>
    <row r="19757">
      <c r="A19757" s="1">
        <v>5.0</v>
      </c>
      <c r="B19757" s="1" t="s">
        <v>19498</v>
      </c>
      <c r="C19757" t="str">
        <f>IFERROR(__xludf.DUMMYFUNCTION("GOOGLETRANSLATE(B19757, ""zh"", ""en"")"),"Very good shoes, appropriate")</f>
        <v>Very good shoes, appropriate</v>
      </c>
    </row>
    <row r="19758">
      <c r="A19758" s="1">
        <v>5.0</v>
      </c>
      <c r="B19758" s="1" t="s">
        <v>19499</v>
      </c>
      <c r="C19758" t="str">
        <f>IFERROR(__xludf.DUMMYFUNCTION("GOOGLETRANSLATE(B19758, ""zh"", ""en"")"),"Winning numbers is a brand, is a good thing just received, something good, logistics to the force, give praise!")</f>
        <v>Winning numbers is a brand, is a good thing just received, something good, logistics to the force, give praise!</v>
      </c>
    </row>
    <row r="19759">
      <c r="A19759" s="1">
        <v>5.0</v>
      </c>
      <c r="B19759" s="1" t="s">
        <v>19500</v>
      </c>
      <c r="C19759" t="str">
        <f>IFERROR(__xludf.DUMMYFUNCTION("GOOGLETRANSLATE(B19759, ""zh"", ""en"")"),"Rustle rustling on the inside of the vacuum layer which is added as the metal foil for heat reflection, better insulation")</f>
        <v>Rustle rustling on the inside of the vacuum layer which is added as the metal foil for heat reflection, better insulation</v>
      </c>
    </row>
    <row r="19760">
      <c r="A19760" s="1">
        <v>5.0</v>
      </c>
      <c r="B19760" s="1" t="s">
        <v>19501</v>
      </c>
      <c r="C19760" t="str">
        <f>IFERROR(__xludf.DUMMYFUNCTION("GOOGLETRANSLATE(B19760, ""zh"", ""en"")"),"It is authentic? Good legs can also be disassembled")</f>
        <v>It is authentic? Good legs can also be disassembled</v>
      </c>
    </row>
    <row r="19761">
      <c r="A19761" s="1">
        <v>5.0</v>
      </c>
      <c r="B19761" s="1" t="s">
        <v>19502</v>
      </c>
      <c r="C19761" t="str">
        <f>IFERROR(__xludf.DUMMYFUNCTION("GOOGLETRANSLATE(B19761, ""zh"", ""en"")"),"Oxford cloth shirt looks great for autumn and winter with")</f>
        <v>Oxford cloth shirt looks great for autumn and winter with</v>
      </c>
    </row>
    <row r="19762">
      <c r="A19762" s="1">
        <v>2.0</v>
      </c>
      <c r="B19762" s="1" t="s">
        <v>19503</v>
      </c>
      <c r="C19762" t="str">
        <f>IFERROR(__xludf.DUMMYFUNCTION("GOOGLETRANSLATE(B19762, ""zh"", ""en"")"),"Enable new large plastic taste, boil water probably about five to taste nothing when the newly opened large plastic taste, boil water probably about five to nothing the taste. However, rust pot bottom seams appear.")</f>
        <v>Enable new large plastic taste, boil water probably about five to taste nothing when the newly opened large plastic taste, boil water probably about five to nothing the taste. However, rust pot bottom seams appear.</v>
      </c>
    </row>
    <row r="19763">
      <c r="A19763" s="1">
        <v>3.0</v>
      </c>
      <c r="B19763" s="1" t="s">
        <v>19504</v>
      </c>
      <c r="C19763" t="str">
        <f>IFERROR(__xludf.DUMMYFUNCTION("GOOGLETRANSLATE(B19763, ""zh"", ""en"")"),"It says kettle, actually mug! ! ! It says kettle, actually mug! ! ! Do not know kettle and thermos are not the same as understanding it. Say no roots wires, electric and how to have a relationship! ! !")</f>
        <v>It says kettle, actually mug! ! ! It says kettle, actually mug! ! ! Do not know kettle and thermos are not the same as understanding it. Say no roots wires, electric and how to have a relationship! ! !</v>
      </c>
    </row>
    <row r="19764">
      <c r="A19764" s="1">
        <v>3.0</v>
      </c>
      <c r="B19764" s="1" t="s">
        <v>19505</v>
      </c>
      <c r="C19764" t="str">
        <f>IFERROR(__xludf.DUMMYFUNCTION("GOOGLETRANSLATE(B19764, ""zh"", ""en"")"),"Thin, worth 188,852 feet 7 waist, buy l code right size, but too thin, do not wear for the fall, it feels more than 20 spread the goods, worth the price")</f>
        <v>Thin, worth 188,852 feet 7 waist, buy l code right size, but too thin, do not wear for the fall, it feels more than 20 spread the goods, worth the price</v>
      </c>
    </row>
    <row r="19765">
      <c r="A19765" s="1">
        <v>1.0</v>
      </c>
      <c r="B19765" s="1" t="s">
        <v>19506</v>
      </c>
      <c r="C19765" t="str">
        <f>IFERROR(__xludf.DUMMYFUNCTION("GOOGLETRANSLATE(B19765, ""zh"", ""en"")"),"175,65 thin, trumpet and some long, some thin fabric, the version is very thin, put on like with the long johns.")</f>
        <v>175,65 thin, trumpet and some long, some thin fabric, the version is very thin, put on like with the long johns.</v>
      </c>
    </row>
    <row r="19766">
      <c r="A19766" s="1">
        <v>1.0</v>
      </c>
      <c r="B19766" s="1" t="s">
        <v>19507</v>
      </c>
      <c r="C19766" t="str">
        <f>IFERROR(__xludf.DUMMYFUNCTION("GOOGLETRANSLATE(B19766, ""zh"", ""en"")"),"Abnormal sound, did not dare to use, return the hard drive abnormal sound, half of the overall scanning bad sectors obviously bad, return the")</f>
        <v>Abnormal sound, did not dare to use, return the hard drive abnormal sound, half of the overall scanning bad sectors obviously bad, return the</v>
      </c>
    </row>
    <row r="19767">
      <c r="A19767" s="1">
        <v>1.0</v>
      </c>
      <c r="B19767" s="1" t="s">
        <v>19508</v>
      </c>
      <c r="C19767" t="str">
        <f>IFERROR(__xludf.DUMMYFUNCTION("GOOGLETRANSLATE(B19767, ""zh"", ""en"")"),"Alas, not on the grade, is not on the grade to see that spreadsheet. . Appearance can also be right. .")</f>
        <v>Alas, not on the grade, is not on the grade to see that spreadsheet. . Appearance can also be right. .</v>
      </c>
    </row>
    <row r="19768">
      <c r="A19768" s="1">
        <v>4.0</v>
      </c>
      <c r="B19768" s="1" t="s">
        <v>19509</v>
      </c>
      <c r="C19768" t="str">
        <f>IFERROR(__xludf.DUMMYFUNCTION("GOOGLETRANSLATE(B19768, ""zh"", ""en"")"),"Returning to catch up with activities to buy a purchase overseas, I feel it should be genuine. But why has no invoice! The catch activities, get hold of the prime members of the trial, the results bought two things, a home purchase, a purchase overseas, b"&amp;"ut still do not have the invoice, which is what the operation ah. Looking at things can be, but do not know why the bottle small particles, the desiccant missed. . . It really can not imagine, whether it is quality problem or what the problem then, and wr"&amp;"itten Chinese on the desiccant packaging, the rest are not, abnormal understand.")</f>
        <v>Returning to catch up with activities to buy a purchase overseas, I feel it should be genuine. But why has no invoice! The catch activities, get hold of the prime members of the trial, the results bought two things, a home purchase, a purchase overseas, but still do not have the invoice, which is what the operation ah. Looking at things can be, but do not know why the bottle small particles, the desiccant missed. . . It really can not imagine, whether it is quality problem or what the problem then, and written Chinese on the desiccant packaging, the rest are not, abnormal understand.</v>
      </c>
    </row>
    <row r="19769">
      <c r="A19769" s="1">
        <v>4.0</v>
      </c>
      <c r="B19769" s="1" t="s">
        <v>19510</v>
      </c>
      <c r="C19769" t="str">
        <f>IFERROR(__xludf.DUMMYFUNCTION("GOOGLETRANSLATE(B19769, ""zh"", ""en"")"),"Work in general do not know why, I feel no previous good work, cotton, wear a few months, there have been a few are bad points. After buying will be a little more comfortable modal")</f>
        <v>Work in general do not know why, I feel no previous good work, cotton, wear a few months, there have been a few are bad points. After buying will be a little more comfortable modal</v>
      </c>
    </row>
    <row r="19770">
      <c r="A19770" s="1">
        <v>4.0</v>
      </c>
      <c r="B19770" s="1" t="s">
        <v>19511</v>
      </c>
      <c r="C19770" t="str">
        <f>IFERROR(__xludf.DUMMYFUNCTION("GOOGLETRANSLATE(B19770, ""zh"", ""en"")"),"Non-German origin Germany Amoy specially overseas orders more expensive, the results of the hand or British-made, a little depressed! But it was not the problem ... packaging cartons set with no damage!")</f>
        <v>Non-German origin Germany Amoy specially overseas orders more expensive, the results of the hand or British-made, a little depressed! But it was not the problem ... packaging cartons set with no damage!</v>
      </c>
    </row>
    <row r="19771">
      <c r="A19771" s="1">
        <v>4.0</v>
      </c>
      <c r="B19771" s="1" t="s">
        <v>19512</v>
      </c>
      <c r="C19771" t="str">
        <f>IFERROR(__xludf.DUMMYFUNCTION("GOOGLETRANSLATE(B19771, ""zh"", ""en"")"),"Beyerdynamic DT 240 Pro headset is very good has been used 400 hours, good sound quality, big brands, good quality, value for money. The only minor shortcoming is not very comfortable to wear, some chuck, ear pads are too soft, and tight metal clip, ear a"&amp;"ffixed to the inside of the headset. I would like to learn about Japanese headset.")</f>
        <v>Beyerdynamic DT 240 Pro headset is very good has been used 400 hours, good sound quality, big brands, good quality, value for money. The only minor shortcoming is not very comfortable to wear, some chuck, ear pads are too soft, and tight metal clip, ear affixed to the inside of the headset. I would like to learn about Japanese headset.</v>
      </c>
    </row>
    <row r="19772">
      <c r="A19772" s="1">
        <v>4.0</v>
      </c>
      <c r="B19772" s="1" t="s">
        <v>19513</v>
      </c>
      <c r="C19772" t="str">
        <f>IFERROR(__xludf.DUMMYFUNCTION("GOOGLETRANSLATE(B19772, ""zh"", ""en"")"),"Decontamination good results in all fairness, decontamination effect is good, but not yet reached the degree of water directly to wash the egg bowl ah")</f>
        <v>Decontamination good results in all fairness, decontamination effect is good, but not yet reached the degree of water directly to wash the egg bowl ah</v>
      </c>
    </row>
    <row r="19773">
      <c r="A19773" s="1">
        <v>5.0</v>
      </c>
      <c r="B19773" s="1" t="s">
        <v>19514</v>
      </c>
      <c r="C19773" t="str">
        <f>IFERROR(__xludf.DUMMYFUNCTION("GOOGLETRANSLATE(B19773, ""zh"", ""en"")"),"Good u disk speed and stability good thing nothing wrong")</f>
        <v>Good u disk speed and stability good thing nothing wrong</v>
      </c>
    </row>
    <row r="19774">
      <c r="A19774" s="1">
        <v>5.0</v>
      </c>
      <c r="B19774" s="1" t="s">
        <v>19515</v>
      </c>
      <c r="C19774" t="str">
        <f>IFERROR(__xludf.DUMMYFUNCTION("GOOGLETRANSLATE(B19774, ""zh"", ""en"")"),"Very very satisfied, size is very appropriate. Very very satisfied, size is very appropriate.")</f>
        <v>Very very satisfied, size is very appropriate. Very very satisfied, size is very appropriate.</v>
      </c>
    </row>
    <row r="19775">
      <c r="A19775" s="1">
        <v>5.0</v>
      </c>
      <c r="B19775" s="1" t="s">
        <v>19516</v>
      </c>
      <c r="C19775" t="str">
        <f>IFERROR(__xludf.DUMMYFUNCTION("GOOGLETRANSLATE(B19775, ""zh"", ""en"")"),"Good work fine.")</f>
        <v>Good work fine.</v>
      </c>
    </row>
    <row r="19776">
      <c r="A19776" s="1">
        <v>5.0</v>
      </c>
      <c r="B19776" s="1" t="s">
        <v>19517</v>
      </c>
      <c r="C19776" t="str">
        <f>IFERROR(__xludf.DUMMYFUNCTION("GOOGLETRANSLATE(B19776, ""zh"", ""en"")"),"Good brand apparel, high quality, slightly smaller")</f>
        <v>Good brand apparel, high quality, slightly smaller</v>
      </c>
    </row>
    <row r="19777">
      <c r="A19777" s="1">
        <v>5.0</v>
      </c>
      <c r="B19777" s="1" t="s">
        <v>19518</v>
      </c>
      <c r="C19777" t="str">
        <f>IFERROR(__xludf.DUMMYFUNCTION("GOOGLETRANSLATE(B19777, ""zh"", ""en"")"),"Simply can not stick very appropriate, very appropriate, very good quality")</f>
        <v>Simply can not stick very appropriate, very appropriate, very good quality</v>
      </c>
    </row>
    <row r="19778">
      <c r="A19778" s="1">
        <v>5.0</v>
      </c>
      <c r="B19778" s="1" t="s">
        <v>19519</v>
      </c>
      <c r="C19778" t="str">
        <f>IFERROR(__xludf.DUMMYFUNCTION("GOOGLETRANSLATE(B19778, ""zh"", ""en"")"),"Not bad not bad")</f>
        <v>Not bad not bad</v>
      </c>
    </row>
    <row r="19779">
      <c r="A19779" s="1">
        <v>5.0</v>
      </c>
      <c r="B19779" s="1" t="s">
        <v>19520</v>
      </c>
      <c r="C19779" t="str">
        <f>IFERROR(__xludf.DUMMYFUNCTION("GOOGLETRANSLATE(B19779, ""zh"", ""en"")"),"Headphone great packaging is very simple, headphones mounted directly unsealed carton, but this price can buy DT770pro, very cost-effective. Headphones sound good, not harsh natural convergence tri-band, the sound field is very good in closed headphones, "&amp;"dynamic sharp after the release, Direct Push is not a bad sound. Shortcoming has now been found that 6.35 and 3.5 conversion head connector plug is not very good.")</f>
        <v>Headphone great packaging is very simple, headphones mounted directly unsealed carton, but this price can buy DT770pro, very cost-effective. Headphones sound good, not harsh natural convergence tri-band, the sound field is very good in closed headphones, dynamic sharp after the release, Direct Push is not a bad sound. Shortcoming has now been found that 6.35 and 3.5 conversion head connector plug is not very good.</v>
      </c>
    </row>
    <row r="19780">
      <c r="A19780" s="1">
        <v>5.0</v>
      </c>
      <c r="B19780" s="1" t="s">
        <v>19521</v>
      </c>
      <c r="C19780" t="str">
        <f>IFERROR(__xludf.DUMMYFUNCTION("GOOGLETRANSLATE(B19780, ""zh"", ""en"")"),"Purchased three days, this table is really quite true value, and purchased three days quite true, is said to 5-25 seconds error is normal, but my basic no errors, a little hard to believe, may be good luck, hit the jackpot.")</f>
        <v>Purchased three days, this table is really quite true value, and purchased three days quite true, is said to 5-25 seconds error is normal, but my basic no errors, a little hard to believe, may be good luck, hit the jackpot.</v>
      </c>
    </row>
    <row r="19781">
      <c r="A19781" s="1">
        <v>5.0</v>
      </c>
      <c r="B19781" s="1" t="s">
        <v>19522</v>
      </c>
      <c r="C19781" t="str">
        <f>IFERROR(__xludf.DUMMYFUNCTION("GOOGLETRANSLATE(B19781, ""zh"", ""en"")"),"What headline height 172 to buy S size Medium")</f>
        <v>What headline height 172 to buy S size Medium</v>
      </c>
    </row>
    <row r="19782">
      <c r="A19782" s="1">
        <v>5.0</v>
      </c>
      <c r="B19782" s="1" t="s">
        <v>19523</v>
      </c>
      <c r="C19782" t="str">
        <f>IFERROR(__xludf.DUMMYFUNCTION("GOOGLETRANSLATE(B19782, ""zh"", ""en"")"),"Like looking forward to for a long time, finally I bought, before thinking about buying this headset for people who like to give a graduation gift, now, is to give myself. Still I like, literally")</f>
        <v>Like looking forward to for a long time, finally I bought, before thinking about buying this headset for people who like to give a graduation gift, now, is to give myself. Still I like, literally</v>
      </c>
    </row>
    <row r="19783">
      <c r="A19783" s="1">
        <v>5.0</v>
      </c>
      <c r="B19783" s="1" t="s">
        <v>19524</v>
      </c>
      <c r="C19783" t="str">
        <f>IFERROR(__xludf.DUMMYFUNCTION("GOOGLETRANSLATE(B19783, ""zh"", ""en"")"),"Look pretty good feeling is to go with a conversion plug, and to be able to support high-power")</f>
        <v>Look pretty good feeling is to go with a conversion plug, and to be able to support high-power</v>
      </c>
    </row>
    <row r="19784">
      <c r="A19784" s="1">
        <v>5.0</v>
      </c>
      <c r="B19784" s="1" t="s">
        <v>19525</v>
      </c>
      <c r="C19784" t="str">
        <f>IFERROR(__xludf.DUMMYFUNCTION("GOOGLETRANSLATE(B19784, ""zh"", ""en"")"),"Super beautiful like a super-light, hope a little longer storage.")</f>
        <v>Super beautiful like a super-light, hope a little longer storage.</v>
      </c>
    </row>
    <row r="19785">
      <c r="A19785" s="1">
        <v>5.0</v>
      </c>
      <c r="B19785" s="1" t="s">
        <v>19526</v>
      </c>
      <c r="C19785" t="str">
        <f>IFERROR(__xludf.DUMMYFUNCTION("GOOGLETRANSLATE(B19785, ""zh"", ""en"")"),"Inch thick cloth according to number slightly loose points. Thick fabric, workmanship quite satisfactory.")</f>
        <v>Inch thick cloth according to number slightly loose points. Thick fabric, workmanship quite satisfactory.</v>
      </c>
    </row>
    <row r="19786">
      <c r="A19786" s="1">
        <v>5.0</v>
      </c>
      <c r="B19786" s="1" t="s">
        <v>19527</v>
      </c>
      <c r="C19786" t="str">
        <f>IFERROR(__xludf.DUMMYFUNCTION("GOOGLETRANSLATE(B19786, ""zh"", ""en"")"),"Lee men's modern extreme sports series Slim Straight jeans Theo 34W x 32L ... Height 181CM weight 92KG 34W32L very fit, flexible, not tight money. Metal zipper, texture is not very good, fill light when the picture was taken, the actual color slightly. Ov"&amp;"erall very satisfied! If you could long pants 1 centimeter long enough.")</f>
        <v>Lee men's modern extreme sports series Slim Straight jeans Theo 34W x 32L ... Height 181CM weight 92KG 34W32L very fit, flexible, not tight money. Metal zipper, texture is not very good, fill light when the picture was taken, the actual color slightly. Overall very satisfied! If you could long pants 1 centimeter long enough.</v>
      </c>
    </row>
    <row r="19787">
      <c r="A19787" s="1">
        <v>5.0</v>
      </c>
      <c r="B19787" s="1" t="s">
        <v>19528</v>
      </c>
      <c r="C19787" t="str">
        <f>IFERROR(__xludf.DUMMYFUNCTION("GOOGLETRANSLATE(B19787, ""zh"", ""en"")"),"Sea Amoy cost-effective help my colleagues to buy, is already the second time. About membership, tax-180")</f>
        <v>Sea Amoy cost-effective help my colleagues to buy, is already the second time. About membership, tax-180</v>
      </c>
    </row>
    <row r="19788">
      <c r="A19788" s="1">
        <v>5.0</v>
      </c>
      <c r="B19788" s="1" t="s">
        <v>19529</v>
      </c>
      <c r="C19788" t="str">
        <f>IFERROR(__xludf.DUMMYFUNCTION("GOOGLETRANSLATE(B19788, ""zh"", ""en"")"),"I thought quite satisfied to wait for a long time, I did not expect to soon. Something no problem, no smell, packaging is also intact.")</f>
        <v>I thought quite satisfied to wait for a long time, I did not expect to soon. Something no problem, no smell, packaging is also intact.</v>
      </c>
    </row>
    <row r="19789">
      <c r="A19789" s="1">
        <v>5.0</v>
      </c>
      <c r="B19789" s="1" t="s">
        <v>19530</v>
      </c>
      <c r="C19789" t="str">
        <f>IFERROR(__xludf.DUMMYFUNCTION("GOOGLETRANSLATE(B19789, ""zh"", ""en"")"),"Fit the price OK, it is relatively thin.")</f>
        <v>Fit the price OK, it is relatively thin.</v>
      </c>
    </row>
    <row r="19790">
      <c r="A19790" s="1">
        <v>5.0</v>
      </c>
      <c r="B19790" s="1" t="s">
        <v>19531</v>
      </c>
      <c r="C19790" t="str">
        <f>IFERROR(__xludf.DUMMYFUNCTION("GOOGLETRANSLATE(B19790, ""zh"", ""en"")"),"Many people recommend using the experience to see the dog print pelvic girdle, the effect is still there, focusing adhere! Stood and walked around with a good, not sit on the belt, they are still not comfortable with lying. My ass more meat, are feeling c"&amp;"rushed. Hip pregnancy 94, now 98, L code is appropriate with up. Still very value buy at Amazon, when it sent the parcel intact.")</f>
        <v>Many people recommend using the experience to see the dog print pelvic girdle, the effect is still there, focusing adhere! Stood and walked around with a good, not sit on the belt, they are still not comfortable with lying. My ass more meat, are feeling crushed. Hip pregnancy 94, now 98, L code is appropriate with up. Still very value buy at Amazon, when it sent the parcel intact.</v>
      </c>
    </row>
    <row r="19791">
      <c r="A19791" s="1">
        <v>5.0</v>
      </c>
      <c r="B19791" s="1" t="s">
        <v>19532</v>
      </c>
      <c r="C19791" t="str">
        <f>IFERROR(__xludf.DUMMYFUNCTION("GOOGLETRANSLATE(B19791, ""zh"", ""en"")"),"Cost-effective to use NAS, a good deal!")</f>
        <v>Cost-effective to use NAS, a good deal!</v>
      </c>
    </row>
    <row r="19792">
      <c r="A19792" s="1">
        <v>5.0</v>
      </c>
      <c r="B19792" s="1" t="s">
        <v>19533</v>
      </c>
      <c r="C19792" t="str">
        <f>IFERROR(__xludf.DUMMYFUNCTION("GOOGLETRANSLATE(B19792, ""zh"", ""en"")"),"Underwear love from static electricity, wear comfortable,")</f>
        <v>Underwear love from static electricity, wear comfortable,</v>
      </c>
    </row>
    <row r="19793">
      <c r="A19793" s="1">
        <v>5.0</v>
      </c>
      <c r="B19793" s="1" t="s">
        <v>19534</v>
      </c>
      <c r="C19793" t="str">
        <f>IFERROR(__xludf.DUMMYFUNCTION("GOOGLETRANSLATE(B19793, ""zh"", ""en"")"),"Precision worry when walking accurate, do not need to worry about battery life after a good tune. Dial is not large, suitable for summer work.")</f>
        <v>Precision worry when walking accurate, do not need to worry about battery life after a good tune. Dial is not large, suitable for summer work.</v>
      </c>
    </row>
    <row r="19794">
      <c r="A19794" s="1">
        <v>5.0</v>
      </c>
      <c r="B19794" s="1" t="s">
        <v>19535</v>
      </c>
      <c r="C19794" t="str">
        <f>IFERROR(__xludf.DUMMYFUNCTION("GOOGLETRANSLATE(B19794, ""zh"", ""en"")"),"Cream much better than expected, so only a big, praise")</f>
        <v>Cream much better than expected, so only a big, praise</v>
      </c>
    </row>
    <row r="19795">
      <c r="A19795" s="1">
        <v>2.0</v>
      </c>
      <c r="B19795" s="1" t="s">
        <v>19536</v>
      </c>
      <c r="C19795" t="str">
        <f>IFERROR(__xludf.DUMMYFUNCTION("GOOGLETRANSLATE(B19795, ""zh"", ""en"")"),"Thinner than imagined thinner than imagined, summer wear pants, now wearing a cold, gym wear good, just do not know will not play ball, 165,55kg, s code")</f>
        <v>Thinner than imagined thinner than imagined, summer wear pants, now wearing a cold, gym wear good, just do not know will not play ball, 165,55kg, s code</v>
      </c>
    </row>
    <row r="19796">
      <c r="A19796" s="1">
        <v>3.0</v>
      </c>
      <c r="B19796" s="1" t="s">
        <v>19537</v>
      </c>
      <c r="C19796" t="str">
        <f>IFERROR(__xludf.DUMMYFUNCTION("GOOGLETRANSLATE(B19796, ""zh"", ""en"")"),"Time allowed to go two days' walk slower time 4-5 minutes. A few days after the calendar to be adjusted,")</f>
        <v>Time allowed to go two days' walk slower time 4-5 minutes. A few days after the calendar to be adjusted,</v>
      </c>
    </row>
    <row r="19797">
      <c r="A19797" s="1">
        <v>3.0</v>
      </c>
      <c r="B19797" s="1" t="s">
        <v>19538</v>
      </c>
      <c r="C19797" t="str">
        <f>IFERROR(__xludf.DUMMYFUNCTION("GOOGLETRANSLATE(B19797, ""zh"", ""en"")"),"Pictures of the wrong goods and send the goods do not agree, is the female version of")</f>
        <v>Pictures of the wrong goods and send the goods do not agree, is the female version of</v>
      </c>
    </row>
    <row r="19798">
      <c r="A19798" s="1">
        <v>3.0</v>
      </c>
      <c r="B19798" s="1" t="s">
        <v>19539</v>
      </c>
      <c r="C19798" t="str">
        <f>IFERROR(__xludf.DUMMYFUNCTION("GOOGLETRANSLATE(B19798, ""zh"", ""en"")"),"South Korea Korean production, and quality in Canada to buy a little bit different, but good scratchy label")</f>
        <v>South Korea Korean production, and quality in Canada to buy a little bit different, but good scratchy label</v>
      </c>
    </row>
    <row r="19799">
      <c r="A19799" s="1">
        <v>1.0</v>
      </c>
      <c r="B19799" s="1" t="s">
        <v>19540</v>
      </c>
      <c r="C19799" t="str">
        <f>IFERROR(__xludf.DUMMYFUNCTION("GOOGLETRANSLATE(B19799, ""zh"", ""en"")"),"Outlets version feels like, very cheap original Amoy official website in the United States LEE sea had a lot of bars, recently successful weight loss, the original all fat, and saw the Amazon can directly buy, easy way to buy two, after the results of the"&amp;" hand very disappointing, feel the fabric to buy directly from the official website of far worse than that, work is also very rough. If this is not fake, then the feeling is Outlets version. I had wanted to return, and felt a lot of trouble, but Amazon do"&amp;"es not necessarily recognize the reason for return. Come on, live together wear. The proposed purchase of the people consider carefully!")</f>
        <v>Outlets version feels like, very cheap original Amoy official website in the United States LEE sea had a lot of bars, recently successful weight loss, the original all fat, and saw the Amazon can directly buy, easy way to buy two, after the results of the hand very disappointing, feel the fabric to buy directly from the official website of far worse than that, work is also very rough. If this is not fake, then the feeling is Outlets version. I had wanted to return, and felt a lot of trouble, but Amazon does not necessarily recognize the reason for return. Come on, live together wear. The proposed purchase of the people consider carefully!</v>
      </c>
    </row>
    <row r="19800">
      <c r="A19800" s="1">
        <v>1.0</v>
      </c>
      <c r="B19800" s="1" t="s">
        <v>19541</v>
      </c>
      <c r="C19800" t="str">
        <f>IFERROR(__xludf.DUMMYFUNCTION("GOOGLETRANSLATE(B19800, ""zh"", ""en"")"),"Uncomfortable to wear! The right size, but the fabric is thick, wearing a very uncomfortable!")</f>
        <v>Uncomfortable to wear! The right size, but the fabric is thick, wearing a very uncomfortable!</v>
      </c>
    </row>
    <row r="19801">
      <c r="A19801" s="1">
        <v>1.0</v>
      </c>
      <c r="B19801" s="1" t="s">
        <v>19542</v>
      </c>
      <c r="C19801" t="str">
        <f>IFERROR(__xludf.DUMMYFUNCTION("GOOGLETRANSLATE(B19801, ""zh"", ""en"")"),"Defective, then do not buy to buy Amazon Japan shipped back a few days, covered yard of a sealing plug that quickly spent out, close the lid on a fall out! Poor quality, serious doubts are defective.")</f>
        <v>Defective, then do not buy to buy Amazon Japan shipped back a few days, covered yard of a sealing plug that quickly spent out, close the lid on a fall out! Poor quality, serious doubts are defective.</v>
      </c>
    </row>
    <row r="19802">
      <c r="A19802" s="1">
        <v>4.0</v>
      </c>
      <c r="B19802" s="1" t="s">
        <v>19543</v>
      </c>
      <c r="C19802" t="str">
        <f>IFERROR(__xludf.DUMMYFUNCTION("GOOGLETRANSLATE(B19802, ""zh"", ""en"")"),"Good thin very light very comfortable and a bit like a pajama trouser legs too long")</f>
        <v>Good thin very light very comfortable and a bit like a pajama trouser legs too long</v>
      </c>
    </row>
    <row r="19803">
      <c r="A19803" s="1">
        <v>4.0</v>
      </c>
      <c r="B19803" s="1" t="s">
        <v>19544</v>
      </c>
      <c r="C19803" t="str">
        <f>IFERROR(__xludf.DUMMYFUNCTION("GOOGLETRANSLATE(B19803, ""zh"", ""en"")"),"Work well, do not see the price of your origin, looks good, functional parts design simple and practical, the price of some expensive.")</f>
        <v>Work well, do not see the price of your origin, looks good, functional parts design simple and practical, the price of some expensive.</v>
      </c>
    </row>
    <row r="19804">
      <c r="A19804" s="1">
        <v>4.0</v>
      </c>
      <c r="B19804" s="1" t="s">
        <v>19545</v>
      </c>
      <c r="C19804" t="str">
        <f>IFERROR(__xludf.DUMMYFUNCTION("GOOGLETRANSLATE(B19804, ""zh"", ""en"")"),"A little small 168cm, 70 kg. smaller number m,")</f>
        <v>A little small 168cm, 70 kg. smaller number m,</v>
      </c>
    </row>
    <row r="19805">
      <c r="A19805" s="1">
        <v>4.0</v>
      </c>
      <c r="B19805" s="1" t="s">
        <v>19546</v>
      </c>
      <c r="C19805" t="str">
        <f>IFERROR(__xludf.DUMMYFUNCTION("GOOGLETRANSLATE(B19805, ""zh"", ""en"")"),"Too poor to buy less than 2 months and it broke, do not know if I can guarantee domestic, huh")</f>
        <v>Too poor to buy less than 2 months and it broke, do not know if I can guarantee domestic, huh</v>
      </c>
    </row>
    <row r="19806">
      <c r="A19806" s="1">
        <v>5.0</v>
      </c>
      <c r="B19806" s="1" t="s">
        <v>19547</v>
      </c>
      <c r="C19806" t="str">
        <f>IFERROR(__xludf.DUMMYFUNCTION("GOOGLETRANSLATE(B19806, ""zh"", ""en"")"),"Customer service is to force, and actively help solve the problem of goods in line with expectations customer service is to force, positive solution to the problem of goods in line with expectations")</f>
        <v>Customer service is to force, and actively help solve the problem of goods in line with expectations customer service is to force, positive solution to the problem of goods in line with expectations</v>
      </c>
    </row>
    <row r="19807">
      <c r="A19807" s="1">
        <v>5.0</v>
      </c>
      <c r="B19807" s="1" t="s">
        <v>2320</v>
      </c>
      <c r="C19807" t="str">
        <f>IFERROR(__xludf.DUMMYFUNCTION("GOOGLETRANSLATE(B19807, ""zh"", ""en"")"),"Good really good, which domestic prices can not buy a")</f>
        <v>Good really good, which domestic prices can not buy a</v>
      </c>
    </row>
    <row r="19808">
      <c r="A19808" s="1">
        <v>5.0</v>
      </c>
      <c r="B19808" s="1" t="s">
        <v>19548</v>
      </c>
      <c r="C19808" t="str">
        <f>IFERROR(__xludf.DUMMYFUNCTION("GOOGLETRANSLATE(B19808, ""zh"", ""en"")"),"Very, very good, although the packaging crushed, but there are good.")</f>
        <v>Very, very good, although the packaging crushed, but there are good.</v>
      </c>
    </row>
    <row r="19809">
      <c r="A19809" s="1">
        <v>5.0</v>
      </c>
      <c r="B19809" s="1" t="s">
        <v>19549</v>
      </c>
      <c r="C19809" t="str">
        <f>IFERROR(__xludf.DUMMYFUNCTION("GOOGLETRANSLATE(B19809, ""zh"", ""en"")"),"Also, he has bought 18 280 kilograms, a little bit bigger")</f>
        <v>Also, he has bought 18 280 kilograms, a little bit bigger</v>
      </c>
    </row>
    <row r="19810">
      <c r="A19810" s="1">
        <v>5.0</v>
      </c>
      <c r="B19810" s="1" t="s">
        <v>19550</v>
      </c>
      <c r="C19810" t="str">
        <f>IFERROR(__xludf.DUMMYFUNCTION("GOOGLETRANSLATE(B19810, ""zh"", ""en"")"),"Very comfortable very satisfied with this shoe, suitable completely different feeling,")</f>
        <v>Very comfortable very satisfied with this shoe, suitable completely different feeling,</v>
      </c>
    </row>
    <row r="19811">
      <c r="A19811" s="1">
        <v>5.0</v>
      </c>
      <c r="B19811" s="1" t="s">
        <v>19551</v>
      </c>
      <c r="C19811" t="str">
        <f>IFERROR(__xludf.DUMMYFUNCTION("GOOGLETRANSLATE(B19811, ""zh"", ""en"")"),"Fine workmanship materials used sophisticated version of Japan 🇯🇵 although your point, but the quality of workmanship is really good")</f>
        <v>Fine workmanship materials used sophisticated version of Japan 🇯🇵 although your point, but the quality of workmanship is really good</v>
      </c>
    </row>
    <row r="19812">
      <c r="A19812" s="1">
        <v>5.0</v>
      </c>
      <c r="B19812" s="1" t="s">
        <v>19552</v>
      </c>
      <c r="C19812" t="str">
        <f>IFERROR(__xludf.DUMMYFUNCTION("GOOGLETRANSLATE(B19812, ""zh"", ""en"")"),"Material long sleeves, soft, perfect, love")</f>
        <v>Material long sleeves, soft, perfect, love</v>
      </c>
    </row>
    <row r="19813">
      <c r="A19813" s="1">
        <v>5.0</v>
      </c>
      <c r="B19813" s="1" t="s">
        <v>19553</v>
      </c>
      <c r="C19813" t="str">
        <f>IFERROR(__xludf.DUMMYFUNCTION("GOOGLETRANSLATE(B19813, ""zh"", ""en"")"),"Good good price")</f>
        <v>Good good price</v>
      </c>
    </row>
    <row r="19814">
      <c r="A19814" s="1">
        <v>5.0</v>
      </c>
      <c r="B19814" s="1" t="s">
        <v>19554</v>
      </c>
      <c r="C19814" t="str">
        <f>IFERROR(__xludf.DUMMYFUNCTION("GOOGLETRANSLATE(B19814, ""zh"", ""en"")"),"Good experience previously bought in the United States and Asia, good quality; this time in the Adriatic outsourcing, it is convenient, fast.")</f>
        <v>Good experience previously bought in the United States and Asia, good quality; this time in the Adriatic outsourcing, it is convenient, fast.</v>
      </c>
    </row>
    <row r="19815">
      <c r="A19815" s="1">
        <v>5.0</v>
      </c>
      <c r="B19815" s="1" t="s">
        <v>19555</v>
      </c>
      <c r="C19815" t="str">
        <f>IFERROR(__xludf.DUMMYFUNCTION("GOOGLETRANSLATE(B19815, ""zh"", ""en"")"),"Child with, say good! Inch plug socket have to find a suitable, easy to use, fast charging! Cheaper than domestic prices!")</f>
        <v>Child with, say good! Inch plug socket have to find a suitable, easy to use, fast charging! Cheaper than domestic prices!</v>
      </c>
    </row>
    <row r="19816">
      <c r="A19816" s="1">
        <v>5.0</v>
      </c>
      <c r="B19816" s="1" t="s">
        <v>19556</v>
      </c>
      <c r="C19816" t="str">
        <f>IFERROR(__xludf.DUMMYFUNCTION("GOOGLETRANSLATE(B19816, ""zh"", ""en"")"),"Kids drink about half a month's time of receipt, the two children are fond of, be no white buy. I intend to come back to buy drinking")</f>
        <v>Kids drink about half a month's time of receipt, the two children are fond of, be no white buy. I intend to come back to buy drinking</v>
      </c>
    </row>
    <row r="19817">
      <c r="A19817" s="1">
        <v>5.0</v>
      </c>
      <c r="B19817" s="1" t="s">
        <v>19557</v>
      </c>
      <c r="C19817" t="str">
        <f>IFERROR(__xludf.DUMMYFUNCTION("GOOGLETRANSLATE(B19817, ""zh"", ""en"")"),"Very good value at this price a desktop monitor heard a lot this case nothing special powerful place, performance is very balanced, only gripe is that the bass was a little too plump. If can be less fullness, layering point increase on the class. In concl"&amp;"usion, value for money!")</f>
        <v>Very good value at this price a desktop monitor heard a lot this case nothing special powerful place, performance is very balanced, only gripe is that the bass was a little too plump. If can be less fullness, layering point increase on the class. In conclusion, value for money!</v>
      </c>
    </row>
    <row r="19818">
      <c r="A19818" s="1">
        <v>5.0</v>
      </c>
      <c r="B19818" s="1" t="s">
        <v>16309</v>
      </c>
      <c r="C19818" t="str">
        <f>IFERROR(__xludf.DUMMYFUNCTION("GOOGLETRANSLATE(B19818, ""zh"", ""en"")"),"Very good quality is very good, worth buying")</f>
        <v>Very good quality is very good, worth buying</v>
      </c>
    </row>
    <row r="19819">
      <c r="A19819" s="1">
        <v>5.0</v>
      </c>
      <c r="B19819" s="1" t="s">
        <v>19558</v>
      </c>
      <c r="C19819" t="str">
        <f>IFERROR(__xludf.DUMMYFUNCTION("GOOGLETRANSLATE(B19819, ""zh"", ""en"")"),"Good stuff is good, inexpensive")</f>
        <v>Good stuff is good, inexpensive</v>
      </c>
    </row>
    <row r="19820">
      <c r="A19820" s="1">
        <v>5.0</v>
      </c>
      <c r="B19820" s="1" t="s">
        <v>19559</v>
      </c>
      <c r="C19820" t="str">
        <f>IFERROR(__xludf.DUMMYFUNCTION("GOOGLETRANSLATE(B19820, ""zh"", ""en"")"),"Pretty awesome jacket ~~~ 175 69 M number to buy, take the pieces inside a thick sweater perfect control - the usual fitness, upper body looks quite like ~")</f>
        <v>Pretty awesome jacket ~~~ 175 69 M number to buy, take the pieces inside a thick sweater perfect control - the usual fitness, upper body looks quite like ~</v>
      </c>
    </row>
    <row r="19821">
      <c r="A19821" s="1">
        <v>5.0</v>
      </c>
      <c r="B19821" s="1" t="s">
        <v>19560</v>
      </c>
      <c r="C19821" t="str">
        <f>IFERROR(__xludf.DUMMYFUNCTION("GOOGLETRANSLATE(B19821, ""zh"", ""en"")"),"Lightweight portable work well, the size of which is what I want! Ultra-safe packaging, bags to protect very well, indeed Nichia! Like 👍")</f>
        <v>Lightweight portable work well, the size of which is what I want! Ultra-safe packaging, bags to protect very well, indeed Nichia! Like 👍</v>
      </c>
    </row>
    <row r="19822">
      <c r="A19822" s="1">
        <v>5.0</v>
      </c>
      <c r="B19822" s="1" t="s">
        <v>19561</v>
      </c>
      <c r="C19822" t="str">
        <f>IFERROR(__xludf.DUMMYFUNCTION("GOOGLETRANSLATE(B19822, ""zh"", ""en"")"),"The second barrel help build muscle, continue!")</f>
        <v>The second barrel help build muscle, continue!</v>
      </c>
    </row>
    <row r="19823">
      <c r="A19823" s="1">
        <v>5.0</v>
      </c>
      <c r="B19823" s="1" t="s">
        <v>19562</v>
      </c>
      <c r="C19823" t="str">
        <f>IFERROR(__xludf.DUMMYFUNCTION("GOOGLETRANSLATE(B19823, ""zh"", ""en"")"),"Good very good, very comfortable fabric")</f>
        <v>Good very good, very comfortable fabric</v>
      </c>
    </row>
    <row r="19824">
      <c r="A19824" s="1">
        <v>5.0</v>
      </c>
      <c r="B19824" s="1" t="s">
        <v>19563</v>
      </c>
      <c r="C19824" t="str">
        <f>IFERROR(__xludf.DUMMYFUNCTION("GOOGLETRANSLATE(B19824, ""zh"", ""en"")"),"Can be soft bristles, the brush head is too big, bigger than the last to buy")</f>
        <v>Can be soft bristles, the brush head is too big, bigger than the last to buy</v>
      </c>
    </row>
    <row r="19825">
      <c r="A19825" s="1">
        <v>5.0</v>
      </c>
      <c r="B19825" s="1" t="s">
        <v>19564</v>
      </c>
      <c r="C19825" t="str">
        <f>IFERROR(__xludf.DUMMYFUNCTION("GOOGLETRANSLATE(B19825, ""zh"", ""en"")"),"Cock ah ecco or really the first pair of ECCO, in addition to the hand out of the way to find some small flaws, as well as high-top shoes to wear off a little time-consuming, the overall feeling is very perfect, smooth leather-like delicate beauty skin. T"&amp;"he sole fully integrated and lighter than sneakers, full of comfort.")</f>
        <v>Cock ah ecco or really the first pair of ECCO, in addition to the hand out of the way to find some small flaws, as well as high-top shoes to wear off a little time-consuming, the overall feeling is very perfect, smooth leather-like delicate beauty skin. The sole fully integrated and lighter than sneakers, full of comfort.</v>
      </c>
    </row>
    <row r="19826">
      <c r="A19826" s="1">
        <v>5.0</v>
      </c>
      <c r="B19826" s="1" t="s">
        <v>19565</v>
      </c>
      <c r="C19826" t="str">
        <f>IFERROR(__xludf.DUMMYFUNCTION("GOOGLETRANSLATE(B19826, ""zh"", ""en"")"),"German technology is also good, very fine, but the pen is really short ah! There really soft bullet nib, writing not adapt, it may be more suitable for people with good writing skills, slowly running it, people want to be able to pen-in-one!")</f>
        <v>German technology is also good, very fine, but the pen is really short ah! There really soft bullet nib, writing not adapt, it may be more suitable for people with good writing skills, slowly running it, people want to be able to pen-in-one!</v>
      </c>
    </row>
    <row r="19827">
      <c r="A19827" s="1">
        <v>5.0</v>
      </c>
      <c r="B19827" s="1" t="s">
        <v>19566</v>
      </c>
      <c r="C19827" t="str">
        <f>IFERROR(__xludf.DUMMYFUNCTION("GOOGLETRANSLATE(B19827, ""zh"", ""en"")"),"Practical and good-looking business trip to use. Cup relatively light weight, the amount of water suitable means, the size is also more adapted to fit inside the bag")</f>
        <v>Practical and good-looking business trip to use. Cup relatively light weight, the amount of water suitable means, the size is also more adapted to fit inside the bag</v>
      </c>
    </row>
    <row r="19828">
      <c r="A19828" s="1">
        <v>2.0</v>
      </c>
      <c r="B19828" s="1" t="s">
        <v>19567</v>
      </c>
      <c r="C19828" t="str">
        <f>IFERROR(__xludf.DUMMYFUNCTION("GOOGLETRANSLATE(B19828, ""zh"", ""en"")"),"Many good few flaws refill there are impurities which have broken piece of wood")</f>
        <v>Many good few flaws refill there are impurities which have broken piece of wood</v>
      </c>
    </row>
    <row r="19829">
      <c r="A19829" s="1">
        <v>3.0</v>
      </c>
      <c r="B19829" s="1" t="s">
        <v>19568</v>
      </c>
      <c r="C19829" t="str">
        <f>IFERROR(__xludf.DUMMYFUNCTION("GOOGLETRANSLATE(B19829, ""zh"", ""en"")"),"Fit fade, but fade serious. Hope durable")</f>
        <v>Fit fade, but fade serious. Hope durable</v>
      </c>
    </row>
    <row r="19830">
      <c r="A19830" s="1">
        <v>3.0</v>
      </c>
      <c r="B19830" s="1" t="s">
        <v>19569</v>
      </c>
      <c r="C19830" t="str">
        <f>IFERROR(__xludf.DUMMYFUNCTION("GOOGLETRANSLATE(B19830, ""zh"", ""en"")"),"Pretty good size also suitable. Material is also good. HUGO is the logo is reversed. I feel strange.")</f>
        <v>Pretty good size also suitable. Material is also good. HUGO is the logo is reversed. I feel strange.</v>
      </c>
    </row>
    <row r="19831">
      <c r="A19831" s="1">
        <v>3.0</v>
      </c>
      <c r="B19831" s="1" t="s">
        <v>19570</v>
      </c>
      <c r="C19831" t="str">
        <f>IFERROR(__xludf.DUMMYFUNCTION("GOOGLETRANSLATE(B19831, ""zh"", ""en"")"),"Read and write speeds less than the nominal value, fever serious read and write speeds less than the nominal value, severe fever")</f>
        <v>Read and write speeds less than the nominal value, fever serious read and write speeds less than the nominal value, severe fever</v>
      </c>
    </row>
    <row r="19832">
      <c r="A19832" s="1">
        <v>1.0</v>
      </c>
      <c r="B19832" s="1" t="s">
        <v>19571</v>
      </c>
      <c r="C19832" t="str">
        <f>IFERROR(__xludf.DUMMYFUNCTION("GOOGLETRANSLATE(B19832, ""zh"", ""en"")"),"""WHITE""? ""BLACK""? Like the style, but made the wrong color! colour! colour! Actually on the packaging or ""WHITE"" label! So wrong.")</f>
        <v>"WHITE"? "BLACK"? Like the style, but made the wrong color! colour! colour! Actually on the packaging or "WHITE" label! So wrong.</v>
      </c>
    </row>
    <row r="19833">
      <c r="A19833" s="1">
        <v>1.0</v>
      </c>
      <c r="B19833" s="1" t="s">
        <v>19572</v>
      </c>
      <c r="C19833" t="str">
        <f>IFERROR(__xludf.DUMMYFUNCTION("GOOGLETRANSLATE(B19833, ""zh"", ""en"")"),"No doubt the poor quality fakes like raincoats, fake, too blatant, right")</f>
        <v>No doubt the poor quality fakes like raincoats, fake, too blatant, right</v>
      </c>
    </row>
    <row r="19834">
      <c r="A19834" s="1">
        <v>4.0</v>
      </c>
      <c r="B19834" s="1" t="s">
        <v>19573</v>
      </c>
      <c r="C19834" t="str">
        <f>IFERROR(__xludf.DUMMYFUNCTION("GOOGLETRANSLATE(B19834, ""zh"", ""en"")"),"Suitable is the thin section, the heat just wearing, OK")</f>
        <v>Suitable is the thin section, the heat just wearing, OK</v>
      </c>
    </row>
    <row r="19835">
      <c r="A19835" s="1">
        <v>4.0</v>
      </c>
      <c r="B19835" s="1" t="s">
        <v>19574</v>
      </c>
      <c r="C19835" t="str">
        <f>IFERROR(__xludf.DUMMYFUNCTION("GOOGLETRANSLATE(B19835, ""zh"", ""en"")"),"Four stars is very good for the whole body painted with adults together.")</f>
        <v>Four stars is very good for the whole body painted with adults together.</v>
      </c>
    </row>
    <row r="19836">
      <c r="A19836" s="1">
        <v>4.0</v>
      </c>
      <c r="B19836" s="1" t="s">
        <v>19575</v>
      </c>
      <c r="C19836" t="str">
        <f>IFERROR(__xludf.DUMMYFUNCTION("GOOGLETRANSLATE(B19836, ""zh"", ""en"")"),"I do not know how the filter is damaged transportation, then you can break a hard shell, which makes powder sprinkled everywhere")</f>
        <v>I do not know how the filter is damaged transportation, then you can break a hard shell, which makes powder sprinkled everywhere</v>
      </c>
    </row>
    <row r="19837">
      <c r="A19837" s="1">
        <v>4.0</v>
      </c>
      <c r="B19837" s="1" t="s">
        <v>19576</v>
      </c>
      <c r="C19837" t="str">
        <f>IFERROR(__xludf.DUMMYFUNCTION("GOOGLETRANSLATE(B19837, ""zh"", ""en"")"),"Too good shoes is too large a lot of 39 yards 比阿迪达斯")</f>
        <v>Too good shoes is too large a lot of 39 yards 比阿迪达斯</v>
      </c>
    </row>
    <row r="19838">
      <c r="A19838" s="1">
        <v>4.0</v>
      </c>
      <c r="B19838" s="1" t="s">
        <v>19577</v>
      </c>
      <c r="C19838" t="str">
        <f>IFERROR(__xludf.DUMMYFUNCTION("GOOGLETRANSLATE(B19838, ""zh"", ""en"")"),"Single purchased abroad under the baby and Western agents, but it is what sent me the baby and Western agents. . Did not quite understand overseas purchase, I did not find this price in the United States and Asia. A hint of fragrant, I do not know whether"&amp;" deliberately added. Compare playful son on the first day, the next day how do not play a direct throw.")</f>
        <v>Single purchased abroad under the baby and Western agents, but it is what sent me the baby and Western agents. . Did not quite understand overseas purchase, I did not find this price in the United States and Asia. A hint of fragrant, I do not know whether deliberately added. Compare playful son on the first day, the next day how do not play a direct throw.</v>
      </c>
    </row>
    <row r="19839">
      <c r="A19839" s="1">
        <v>5.0</v>
      </c>
      <c r="B19839" s="1" t="s">
        <v>19578</v>
      </c>
      <c r="C19839" t="str">
        <f>IFERROR(__xludf.DUMMYFUNCTION("GOOGLETRANSLATE(B19839, ""zh"", ""en"")"),"Ease of use is very convenient to use, very convenient to grind baby food")</f>
        <v>Ease of use is very convenient to use, very convenient to grind baby food</v>
      </c>
    </row>
    <row r="19840">
      <c r="A19840" s="1">
        <v>5.0</v>
      </c>
      <c r="B19840" s="1" t="s">
        <v>19579</v>
      </c>
      <c r="C19840" t="str">
        <f>IFERROR(__xludf.DUMMYFUNCTION("GOOGLETRANSLATE(B19840, ""zh"", ""en"")"),"Seamless Naples comfortable cotton soft and comfortable to wear has always been the boneless underwear, usually wear 75b. Yardage just")</f>
        <v>Seamless Naples comfortable cotton soft and comfortable to wear has always been the boneless underwear, usually wear 75b. Yardage just</v>
      </c>
    </row>
    <row r="19841">
      <c r="A19841" s="1">
        <v>5.0</v>
      </c>
      <c r="B19841" s="1" t="s">
        <v>19580</v>
      </c>
      <c r="C19841" t="str">
        <f>IFERROR(__xludf.DUMMYFUNCTION("GOOGLETRANSLATE(B19841, ""zh"", ""en"")"),"Dial is very thin, very stylish very beautiful, is the lack of a mirror too easy to leave fingerprints, there is the black is good, but the light of a dark time really can not see it! ! Dial is very thin, very stylish very beautiful, is the lack of a mirr"&amp;"or too easy to leave fingerprints, there is the black is good, but the light of a dark time really can not see it! !")</f>
        <v>Dial is very thin, very stylish very beautiful, is the lack of a mirror too easy to leave fingerprints, there is the black is good, but the light of a dark time really can not see it! ! Dial is very thin, very stylish very beautiful, is the lack of a mirror too easy to leave fingerprints, there is the black is good, but the light of a dark time really can not see it! !</v>
      </c>
    </row>
    <row r="19842">
      <c r="A19842" s="1">
        <v>5.0</v>
      </c>
      <c r="B19842" s="1" t="s">
        <v>19581</v>
      </c>
      <c r="C19842" t="str">
        <f>IFERROR(__xludf.DUMMYFUNCTION("GOOGLETRANSLATE(B19842, ""zh"", ""en"")"),"Fade cotton material upper body is very comfortable, but fade a bit serious")</f>
        <v>Fade cotton material upper body is very comfortable, but fade a bit serious</v>
      </c>
    </row>
    <row r="19843">
      <c r="A19843" s="1">
        <v>5.0</v>
      </c>
      <c r="B19843" s="1" t="s">
        <v>19582</v>
      </c>
      <c r="C19843" t="str">
        <f>IFERROR(__xludf.DUMMYFUNCTION("GOOGLETRANSLATE(B19843, ""zh"", ""en"")"),"Very good, worth recommending! Very good and socks, comfortable, high quality")</f>
        <v>Very good, worth recommending! Very good and socks, comfortable, high quality</v>
      </c>
    </row>
    <row r="19844">
      <c r="A19844" s="1">
        <v>5.0</v>
      </c>
      <c r="B19844" s="1" t="s">
        <v>19583</v>
      </c>
      <c r="C19844" t="str">
        <f>IFERROR(__xludf.DUMMYFUNCTION("GOOGLETRANSLATE(B19844, ""zh"", ""en"")"),"The taste is too heavy, a little unpleasant taste a bit heavy, earphones looking fine, but I can not identify true and false, it should be true, right. Clear plastic bags on the warranty card is turned over, there is a small knuckle. I do not know if it w"&amp;"ill be returned to the people. Headset sounds a little better than the original Apple headphones. Headphone cable is really cheap ah.")</f>
        <v>The taste is too heavy, a little unpleasant taste a bit heavy, earphones looking fine, but I can not identify true and false, it should be true, right. Clear plastic bags on the warranty card is turned over, there is a small knuckle. I do not know if it will be returned to the people. Headset sounds a little better than the original Apple headphones. Headphone cable is really cheap ah.</v>
      </c>
    </row>
    <row r="19845">
      <c r="A19845" s="1">
        <v>5.0</v>
      </c>
      <c r="B19845" s="1" t="s">
        <v>19584</v>
      </c>
      <c r="C19845" t="str">
        <f>IFERROR(__xludf.DUMMYFUNCTION("GOOGLETRANSLATE(B19845, ""zh"", ""en"")"),"Floss washing medium and small three models, may only use, can only adapt to low mode. Easy to use! Super fast speed!")</f>
        <v>Floss washing medium and small three models, may only use, can only adapt to low mode. Easy to use! Super fast speed!</v>
      </c>
    </row>
    <row r="19846">
      <c r="A19846" s="1">
        <v>5.0</v>
      </c>
      <c r="B19846" s="1" t="s">
        <v>19585</v>
      </c>
      <c r="C19846" t="str">
        <f>IFERROR(__xludf.DUMMYFUNCTION("GOOGLETRANSLATE(B19846, ""zh"", ""en"")"),"3.5L could have been bought, and the results have chosen the wrong single 2.4L, why do not avoid the wrong hands. 3.5L could have been bought, and the results have chosen the wrong single 2.4L, why do not avoid the wrong hands.")</f>
        <v>3.5L could have been bought, and the results have chosen the wrong single 2.4L, why do not avoid the wrong hands. 3.5L could have been bought, and the results have chosen the wrong single 2.4L, why do not avoid the wrong hands.</v>
      </c>
    </row>
    <row r="19847">
      <c r="A19847" s="1">
        <v>5.0</v>
      </c>
      <c r="B19847" s="1" t="s">
        <v>19586</v>
      </c>
      <c r="C19847" t="str">
        <f>IFERROR(__xludf.DUMMYFUNCTION("GOOGLETRANSLATE(B19847, ""zh"", ""en"")"),"This is a good pen at ease, and would also like, just still do not feel rough, ready to buy a b tip, the Japanese pen 21k large damping, I like")</f>
        <v>This is a good pen at ease, and would also like, just still do not feel rough, ready to buy a b tip, the Japanese pen 21k large damping, I like</v>
      </c>
    </row>
    <row r="19848">
      <c r="A19848" s="1">
        <v>5.0</v>
      </c>
      <c r="B19848" s="1" t="s">
        <v>7254</v>
      </c>
      <c r="C19848" t="str">
        <f>IFERROR(__xludf.DUMMYFUNCTION("GOOGLETRANSLATE(B19848, ""zh"", ""en"")"),"In addition to what to wear before ironing machine after washing week, could not find other disadvantages. Advantage is that with a high cotton content, comfortable, no side seam, and a cylindrical seating arrangement microdisplay waist.")</f>
        <v>In addition to what to wear before ironing machine after washing week, could not find other disadvantages. Advantage is that with a high cotton content, comfortable, no side seam, and a cylindrical seating arrangement microdisplay waist.</v>
      </c>
    </row>
    <row r="19849">
      <c r="A19849" s="1">
        <v>5.0</v>
      </c>
      <c r="B19849" s="1" t="s">
        <v>19587</v>
      </c>
      <c r="C19849" t="str">
        <f>IFERROR(__xludf.DUMMYFUNCTION("GOOGLETRANSLATE(B19849, ""zh"", ""en"")"),"There are good people eat the results, will buy")</f>
        <v>There are good people eat the results, will buy</v>
      </c>
    </row>
    <row r="19850">
      <c r="A19850" s="1">
        <v>5.0</v>
      </c>
      <c r="B19850" s="1" t="s">
        <v>19588</v>
      </c>
      <c r="C19850" t="str">
        <f>IFERROR(__xludf.DUMMYFUNCTION("GOOGLETRANSLATE(B19850, ""zh"", ""en"")"),"Operating voltage is 220 volts it? Product description did not inform the operating voltage, or buy domestic burned.")</f>
        <v>Operating voltage is 220 volts it? Product description did not inform the operating voltage, or buy domestic burned.</v>
      </c>
    </row>
    <row r="19851">
      <c r="A19851" s="1">
        <v>5.0</v>
      </c>
      <c r="B19851" s="1" t="s">
        <v>19589</v>
      </c>
      <c r="C19851" t="str">
        <f>IFERROR(__xludf.DUMMYFUNCTION("GOOGLETRANSLATE(B19851, ""zh"", ""en"")"),"Received seven hundred head, the actual capacity of more than 360, storage is also very fast, very satisfied.")</f>
        <v>Received seven hundred head, the actual capacity of more than 360, storage is also very fast, very satisfied.</v>
      </c>
    </row>
    <row r="19852">
      <c r="A19852" s="1">
        <v>5.0</v>
      </c>
      <c r="B19852" s="1" t="s">
        <v>19590</v>
      </c>
      <c r="C19852" t="str">
        <f>IFERROR(__xludf.DUMMYFUNCTION("GOOGLETRANSLATE(B19852, ""zh"", ""en"")"),"Genuine fear of fakes, tried to wear for two years, it really is the real thing, more accurate travel time, not had a problem.")</f>
        <v>Genuine fear of fakes, tried to wear for two years, it really is the real thing, more accurate travel time, not had a problem.</v>
      </c>
    </row>
    <row r="19853">
      <c r="A19853" s="1">
        <v>5.0</v>
      </c>
      <c r="B19853" s="1" t="s">
        <v>19591</v>
      </c>
      <c r="C19853" t="str">
        <f>IFERROR(__xludf.DUMMYFUNCTION("GOOGLETRANSLATE(B19853, ""zh"", ""en"")"),"Before satisfied bought a pair of white Nike to wear this pair of 8 small buy 8.5, very appropriate, expected two weeks of receiving the results a week to, good speed out of")</f>
        <v>Before satisfied bought a pair of white Nike to wear this pair of 8 small buy 8.5, very appropriate, expected two weeks of receiving the results a week to, good speed out of</v>
      </c>
    </row>
    <row r="19854">
      <c r="A19854" s="1">
        <v>5.0</v>
      </c>
      <c r="B19854" s="1" t="s">
        <v>596</v>
      </c>
      <c r="C19854" t="str">
        <f>IFERROR(__xludf.DUMMYFUNCTION("GOOGLETRANSLATE(B19854, ""zh"", ""en"")"),"Good for the summer, the fabric is very comfortable for summer")</f>
        <v>Good for the summer, the fabric is very comfortable for summer</v>
      </c>
    </row>
    <row r="19855">
      <c r="A19855" s="1">
        <v>5.0</v>
      </c>
      <c r="B19855" s="1" t="s">
        <v>19592</v>
      </c>
      <c r="C19855" t="str">
        <f>IFERROR(__xludf.DUMMYFUNCTION("GOOGLETRANSLATE(B19855, ""zh"", ""en"")"),"No look great! like very much! Fortunately, buy code freshman, wearing just")</f>
        <v>No look great! like very much! Fortunately, buy code freshman, wearing just</v>
      </c>
    </row>
    <row r="19856">
      <c r="A19856" s="1">
        <v>5.0</v>
      </c>
      <c r="B19856" s="1" t="s">
        <v>19593</v>
      </c>
      <c r="C19856" t="str">
        <f>IFERROR(__xludf.DUMMYFUNCTION("GOOGLETRANSLATE(B19856, ""zh"", ""en"")"),"Okay it looked comment overestimated his body a little to buy the S number, leaving the family to wear. Volume a bit, clothes chest 106cm, abdominal circumference 87cm, clothing long 63cm, sleeve length 63cm, give you a reference. They bought a large, hei"&amp;"ght 161cm weight 60 kg, older do not like tight, L numbers right size, feel comfortable on the behind, sleeves trifle generous, good-looking blue not gray, the clothes tile volume a bit, L number bust 112cm, abdominal circumference 102cm, clothing long 65"&amp;"cm, sleeve length 65cm.")</f>
        <v>Okay it looked comment overestimated his body a little to buy the S number, leaving the family to wear. Volume a bit, clothes chest 106cm, abdominal circumference 87cm, clothing long 63cm, sleeve length 63cm, give you a reference. They bought a large, height 161cm weight 60 kg, older do not like tight, L numbers right size, feel comfortable on the behind, sleeves trifle generous, good-looking blue not gray, the clothes tile volume a bit, L number bust 112cm, abdominal circumference 102cm, clothing long 65cm, sleeve length 65cm.</v>
      </c>
    </row>
    <row r="19857">
      <c r="A19857" s="1">
        <v>5.0</v>
      </c>
      <c r="B19857" s="1" t="s">
        <v>19594</v>
      </c>
      <c r="C19857" t="str">
        <f>IFERROR(__xludf.DUMMYFUNCTION("GOOGLETRANSLATE(B19857, ""zh"", ""en"")"),"In Japan Sanei drawing shampoo faucet While most materials are made of plastic, but work fine, three distinct feeling stalls during rotation value for money. Short inlet pipe of the problem solved, some people feel there is no talk of that complex. I went"&amp;" to B &amp; Q to buy two external wire braided stainless steel hose is installed, (ie, an external thread is an internal thread) thread is GB 4 points.")</f>
        <v>In Japan Sanei drawing shampoo faucet While most materials are made of plastic, but work fine, three distinct feeling stalls during rotation value for money. Short inlet pipe of the problem solved, some people feel there is no talk of that complex. I went to B &amp; Q to buy two external wire braided stainless steel hose is installed, (ie, an external thread is an internal thread) thread is GB 4 points.</v>
      </c>
    </row>
    <row r="19858">
      <c r="A19858" s="1">
        <v>5.0</v>
      </c>
      <c r="B19858" s="1" t="s">
        <v>19595</v>
      </c>
      <c r="C19858" t="str">
        <f>IFERROR(__xludf.DUMMYFUNCTION("GOOGLETRANSLATE(B19858, ""zh"", ""en"")"),"Shoes slim, 6uk for 39 feet, good price when the shoes in good condition, no scratches, tried it, 39 feet, read reviews buy 6uk, the width little tight, 1 cm long multi-received, the shoes look the long, comfort can also, very soft leather uppers, the tri"&amp;"al finished uppers found a slight crease, satisfied with the price, counters kick off more than 1000 points, the hand over 420, while the counter is not big yards.")</f>
        <v>Shoes slim, 6uk for 39 feet, good price when the shoes in good condition, no scratches, tried it, 39 feet, read reviews buy 6uk, the width little tight, 1 cm long multi-received, the shoes look the long, comfort can also, very soft leather uppers, the trial finished uppers found a slight crease, satisfied with the price, counters kick off more than 1000 points, the hand over 420, while the counter is not big yards.</v>
      </c>
    </row>
    <row r="19859">
      <c r="A19859" s="1">
        <v>5.0</v>
      </c>
      <c r="B19859" s="1" t="s">
        <v>19596</v>
      </c>
      <c r="C19859" t="str">
        <f>IFERROR(__xludf.DUMMYFUNCTION("GOOGLETRANSLATE(B19859, ""zh"", ""en"")"),"Barber artifact useful, super convenient!")</f>
        <v>Barber artifact useful, super convenient!</v>
      </c>
    </row>
    <row r="19860">
      <c r="A19860" s="1">
        <v>5.0</v>
      </c>
      <c r="B19860" s="1" t="s">
        <v>19597</v>
      </c>
      <c r="C19860" t="str">
        <f>IFERROR(__xludf.DUMMYFUNCTION("GOOGLETRANSLATE(B19860, ""zh"", ""en"")"),"Very satisfied cheaper than domestic buy more than one, well, that is significant foot long")</f>
        <v>Very satisfied cheaper than domestic buy more than one, well, that is significant foot long</v>
      </c>
    </row>
    <row r="19861">
      <c r="A19861" s="1">
        <v>2.0</v>
      </c>
      <c r="B19861" s="1" t="s">
        <v>19598</v>
      </c>
      <c r="C19861" t="str">
        <f>IFERROR(__xludf.DUMMYFUNCTION("GOOGLETRANSLATE(B19861, ""zh"", ""en"")"),"Size Chart seriously mislead the quality of shoes and logistics did not have to say, Amazon is trustworthy, the most angry is that the size table is too misleading, and ridiculously large part, hope to have improved")</f>
        <v>Size Chart seriously mislead the quality of shoes and logistics did not have to say, Amazon is trustworthy, the most angry is that the size table is too misleading, and ridiculously large part, hope to have improved</v>
      </c>
    </row>
    <row r="19862">
      <c r="A19862" s="1">
        <v>3.0</v>
      </c>
      <c r="B19862" s="1" t="s">
        <v>19599</v>
      </c>
      <c r="C19862" t="str">
        <f>IFERROR(__xludf.DUMMYFUNCTION("GOOGLETRANSLATE(B19862, ""zh"", ""en"")"),"Surface material product of gray smoke good product transmission speed is also good, but the surface of the material used is too gray smoke, and has been stuck on it, this is a bit uncomfortable!")</f>
        <v>Surface material product of gray smoke good product transmission speed is also good, but the surface of the material used is too gray smoke, and has been stuck on it, this is a bit uncomfortable!</v>
      </c>
    </row>
    <row r="19863">
      <c r="A19863" s="1">
        <v>1.0</v>
      </c>
      <c r="B19863" s="1" t="s">
        <v>19600</v>
      </c>
      <c r="C19863" t="str">
        <f>IFERROR(__xludf.DUMMYFUNCTION("GOOGLETRANSLATE(B19863, ""zh"", ""en"")"),"Ten days with the lid on the bad, ask whether there is a separate lid buy it with a suite of ten days lid on the bad, ask whether there is a separate lid kit buy it")</f>
        <v>Ten days with the lid on the bad, ask whether there is a separate lid buy it with a suite of ten days lid on the bad, ask whether there is a separate lid kit buy it</v>
      </c>
    </row>
    <row r="19864">
      <c r="A19864" s="1">
        <v>1.0</v>
      </c>
      <c r="B19864" s="1" t="s">
        <v>19601</v>
      </c>
      <c r="C19864" t="str">
        <f>IFERROR(__xludf.DUMMYFUNCTION("GOOGLETRANSLATE(B19864, ""zh"", ""en"")"),"Twice to buy M number sizes like May to buy a M number, size is just right, in August and bought once, choose the same size as the clothes, the clothes actually grow more than five centimeters, can be written on clothes Size is M, which is too pull it!")</f>
        <v>Twice to buy M number sizes like May to buy a M number, size is just right, in August and bought once, choose the same size as the clothes, the clothes actually grow more than five centimeters, can be written on clothes Size is M, which is too pull it!</v>
      </c>
    </row>
    <row r="19865">
      <c r="A19865" s="1">
        <v>4.0</v>
      </c>
      <c r="B19865" s="1" t="s">
        <v>19602</v>
      </c>
      <c r="C19865" t="str">
        <f>IFERROR(__xludf.DUMMYFUNCTION("GOOGLETRANSLATE(B19865, ""zh"", ""en"")"),"Serious shoes too large. Wearing almost two months, the first shoes are very heavy! ! Usually 36 feet thin, buy 4M, and large too much, I wear a pad insoles two pairs of socks last only just, want to change other sizes found no goods, will wear. I always "&amp;"wear a rain snow, so the shoes will not water, stepped up at ease.")</f>
        <v>Serious shoes too large. Wearing almost two months, the first shoes are very heavy! ! Usually 36 feet thin, buy 4M, and large too much, I wear a pad insoles two pairs of socks last only just, want to change other sizes found no goods, will wear. I always wear a rain snow, so the shoes will not water, stepped up at ease.</v>
      </c>
    </row>
    <row r="19866">
      <c r="A19866" s="1">
        <v>4.0</v>
      </c>
      <c r="B19866" s="1" t="s">
        <v>19603</v>
      </c>
      <c r="C19866" t="str">
        <f>IFERROR(__xludf.DUMMYFUNCTION("GOOGLETRANSLATE(B19866, ""zh"", ""en"")"),"The watch can change batteries? Under the orders yesterday, today sent, JOYO delivery really fast. The overall feeling is good, is not allowed on the grid when the second hand seems to go! I want to know watch can change batteries? Unlike see the back cov"&amp;"er can change, as if it is not installed on the open? Who replaced the battery?")</f>
        <v>The watch can change batteries? Under the orders yesterday, today sent, JOYO delivery really fast. The overall feeling is good, is not allowed on the grid when the second hand seems to go! I want to know watch can change batteries? Unlike see the back cover can change, as if it is not installed on the open? Who replaced the battery?</v>
      </c>
    </row>
    <row r="19867">
      <c r="A19867" s="1">
        <v>4.0</v>
      </c>
      <c r="B19867" s="1" t="s">
        <v>19604</v>
      </c>
      <c r="C19867" t="str">
        <f>IFERROR(__xludf.DUMMYFUNCTION("GOOGLETRANSLATE(B19867, ""zh"", ""en"")"),"Okay clothes line, classic Fit beer belly for men to wear, platform or slim figure version of it!")</f>
        <v>Okay clothes line, classic Fit beer belly for men to wear, platform or slim figure version of it!</v>
      </c>
    </row>
    <row r="19868">
      <c r="A19868" s="1">
        <v>4.0</v>
      </c>
      <c r="B19868" s="1" t="s">
        <v>19605</v>
      </c>
      <c r="C19868" t="str">
        <f>IFERROR(__xludf.DUMMYFUNCTION("GOOGLETRANSLATE(B19868, ""zh"", ""en"")"),"166 53kg wear s very fat. . . Sea Amoy replacement is not easy to provide reference each other. . . Not pure black, fertilizer, but ignore aesthetics, then you can wear. . . Wear litter inside domesticated hen slightly agglomerated, washing slight fade, m"&amp;"outh and feet are relatively fat, substantially less than the resilient, but warmer than jeans.")</f>
        <v>166 53kg wear s very fat. . . Sea Amoy replacement is not easy to provide reference each other. . . Not pure black, fertilizer, but ignore aesthetics, then you can wear. . . Wear litter inside domesticated hen slightly agglomerated, washing slight fade, mouth and feet are relatively fat, substantially less than the resilient, but warmer than jeans.</v>
      </c>
    </row>
    <row r="19869">
      <c r="A19869" s="1">
        <v>4.0</v>
      </c>
      <c r="B19869" s="1" t="s">
        <v>19606</v>
      </c>
      <c r="C19869" t="str">
        <f>IFERROR(__xludf.DUMMYFUNCTION("GOOGLETRANSLATE(B19869, ""zh"", ""en"")"),"Very thick rough rough ...... ...... giant enhanced version of the M ...... not at EF")</f>
        <v>Very thick rough rough ...... ...... giant enhanced version of the M ...... not at EF</v>
      </c>
    </row>
    <row r="19870">
      <c r="A19870" s="1">
        <v>5.0</v>
      </c>
      <c r="B19870" s="1" t="s">
        <v>19607</v>
      </c>
      <c r="C19870" t="str">
        <f>IFERROR(__xludf.DUMMYFUNCTION("GOOGLETRANSLATE(B19870, ""zh"", ""en"")"),". positive. Jiaogan did not have to pick, feedback regressed. Nike running shoes I wear 44.5, which is double the number a little big, but can wear.")</f>
        <v>. positive. Jiaogan did not have to pick, feedback regressed. Nike running shoes I wear 44.5, which is double the number a little big, but can wear.</v>
      </c>
    </row>
    <row r="19871">
      <c r="A19871" s="1">
        <v>5.0</v>
      </c>
      <c r="B19871" s="1" t="s">
        <v>19608</v>
      </c>
      <c r="C19871" t="str">
        <f>IFERROR(__xludf.DUMMYFUNCTION("GOOGLETRANSLATE(B19871, ""zh"", ""en"")"),"Worth buying a hard drive, the price is a good thing, delivery is also very fast. Try a little, no sound, 1.4g files to use less than 30 seconds, quickly. In short, a good thing!")</f>
        <v>Worth buying a hard drive, the price is a good thing, delivery is also very fast. Try a little, no sound, 1.4g files to use less than 30 seconds, quickly. In short, a good thing!</v>
      </c>
    </row>
    <row r="19872">
      <c r="A19872" s="1">
        <v>5.0</v>
      </c>
      <c r="B19872" s="1" t="s">
        <v>19609</v>
      </c>
      <c r="C19872" t="str">
        <f>IFERROR(__xludf.DUMMYFUNCTION("GOOGLETRANSLATE(B19872, ""zh"", ""en"")"),"Very satisfied very easy to use, and the original brush without any distinction, and this price is very affordable, you can always buy a long, long time, logistics is also very block, very satisfied with the shopping")</f>
        <v>Very satisfied very easy to use, and the original brush without any distinction, and this price is very affordable, you can always buy a long, long time, logistics is also very block, very satisfied with the shopping</v>
      </c>
    </row>
    <row r="19873">
      <c r="A19873" s="1">
        <v>5.0</v>
      </c>
      <c r="B19873" s="1" t="s">
        <v>19610</v>
      </c>
      <c r="C19873" t="str">
        <f>IFERROR(__xludf.DUMMYFUNCTION("GOOGLETRANSLATE(B19873, ""zh"", ""en"")"),"Good texture, feel good, worth buying good texture, feel good, worth buying")</f>
        <v>Good texture, feel good, worth buying good texture, feel good, worth buying</v>
      </c>
    </row>
    <row r="19874">
      <c r="A19874" s="1">
        <v>5.0</v>
      </c>
      <c r="B19874" s="1" t="s">
        <v>19611</v>
      </c>
      <c r="C19874" t="str">
        <f>IFERROR(__xludf.DUMMYFUNCTION("GOOGLETRANSLATE(B19874, ""zh"", ""en"")"),"But the quality, the right size, but the quality, the right size")</f>
        <v>But the quality, the right size, but the quality, the right size</v>
      </c>
    </row>
    <row r="19875">
      <c r="A19875" s="1">
        <v>5.0</v>
      </c>
      <c r="B19875" s="1" t="s">
        <v>19612</v>
      </c>
      <c r="C19875" t="str">
        <f>IFERROR(__xludf.DUMMYFUNCTION("GOOGLETRANSLATE(B19875, ""zh"", ""en"")"),"Very satisfied with a purchase Ouma may be a little larger, you can ignore, very comfortable to wear, soles of the feet is also very comfortable. Packaging is brand new. The box is not rotten, SF Express very satisfied.")</f>
        <v>Very satisfied with a purchase Ouma may be a little larger, you can ignore, very comfortable to wear, soles of the feet is also very comfortable. Packaging is brand new. The box is not rotten, SF Express very satisfied.</v>
      </c>
    </row>
    <row r="19876">
      <c r="A19876" s="1">
        <v>5.0</v>
      </c>
      <c r="B19876" s="1" t="s">
        <v>19613</v>
      </c>
      <c r="C19876" t="str">
        <f>IFERROR(__xludf.DUMMYFUNCTION("GOOGLETRANSLATE(B19876, ""zh"", ""en"")"),"Recommended buy very praise! Appropriate number, and does not wear foot, wear very light, colors are nice.")</f>
        <v>Recommended buy very praise! Appropriate number, and does not wear foot, wear very light, colors are nice.</v>
      </c>
    </row>
    <row r="19877">
      <c r="A19877" s="1">
        <v>5.0</v>
      </c>
      <c r="B19877" s="1" t="s">
        <v>19614</v>
      </c>
      <c r="C19877" t="str">
        <f>IFERROR(__xludf.DUMMYFUNCTION("GOOGLETRANSLATE(B19877, ""zh"", ""en"")"),"Satisfaction version is very good, insole slippery and hard to replace after themselves more comfortable")</f>
        <v>Satisfaction version is very good, insole slippery and hard to replace after themselves more comfortable</v>
      </c>
    </row>
    <row r="19878">
      <c r="A19878" s="1">
        <v>5.0</v>
      </c>
      <c r="B19878" s="1" t="s">
        <v>19615</v>
      </c>
      <c r="C19878" t="str">
        <f>IFERROR(__xludf.DUMMYFUNCTION("GOOGLETRANSLATE(B19878, ""zh"", ""en"")"),"A large bottle of calcium to wait nearly only received a large bottle should be able to eat for a long time.")</f>
        <v>A large bottle of calcium to wait nearly only received a large bottle should be able to eat for a long time.</v>
      </c>
    </row>
    <row r="19879">
      <c r="A19879" s="1">
        <v>5.0</v>
      </c>
      <c r="B19879" s="1" t="s">
        <v>19616</v>
      </c>
      <c r="C19879" t="str">
        <f>IFERROR(__xludf.DUMMYFUNCTION("GOOGLETRANSLATE(B19879, ""zh"", ""en"")"),"Logistics very quickly and very comfortable, really good, I did not expect the logistics soon, much faster than the pre-arranged")</f>
        <v>Logistics very quickly and very comfortable, really good, I did not expect the logistics soon, much faster than the pre-arranged</v>
      </c>
    </row>
    <row r="19880">
      <c r="A19880" s="1">
        <v>5.0</v>
      </c>
      <c r="B19880" s="1" t="s">
        <v>19617</v>
      </c>
      <c r="C19880" t="str">
        <f>IFERROR(__xludf.DUMMYFUNCTION("GOOGLETRANSLATE(B19880, ""zh"", ""en"")"),"Genuine good good, never went before the evaluation, I do not know how many wasted points, points can change money now know, they should look carefully evaluated, then I put these words to copy to go, both to earn points, but also the easy way to go where"&amp;" copy where, most importantly, do not seriously review, do not think how much worse word, sent directly to it, recommend it to everyone!")</f>
        <v>Genuine good good, never went before the evaluation, I do not know how many wasted points, points can change money now know, they should look carefully evaluated, then I put these words to copy to go, both to earn points, but also the easy way to go where copy where, most importantly, do not seriously review, do not think how much worse word, sent directly to it, recommend it to everyone!</v>
      </c>
    </row>
    <row r="19881">
      <c r="A19881" s="1">
        <v>5.0</v>
      </c>
      <c r="B19881" s="1" t="s">
        <v>19618</v>
      </c>
      <c r="C19881" t="str">
        <f>IFERROR(__xludf.DUMMYFUNCTION("GOOGLETRANSLATE(B19881, ""zh"", ""en"")"),"Satisfaction is very good now can not wear, to wait for caesarean section wound is completely healed to wear! Select size can be as small one yard, the month should fails to fit!")</f>
        <v>Satisfaction is very good now can not wear, to wait for caesarean section wound is completely healed to wear! Select size can be as small one yard, the month should fails to fit!</v>
      </c>
    </row>
    <row r="19882">
      <c r="A19882" s="1">
        <v>5.0</v>
      </c>
      <c r="B19882" s="1" t="s">
        <v>19619</v>
      </c>
      <c r="C19882" t="str">
        <f>IFERROR(__xludf.DUMMYFUNCTION("GOOGLETRANSLATE(B19882, ""zh"", ""en"")"),"Cost-effective to buy at this price is still very cost-effective luminous handsome")</f>
        <v>Cost-effective to buy at this price is still very cost-effective luminous handsome</v>
      </c>
    </row>
    <row r="19883">
      <c r="A19883" s="1">
        <v>5.0</v>
      </c>
      <c r="B19883" s="1" t="s">
        <v>19620</v>
      </c>
      <c r="C19883" t="str">
        <f>IFERROR(__xludf.DUMMYFUNCTION("GOOGLETRANSLATE(B19883, ""zh"", ""en"")"),"Tiger Pink very cute, very good quality. Nichia courier packaging really solid.")</f>
        <v>Tiger Pink very cute, very good quality. Nichia courier packaging really solid.</v>
      </c>
    </row>
    <row r="19884">
      <c r="A19884" s="1">
        <v>5.0</v>
      </c>
      <c r="B19884" s="1" t="s">
        <v>19621</v>
      </c>
      <c r="C19884" t="str">
        <f>IFERROR(__xludf.DUMMYFUNCTION("GOOGLETRANSLATE(B19884, ""zh"", ""en"")"),"Leather is very soft, Slovakia produce something is leather, very soft, size is very accurate, most whine that comes with increased pad half a yard inside the shoe, very spiritual, very comfortable to wear in the feet, my wife liked, than domestic prices "&amp;"cheaper than the counter a little bit.")</f>
        <v>Leather is very soft, Slovakia produce something is leather, very soft, size is very accurate, most whine that comes with increased pad half a yard inside the shoe, very spiritual, very comfortable to wear in the feet, my wife liked, than domestic prices cheaper than the counter a little bit.</v>
      </c>
    </row>
    <row r="19885">
      <c r="A19885" s="1">
        <v>5.0</v>
      </c>
      <c r="B19885" s="1" t="s">
        <v>19622</v>
      </c>
      <c r="C19885" t="str">
        <f>IFERROR(__xludf.DUMMYFUNCTION("GOOGLETRANSLATE(B19885, ""zh"", ""en"")"),"Well this is completely store goods, prices are very favorable. . . .")</f>
        <v>Well this is completely store goods, prices are very favorable. . . .</v>
      </c>
    </row>
    <row r="19886">
      <c r="A19886" s="1">
        <v>5.0</v>
      </c>
      <c r="B19886" s="1" t="s">
        <v>19623</v>
      </c>
      <c r="C19886" t="str">
        <f>IFERROR(__xludf.DUMMYFUNCTION("GOOGLETRANSLATE(B19886, ""zh"", ""en"")"),"Very good shoes men wear, before buyers reference, I wear Nike running shoes 40 yards, this pair of shoes election 8.5M, left toes right position, it can be said right length, that is, just wear a little narrow, over a period of time should be better. Foo"&amp;"t fat people to choose W's. But the shoes really nice, and completely remove the iron is not very different men. Waterproof also tried, it is praise! ! !")</f>
        <v>Very good shoes men wear, before buyers reference, I wear Nike running shoes 40 yards, this pair of shoes election 8.5M, left toes right position, it can be said right length, that is, just wear a little narrow, over a period of time should be better. Foot fat people to choose W's. But the shoes really nice, and completely remove the iron is not very different men. Waterproof also tried, it is praise! ! !</v>
      </c>
    </row>
    <row r="19887">
      <c r="A19887" s="1">
        <v>5.0</v>
      </c>
      <c r="B19887" s="1" t="s">
        <v>19624</v>
      </c>
      <c r="C19887" t="str">
        <f>IFERROR(__xludf.DUMMYFUNCTION("GOOGLETRANSLATE(B19887, ""zh"", ""en"")"),"Very good buy for the first time, you feel you can")</f>
        <v>Very good buy for the first time, you feel you can</v>
      </c>
    </row>
    <row r="19888">
      <c r="A19888" s="1">
        <v>5.0</v>
      </c>
      <c r="B19888" s="1" t="s">
        <v>19625</v>
      </c>
      <c r="C19888" t="str">
        <f>IFERROR(__xludf.DUMMYFUNCTION("GOOGLETRANSLATE(B19888, ""zh"", ""en"")"),"Yes, it is worth buying second purchase, and I think this belt is also good, size is also just selected. After ten days also back taxes")</f>
        <v>Yes, it is worth buying second purchase, and I think this belt is also good, size is also just selected. After ten days also back taxes</v>
      </c>
    </row>
    <row r="19889">
      <c r="A19889" s="1">
        <v>5.0</v>
      </c>
      <c r="B19889" s="1" t="s">
        <v>19626</v>
      </c>
      <c r="C19889" t="str">
        <f>IFERROR(__xludf.DUMMYFUNCTION("GOOGLETRANSLATE(B19889, ""zh"", ""en"")"),"Sale how do? Very comfortable feeling, but now there is a problem that I would like to ask two screws out how to deal with")</f>
        <v>Sale how do? Very comfortable feeling, but now there is a problem that I would like to ask two screws out how to deal with</v>
      </c>
    </row>
    <row r="19890">
      <c r="A19890" s="1">
        <v>5.0</v>
      </c>
      <c r="B19890" s="1" t="s">
        <v>19627</v>
      </c>
      <c r="C19890" t="str">
        <f>IFERROR(__xludf.DUMMYFUNCTION("GOOGLETRANSLATE(B19890, ""zh"", ""en"")"),"Drink this drink good results increase muscle protein powder has been more than six months, increase muscle effect more obvious, to buy more at ease in the Amazon shop abroad, need to continue to work hard!")</f>
        <v>Drink this drink good results increase muscle protein powder has been more than six months, increase muscle effect more obvious, to buy more at ease in the Amazon shop abroad, need to continue to work hard!</v>
      </c>
    </row>
    <row r="19891">
      <c r="A19891" s="1">
        <v>5.0</v>
      </c>
      <c r="B19891" s="1" t="s">
        <v>19628</v>
      </c>
      <c r="C19891" t="str">
        <f>IFERROR(__xludf.DUMMYFUNCTION("GOOGLETRANSLATE(B19891, ""zh"", ""en"")"),"Comfortable fabric micro-bomb, wearing 'I feel very comfortable")</f>
        <v>Comfortable fabric micro-bomb, wearing 'I feel very comfortable</v>
      </c>
    </row>
    <row r="19892">
      <c r="A19892" s="1">
        <v>2.0</v>
      </c>
      <c r="B19892" s="1" t="s">
        <v>19629</v>
      </c>
      <c r="C19892" t="str">
        <f>IFERROR(__xludf.DUMMYFUNCTION("GOOGLETRANSLATE(B19892, ""zh"", ""en"")"),"Fabrics fabrics too hard too hard, like a canvas to do. Some say wash like some, I hope so. Overseas purchase, back up hard, we will use it.")</f>
        <v>Fabrics fabrics too hard too hard, like a canvas to do. Some say wash like some, I hope so. Overseas purchase, back up hard, we will use it.</v>
      </c>
    </row>
    <row r="19893">
      <c r="A19893" s="1">
        <v>3.0</v>
      </c>
      <c r="B19893" s="1" t="s">
        <v>19630</v>
      </c>
      <c r="C19893" t="str">
        <f>IFERROR(__xludf.DUMMYFUNCTION("GOOGLETRANSLATE(B19893, ""zh"", ""en"")"),"Unfortunately, the product itself is no problem, the shape is also cool, very good package, Amazon is the only quality control is a problem, successive two pairs of a serious injury, returns, the insured has the right to choose and buy")</f>
        <v>Unfortunately, the product itself is no problem, the shape is also cool, very good package, Amazon is the only quality control is a problem, successive two pairs of a serious injury, returns, the insured has the right to choose and buy</v>
      </c>
    </row>
    <row r="19894">
      <c r="A19894" s="1">
        <v>3.0</v>
      </c>
      <c r="B19894" s="1" t="s">
        <v>19631</v>
      </c>
      <c r="C19894" t="str">
        <f>IFERROR(__xludf.DUMMYFUNCTION("GOOGLETRANSLATE(B19894, ""zh"", ""en"")"),"A bowl broken how do? Bowl well, very much. But first broken, the outside packaging are very good, like before mailing out on the break.")</f>
        <v>A bowl broken how do? Bowl well, very much. But first broken, the outside packaging are very good, like before mailing out on the break.</v>
      </c>
    </row>
    <row r="19895">
      <c r="A19895" s="1">
        <v>1.0</v>
      </c>
      <c r="B19895" s="1" t="s">
        <v>19632</v>
      </c>
      <c r="C19895" t="str">
        <f>IFERROR(__xludf.DUMMYFUNCTION("GOOGLETRANSLATE(B19895, ""zh"", ""en"")"),"My experience with the return of black money through 41, this is a bit small. Return of more than 600 buy shoes, and finally return to 258.65, and the rest of the shipping costs are deducted, a harrowing shopping experience")</f>
        <v>My experience with the return of black money through 41, this is a bit small. Return of more than 600 buy shoes, and finally return to 258.65, and the rest of the shipping costs are deducted, a harrowing shopping experience</v>
      </c>
    </row>
    <row r="19896">
      <c r="A19896" s="1">
        <v>1.0</v>
      </c>
      <c r="B19896" s="1" t="s">
        <v>19633</v>
      </c>
      <c r="C19896" t="str">
        <f>IFERROR(__xludf.DUMMYFUNCTION("GOOGLETRANSLATE(B19896, ""zh"", ""en"")"),"Simple packaging, quality in general wanted to give as gifts, how can even a box did not? Packaging the rough on a plastic bag, belt ✌️ quality looks like a general, I do not know thought it was the first time a fake Poor 😰, too embarrassing the")</f>
        <v>Simple packaging, quality in general wanted to give as gifts, how can even a box did not? Packaging the rough on a plastic bag, belt ✌️ quality looks like a general, I do not know thought it was the first time a fake Poor 😰, too embarrassing the</v>
      </c>
    </row>
    <row r="19897">
      <c r="A19897" s="1">
        <v>1.0</v>
      </c>
      <c r="B19897" s="1" t="s">
        <v>19634</v>
      </c>
      <c r="C19897" t="str">
        <f>IFERROR(__xludf.DUMMYFUNCTION("GOOGLETRANSLATE(B19897, ""zh"", ""en"")"),"I do not buy the product in question, used before the other, a very accurate, a lot of new products this error, delay treatment of the baby, hated, difference 1.4 °, too hateful.")</f>
        <v>I do not buy the product in question, used before the other, a very accurate, a lot of new products this error, delay treatment of the baby, hated, difference 1.4 °, too hateful.</v>
      </c>
    </row>
    <row r="19898">
      <c r="A19898" s="1">
        <v>4.0</v>
      </c>
      <c r="B19898" s="1" t="s">
        <v>19635</v>
      </c>
      <c r="C19898" t="str">
        <f>IFERROR(__xludf.DUMMYFUNCTION("GOOGLETRANSLATE(B19898, ""zh"", ""en"")"),"Warranty issues clip ear problem I think this headphone so be it. In addition, I could not seem to listen to the legendary sound quality is good")</f>
        <v>Warranty issues clip ear problem I think this headphone so be it. In addition, I could not seem to listen to the legendary sound quality is good</v>
      </c>
    </row>
    <row r="19899">
      <c r="A19899" s="1">
        <v>4.0</v>
      </c>
      <c r="B19899" s="1" t="s">
        <v>19636</v>
      </c>
      <c r="C19899" t="str">
        <f>IFERROR(__xludf.DUMMYFUNCTION("GOOGLETRANSLATE(B19899, ""zh"", ""en"")"),"Rather long, I do not know how to distinguish whether genuine counter domestic brand sports shoes usually wear 42 yards, foot length 260mm, foot length should buy according to the size of the table is appropriate, US8.5 some large, feel the quality can be"&amp;", do not know how to distinguish whether the counter genuine")</f>
        <v>Rather long, I do not know how to distinguish whether genuine counter domestic brand sports shoes usually wear 42 yards, foot length 260mm, foot length should buy according to the size of the table is appropriate, US8.5 some large, feel the quality can be, do not know how to distinguish whether the counter genuine</v>
      </c>
    </row>
    <row r="19900">
      <c r="A19900" s="1">
        <v>4.0</v>
      </c>
      <c r="B19900" s="1" t="s">
        <v>19637</v>
      </c>
      <c r="C19900" t="str">
        <f>IFERROR(__xludf.DUMMYFUNCTION("GOOGLETRANSLATE(B19900, ""zh"", ""en"")"),"Size is very accurate Slim 180 / 80kg W33-L32 perfect size size is very accurate sanding cloth overall feeling very self-cultivation even a little bit tight for very low-cut reference")</f>
        <v>Size is very accurate Slim 180 / 80kg W33-L32 perfect size size is very accurate sanding cloth overall feeling very self-cultivation even a little bit tight for very low-cut reference</v>
      </c>
    </row>
    <row r="19901">
      <c r="A19901" s="1">
        <v>4.0</v>
      </c>
      <c r="B19901" s="1" t="s">
        <v>19638</v>
      </c>
      <c r="C19901" t="str">
        <f>IFERROR(__xludf.DUMMYFUNCTION("GOOGLETRANSLATE(B19901, ""zh"", ""en"")"),"The feeling of being used ah pen very well, I liked it, but why I opened wash with warm water and came out a few blue water? Pencil case is not sealed packaging!")</f>
        <v>The feeling of being used ah pen very well, I liked it, but why I opened wash with warm water and came out a few blue water? Pencil case is not sealed packaging!</v>
      </c>
    </row>
    <row r="19902">
      <c r="A19902" s="1">
        <v>4.0</v>
      </c>
      <c r="B19902" s="1" t="s">
        <v>19639</v>
      </c>
      <c r="C19902" t="str">
        <f>IFERROR(__xludf.DUMMYFUNCTION("GOOGLETRANSLATE(B19902, ""zh"", ""en"")"),"Suitable shoe size just fit, usually wear 35, the upper bit blemish, a block of white, edges are glue traces")</f>
        <v>Suitable shoe size just fit, usually wear 35, the upper bit blemish, a block of white, edges are glue traces</v>
      </c>
    </row>
    <row r="19903">
      <c r="A19903" s="1">
        <v>5.0</v>
      </c>
      <c r="B19903" s="1" t="s">
        <v>19640</v>
      </c>
      <c r="C19903" t="str">
        <f>IFERROR(__xludf.DUMMYFUNCTION("GOOGLETRANSLATE(B19903, ""zh"", ""en"")"),"Original easy to use genuine original, good quality, the price is right.")</f>
        <v>Original easy to use genuine original, good quality, the price is right.</v>
      </c>
    </row>
    <row r="19904">
      <c r="A19904" s="1">
        <v>5.0</v>
      </c>
      <c r="B19904" s="1" t="s">
        <v>19641</v>
      </c>
      <c r="C19904" t="str">
        <f>IFERROR(__xludf.DUMMYFUNCTION("GOOGLETRANSLATE(B19904, ""zh"", ""en"")"),"Very good with the practical first two and a half hour to an hour a day was yesterday charged with the office first electrical noise did not fall nor the so-called Bluetooth ear clip 10 m distance no problem overall very good")</f>
        <v>Very good with the practical first two and a half hour to an hour a day was yesterday charged with the office first electrical noise did not fall nor the so-called Bluetooth ear clip 10 m distance no problem overall very good</v>
      </c>
    </row>
    <row r="19905">
      <c r="A19905" s="1">
        <v>5.0</v>
      </c>
      <c r="B19905" s="1" t="s">
        <v>19642</v>
      </c>
      <c r="C19905" t="str">
        <f>IFERROR(__xludf.DUMMYFUNCTION("GOOGLETRANSLATE(B19905, ""zh"", ""en"")"),"Value for money, very satisfied with the SF Express, SF home. Letters There are flaws. However, this price has been very satisfied, the future will continue to buy")</f>
        <v>Value for money, very satisfied with the SF Express, SF home. Letters There are flaws. However, this price has been very satisfied, the future will continue to buy</v>
      </c>
    </row>
    <row r="19906">
      <c r="A19906" s="1">
        <v>5.0</v>
      </c>
      <c r="B19906" s="1" t="s">
        <v>19643</v>
      </c>
      <c r="C19906" t="str">
        <f>IFERROR(__xludf.DUMMYFUNCTION("GOOGLETRANSLATE(B19906, ""zh"", ""en"")"),"When do the activities to buy a good watch, after 11 days to my hands, very pleasantly surprised. Good in all aspects, I was doing engineering testing, often go to the laboratory, exposed to dust, a lot of water, this watch too much for me")</f>
        <v>When do the activities to buy a good watch, after 11 days to my hands, very pleasantly surprised. Good in all aspects, I was doing engineering testing, often go to the laboratory, exposed to dust, a lot of water, this watch too much for me</v>
      </c>
    </row>
    <row r="19907">
      <c r="A19907" s="1">
        <v>5.0</v>
      </c>
      <c r="B19907" s="1" t="s">
        <v>19644</v>
      </c>
      <c r="C19907" t="str">
        <f>IFERROR(__xludf.DUMMYFUNCTION("GOOGLETRANSLATE(B19907, ""zh"", ""en"")"),"Hard disk okay, packing too shabby Germany over the hard drive packaging also so simple ah, but fortunately things did not go wrong, 😁 test a little speed is probably about 120MB, Amazon really good price five black")</f>
        <v>Hard disk okay, packing too shabby Germany over the hard drive packaging also so simple ah, but fortunately things did not go wrong, 😁 test a little speed is probably about 120MB, Amazon really good price five black</v>
      </c>
    </row>
    <row r="19908">
      <c r="A19908" s="1">
        <v>5.0</v>
      </c>
      <c r="B19908" s="1" t="s">
        <v>19645</v>
      </c>
      <c r="C19908" t="str">
        <f>IFERROR(__xludf.DUMMYFUNCTION("GOOGLETRANSLATE(B19908, ""zh"", ""en"")"),"Soup with super insulation, buy local prices with Japan is about it, the soup must-weekly")</f>
        <v>Soup with super insulation, buy local prices with Japan is about it, the soup must-weekly</v>
      </c>
    </row>
    <row r="19909">
      <c r="A19909" s="1">
        <v>5.0</v>
      </c>
      <c r="B19909" s="1" t="s">
        <v>19646</v>
      </c>
      <c r="C19909" t="str">
        <f>IFERROR(__xludf.DUMMYFUNCTION("GOOGLETRANSLATE(B19909, ""zh"", ""en"")"),"Warm light and easy, very insulation, color is love")</f>
        <v>Warm light and easy, very insulation, color is love</v>
      </c>
    </row>
    <row r="19910">
      <c r="A19910" s="1">
        <v>5.0</v>
      </c>
      <c r="B19910" s="1" t="s">
        <v>17255</v>
      </c>
      <c r="C19910" t="str">
        <f>IFERROR(__xludf.DUMMYFUNCTION("GOOGLETRANSLATE(B19910, ""zh"", ""en"")"),"Amazon Japan to buy the clothes are particularly good, fabric is very comfortable")</f>
        <v>Amazon Japan to buy the clothes are particularly good, fabric is very comfortable</v>
      </c>
    </row>
    <row r="19911">
      <c r="A19911" s="1">
        <v>5.0</v>
      </c>
      <c r="B19911" s="1" t="s">
        <v>19647</v>
      </c>
      <c r="C19911" t="str">
        <f>IFERROR(__xludf.DUMMYFUNCTION("GOOGLETRANSLATE(B19911, ""zh"", ""en"")"),"2 shakuhachi waist belt feel good to buy a little big 100, the belt is made in Italy")</f>
        <v>2 shakuhachi waist belt feel good to buy a little big 100, the belt is made in Italy</v>
      </c>
    </row>
    <row r="19912">
      <c r="A19912" s="1">
        <v>5.0</v>
      </c>
      <c r="B19912" s="1" t="s">
        <v>19648</v>
      </c>
      <c r="C19912" t="str">
        <f>IFERROR(__xludf.DUMMYFUNCTION("GOOGLETRANSLATE(B19912, ""zh"", ""en"")"),"Tunisia is also pretty good production looks pretty good from Amsterdam to Shanghai turned out to be only two days to do it by plane")</f>
        <v>Tunisia is also pretty good production looks pretty good from Amsterdam to Shanghai turned out to be only two days to do it by plane</v>
      </c>
    </row>
    <row r="19913">
      <c r="A19913" s="1">
        <v>5.0</v>
      </c>
      <c r="B19913" s="1" t="s">
        <v>19649</v>
      </c>
      <c r="C19913" t="str">
        <f>IFERROR(__xludf.DUMMYFUNCTION("GOOGLETRANSLATE(B19913, ""zh"", ""en"")"),"Good to help a friend buy but want to buy a converter to use at home")</f>
        <v>Good to help a friend buy but want to buy a converter to use at home</v>
      </c>
    </row>
    <row r="19914">
      <c r="A19914" s="1">
        <v>5.0</v>
      </c>
      <c r="B19914" s="1" t="s">
        <v>19650</v>
      </c>
      <c r="C19914" t="str">
        <f>IFERROR(__xludf.DUMMYFUNCTION("GOOGLETRANSLATE(B19914, ""zh"", ""en"")"),"Time classic piece of weapon overall very satisfied, the only regret is that the highlighted readability meaning it is a point of difference for a chance to buy a little red circle positive display")</f>
        <v>Time classic piece of weapon overall very satisfied, the only regret is that the highlighted readability meaning it is a point of difference for a chance to buy a little red circle positive display</v>
      </c>
    </row>
    <row r="19915">
      <c r="A19915" s="1">
        <v>5.0</v>
      </c>
      <c r="B19915" s="1" t="s">
        <v>19651</v>
      </c>
      <c r="C19915" t="str">
        <f>IFERROR(__xludf.DUMMYFUNCTION("GOOGLETRANSLATE(B19915, ""zh"", ""en"")"),"Certainly stronger than the average, but feeling no effect basically did not how to use, no matter how good the feeling of abdomen products are useless,")</f>
        <v>Certainly stronger than the average, but feeling no effect basically did not how to use, no matter how good the feeling of abdomen products are useless,</v>
      </c>
    </row>
    <row r="19916">
      <c r="A19916" s="1">
        <v>5.0</v>
      </c>
      <c r="B19916" s="1" t="s">
        <v>19652</v>
      </c>
      <c r="C19916" t="str">
        <f>IFERROR(__xludf.DUMMYFUNCTION("GOOGLETRANSLATE(B19916, ""zh"", ""en"")"),"Standard sound, the sound of standard ear feel the sound, which is very close to the final.")</f>
        <v>Standard sound, the sound of standard ear feel the sound, which is very close to the final.</v>
      </c>
    </row>
    <row r="19917">
      <c r="A19917" s="1">
        <v>5.0</v>
      </c>
      <c r="B19917" s="1" t="s">
        <v>19653</v>
      </c>
      <c r="C19917" t="str">
        <f>IFERROR(__xludf.DUMMYFUNCTION("GOOGLETRANSLATE(B19917, ""zh"", ""en"")"),"Very satisfied 172/69, w32l30 wear very fit, very comfortable little bomb.")</f>
        <v>Very satisfied 172/69, w32l30 wear very fit, very comfortable little bomb.</v>
      </c>
    </row>
    <row r="19918">
      <c r="A19918" s="1">
        <v>5.0</v>
      </c>
      <c r="B19918" s="1" t="s">
        <v>19654</v>
      </c>
      <c r="C19918" t="str">
        <f>IFERROR(__xludf.DUMMYFUNCTION("GOOGLETRANSLATE(B19918, ""zh"", ""en"")"),"Mass moderate thickness, work well.")</f>
        <v>Mass moderate thickness, work well.</v>
      </c>
    </row>
    <row r="19919">
      <c r="A19919" s="1">
        <v>5.0</v>
      </c>
      <c r="B19919" s="1" t="s">
        <v>19655</v>
      </c>
      <c r="C19919" t="str">
        <f>IFERROR(__xludf.DUMMYFUNCTION("GOOGLETRANSLATE(B19919, ""zh"", ""en"")"),"Suitable quality is very good, size is also suitable")</f>
        <v>Suitable quality is very good, size is also suitable</v>
      </c>
    </row>
    <row r="19920">
      <c r="A19920" s="1">
        <v>5.0</v>
      </c>
      <c r="B19920" s="1" t="s">
        <v>19656</v>
      </c>
      <c r="C19920" t="str">
        <f>IFERROR(__xludf.DUMMYFUNCTION("GOOGLETRANSLATE(B19920, ""zh"", ""en"")"),"Feel foreign electricity supplier service, praise! Clarks men's shoes for the first time to buy, not understood yard interception return handled, unfortunately, is not forthcoming. However, for the first time I feel the Amazon service, not had the custome"&amp;"r experience, very good service.")</f>
        <v>Feel foreign electricity supplier service, praise! Clarks men's shoes for the first time to buy, not understood yard interception return handled, unfortunately, is not forthcoming. However, for the first time I feel the Amazon service, not had the customer experience, very good service.</v>
      </c>
    </row>
    <row r="19921">
      <c r="A19921" s="1">
        <v>5.0</v>
      </c>
      <c r="B19921" s="1" t="s">
        <v>19657</v>
      </c>
      <c r="C19921" t="str">
        <f>IFERROR(__xludf.DUMMYFUNCTION("GOOGLETRANSLATE(B19921, ""zh"", ""en"")"),"Sanford Perak Malaysia soon received the goods, happy ^ ω ^, off a white, others are intact. If customs duties are not so expensive (about 140) that is really pleasant shopping.")</f>
        <v>Sanford Perak Malaysia soon received the goods, happy ^ ω ^, off a white, others are intact. If customs duties are not so expensive (about 140) that is really pleasant shopping.</v>
      </c>
    </row>
    <row r="19922">
      <c r="A19922" s="1">
        <v>5.0</v>
      </c>
      <c r="B19922" s="1" t="s">
        <v>19658</v>
      </c>
      <c r="C19922" t="str">
        <f>IFERROR(__xludf.DUMMYFUNCTION("GOOGLETRANSLATE(B19922, ""zh"", ""en"")"),"For the baby store goods, very affordable for the baby store goods, very affordable,")</f>
        <v>For the baby store goods, very affordable for the baby store goods, very affordable,</v>
      </c>
    </row>
    <row r="19923">
      <c r="A19923" s="1">
        <v>5.0</v>
      </c>
      <c r="B19923" s="1" t="s">
        <v>19659</v>
      </c>
      <c r="C19923" t="str">
        <f>IFERROR(__xludf.DUMMYFUNCTION("GOOGLETRANSLATE(B19923, ""zh"", ""en"")"),"The good stuff is really good, the appearance is enough")</f>
        <v>The good stuff is really good, the appearance is enough</v>
      </c>
    </row>
    <row r="19924">
      <c r="A19924" s="1">
        <v>2.0</v>
      </c>
      <c r="B19924" s="1" t="s">
        <v>19660</v>
      </c>
      <c r="C19924" t="str">
        <f>IFERROR(__xludf.DUMMYFUNCTION("GOOGLETRANSLATE(B19924, ""zh"", ""en"")"),"178,78 kg as overalls, s number of suitable length sleeves, neck tightly.")</f>
        <v>178,78 kg as overalls, s number of suitable length sleeves, neck tightly.</v>
      </c>
    </row>
    <row r="19925">
      <c r="A19925" s="1">
        <v>3.0</v>
      </c>
      <c r="B19925" s="1" t="s">
        <v>19661</v>
      </c>
      <c r="C19925" t="str">
        <f>IFERROR(__xludf.DUMMYFUNCTION("GOOGLETRANSLATE(B19925, ""zh"", ""en"")"),"Full sense of the cheap price is very cheap, very cheap indeed facts. Shake up sound heard thin sheet iron, not tight strap mount releasably automatically.")</f>
        <v>Full sense of the cheap price is very cheap, very cheap indeed facts. Shake up sound heard thin sheet iron, not tight strap mount releasably automatically.</v>
      </c>
    </row>
    <row r="19926">
      <c r="A19926" s="1">
        <v>3.0</v>
      </c>
      <c r="B19926" s="1" t="s">
        <v>19662</v>
      </c>
      <c r="C19926" t="str">
        <f>IFERROR(__xludf.DUMMYFUNCTION("GOOGLETRANSLATE(B19926, ""zh"", ""en"")"),"Bottom of the pot white, outside change took it to Samsung, not imagined so good, according to this price does not know whether the count value? Follow the instructions boil, better inside, with pigskin Cawan shiny shiny, cooking paste did not, I was deli"&amp;"berately put the oil. Outside the pot a bit worrying watching, then boil, outside burn out a lot of blue flower. Moreover, the bottom of the pot, it is clear that, outside the black protective layer did not, turned white. Two photographs contrast is obvio"&amp;"us. After the bottom of the pot boil, and the color contrast also evident around. Is it defective products. . .")</f>
        <v>Bottom of the pot white, outside change took it to Samsung, not imagined so good, according to this price does not know whether the count value? Follow the instructions boil, better inside, with pigskin Cawan shiny shiny, cooking paste did not, I was deliberately put the oil. Outside the pot a bit worrying watching, then boil, outside burn out a lot of blue flower. Moreover, the bottom of the pot, it is clear that, outside the black protective layer did not, turned white. Two photographs contrast is obvious. After the bottom of the pot boil, and the color contrast also evident around. Is it defective products. . .</v>
      </c>
    </row>
    <row r="19927">
      <c r="A19927" s="1">
        <v>3.0</v>
      </c>
      <c r="B19927" s="1" t="s">
        <v>19663</v>
      </c>
      <c r="C19927" t="str">
        <f>IFERROR(__xludf.DUMMYFUNCTION("GOOGLETRANSLATE(B19927, ""zh"", ""en"")"),"Water Wash clothes no uncertain genuine product, ingredient labels, doubt true and false goods, cotton and thin, rigid, I do not know whether it is cotton")</f>
        <v>Water Wash clothes no uncertain genuine product, ingredient labels, doubt true and false goods, cotton and thin, rigid, I do not know whether it is cotton</v>
      </c>
    </row>
    <row r="19928">
      <c r="A19928" s="1">
        <v>1.0</v>
      </c>
      <c r="B19928" s="1" t="s">
        <v>19664</v>
      </c>
      <c r="C19928" t="str">
        <f>IFERROR(__xludf.DUMMYFUNCTION("GOOGLETRANSLATE(B19928, ""zh"", ""en"")"),"Big shoes in front of a small cargo on the way back to the customer service said the price is not insured, said a rejection refundable tax shipping Well, then, said the shoes off the back of the heel to the big toe shoes like that in front of very narrow "&amp;"uncomfortable to wear a little tired")</f>
        <v>Big shoes in front of a small cargo on the way back to the customer service said the price is not insured, said a rejection refundable tax shipping Well, then, said the shoes off the back of the heel to the big toe shoes like that in front of very narrow uncomfortable to wear a little tired</v>
      </c>
    </row>
    <row r="19929">
      <c r="A19929" s="1">
        <v>1.0</v>
      </c>
      <c r="B19929" s="1" t="s">
        <v>19665</v>
      </c>
      <c r="C19929" t="str">
        <f>IFERROR(__xludf.DUMMYFUNCTION("GOOGLETRANSLATE(B19929, ""zh"", ""en"")"),"Why is that the pen is still possible, but I did not think refills are actually defective, no water. It is a fool, or the overall quality")</f>
        <v>Why is that the pen is still possible, but I did not think refills are actually defective, no water. It is a fool, or the overall quality</v>
      </c>
    </row>
    <row r="19930">
      <c r="A19930" s="1">
        <v>1.0</v>
      </c>
      <c r="B19930" s="1" t="s">
        <v>19666</v>
      </c>
      <c r="C19930" t="str">
        <f>IFERROR(__xludf.DUMMYFUNCTION("GOOGLETRANSLATE(B19930, ""zh"", ""en"")"),"Reference suspected fake too fake, hard, wear half an hour on the card feet.")</f>
        <v>Reference suspected fake too fake, hard, wear half an hour on the card feet.</v>
      </c>
    </row>
    <row r="19931">
      <c r="A19931" s="1">
        <v>4.0</v>
      </c>
      <c r="B19931" s="1" t="s">
        <v>19667</v>
      </c>
      <c r="C19931" t="str">
        <f>IFERROR(__xludf.DUMMYFUNCTION("GOOGLETRANSLATE(B19931, ""zh"", ""en"")"),"Good right")</f>
        <v>Good right</v>
      </c>
    </row>
    <row r="19932">
      <c r="A19932" s="1">
        <v>4.0</v>
      </c>
      <c r="B19932" s="1" t="s">
        <v>19668</v>
      </c>
      <c r="C19932" t="str">
        <f>IFERROR(__xludf.DUMMYFUNCTION("GOOGLETRANSLATE(B19932, ""zh"", ""en"")"),"With a kind of picture quality is good, this table is light, there is a small dial a little bit, but the good thing is the price")</f>
        <v>With a kind of picture quality is good, this table is light, there is a small dial a little bit, but the good thing is the price</v>
      </c>
    </row>
    <row r="19933">
      <c r="A19933" s="1">
        <v>4.0</v>
      </c>
      <c r="B19933" s="1" t="s">
        <v>19669</v>
      </c>
      <c r="C19933" t="str">
        <f>IFERROR(__xludf.DUMMYFUNCTION("GOOGLETRANSLATE(B19933, ""zh"", ""en"")"),"Flawed: an upper sole lane glue joint unlined isolation toe wear a flawed, a long buy their normal size, the car line connecting upper and a sole, no isolation filler vehicle lane position within the shoe line and gluing position, will lead to inevitable "&amp;"wear toe. Nike and Adidas shoes this car line connection structure has lined junction isolation, this pair of puma does it happen that I do not know why.")</f>
        <v>Flawed: an upper sole lane glue joint unlined isolation toe wear a flawed, a long buy their normal size, the car line connecting upper and a sole, no isolation filler vehicle lane position within the shoe line and gluing position, will lead to inevitable wear toe. Nike and Adidas shoes this car line connection structure has lined junction isolation, this pair of puma does it happen that I do not know why.</v>
      </c>
    </row>
    <row r="19934">
      <c r="A19934" s="1">
        <v>4.0</v>
      </c>
      <c r="B19934" s="1" t="s">
        <v>19670</v>
      </c>
      <c r="C19934" t="str">
        <f>IFERROR(__xludf.DUMMYFUNCTION("GOOGLETRANSLATE(B19934, ""zh"", ""en"")"),"With bowl lid, bowl cover with very bright colors, very bright colors.")</f>
        <v>With bowl lid, bowl cover with very bright colors, very bright colors.</v>
      </c>
    </row>
    <row r="19935">
      <c r="A19935" s="1">
        <v>5.0</v>
      </c>
      <c r="B19935" s="1" t="s">
        <v>19671</v>
      </c>
      <c r="C19935" t="str">
        <f>IFERROR(__xludf.DUMMYFUNCTION("GOOGLETRANSLATE(B19935, ""zh"", ""en"")"),"No problem mighty Amazon - price cheaper the better again")</f>
        <v>No problem mighty Amazon - price cheaper the better again</v>
      </c>
    </row>
    <row r="19936">
      <c r="A19936" s="1">
        <v>5.0</v>
      </c>
      <c r="B19936" s="1" t="s">
        <v>19672</v>
      </c>
      <c r="C19936" t="str">
        <f>IFERROR(__xludf.DUMMYFUNCTION("GOOGLETRANSLATE(B19936, ""zh"", ""en"")"),"May be reviewed under genuine online shopping is still at risk, hey, buy these days and consequently do not worry. Chinese really do not know how Tucao authenticity of the enemy")</f>
        <v>May be reviewed under genuine online shopping is still at risk, hey, buy these days and consequently do not worry. Chinese really do not know how Tucao authenticity of the enemy</v>
      </c>
    </row>
    <row r="19937">
      <c r="A19937" s="1">
        <v>5.0</v>
      </c>
      <c r="B19937" s="1" t="s">
        <v>19673</v>
      </c>
      <c r="C19937" t="str">
        <f>IFERROR(__xludf.DUMMYFUNCTION("GOOGLETRANSLATE(B19937, ""zh"", ""en"")"),"Good quality workmanship slightly a little big, looks good.")</f>
        <v>Good quality workmanship slightly a little big, looks good.</v>
      </c>
    </row>
    <row r="19938">
      <c r="A19938" s="1">
        <v>5.0</v>
      </c>
      <c r="B19938" s="1" t="s">
        <v>19674</v>
      </c>
      <c r="C19938" t="str">
        <f>IFERROR(__xludf.DUMMYFUNCTION("GOOGLETRANSLATE(B19938, ""zh"", ""en"")"),"Beautiful I liked it, very beautiful, traveling by car to use as a kettle, like India as coating the inner wall, clean good cleaning")</f>
        <v>Beautiful I liked it, very beautiful, traveling by car to use as a kettle, like India as coating the inner wall, clean good cleaning</v>
      </c>
    </row>
    <row r="19939">
      <c r="A19939" s="1">
        <v>5.0</v>
      </c>
      <c r="B19939" s="1" t="s">
        <v>19675</v>
      </c>
      <c r="C19939" t="str">
        <f>IFERROR(__xludf.DUMMYFUNCTION("GOOGLETRANSLATE(B19939, ""zh"", ""en"")"),"Good easy to use gentle, pretty and beautiful colors! It is easy to use, knead dough for a long time, a slight fever. Express delivery to the force, around half the globe, up to a week, so much so heavy, but also with the UPS, Amazon's logistics really go"&amp;"d level.")</f>
        <v>Good easy to use gentle, pretty and beautiful colors! It is easy to use, knead dough for a long time, a slight fever. Express delivery to the force, around half the globe, up to a week, so much so heavy, but also with the UPS, Amazon's logistics really god level.</v>
      </c>
    </row>
    <row r="19940">
      <c r="A19940" s="1">
        <v>5.0</v>
      </c>
      <c r="B19940" s="1" t="s">
        <v>19676</v>
      </c>
      <c r="C19940" t="str">
        <f>IFERROR(__xludf.DUMMYFUNCTION("GOOGLETRANSLATE(B19940, ""zh"", ""en"")"),"Yes, it is recommended to use the baby for some time electric toothbrush, the results were good. Amazon purchase a replacement brush head, cost-effective. Yes.")</f>
        <v>Yes, it is recommended to use the baby for some time electric toothbrush, the results were good. Amazon purchase a replacement brush head, cost-effective. Yes.</v>
      </c>
    </row>
    <row r="19941">
      <c r="A19941" s="1">
        <v>5.0</v>
      </c>
      <c r="B19941" s="1" t="s">
        <v>19677</v>
      </c>
      <c r="C19941" t="str">
        <f>IFERROR(__xludf.DUMMYFUNCTION("GOOGLETRANSLATE(B19941, ""zh"", ""en"")"),"Price came right size 171 high, only 50 kg, buy the S No.")</f>
        <v>Price came right size 171 high, only 50 kg, buy the S No.</v>
      </c>
    </row>
    <row r="19942">
      <c r="A19942" s="1">
        <v>5.0</v>
      </c>
      <c r="B19942" s="1" t="s">
        <v>19678</v>
      </c>
      <c r="C19942" t="str">
        <f>IFERROR(__xludf.DUMMYFUNCTION("GOOGLETRANSLATE(B19942, ""zh"", ""en"")"),"Again satisfying shopping experience overseas fashion cut, size standard, the price than the store next line is to benefit a lot")</f>
        <v>Again satisfying shopping experience overseas fashion cut, size standard, the price than the store next line is to benefit a lot</v>
      </c>
    </row>
    <row r="19943">
      <c r="A19943" s="1">
        <v>5.0</v>
      </c>
      <c r="B19943" s="1" t="s">
        <v>19679</v>
      </c>
      <c r="C19943" t="str">
        <f>IFERROR(__xludf.DUMMYFUNCTION("GOOGLETRANSLATE(B19943, ""zh"", ""en"")"),"Good shoes very very powerful, running a long time will feel a little bit heavy")</f>
        <v>Good shoes very very powerful, running a long time will feel a little bit heavy</v>
      </c>
    </row>
    <row r="19944">
      <c r="A19944" s="1">
        <v>5.0</v>
      </c>
      <c r="B19944" s="1" t="s">
        <v>19680</v>
      </c>
      <c r="C19944" t="str">
        <f>IFERROR(__xludf.DUMMYFUNCTION("GOOGLETRANSLATE(B19944, ""zh"", ""en"")"),"Shipping soon fly before buy a kitchen faucet TOTO after receipt feel very good so they bought a shower, also added a behind the sink tap. I have to say the packaging is very simple, though not luxurious but good, feel good stuff")</f>
        <v>Shipping soon fly before buy a kitchen faucet TOTO after receipt feel very good so they bought a shower, also added a behind the sink tap. I have to say the packaging is very simple, though not luxurious but good, feel good stuff</v>
      </c>
    </row>
    <row r="19945">
      <c r="A19945" s="1">
        <v>5.0</v>
      </c>
      <c r="B19945" s="1" t="s">
        <v>19681</v>
      </c>
      <c r="C19945" t="str">
        <f>IFERROR(__xludf.DUMMYFUNCTION("GOOGLETRANSLATE(B19945, ""zh"", ""en"")"),"The most cost-effective shopping British overseas purchase did not expect so soon receive the goods, five days! I began to wonder if the city express! Something nice, high-end atmosphere. Recommended")</f>
        <v>The most cost-effective shopping British overseas purchase did not expect so soon receive the goods, five days! I began to wonder if the city express! Something nice, high-end atmosphere. Recommended</v>
      </c>
    </row>
    <row r="19946">
      <c r="A19946" s="1">
        <v>5.0</v>
      </c>
      <c r="B19946" s="1" t="s">
        <v>19682</v>
      </c>
      <c r="C19946" t="str">
        <f>IFERROR(__xludf.DUMMYFUNCTION("GOOGLETRANSLATE(B19946, ""zh"", ""en"")"),"Good things good, big water, comfortable, water-saving effect did not do the test!")</f>
        <v>Good things good, big water, comfortable, water-saving effect did not do the test!</v>
      </c>
    </row>
    <row r="19947">
      <c r="A19947" s="1">
        <v>5.0</v>
      </c>
      <c r="B19947" s="1" t="s">
        <v>19683</v>
      </c>
      <c r="C19947" t="str">
        <f>IFERROR(__xludf.DUMMYFUNCTION("GOOGLETRANSLATE(B19947, ""zh"", ""en"")"),"Good packaging and pictures is not the same, I hope the same thing, after all, is self-employed, should be wrong")</f>
        <v>Good packaging and pictures is not the same, I hope the same thing, after all, is self-employed, should be wrong</v>
      </c>
    </row>
    <row r="19948">
      <c r="A19948" s="1">
        <v>5.0</v>
      </c>
      <c r="B19948" s="1" t="s">
        <v>19684</v>
      </c>
      <c r="C19948" t="str">
        <f>IFERROR(__xludf.DUMMYFUNCTION("GOOGLETRANSLATE(B19948, ""zh"", ""en"")"),"Stirrer is very easy to use, is the fourth time I have family and friends to help purchase.")</f>
        <v>Stirrer is very easy to use, is the fourth time I have family and friends to help purchase.</v>
      </c>
    </row>
    <row r="19949">
      <c r="A19949" s="1">
        <v>5.0</v>
      </c>
      <c r="B19949" s="1" t="s">
        <v>19685</v>
      </c>
      <c r="C19949" t="str">
        <f>IFERROR(__xludf.DUMMYFUNCTION("GOOGLETRANSLATE(B19949, ""zh"", ""en"")"),"Very very satisfied with the quality, the right size")</f>
        <v>Very very satisfied with the quality, the right size</v>
      </c>
    </row>
    <row r="19950">
      <c r="A19950" s="1">
        <v>5.0</v>
      </c>
      <c r="B19950" s="1" t="s">
        <v>19686</v>
      </c>
      <c r="C19950" t="str">
        <f>IFERROR(__xludf.DUMMYFUNCTION("GOOGLETRANSLATE(B19950, ""zh"", ""en"")"),"The color of light than imagined also worried 7uk it is 41, another 41 pairs of shoes, but this is 40, Amazon shopping point luck.")</f>
        <v>The color of light than imagined also worried 7uk it is 41, another 41 pairs of shoes, but this is 40, Amazon shopping point luck.</v>
      </c>
    </row>
    <row r="19951">
      <c r="A19951" s="1">
        <v>5.0</v>
      </c>
      <c r="B19951" s="1" t="s">
        <v>19687</v>
      </c>
      <c r="C19951" t="str">
        <f>IFERROR(__xludf.DUMMYFUNCTION("GOOGLETRANSLATE(B19951, ""zh"", ""en"")"),"Good, law-abiding, law-abiding, right, is really very comfortable to wear, but a high instep link to buy the freshman code")</f>
        <v>Good, law-abiding, law-abiding, right, is really very comfortable to wear, but a high instep link to buy the freshman code</v>
      </c>
    </row>
    <row r="19952">
      <c r="A19952" s="1">
        <v>5.0</v>
      </c>
      <c r="B19952" s="1" t="s">
        <v>19688</v>
      </c>
      <c r="C19952" t="str">
        <f>IFERROR(__xludf.DUMMYFUNCTION("GOOGLETRANSLATE(B19952, ""zh"", ""en"")"),"A great feeling just the right size, very pretty, wear it tomorrow.")</f>
        <v>A great feeling just the right size, very pretty, wear it tomorrow.</v>
      </c>
    </row>
    <row r="19953">
      <c r="A19953" s="1">
        <v>5.0</v>
      </c>
      <c r="B19953" s="1" t="s">
        <v>19689</v>
      </c>
      <c r="C19953" t="str">
        <f>IFERROR(__xludf.DUMMYFUNCTION("GOOGLETRANSLATE(B19953, ""zh"", ""en"")"),"Underwear is very comfortable, ready to buy one")</f>
        <v>Underwear is very comfortable, ready to buy one</v>
      </c>
    </row>
    <row r="19954">
      <c r="A19954" s="1">
        <v>5.0</v>
      </c>
      <c r="B19954" s="1" t="s">
        <v>19690</v>
      </c>
      <c r="C19954" t="str">
        <f>IFERROR(__xludf.DUMMYFUNCTION("GOOGLETRANSLATE(B19954, ""zh"", ""en"")"),"Five out of the bowl, whether working or bowl shape is the king of cost is also high child children especially like to buy a lot of other kids just do not like adults feel good-looking")</f>
        <v>Five out of the bowl, whether working or bowl shape is the king of cost is also high child children especially like to buy a lot of other kids just do not like adults feel good-looking</v>
      </c>
    </row>
    <row r="19955">
      <c r="A19955" s="1">
        <v>5.0</v>
      </c>
      <c r="B19955" s="1" t="s">
        <v>19691</v>
      </c>
      <c r="C19955" t="str">
        <f>IFERROR(__xludf.DUMMYFUNCTION("GOOGLETRANSLATE(B19955, ""zh"", ""en"")"),"Superb good like good quality, complete quality assurance function")</f>
        <v>Superb good like good quality, complete quality assurance function</v>
      </c>
    </row>
    <row r="19956">
      <c r="A19956" s="1">
        <v>5.0</v>
      </c>
      <c r="B19956" s="1" t="s">
        <v>19692</v>
      </c>
      <c r="C19956" t="str">
        <f>IFERROR(__xludf.DUMMYFUNCTION("GOOGLETRANSLATE(B19956, ""zh"", ""en"")"),"Ecco comfortable shoes to buy several pairs, not only very comfortable fit, very durable, does not degumming, slip resistant soles")</f>
        <v>Ecco comfortable shoes to buy several pairs, not only very comfortable fit, very durable, does not degumming, slip resistant soles</v>
      </c>
    </row>
    <row r="19957">
      <c r="A19957" s="1">
        <v>2.0</v>
      </c>
      <c r="B19957" s="1" t="s">
        <v>19693</v>
      </c>
      <c r="C19957" t="str">
        <f>IFERROR(__xludf.DUMMYFUNCTION("GOOGLETRANSLATE(B19957, ""zh"", ""en"")"),"Next to quality problems of all unglued, there are obvious quality problems, Shenru.")</f>
        <v>Next to quality problems of all unglued, there are obvious quality problems, Shenru.</v>
      </c>
    </row>
    <row r="19958">
      <c r="A19958" s="1">
        <v>3.0</v>
      </c>
      <c r="B19958" s="1" t="s">
        <v>19694</v>
      </c>
      <c r="C19958" t="str">
        <f>IFERROR(__xludf.DUMMYFUNCTION("GOOGLETRANSLATE(B19958, ""zh"", ""en"")"),"Too thin, too fat, not very satisfied. Pants a little thin, very mast, and I bought the sweater is navy blue, but the color does not seem to match. Not satisfied.")</f>
        <v>Too thin, too fat, not very satisfied. Pants a little thin, very mast, and I bought the sweater is navy blue, but the color does not seem to match. Not satisfied.</v>
      </c>
    </row>
    <row r="19959">
      <c r="A19959" s="1">
        <v>3.0</v>
      </c>
      <c r="B19959" s="1" t="s">
        <v>19695</v>
      </c>
      <c r="C19959" t="str">
        <f>IFERROR(__xludf.DUMMYFUNCTION("GOOGLETRANSLATE(B19959, ""zh"", ""en"")"),"I'm angry !!! Now I'm as elder to tell you something usefully: 'Men Sheng Fa Da Cai', and more, to young too sample, sometimes naive the package is broken, I'm angry !!!! If the report is bias later, you will be respondance, and something good is that log"&amp;"istical is very fast, I'm statisfied")</f>
        <v>I'm angry !!! Now I'm as elder to tell you something usefully: 'Men Sheng Fa Da Cai', and more, to young too sample, sometimes naive the package is broken, I'm angry !!!! If the report is bias later, you will be respondance, and something good is that logistical is very fast, I'm statisfied</v>
      </c>
    </row>
    <row r="19960">
      <c r="A19960" s="1">
        <v>3.0</v>
      </c>
      <c r="B19960" s="1" t="s">
        <v>19696</v>
      </c>
      <c r="C19960" t="str">
        <f>IFERROR(__xludf.DUMMYFUNCTION("GOOGLETRANSLATE(B19960, ""zh"", ""en"")"),"Packaging, genuine? Just receipt when the packaging is very simple, no lid tightly closed box protein powder is a powder, unscrew the lid are not sealed. I was a little suspect is behind the powder filling")</f>
        <v>Packaging, genuine? Just receipt when the packaging is very simple, no lid tightly closed box protein powder is a powder, unscrew the lid are not sealed. I was a little suspect is behind the powder filling</v>
      </c>
    </row>
    <row r="19961">
      <c r="A19961" s="1">
        <v>1.0</v>
      </c>
      <c r="B19961" s="1" t="s">
        <v>19697</v>
      </c>
      <c r="C19961" t="str">
        <f>IFERROR(__xludf.DUMMYFUNCTION("GOOGLETRANSLATE(B19961, ""zh"", ""en"")"),"Pressure feet! Suitable length, no color. But the pressure instep pressure too painful too painful to wear for so long, or only wear half a day, in the afternoon is very painful")</f>
        <v>Pressure feet! Suitable length, no color. But the pressure instep pressure too painful too painful to wear for so long, or only wear half a day, in the afternoon is very painful</v>
      </c>
    </row>
    <row r="19962">
      <c r="A19962" s="1">
        <v>1.0</v>
      </c>
      <c r="B19962" s="1" t="s">
        <v>19698</v>
      </c>
      <c r="C19962" t="str">
        <f>IFERROR(__xludf.DUMMYFUNCTION("GOOGLETRANSLATE(B19962, ""zh"", ""en"")"),"30 yuan to spread the goods times the level of the home, sei sei buy regret it!")</f>
        <v>30 yuan to spread the goods times the level of the home, sei sei buy regret it!</v>
      </c>
    </row>
    <row r="19963">
      <c r="A19963" s="1">
        <v>4.0</v>
      </c>
      <c r="B19963" s="1" t="s">
        <v>19699</v>
      </c>
      <c r="C19963" t="str">
        <f>IFERROR(__xludf.DUMMYFUNCTION("GOOGLETRANSLATE(B19963, ""zh"", ""en"")"),"Good value for money fit, but the color of light more than the picture.")</f>
        <v>Good value for money fit, but the color of light more than the picture.</v>
      </c>
    </row>
    <row r="19964">
      <c r="A19964" s="1">
        <v>4.0</v>
      </c>
      <c r="B19964" s="1" t="s">
        <v>19700</v>
      </c>
      <c r="C19964" t="str">
        <f>IFERROR(__xludf.DUMMYFUNCTION("GOOGLETRANSLATE(B19964, ""zh"", ""en"")"),"Rest assured that security has been assured that the brand of sanitary napkins, Ye Hao fast delivery, to the week, a pack of pretty much cheaper than domestic")</f>
        <v>Rest assured that security has been assured that the brand of sanitary napkins, Ye Hao fast delivery, to the week, a pack of pretty much cheaper than domestic</v>
      </c>
    </row>
    <row r="19965">
      <c r="A19965" s="1">
        <v>4.0</v>
      </c>
      <c r="B19965" s="1" t="s">
        <v>19701</v>
      </c>
      <c r="C19965" t="str">
        <f>IFERROR(__xludf.DUMMYFUNCTION("GOOGLETRANSLATE(B19965, ""zh"", ""en"")"),"Comfortable to wear good quality workmanship, toughness. Ye Hao work. Affordable")</f>
        <v>Comfortable to wear good quality workmanship, toughness. Ye Hao work. Affordable</v>
      </c>
    </row>
    <row r="19966">
      <c r="A19966" s="1">
        <v>4.0</v>
      </c>
      <c r="B19966" s="1" t="s">
        <v>19702</v>
      </c>
      <c r="C19966" t="str">
        <f>IFERROR(__xludf.DUMMYFUNCTION("GOOGLETRANSLATE(B19966, ""zh"", ""en"")"),"Small, old style logistics very fast, the more random, does not represent the general level. According to its nominal size can not be. For example, M number corresponding to the waist is 32-34, L 36-38, I usually pants waist is 32, after Logically should "&amp;"buy M-code, but saw others comments, I chose the L, just right, even more than I am now also wear a little bit. Origin: India. Twenty years ago, the feeling is a material made ""three shots"" that ruled the use of cotton, also used his legs then shut the "&amp;"way, like a sewing circle of the same material as curling cloth, do not know will not as the year three shots as Yuechuan Yue big, baggy finally, air leakage around.")</f>
        <v>Small, old style logistics very fast, the more random, does not represent the general level. According to its nominal size can not be. For example, M number corresponding to the waist is 32-34, L 36-38, I usually pants waist is 32, after Logically should buy M-code, but saw others comments, I chose the L, just right, even more than I am now also wear a little bit. Origin: India. Twenty years ago, the feeling is a material made "three shots" that ruled the use of cotton, also used his legs then shut the way, like a sewing circle of the same material as curling cloth, do not know will not as the year three shots as Yuechuan Yue big, baggy finally, air leakage around.</v>
      </c>
    </row>
    <row r="19967">
      <c r="A19967" s="1">
        <v>4.0</v>
      </c>
      <c r="B19967" s="1" t="s">
        <v>19703</v>
      </c>
      <c r="C19967" t="str">
        <f>IFERROR(__xludf.DUMMYFUNCTION("GOOGLETRANSLATE(B19967, ""zh"", ""en"")"),"Evaluation of wiping robot looked praise someone else's orders after the arrival of regret one is not Chinese manual. The second is to prepare the special brand of cloth to be returned only to be told Dea goods need to think about their own return trouble"&amp;" on their own with the use of sound grazing robot forget all fairness this is good quality work is very light but very low efficiency once the living room to two hours wipe dry rub + wet wipe at least half a day and a lot of places really polished unclean"&amp;" not very suitable")</f>
        <v>Evaluation of wiping robot looked praise someone else's orders after the arrival of regret one is not Chinese manual. The second is to prepare the special brand of cloth to be returned only to be told Dea goods need to think about their own return trouble on their own with the use of sound grazing robot forget all fairness this is good quality work is very light but very low efficiency once the living room to two hours wipe dry rub + wet wipe at least half a day and a lot of places really polished unclean not very suitable</v>
      </c>
    </row>
    <row r="19968">
      <c r="A19968" s="1">
        <v>5.0</v>
      </c>
      <c r="B19968" s="1" t="s">
        <v>19704</v>
      </c>
      <c r="C19968" t="str">
        <f>IFERROR(__xludf.DUMMYFUNCTION("GOOGLETRANSLATE(B19968, ""zh"", ""en"")"),"Modeling good time to buy activity of the sixties and seventies, sweet candy, children habits")</f>
        <v>Modeling good time to buy activity of the sixties and seventies, sweet candy, children habits</v>
      </c>
    </row>
    <row r="19969">
      <c r="A19969" s="1">
        <v>5.0</v>
      </c>
      <c r="B19969" s="1" t="s">
        <v>19705</v>
      </c>
      <c r="C19969" t="str">
        <f>IFERROR(__xludf.DUMMYFUNCTION("GOOGLETRANSLATE(B19969, ""zh"", ""en"")"),"Leather, good shoes good shoes, leather good, I can see very red color, we can see only part of the toe in the sun, and it expected a little gap, but also very good, low-key, ha ha")</f>
        <v>Leather, good shoes good shoes, leather good, I can see very red color, we can see only part of the toe in the sun, and it expected a little gap, but also very good, low-key, ha ha</v>
      </c>
    </row>
    <row r="19970">
      <c r="A19970" s="1">
        <v>5.0</v>
      </c>
      <c r="B19970" s="1" t="s">
        <v>19706</v>
      </c>
      <c r="C19970" t="str">
        <f>IFERROR(__xludf.DUMMYFUNCTION("GOOGLETRANSLATE(B19970, ""zh"", ""en"")"),"Good quality, warm, fit the shoes of good quality, and very warm, to minus ten degrees father's day, too - just not to wear out very anti-skid")</f>
        <v>Good quality, warm, fit the shoes of good quality, and very warm, to minus ten degrees father's day, too - just not to wear out very anti-skid</v>
      </c>
    </row>
    <row r="19971">
      <c r="A19971" s="1">
        <v>5.0</v>
      </c>
      <c r="B19971" s="1" t="s">
        <v>19707</v>
      </c>
      <c r="C19971" t="str">
        <f>IFERROR(__xludf.DUMMYFUNCTION("GOOGLETRANSLATE(B19971, ""zh"", ""en"")"),"Buddha comfortable older lines as I choose sanity, deliberately chose a small one yard M code number can hold completely live. L on a larger estimate. Size chart still not accurate. Those who do not choose to gather.")</f>
        <v>Buddha comfortable older lines as I choose sanity, deliberately chose a small one yard M code number can hold completely live. L on a larger estimate. Size chart still not accurate. Those who do not choose to gather.</v>
      </c>
    </row>
    <row r="19972">
      <c r="A19972" s="1">
        <v>5.0</v>
      </c>
      <c r="B19972" s="1" t="s">
        <v>19708</v>
      </c>
      <c r="C19972" t="str">
        <f>IFERROR(__xludf.DUMMYFUNCTION("GOOGLETRANSLATE(B19972, ""zh"", ""en"")"),"Good design of the back light without the burden light, it is worth starting! After wearing this")</f>
        <v>Good design of the back light without the burden light, it is worth starting! After wearing this</v>
      </c>
    </row>
    <row r="19973">
      <c r="A19973" s="1">
        <v>5.0</v>
      </c>
      <c r="B19973" s="1" t="s">
        <v>19709</v>
      </c>
      <c r="C19973" t="str">
        <f>IFERROR(__xludf.DUMMYFUNCTION("GOOGLETRANSLATE(B19973, ""zh"", ""en"")"),"Satisfaction 173 Height 68 kg L number is appropriate")</f>
        <v>Satisfaction 173 Height 68 kg L number is appropriate</v>
      </c>
    </row>
    <row r="19974">
      <c r="A19974" s="1">
        <v>5.0</v>
      </c>
      <c r="B19974" s="1" t="s">
        <v>19710</v>
      </c>
      <c r="C19974" t="str">
        <f>IFERROR(__xludf.DUMMYFUNCTION("GOOGLETRANSLATE(B19974, ""zh"", ""en"")"),"Super like ~ ~ particularly useful to see at first glance like a ~")</f>
        <v>Super like ~ ~ particularly useful to see at first glance like a ~</v>
      </c>
    </row>
    <row r="19975">
      <c r="A19975" s="1">
        <v>5.0</v>
      </c>
      <c r="B19975" s="1" t="s">
        <v>19711</v>
      </c>
      <c r="C19975" t="str">
        <f>IFERROR(__xludf.DUMMYFUNCTION("GOOGLETRANSLATE(B19975, ""zh"", ""en"")"),"Good clothes, good quality, 3, and now for the wear, others estimate it seems I do not change clothes")</f>
        <v>Good clothes, good quality, 3, and now for the wear, others estimate it seems I do not change clothes</v>
      </c>
    </row>
    <row r="19976">
      <c r="A19976" s="1">
        <v>5.0</v>
      </c>
      <c r="B19976" s="1" t="s">
        <v>19712</v>
      </c>
      <c r="C19976" t="str">
        <f>IFERROR(__xludf.DUMMYFUNCTION("GOOGLETRANSLATE(B19976, ""zh"", ""en"")"),"Yes, a little flaw, can accept. A drawer cool color, ha ha poisoned too.")</f>
        <v>Yes, a little flaw, can accept. A drawer cool color, ha ha poisoned too.</v>
      </c>
    </row>
    <row r="19977">
      <c r="A19977" s="1">
        <v>5.0</v>
      </c>
      <c r="B19977" s="1" t="s">
        <v>19713</v>
      </c>
      <c r="C19977" t="str">
        <f>IFERROR(__xludf.DUMMYFUNCTION("GOOGLETRANSLATE(B19977, ""zh"", ""en"")"),"Good, quality is no problem. Recommended to buy good, quality is no problem. The proposed purchase")</f>
        <v>Good, quality is no problem. Recommended to buy good, quality is no problem. The proposed purchase</v>
      </c>
    </row>
    <row r="19978">
      <c r="A19978" s="1">
        <v>5.0</v>
      </c>
      <c r="B19978" s="1" t="s">
        <v>19714</v>
      </c>
      <c r="C19978" t="str">
        <f>IFERROR(__xludf.DUMMYFUNCTION("GOOGLETRANSLATE(B19978, ""zh"", ""en"")"),"Comfortable fit cut, slightly elastic, wearing very comfortable")</f>
        <v>Comfortable fit cut, slightly elastic, wearing very comfortable</v>
      </c>
    </row>
    <row r="19979">
      <c r="A19979" s="1">
        <v>5.0</v>
      </c>
      <c r="B19979" s="1" t="s">
        <v>19715</v>
      </c>
      <c r="C19979" t="str">
        <f>IFERROR(__xludf.DUMMYFUNCTION("GOOGLETRANSLATE(B19979, ""zh"", ""en"")"),"https://www.amazon.cn/dp/B00YP5X1TI/ref=cm_cr_ryp_prd_ttl_sol_0 very good time scouring the sea. Mainly Chinese look. The other does not matter. Express very satisfied.")</f>
        <v>https://www.amazon.cn/dp/B00YP5X1TI/ref=cm_cr_ryp_prd_ttl_sol_0 very good time scouring the sea. Mainly Chinese look. The other does not matter. Express very satisfied.</v>
      </c>
    </row>
    <row r="19980">
      <c r="A19980" s="1">
        <v>5.0</v>
      </c>
      <c r="B19980" s="1" t="s">
        <v>19716</v>
      </c>
      <c r="C19980" t="str">
        <f>IFERROR(__xludf.DUMMYFUNCTION("GOOGLETRANSLATE(B19980, ""zh"", ""en"")"),"Slim good, just the right length, cost-effective")</f>
        <v>Slim good, just the right length, cost-effective</v>
      </c>
    </row>
    <row r="19981">
      <c r="A19981" s="1">
        <v>5.0</v>
      </c>
      <c r="B19981" s="1" t="s">
        <v>19717</v>
      </c>
      <c r="C19981" t="str">
        <f>IFERROR(__xludf.DUMMYFUNCTION("GOOGLETRANSLATE(B19981, ""zh"", ""en"")"),"123 wife gave out, than the black color of fashion too much. .")</f>
        <v>123 wife gave out, than the black color of fashion too much. .</v>
      </c>
    </row>
    <row r="19982">
      <c r="A19982" s="1">
        <v>5.0</v>
      </c>
      <c r="B19982" s="1" t="s">
        <v>19718</v>
      </c>
      <c r="C19982" t="str">
        <f>IFERROR(__xludf.DUMMYFUNCTION("GOOGLETRANSLATE(B19982, ""zh"", ""en"")"),"This relatively satisfied with this relatively satisfactory, with the size of the design can be")</f>
        <v>This relatively satisfied with this relatively satisfactory, with the size of the design can be</v>
      </c>
    </row>
    <row r="19983">
      <c r="A19983" s="1">
        <v>5.0</v>
      </c>
      <c r="B19983" s="1" t="s">
        <v>19719</v>
      </c>
      <c r="C19983" t="str">
        <f>IFERROR(__xludf.DUMMYFUNCTION("GOOGLETRANSLATE(B19983, ""zh"", ""en"")"),"Good quality, good cost-effective high quality, fit. No. 4 165,110 to buy.")</f>
        <v>Good quality, good cost-effective high quality, fit. No. 4 165,110 to buy.</v>
      </c>
    </row>
    <row r="19984">
      <c r="A19984" s="1">
        <v>5.0</v>
      </c>
      <c r="B19984" s="1" t="s">
        <v>19720</v>
      </c>
      <c r="C19984" t="str">
        <f>IFERROR(__xludf.DUMMYFUNCTION("GOOGLETRANSLATE(B19984, ""zh"", ""en"")"),"Really great! Very satisfied with the product. Portable, lightweight, fine. The lack of low-frequency sound, see if you can lift the burn. Personally believe that the best wireless headset, not one.")</f>
        <v>Really great! Very satisfied with the product. Portable, lightweight, fine. The lack of low-frequency sound, see if you can lift the burn. Personally believe that the best wireless headset, not one.</v>
      </c>
    </row>
    <row r="19985">
      <c r="A19985" s="1">
        <v>5.0</v>
      </c>
      <c r="B19985" s="1" t="s">
        <v>19721</v>
      </c>
      <c r="C19985" t="str">
        <f>IFERROR(__xludf.DUMMYFUNCTION("GOOGLETRANSLATE(B19985, ""zh"", ""en"")"),"Worth buying mother said as before the line of socks, but that is not hot, I was sweaty feet, put on some socks feet stink, this is not to wear a little smelly, worth buying")</f>
        <v>Worth buying mother said as before the line of socks, but that is not hot, I was sweaty feet, put on some socks feet stink, this is not to wear a little smelly, worth buying</v>
      </c>
    </row>
    <row r="19986">
      <c r="A19986" s="1">
        <v>5.0</v>
      </c>
      <c r="B19986" s="1" t="s">
        <v>19722</v>
      </c>
      <c r="C19986" t="str">
        <f>IFERROR(__xludf.DUMMYFUNCTION("GOOGLETRANSLATE(B19986, ""zh"", ""en"")"),"If it is not bought relatively large bubble wolfberry, then this cup is too big, not very easy to carry")</f>
        <v>If it is not bought relatively large bubble wolfberry, then this cup is too big, not very easy to carry</v>
      </c>
    </row>
    <row r="19987">
      <c r="A19987" s="1">
        <v>5.0</v>
      </c>
      <c r="B19987" s="1" t="s">
        <v>19723</v>
      </c>
      <c r="C19987" t="str">
        <f>IFERROR(__xludf.DUMMYFUNCTION("GOOGLETRANSLATE(B19987, ""zh"", ""en"")"),"Pitt Zander filter to have a good, fast delivery")</f>
        <v>Pitt Zander filter to have a good, fast delivery</v>
      </c>
    </row>
    <row r="19988">
      <c r="A19988" s="1">
        <v>5.0</v>
      </c>
      <c r="B19988" s="1" t="s">
        <v>19724</v>
      </c>
      <c r="C19988" t="str">
        <f>IFERROR(__xludf.DUMMYFUNCTION("GOOGLETRANSLATE(B19988, ""zh"", ""en"")"),"The most satisfactory underwear clothes size is very fit, very comfortable, since you choose which brand you, big domestic immeasurably! ~")</f>
        <v>The most satisfactory underwear clothes size is very fit, very comfortable, since you choose which brand you, big domestic immeasurably! ~</v>
      </c>
    </row>
    <row r="19989">
      <c r="A19989" s="1">
        <v>5.0</v>
      </c>
      <c r="B19989" s="1" t="s">
        <v>19725</v>
      </c>
      <c r="C19989" t="str">
        <f>IFERROR(__xludf.DUMMYFUNCTION("GOOGLETRANSLATE(B19989, ""zh"", ""en"")"),"Champion is not bad, is a little thin, do not know where the origin is?")</f>
        <v>Champion is not bad, is a little thin, do not know where the origin is?</v>
      </c>
    </row>
    <row r="19990">
      <c r="A19990" s="1">
        <v>2.0</v>
      </c>
      <c r="B19990" s="1" t="s">
        <v>19726</v>
      </c>
      <c r="C19990" t="str">
        <f>IFERROR(__xludf.DUMMYFUNCTION("GOOGLETRANSLATE(B19990, ""zh"", ""en"")"),"Good shoes, good shoes, a little Pianzhai")</f>
        <v>Good shoes, good shoes, a little Pianzhai</v>
      </c>
    </row>
    <row r="19991">
      <c r="A19991" s="1">
        <v>3.0</v>
      </c>
      <c r="B19991" s="1" t="s">
        <v>19727</v>
      </c>
      <c r="C19991" t="str">
        <f>IFERROR(__xludf.DUMMYFUNCTION("GOOGLETRANSLATE(B19991, ""zh"", ""en"")"),"There shelf life of six months prior to January 2018 to consider the shelf life of a good buy")</f>
        <v>There shelf life of six months prior to January 2018 to consider the shelf life of a good buy</v>
      </c>
    </row>
    <row r="19992">
      <c r="A19992" s="1">
        <v>3.0</v>
      </c>
      <c r="B19992" s="1" t="s">
        <v>19728</v>
      </c>
      <c r="C19992" t="str">
        <f>IFERROR(__xludf.DUMMYFUNCTION("GOOGLETRANSLATE(B19992, ""zh"", ""en"")"),"Looks good, code number is too big I usually wear clothes domestic xxl, xxxl wear even smaller version, which I estimate I would wear under l, xxl too fat, I feel fat to three hundred pounds are not hold stand up. .")</f>
        <v>Looks good, code number is too big I usually wear clothes domestic xxl, xxxl wear even smaller version, which I estimate I would wear under l, xxl too fat, I feel fat to three hundred pounds are not hold stand up. .</v>
      </c>
    </row>
    <row r="19993">
      <c r="A19993" s="1">
        <v>1.0</v>
      </c>
      <c r="B19993" s="1" t="s">
        <v>19729</v>
      </c>
      <c r="C19993" t="str">
        <f>IFERROR(__xludf.DUMMYFUNCTION("GOOGLETRANSLATE(B19993, ""zh"", ""en"")"),"Do not recommend buying the quality and texture is really bad bad bad ...... thread also particularly")</f>
        <v>Do not recommend buying the quality and texture is really bad bad bad ...... thread also particularly</v>
      </c>
    </row>
    <row r="19994">
      <c r="A19994" s="1">
        <v>1.0</v>
      </c>
      <c r="B19994" s="1" t="s">
        <v>19730</v>
      </c>
      <c r="C19994" t="str">
        <f>IFERROR(__xludf.DUMMYFUNCTION("GOOGLETRANSLATE(B19994, ""zh"", ""en"")"),"No sale, do not buy such as the title. Less than four months, the Bluetooth connection is not on. Amazon phone to inform Amoy is not responsible for overseas sale. Contact Marshall, found that sea Amoy product can not be repaired. So a word. do not buy")</f>
        <v>No sale, do not buy such as the title. Less than four months, the Bluetooth connection is not on. Amazon phone to inform Amoy is not responsible for overseas sale. Contact Marshall, found that sea Amoy product can not be repaired. So a word. do not buy</v>
      </c>
    </row>
    <row r="19995">
      <c r="A19995" s="1">
        <v>4.0</v>
      </c>
      <c r="B19995" s="1" t="s">
        <v>19731</v>
      </c>
      <c r="C19995" t="str">
        <f>IFERROR(__xludf.DUMMYFUNCTION("GOOGLETRANSLATE(B19995, ""zh"", ""en"")"),"Texture okay too small a point two hip feel a little tight too small version")</f>
        <v>Texture okay too small a point two hip feel a little tight too small version</v>
      </c>
    </row>
    <row r="19996">
      <c r="A19996" s="1">
        <v>4.0</v>
      </c>
      <c r="B19996" s="1" t="s">
        <v>19732</v>
      </c>
      <c r="C19996" t="str">
        <f>IFERROR(__xludf.DUMMYFUNCTION("GOOGLETRANSLATE(B19996, ""zh"", ""en"")"),"Boots too large to buy a small one yard, I usually just 255 sneakers, boots being fooled bought 260 or widened. Wear it with the same boat. Next time you buy 250 of normal width on it. for reference only. PS shoes are very good")</f>
        <v>Boots too large to buy a small one yard, I usually just 255 sneakers, boots being fooled bought 260 or widened. Wear it with the same boat. Next time you buy 250 of normal width on it. for reference only. PS shoes are very good</v>
      </c>
    </row>
    <row r="19997">
      <c r="A19997" s="1">
        <v>4.0</v>
      </c>
      <c r="B19997" s="1" t="s">
        <v>19733</v>
      </c>
      <c r="C19997" t="str">
        <f>IFERROR(__xludf.DUMMYFUNCTION("GOOGLETRANSLATE(B19997, ""zh"", ""en"")"),"Great product, has become a daily must do their homework great red teeth, which are cleaned twice daily has become a daily must do homework every two tank flush very clean. White is very beautiful, universal voltage, easy to use. The only drawback: an ele"&amp;"ctric charge, if used, per day, 3-4 days with only a low voltage lights go on prompt charging, or do not know embodiment a common problem.")</f>
        <v>Great product, has become a daily must do their homework great red teeth, which are cleaned twice daily has become a daily must do homework every two tank flush very clean. White is very beautiful, universal voltage, easy to use. The only drawback: an electric charge, if used, per day, 3-4 days with only a low voltage lights go on prompt charging, or do not know embodiment a common problem.</v>
      </c>
    </row>
    <row r="19998">
      <c r="A19998" s="1">
        <v>4.0</v>
      </c>
      <c r="B19998" s="1" t="s">
        <v>19734</v>
      </c>
      <c r="C19998" t="str">
        <f>IFERROR(__xludf.DUMMYFUNCTION("GOOGLETRANSLATE(B19998, ""zh"", ""en"")"),"Need to burn slowly headset appearance is acceptable, but also comfortable to wear too. As for the sound, the sound of the bass is too large and scattered open, simply can not look straight into the pot for some time, and now improved. In short you can st"&amp;"ill of")</f>
        <v>Need to burn slowly headset appearance is acceptable, but also comfortable to wear too. As for the sound, the sound of the bass is too large and scattered open, simply can not look straight into the pot for some time, and now improved. In short you can still of</v>
      </c>
    </row>
    <row r="19999">
      <c r="A19999" s="1">
        <v>4.0</v>
      </c>
      <c r="B19999" s="1" t="s">
        <v>19735</v>
      </c>
      <c r="C19999" t="str">
        <f>IFERROR(__xludf.DUMMYFUNCTION("GOOGLETRANSLATE(B19999, ""zh"", ""en"")"),"When received when a shoe box full of rotten received a shoebox full of rotten, but inside the shoes looked like new, can only think of")</f>
        <v>When received when a shoe box full of rotten received a shoebox full of rotten, but inside the shoes looked like new, can only think of</v>
      </c>
    </row>
    <row r="20000">
      <c r="A20000" s="1">
        <v>5.0</v>
      </c>
      <c r="B20000" s="1" t="s">
        <v>19736</v>
      </c>
      <c r="C20000" t="str">
        <f>IFERROR(__xludf.DUMMYFUNCTION("GOOGLETRANSLATE(B20000, ""zh"", ""en"")"),"A good experience for the first time to buy, or you can speed, faster than expected, pants size is very appropriate, good quality, more perfect experience")</f>
        <v>A good experience for the first time to buy, or you can speed, faster than expected, pants size is very appropriate, good quality, more perfect experience</v>
      </c>
    </row>
    <row r="20001">
      <c r="A20001" s="1">
        <v>5.0</v>
      </c>
      <c r="B20001" s="1" t="s">
        <v>19737</v>
      </c>
      <c r="C20001" t="str">
        <f>IFERROR(__xludf.DUMMYFUNCTION("GOOGLETRANSLATE(B20001, ""zh"", ""en"")"),"Satisfied with something good, it is what you want")</f>
        <v>Satisfied with something good, it is what you want</v>
      </c>
    </row>
  </sheetData>
  <drawing r:id="rId1"/>
</worksheet>
</file>